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hông tin chung" sheetId="1" r:id="rId5"/>
    <sheet state="hidden" name="NOTE" sheetId="2" r:id="rId6"/>
    <sheet state="visible" name="DATA" sheetId="3" r:id="rId7"/>
    <sheet state="hidden" name="Hệ thống tài khoản TT133" sheetId="4" r:id="rId8"/>
    <sheet state="hidden" name="DM chứng từ" sheetId="5" r:id="rId9"/>
    <sheet state="visible" name="DM sổ" sheetId="6" r:id="rId10"/>
    <sheet state="hidden" name="Hệ thống tài khoản TT99" sheetId="7" r:id="rId11"/>
    <sheet state="hidden" name="Sổ chi tiết TK" sheetId="8" r:id="rId12"/>
    <sheet state="hidden" name="Sổ chi tiết công nợ" sheetId="9" r:id="rId13"/>
    <sheet state="hidden" name="Tổng hợp công nợ" sheetId="10" r:id="rId14"/>
    <sheet state="visible" name="Bảng kê mua vào" sheetId="11" r:id="rId15"/>
    <sheet state="visible" name="Bảng kê bán ra" sheetId="12" r:id="rId16"/>
    <sheet state="visible" name="Tổng hợp thuế" sheetId="13" r:id="rId17"/>
    <sheet state="visible" name="Báo cáo nhanh thuế TNDN" sheetId="14" r:id="rId18"/>
    <sheet state="visible" name="Tổng quan" sheetId="15" r:id="rId19"/>
    <sheet state="visible" name="Kiểm soát hồ sơ và hạch toán" sheetId="16" r:id="rId20"/>
    <sheet state="visible" name="Trang tính56" sheetId="17" r:id="rId21"/>
    <sheet state="visible" name="Đối chiếu chứng từ" sheetId="18" r:id="rId22"/>
    <sheet state="visible" name="Tổng hợp bán hàng" sheetId="19" r:id="rId23"/>
    <sheet state="hidden" name="Hệ thống" sheetId="20" r:id="rId24"/>
    <sheet state="hidden" name="Sale_Plan" sheetId="21" r:id="rId25"/>
    <sheet state="hidden" name="Quy định" sheetId="22" r:id="rId26"/>
    <sheet state="hidden" name="Nguồn vốn" sheetId="23" r:id="rId27"/>
    <sheet state="hidden" name="DATA_TF" sheetId="24" r:id="rId28"/>
    <sheet state="hidden" name="HƯỚNG DẪN" sheetId="25" r:id="rId29"/>
    <sheet state="hidden" name="Sổ quỹ TM" sheetId="26" r:id="rId30"/>
    <sheet state="hidden" name="NKDONGTIEN" sheetId="27" r:id="rId31"/>
    <sheet state="visible" name="BC DONGTIEN" sheetId="28" r:id="rId32"/>
    <sheet state="visible" name="KHDONGTIEN" sheetId="29" r:id="rId33"/>
    <sheet state="hidden" name="DONGTIEN" sheetId="30" r:id="rId34"/>
    <sheet state="hidden" name="P.Chi" sheetId="31" r:id="rId35"/>
    <sheet state="visible" name="P&amp;L" sheetId="32" r:id="rId36"/>
    <sheet state="visible" name="P&amp;L kế hoạch" sheetId="33" r:id="rId37"/>
    <sheet state="hidden" name="DATA_BP" sheetId="34" r:id="rId38"/>
    <sheet state="hidden" name="Bản sao của P&amp;L" sheetId="35" r:id="rId39"/>
    <sheet state="hidden" name="Theo dõi công nợ" sheetId="36" r:id="rId40"/>
    <sheet state="hidden" name="BCTH_AC" sheetId="37" r:id="rId41"/>
    <sheet state="hidden" name="BCTH_BP" sheetId="38" r:id="rId42"/>
    <sheet state="hidden" name="SALE PLAN" sheetId="39" r:id="rId43"/>
    <sheet state="hidden" name="BCTH_TF" sheetId="40" r:id="rId44"/>
    <sheet state="hidden" name="KQKD" sheetId="41" r:id="rId45"/>
    <sheet state="hidden" name="CDPS" sheetId="42" r:id="rId46"/>
    <sheet state="hidden" name="CDKT" sheetId="43" r:id="rId47"/>
    <sheet state="hidden" name="THAM CHIẾU" sheetId="44" r:id="rId48"/>
    <sheet state="visible" name="Quy chuẩn hạch toán" sheetId="45" r:id="rId49"/>
    <sheet state="visible" name="Tạo bút toán mới (tiền mặt)" sheetId="46" r:id="rId50"/>
    <sheet state="visible" name="Tạo bút toán mới (tiền GNH)" sheetId="47" r:id="rId51"/>
    <sheet state="hidden" name="BCCV" sheetId="48" r:id="rId52"/>
    <sheet state="hidden" name="S1" sheetId="49" r:id="rId53"/>
    <sheet state="hidden" name="S2" sheetId="50" r:id="rId54"/>
    <sheet state="hidden" name="S3" sheetId="51" r:id="rId55"/>
    <sheet state="hidden" name="S4" sheetId="52" r:id="rId56"/>
    <sheet state="hidden" name="BIỂU ĐỒ" sheetId="53" r:id="rId57"/>
    <sheet state="hidden" name="PHÂN TÍCH" sheetId="54" r:id="rId58"/>
    <sheet state="hidden" name="REPORT" sheetId="55" r:id="rId59"/>
    <sheet state="hidden" name="PT nhiều kỳ" sheetId="56" r:id="rId60"/>
    <sheet state="hidden" name="SƠ ĐỒ" sheetId="57" r:id="rId61"/>
  </sheets>
  <definedNames>
    <definedName name="AC_KM">DATA!$Q$3:$Q$1385</definedName>
    <definedName name="BP_KM">DATA_BP!$K$2:$K$1043</definedName>
    <definedName name="AC_TKCO">DATA!$I$3:$I$1385</definedName>
    <definedName name="NHOM_QL">'THAM CHIẾU'!$L$3:$L$60</definedName>
    <definedName name="AC_NHOMQL">DATA!$P$3:$P$1385</definedName>
    <definedName name="BP_QUY">DATA_BP!$C$2:$C$1043</definedName>
    <definedName name="MA_DOI">'THAM CHIẾU'!$R$3:$R$35</definedName>
    <definedName name="AC_PHAITRA">DATA!$M$3:$M$1385</definedName>
    <definedName name="SDCDK">CDPS!$F$5:$F$222</definedName>
    <definedName name="SDNCK">CDPS!$I$5:$I$222</definedName>
    <definedName name="MA_DUAN">'THAM CHIẾU'!$Z$3:$Z$82</definedName>
    <definedName name="TF_THANG">DATA_TF!$B$2:$B$1002</definedName>
    <definedName name="TF_DOI">DATA_TF!$H$2:$H$1002</definedName>
    <definedName name="SDCCK">CDPS!$J$5:$J$222</definedName>
    <definedName name="AC_DOI">DATA!$AA$3:$AA$1385</definedName>
    <definedName name="NAME">'Thông tin chung'!$B$3</definedName>
    <definedName name="BP_THANG">DATA_BP!$B$2:$B$1043</definedName>
    <definedName name="AC_TKNO">DATA!$H$3:$H$1385</definedName>
    <definedName name="AC_QUY">DATA!$B$3:$B$1385</definedName>
    <definedName name="DM_NV">'THAM CHIẾU'!$P$3:$S$367</definedName>
    <definedName name="MA_NV">'THAM CHIẾU'!$P$3:$P$113</definedName>
    <definedName name="AC_SOTIEN">DATA!$J$3:$J$1385</definedName>
    <definedName name="MA_BP">'THAM CHIẾU'!$U$3:$U$10</definedName>
    <definedName name="NHOM_KM">'THAM CHIẾU'!$J$3:$J$60</definedName>
    <definedName name="DM_KM">'THAM CHIẾU'!$H$3:$M$60</definedName>
    <definedName name="BP_DOI">DATA_BP!$H$2:$H$1043</definedName>
    <definedName name="BP_DA">DATA_BP!$E$2:$E$1043</definedName>
    <definedName name="MATK">CDPS!$B$5:$B$222</definedName>
    <definedName name="TF_KM">DATA_TF!$L$2:$L$1002</definedName>
    <definedName name="AC">DATA!$A$3:$AI$1385</definedName>
    <definedName name="TF_DA">DATA_TF!$E$2:$E$1002</definedName>
    <definedName name="THANG">'THAM CHIẾU'!$D$3:$D$20</definedName>
    <definedName name="SDNDK">CDPS!$E$5:$E$222</definedName>
    <definedName name="MA_CODE">CDPS!$C$5:$C$222</definedName>
    <definedName name="NGHIEPVU">'Quy chuẩn hạch toán'!$B$2:$B$100</definedName>
    <definedName name="AC_PHAITHU">DATA!$K$3:$K$1385</definedName>
    <definedName name="MA_KM">'THAM CHIẾU'!$H$3:$H$60</definedName>
    <definedName name="AC_NGAY">DATA!$D$3:$D$1385</definedName>
    <definedName name="NGAY">'THAM CHIẾU'!$A$3:$A$367</definedName>
    <definedName name="MA_DONGTIEN">DONGTIEN!$C$6:$C$80</definedName>
    <definedName name="DM_BP">'THAM CHIẾU'!$U$3:$V$10</definedName>
    <definedName name="DM_DUAN">'THAM CHIẾU'!$Z$3:$AC$367</definedName>
    <definedName name="MA_SP">'THAM CHIẾU'!$X$3:$X$85</definedName>
    <definedName name="BP_SOTIEN">DATA_BP!$N$2:$N$1043</definedName>
    <definedName name="DM_SP">'THAM CHIẾU'!$X$3:$Y$85</definedName>
    <definedName name="DM_DOI">'THAM CHIẾU'!$R$3:$R$70</definedName>
    <definedName name="DM_CDT">'THAM CHIẾU'!$AB$3:$AC$82</definedName>
    <definedName name="MA_CDT">'THAM CHIẾU'!$AB$3:$AB$82</definedName>
    <definedName name="AC_THANG">DATA!$C$3:$C$1385</definedName>
    <definedName name="TF_QUY">DATA_TF!$C$2:$C$1002</definedName>
    <definedName name="TF_SOTIEN">DATA_TF!$N$2:$N$1002</definedName>
    <definedName name="AC_DA">DATA!$U$3:$U$1385</definedName>
    <definedName hidden="1" localSheetId="2" name="_xlnm._FilterDatabase">DATA!$A$2:$AI$1385</definedName>
    <definedName hidden="1" localSheetId="23" name="_xlnm._FilterDatabase">DATA_TF!$A$1:$U$1004</definedName>
    <definedName hidden="1" localSheetId="33" name="_xlnm._FilterDatabase">DATA_BP!$A$1:$P$1043</definedName>
    <definedName hidden="1" localSheetId="42" name="_xlnm._FilterDatabase">CDKT!$A$4:$N$187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T2">
      <text>
        <t xml:space="preserve">PhuongNTM: 
 - Ok: Nếu nghiệp vụ đã đúng (bắt buộc)
- KSV: Khi kiểm soát viên nhận xét (bắt buộc)</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8">
      <text>
        <t xml:space="preserve">Mr. Vu Long:
Ghi số âm nếu còn được khấu trừ, ghi số dương nếu phải nộp</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7">
      <text>
        <t xml:space="preserve">Mr. Vu Long:
Ghi số âm nếu còn được khấu trừ, ghi số dương nếu phải nộp</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Điều kiện để DS lên BC:
1. Nhập dữ liệu sheet DATA
2. Đủ thông tin : Mã dự án, Mã khoản mục là DOANHSO; Đúng ngày tháng</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Điều kiện để DS lên BC:
1. Nhập dữ liệu sheet DATA
2. Đủ thông tin : Mã dự án, Mã khoản mục là DOANHSO; Đúng ngày tháng</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Điều kiện để DS lên BC:
1. Nhập dữ liệu sheet DATA
2. Đủ thông tin : Mã dự án, Mã khoản mục là DOANHSO; Đúng ngày tháng</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MaiPhuong:
Cho phép thêm các tài khoản chi tiết nhưng cần đảm bảo nguyên tắc cộng dồn lên tài khoản cấp trên nó. Ví dụ thêm tài khoản cấp 3 thì cộng dồn lên cấp 2, và cấp 2 cộng dồn lên cấp 1. Không thay đổi mã số tài khoản cấp 1. Cố gắng giữ nguyên các ô chứa công thức - dấu hiệu nhận biết ô có công thức là có dấu "-".</t>
      </text>
    </comment>
  </commentList>
</comments>
</file>

<file path=xl/sharedStrings.xml><?xml version="1.0" encoding="utf-8"?>
<sst xmlns="http://schemas.openxmlformats.org/spreadsheetml/2006/main" count="24871" uniqueCount="4080">
  <si>
    <t>THÔNG TIN CHUNG</t>
  </si>
  <si>
    <t>Phân quyền</t>
  </si>
  <si>
    <t>GHI CHÚ</t>
  </si>
  <si>
    <t>Nhập liệu</t>
  </si>
  <si>
    <t>Xem</t>
  </si>
  <si>
    <t>Tên công ty:</t>
  </si>
  <si>
    <t>Công Ty CP BĐS Đại Hùng Thịnh</t>
  </si>
  <si>
    <t>Địa chỉ:</t>
  </si>
  <si>
    <t>46B Đường Trung Mỹ Tây 14A, Tổ 40, Khu phố 5, Phường Trung Mỹ Tây, Quận 12, TP. HCM</t>
  </si>
  <si>
    <t>VPGD:</t>
  </si>
  <si>
    <t>482 Trường Chinh, P. Tân Hưng Thuận, Quận 12</t>
  </si>
  <si>
    <t>Mã số thuế</t>
  </si>
  <si>
    <t>0316039733</t>
  </si>
  <si>
    <t>Điện thoại:</t>
  </si>
  <si>
    <t>Giám đốc</t>
  </si>
  <si>
    <t>Bùi Thị Tuyết Lan</t>
  </si>
  <si>
    <t>Tất cả</t>
  </si>
  <si>
    <t>Mail:</t>
  </si>
  <si>
    <t>tuyetlan.0238@gmail.com</t>
  </si>
  <si>
    <t>Kế toán trưởng</t>
  </si>
  <si>
    <t>Trần Thị Nguyệt Ánh</t>
  </si>
  <si>
    <t>Kế toán tổng hợp</t>
  </si>
  <si>
    <t>Kế toán thuế</t>
  </si>
  <si>
    <t>Phan Thị Hồng Yến</t>
  </si>
  <si>
    <t>Thủ quỹ</t>
  </si>
  <si>
    <t>Ngành nghề kinh doanh chính</t>
  </si>
  <si>
    <t>Bất Động Sản</t>
  </si>
  <si>
    <t>Ngành nghề phụ</t>
  </si>
  <si>
    <t>Tài khoản ngân hàng 1:</t>
  </si>
  <si>
    <t>60238560554</t>
  </si>
  <si>
    <t>Sacombank-chi nhánh Quận 12</t>
  </si>
  <si>
    <t>Tài khoản ngân hàng 2:</t>
  </si>
  <si>
    <t>Tài khoản ngân hàng 3:</t>
  </si>
  <si>
    <t>Tài khoản ngân hàng 4</t>
  </si>
  <si>
    <t>STT</t>
  </si>
  <si>
    <t>Ngày yêu cầu</t>
  </si>
  <si>
    <t>Cấp độ</t>
  </si>
  <si>
    <t>Nội dung</t>
  </si>
  <si>
    <t>Vấn đề</t>
  </si>
  <si>
    <t>Cần cải tiến</t>
  </si>
  <si>
    <t>Trạng thái</t>
  </si>
  <si>
    <t>Deadline</t>
  </si>
  <si>
    <t>Ngày hoàn thành</t>
  </si>
  <si>
    <t>Link hình ảnh</t>
  </si>
  <si>
    <t>Form tạo bút toán</t>
  </si>
  <si>
    <t>hình thức các ô và khoảng cách thông tin rộng nên để xem hết thông tin phải kéo thanh trượt xuống không thuận tiện
 - Các nội dung cần bố trí sắp xếp theo thứ tự phát sinh và thứ tự ưu tiên</t>
  </si>
  <si>
    <t>Cần tối ưu cả từ tiêu đề.
Lấy kích thước chuẩn của dòng trong Excel để thiết kế theo</t>
  </si>
  <si>
    <t>Báo cáo thống kê</t>
  </si>
  <si>
    <t>Tổng hợp số lượng, giá trị theo yếu tố</t>
  </si>
  <si>
    <t>Thêm mới tài khoản</t>
  </si>
  <si>
    <t>Khi nhập sai -&gt; không cho sửa
-&gt; Xóa nhập lại không cho phép nhập lại TK đã bị xóa</t>
  </si>
  <si>
    <t xml:space="preserve"> 1. Cho phép sửa (sau này phân quyền quản lý cho phép mới đc sửa)</t>
  </si>
  <si>
    <t>Ok</t>
  </si>
  <si>
    <t>Loại tài khoản</t>
  </si>
  <si>
    <r>
      <rPr>
        <rFont val="Times New Roman"/>
        <color theme="1"/>
      </rPr>
      <t xml:space="preserve">Tên đúng là Nhóm tài khoản
Danh mục gồm : 
</t>
    </r>
    <r>
      <rPr>
        <rFont val="Times New Roman"/>
        <b/>
        <color theme="1"/>
      </rPr>
      <t>Nợ
Có
Lưỡng tính (Số dư 2 bên)
Không có số dư</t>
    </r>
  </si>
  <si>
    <t>Nhóm tài khoản</t>
  </si>
  <si>
    <r>
      <rPr>
        <rFont val="Times New Roman"/>
        <color theme="1"/>
      </rPr>
      <t xml:space="preserve">Tên đúng là Loại tài khoản gồm
</t>
    </r>
    <r>
      <rPr>
        <rFont val="Times New Roman"/>
        <b/>
        <color theme="1"/>
      </rPr>
      <t>Tài sản
Nợ phải trả
Vốn chủ sở hữu
Doanh thu
Chi phí
Thu nhập khác
Chi phí khác
Xác định kết quả kinh doanh</t>
    </r>
  </si>
  <si>
    <t>Hiển thị danh sách theo thứ tự cập nhật</t>
  </si>
  <si>
    <t>Hiển thị theo thứ tự tài khoản từ nhỏ đến lớn</t>
  </si>
  <si>
    <t>https://drive.google.com/file/d/1pNt0dop6MyupVnU7fcmHW-hV__S7wEXM/view?usp=drive_link</t>
  </si>
  <si>
    <t>Tài khoản kế toán</t>
  </si>
  <si>
    <t>Hiển thị 50 dòng</t>
  </si>
  <si>
    <t>Hiển thị 100 dòng 1 lần</t>
  </si>
  <si>
    <t>https://drive.google.com/file/d/1-ylmpZm4I4pXZgl5mqQbyNCxDRTQlr_g/view?usp=drive_link</t>
  </si>
  <si>
    <t>Tên trên menu</t>
  </si>
  <si>
    <t>Chứng từ trùng tên của 1 nội dung khác</t>
  </si>
  <si>
    <t>Đổi tên Chứng từ thành DỮ LIỆU TỔNG HỢP</t>
  </si>
  <si>
    <t>https://drive.google.com/file/d/1-1rHIjgzzNbLY35MTh-zmxxEg4PsO5b8/view?usp=drive_link</t>
  </si>
  <si>
    <t>Tên tiêu đề dữ liệu tổng hợp</t>
  </si>
  <si>
    <t>Đổi từ Loại CT thành LOẠI GIAO DỊCH
Loại GD thành NGHIỆP VỤ</t>
  </si>
  <si>
    <t>https://drive.google.com/file/d/1PZpyBl2tBqZ7z60XMT084kSh0pO_64Rz/view?usp=drive_link</t>
  </si>
  <si>
    <t>Tạo bút toán mới</t>
  </si>
  <si>
    <t>Tên tiêu đề các nội dung</t>
  </si>
  <si>
    <t>https://drive.google.com/file/d/1gW7rwp4NsGT0QUWcK-_k3BfQfQMMaAZO/view?usp=drive_link</t>
  </si>
  <si>
    <t>Thiếu các phần nhập thông tin bổ sung</t>
  </si>
  <si>
    <t>Giao diện đầy đủ</t>
  </si>
  <si>
    <t>https://drive.google.com/file/d/1qa5MgXniKkQgesSpS_MzM-L5TLl8DJ4p/view?usp=drive_link</t>
  </si>
  <si>
    <t>Thêm quy chuẩn hạch toán</t>
  </si>
  <si>
    <t>Tài khoản Nợ và TK Có chưa hiển thị các tài khoản được thêm mới và tài khoản con</t>
  </si>
  <si>
    <t>Hiển thị để lựa chọn
Nếu TK nào có TK con thì danh mục hiển thị là TK con (hiển thị cấp nhỏ nhất) 
Nếu TK nào không có TK con thì hiển thị TK cha</t>
  </si>
  <si>
    <t>Quy chuẩn hạch toán là 1 dạng quy định chuyên môn k để ở mục cài đặt ứng dụng
Chưa chọn được tài khoản</t>
  </si>
  <si>
    <t>Chưa có vai trò của Giám đốc; Kế toán trưởng</t>
  </si>
  <si>
    <t>Bổ sung vai trò của Giám đốc; Kế toán trưởng
Thay kiểm toán = kiểm soát</t>
  </si>
  <si>
    <t>Nên để mở cho DN tự tạo vị trí chức năng theo sơ đồ tổ chức của họ</t>
  </si>
  <si>
    <t>https://drive.google.com/file/d/1Q4_7_4bWH6x8v55110n1TXCch8ezRD2L/view?usp=drive_link</t>
  </si>
  <si>
    <t>Menu chính</t>
  </si>
  <si>
    <t>Chưa đủ nhóm theo cơ cấu</t>
  </si>
  <si>
    <t>Phân làm 3 nhóm chính
1. Tổng quan (mặc định mở phần mềm lên sẽ nhìn thấy giao diện tổng quan tất cả)
2. Nhóm làm việc thường xuyên gồm
 - Chứng từ
 - Trung tâm dữ liệu (các kho dữ liệu )
 - Báo cáo
 - Phân tích
3. Nhóm chỉ phát sinh nhập 1 lần gồm
 - Danh mục
 - Quy chế - Chính sách
 - Biểu mẫu
 - Hướng dẫn
**** Phần cấu hình, cài đặt, phân quyền chuyển lên thanh công cụ ngang và ẩn trong biểu tượng hình bánh răng</t>
  </si>
  <si>
    <t>https://drive.google.com/file/d/1QjODKjB-EDR4CUXVpb7E44n5Ahgrcoxz/view?usp=drive_link</t>
  </si>
  <si>
    <t>Khoản mục</t>
  </si>
  <si>
    <t>Nhóm khoản mục cứng nhưng sai thông tin</t>
  </si>
  <si>
    <t>Tạo danh mục nhóm khoản mục để kế toán tự tạo và thêm tùy theo yêu cầu quản lý từng DN</t>
  </si>
  <si>
    <t>Chưa chọn được nhóm KM</t>
  </si>
  <si>
    <t>https://drive.google.com/file/d/1_fYg_aYkCnUouhMi21SV-1Ww5K01nUua/view?usp=drive_link</t>
  </si>
  <si>
    <t>Thêm đối tượng</t>
  </si>
  <si>
    <t>Mã số thuế tự nguyện</t>
  </si>
  <si>
    <t>Mã số thuế để trạng thái bắt buộc</t>
  </si>
  <si>
    <t>https://drive.google.com/file/d/1nMCUWROUFtwYBpnEj-kfh_uvEO72lECn/view?usp=drive_link</t>
  </si>
  <si>
    <t>Danh mục hợp đồng</t>
  </si>
  <si>
    <t>Chưa có</t>
  </si>
  <si>
    <t>Bổ sung danh mục hợp đồng (lưu ý mã hợp đồng để dài hơn 20 ký tự</t>
  </si>
  <si>
    <t>https://docs.google.com/spreadsheets/d/1zOIjlZHAJdqlLKizt3NXUUB7_A3WzMF713_Zyu2G-cs/edit?gid=681765774#gid=681765774</t>
  </si>
  <si>
    <t>Số dư đầu kỳ</t>
  </si>
  <si>
    <t>Chưa có cột số dư đầu của dữ liệu, với các Cty làm giữa chừng</t>
  </si>
  <si>
    <t>Tạo danh mục số dư đầu kỳ</t>
  </si>
  <si>
    <t>Nhập tay</t>
  </si>
  <si>
    <t>Chọn</t>
  </si>
  <si>
    <t>Tự động theo nghiệp vụ</t>
  </si>
  <si>
    <t>Tự động theo mã phải thu</t>
  </si>
  <si>
    <t>Tự động theo mã phải trả</t>
  </si>
  <si>
    <t>Tự động theo mã CĐT</t>
  </si>
  <si>
    <t>Tự động theo mã dự án</t>
  </si>
  <si>
    <t>Tự động theo mã sản phẩm</t>
  </si>
  <si>
    <t>Tự động theo mã bộ phận</t>
  </si>
  <si>
    <t>Tự động theo mã đội</t>
  </si>
  <si>
    <t>Tự động theo mã nhân viên</t>
  </si>
  <si>
    <t>Tự động theo mã dòng tiền</t>
  </si>
  <si>
    <t>Số PHIẾU</t>
  </si>
  <si>
    <t xml:space="preserve">QUÝ </t>
  </si>
  <si>
    <t>Tháng</t>
  </si>
  <si>
    <t>Ngày</t>
  </si>
  <si>
    <t>DIỄN GIẢI</t>
  </si>
  <si>
    <t>Loại giao dịch</t>
  </si>
  <si>
    <t>NGHIỆP VỤ/GIAO DỊCH</t>
  </si>
  <si>
    <t>TK NỢ</t>
  </si>
  <si>
    <t>TK CÓ</t>
  </si>
  <si>
    <t>Số tiền</t>
  </si>
  <si>
    <t>Mã phải thu</t>
  </si>
  <si>
    <t>Tên đối tượng phải thu</t>
  </si>
  <si>
    <t>Mã phải trả</t>
  </si>
  <si>
    <t>Tên đối tượng phải trả</t>
  </si>
  <si>
    <t>NHÓM KM</t>
  </si>
  <si>
    <t>NHÓM QL</t>
  </si>
  <si>
    <t>Mã KHOẢN MỤC</t>
  </si>
  <si>
    <t>Tên khoản mục</t>
  </si>
  <si>
    <t>Mã CHỦ ĐẦU TƯ</t>
  </si>
  <si>
    <t>Tên chủ đầu tư</t>
  </si>
  <si>
    <t>DỰ ÁN</t>
  </si>
  <si>
    <t>Tên dự án</t>
  </si>
  <si>
    <t>SẢN PHẨM</t>
  </si>
  <si>
    <t>Tên sản phẩm</t>
  </si>
  <si>
    <t>BỘ PHẬN</t>
  </si>
  <si>
    <t>Tên bộ phận</t>
  </si>
  <si>
    <t>ĐỘI</t>
  </si>
  <si>
    <t>Tên đội</t>
  </si>
  <si>
    <t>Mã NV</t>
  </si>
  <si>
    <t>Tên nhân viên</t>
  </si>
  <si>
    <t>Mã DÒNG TIỀN</t>
  </si>
  <si>
    <t>Tên dòng tiền</t>
  </si>
  <si>
    <t>Người giao dịch</t>
  </si>
  <si>
    <t>Địa chỉ</t>
  </si>
  <si>
    <t>Ghi chú</t>
  </si>
  <si>
    <t>Seri</t>
  </si>
  <si>
    <t>Số</t>
  </si>
  <si>
    <t>KH/Nhà cung cấp</t>
  </si>
  <si>
    <t>MST</t>
  </si>
  <si>
    <t>Tên hàng hóa</t>
  </si>
  <si>
    <t>Tiền hàng</t>
  </si>
  <si>
    <t>Tiền thuế</t>
  </si>
  <si>
    <t>Kỳ kê khai</t>
  </si>
  <si>
    <t>Biên tập hồ sơ</t>
  </si>
  <si>
    <t xml:space="preserve">Ý KIẾN KIỂM SOÁT VIÊN </t>
  </si>
  <si>
    <t>Góp vốn kinh doanh bằng tài sản công cụ đầu tư ban đầu</t>
  </si>
  <si>
    <t>Góp vốn kinh doanh bằng công cụ, dụng cụ</t>
  </si>
  <si>
    <t>Không được trừ</t>
  </si>
  <si>
    <t>PT</t>
  </si>
  <si>
    <t>Thu tiền hàng</t>
  </si>
  <si>
    <t>Phải thu vốn góp kinh doanh</t>
  </si>
  <si>
    <t>Cường</t>
  </si>
  <si>
    <t>MKT</t>
  </si>
  <si>
    <t>Hợp lệ</t>
  </si>
  <si>
    <t>Thu khách hàng trả trước HĐ bằng TM</t>
  </si>
  <si>
    <t>(c Xuân) Đón 482-Phước Đông- Hồ Tràm- Cảng cá =2.500 đội Quân</t>
  </si>
  <si>
    <t>Chi phí bán hàng chưa thanh toán</t>
  </si>
  <si>
    <t>THUEXE</t>
  </si>
  <si>
    <t>PHUOCHOI</t>
  </si>
  <si>
    <t>BP.KD</t>
  </si>
  <si>
    <t>QUAN</t>
  </si>
  <si>
    <t>L0006</t>
  </si>
  <si>
    <t>LK5-15 - Vy - Chiết khấu</t>
  </si>
  <si>
    <t>Chiết khấu hàng bán</t>
  </si>
  <si>
    <t>CHIETKHAU</t>
  </si>
  <si>
    <t>PH.LK5-15</t>
  </si>
  <si>
    <t>VY</t>
  </si>
  <si>
    <t>TT online</t>
  </si>
  <si>
    <t>LK5-15 - Vy - HH Sàn</t>
  </si>
  <si>
    <t>Ghi nhận doanh thu bán hàng chưa thu tiền</t>
  </si>
  <si>
    <t>DOANHTHU</t>
  </si>
  <si>
    <t>LK5-15 - Vy - HHNV</t>
  </si>
  <si>
    <t>Phải trả hoa hồng nhân viên</t>
  </si>
  <si>
    <t>HOAHONGNV</t>
  </si>
  <si>
    <t>L0004</t>
  </si>
  <si>
    <t>LK5-15 - Vy - HHTP</t>
  </si>
  <si>
    <t>Phải trả hoa hồng trưởng phòng</t>
  </si>
  <si>
    <t>HOAHONGLD</t>
  </si>
  <si>
    <t>S0011</t>
  </si>
  <si>
    <t>LK5-15 - Vy - Ký HĐ</t>
  </si>
  <si>
    <t>Ghi nhận doanh số hàng bán</t>
  </si>
  <si>
    <t>DOANHSO</t>
  </si>
  <si>
    <t>LK5-15 - Vy - Phí hỗ trợ</t>
  </si>
  <si>
    <t>Chi phí hỗ trợ quản lý</t>
  </si>
  <si>
    <t>HTQL</t>
  </si>
  <si>
    <t>LK5-15 - Vy - Trích 8%</t>
  </si>
  <si>
    <t>QUY8%</t>
  </si>
  <si>
    <t>Thanh toán cước Internet - line 1: t008_gftth_thynna8</t>
  </si>
  <si>
    <t>Thanh toán tiền mua DV ngoài cho công tác Quản lý</t>
  </si>
  <si>
    <t>INTERNET</t>
  </si>
  <si>
    <t>BP.HC-NS</t>
  </si>
  <si>
    <t>THU</t>
  </si>
  <si>
    <t>VIENTHONG</t>
  </si>
  <si>
    <t>NAM</t>
  </si>
  <si>
    <t>Anh</t>
  </si>
  <si>
    <t>Thanh toán cước Internet - line 2: t008_gftth_thuntm408</t>
  </si>
  <si>
    <t>Cô Tuyết</t>
  </si>
  <si>
    <t>Xe Nam chở khách đội Quân: 482-Q1-Phước Đông-Lê Minh Xuân BC &lt;=&gt;</t>
  </si>
  <si>
    <t>PHUOCDONG</t>
  </si>
  <si>
    <t>Xe ngoài chở khách đội Thu đi 482-Phước Đông &lt;=&gt;</t>
  </si>
  <si>
    <t>L0002</t>
  </si>
  <si>
    <t>Mua hoa + trái cây ông Địa M1/12</t>
  </si>
  <si>
    <t>THOCUNG</t>
  </si>
  <si>
    <t>MUANGOAI</t>
  </si>
  <si>
    <t>Chi mua găng tay y tế + nước lau nhà</t>
  </si>
  <si>
    <t>VESINH</t>
  </si>
  <si>
    <t>VS-ANNINH</t>
  </si>
  <si>
    <t>Chi tiền mua nước suối xe</t>
  </si>
  <si>
    <t>Thanh toán tiền mua DV ngoài cho công tác Bán hàng</t>
  </si>
  <si>
    <t>NUOC.UONG</t>
  </si>
  <si>
    <t>DIENNUOC</t>
  </si>
  <si>
    <t>Xe Nam chở khách đội Quân: 482-Bà Điểm-BVQ12-Phước Đông &lt;=&gt;</t>
  </si>
  <si>
    <t>S0020</t>
  </si>
  <si>
    <t>Xe Quang chở khách đội thu đi 482-PHHT-Long Hải &lt;=&gt;</t>
  </si>
  <si>
    <t>Xe Quang chở khách Tuấn đội Vy đi 482-Bình Chánh &lt;=&gt;</t>
  </si>
  <si>
    <t>S0016</t>
  </si>
  <si>
    <t>Xe Quý chở khách đội Thu, Quân đi 482-Q12-Phước Đông &lt;=&gt;</t>
  </si>
  <si>
    <t>LK4-21 - Thu - Chiết khấu</t>
  </si>
  <si>
    <t>PH.LK4-21</t>
  </si>
  <si>
    <t>LK4-21 - Thu - HH Sàn</t>
  </si>
  <si>
    <t>LK4-21 - Thu - HHNV</t>
  </si>
  <si>
    <t>NV Huỳnh Hải Âu</t>
  </si>
  <si>
    <t>LK4-21 - Thu - Ký HĐ</t>
  </si>
  <si>
    <t>LK4-21 - Thu - Phí hỗ trợ</t>
  </si>
  <si>
    <t>LK4-21 - Thu - Trích 8%</t>
  </si>
  <si>
    <t>Xe Quý chở khách đội Vy đi 482-Đồng Khởi Q1 &lt;=&gt;</t>
  </si>
  <si>
    <t>Mua hoa + trái cây + ts + thay bóng đèn ông Địa M10/12</t>
  </si>
  <si>
    <t>Đỗ Thị Tuyết Nhung</t>
  </si>
  <si>
    <t>Trần Vinh Hiển</t>
  </si>
  <si>
    <t>Thanh toán tiền rác + Tết (2 tháng)</t>
  </si>
  <si>
    <t>TT CK</t>
  </si>
  <si>
    <t>Xe Nam chở đồ tất niên (2 chuyến)</t>
  </si>
  <si>
    <t>Chi phí quản lý chưa thanh toán</t>
  </si>
  <si>
    <t>Chi ủng hộ chăm lo KT năm 2022</t>
  </si>
  <si>
    <t>Chi ngoại giao địa phương bằng TM</t>
  </si>
  <si>
    <t>NGOAIGIAO</t>
  </si>
  <si>
    <t>Chi lương T12/2021 NV sàn Thu</t>
  </si>
  <si>
    <t>Trả lương cho nhân viên bằng TM</t>
  </si>
  <si>
    <t>LUONGKD</t>
  </si>
  <si>
    <t>LUONG-BH</t>
  </si>
  <si>
    <t>Xe Quang chở khách Âu đội Vy đi 482-Q4-PHHT &lt;=&gt;</t>
  </si>
  <si>
    <t>GIAOTE</t>
  </si>
  <si>
    <t>Xe Nam chở khách Duy đội Thu đi 482-Tân Thới Hiệp-PHHT &lt;=&gt;</t>
  </si>
  <si>
    <t>Xe Quý chở khách đội Quân: 482-Q12-PHHT &lt;=&gt;</t>
  </si>
  <si>
    <t xml:space="preserve">Chi thanh toán phí thuê máy photo </t>
  </si>
  <si>
    <t>INAN</t>
  </si>
  <si>
    <t>HANHCHINH</t>
  </si>
  <si>
    <t>Chi tiền internet phòng họp</t>
  </si>
  <si>
    <t>Lương VP</t>
  </si>
  <si>
    <t>Chi phí lương BPVP</t>
  </si>
  <si>
    <t>LUONGQL</t>
  </si>
  <si>
    <t>Mua hoa + trái cây ông Địa M15/12</t>
  </si>
  <si>
    <t>Tiền nhà T2/2021 Phòng Họp lầu 5 231</t>
  </si>
  <si>
    <t>THUEVP</t>
  </si>
  <si>
    <t>Chi tiền điện 482</t>
  </si>
  <si>
    <t>DIEN</t>
  </si>
  <si>
    <t xml:space="preserve">CP MKT tháng 01/2022 - Sàn Vy </t>
  </si>
  <si>
    <t>LK4-21 - Thu - Chi HHNV</t>
  </si>
  <si>
    <t>Thanh toán hoa hồng nhân viên, TP</t>
  </si>
  <si>
    <t>HOAHONG</t>
  </si>
  <si>
    <t>LK4-21 - Thu - Chi Phí hỗ trợ</t>
  </si>
  <si>
    <t>Thanh toán chi phí gián tiếp bằng TM</t>
  </si>
  <si>
    <t>LK4-21 - Thu - Chi Chiết khấu</t>
  </si>
  <si>
    <t>Chi chiết khấu</t>
  </si>
  <si>
    <t>LK4-21 - Thu - Nhận HH Sàn</t>
  </si>
  <si>
    <t>Thu nợ của khách hàng bằng TM</t>
  </si>
  <si>
    <t>THUNO</t>
  </si>
  <si>
    <t>LK5-15 - Vy - Chi HHNV</t>
  </si>
  <si>
    <t>LK5-15 - Vy - Chi HHTP</t>
  </si>
  <si>
    <t>LK5-15 - Vy - Chi Phí hỗ trợ</t>
  </si>
  <si>
    <t>LK5-15 - Vy - Chi Chiết khấu</t>
  </si>
  <si>
    <t>LK5-15 - Vy - Nhận HH Sàn</t>
  </si>
  <si>
    <t>Lương BPVP</t>
  </si>
  <si>
    <t>Yến</t>
  </si>
  <si>
    <t>Lương LĐ - Quân</t>
  </si>
  <si>
    <t>Chi phí lương Quản lý Kinh doanh</t>
  </si>
  <si>
    <t>LUONGLD</t>
  </si>
  <si>
    <t>Lương LĐ - Thu</t>
  </si>
  <si>
    <t>Lương LĐ - Vy</t>
  </si>
  <si>
    <t>Lương NVKD T1.2022 - Thu</t>
  </si>
  <si>
    <t>Chi phí lương NVKD</t>
  </si>
  <si>
    <t>Lương NVKD T1.2022- Nam</t>
  </si>
  <si>
    <t>Lương NVKD T1.2022- Vy</t>
  </si>
  <si>
    <t>Lương NVKD -T1.2022 Quân</t>
  </si>
  <si>
    <t>Tạm tính tiền điện Phòng KT T1/2022</t>
  </si>
  <si>
    <t>Tiền điện phòng KT 231 T12</t>
  </si>
  <si>
    <t>Lương Yến</t>
  </si>
  <si>
    <t>BP.TC-KT</t>
  </si>
  <si>
    <t>Nộp thuế môn bài 2022</t>
  </si>
  <si>
    <t>Nộp tiền thuế môn bài bằng TM</t>
  </si>
  <si>
    <t>MONBAI</t>
  </si>
  <si>
    <t>THUE</t>
  </si>
  <si>
    <t>Thuê bãi xe</t>
  </si>
  <si>
    <t>Thuế nhà</t>
  </si>
  <si>
    <t>Tiền thuê nhà 482 - Sàn Nam</t>
  </si>
  <si>
    <t>Tiền thuê nhà 482 - Sàn Quân</t>
  </si>
  <si>
    <t>Tiền thuê nhà 482 - Sàn Thu</t>
  </si>
  <si>
    <t>Tiền thuê nhà 482 - Sàn Vy</t>
  </si>
  <si>
    <t>KC CPQL T01.2022 - Sàn Nam</t>
  </si>
  <si>
    <t xml:space="preserve">Kết chuyển chi phí quản lý </t>
  </si>
  <si>
    <t>KC CPQL T01.2022 - Sàn Quân</t>
  </si>
  <si>
    <t>KC CPQL T01.2022 - Sàn Vy</t>
  </si>
  <si>
    <t>KC CPQL T01.2022 - Sàn Thu</t>
  </si>
  <si>
    <t>KC CPBH T01.2022 - Sàn Nam</t>
  </si>
  <si>
    <t>Kết chuyển chi phí bán hàng</t>
  </si>
  <si>
    <t>KC CPBH T01.2022 - Sàn Quân</t>
  </si>
  <si>
    <t>KC CPBH T01.2022 - Sàn Vy</t>
  </si>
  <si>
    <t>KC CPBH T01.2022 - Sàn Thu</t>
  </si>
  <si>
    <t>KC GVDV T01.2022 - Sàn Vy</t>
  </si>
  <si>
    <t>Kết chuyển Giá vốn</t>
  </si>
  <si>
    <t>KC DT T01.2022 - Sàn Vy</t>
  </si>
  <si>
    <t>Kết chuyển doanh thu cung cấp dịch vụ</t>
  </si>
  <si>
    <t>KC DT T01.2022 - Sàn Thu</t>
  </si>
  <si>
    <t>KC CPQL T01.2022 - Chi từ trích 8%</t>
  </si>
  <si>
    <t>KC GVDV T01.2022 - Sàn Thu</t>
  </si>
  <si>
    <t>Khoản LNCP  T1.2022 phải trả đội Vy - Vy</t>
  </si>
  <si>
    <t>Phải trả lợi nhuận cổ phần</t>
  </si>
  <si>
    <t>Khoản LNCP  T1.2022 phải trả đội Vy - a Thành</t>
  </si>
  <si>
    <t>L0007</t>
  </si>
  <si>
    <t>Khoản phải thu để phân bổ chi phí  T1.2022 đội Quân - Quân</t>
  </si>
  <si>
    <t>Khoản phải thu để phân bổ chi phí  T1.2022 đội Quân - a Thành</t>
  </si>
  <si>
    <t>Chi LNCP  T1.2022 - Thu - Thu</t>
  </si>
  <si>
    <t>Chi LNCP  T1.2022 - Thu - a Thành</t>
  </si>
  <si>
    <t>Khoản phải thu để phân bổ chi phí  T1.2022 đội Nam - a Thành</t>
  </si>
  <si>
    <t>Thanh toán tiền nhà T01/2022 - Sàn Nam</t>
  </si>
  <si>
    <t>Thanh toán chi phí thuê mặt bằng</t>
  </si>
  <si>
    <t>THUEMATBANG</t>
  </si>
  <si>
    <t>Thanh toán tiền nhà T01/2022 - Sàn Quân</t>
  </si>
  <si>
    <t>Thanh toán tiền nhà T01/2022 - Sàn Vy</t>
  </si>
  <si>
    <t>Thanh toán tiền nhà T01/2022 - Sàn Thu</t>
  </si>
  <si>
    <t>TT tiền thuê xe T01.2022 - Sàn Nam</t>
  </si>
  <si>
    <t>Thanh toán chi phí xe</t>
  </si>
  <si>
    <t>VANTAI</t>
  </si>
  <si>
    <t>TT tiền thuê xe T01.2022 - Sàn Quân</t>
  </si>
  <si>
    <t>TT tiền thuê xe T01.2022 - Sàn Vy</t>
  </si>
  <si>
    <t>TT tiền thuê xe T01.2022 - Sàn Thu</t>
  </si>
  <si>
    <t>Chi TT MKT T01.2022 - Sàn Vy</t>
  </si>
  <si>
    <t>Thanh toán chi phí MKT</t>
  </si>
  <si>
    <t>QUANGCAO</t>
  </si>
  <si>
    <t>Chi lương NV T01.2022 - Sàn Nam</t>
  </si>
  <si>
    <t>Chi lương NV T01.2022 - Sàn Quân</t>
  </si>
  <si>
    <t>Chi lương NV T01.2022 - Sàn Vy</t>
  </si>
  <si>
    <t>Chi lương NV T01.2022 - Sàn Thu</t>
  </si>
  <si>
    <t>Chi LNCP  T1.2022 - Vy - Vy</t>
  </si>
  <si>
    <t>Chi trả lợi nhuận cổ phần bằng tiền mặt</t>
  </si>
  <si>
    <t>Chi LNCP  T1.2022 - Vy - a Thành</t>
  </si>
  <si>
    <t>Chi LNCP  T1.2022 - Quân - Quân</t>
  </si>
  <si>
    <t>Chi LNCP  T1.2022 - Quân - a Thành</t>
  </si>
  <si>
    <t>Chi LNCP  T1.2022 - Nam - a Thành</t>
  </si>
  <si>
    <t>Chi lỗ quán caphe 239 T1/2022</t>
  </si>
  <si>
    <t>Chi phí quán cafe bằng TM</t>
  </si>
  <si>
    <t>CPLAIVAY</t>
  </si>
  <si>
    <t>TAICHINH</t>
  </si>
  <si>
    <t>Chi tiền lương bộ phân cố vấn T1/2022</t>
  </si>
  <si>
    <t>Chi trả phí chuyên gia bằng TM</t>
  </si>
  <si>
    <t>Chi tiền tuyển dụng nhân viên nhân sự</t>
  </si>
  <si>
    <t>Chi phí tuyển dụng bằng TM</t>
  </si>
  <si>
    <t>TUYENDUNG</t>
  </si>
  <si>
    <t>TD-DAOTAO</t>
  </si>
  <si>
    <t>Đi đường điện phòng Quân + bỏ rác</t>
  </si>
  <si>
    <t>DVKHAC</t>
  </si>
  <si>
    <t>SUACHUA</t>
  </si>
  <si>
    <t>Mua đồ trang trí cây tết</t>
  </si>
  <si>
    <t>KHAC</t>
  </si>
  <si>
    <t>Mua hoa ông Địa + cờ</t>
  </si>
  <si>
    <t>CPQLKHAC</t>
  </si>
  <si>
    <t>Mua túi rác + giấy VS+ pin máy lạnh</t>
  </si>
  <si>
    <t>xe limosine đất việt chở khách đội vy đi hồ tràm</t>
  </si>
  <si>
    <t>S0015</t>
  </si>
  <si>
    <t>Xe Nam chở C Xuân đi 231-Chủ đầu tư &lt;=&gt;</t>
  </si>
  <si>
    <t>Xe Quang chở khách NV Ngọc đội Vy đi 482-Phú Hữu Q9-&lt;=&gt;</t>
  </si>
  <si>
    <t>S0012</t>
  </si>
  <si>
    <t>Hoa đầu năm sàn Quân</t>
  </si>
  <si>
    <t>Mua nước suối chai tiếp khách (2 thùng Lavie)</t>
  </si>
  <si>
    <t>Mua hoa + trái cây ông Địa 15.1AL</t>
  </si>
  <si>
    <t>Mua ticke sửa bàn + thùng rác phòng Sếp</t>
  </si>
  <si>
    <t>Thanh toán tiền thuê máy photo T2/2022</t>
  </si>
  <si>
    <t>Mua nước uống Bidrico (5 bình)</t>
  </si>
  <si>
    <t>Chi tiền rác T2/2022</t>
  </si>
  <si>
    <t>Xe Nam chở khách Quân đi 482-Phước Lý-Phước Đông &lt;=&gt;</t>
  </si>
  <si>
    <t>Chi bổ sung lương T01.2022 c Mai sàn Vy</t>
  </si>
  <si>
    <t>Thanh toán tiền điện tháng 2/2022</t>
  </si>
  <si>
    <r>
      <rPr>
        <rFont val="&quot;Times New Roman&quot;"/>
        <color theme="1"/>
        <sz val="11.0"/>
      </rPr>
      <t xml:space="preserve">Chi </t>
    </r>
    <r>
      <rPr>
        <rFont val="&quot;Times New Roman&quot;"/>
        <color rgb="FFFF0000"/>
        <sz val="11.0"/>
      </rPr>
      <t xml:space="preserve">tạm ứng </t>
    </r>
    <r>
      <rPr>
        <rFont val="&quot;Times New Roman&quot;"/>
        <color theme="1"/>
        <sz val="11.0"/>
      </rPr>
      <t>để triển khai thực hiện kế hoạch Marketing T3.2022 sàn Quân</t>
    </r>
  </si>
  <si>
    <t>TAMUNG</t>
  </si>
  <si>
    <t>Tiền nhà xe T2/2022</t>
  </si>
  <si>
    <t>TT Tiền nhà xe T2/2022</t>
  </si>
  <si>
    <t>Xe Nam chở khách đội Quân đi 482-hamilton-482</t>
  </si>
  <si>
    <t>HAMILTON</t>
  </si>
  <si>
    <t>Xe Qúy chở khách Nhi đội Yy đi 482-PHHT-meria hồ tràm-phước hải-482</t>
  </si>
  <si>
    <t>S0014</t>
  </si>
  <si>
    <t>Mua nước lau nhà + tẩy NVS</t>
  </si>
  <si>
    <t>Xe quý chở khách Tuấn đội Vy đi 482-nhà bè- hamilton-golf-Phước đông-482</t>
  </si>
  <si>
    <t>Thanh toán tiền VPP</t>
  </si>
  <si>
    <t>VPP</t>
  </si>
  <si>
    <t>VANPP</t>
  </si>
  <si>
    <t>Chi mua bàn trưởng phòng sàn Vy + ship</t>
  </si>
  <si>
    <t>DUNGCU</t>
  </si>
  <si>
    <t>MUATSTB</t>
  </si>
  <si>
    <t>Chi sửa máy in sàn Vy</t>
  </si>
  <si>
    <t>Chi tiền đưa hồ sơ đi chủ đầu tư</t>
  </si>
  <si>
    <t>chi tiền internet phòng KT+ Phòng Họp</t>
  </si>
  <si>
    <t>Chi tiền mời trà sữa chủ đầu tư</t>
  </si>
  <si>
    <t>DOINGOAI</t>
  </si>
  <si>
    <t>Chi tiền mua DCVS VP231</t>
  </si>
  <si>
    <t>CP phát sinh 21.01 hạch toán tháng 2</t>
  </si>
  <si>
    <t>Mua nước uống Bidrico (8 bình)</t>
  </si>
  <si>
    <t>a Lộc thợ điện</t>
  </si>
  <si>
    <t>CP phát sinh 22.01 hạch toán tháng 2</t>
  </si>
  <si>
    <t>CP phát sinh 26.01 hạch toán tháng 2</t>
  </si>
  <si>
    <t>CP phát sinh 31.01 hạch toán tháng 2</t>
  </si>
  <si>
    <t>Thanh toán tiền café Sếp</t>
  </si>
  <si>
    <t>Xe Qúy chở khách Nam đội Vy đi 482-PHHT-&lt;=&gt;</t>
  </si>
  <si>
    <t>chi tiền rác sàn 231 tháng 2/2022 VĂN PHÒNG</t>
  </si>
  <si>
    <t>Quân</t>
  </si>
  <si>
    <t>LK5-30 - Nam - HH Sàn</t>
  </si>
  <si>
    <t>LK5-30 - Nam - HHNV</t>
  </si>
  <si>
    <t>PH.LK5-30</t>
  </si>
  <si>
    <t>S0005</t>
  </si>
  <si>
    <t>LK5-30 - Nam - HHTP</t>
  </si>
  <si>
    <t>L0003</t>
  </si>
  <si>
    <t>LK5-30 - Nam - Ký HĐ</t>
  </si>
  <si>
    <t>LK5-30 - Nam - Phí hỗ trợ</t>
  </si>
  <si>
    <t>Phan Thị Thuỳ Mai</t>
  </si>
  <si>
    <t>LK5-30 - Nam - Trích 8%</t>
  </si>
  <si>
    <t>Lê Hoàng Quân</t>
  </si>
  <si>
    <t>Quang Hùng</t>
  </si>
  <si>
    <t>Tiểu Ngọc</t>
  </si>
  <si>
    <t>Trương Thị Đức</t>
  </si>
  <si>
    <t>Lương NVKD T2.2022 - Thu</t>
  </si>
  <si>
    <t>KC Lương NVKD T2.2022- Nam</t>
  </si>
  <si>
    <t>KC Lương NVKD -T2.2022 Quân</t>
  </si>
  <si>
    <t>KC Lương NVKD T2.2022- Vy</t>
  </si>
  <si>
    <t>Lương Văn phòng</t>
  </si>
  <si>
    <t>CP phát sinh 17.01 hạch toán tháng 2</t>
  </si>
  <si>
    <t>CP MKT tháng 02/2022 - Sàn Nam</t>
  </si>
  <si>
    <t>CP MKT tháng 02/2022 - Sàn Vy</t>
  </si>
  <si>
    <t>Thuế nhà 482</t>
  </si>
  <si>
    <t>Tiền nhà T3/2022 Phòng Họp lầu 5 231</t>
  </si>
  <si>
    <t>Tiền nhà T3/2022 Phòng KT 231</t>
  </si>
  <si>
    <t>CP phát sinh 18.1.2022 hạch toán tháng 2</t>
  </si>
  <si>
    <t>LK5-30 - Nam - Nhận HH Sàn</t>
  </si>
  <si>
    <t>LK5-30 - Nam - Chi HHNV</t>
  </si>
  <si>
    <t>LK5-30 - Nam - Chi HHTP</t>
  </si>
  <si>
    <t>LK5-30 - Nam - Chi Phí hỗ trợ</t>
  </si>
  <si>
    <t>KC CPQL T02.2022 - Sàn Nam</t>
  </si>
  <si>
    <t>KC CPQL T02.2022 - Sàn Quân</t>
  </si>
  <si>
    <t>KC CPQL T02.2022 - Sàn Vy</t>
  </si>
  <si>
    <t>KC CPQL T02.2022 - Sàn Thu</t>
  </si>
  <si>
    <t>KC CPBH T02.2022 - Sàn Nam</t>
  </si>
  <si>
    <t>KC CPBH T02.2022 - Sàn Quân</t>
  </si>
  <si>
    <t>KC CPBH T02.2022 - Sàn Vy</t>
  </si>
  <si>
    <t>KC CPBH T02.2022 - Sàn Thu</t>
  </si>
  <si>
    <t>KC GVDV T02.2022 - Sàn Nam</t>
  </si>
  <si>
    <t>KC DT T02.2022 - Sàn Nam</t>
  </si>
  <si>
    <t>KC CPQL T02.2022 - Chi từ trích 8%</t>
  </si>
  <si>
    <t>Khoản phải thu để phân bổ chi phí T2.2022 đội Vy - Vy</t>
  </si>
  <si>
    <t>Khoản phải thu để phân bổ chi phí T2.2022 đội Vy - a Thành</t>
  </si>
  <si>
    <t>Khoản phải thu để phân bổ chi phí T2.2022 đội Quân - Quân</t>
  </si>
  <si>
    <t>Khoản phải thu để phân bổ chi phí T2.2022 đội Quân - a Thành</t>
  </si>
  <si>
    <t>Khoản phải thu để phân bổ chi phí T2.2022 đội Thu - Thu</t>
  </si>
  <si>
    <t>Khoản phải thu để phân bổ chi phí T2.2022 đội Thu - a Thành</t>
  </si>
  <si>
    <t>LN từ bán hàng  T2.2022 phải trả đội Nam - a Thành</t>
  </si>
  <si>
    <t>Thanh toán tiền xe T2.2022 - Sàn Nam</t>
  </si>
  <si>
    <t>Thanh toán tiền xe T2.2022 - Sàn Quân</t>
  </si>
  <si>
    <t>Thanh toán tiền xe T2.2022 - Sàn Vy</t>
  </si>
  <si>
    <t>Thanh toán tiền xe T2.2022 - Sàn Thu</t>
  </si>
  <si>
    <t>Thanh toán tiền nhà T2.2022 - Sàn Nam</t>
  </si>
  <si>
    <t>Thanh toán tiền nhà T2.2022 - Sàn Quân</t>
  </si>
  <si>
    <t>Thanh toán tiền nhà T2.2022 - Sàn Vy</t>
  </si>
  <si>
    <t>Thanh toán tiền nhà T2.2022 - Sàn Thu</t>
  </si>
  <si>
    <t>Chi trả lương nhân viên T2.2022 - Sàn Nam</t>
  </si>
  <si>
    <t>Chi trả lương nhân viên T2.2022 - Sàn Quân</t>
  </si>
  <si>
    <t>Chi trả lương nhân viên T2.2022 - Sàn Vy</t>
  </si>
  <si>
    <t>Chi trả lương nhân viên T2.2022 - Sàn Thu</t>
  </si>
  <si>
    <t>Chi trả lương nhân viên T2.2022 - tính quỹ 8%</t>
  </si>
  <si>
    <t>Chi thanh toán MKT T2.2022 - Sàn Vy</t>
  </si>
  <si>
    <t>Chi thanh toán MKT T2.2022 - Sàn Quân</t>
  </si>
  <si>
    <t>Chi LNCP  T2.2022 - Vy - Vy</t>
  </si>
  <si>
    <t>Chi LNCP  T2.2022 - Vy - a Thành</t>
  </si>
  <si>
    <t>Chi LNCP  T2.2022 - Quân - Quân</t>
  </si>
  <si>
    <t>Chi LNCP  T2.2022 - Quân - a Thành</t>
  </si>
  <si>
    <t>Chi LNCP  T2.2022 - Thu - Thu</t>
  </si>
  <si>
    <t>Chi LNCP  T2.2022 - Thu - a Thành</t>
  </si>
  <si>
    <t>Chi LNCP  T2.2022 - Nam - a Thành</t>
  </si>
  <si>
    <t>Chi tiền tư vấn luật sư  (vv thương hiệu)</t>
  </si>
  <si>
    <t>Chi tiền tuyển dụng nhân sự  (nhân viên kinh doanh)</t>
  </si>
  <si>
    <t>Chi tiền hoa mừng đối tác 8/3 ( Thắng Lợi , Thành Nam)</t>
  </si>
  <si>
    <t>Chi đối ngoại chủ đầu tư bằng TM</t>
  </si>
  <si>
    <t>Mua hoa mừng 8/3 cho các sàn có NV nữ</t>
  </si>
  <si>
    <t>QUANTRI</t>
  </si>
  <si>
    <t>Chi tiền chăm lo kinh tế địa phương năm 2022 (482)</t>
  </si>
  <si>
    <t>Chi tiền ngoài cho cán bộ địa phương (482)</t>
  </si>
  <si>
    <t>Chi tiền lễ cúng đầu năm (482)</t>
  </si>
  <si>
    <t>Chi mua đồ thờ cúng bằng TM</t>
  </si>
  <si>
    <t>Chi tiền thuế môn bài 2022 (482)</t>
  </si>
  <si>
    <t>Chi tiền lương bộ phân cố vấn T2/2022</t>
  </si>
  <si>
    <t>Chi tiền rác tháng 3/2022 văn phòng</t>
  </si>
  <si>
    <t>KHANH</t>
  </si>
  <si>
    <t>LK2-01 - Vy - HH NV</t>
  </si>
  <si>
    <t>PH.LK2-01</t>
  </si>
  <si>
    <t>LK2-01 - Vy - HH Sàn</t>
  </si>
  <si>
    <t>LK2-01 - Vy - CK</t>
  </si>
  <si>
    <t>LK2-01 - Vy - Ký HĐ</t>
  </si>
  <si>
    <t>LK2-01 - Vy - Phí hỗ trợ</t>
  </si>
  <si>
    <t>LK2-01 - Vy - Trích quỹ 8%</t>
  </si>
  <si>
    <t>Xe Quang chở xuân đi 231-Bình Dương ( văn phòng luật )</t>
  </si>
  <si>
    <t>BP.DH</t>
  </si>
  <si>
    <t>Chi tiền đi hồ sơ các CĐT thắng lợi</t>
  </si>
  <si>
    <t>Chi tiền mua nước suối để tiếp khách ở vp và xe</t>
  </si>
  <si>
    <t>Mua hoa + trái cây cúng M1.2</t>
  </si>
  <si>
    <t>Mua nước Javel (6 bình)</t>
  </si>
  <si>
    <t>Chi tiền mua vpp (giấy A4-bì lỗ-keo dán-sổ tay )</t>
  </si>
  <si>
    <t>Xe Qúy chở khách đội vy đi 482-âu cơ-Q4-PHHT-Nhà vườn sinh thái ĐĐ - Công dương-nhà hàng &lt;=&gt;</t>
  </si>
  <si>
    <t>DATDO</t>
  </si>
  <si>
    <t>Chi thanh toán tiền làm cửa quầy sảnh 482</t>
  </si>
  <si>
    <t>Xe Quang chở khách còn đội Quân đi 482-Sân Golf &lt;=&gt;</t>
  </si>
  <si>
    <t>THESOLCITY</t>
  </si>
  <si>
    <t>Chi kiểm tra vệ sinh máy lạnh + BD</t>
  </si>
  <si>
    <t>Chi tiền mua giấy ảnh A3 in bản đồ+hộp bút</t>
  </si>
  <si>
    <t>Chi tiền đóng tiền điện sàn 231 văn phòng</t>
  </si>
  <si>
    <t>xe 16 chở khách đội vy  đi hồ tràm</t>
  </si>
  <si>
    <t>Xe Qúy chở khách Lộc đội Quân 482-Long Điền - NVST &lt;=&gt;</t>
  </si>
  <si>
    <t>Chi thanh toán tiền thuê máy Photo Tháng 3/2022</t>
  </si>
  <si>
    <t>Mua hoa + trái cây + giấy + xôi chè cúng M10.2</t>
  </si>
  <si>
    <t>Xe ngoài chở khách đội quân đi chợ an ngãi-đất đỏ-q4-</t>
  </si>
  <si>
    <t>Xe Quang chở khách mai đội vy đi 482- Bình chánh-&lt;=&gt;</t>
  </si>
  <si>
    <t>xe 16 chở khách đội vy đi hồ tràm</t>
  </si>
  <si>
    <t>Xe Nam chở khách đội Nam đi 482-NVSTĐ Đ-PHHT-Long hải &lt;=&gt;</t>
  </si>
  <si>
    <t>Xe Qúy chở khách đội Quân đi 482-NV ST Đ Đ-Q4-&lt;=&gt;</t>
  </si>
  <si>
    <t>Chi tiền mua giấy in phiếu Thu</t>
  </si>
  <si>
    <t>Chi tiền mua nước suối để tiếp khách ở vp và xe đi dự án</t>
  </si>
  <si>
    <t>Kiểm tra cửa cuốn sảnh + thay bánh</t>
  </si>
  <si>
    <t>Chi tiền sửa máy tính</t>
  </si>
  <si>
    <t>Mua trái cây + hoa ông Địa M15.2</t>
  </si>
  <si>
    <t>Chi thanh toán tiền điện T3/2022: PE16000118373</t>
  </si>
  <si>
    <t>Chi thanh toán tiền sửa chữa VP Tháng 2/2022 - Sàn Quân</t>
  </si>
  <si>
    <t>Chi tiền rác Tháng 3/2022</t>
  </si>
  <si>
    <t>Mua ổ khoá dây xích xe</t>
  </si>
  <si>
    <t>Chi tiền 10 bình 5L + 2 thùng nước suối chai</t>
  </si>
  <si>
    <t>Chi tiền internet phòng KT-HỌP+L4 ( Covid)</t>
  </si>
  <si>
    <t>Xe Qúy chở khách đội Nam 482 đi 482-Q12-NVST ĐĐ &lt;=.&gt;</t>
  </si>
  <si>
    <t>Xe Qúy chở khách đội Quân đi 482-Q12-NVST ĐĐ -Công dương &lt;=&gt;</t>
  </si>
  <si>
    <t>Mua túi rác + nước lau nhà + chất tẩy VS + đồ dùng VS</t>
  </si>
  <si>
    <t>Xe Quang chở khách nhi đội vy đi 482-Q3-Đất đỏ-hồ tràm-,=&gt;</t>
  </si>
  <si>
    <t>Xe Nam chở khách Quân đi 482-Phước đông-Q4</t>
  </si>
  <si>
    <t>LK2-01 - Vy - Chi CK</t>
  </si>
  <si>
    <t>LK2-01 - Vy - Chi HH NV</t>
  </si>
  <si>
    <t>LK2-01 - Vy - Chi Phí hỗ trợ</t>
  </si>
  <si>
    <t>LK2-01 - Vy - Nhận HH Sàn</t>
  </si>
  <si>
    <t>Xe Qúy chở khách thảo trang đội vy đi 482-Đại Tùng Lâm bà rịa-&lt;=&gt;</t>
  </si>
  <si>
    <t>Chi vệ sinh đội bằng TM</t>
  </si>
  <si>
    <t>Xe Nam chở khách đội Quân 482-hooc môn-Phước đông-hamilton &lt;=&gt;</t>
  </si>
  <si>
    <t>Xe Ngoài chở khách đội VY ( HỦY CHUYẾN)</t>
  </si>
  <si>
    <t>Xe Quang chở khách đội Vy đi 482-đất đỏ-hồ tràm &lt;=&gt;</t>
  </si>
  <si>
    <t>Xe Qúy chở khách đội Quân đi 482-Mỹ Hạnh Bắc-Xuyên Mộc-NVST-Phước hải&lt;=&gt;</t>
  </si>
  <si>
    <t>Chi tiền nước sinh hoạt sàn 231 và vp</t>
  </si>
  <si>
    <t>NUOC.SH</t>
  </si>
  <si>
    <t>B-15 - Nam - Công chứng</t>
  </si>
  <si>
    <t>NVST.B-15</t>
  </si>
  <si>
    <t>B-15 - Nam - CP Bán hàng cấp 2 phải trả</t>
  </si>
  <si>
    <t>Phải trả chi phí bán hàng thuê ngoài</t>
  </si>
  <si>
    <t xml:space="preserve">B-15 - Nam - HH NV </t>
  </si>
  <si>
    <t>B-15 - Nam - HH Sàn</t>
  </si>
  <si>
    <t>B-15 - Nam - Phí hỗ trợ</t>
  </si>
  <si>
    <t xml:space="preserve">B-15 - Nam - Thưởng NV </t>
  </si>
  <si>
    <t>Phải trả thưởng nhân viên</t>
  </si>
  <si>
    <t>B-15 - Nam - Trích quỹ 8%</t>
  </si>
  <si>
    <t>B-16 - Nam - Công chứng</t>
  </si>
  <si>
    <t>NVST.B-16</t>
  </si>
  <si>
    <t xml:space="preserve">B-16 - Nam - CP Bán hàng cấp 2 phải trả </t>
  </si>
  <si>
    <t xml:space="preserve">B-16 - Nam - HH NV </t>
  </si>
  <si>
    <t>B-16 - Nam - HH Sàn</t>
  </si>
  <si>
    <t>B-16 - Nam - Phí hỗ trợ</t>
  </si>
  <si>
    <t xml:space="preserve">B-16 - Nam - Thưởng NV </t>
  </si>
  <si>
    <t>B-16 - Nam - Trích quỹ 8%</t>
  </si>
  <si>
    <t>Tiền nhà Tháng 3/2022 - P. Khánh</t>
  </si>
  <si>
    <t>Tiền nhà Tháng 3/2022 - Sàn Nam</t>
  </si>
  <si>
    <t>Tiền nhà Tháng 3/2022 - Sàn Quân</t>
  </si>
  <si>
    <t>Tiền nhà Tháng 3/2022 - Sàn Vy</t>
  </si>
  <si>
    <t>Xe Qúy chở khách đội Nam đi 482-Vũng Tàu-KĐT Long hải &lt;=&gt;</t>
  </si>
  <si>
    <t>LONGHAI</t>
  </si>
  <si>
    <t>C-26 - Quân - Công chứng</t>
  </si>
  <si>
    <t>NVST.C-26</t>
  </si>
  <si>
    <t>S0032</t>
  </si>
  <si>
    <t>C-26 - Quân - HH Sàn</t>
  </si>
  <si>
    <t>C-26 - Quân - HHTP</t>
  </si>
  <si>
    <t>S0031</t>
  </si>
  <si>
    <t xml:space="preserve">C-26 - Quân - HH NV </t>
  </si>
  <si>
    <t xml:space="preserve">C-26 - Quân - Thưởng NV </t>
  </si>
  <si>
    <t>S0023</t>
  </si>
  <si>
    <t>C-26 - Quân - Phí hỗ trợ</t>
  </si>
  <si>
    <t>C-26 - Quân - Trích quỹ 8%</t>
  </si>
  <si>
    <t>Chi phí tiền in A3 sổ màu + thuê phòng trực dự án - sàn Vy</t>
  </si>
  <si>
    <t>CONGTACPHI</t>
  </si>
  <si>
    <t>Thưởng đạt chỉ tiêu MKT Sàn Quân</t>
  </si>
  <si>
    <t>THUONGMKT</t>
  </si>
  <si>
    <t>THUONG</t>
  </si>
  <si>
    <t>Thưởng đạt chỉ tiêu MKT Sàn Vy</t>
  </si>
  <si>
    <t>Tiền thuê nhà xe tháng 3</t>
  </si>
  <si>
    <t>CP giới thiệu nhân sự mới tháng 3/2022 sàn Quân</t>
  </si>
  <si>
    <t>CP giới thiệu nhân sự mới</t>
  </si>
  <si>
    <t>CP giới thiệu nhân sự mới tháng 3/2022 sàn Vy</t>
  </si>
  <si>
    <t>CP MKT tháng 3/2022 - Sàn Nam</t>
  </si>
  <si>
    <t>CP MKT tháng 3/2022 - Sàn Quân</t>
  </si>
  <si>
    <t>CP MKT tháng 3/2022 - Sàn Vy</t>
  </si>
  <si>
    <t>Lương lãnh đạo đội Nam</t>
  </si>
  <si>
    <t>Lương lãnh đạo đội Quân</t>
  </si>
  <si>
    <t>Lương lãnh đạo đội Vy</t>
  </si>
  <si>
    <t>Lương NVKD T3.2022 - Khánh</t>
  </si>
  <si>
    <t>Lương NVKD T3.2022 - Nam</t>
  </si>
  <si>
    <t>Lương NVKD T3.2022 - Quân</t>
  </si>
  <si>
    <t>Lương NVKD T3.2022 - Vy</t>
  </si>
  <si>
    <t>Lương VP 482 - đội Khánh</t>
  </si>
  <si>
    <t>Lương VP 482 - đội Nam</t>
  </si>
  <si>
    <t>Lương VP 482 - đội Quân</t>
  </si>
  <si>
    <t>Lương VP 482 - đội Vy</t>
  </si>
  <si>
    <t>Nguyễn Quốc Việt - Lương tháng 3/2022 Sàn Quân</t>
  </si>
  <si>
    <t>Trần Minh Khánh - Lương tháng 3/2022 Sàn Quân</t>
  </si>
  <si>
    <t>xe limosine chở khách đội vy  đi bến cầu tây ninh</t>
  </si>
  <si>
    <t>LONGKHANH3</t>
  </si>
  <si>
    <t>Xe ngoài chở khách Đội Quân xuất phát tại 482 đi tây ninh phát sinh 36km ngày 31/3</t>
  </si>
  <si>
    <t>PHUOCVINH</t>
  </si>
  <si>
    <t>Xe Quang chở khách Âu đội Vy đi 482-Q4-Long Chữ - núi bà đen &lt;=&gt;</t>
  </si>
  <si>
    <t>Xe Quang chở khách NV Âu đôi vy đi 482-nhà vườn-&lt;=&gt;</t>
  </si>
  <si>
    <t>Xe Qúy chở khách Quân đi 482-Q12-Vũng tàu- &lt;=&gt;</t>
  </si>
  <si>
    <t xml:space="preserve">Thu hoàn ứng MKT ngày 23/2/2022 sàn Quân </t>
  </si>
  <si>
    <t>KC CPQL T03.2022 - Sàn Nam</t>
  </si>
  <si>
    <t>KC CPQL T03.2022 - Sàn Quân</t>
  </si>
  <si>
    <t>KC CPQL T03.2022 - Sàn Vy</t>
  </si>
  <si>
    <t>KC CPQL T03.2022 - Đội Khánh</t>
  </si>
  <si>
    <t>KC CPBH T03.2022 - Sàn Nam</t>
  </si>
  <si>
    <t>KC CPBH T03.2022 - Sàn Quân</t>
  </si>
  <si>
    <t>KC CPBH T03.2022 - Sàn Vy</t>
  </si>
  <si>
    <t>KC CPBH T03.2022 - Đội Khánh</t>
  </si>
  <si>
    <t>GV T03.2022 - Sàn Vy</t>
  </si>
  <si>
    <t>GV T03.2022 - Sàn Quân</t>
  </si>
  <si>
    <t>GV T03.2022 - Sàn Nam</t>
  </si>
  <si>
    <t>DT T03.2022 - Sàn Vy</t>
  </si>
  <si>
    <t>DT T03.2022 - Sàn Quân</t>
  </si>
  <si>
    <t>DT T03.2022 - Sàn Nam</t>
  </si>
  <si>
    <t>Khoản phải thu để phân bổ chi phí T3.2022 đội Vy - Vy</t>
  </si>
  <si>
    <t>Khoản phải thu để phân bổ chi phí T3.2022 đội Vy - a Thành</t>
  </si>
  <si>
    <t>Khoản phải thu để phân bổ chi phí T3.2022 đội Quân - Quân</t>
  </si>
  <si>
    <t>Khoản phải thu để phân bổ chi phí T3.2022 đội Quân - a Thành</t>
  </si>
  <si>
    <t>Khoản phải thu để phân bổ chi phí T3.2022 đội Nam - Nam</t>
  </si>
  <si>
    <t>Khoản phải thu để phân bổ chi phí T3.2022 đội Nam - a Thành</t>
  </si>
  <si>
    <t>Khoản phải thu để phân bổ chi phí T3.2022 đội Khánh - a Thành</t>
  </si>
  <si>
    <t>GĐ</t>
  </si>
  <si>
    <t>Chi MKT T3.2022 - Sàn Vy</t>
  </si>
  <si>
    <t>Chi MKT T3.2022 - Sàn Quân</t>
  </si>
  <si>
    <t>Chi MKT T3.2022 - Sàn Nam</t>
  </si>
  <si>
    <t>Chi Thưởng đạt chỉ tiêu MKT Sàn Quân</t>
  </si>
  <si>
    <t>Chi thưởng MKT</t>
  </si>
  <si>
    <t>Chi Thưởng đạt chỉ tiêu MKT Sàn Vy</t>
  </si>
  <si>
    <t>Chi TT lương T3.2022 - Sàn Quân</t>
  </si>
  <si>
    <t>Chi TT lương T3.2022 - Sàn Vy</t>
  </si>
  <si>
    <t>Chi TT lương T3.2022 - Sàn Nam</t>
  </si>
  <si>
    <t>Chi TT lương T3.2022 - P. Khánh</t>
  </si>
  <si>
    <t>B-15 - Nam - Chi tiền CP Bán hàng cấp 2</t>
  </si>
  <si>
    <t>B-15 - Nam - Chi HHNV</t>
  </si>
  <si>
    <t>B-15 - Nam - Chi Phí hỗ trợ</t>
  </si>
  <si>
    <t>B-15 - Nam - Chi Thưởng NV</t>
  </si>
  <si>
    <t>B-15 - Nam - Nhận HH sàn</t>
  </si>
  <si>
    <t>B-16 - Nam - Chi tiền CP Bán hàng cấp 2</t>
  </si>
  <si>
    <t>B-16 - Nam - Chi HHNV</t>
  </si>
  <si>
    <t>B-16 - Nam - Chi Thưởng NV</t>
  </si>
  <si>
    <t>B-16 - Nam - Nhận HH Sàn</t>
  </si>
  <si>
    <t>C-26 - Quân - Chi HHNV</t>
  </si>
  <si>
    <t>C-26 - Quân - Chi Phí hỗ trợ</t>
  </si>
  <si>
    <t>C-26 - Quân - Chi Thưởng NV</t>
  </si>
  <si>
    <t>C-26 - Quân - Nhận HH Sàn</t>
  </si>
  <si>
    <t>B-16 - Nam - Chi Phí hỗ trợ</t>
  </si>
  <si>
    <t>Thanh toán tiền xe T3.2022 - Sàn Nam</t>
  </si>
  <si>
    <t>Thanh toán tiền xe T3.2022 - Sàn Quân</t>
  </si>
  <si>
    <t>Thanh toán tiền xe T3.2022 - Sàn Vy</t>
  </si>
  <si>
    <t>Thanh toán tiền xe T3.2022 - Đội Khánh</t>
  </si>
  <si>
    <t>Thanh toán tiền nhà T3.2022 - Sàn Nam</t>
  </si>
  <si>
    <t>Thanh toán tiền nhà T3.2022 - Sàn Quân</t>
  </si>
  <si>
    <t>Thanh toán tiền nhà T3.2022 - Sàn Vy</t>
  </si>
  <si>
    <t>Thanh toán tiền nhà T3.2022 - Đội Khánh</t>
  </si>
  <si>
    <t>Chi LNCP  T3.2022 - Vy - Vy</t>
  </si>
  <si>
    <t>Chi LNCP  T3.2022 - Vy - a Thành</t>
  </si>
  <si>
    <t>Chi LNCP  T3.2022 - Quân - Quân</t>
  </si>
  <si>
    <t>Chi LNCP  T3.2022 - Quân - a Thành</t>
  </si>
  <si>
    <t>Chi LNCP  T3.2022 - Nam - Nam</t>
  </si>
  <si>
    <t>Chi LNCP  T3.2022 - Nam - a Thành</t>
  </si>
  <si>
    <t>Chi LNCP  T3.2022 - Khánh - a Thành</t>
  </si>
  <si>
    <t>Chi thanh toán 10 thùng nước Lavie (đi DA TN)</t>
  </si>
  <si>
    <t>DAT</t>
  </si>
  <si>
    <t>chi tiền mua trái cây cúng ông địa</t>
  </si>
  <si>
    <t>Xe Quang chở khách đội Vy đi Tây ninh- long chữ-châu thành-tân Biên &lt;=&gt;</t>
  </si>
  <si>
    <t>Xe Qúy chở khách đội Quân đi 482-Tân Bình-Tây Ninh</t>
  </si>
  <si>
    <t xml:space="preserve"> Thanh toán cước Internet - 
line 1: t008_gftth_thynna8/line 2: t008_gftth_thuntm408 </t>
  </si>
  <si>
    <t>Xe Nam chở khách  Khánh đội Quân đi 482-Bình thạnh-Châu Thành - Tây ninh-Tân Bình &lt;=&gt;</t>
  </si>
  <si>
    <t>Xe Qúy chở khách đội Quân đi Hooc môn-phước vinh-núi bà đen-tân biên &lt;=&gt;</t>
  </si>
  <si>
    <t>Xe Nam chở khách đội Đạt đi 482-Quận 7-Châu thành tây ninh-Q7-482</t>
  </si>
  <si>
    <t>Xe Quang chở khách mai đội vy đi 482-long khánh-long chữ-châu thành&lt;=&gt;</t>
  </si>
  <si>
    <t>Xe Qúy chở khách đội Nam đi 482-Tô Ký-NVST-PHHT-Long HẢI &lt;=&gt;</t>
  </si>
  <si>
    <t>Chi mua giấy VS+túi rác</t>
  </si>
  <si>
    <t>Xe Nam chở khách Tiể ngọc đi 28 Tiền Giang-Bến cầu-Sân bay</t>
  </si>
  <si>
    <t>A-18 - NVST - Quân - Công chứng</t>
  </si>
  <si>
    <t>NVST.A-18</t>
  </si>
  <si>
    <t>A-18 - NVST - Quân - HH Sàn</t>
  </si>
  <si>
    <t>A-18 - NVST - Quân - HHNV</t>
  </si>
  <si>
    <t>A-18 - NVST - Quân - HHTP</t>
  </si>
  <si>
    <t>A-18 - NVST - Quân - Phí hỗ trợ</t>
  </si>
  <si>
    <t>A-18 - NVST - Quân - Trích quỹ 8%</t>
  </si>
  <si>
    <t>Xe Nam chở khách đội quân đi 482-Hooc môn-châu thành-tây ninh-482</t>
  </si>
  <si>
    <t>Xe Quang chở khách Khánh đội Quân đi 482-Q4-280vt-(ký hợp đồng)</t>
  </si>
  <si>
    <t>Xe Qúy chở khách Mơ đội Quân đi 482-Thạnh đông-long hoa-phước vinh &lt;=&gt;</t>
  </si>
  <si>
    <t>A-06 - PV - Quân - Công chứng</t>
  </si>
  <si>
    <t>PV.A-06</t>
  </si>
  <si>
    <t>A-06 - PV - Quân - HH Sàn</t>
  </si>
  <si>
    <t>A-06 - PV - Quân - HHNV</t>
  </si>
  <si>
    <t>A-06 - PV - Quân - Phí hỗ trợ</t>
  </si>
  <si>
    <t>A-06 - PV - Quân - Trích 0.3%</t>
  </si>
  <si>
    <t>Chi phí thưởng thêm</t>
  </si>
  <si>
    <t>QUY0.03%</t>
  </si>
  <si>
    <t>A-06 - PV - Quân - Trích quỹ 8%</t>
  </si>
  <si>
    <t>A-07 - PV - Quân - Công chứng</t>
  </si>
  <si>
    <t>PV.A-07</t>
  </si>
  <si>
    <t>A-07 - PV - Quân - HH Sàn</t>
  </si>
  <si>
    <t>A-07 - PV - Quân - HHNV</t>
  </si>
  <si>
    <t>A-07 - PV - Quân - Phí hỗ trợ</t>
  </si>
  <si>
    <t>A-07 - PV - Quân - Trích 0.3%</t>
  </si>
  <si>
    <t>A-07 - PV - Quân - Trích quỹ 8%</t>
  </si>
  <si>
    <t>A-10 - PV - Quân - Công chứng</t>
  </si>
  <si>
    <t>PV.A-10</t>
  </si>
  <si>
    <t>A-10 - PV - Quân - HH Sàn</t>
  </si>
  <si>
    <t>A-10 - PV - Quân - HHNV</t>
  </si>
  <si>
    <t>A-10 - PV - Quân - Phí hỗ trợ</t>
  </si>
  <si>
    <t>A-10 - PV - Quân - Trích quỹ 8%</t>
  </si>
  <si>
    <t>A-17 - PV - Quân - Công chứng</t>
  </si>
  <si>
    <t>PV.A-17</t>
  </si>
  <si>
    <t>A-17 - PV - Quân - HH Sàn</t>
  </si>
  <si>
    <t>A-17 - PV - Quân - HHNV</t>
  </si>
  <si>
    <t>A-17 - PV - Quân - Phí hỗ trợ</t>
  </si>
  <si>
    <t>A-17 - PV - Quân - Trích 0.3%</t>
  </si>
  <si>
    <t>A-17 - PV - Quân - Trích quỹ 8%</t>
  </si>
  <si>
    <t>B-06 - NVST - Vy - Công chứng</t>
  </si>
  <si>
    <t>NVST.B-06</t>
  </si>
  <si>
    <t>S0025</t>
  </si>
  <si>
    <t>B-06 - NVST - Vy - HH Sàn</t>
  </si>
  <si>
    <t>B-06 - NVST - Vy - HHNV</t>
  </si>
  <si>
    <t>B-06 - NVST - Vy - HHTP</t>
  </si>
  <si>
    <t>B-06 - NVST - Vy - Phí hỗ trợ</t>
  </si>
  <si>
    <t>B-06 - NVST - Vy - Trích quỹ 8%</t>
  </si>
  <si>
    <t>Xe Nam chở khách khánh đội quân điv 482-TP Tây ninh-482-đi công chứng</t>
  </si>
  <si>
    <t>Xe Quang chở khách sĩ đội nam đi 482-long khánh-phước vinh &lt;=&gt;</t>
  </si>
  <si>
    <t>Xe Qúy chở khách đội quân đi 482-tân Bình-Tây Ninh-Phước vinh &lt;=&gt;</t>
  </si>
  <si>
    <t>Chi bảo trì + giao nhận máy in màu VP + mua mouse máy tính</t>
  </si>
  <si>
    <t>Xe Nam chở khách Khánh đội Quân đi 482-Bình Thạnh-sao vàng-bình thạnh-mỹ hạnh-TP Thủ đức</t>
  </si>
  <si>
    <t>Xe Quang chở khách dũng đội Nam đi 482-hồ tràm-NVST&lt;=&gt;</t>
  </si>
  <si>
    <t>A-01 - PV - Đạt - Công chứng</t>
  </si>
  <si>
    <t>PV.A-01</t>
  </si>
  <si>
    <t>S0037</t>
  </si>
  <si>
    <t>A-01 - PV - Đạt - HH Sàn</t>
  </si>
  <si>
    <t>A-01 - PV - Đạt - HHNV</t>
  </si>
  <si>
    <t>A-01 - PV - Đạt - Phí hỗ trợ</t>
  </si>
  <si>
    <t>A-01 - PV - Đạt - Trích quỹ 8%</t>
  </si>
  <si>
    <t>A-02 - PV - Đạt - Công chứng</t>
  </si>
  <si>
    <t>PV.A-02</t>
  </si>
  <si>
    <t>A-02 - PV - Đạt - HH Sàn</t>
  </si>
  <si>
    <t>A-02 - PV - Đạt - HHNV</t>
  </si>
  <si>
    <t>A-02 - PV - Đạt - Phí hỗ trợ</t>
  </si>
  <si>
    <t>A-02 - PV - Đạt - Trích quỹ 8%</t>
  </si>
  <si>
    <t>A-03 - PV - Đạt - Công chứng</t>
  </si>
  <si>
    <t>PV.A-03</t>
  </si>
  <si>
    <t>A-03 - PV - Đạt - HH Sàn</t>
  </si>
  <si>
    <t>A-03 - PV - Đạt - HHNV</t>
  </si>
  <si>
    <t>A-03 - PV - Đạt - Phí hỗ trợ</t>
  </si>
  <si>
    <t>A-03 - PV - Đạt - Trích quỹ 8%</t>
  </si>
  <si>
    <t>A-05 - PV - Quân - Công chứng</t>
  </si>
  <si>
    <t>PV.A-05</t>
  </si>
  <si>
    <t>S0028</t>
  </si>
  <si>
    <t>A-05 - PV - Quân - HH Sàn</t>
  </si>
  <si>
    <t>A-05 - PV - Quân - HHNV</t>
  </si>
  <si>
    <t>A-05 - PV - Quân - HHTP</t>
  </si>
  <si>
    <t>S0030</t>
  </si>
  <si>
    <t>A-05 - PV - Quân - Phí hỗ trợ</t>
  </si>
  <si>
    <t>A-05 - PV - Quân - Trích quỹ 8%</t>
  </si>
  <si>
    <t>B-20 - NVST - Vy - Công chứng</t>
  </si>
  <si>
    <t>NVST.B-20</t>
  </si>
  <si>
    <t>S0024</t>
  </si>
  <si>
    <t>B-20 - NVST - Vy - HH Sàn</t>
  </si>
  <si>
    <t>B-20 - NVST - Vy - HHNV</t>
  </si>
  <si>
    <t>B-20 - NVST - Vy - HHTP</t>
  </si>
  <si>
    <t>B-20 - NVST - Vy - Phí hỗ trợ</t>
  </si>
  <si>
    <t>B-20 - NVST - Vy - Trích quỹ 8%</t>
  </si>
  <si>
    <t>Xe Nam chở khách An đội Quân đi 482-TP Tây ninh-482-( đi công chứng)</t>
  </si>
  <si>
    <t>xe quang chở khách mai đội vy đi 482-NVST ĐĐ - 280 TP Vũng tàu-hooc môn &lt;=&gt;</t>
  </si>
  <si>
    <t>Xe Hoạt chở khách Lộc đội Quân đi 482-Vĩnh lộc-tây ninh-</t>
  </si>
  <si>
    <t>Xe Nam chở khách đội sếp đi sân bay-DA Long Hải-Vũng tàu-sân bay</t>
  </si>
  <si>
    <t>QUY</t>
  </si>
  <si>
    <t>Xe Quang chở khách Mai đội Vy đi 482-Long Hải-Đất Đỏ &lt;=&gt;</t>
  </si>
  <si>
    <t>Xe Qúy chở khách Thu đội Nam đi 482-Long Hải-Dinh cô &lt;=&gt;</t>
  </si>
  <si>
    <t>Xe Nam chở khách Đội Sêp đi 231-Vũng tàu-Long Hải-sân bay</t>
  </si>
  <si>
    <t>Xe Quang chở khách An đội Quân đi 482-Phước Vinh Tây Ninh &lt;=&gt;</t>
  </si>
  <si>
    <t>Xe Qúy chở khách âu đội Vy đi 482-Q6-Long khánh-phước vinh &lt;=&gt;</t>
  </si>
  <si>
    <t>Xe Thắng chở NV VP đi Long điền (BRVT)</t>
  </si>
  <si>
    <t>Xe Qúy chở khách ĐỘI Vy đi 482-Q11-Vũng Tàu &lt;=&gt;</t>
  </si>
  <si>
    <t>Xe Nam chở khách đội đtạ đi 482-Tân nguyên  BD-482</t>
  </si>
  <si>
    <t>A-01 - PV - Đạt - Chi HHVN bằng TM</t>
  </si>
  <si>
    <t>A-01 - PV - Đạt - Chi Phí hỗ trợ</t>
  </si>
  <si>
    <t>A-01 - PV - Đạt - Nhận HH Sàn</t>
  </si>
  <si>
    <t>A-02 - PV - Đạt - Chi HHVN bằng TM</t>
  </si>
  <si>
    <t>A-02 - PV - Đạt - Chi Phí hỗ trợ</t>
  </si>
  <si>
    <t>A-02 - PV - Đạt - Nhận HH Sàn</t>
  </si>
  <si>
    <t>A-03 - PV - Đạt - Chi HHVN bằng TM</t>
  </si>
  <si>
    <t>A-03 - PV - Đạt - Chi Phí hỗ trợ</t>
  </si>
  <si>
    <t>A-03 - PV - Đạt - Nhận HH Sàn</t>
  </si>
  <si>
    <t>A-05 - PV - Quân - Chi HHTP</t>
  </si>
  <si>
    <t>A-05 - PV - Quân - Chi HHVN bằng TM</t>
  </si>
  <si>
    <t>A-05 - PV - Quân - Chi Phí hỗ trợ</t>
  </si>
  <si>
    <t>A-05 - PV - Quân - Nhận HH Sàn</t>
  </si>
  <si>
    <t>A-06 - PV - Quân - Chi 0.3%</t>
  </si>
  <si>
    <t>A-06 - PV - Quân - Chi HHVN bằng TM</t>
  </si>
  <si>
    <t>A-06 - PV - Quân - Chi Phí hỗ trợ</t>
  </si>
  <si>
    <t>A-06 - PV - Quân - Nhận HH Sàn</t>
  </si>
  <si>
    <t>A-07 - PV - Quân - Chi 0.3%</t>
  </si>
  <si>
    <t>A-07 - PV - Quân - Chi HHVN bằng TM</t>
  </si>
  <si>
    <t>A-07 - PV - Quân - Chi Phí hỗ trợ</t>
  </si>
  <si>
    <t>A-07 - PV - Quân - Nhận HH Sàn</t>
  </si>
  <si>
    <t>A-10 - PV - Quân - Chi HHNV bằng TM</t>
  </si>
  <si>
    <t>A-10 - PV - Quân - Chi Phí hỗ trợ</t>
  </si>
  <si>
    <t>A-10 - PV - Quân - Nhận HH Sàn</t>
  </si>
  <si>
    <t>A-11 - PV - Đạt - Công chứng</t>
  </si>
  <si>
    <t>PV.A-11</t>
  </si>
  <si>
    <t>A-11 - PV - Đạt - HH Sàn</t>
  </si>
  <si>
    <t>A-11 - PV - Đạt - HHNV</t>
  </si>
  <si>
    <t>A-11 - PV - Đạt - Phí hỗ trợ</t>
  </si>
  <si>
    <t>A-11 - PV - Đạt - Trích quỹ 8%</t>
  </si>
  <si>
    <t>A-15 - PV - Quân - Công chứng</t>
  </si>
  <si>
    <t>PV.A-15</t>
  </si>
  <si>
    <t>A-15 - PV - Quân - HH Sàn</t>
  </si>
  <si>
    <t>A-15 - PV - Quân - HHNV</t>
  </si>
  <si>
    <t>A-15 - PV - Quân - Phí hỗ trợ</t>
  </si>
  <si>
    <t>A-15 - PV - Quân - Trích 0.3%</t>
  </si>
  <si>
    <t>A-15 - PV - Quân - Trích quỹ 8%</t>
  </si>
  <si>
    <t>A-16 - PV - Quân - Công chứng</t>
  </si>
  <si>
    <t>PV.A-16</t>
  </si>
  <si>
    <t>A-16 - PV - Quân - HH Sàn</t>
  </si>
  <si>
    <t>A-16 - PV - Quân - HHNV</t>
  </si>
  <si>
    <t>A-16 - PV - Quân - Phí hỗ trợ</t>
  </si>
  <si>
    <t>A-16 - PV - Quân - Trích 0.3%</t>
  </si>
  <si>
    <t>A-16 - PV - Quân - Trích quỹ 8%</t>
  </si>
  <si>
    <t>A-17 - PV - Quân - Chi 0.3%</t>
  </si>
  <si>
    <t>A-17 - PV - Quân - Chi HHVN bằng TM</t>
  </si>
  <si>
    <t>A-17 - PV - Quân - Chi Phí hỗ trợ</t>
  </si>
  <si>
    <t>A-17 - PV - Quân - Nhận HH Sàn</t>
  </si>
  <si>
    <t xml:space="preserve">A-18 - NVST - Quân - Chi HHNV </t>
  </si>
  <si>
    <t>A-18 - NVST - Quân - Chi HHTP</t>
  </si>
  <si>
    <t>A-18 - NVST - Quân - Chi Phí hỗ trợ</t>
  </si>
  <si>
    <t>A-18 - NVST - Quân - Nhận HH Sàn</t>
  </si>
  <si>
    <t>chi tiền mua bao rác vp</t>
  </si>
  <si>
    <t>CHI TIỀN NƯỚC sinh hoạt vp</t>
  </si>
  <si>
    <t>Đóng tiền điện vp tháng 3</t>
  </si>
  <si>
    <t>Xe Nam chở khách Đội Đạt đi 482-Phú nhuận -Q7 - Long Khánh 2- phòng công chứng-núi bà đen-&lt;=&gt;</t>
  </si>
  <si>
    <t>LONGKHANH2</t>
  </si>
  <si>
    <t>Xe Qúy chở khách đội quân đi 482-hooc môn-cc tây ninh-phước vinh-long khánh 3 &lt;=&gt;</t>
  </si>
  <si>
    <t>Chi thanh toán tiền thuê máy photo T3.2022</t>
  </si>
  <si>
    <t>chi tiền nước tiếp khách ở 239 đội sếp</t>
  </si>
  <si>
    <t>Chi tiền nước uống đội bằng TM</t>
  </si>
  <si>
    <t>Chi trả tiền cúp vinh danh - Quân</t>
  </si>
  <si>
    <t>A-11 - PV - Đạt - Chi HHVN bằng TM</t>
  </si>
  <si>
    <t>A-11 - PV - Đạt - Chi Phí hỗ trợ</t>
  </si>
  <si>
    <t>A-11 - PV - Đạt - Nhận HH từ CĐT</t>
  </si>
  <si>
    <t>A-15 - PV - Quân - Chi 0.3%</t>
  </si>
  <si>
    <t>A-15 - PV - Quân - Chi HHVN bằng TM</t>
  </si>
  <si>
    <t>A-15 - PV - Quân - Chi Phí hỗ trợ</t>
  </si>
  <si>
    <t>A-15 - PV - Quân - Nhận HH từ CĐT</t>
  </si>
  <si>
    <t>A-16 - PV - Quân - Chi HHVN bằng TM</t>
  </si>
  <si>
    <t>A-16 - PV - Quân - Chi Phí hỗ trợ</t>
  </si>
  <si>
    <t>A-16 - PV - Quân - Chi Trích 0.3%</t>
  </si>
  <si>
    <t>A-16 - PV - Quân - Nhận HH từ CĐT</t>
  </si>
  <si>
    <t>Chi mua hoa + trái cây ông địa M1/M10/M15.3</t>
  </si>
  <si>
    <t>A-04 - PV - Quân - Công chứng</t>
  </si>
  <si>
    <t>PV.A-04</t>
  </si>
  <si>
    <t>A-04 - PV - Quân - HH Sàn</t>
  </si>
  <si>
    <t>A-04 - PV - Quân - HHNV</t>
  </si>
  <si>
    <t>A-04 - PV - Quân - Phí hỗ trợ</t>
  </si>
  <si>
    <t>A-04 - PV - Quân - Trích quỹ 8%</t>
  </si>
  <si>
    <t>B-06 - NVST - Vy - Chi HHTP</t>
  </si>
  <si>
    <t xml:space="preserve">B-06 - NVST - Vy - Chi HHVN </t>
  </si>
  <si>
    <t>B-06 - NVST - Vy - Chi Phí hỗ trợ</t>
  </si>
  <si>
    <t>B-06 - NVST - Vy - Nhận HH từ CĐT</t>
  </si>
  <si>
    <t>B-20 - NVST - Vy - Chi HHVN</t>
  </si>
  <si>
    <t>B-20 - NVST - Vy - Chi Phí hỗ trợ</t>
  </si>
  <si>
    <t>B-20 - NVST - Vy - ChiHHTP</t>
  </si>
  <si>
    <t>B-20 - NVST - Vy - Nhận HH từ CĐT</t>
  </si>
  <si>
    <t>Xe Quang chở khách An đội Quân đi 482-Tây ninh-( ký hđ) &lt;=&gt;</t>
  </si>
  <si>
    <t>Xe Nam chở NV VP đi 231-Long Hải-231</t>
  </si>
  <si>
    <t>Xe Qúy chở khách Mai đội Vy Đi 482-Long Hải-Dinh cô-Dự án chợ long hải-vũng tàu &lt;=&gt;</t>
  </si>
  <si>
    <t>Chi tiền điện T4/2022</t>
  </si>
  <si>
    <t>mua trái cây cúng ông địa+23/4</t>
  </si>
  <si>
    <t>A-12 - LK3 - Vy - Chiết khấu</t>
  </si>
  <si>
    <t>LK3.A-12</t>
  </si>
  <si>
    <t>A-12 - LK3 - Vy - Công chứng</t>
  </si>
  <si>
    <t>A-12 - LK3 - Vy - HH Sàn</t>
  </si>
  <si>
    <t>A-12 - LK3 - Vy - HHNV</t>
  </si>
  <si>
    <t>A-12 - LK3 - Vy - Phí hỗ trợ</t>
  </si>
  <si>
    <t>A-12 - LK3 - Vy - Trích quỹ 8%</t>
  </si>
  <si>
    <t>Chi tiền hoa khai trương cty Mộc Điền sàn Quân</t>
  </si>
  <si>
    <t>Xe Qúy chở khách đội Đạt đi 482- Nguyễn Kiệm-Q8-lONG khánh-Phước Vinh-&lt;=&gt;</t>
  </si>
  <si>
    <t>Chi tiền giấy in Data đội Quân (2 ram giấy)</t>
  </si>
  <si>
    <t>Chi tiền rác T4/2022</t>
  </si>
  <si>
    <t>Chi tiền VPP 482+bình xịt muỗi</t>
  </si>
  <si>
    <t>Chi tiền VPP đội Đạt</t>
  </si>
  <si>
    <t>A-12 - PV - Quân - Công chứng</t>
  </si>
  <si>
    <t>PV.A-12</t>
  </si>
  <si>
    <t>A-12 - PV - Quân - HH Sàn</t>
  </si>
  <si>
    <t>A-12 - PV - Quân - HHNV</t>
  </si>
  <si>
    <t>A-12 - PV - Quân - Phí hỗ trợ</t>
  </si>
  <si>
    <t>A-12 - PV - Quân - Trích 0.3%</t>
  </si>
  <si>
    <t>A-12 - PV - Quân - Trích quỹ 8%</t>
  </si>
  <si>
    <t>A-13 - PV - Quân - Công chứng</t>
  </si>
  <si>
    <t>PV.A-13</t>
  </si>
  <si>
    <t>A-13 - PV - Quân - HH Sàn</t>
  </si>
  <si>
    <t>A-13 - PV - Quân - HHNV</t>
  </si>
  <si>
    <t>A-13 - PV - Quân - Phí hỗ trợ</t>
  </si>
  <si>
    <t>A-13 - PV - Quân - Trích 0.3%</t>
  </si>
  <si>
    <t>A-13 - PV - Quân - Trích quỹ 8%</t>
  </si>
  <si>
    <t>A-14 - PV - Quân - Công chứng</t>
  </si>
  <si>
    <t>PV.A-14</t>
  </si>
  <si>
    <t>A-14 - PV - Quân - HH Sàn</t>
  </si>
  <si>
    <t>A-14 - PV - Quân - HHNV</t>
  </si>
  <si>
    <t>A-14 - PV - Quân - Phí hỗ trợ</t>
  </si>
  <si>
    <t>A-14 - PV - Quân - Trích 0.3%</t>
  </si>
  <si>
    <t>A-14 - PV - Quân - Trích quỹ 8%</t>
  </si>
  <si>
    <t>Xe Quang chở khách AN đội Quân đi 482-Long Cường Tây Ninh-Tân Bình</t>
  </si>
  <si>
    <t>Xe Qúy chở khách đội Quân đi 482-Tân Bình-Long khánh-CC Tây ninh-Phước Vinh-&lt;=&gt;</t>
  </si>
  <si>
    <t>A-10 - LK3 - Vy - Công chứng</t>
  </si>
  <si>
    <t>LK3.A-10</t>
  </si>
  <si>
    <t>A-10 - LK3 - Vy - HH Sàn</t>
  </si>
  <si>
    <t>A-10 - LK3 - Vy - HHNV</t>
  </si>
  <si>
    <t>A-10 - LK3 - Vy - Phí hỗ trợ</t>
  </si>
  <si>
    <t>A-10 - LK3 - Vy - Trích quỹ 8%</t>
  </si>
  <si>
    <t>Xe Nam chở khách Tiểu ngọc đi 482-TP Tây ninh-482 ( đi công chứng)</t>
  </si>
  <si>
    <t>Xe Qúy chơ khách đội Sếp đi 482- sân bay-Bình Tân-Lộc ngãi-Lâm đồng-&lt;=&gt;</t>
  </si>
  <si>
    <t>LOCNGAI</t>
  </si>
  <si>
    <t>A-04 - PV - Quân - Nhận HH từ CĐT</t>
  </si>
  <si>
    <t>A-12 - PV - Quân - Nhận HH từ CĐT</t>
  </si>
  <si>
    <t>Chi mua nước bình Bidrico (8 bình 5/4 + 8 bình 15/4 + 8 bình 24/4)</t>
  </si>
  <si>
    <t>Xe ngoài chở khách đội quân 482-lộc ngãi-482 (50% CP đội)</t>
  </si>
  <si>
    <t>Xe Qúy chở khách Âu đội Vy đi 482-Thạnh Lam -Long Chữ-&lt;=&gt;</t>
  </si>
  <si>
    <t>Xe Thắng chở khách đội sếp đi chợ sơn kỳ-hoàng pháp-lemar 81-bà chiểu-sân bay</t>
  </si>
  <si>
    <t>A-15 - NVST - Vy - Chiết khấu</t>
  </si>
  <si>
    <t>NVST.A-15</t>
  </si>
  <si>
    <t>A-15 - NVST - Vy - Công chứng</t>
  </si>
  <si>
    <t>S0017</t>
  </si>
  <si>
    <t>A-15 - NVST - Vy - HH Sàn</t>
  </si>
  <si>
    <t>A-15 - NVST - Vy - HHNV</t>
  </si>
  <si>
    <t>A-15 - NVST - Vy - HHTP</t>
  </si>
  <si>
    <t>A-15 - NVST - Vy - Phí hỗ trợ</t>
  </si>
  <si>
    <t>A-15 - NVST - Vy - Trích quỹ 8%</t>
  </si>
  <si>
    <t>A-04 - PV - Quân - Chi HHVN bằng TM</t>
  </si>
  <si>
    <t>A-10 - LK3 - Vy - Chi HHNV bằng TM</t>
  </si>
  <si>
    <t>A-10 - LK3 - Vy - Chi Phí hỗ trợ</t>
  </si>
  <si>
    <t>A-10 - LK3 - Vy - Nhận HH từ CĐT</t>
  </si>
  <si>
    <t>A-12 - LK3 - Vy - Chi Chiết khấu</t>
  </si>
  <si>
    <t>A-12 - LK3 - Vy - Chi HHNV bằng TM</t>
  </si>
  <si>
    <t>A-12 - LK3 - Vy - Chi Phí hỗ trợ</t>
  </si>
  <si>
    <t>A-12 - LK3 - Vy - Nhận HH từ CĐT</t>
  </si>
  <si>
    <t>A-12 - PV - Quân - Chi 0.3%</t>
  </si>
  <si>
    <t>A-12 - PV - Quân - Chi HHVN bằng TM</t>
  </si>
  <si>
    <t>A-12 - PV - Quân - Chi Phí hỗ trợ</t>
  </si>
  <si>
    <t>A-13 - PV - Quân - Chi 0.3%</t>
  </si>
  <si>
    <t>A-13 - PV - Quân - Chi HHVN bằng TM</t>
  </si>
  <si>
    <t>A-13 - PV - Quân - Chi Phí hỗ trợ</t>
  </si>
  <si>
    <t>A-13 - PV - Quân - Nhận HH từ CĐT</t>
  </si>
  <si>
    <t>A-14 - PV - Quân - Chi 0.3%</t>
  </si>
  <si>
    <t>A-14 - PV - Quân - Chi HHVN bằng TM</t>
  </si>
  <si>
    <t>A-14 - PV - Quân - Chi Phí hỗ trợ</t>
  </si>
  <si>
    <t>A-14 - PV - Quân - Nhận HH từ CĐT</t>
  </si>
  <si>
    <t>A-21 - PV - Quân - Công chứng</t>
  </si>
  <si>
    <t>PV.A-21</t>
  </si>
  <si>
    <t>A-21 - PV - Quân - HH Sàn</t>
  </si>
  <si>
    <t>A-21 - PV - Quân - HHNV</t>
  </si>
  <si>
    <t>A-21 - PV - Quân - Phí hỗ trợ</t>
  </si>
  <si>
    <t>A-21 - PV - Quân - Trích quỹ 8%</t>
  </si>
  <si>
    <t>Chi mua giấy A4 + giấy ảnh</t>
  </si>
  <si>
    <t>Xe ngoài chở khách đội Đạt đi 482-BRVT(đi công chứng) &lt;=&gt;</t>
  </si>
  <si>
    <t>Xe Quang chở khách Khánh đội Quân đi 482- bầu cát-công chứng tây ninh &lt;=&gt;</t>
  </si>
  <si>
    <t>Xe Qúy chở khách đội Quân đi 482-Hoôc môn-Q12-Lộc Ngãi &lt;=&gt;</t>
  </si>
  <si>
    <t>A-02 - LK3 - Đạt - Công chứng</t>
  </si>
  <si>
    <t>LK3.A-02</t>
  </si>
  <si>
    <t>S0039</t>
  </si>
  <si>
    <t>A-02 - LK3 - Đạt - HH Sàn</t>
  </si>
  <si>
    <t>A-02 - LK3 - Đạt - HHNV</t>
  </si>
  <si>
    <t>A-02 - LK3 - Đạt - Phí hỗ trợ</t>
  </si>
  <si>
    <t>A-02 - LK3 - Đạt - Trích quỹ 8%</t>
  </si>
  <si>
    <t>Tiền nhà xe T4/2022</t>
  </si>
  <si>
    <t>Xe Nam chở khách đội Đạt đi 482-Phú nhuận-Q8-TP Tây ninh-Núi Bà đen-(đi công chứng)</t>
  </si>
  <si>
    <t>A-02 - LK3 - Đạt - Chi HHNV</t>
  </si>
  <si>
    <t>A-02 - LK3 - Đạt - Chi Phí hỗ trợ</t>
  </si>
  <si>
    <t>A-02 - LK3 - Đạt - Nhận HH Sàn</t>
  </si>
  <si>
    <t>A-15 - NVST - Vy - Chi Chiết khấu</t>
  </si>
  <si>
    <t>A-15 - NVST - Vy - Chi HHNV</t>
  </si>
  <si>
    <t>A-15 - NVST - Vy - Chi HHTP</t>
  </si>
  <si>
    <t>A-15 - NVST - Vy - Chi Phí hỗ trợ</t>
  </si>
  <si>
    <t>A-15 - NVST - Vy - Nhận HH Sàn</t>
  </si>
  <si>
    <t>A-21 - PV - Quân - Chi HHNV</t>
  </si>
  <si>
    <t>A-21 - PV - Quân - Chi Phí hỗ trợ</t>
  </si>
  <si>
    <t>A-21 - PV - Quân - Nhận HH Sàn</t>
  </si>
  <si>
    <t>Chi tiền in + Ship tờ rơi Lộc Ngãi</t>
  </si>
  <si>
    <t>CP MKT tháng 4/2022 - Đội Đạt - Đợt 1</t>
  </si>
  <si>
    <t>CP MKT tháng 4/2022 - Đội Đạt - Đợt 2</t>
  </si>
  <si>
    <t>CP MKT tháng 4/2022 - Sàn Nam</t>
  </si>
  <si>
    <t>CP MKT tháng 4/2022 - Sàn Quân</t>
  </si>
  <si>
    <t>CP MKT tháng 4/2022 - Sàn Vy</t>
  </si>
  <si>
    <t>Hoa hồng Trưởng phòng T4/2022 phải trả - Đạt</t>
  </si>
  <si>
    <t>Hoa hồng Trưởng phòng T4/2022 phải trả - Khánh</t>
  </si>
  <si>
    <t>Hoa hồng Trưởng phòng T4/2022 phải trả - Mai</t>
  </si>
  <si>
    <t>LƯƠNG BPHT - Đạt</t>
  </si>
  <si>
    <t>LƯƠNG BPHT - Nam</t>
  </si>
  <si>
    <t>LƯƠNG BPHT - Quân</t>
  </si>
  <si>
    <t>LƯƠNG BPHT - Quý</t>
  </si>
  <si>
    <t>LƯƠNG BPHT - Vy</t>
  </si>
  <si>
    <t>Lương Lãnh đạo - Sàn Nam</t>
  </si>
  <si>
    <t>Lương Lãnh đạo - Sàn Quân</t>
  </si>
  <si>
    <t>Lương Lãnh đạo - Sàn Vy</t>
  </si>
  <si>
    <t>LƯƠNG NV - Đạt</t>
  </si>
  <si>
    <t>LƯƠNG NV - Nam</t>
  </si>
  <si>
    <t>LƯƠNG NV - Quân</t>
  </si>
  <si>
    <t>LƯƠNG NV - Quý</t>
  </si>
  <si>
    <t>LƯƠNG NV - Vy</t>
  </si>
  <si>
    <t>Tiền nhà Tháng 4/2022 - Sàn Vy</t>
  </si>
  <si>
    <t>Tiền nhà Tháng 4/2022 - P. Đạt</t>
  </si>
  <si>
    <t>Tiền nhà Tháng 4/2022 - Sàn Nam</t>
  </si>
  <si>
    <t>Tiền nhà Tháng 4/2022 - Sàn Quân</t>
  </si>
  <si>
    <t>Xe Nam chở khách đội Vy đi 482-Q11-sân bay-Lộc ngãi&lt;=&gt; PSGD cọc A3+A5</t>
  </si>
  <si>
    <t>A-01 - PV - Đạt - Chiết khấu</t>
  </si>
  <si>
    <t>A-02 - PV - Đạt - Chiết khấu</t>
  </si>
  <si>
    <t>A-05 - PV - Quân - Chi tiền HHTP</t>
  </si>
  <si>
    <t>Chi hoa hồng trưởng phòng bằng TM</t>
  </si>
  <si>
    <t>A-10 - LK3 - Vy - Chiết khấu</t>
  </si>
  <si>
    <t>Thưởng đạt chỉ tiêu MKT T4.2022 P. Đạt</t>
  </si>
  <si>
    <t>Thưởng đạt chỉ tiêu MKT T4.2022 Sàn Quân</t>
  </si>
  <si>
    <t>Thưởng đạt chỉ tiêu MKT T4.2022 Sàn Vy</t>
  </si>
  <si>
    <t>Chi tiền BHXH khối văn phòng T4/2022</t>
  </si>
  <si>
    <t>Nộp BHXH bằng TM</t>
  </si>
  <si>
    <t>Chi tiền bịch rác</t>
  </si>
  <si>
    <t>Chi tiền mua bông trái cây cũng ông địa 30/4</t>
  </si>
  <si>
    <t>KC GVDV T4.2022 - Sàn Vy</t>
  </si>
  <si>
    <t>KC GVDV T4.2022 - Sàn Quân</t>
  </si>
  <si>
    <t>KC GVDV T4.2022 - Sàn Nam</t>
  </si>
  <si>
    <t>KC GVDV T4.2022 - P. Đạt</t>
  </si>
  <si>
    <t>KC GVDV T4.2022 - Quý</t>
  </si>
  <si>
    <t>KC CPBH T4.2022 - Sàn Vy</t>
  </si>
  <si>
    <t>KC CPBH T4.2022 - Sàn Quân</t>
  </si>
  <si>
    <t>KC CPBH T4.2022 - Sàn Nam</t>
  </si>
  <si>
    <t>KC CPBH T4.2022 - P. Đạt</t>
  </si>
  <si>
    <t>KC CPBH T4.2022 - Quý</t>
  </si>
  <si>
    <t>KC CPQL T4.2022 - Sàn Vy</t>
  </si>
  <si>
    <t>KC CPQL T4.2022 - Sàn Quân</t>
  </si>
  <si>
    <t>KC CPQL T4.2022 - Sàn Nam</t>
  </si>
  <si>
    <t>KC CPQL T4.2022 - P. Đạt</t>
  </si>
  <si>
    <t>KC CPQL T4.2022 - Quý</t>
  </si>
  <si>
    <t>KC DT T4.2022 - Sàn Quân</t>
  </si>
  <si>
    <t>KC DT T4.2022 - Sàn Vy</t>
  </si>
  <si>
    <t>KC DT T4.2022 - Đội Đạt</t>
  </si>
  <si>
    <t>LN từ bán hàng  T4.2022 phải trả đội Vy - Vy</t>
  </si>
  <si>
    <t>LN từ bán hàng  T4.2022 phải trả đội Vy - a Thành</t>
  </si>
  <si>
    <t>LN từ bán hàng  T4.2022 phải trả đội Quân - Quân</t>
  </si>
  <si>
    <t>LN từ bán hàng  T4.2022 phải trả đội Quân - a Thành</t>
  </si>
  <si>
    <t>Khoản phải thu để phân bổ chi phí  T4.2022 đội Nam - Nam</t>
  </si>
  <si>
    <t>Khoản phải thu để phân bổ chi phí  T4.2022 đội Nam - a Thành</t>
  </si>
  <si>
    <t>LN từ bán hàng  T4.2022 phải trả đội Đạt - a Thành</t>
  </si>
  <si>
    <t>Khoản phải thu để phân bổ chi phí  T4.2022 đội Quý - a Thành</t>
  </si>
  <si>
    <t>TT CP xe T4.2022 - P. Đạt</t>
  </si>
  <si>
    <t>TT CP xe T4.2022 - Sàn Nam</t>
  </si>
  <si>
    <t>TT CP xe T4.2022 - Sàn Quân</t>
  </si>
  <si>
    <t>TT CP xe T4.2022 - Sàn Vy</t>
  </si>
  <si>
    <t>TT CP xe T4.2022 - Quý</t>
  </si>
  <si>
    <t>TT CP thuê mặt bằng T4.2022 - P. Đạt</t>
  </si>
  <si>
    <t>TT CP thuê mặt bằng T4.2022 - Sàn Nam</t>
  </si>
  <si>
    <t>TT CP thuê mặt bằng T4.2022 - Sàn Quân</t>
  </si>
  <si>
    <t>TT CP thuê mặt bằng T4.2022 - Sàn Vy</t>
  </si>
  <si>
    <t>TT CP MKT T4.2022 - P. Đạt</t>
  </si>
  <si>
    <t>TT CP MKT T4.2022 - Sàn Nam</t>
  </si>
  <si>
    <t>TT CP MKT T4.2022 - Sàn Quân</t>
  </si>
  <si>
    <t>TT CP MKT T4.2022 - Sàn Vy</t>
  </si>
  <si>
    <t>Chi TT lương T4.2022 - Sàn Quân</t>
  </si>
  <si>
    <t>Chi TT lương T4.2022 - Sàn Vy</t>
  </si>
  <si>
    <t>Chi TT lương T4.2022 - Sàn Nam</t>
  </si>
  <si>
    <t>Chi TT lương T4.2022 - Đội Đạt</t>
  </si>
  <si>
    <t>Chi TT lương T4.2022 - Quý</t>
  </si>
  <si>
    <t>Chi LNCP  T4.2022 - Vy - Vy</t>
  </si>
  <si>
    <t>Chi LNCP  T4.2022 - Vy - a Thành</t>
  </si>
  <si>
    <t>Chi LNCP  T4.2022 - Quân - Quân</t>
  </si>
  <si>
    <t>Chi LNCP  T4.2022 - Quân - a Thành</t>
  </si>
  <si>
    <t>Chi LNCP  T4.2022 - Nam - Nam</t>
  </si>
  <si>
    <t>GOPVON</t>
  </si>
  <si>
    <t>Chi LNCP  T4.2022 - Nam - a Thành</t>
  </si>
  <si>
    <t>Chi LNCP  T4.2022 - Đạt - a Thành</t>
  </si>
  <si>
    <t>Chi LNCP  T4.2022 - Quý - a Thành</t>
  </si>
  <si>
    <t>C-01 LN - Công chứng - Quân</t>
  </si>
  <si>
    <t>LN.C-01</t>
  </si>
  <si>
    <t>C-01 LN - HH Sàn - Quân</t>
  </si>
  <si>
    <t>C-01 LN - HH NV - Quân</t>
  </si>
  <si>
    <t>C-01 LN - Thưởng NV - Quân</t>
  </si>
  <si>
    <t>C-01 LN - HHTP - Quân</t>
  </si>
  <si>
    <t>C-01 LN - Phí hỗ trợ - Quân</t>
  </si>
  <si>
    <t>C-01 LN - Kinh phí hoạt động - Quân</t>
  </si>
  <si>
    <t>C-01 LN - Thưởng MKT - Quân</t>
  </si>
  <si>
    <t>C-04 LN - Công chứng - Quân</t>
  </si>
  <si>
    <t>LN.C-04</t>
  </si>
  <si>
    <t>C-04 LN - HH Sàn - Quân</t>
  </si>
  <si>
    <t>C-04 LN - HH NV - Quân</t>
  </si>
  <si>
    <t>C-04 LN - Thưởng NV - Quân</t>
  </si>
  <si>
    <t>C-04 LN - HHTP - Quân</t>
  </si>
  <si>
    <t>C-04 LN - Phí hỗ trợ - Quân</t>
  </si>
  <si>
    <t>C-04 LN - Kinh phí hoạt động - Quân</t>
  </si>
  <si>
    <t>C-04 LN - Thưởng MKT - Quân</t>
  </si>
  <si>
    <t>C-02 LN - Công chứng - Vy</t>
  </si>
  <si>
    <t>LN.C-02</t>
  </si>
  <si>
    <t>S0050</t>
  </si>
  <si>
    <t>C-02 LN - HH Sàn - Vy</t>
  </si>
  <si>
    <t>C-02 LN - HH NV - Vy</t>
  </si>
  <si>
    <t>C-02 LN - Thưởng NV - Vy</t>
  </si>
  <si>
    <t>C-02 LN - CKKH - Vy</t>
  </si>
  <si>
    <t>C-02 LN - Phí hỗ trợ - Vy</t>
  </si>
  <si>
    <t>C-02 LN - Kinh phí hoạt động - Vy</t>
  </si>
  <si>
    <t>C-02 LN - Thưởng MKT - Vy</t>
  </si>
  <si>
    <t>Chi tiền hoa ns nhân viên 3/5 nv dũng đội Nam</t>
  </si>
  <si>
    <t>HIEUHI</t>
  </si>
  <si>
    <t>PHUCLOI</t>
  </si>
  <si>
    <t>Chi tiền nhận hồ sơ hh nam SG + phí ck TN +BHHX..</t>
  </si>
  <si>
    <t>Chi tiền MKT tuyển dụng</t>
  </si>
  <si>
    <t>Chi tiền nộp car đt tuyển dụng</t>
  </si>
  <si>
    <t>Thùng đá giữ nhiệt ĐI LỘC NGÃI+ LÀM DÙ</t>
  </si>
  <si>
    <t>Thanh toán tiền phí sửa số ĐT ( GPKD ) lần 2 (phí )</t>
  </si>
  <si>
    <t>Chi tiền làm bảng tên nv trưởng phòng</t>
  </si>
  <si>
    <t>Chi tiền đăng tin tuyển dụng JobsGO+vat</t>
  </si>
  <si>
    <t>Chi tiền thưởng giải bóng đá nam seagame 31 vòng loại</t>
  </si>
  <si>
    <t>Chi tiền mua quà tặng NV( bình nước+ sen đá)</t>
  </si>
  <si>
    <t>DAOTAO</t>
  </si>
  <si>
    <t>Chi tiền phí giải thể+ báo tăng BHXH</t>
  </si>
  <si>
    <t>Mua bì thư + phí gởi thư xin lỗi chậm sổ dự án Tây Ninh</t>
  </si>
  <si>
    <t>Chi tiền hoa sinh nhật công ty Seishin + đám tang nhà c yến</t>
  </si>
  <si>
    <t>Chi tiền thưởng giải bóng đá nam seagame 31 bán kết việt nam + chung kết</t>
  </si>
  <si>
    <t>Chạy tuyển dụng chợ tốt</t>
  </si>
  <si>
    <t>Chi tiền sửa máy lạnh và sửa điện phòng 3.02 đội Cảnh</t>
  </si>
  <si>
    <t>A-07 LN - Công chứng - Quân</t>
  </si>
  <si>
    <t>LN.A-07</t>
  </si>
  <si>
    <t>A-07 LN - HH Sàn - Quân</t>
  </si>
  <si>
    <t>A-07 LN - HH NV - Quân</t>
  </si>
  <si>
    <t>A-07 LN - Thưởng NV - Quân</t>
  </si>
  <si>
    <t>A-07 LN - Thưởng MKT - Quân</t>
  </si>
  <si>
    <t>A-07 LN - Phí hỗ trợ - Quân</t>
  </si>
  <si>
    <t>A-07 LN - Kinh phí hoạt động - Quân</t>
  </si>
  <si>
    <t>Thanh toán tiền nét line: t008gftth_thynna8/line2: t008_gftth_thuntm408</t>
  </si>
  <si>
    <t>Chi tiền công tác Lộc Ngãi (29/5/2022-2/5/2022) sàn Nhất Lộc Phát</t>
  </si>
  <si>
    <t>HOTRONV</t>
  </si>
  <si>
    <t>Chi tiền mua cây lau nhà + giấy vệ sinh + túi rác</t>
  </si>
  <si>
    <t>Mua hoa+trái cây+xôi chè ông Địa M1+10+15.4 AL</t>
  </si>
  <si>
    <t>Chi tiền thuê máy photo tháng 4/2022</t>
  </si>
  <si>
    <t>TRANGAYNCC</t>
  </si>
  <si>
    <t>Thanh toán tiền 24 bình nước Bidrico 7/5/2022+18/5/2022+28/5/2022</t>
  </si>
  <si>
    <t>Thanh toán tiền điện 482 tháng 5/2022</t>
  </si>
  <si>
    <t>Chi tiền xe SG-ĐL 29/4/2022 Sàn Nhất Lộc Phát</t>
  </si>
  <si>
    <t>DICHUYEN</t>
  </si>
  <si>
    <t>Chi tiền vé máy bay ĐL-SG 1/5/2022 Sàn Nhất Lộc Phát</t>
  </si>
  <si>
    <t>Tiền nhà 482 T5.2022 - Đội Đạt</t>
  </si>
  <si>
    <t>Thuế nhà nhà 482 T5.2022 - Đội Đạt</t>
  </si>
  <si>
    <t>Tiền nhà xe T5.2022 - Đội Đạt</t>
  </si>
  <si>
    <t>Chi tiền giới thiệu nhân viên mới và có giao dịch</t>
  </si>
  <si>
    <t>Chi tiền công tác Lộc Ngãi (29/5/2022-2/5/2022) sàn Tín Trường Thịnh</t>
  </si>
  <si>
    <t>Tiền nhà 482 T5.2022 - Đội Vy</t>
  </si>
  <si>
    <t>Thuế nhà nhà 482 T5.2022 - Đội Vy</t>
  </si>
  <si>
    <t>Tiền nhà xe T5.2022 - Đội Vy</t>
  </si>
  <si>
    <t>Chi tiền phòng công tác 2-4/5/2022 đội Quân</t>
  </si>
  <si>
    <t>Chi tiền công tác Lộc Ngãi (29/5/2022-2/5/2022) sàn tướng Quân</t>
  </si>
  <si>
    <t>Tiền nhà 482 T5.2022 - Đội Quân</t>
  </si>
  <si>
    <t>Thuế nhà nhà 482 T5.2022 - Đội Quân</t>
  </si>
  <si>
    <t>Tiền nhà xe T5.2022 - Đội Quân</t>
  </si>
  <si>
    <t>Chi tiền phòng công tác 2-4/5/2022 đội Nam</t>
  </si>
  <si>
    <t>Tiền nhà 482 T5.2022 - Đội Nam</t>
  </si>
  <si>
    <t>Thuế nhà nhà 482 T5.2022 - Đội Nam</t>
  </si>
  <si>
    <t>Tiền nhà xe T5.2022 - Đội Nam</t>
  </si>
  <si>
    <t>Xe Nam chở kế toán đi Ngân hàng</t>
  </si>
  <si>
    <t>Xe 16 chở khách đội Đạt đi Lộc Ngãi (50/50)</t>
  </si>
  <si>
    <t>Xe Qúy chở khách đội Nam đi 482-QL13-Lộc Ngãi-&lt;=&gt;</t>
  </si>
  <si>
    <t>Xe Qúy chở khách đội Nam đi 482-Lộc ngãi-di linh&lt;=&gt;</t>
  </si>
  <si>
    <t>Xe Nam chở khách đội Nam đi 482-Lộc Ngãi-482</t>
  </si>
  <si>
    <t>Xe Qúy chở khách đội Quân đi 482-Hoocmoon- Q4-Lộc ngãi ( long khánh)&lt;=&gt;</t>
  </si>
  <si>
    <t>Xe 29 chở khách đội Quân đi Lộc Ngãi (50/50)</t>
  </si>
  <si>
    <t>Xe quý chở khách đội Quân đi 482-Hooc môn-lộc ngãi-&lt;=&gt;</t>
  </si>
  <si>
    <t>Xe Nam chở khách đội Quân đi 482-TP Bảo Lộc-Lộc Ngãi-Phú Nhuận-482</t>
  </si>
  <si>
    <t>Xe Qúy chở khách đội Quân đi 482-Long Khánh-Lộc Ngãi-&lt;=&gt;</t>
  </si>
  <si>
    <t>Xe Quang chở khách đội Vy đi 482- Lộc Ngãi ( xe ngoài)</t>
  </si>
  <si>
    <t>Xe Nam chở khách đội Vy đi 482-Q11-Lộc ngãi-bù nho Bình Phước-482</t>
  </si>
  <si>
    <t>Xe Thắng chở khách đội Vy đi 482 -Tân châu-tân phú-Cát Lái-Lộc Ngãi &lt;=&gt;</t>
  </si>
  <si>
    <t>Chi thưởng chiến dịch thần tốc sàn Quân</t>
  </si>
  <si>
    <t>THUONGLD</t>
  </si>
  <si>
    <t>C-01 LN - Nhận HH Sàn - Quân</t>
  </si>
  <si>
    <t>C-01 LN - Chi HH NV - Quân</t>
  </si>
  <si>
    <t>C-01 LN - Chi Thưởng NV - Quân</t>
  </si>
  <si>
    <t>C-01 LN - Chi tạm ứng HHTP - Quân</t>
  </si>
  <si>
    <t>Chi tạm ứng hoa hồng trưởng phòng bằng TM</t>
  </si>
  <si>
    <t>C-01 LN - Chi Phí hỗ trợ - Quân</t>
  </si>
  <si>
    <t>C-01 LN - Trích Kinh phí hoạt động 8% - Quân</t>
  </si>
  <si>
    <t>C-01 LN - Chi thưởng MKT - Quân</t>
  </si>
  <si>
    <t>C-04 LN - Nhận HH Sàn - Quân</t>
  </si>
  <si>
    <t>C-04 LN - Chi HH NV - Quân</t>
  </si>
  <si>
    <t>C-04 LN - Chi Thưởng NV - Quân</t>
  </si>
  <si>
    <t>C-04 LN - Chi tạm ứng HHTP - Quân</t>
  </si>
  <si>
    <t>C-04 LN - Chi Phí hỗ trợ - Quân</t>
  </si>
  <si>
    <t>C-04 LN - Trích Kinh phí hoạt động 8% - Quân</t>
  </si>
  <si>
    <t>C-04 LN - Chi thưởng MKT - Quân</t>
  </si>
  <si>
    <t>CP MKT T5.2022 - Đội Đạt</t>
  </si>
  <si>
    <t>CP MKT T5.2022 - Đội Vy</t>
  </si>
  <si>
    <t>CP  ngoài T5.2022 - Đội Vy</t>
  </si>
  <si>
    <t>CP MKT T5.2022 - Đội Quân</t>
  </si>
  <si>
    <t>CP  ngoài T5.2022 - Đội Quân</t>
  </si>
  <si>
    <t>CP MKT T5.2022 - Đội Nam</t>
  </si>
  <si>
    <t>Khoản phải truy thu MKT T5.2022 - Đội Đạt</t>
  </si>
  <si>
    <t>Khoản phải truy thu MKT T5.2022 - Đội Vy</t>
  </si>
  <si>
    <t>Khoản thưởng chỉ tiêu MKT T5.2022 phải trả Đội Quân</t>
  </si>
  <si>
    <t>Khoản phải truy thu MKT T5.2022 - Đội Nam</t>
  </si>
  <si>
    <t>Phải trả Lương BPHT - Đạt</t>
  </si>
  <si>
    <t>Phải trả Lương BPHT - Nam</t>
  </si>
  <si>
    <t>Phải trả Lương BPHT - Quân</t>
  </si>
  <si>
    <t>Phải trả Lương BPHT - Vy</t>
  </si>
  <si>
    <t xml:space="preserve">BHXH trừ lương BPHT - Đạt </t>
  </si>
  <si>
    <t>Trích BHXH trừ lương NLĐ</t>
  </si>
  <si>
    <t>BHXH trừ lương BPHT - Nam</t>
  </si>
  <si>
    <t xml:space="preserve">BHXH trừ lương BPHT - Quân </t>
  </si>
  <si>
    <t>BHXH trừ lương BPHT - Vy</t>
  </si>
  <si>
    <t xml:space="preserve">BHYT trừ lương BPHT - Đạt </t>
  </si>
  <si>
    <t>Trích BHYT trừ lương NLĐ</t>
  </si>
  <si>
    <t>BHYT trừ lương BPHT - Nam</t>
  </si>
  <si>
    <t xml:space="preserve">BHYT trừ lương BPHT - Quân </t>
  </si>
  <si>
    <t>BHYT trừ lương BPHT - Vy</t>
  </si>
  <si>
    <t xml:space="preserve">BHTN trừ lương BPHT - Đạt </t>
  </si>
  <si>
    <t>Trích BHTN trừ lương NLĐ</t>
  </si>
  <si>
    <t>BHTN trừ lương BPHT - Nam</t>
  </si>
  <si>
    <t xml:space="preserve">BHTN trừ lương BPHT - Quân </t>
  </si>
  <si>
    <t>BHTN trừ lương BPHT - Vy</t>
  </si>
  <si>
    <t>Phải trả Lương Lãnh đạo - Sàn Nam</t>
  </si>
  <si>
    <t>Phải trả Lương Lãnh đạo - Sàn Quân</t>
  </si>
  <si>
    <t>Phải trả Lương Lãnh đạo - Sàn Vy</t>
  </si>
  <si>
    <t>Phải trả Lương NV - đội Đạt</t>
  </si>
  <si>
    <t xml:space="preserve">BHXH trừ lương NV - Đạt </t>
  </si>
  <si>
    <t>BHYT trừ lương NV - Đạt</t>
  </si>
  <si>
    <t>BHTN trừ lương NV - Đạt</t>
  </si>
  <si>
    <t>Phải trả Lương NV - Đội Nam</t>
  </si>
  <si>
    <t>Phải trả Lươg NV - Đội Quân</t>
  </si>
  <si>
    <t>Phải trả Lương NV - Đội Cảnh</t>
  </si>
  <si>
    <t>CANH</t>
  </si>
  <si>
    <t>Phải trả Lương NV - Đội Vy</t>
  </si>
  <si>
    <t>BHXH trừ lương NV - Vy</t>
  </si>
  <si>
    <t>BHYT trừ lương NV - Vy</t>
  </si>
  <si>
    <t>BHTN trừ lương NV - Vy</t>
  </si>
  <si>
    <t>BHXH tính CP</t>
  </si>
  <si>
    <t>Trích BHXH tính vào chi phí quản lý</t>
  </si>
  <si>
    <t>BHXH</t>
  </si>
  <si>
    <t>BHYT tính CP</t>
  </si>
  <si>
    <t>Trích BHYT tính vào chi phí quản lý</t>
  </si>
  <si>
    <t>Hoàn ứng HHTP (C-01 + C-04) - Sàn Quân</t>
  </si>
  <si>
    <t>Hoàn ứng hoa hồng trưởng phòng do chi thừa</t>
  </si>
  <si>
    <t>KC GVDV T5.2022 - Sàn Vy</t>
  </si>
  <si>
    <t>KC GVDV T5.2022 - Sàn Quân</t>
  </si>
  <si>
    <t>KC GVDV T5.2022 - Sàn Nam</t>
  </si>
  <si>
    <t>KC GVDV T5.2022 - P. Đạt</t>
  </si>
  <si>
    <t>KC GVDV T5.2022 - Cảnh</t>
  </si>
  <si>
    <t>KC CPBH T5.2022 - Sàn Vy</t>
  </si>
  <si>
    <t>KC CPBH T5.2022 - Sàn Quân</t>
  </si>
  <si>
    <t>KC CPBH T5.2022 - Sàn Nam</t>
  </si>
  <si>
    <t>KC CPBH T5.2022 - P. Đạt</t>
  </si>
  <si>
    <t>KC CPBH T5.2022 - Cảnh</t>
  </si>
  <si>
    <t>KC CPQL T5.2022 - Sàn Vy</t>
  </si>
  <si>
    <t>KC CPQL T5.2022 - Sàn Quân</t>
  </si>
  <si>
    <t>KC CPQL T5.2022 - Sàn Nam</t>
  </si>
  <si>
    <t>KC CPQL T5.2022 - P. Đạt</t>
  </si>
  <si>
    <t>KC DT T5.2022 - Sàn Quân</t>
  </si>
  <si>
    <t>KC DT T5.2022 - Sàn Vy</t>
  </si>
  <si>
    <t>Khoản phải thu để phân bổ chi phí T5.2022 - đội Nam - Nam</t>
  </si>
  <si>
    <t>Khoản phải thu để phân bổ chi phí T5.2022 - đội Nam - a Thành</t>
  </si>
  <si>
    <t>Khoản phải thu để phân bổ chi phí T5.2022 - đội Đạt - a Thành</t>
  </si>
  <si>
    <t>Khoản phải thu để phân bổ chi phí T5.2022 - đội Cảnh - a Thành</t>
  </si>
  <si>
    <t>Khoản phải trả từ LN bán hàng T5.2022 - đội Vy - Vy</t>
  </si>
  <si>
    <t>Khoản phải trả từ LN bán hàng T5.2022 - đội Vy - a Thành</t>
  </si>
  <si>
    <t>Khoản phải trả từ LN bán hàng T5.2022 - đội Quân - Quân</t>
  </si>
  <si>
    <t>Khoản phải trả từ LN bán hàng T5.2022 - đội Quân - a Thành</t>
  </si>
  <si>
    <t>A-05.LN.Đạt. Công chứng</t>
  </si>
  <si>
    <t>A-13.KTP.Quân. Công chứng</t>
  </si>
  <si>
    <t>KTPHU</t>
  </si>
  <si>
    <t>A-14.KTP.Quân. Công chứng</t>
  </si>
  <si>
    <t>C-06.LN.Nam. Công chứng</t>
  </si>
  <si>
    <t>B-03.LN.Đạt. Công chứng</t>
  </si>
  <si>
    <t>SỐ HIỆU TK TT</t>
  </si>
  <si>
    <t>TÊN TÀI KHOẢN</t>
  </si>
  <si>
    <t>Tính chất</t>
  </si>
  <si>
    <t>Chức năng</t>
  </si>
  <si>
    <t>Theo dõi chi tiết theo</t>
  </si>
  <si>
    <t>Cấp 1</t>
  </si>
  <si>
    <t>Cấp 2</t>
  </si>
  <si>
    <t>Đối tượng</t>
  </si>
  <si>
    <t>Hợp đồng mua</t>
  </si>
  <si>
    <t>Hợp đồng bán</t>
  </si>
  <si>
    <t>Đơn hàng</t>
  </si>
  <si>
    <t>Tài khoản ngân hàng</t>
  </si>
  <si>
    <t>Khoản mục CP</t>
  </si>
  <si>
    <t>Dự án</t>
  </si>
  <si>
    <t>Sản phẩm</t>
  </si>
  <si>
    <t>Dòng tiền</t>
  </si>
  <si>
    <t>LOẠI TÀI KHOẢN TÀI SẢN</t>
  </si>
  <si>
    <t>Tiền mặt</t>
  </si>
  <si>
    <t>Dư Nợ</t>
  </si>
  <si>
    <t>Sử dụng</t>
  </si>
  <si>
    <t>1111</t>
  </si>
  <si>
    <t>Tiền Việt Nam</t>
  </si>
  <si>
    <t>1112</t>
  </si>
  <si>
    <t>Ngoại tệ</t>
  </si>
  <si>
    <t>Tiền gửi không kỳ hạn</t>
  </si>
  <si>
    <t>Bắt buộc</t>
  </si>
  <si>
    <t>1121</t>
  </si>
  <si>
    <t>Tài khoản Vpank 1224343</t>
  </si>
  <si>
    <t>Tài khaorn VCB 121323</t>
  </si>
  <si>
    <t>1122</t>
  </si>
  <si>
    <t>Chứng khoán kinh doanh</t>
  </si>
  <si>
    <t>Đầu tư nắm giữ đến ngày đáo hạn</t>
  </si>
  <si>
    <t>1281</t>
  </si>
  <si>
    <t>Tiền gửi có kỳ hạn</t>
  </si>
  <si>
    <t>1288</t>
  </si>
  <si>
    <t>Các khoản đầu tư khác nắm giữ đến ngày đáo hạn</t>
  </si>
  <si>
    <t>Phải thu của khách hàng</t>
  </si>
  <si>
    <t>Lưỡng tính</t>
  </si>
  <si>
    <t>Khách hàng</t>
  </si>
  <si>
    <t>Thuế GTGT được khấu trừ</t>
  </si>
  <si>
    <t>Thuế GTGT được khấu trừ của hàng hóa, dịch vụ</t>
  </si>
  <si>
    <t>Thuế GTGT được khấu trừ của TSCĐ</t>
  </si>
  <si>
    <t>Phải thu nội bộ</t>
  </si>
  <si>
    <t>1361</t>
  </si>
  <si>
    <t>Vốn kinh doanh ở đơn vị trực thuộc</t>
  </si>
  <si>
    <t>1368</t>
  </si>
  <si>
    <t>Phải thu nội bộ khác</t>
  </si>
  <si>
    <t>Phải thu khác</t>
  </si>
  <si>
    <t>1381</t>
  </si>
  <si>
    <t>Tài sản thiếu chờ xử lý</t>
  </si>
  <si>
    <t>1386</t>
  </si>
  <si>
    <t>Cầm cố, thế chấp, ký quỹ, ký cược</t>
  </si>
  <si>
    <t>1388</t>
  </si>
  <si>
    <t>Tạm ứng</t>
  </si>
  <si>
    <t>Nhân viên</t>
  </si>
  <si>
    <t>Hàng mua đang đi đường</t>
  </si>
  <si>
    <t>Nguyên liệu, vật liệu</t>
  </si>
  <si>
    <t>Công cụ, dụng cụ</t>
  </si>
  <si>
    <t>Chi phí sản xuất, kinh doanh dở dang</t>
  </si>
  <si>
    <t>Hàng hóa</t>
  </si>
  <si>
    <t>Hàng gửi đi bán</t>
  </si>
  <si>
    <t>Tài sản cố định hữu hình</t>
  </si>
  <si>
    <t>2111</t>
  </si>
  <si>
    <t>TSCĐ hữu hình</t>
  </si>
  <si>
    <t>2112</t>
  </si>
  <si>
    <t>TSCĐ thuê tài chính</t>
  </si>
  <si>
    <t>2113</t>
  </si>
  <si>
    <t>TSCĐ vô hình</t>
  </si>
  <si>
    <t>Hao mòn tài sản cố định</t>
  </si>
  <si>
    <t>Dư Có</t>
  </si>
  <si>
    <t>2141</t>
  </si>
  <si>
    <t>Hao mòn TSCĐ hữu hình</t>
  </si>
  <si>
    <t>2142</t>
  </si>
  <si>
    <t>Hao mòn TSCĐ thuê tài chính</t>
  </si>
  <si>
    <t>2143</t>
  </si>
  <si>
    <t>Hao mòn TSCĐ vô hình</t>
  </si>
  <si>
    <t>2147</t>
  </si>
  <si>
    <t>Hao mòn bất động sản đầu tư</t>
  </si>
  <si>
    <t>Bất động sản đầu tư</t>
  </si>
  <si>
    <t>228</t>
  </si>
  <si>
    <t>Đầu tư góp vốn vào đơn vị khác</t>
  </si>
  <si>
    <t>2281</t>
  </si>
  <si>
    <t>Đầu tư vào công ty liên doanh, liên kết</t>
  </si>
  <si>
    <t>2288</t>
  </si>
  <si>
    <t>Đầu tư khác</t>
  </si>
  <si>
    <t>Dự phòng tổn thất tài sản</t>
  </si>
  <si>
    <t>2291</t>
  </si>
  <si>
    <t>Dự phòng giảm giá chứng khoán kinh doanh</t>
  </si>
  <si>
    <t>2292</t>
  </si>
  <si>
    <t>Dự phòng tổn thất đầu tư vào đơn vị khác</t>
  </si>
  <si>
    <t>2293</t>
  </si>
  <si>
    <t>Dự phòng phải thu khó đòi</t>
  </si>
  <si>
    <t>2294</t>
  </si>
  <si>
    <t>Dự phòng giảm giá hàng tồn kho</t>
  </si>
  <si>
    <t>Xây dựng cơ bản dở dang</t>
  </si>
  <si>
    <t>2411</t>
  </si>
  <si>
    <t>Mua sắm TSCĐ</t>
  </si>
  <si>
    <t>2412</t>
  </si>
  <si>
    <t>Xây dựng cơ bản</t>
  </si>
  <si>
    <t>2413</t>
  </si>
  <si>
    <t>Sửa chữa lớn TSCĐ</t>
  </si>
  <si>
    <t>Chi phí chờ phân bổ</t>
  </si>
  <si>
    <t>LOẠI TÀI KHOẢN NỢ PHẢI TRẢ</t>
  </si>
  <si>
    <t>Phải trả cho người bán</t>
  </si>
  <si>
    <t>Nhà cung cấp</t>
  </si>
  <si>
    <t>Thuế và các khoản phải nộp Nhà nước</t>
  </si>
  <si>
    <t>Thuế giá trị gia tăng phải nộp</t>
  </si>
  <si>
    <t>33311</t>
  </si>
  <si>
    <t>Thuế GTGT đầu ra</t>
  </si>
  <si>
    <t>33312</t>
  </si>
  <si>
    <t>Thuế GTGT hàng nhập khẩu</t>
  </si>
  <si>
    <t>3332</t>
  </si>
  <si>
    <t>Thuế tiêu thụ đặc biệt</t>
  </si>
  <si>
    <t>3333</t>
  </si>
  <si>
    <t>Thuế xuất, nhập khẩu</t>
  </si>
  <si>
    <t>3334</t>
  </si>
  <si>
    <t>Thuế thu nhập doanh nghiệp</t>
  </si>
  <si>
    <t>3335</t>
  </si>
  <si>
    <t>Thuế thu nhập cá nhân</t>
  </si>
  <si>
    <t>3336</t>
  </si>
  <si>
    <t>Thuế tài nguyên</t>
  </si>
  <si>
    <t>3337</t>
  </si>
  <si>
    <t>Thuế nhà đất, tiền thuê đất</t>
  </si>
  <si>
    <t>3338</t>
  </si>
  <si>
    <t>Thuế bảo vệ môi trường và các loại thuế khác</t>
  </si>
  <si>
    <t>33381</t>
  </si>
  <si>
    <t>Thuế bảo vệ môi trường</t>
  </si>
  <si>
    <t>33382</t>
  </si>
  <si>
    <t>Các loại thuế khác</t>
  </si>
  <si>
    <t>3339</t>
  </si>
  <si>
    <t>Phí, lệ phí và các khoản phải nộp khác</t>
  </si>
  <si>
    <t>Phải trả người lao động</t>
  </si>
  <si>
    <t>Chi phí phải trả</t>
  </si>
  <si>
    <t>Phải trả nội bộ</t>
  </si>
  <si>
    <t>3361</t>
  </si>
  <si>
    <t>Phải trả nội bộ về vốn kinh doanh</t>
  </si>
  <si>
    <t>3368</t>
  </si>
  <si>
    <t>Phải trả nội bộ khác</t>
  </si>
  <si>
    <t>Phải trả, phải nộp khác</t>
  </si>
  <si>
    <t>3381</t>
  </si>
  <si>
    <t>Tài sản thừa chờ giải quyết</t>
  </si>
  <si>
    <t>3382</t>
  </si>
  <si>
    <t>Kinh phí công đoàn</t>
  </si>
  <si>
    <t>3383</t>
  </si>
  <si>
    <t>Bảo hiểm xã hội</t>
  </si>
  <si>
    <t>3384</t>
  </si>
  <si>
    <t>Bảo hiểm y tế</t>
  </si>
  <si>
    <t>3385</t>
  </si>
  <si>
    <t>Bảo hiểm thất nghiệp</t>
  </si>
  <si>
    <t>3386</t>
  </si>
  <si>
    <t>Nhận ký quỹ, ký cược</t>
  </si>
  <si>
    <t>3387</t>
  </si>
  <si>
    <t>Doanh thu chưa thực hiện</t>
  </si>
  <si>
    <t>3388</t>
  </si>
  <si>
    <t>Vay và nợ thuê tài chính</t>
  </si>
  <si>
    <t>Các khoản đi vay</t>
  </si>
  <si>
    <t>Nợ thuê tài chính</t>
  </si>
  <si>
    <t>Dự phòng phải trả</t>
  </si>
  <si>
    <t>3521</t>
  </si>
  <si>
    <t>Dự phòng bảo hành sản phẩm hàng hóa</t>
  </si>
  <si>
    <t>3522</t>
  </si>
  <si>
    <t>Dự phòng bảo hành công trình xây dựng</t>
  </si>
  <si>
    <t>3524</t>
  </si>
  <si>
    <t>Dự phòng phải trả khác</t>
  </si>
  <si>
    <t>Quỹ khen thưởng, phúc lợi</t>
  </si>
  <si>
    <t>Quỹ khen thưởng</t>
  </si>
  <si>
    <t>Quỹ phúc lợi</t>
  </si>
  <si>
    <t>Quỹ phúc lợi đã hình thành TSCĐ</t>
  </si>
  <si>
    <t>Quỹ thưởng ban quản lý điều hành công ty</t>
  </si>
  <si>
    <t>Quỹ phát triển khoa học và công nghệ</t>
  </si>
  <si>
    <t>3561</t>
  </si>
  <si>
    <t>3562</t>
  </si>
  <si>
    <t>Quỹ phát triển khoa học và công nghệ đã hình thành TSCĐ</t>
  </si>
  <si>
    <t>Quỹ bình ổn giá</t>
  </si>
  <si>
    <t>LOẠI TÀI KHOẢN VỐN CHỦ SỞ HỮU</t>
  </si>
  <si>
    <t>Vốn đầu tư của chủ sở hữu</t>
  </si>
  <si>
    <t>4111</t>
  </si>
  <si>
    <t>Vốn góp của chủ sở hữu</t>
  </si>
  <si>
    <t>4112</t>
  </si>
  <si>
    <t>Thặng dư vốn cổ phần</t>
  </si>
  <si>
    <t>4118</t>
  </si>
  <si>
    <t>Vốn khác</t>
  </si>
  <si>
    <t>Chênh lệch tỷ giá hối đoái</t>
  </si>
  <si>
    <t>Các quỹ khác thuộc vốn chủ sở hữu</t>
  </si>
  <si>
    <t>Cổ phiếu mua lại của chính mình</t>
  </si>
  <si>
    <t>Lợi nhuận sau thuế chưa phân phối</t>
  </si>
  <si>
    <t>Lợi nhuận sau thuế chưa phân phối lũy kế đến cuối năm trước</t>
  </si>
  <si>
    <t>Lợi nhuận sau thuế chưa phân phối năm nay</t>
  </si>
  <si>
    <t>LOẠI TÀI KHOẢN DOANH THU</t>
  </si>
  <si>
    <t>Doanh thu bán hàng và cung cấp dịch vụ</t>
  </si>
  <si>
    <t>Không có số dư</t>
  </si>
  <si>
    <t>5111</t>
  </si>
  <si>
    <t>Doanh thu bán hàng hóa</t>
  </si>
  <si>
    <t>5112</t>
  </si>
  <si>
    <t>Doanh thu bán thành phẩm</t>
  </si>
  <si>
    <t>5113</t>
  </si>
  <si>
    <t>Doanh thu cung cấp dịch vụ</t>
  </si>
  <si>
    <t>5118</t>
  </si>
  <si>
    <t>Doanh thu khác</t>
  </si>
  <si>
    <t>Doanh thu hoạt động tài chính</t>
  </si>
  <si>
    <t>LOẠI TÀI KHOẢN CHI PHÍ SẢN XUẤT, KINH DOANH</t>
  </si>
  <si>
    <t>611</t>
  </si>
  <si>
    <t>Mua hàng</t>
  </si>
  <si>
    <t>Giá thành sản xuất</t>
  </si>
  <si>
    <t>Giá vốn hàng bán</t>
  </si>
  <si>
    <t>Chi phí tài chính</t>
  </si>
  <si>
    <t>Chi phí quản lý doanh nghiệp</t>
  </si>
  <si>
    <t>Chi phí bán hàng</t>
  </si>
  <si>
    <t>LOẠI TÀI KHOẢN THU NHẬP KHÁC</t>
  </si>
  <si>
    <t>Thu nhập khác</t>
  </si>
  <si>
    <t>LOẠI TÀI KHOẢN CHI PHÍ KHÁC</t>
  </si>
  <si>
    <t>Chi phí khác</t>
  </si>
  <si>
    <t>Chi phí thuế thu nhập doanh nghiệp</t>
  </si>
  <si>
    <t>TÀI KHOẢN XÁC ĐỊNH KẾT QUẢ KINH DOANH</t>
  </si>
  <si>
    <t>Xác định kết quả kinh doanh</t>
  </si>
  <si>
    <t>PHỤ LỤC I</t>
  </si>
  <si>
    <t>DANH MỤC VÀ BIỂU MẪU CHỨNG TỪ KẾ TOÁN</t>
  </si>
  <si>
    <t>(Kèm theo Thông tư số 99/2025/TT-BTC ngày 27 tháng 10 năm 2025 của Bộ trưởng Bộ Tài chính)</t>
  </si>
  <si>
    <t>TT</t>
  </si>
  <si>
    <t>TÊN CHỨNG TỪ</t>
  </si>
  <si>
    <t>SỐ HIỆU</t>
  </si>
  <si>
    <t>I. Lao động tiền lương</t>
  </si>
  <si>
    <t>Bảng thanh toán tiền lương</t>
  </si>
  <si>
    <t>01 - LĐTL</t>
  </si>
  <si>
    <t>Bảng thanh toán tiền thưởng</t>
  </si>
  <si>
    <t>02 - LĐTL</t>
  </si>
  <si>
    <t>Bảng thanh toán tiền làm thêm giờ</t>
  </si>
  <si>
    <t>03 - LĐTL</t>
  </si>
  <si>
    <t>Bảng thanh toán tiền thuê ngoài</t>
  </si>
  <si>
    <t>04 - LĐTL</t>
  </si>
  <si>
    <t>Hợp đồng giao khoán</t>
  </si>
  <si>
    <t>05 - LĐTL</t>
  </si>
  <si>
    <t>Biên bản thanh lý (nghiệm thu) hợp đồng giao khoán</t>
  </si>
  <si>
    <t>06 - LĐTL</t>
  </si>
  <si>
    <t>Bảng kê trích nộp các khoản theo lương</t>
  </si>
  <si>
    <t>07 - LĐTL</t>
  </si>
  <si>
    <t>Bảng phân bổ tiền lương và các khoản trích theo lương</t>
  </si>
  <si>
    <t>08 - LĐTL</t>
  </si>
  <si>
    <t>II. Hàng tồn kho</t>
  </si>
  <si>
    <t>Phiếu nhập kho</t>
  </si>
  <si>
    <t>01 - VT</t>
  </si>
  <si>
    <t>Phiếu xuất kho</t>
  </si>
  <si>
    <t>02 - VT</t>
  </si>
  <si>
    <t>Biên bản kiểm nghiệm vật tư, công cụ, sản phẩm, hàng hóa</t>
  </si>
  <si>
    <t>03 - VT</t>
  </si>
  <si>
    <t>Bảng kê chi tiết vật tư còn lại cuối kỳ</t>
  </si>
  <si>
    <t>04 - VT</t>
  </si>
  <si>
    <t>Biên bản tổng hợp kiểm kê vật tư, công cụ, sản phẩm, hàng hóa</t>
  </si>
  <si>
    <t>05 - VT</t>
  </si>
  <si>
    <t>Bảng kê mua hàng</t>
  </si>
  <si>
    <t>06 - VT</t>
  </si>
  <si>
    <t>Bảng phân bổ nguyên liệu, vật liệu, công cụ, dụng cụ</t>
  </si>
  <si>
    <t>07 - VT</t>
  </si>
  <si>
    <t>III. Bán hàng</t>
  </si>
  <si>
    <t>Bảng thanh toán hàng đại lý, ký gửi</t>
  </si>
  <si>
    <t>01 - BH</t>
  </si>
  <si>
    <t>Thẻ quầy hàng</t>
  </si>
  <si>
    <t>02 - BH</t>
  </si>
  <si>
    <t>IV. Tiền tệ</t>
  </si>
  <si>
    <t>Phiếu thu</t>
  </si>
  <si>
    <t>01 - TT</t>
  </si>
  <si>
    <t>Phiếu chi</t>
  </si>
  <si>
    <t>02 - TT</t>
  </si>
  <si>
    <t>Giấy đề nghị tạm ứng</t>
  </si>
  <si>
    <t>03 - TT</t>
  </si>
  <si>
    <t>Giấy thanh toán tiền tạm ứng</t>
  </si>
  <si>
    <t>04 - TT</t>
  </si>
  <si>
    <t>Giấy đề nghị thanh toán</t>
  </si>
  <si>
    <t>05 - TT</t>
  </si>
  <si>
    <t>Biên lai thu tiền</t>
  </si>
  <si>
    <t>06 - TT</t>
  </si>
  <si>
    <t>Bảng kê vàng tiền tệ</t>
  </si>
  <si>
    <t>07 - TT</t>
  </si>
  <si>
    <t>Bảng kiểm kê quỹ (dùng cho VND)</t>
  </si>
  <si>
    <t>08a - TT</t>
  </si>
  <si>
    <t>Bảng kiểm kê quỹ (dùng cho ngoại tệ, vàng tiền tệ)</t>
  </si>
  <si>
    <t>08b - TT</t>
  </si>
  <si>
    <t>Bảng kê chi tiền</t>
  </si>
  <si>
    <t>09 - TT</t>
  </si>
  <si>
    <t>V. Tài sản cố định</t>
  </si>
  <si>
    <t>Biên bản giao nhận TSCĐ</t>
  </si>
  <si>
    <t>01 - TSCĐ</t>
  </si>
  <si>
    <t>Biên bản thanh lý TSCĐ</t>
  </si>
  <si>
    <t>02 - TSCĐ</t>
  </si>
  <si>
    <t>Biên bản bàn giao TSCĐ sửa chữa, bảo dưỡng hoặc nâng cấp, cải tạo hoàn thành</t>
  </si>
  <si>
    <t>03 - TSCĐ</t>
  </si>
  <si>
    <t>Biên bản đánh giá lại TSCĐ</t>
  </si>
  <si>
    <t>04 - TSCĐ</t>
  </si>
  <si>
    <t>Biên bản tổng hợp kiểm kê TSCĐ</t>
  </si>
  <si>
    <t>05 - TSCĐ</t>
  </si>
  <si>
    <t>Bảng tính và phân bổ khấu hao TSCĐ</t>
  </si>
  <si>
    <t>06 - TSCĐ</t>
  </si>
  <si>
    <t>PHỤ LỤC III</t>
  </si>
  <si>
    <t>SỔ KẾ TOÁN</t>
  </si>
  <si>
    <t>PHẦN A - DANH MỤC BIỂU MẪU SỔ KẾ TOÁN</t>
  </si>
  <si>
    <t>Số TT</t>
  </si>
  <si>
    <t>Tên sổ</t>
  </si>
  <si>
    <t>Ký hiệu</t>
  </si>
  <si>
    <t>Hình thức kế toán</t>
  </si>
  <si>
    <t>Nhật ký chung</t>
  </si>
  <si>
    <t>Sổ Nhật ký chung</t>
  </si>
  <si>
    <t>S03a-DN</t>
  </si>
  <si>
    <t>x</t>
  </si>
  <si>
    <t>Sổ Nhật ký thu tiền</t>
  </si>
  <si>
    <t>S03a1-DN</t>
  </si>
  <si>
    <t>Sổ Nhật ký chi tiền</t>
  </si>
  <si>
    <t>S03a2-DN</t>
  </si>
  <si>
    <t>Sổ Nhật ký mua hàng</t>
  </si>
  <si>
    <t>S03a3-DN</t>
  </si>
  <si>
    <t>Sổ Nhật ký bán hàng</t>
  </si>
  <si>
    <t>S03a4-DN</t>
  </si>
  <si>
    <t>Sổ Cái (dùng cho hình thức Nhật ký chung)</t>
  </si>
  <si>
    <t>S03b-DN</t>
  </si>
  <si>
    <t>Bảng cân đối số phát sinh</t>
  </si>
  <si>
    <t>S06-DN</t>
  </si>
  <si>
    <t>Sổ quỹ tiền mặt</t>
  </si>
  <si>
    <t>S07-DN</t>
  </si>
  <si>
    <t>Sổ kế toán chi tiết quỹ tiền mặt</t>
  </si>
  <si>
    <t>S07a-DN</t>
  </si>
  <si>
    <t>Sổ tiền gửi không kỳ hạn</t>
  </si>
  <si>
    <t>S08-DN</t>
  </si>
  <si>
    <t>Sổ chi tiết vật liệu, dụng cụ (sản phẩm, hàng hóa)</t>
  </si>
  <si>
    <t>S10-DN</t>
  </si>
  <si>
    <t>Bảng tổng hợp chi tiết vật liệu, dụng cụ, sản phẩm, hàng hóa</t>
  </si>
  <si>
    <t>S11-DN</t>
  </si>
  <si>
    <t>Thẻ kho (Sổ kho)</t>
  </si>
  <si>
    <t>S12-DN</t>
  </si>
  <si>
    <t>Sổ tài sản cố định</t>
  </si>
  <si>
    <t>S21-DN</t>
  </si>
  <si>
    <t>Sổ theo dõi TSCĐ và công cụ, dụng cụ tại nơi sử dụng</t>
  </si>
  <si>
    <t>S22-DN</t>
  </si>
  <si>
    <t>Thẻ Tài sản cố định</t>
  </si>
  <si>
    <t>S23-DN</t>
  </si>
  <si>
    <t>Sổ chi tiết thanh toán với người mua (người bán)</t>
  </si>
  <si>
    <t>S31-DN</t>
  </si>
  <si>
    <t>Sổ chi tiết thanh toán với người mua (người bán) bằng ngoại tệ</t>
  </si>
  <si>
    <t>S32-DN</t>
  </si>
  <si>
    <t>Sổ theo dõi thanh toán bằng ngoại tệ</t>
  </si>
  <si>
    <t>S33-DN</t>
  </si>
  <si>
    <t>Sổ chi tiết tiền vay</t>
  </si>
  <si>
    <t>S34-DN</t>
  </si>
  <si>
    <t>Sổ chi tiết bán hàng</t>
  </si>
  <si>
    <t>S35-DN</t>
  </si>
  <si>
    <t>Sổ chi phí sản xuất, kinh doanh</t>
  </si>
  <si>
    <t>S36-DN</t>
  </si>
  <si>
    <t>Thẻ tính giá thành sản phẩm, dịch vụ</t>
  </si>
  <si>
    <t>S37-DN</t>
  </si>
  <si>
    <t>Sổ chi tiết các tài khoản</t>
  </si>
  <si>
    <t>S38-DN</t>
  </si>
  <si>
    <t>Sổ kế toán chi tiết theo dõi các khoản đầu tư vào công ty liên doanh</t>
  </si>
  <si>
    <t>S41a-DN</t>
  </si>
  <si>
    <t>Sổ theo dõi phân bổ các khoản chênh lệch phát sinh khi mua khoản đầu tư vào công ty liên doanh</t>
  </si>
  <si>
    <t>S42a-DN</t>
  </si>
  <si>
    <t>Sổ kế toán chi tiết theo dõi các khoản đầu tư vào công ty liên kết</t>
  </si>
  <si>
    <t>S41b-DN</t>
  </si>
  <si>
    <t>Sổ theo dõi phân bổ các khoản chênh lệch phát sinh khi mua khoản đầu tư vào công ty liên kết</t>
  </si>
  <si>
    <t>S42b-DN</t>
  </si>
  <si>
    <t>Sổ chi tiết phát hành cổ phiếu</t>
  </si>
  <si>
    <t>S43-DN</t>
  </si>
  <si>
    <t>Sổ chi tiết cổ phiếu mua lại của chính mình</t>
  </si>
  <si>
    <t>S44-DN</t>
  </si>
  <si>
    <t>Sổ chi tiết đầu tư chứng khoán</t>
  </si>
  <si>
    <t>S45-DN</t>
  </si>
  <si>
    <t>Sổ theo dõi chi tiết vốn đầu tư của chủ sở hữu</t>
  </si>
  <si>
    <t>S51-DN</t>
  </si>
  <si>
    <t>Sổ chi phí đầu tư xây dựng</t>
  </si>
  <si>
    <t>S52-DN</t>
  </si>
  <si>
    <t>Sổ theo dõi thuế GTGT</t>
  </si>
  <si>
    <t>S61-DN</t>
  </si>
  <si>
    <t>Sổ chi tiết thuế GTGT được hoàn lại</t>
  </si>
  <si>
    <t>S62-DN</t>
  </si>
  <si>
    <t>Sổ chi tiết thuế GTGT được miễn giảm</t>
  </si>
  <si>
    <t>S63-DN</t>
  </si>
  <si>
    <t>Các sổ chi tiết khác theo yêu cầu quản lý của doanh nghiệp</t>
  </si>
  <si>
    <t>Tiền đang chuyển</t>
  </si>
  <si>
    <t>Trái phiếu</t>
  </si>
  <si>
    <t>Cho vay</t>
  </si>
  <si>
    <t>Phải thu nội bộ về chênh lệch tỷ giá</t>
  </si>
  <si>
    <t>Phải thu nội bộ về chi phí đi vay đủ điều kiện được vốn hoá</t>
  </si>
  <si>
    <t>Thuế TTĐB của hàng nhập khẩu</t>
  </si>
  <si>
    <t>Nguyên liệu, vật tư tại kho bảo thuế</t>
  </si>
  <si>
    <t>Giao dịch mua, bán lại trái phiếu chính phủ</t>
  </si>
  <si>
    <t>Tài sản cố định thuê tài chính</t>
  </si>
  <si>
    <t>Tài sản cố định vô hình</t>
  </si>
  <si>
    <t>Hao mòn BĐSĐT</t>
  </si>
  <si>
    <t>Tài sản sinh học</t>
  </si>
  <si>
    <t>Súc vật nuôi cho sản phẩm định kỳ</t>
  </si>
  <si>
    <t>Súc vật nuôi cho sản phẩm định kỳ chưa đạt đến giai đoạn trưởng thành</t>
  </si>
  <si>
    <t>Súc vật nuôi cho sản phẩm định kỳ đạt đến giai đoạn trưởng thành</t>
  </si>
  <si>
    <t>Nguyên giá</t>
  </si>
  <si>
    <t>Giá trị khấu hao lũy kế</t>
  </si>
  <si>
    <t>Súc vật nuôi lấy sản phẩm một lần</t>
  </si>
  <si>
    <t>Cây trồng theo mùa vụ hoặc lấy sản phẩm một lần</t>
  </si>
  <si>
    <t>Đầu tư vào công ty con</t>
  </si>
  <si>
    <t>Dự phòng tổn thất tài sản sinh học</t>
  </si>
  <si>
    <t>Sửa chữa, bảo dưỡng định kỳ TSCĐ</t>
  </si>
  <si>
    <t>Nâng cấp, cải tạo TSCĐ</t>
  </si>
  <si>
    <t>Tài sản thuế thu nhập hoãn lại</t>
  </si>
  <si>
    <t>Ký quỹ, ký cược</t>
  </si>
  <si>
    <t>Phải trả cổ tức, lợi nhuận</t>
  </si>
  <si>
    <t>Phải trả nội bộ về chênh lệch tỷ giá</t>
  </si>
  <si>
    <t>Phải trả nội bộ về chi phí đi vay đủ điều kiện được vốn hóa</t>
  </si>
  <si>
    <t>Thanh toán theo tiến độ hợp đồng xây dựng</t>
  </si>
  <si>
    <t>Doanh thu chờ phân bổ</t>
  </si>
  <si>
    <t>Trái phiếu phát hành</t>
  </si>
  <si>
    <t>Trái phiếu thường</t>
  </si>
  <si>
    <t>Trái phiếu chuyển đổi</t>
  </si>
  <si>
    <t>Thuế thu nhập hoãn lại phải trả</t>
  </si>
  <si>
    <t>Dự phòng bảo hành sản phẩm, hàng hóa</t>
  </si>
  <si>
    <t>Dự phòng tái cơ cấu doanh nghiệp</t>
  </si>
  <si>
    <t>Quỹ phát triển khoa học và công nghệ đã hình thành tài sản</t>
  </si>
  <si>
    <t>Cổ phiếu phổ thông có quyền biểu quyết</t>
  </si>
  <si>
    <t>Cổ phiếu ưu đãi</t>
  </si>
  <si>
    <t>Thặng dư vốn</t>
  </si>
  <si>
    <t>Quyền chọn chuyển đổi trái phiếu</t>
  </si>
  <si>
    <t>Chênh lệch đánh giá lại tài sản</t>
  </si>
  <si>
    <t>Quỹ đầu tư phát triển</t>
  </si>
  <si>
    <t>Các khoản giảm trừ doanh thu</t>
  </si>
  <si>
    <t>Chi phí nguyên liệu, vật liệu trực tiếp</t>
  </si>
  <si>
    <t>Chi phí nhân công trực tiếp</t>
  </si>
  <si>
    <t>Chi phí sử dụng máy thi công</t>
  </si>
  <si>
    <t>Chi phí nhân công</t>
  </si>
  <si>
    <t>Chi phí vật liệu</t>
  </si>
  <si>
    <t>Chi phí dụng cụ sản xuất</t>
  </si>
  <si>
    <t>Chi phí khấu hao máy thi công</t>
  </si>
  <si>
    <t>Chi phí dịch vụ mua ngoài</t>
  </si>
  <si>
    <t>Chi phí bằng tiền khác</t>
  </si>
  <si>
    <t>Chi phí sản xuất chung</t>
  </si>
  <si>
    <t>Chi phí nhân viên phân xưởng</t>
  </si>
  <si>
    <t>Chi phí khấu hao TSCĐ</t>
  </si>
  <si>
    <t>Thuế, phí, lệ phí</t>
  </si>
  <si>
    <t>Chi phí nhân viên</t>
  </si>
  <si>
    <t>Chi phí vật liệu, bao bì</t>
  </si>
  <si>
    <t>Chi phí dụng cụ, đồ dùng</t>
  </si>
  <si>
    <t>Chi phí nhân viên quản lý</t>
  </si>
  <si>
    <t>Chi phí vật liệu quản lý</t>
  </si>
  <si>
    <t>Chi phí đồ dùng văn phòng</t>
  </si>
  <si>
    <t>Thuế, phí và lệ phí</t>
  </si>
  <si>
    <t>Chi phí dự phòng</t>
  </si>
  <si>
    <t>Chi phí thuế TNDN hiện hành</t>
  </si>
  <si>
    <t>Chi phí thuế thu nhập doanh nghiệp hiện hành theo quy định của Luật thuế thu nhập doanh nghiệp</t>
  </si>
  <si>
    <t>Chi phí thuế thu nhập doanh nghiệp bổ sung theo quy định về thuế tối thiểu toàn cầu</t>
  </si>
  <si>
    <t>Chi phí thuế TNDN hoãn lại</t>
  </si>
  <si>
    <t>Đơn vị: ………………
Địa chỉ: ………..……..</t>
  </si>
  <si>
    <t>Mẫu số S38-DN
(Kèm theo Thông tư số 99/2025/TT-BTC
ngày 27 tháng 10 năm 2025 của Bộ trưởng Bộ Tài chính)</t>
  </si>
  <si>
    <t>SỔ CHI TIẾT TÀI KHOẢN</t>
  </si>
  <si>
    <t>(1) Tài khoản: ………………………….</t>
  </si>
  <si>
    <t>(2) Đối tượng: …………………………</t>
  </si>
  <si>
    <t>Loại tiền: VNĐ</t>
  </si>
  <si>
    <t>Ngày, tháng ghi sổ</t>
  </si>
  <si>
    <t>Chứng từ</t>
  </si>
  <si>
    <t>Diễn giải</t>
  </si>
  <si>
    <t xml:space="preserve"> (3) TK đối ứng</t>
  </si>
  <si>
    <t>(4) Số phát sinh</t>
  </si>
  <si>
    <t>(5) Số dư</t>
  </si>
  <si>
    <t>Số hiệu</t>
  </si>
  <si>
    <t>Ngày tháng</t>
  </si>
  <si>
    <t>Nợ</t>
  </si>
  <si>
    <t>Có</t>
  </si>
  <si>
    <t>A</t>
  </si>
  <si>
    <t>B</t>
  </si>
  <si>
    <t>C</t>
  </si>
  <si>
    <t>D</t>
  </si>
  <si>
    <t>E</t>
  </si>
  <si>
    <t>- Số dư đầu kỳ</t>
  </si>
  <si>
    <t>- Cộng số phát sinh</t>
  </si>
  <si>
    <t>- Số dư cuối kỳ</t>
  </si>
  <si>
    <t>- Sổ này có ... trang, đánh số từ trang 01 đến trang ...</t>
  </si>
  <si>
    <t>- Ngày mở sổ:...</t>
  </si>
  <si>
    <t>Người ghi sổ
(Ký, họ tên)</t>
  </si>
  <si>
    <t>Kế toán trưởng
(Ký, họ tên)</t>
  </si>
  <si>
    <t>Ngày..... tháng.... năm ….
Người đại diện theo pháp luật
(Ký, họ tên, đóng dấu)</t>
  </si>
  <si>
    <t>Lọc theo danh mục tài khoản</t>
  </si>
  <si>
    <t>Lọc theo danh mục đối tượng (Khách hàng, Nhà cung cấp, nhân viên)</t>
  </si>
  <si>
    <t>Tài khoản đối ứng với dòng có cùng tài khoản được lọc. VD: Nghiệp vụ ghi Nợ TK 133; Có TK 111. Khi lọc TK 111 thì TK đối ứng là TK 133: Dữ liệu lấy từ Kho dữ liệu tổng</t>
  </si>
  <si>
    <t>Nếu tài khoản lọc là bên Nợ thì số tiền phát sinh hiển thị bên Nợ, Nếu TK lọc là bên Có thì số tiền hiển thị bên Có</t>
  </si>
  <si>
    <t>SỔ CHI TIẾT CÔNG NỢ</t>
  </si>
  <si>
    <t>Phải thu</t>
  </si>
  <si>
    <t>Phải trả</t>
  </si>
  <si>
    <t>Lọc theo danh mục tài khoản (Có thể chọn 1 TK hoặc nhiều TK hoặc chọn tất cả)</t>
  </si>
  <si>
    <t>Lọc theo danh mục đối tượng (Khách hàng, Nhà cung cấp, nhân viên) (Có thể chọn 1 đối tượng, hoặc chọn nhiều đối tượng hoặc chọn tất cả)</t>
  </si>
  <si>
    <t>Tương ứng lấy dữ liệu bên TK Nợ</t>
  </si>
  <si>
    <t>Tương ứng lấy dữ liệu bên TK Có</t>
  </si>
  <si>
    <t>BẢNG TỔNG HỢP CÔNG NỢ</t>
  </si>
  <si>
    <t>Cột này nhập trực tiếp số cuối kỳ trước chuyển sang</t>
  </si>
  <si>
    <t xml:space="preserve">Mã </t>
  </si>
  <si>
    <t>MÃ ĐỐI TƯỢNG</t>
  </si>
  <si>
    <t>Tên đôi tượng</t>
  </si>
  <si>
    <t>Số dư năm trước chuyển sang</t>
  </si>
  <si>
    <t>Số phát sinh</t>
  </si>
  <si>
    <t>Số dư cuối kỳ</t>
  </si>
  <si>
    <t>Mã</t>
  </si>
  <si>
    <t>TK</t>
  </si>
  <si>
    <t>Xử lý</t>
  </si>
  <si>
    <t>1311</t>
  </si>
  <si>
    <t>CÔNG NỢ PHẢI THU CỦA KHÁCH HÀNG</t>
  </si>
  <si>
    <t>SUM</t>
  </si>
  <si>
    <t>DHT</t>
  </si>
  <si>
    <t>13881</t>
  </si>
  <si>
    <t>CÔNG NỢ PHẢI THU KHÁC</t>
  </si>
  <si>
    <t>1411</t>
  </si>
  <si>
    <t>CÔNG NỢ TẠM ỨNG</t>
  </si>
  <si>
    <t>3311</t>
  </si>
  <si>
    <t>CÔNG NỢ PHẢI TRẢ NGƯỜI BÁN</t>
  </si>
  <si>
    <t>Dịch vụ xe nội bộ</t>
  </si>
  <si>
    <t>DV xe ngoài</t>
  </si>
  <si>
    <t>CÔNG NỢ PHẢI TRẢ BHXH</t>
  </si>
  <si>
    <t>CÔNG NỢ PHẢI TRẢ BHYT</t>
  </si>
  <si>
    <t>BHYT</t>
  </si>
  <si>
    <t>CÔNG NỢ PHẢI TRẢ BHTN</t>
  </si>
  <si>
    <t>BHTN</t>
  </si>
  <si>
    <t xml:space="preserve">CÔNG NỢ PHẢI THU VỀ CỔ PHẦN </t>
  </si>
  <si>
    <t>Trần Phước Thành</t>
  </si>
  <si>
    <t>Đinh Hoàng Nam</t>
  </si>
  <si>
    <t>Nguyễn Anh Vy</t>
  </si>
  <si>
    <t xml:space="preserve">CÔNG NỢ </t>
  </si>
  <si>
    <t>Người ghi sổ</t>
  </si>
  <si>
    <t>(Ký, họ tên)</t>
  </si>
  <si>
    <t>(Ký,họ tên, đóng dấu)</t>
  </si>
  <si>
    <t xml:space="preserve">Phiếu chi </t>
  </si>
  <si>
    <t>Hóa đơn</t>
  </si>
  <si>
    <t>Hợp đồng</t>
  </si>
  <si>
    <t>Tên công ty</t>
  </si>
  <si>
    <t>BÁO CÁO NHANH THUẾ TNDN</t>
  </si>
  <si>
    <t>MST:</t>
  </si>
  <si>
    <t>Năm:</t>
  </si>
  <si>
    <t>Lập:</t>
  </si>
  <si>
    <t>Kiểm soát:</t>
  </si>
  <si>
    <t>Lần thứ: ……</t>
  </si>
  <si>
    <t>CHỈ TIÊU</t>
  </si>
  <si>
    <t>Tài khoản</t>
  </si>
  <si>
    <t>Theo từng quý</t>
  </si>
  <si>
    <t>Lũy kế</t>
  </si>
  <si>
    <t>Công thức</t>
  </si>
  <si>
    <t>Quý 1</t>
  </si>
  <si>
    <t>Quý 2</t>
  </si>
  <si>
    <t>Quý 3</t>
  </si>
  <si>
    <t>Quý 4</t>
  </si>
  <si>
    <t>Doanh thu thuần bán hàng</t>
  </si>
  <si>
    <t xml:space="preserve">  511 </t>
  </si>
  <si>
    <t>Có TK 511</t>
  </si>
  <si>
    <t>Doanh thu tài chính, lãi tiền gửi, lãi cho vay</t>
  </si>
  <si>
    <t xml:space="preserve">  515 </t>
  </si>
  <si>
    <t>Có TK 515</t>
  </si>
  <si>
    <t>Thu nhập chịu thuế TNDN khác (Thanh lý, nhượng bán, cho tặng nhận được)</t>
  </si>
  <si>
    <t xml:space="preserve">  711 </t>
  </si>
  <si>
    <t>Có TK 711</t>
  </si>
  <si>
    <t>Giá vốn hàng bán của hàng hóa dịch vụ</t>
  </si>
  <si>
    <t xml:space="preserve">  632 </t>
  </si>
  <si>
    <t>Nợ TK 632</t>
  </si>
  <si>
    <t xml:space="preserve">  641 </t>
  </si>
  <si>
    <t>Nợ TK 641</t>
  </si>
  <si>
    <t xml:space="preserve">  642 </t>
  </si>
  <si>
    <t>Nợ TK 642</t>
  </si>
  <si>
    <t xml:space="preserve">  811 </t>
  </si>
  <si>
    <t>Nợ TK 811</t>
  </si>
  <si>
    <t>#</t>
  </si>
  <si>
    <t>Tổng chi phí ghi nhận theo phát sinh</t>
  </si>
  <si>
    <t xml:space="preserve">Tổng chi phí =  632 + 641 + 642 + 811 </t>
  </si>
  <si>
    <t>Lợi nhuận kế toán trước thuế</t>
  </si>
  <si>
    <t>Lợi nhuận trước thuế =511 +515+711-632-641-642-811</t>
  </si>
  <si>
    <t>Các khoản chi phí không được trừ, vượt định mức</t>
  </si>
  <si>
    <t>Chi phí không hợp lệ thuế (Được tổng từ cột đánh giá của kiểm soát)</t>
  </si>
  <si>
    <t>Chi phí dịch vụ, hàng hóa mua vào</t>
  </si>
  <si>
    <t>Theo mã khoản mục và điều kiện loại trừ ở cột kiểm soát</t>
  </si>
  <si>
    <t>Chi phí về TSCĐ, CCDC, CPTT</t>
  </si>
  <si>
    <t>642</t>
  </si>
  <si>
    <t>154</t>
  </si>
  <si>
    <t>Chi phí về nhân công, bảo hiểm</t>
  </si>
  <si>
    <t>Chi phí về tài chính, chi phí khác</t>
  </si>
  <si>
    <t xml:space="preserve">Thu nhập tính thuế TNDN  </t>
  </si>
  <si>
    <t xml:space="preserve">Thu nhập tính thuế = Lợi nhuận kế toán trước thuế + Chi phí không được trừ - Thu nhập miễn thuế - Lỗ được chuyển </t>
  </si>
  <si>
    <t>Chi phí thuế TNDN hiện hành phải nộp</t>
  </si>
  <si>
    <t>Nếu tổng doanh thu lũy kế &lt; 1 tỷ = 0
Nếu 3 tỷ &gt; tổng doanh thu lũy kế &gt; 1 tỷ = 15%
Nếu 50 tỷ &gt; tổng doanh thu lũy kế &gt; 3 tỷ = 17%
Nếu tổng doanh thu lũy kế &gt; 50 tỷ = 20%</t>
  </si>
  <si>
    <t>Lợi nhuận sau thuế</t>
  </si>
  <si>
    <t>Thuế TNDN  = Thu nhập tính thuế x Thuế suất</t>
  </si>
  <si>
    <t>Các kết quả báo cáo nhanh về nghĩa vụ ngân sách</t>
  </si>
  <si>
    <t>Thuế TNDN phải nộp (Hoặc tạm tính)</t>
  </si>
  <si>
    <t>Thuế GTGT bán ra</t>
  </si>
  <si>
    <t>3331</t>
  </si>
  <si>
    <t>Thuế TNCN phải nộp từ tiền lương, tiền công</t>
  </si>
  <si>
    <t>Thuế VAT đã khấu trừ</t>
  </si>
  <si>
    <t>133</t>
  </si>
  <si>
    <t>Nợ TK 133</t>
  </si>
  <si>
    <t>Thuế VAT tạm nộp</t>
  </si>
  <si>
    <t>Có TK 3331</t>
  </si>
  <si>
    <t>Thuế VAT còn phải nộp</t>
  </si>
  <si>
    <t>Số dư cuối kỳ TK 3331</t>
  </si>
  <si>
    <t>Các khoản bảo hiểm phải nộp</t>
  </si>
  <si>
    <t>Có TK 3383</t>
  </si>
  <si>
    <t>Có TK 3384</t>
  </si>
  <si>
    <t>Có TK 3386</t>
  </si>
  <si>
    <t>Hệ thống tự động cảnh báo:</t>
  </si>
  <si>
    <t>Điều kiện</t>
  </si>
  <si>
    <t>Mức độ</t>
  </si>
  <si>
    <t>Chi phí không được trừ &gt; 5% doanh thu</t>
  </si>
  <si>
    <t>Vàng</t>
  </si>
  <si>
    <t>Chi phí không được trừ &gt; 10% doanh thu</t>
  </si>
  <si>
    <t>Đỏ</t>
  </si>
  <si>
    <t>VAT âm liên tục 3 kỳ</t>
  </si>
  <si>
    <t>Chưa nộp TNDN tạm tính</t>
  </si>
  <si>
    <t>Hồ sơ chờ bổ sung quá hạn</t>
  </si>
  <si>
    <t>TÀI CHÍNH</t>
  </si>
  <si>
    <t>NHÂN SỰ</t>
  </si>
  <si>
    <t>KINH DOANH</t>
  </si>
  <si>
    <t>ĐIỀU HÀNH</t>
  </si>
  <si>
    <t>6 tháng đầu năm</t>
  </si>
  <si>
    <t>Tổng quan</t>
  </si>
  <si>
    <t>Kết quả kinh doanh</t>
  </si>
  <si>
    <t>Công nợ</t>
  </si>
  <si>
    <t>Thuế</t>
  </si>
  <si>
    <t>Chỉ số tài chính</t>
  </si>
  <si>
    <t>KẾT QUẢ KINH DOANH</t>
  </si>
  <si>
    <t>DÒNG TIỀN</t>
  </si>
  <si>
    <t>Tỷ trọng doanh thu</t>
  </si>
  <si>
    <t>Tỷ trọng chi phí</t>
  </si>
  <si>
    <t>Tỷ trọng lợi nhuận</t>
  </si>
  <si>
    <t>Tỷ trong tiền thu</t>
  </si>
  <si>
    <t>Tỷ trọng tiền chi</t>
  </si>
  <si>
    <t>(Tỷ trọng lợi nhuận đến từ nhóm sản phẩm nào)</t>
  </si>
  <si>
    <t>Sản phẩm A</t>
  </si>
  <si>
    <t>Sản phẩm B</t>
  </si>
  <si>
    <t>Thu từ bán hàng</t>
  </si>
  <si>
    <t>Thu từ hoàn ứng</t>
  </si>
  <si>
    <t>Chi tạm ứng</t>
  </si>
  <si>
    <t>Chi tiền lương</t>
  </si>
  <si>
    <t>CÔNG NỢ</t>
  </si>
  <si>
    <t>CÂN ĐỐI TÀI CHÍNH</t>
  </si>
  <si>
    <t>BIỀU ĐỒ 1</t>
  </si>
  <si>
    <t>TÀI SẢN</t>
  </si>
  <si>
    <t>NGUỒN VỐN</t>
  </si>
  <si>
    <t>Biều đồ đường line theo thời gian chọn</t>
  </si>
  <si>
    <t>TÀI SẢN NGẮN HẠN</t>
  </si>
  <si>
    <t>NỢ PHẢI TRẢ</t>
  </si>
  <si>
    <t>Đường 1: Tổng nợ phải thu</t>
  </si>
  <si>
    <t>Đường 2: Tổng nợ phải trả</t>
  </si>
  <si>
    <t>Trục hoành: Thời gian</t>
  </si>
  <si>
    <t>Trục tung : Mốc giá trị</t>
  </si>
  <si>
    <t>TÀI SẢN DÀI HẠN</t>
  </si>
  <si>
    <t>VỐN CHỦ SỞ HỮU</t>
  </si>
  <si>
    <t>Các mốc thời gian đều có giá trị tiền</t>
  </si>
  <si>
    <t>Mục đích so sánh nợ phải thu với nợ phải trả theo thời điểm</t>
  </si>
  <si>
    <t>TỔNG GIÁ TRỊ</t>
  </si>
  <si>
    <t>TÌNH HÌNH THỰC HIỆN NGHĨA VỤ CHÍNH SÁCH</t>
  </si>
  <si>
    <t>THUẾ TNDN</t>
  </si>
  <si>
    <t>THUẾ GTGT</t>
  </si>
  <si>
    <t>Thuế GTGT còn được khấu trừ kỳ trước chuyển sang</t>
  </si>
  <si>
    <t>Thuế GTGT đã khấu trừ</t>
  </si>
  <si>
    <t>Thuế GTGT còn phải nộp</t>
  </si>
  <si>
    <t>THUẾ TNCN</t>
  </si>
  <si>
    <t>Khi chọn vào cột biên tập hồ sơ ô chứng từ nào thì hiển thị danh sách hồ sơ chứng từ này để đánh dấu vào</t>
  </si>
  <si>
    <t>Kiểm soát kiểm tra chứng từ theo danh mục và điền ý kiến phê duyệt tại chứng từ đó</t>
  </si>
  <si>
    <t>Tại vị trí xem bút toán hiển thị luôn chứng từ và lựa chọn giao diện xem và chọn in ngay tại giao diện phiếu</t>
  </si>
  <si>
    <t>Không cần danh mục chứng từ trên hệ thống</t>
  </si>
  <si>
    <t>TỔNG HỢP BÁN HÀNG</t>
  </si>
  <si>
    <t>(1) Sản phẩm: ………………………….</t>
  </si>
  <si>
    <t>(2) Khách hàng: …………………………</t>
  </si>
  <si>
    <t>Mã khách hàng</t>
  </si>
  <si>
    <t>Tên khách hàng</t>
  </si>
  <si>
    <t>Doanh số</t>
  </si>
  <si>
    <t>Chiết khấu</t>
  </si>
  <si>
    <t>Thuế VAT</t>
  </si>
  <si>
    <t>Tổng thanh toán</t>
  </si>
  <si>
    <t>LOGO</t>
  </si>
  <si>
    <t>NHẬT KÝ</t>
  </si>
  <si>
    <t>BÁO CÁO&amp; BÁN HÀNG</t>
  </si>
  <si>
    <t>KHO&amp; MUA HÀNG</t>
  </si>
  <si>
    <t>LƯƠNG</t>
  </si>
  <si>
    <t>HỆ THỐNG</t>
  </si>
  <si>
    <t>Chat</t>
  </si>
  <si>
    <t>Cài đặt</t>
  </si>
  <si>
    <t>Thông báo</t>
  </si>
  <si>
    <t>Tên tài khoản</t>
  </si>
  <si>
    <t>GIAI ĐOẠN 1</t>
  </si>
  <si>
    <t>GIAI ĐOẠN 2</t>
  </si>
  <si>
    <t>GIAI ĐOẠN 3</t>
  </si>
  <si>
    <t>GIAI ĐOẠN 4</t>
  </si>
  <si>
    <t>GIAI ĐOẠN 5</t>
  </si>
  <si>
    <t>Thg12-25</t>
  </si>
  <si>
    <t>Thg1-26</t>
  </si>
  <si>
    <t>Thg2-26</t>
  </si>
  <si>
    <t>Thg3-26</t>
  </si>
  <si>
    <t>Thg4-26</t>
  </si>
  <si>
    <t>Tình hình tài chính</t>
  </si>
  <si>
    <t>Cân đối tài chính</t>
  </si>
  <si>
    <t>Phân tích</t>
  </si>
  <si>
    <t>Báo cáo tài chính</t>
  </si>
  <si>
    <t>Bán hàng</t>
  </si>
  <si>
    <t>Tồn kho</t>
  </si>
  <si>
    <t>Khả năng thanh khoản</t>
  </si>
  <si>
    <t>KẾ TOÁN</t>
  </si>
  <si>
    <t>Báo cáo</t>
  </si>
  <si>
    <t>Bảng cân đối kế toán</t>
  </si>
  <si>
    <t>Bảng cân đối tài khoản</t>
  </si>
  <si>
    <t>Lưu chuyển tiền tệ</t>
  </si>
  <si>
    <t>Thuyết minh</t>
  </si>
  <si>
    <t>Sổ chi tiết tài khoản</t>
  </si>
  <si>
    <t>Sổ chi tiết công nợ</t>
  </si>
  <si>
    <t>Sổ chi tiết phát sinh</t>
  </si>
  <si>
    <t>Sổ chi tiết mua hàng</t>
  </si>
  <si>
    <t>Sổ quỹ</t>
  </si>
  <si>
    <t>Sổ chi tiết nhập kho</t>
  </si>
  <si>
    <t>Sổ chi tiết xuất kho</t>
  </si>
  <si>
    <t>Sổ chi tiết tiền lương</t>
  </si>
  <si>
    <t>Sổ chi tiết tài sản</t>
  </si>
  <si>
    <t>Bảng tổng hợp</t>
  </si>
  <si>
    <t>Tổng hợp công nợ</t>
  </si>
  <si>
    <t>Tổng hợp bán hàng</t>
  </si>
  <si>
    <t>Tổng hợp mua hàng</t>
  </si>
  <si>
    <t>Báo cáo nhập xuất tồn</t>
  </si>
  <si>
    <t>Tổng hợp xuất kho</t>
  </si>
  <si>
    <t>Trung tâm dữ liệu</t>
  </si>
  <si>
    <t>Kế hoạch</t>
  </si>
  <si>
    <t>Dự báo</t>
  </si>
  <si>
    <t>Dữ liệu tổng hợp</t>
  </si>
  <si>
    <t>Quản lý Tài sản</t>
  </si>
  <si>
    <t>Quản lý Hàng hóa</t>
  </si>
  <si>
    <t>Quản lý Nguyên liệu</t>
  </si>
  <si>
    <t>Quản lý Dụng cụ</t>
  </si>
  <si>
    <t>Quản lý Hợp đồng</t>
  </si>
  <si>
    <t>Quản lý nhân sự</t>
  </si>
  <si>
    <t>Lương &amp; BHXH</t>
  </si>
  <si>
    <t>Phiếu nhập</t>
  </si>
  <si>
    <t>Phiếu xuất</t>
  </si>
  <si>
    <t>Phiếu lương</t>
  </si>
  <si>
    <t>Bảng tính lương</t>
  </si>
  <si>
    <t>Bảng chấm công</t>
  </si>
  <si>
    <t>Bảng chấm công làm thêm giờ</t>
  </si>
  <si>
    <t>Bảng phân bổ khấu hao TSCĐ</t>
  </si>
  <si>
    <t>Phiếu kế toán</t>
  </si>
  <si>
    <t>Đề nghị thanh toán</t>
  </si>
  <si>
    <t>THƯ VIỆN</t>
  </si>
  <si>
    <t>Danh mục</t>
  </si>
  <si>
    <t>Chủ đầu tư</t>
  </si>
  <si>
    <t>Bộ phận</t>
  </si>
  <si>
    <t>Kho</t>
  </si>
  <si>
    <t>Khác</t>
  </si>
  <si>
    <t>Quy trình</t>
  </si>
  <si>
    <t>Chính sách</t>
  </si>
  <si>
    <t>Biểu mẫu</t>
  </si>
  <si>
    <t>Hướng dẫn</t>
  </si>
  <si>
    <t>KẾ HOẠCH DOANH SỐ BÁN HÀNG NĂM 2022</t>
  </si>
  <si>
    <t>CHIA THEO QUÝ CỦA NĂM TÀI CHÍNH 2022</t>
  </si>
  <si>
    <t>Chi tiết theo cơ sở hoặc 12 tháng trong năm</t>
  </si>
  <si>
    <t>THỰC HIỆN ĐẾN 30/04/22</t>
  </si>
  <si>
    <t>KẾ HOẠCH NĂM 2022</t>
  </si>
  <si>
    <t>Mã dự án</t>
  </si>
  <si>
    <t>Giá trị</t>
  </si>
  <si>
    <t>%</t>
  </si>
  <si>
    <r>
      <rPr>
        <rFont val="Times New Roman"/>
        <b/>
        <color rgb="FF0070C0"/>
        <sz val="9.0"/>
        <u/>
      </rPr>
      <t>+</t>
    </r>
    <r>
      <rPr>
        <rFont val="Times New Roman"/>
        <b/>
        <color rgb="FF0070C0"/>
        <sz val="9.0"/>
      </rPr>
      <t>%</t>
    </r>
  </si>
  <si>
    <t>Lượng</t>
  </si>
  <si>
    <t>Giá bình quân</t>
  </si>
  <si>
    <t>Tỷ trọng (%)</t>
  </si>
  <si>
    <t>Q1</t>
  </si>
  <si>
    <t>Q2</t>
  </si>
  <si>
    <t>Q3</t>
  </si>
  <si>
    <t>Q4</t>
  </si>
  <si>
    <t>DOANH SỐ</t>
  </si>
  <si>
    <t>THANHNAM</t>
  </si>
  <si>
    <t>NAMPHONG</t>
  </si>
  <si>
    <t>NAMSAIGON</t>
  </si>
  <si>
    <t>KIMCUONGLAND</t>
  </si>
  <si>
    <t>KHANGVUONG</t>
  </si>
  <si>
    <t>PHUGIATHINH</t>
  </si>
  <si>
    <t>TRANANH</t>
  </si>
  <si>
    <t>PHITRUONG</t>
  </si>
  <si>
    <t>HOANGCAT</t>
  </si>
  <si>
    <t>DOANH THU - HOA HỒNG</t>
  </si>
  <si>
    <t>DTTC</t>
  </si>
  <si>
    <t>DOANH THU HOẠT ĐỘNG TÀI CHÍNH</t>
  </si>
  <si>
    <t>DTK</t>
  </si>
  <si>
    <t>THU NHẬP KHÁC</t>
  </si>
  <si>
    <t>TỔNG CHI PHÍ</t>
  </si>
  <si>
    <t>CPGV</t>
  </si>
  <si>
    <t>GIÁ VỐN DỊCH VỤ</t>
  </si>
  <si>
    <t>CPTC</t>
  </si>
  <si>
    <t>CHI PHÍ TÀI CHÍNH</t>
  </si>
  <si>
    <t>CPBH</t>
  </si>
  <si>
    <t>CHI PHÍ BÁN HÀNG</t>
  </si>
  <si>
    <t>CPQL</t>
  </si>
  <si>
    <t>CHI PHÍ QUẢN LÝ DOANH NGHIỆP</t>
  </si>
  <si>
    <t>CPK</t>
  </si>
  <si>
    <t>CHI PHÍ KHÁC</t>
  </si>
  <si>
    <t>QUỸ 8%</t>
  </si>
  <si>
    <t>LỢI NHUẬN</t>
  </si>
  <si>
    <t>Thông tư 48/2019/TT-BTC hướng dẫn trích lập và xử lý các khoản trích lập dự phòng</t>
  </si>
  <si>
    <t>NỘI DUNG</t>
  </si>
  <si>
    <t>Điều 4. Dự phòng giảm giá hàng tồn kho</t>
  </si>
  <si>
    <t>Mức trích dự phòng giảm giá hàng tồn kho = Lượng hàng tồn kho thực tế tại thời điểm lập báo cáo tài chính năm X Giá gốc hàng tồn kho theo sổ kế toán - Giá trị thuần có thể thực hiện được của hàng tồn kho</t>
  </si>
  <si>
    <t>Điều 5. Dự phòng tổn thất các khoản đầu tư</t>
  </si>
  <si>
    <t>Mức trích dự phòng giảm giá đầu tư chứng khoán = Giá trị khoản đầu tư chứng khoán đang hạch toán trên sổ kế toán của doanh nghiệp tại thời điểm lập báo cáo tài chính năm - Số lượng chứng khoán doanh nghiệp đang sở hữu tại thời điểm lập báo cáo tài chính năm X Giá chứng khoán thực tế trên thị trường</t>
  </si>
  <si>
    <t>Điều 6. Dự phòng nợ phải thu khó đòi</t>
  </si>
  <si>
    <t>Điều 7. Dự phòng bảo hành sản phẩm, hàng hóa, dịch vụ, công trình xây dựng</t>
  </si>
  <si>
    <t>Tổng mức trích lập dự phòng bảo hành của các sản phẩm, hàng hóa, dịch vụ, công trình xây dựng theo cam kết với khách hàng nhưng tối đa không quá 05% tổng doanh thu tiêu thụ trong năm đối với các sản phẩm, hàng hóa, dịch vụ và không quá 05% trên giá trị hợp đồng đối với các công trình xây dựng.</t>
  </si>
  <si>
    <t>QUY ĐỊNH CỤ THỂ</t>
  </si>
  <si>
    <t>Điều 3 của Thông tư 48/2019/TT-BTC cũng quy định: “Điều 3. Nguyên tắc chung trong trích lập các khoản dự phòng</t>
  </si>
  <si>
    <t>1. Các khoản dự phòng quy định tại Thông tư này được tính vào chi phí được trừ khi xác định thu nhập chịu thuế thu nhập doanh nghiệp trong kỳ báo cáo năm để bù đắp tổn thất có thể xảy ra trong kỳ báo cáo năm sau; đảm bảo cho doanh nghiệp phản ánh giá trị hàng tồn kho, các khoản đầu tư không cao hơn giá trên thị trường và giá trị của các khoản nợ phải thu không cao hơn giá trị có thể thu hồi được tại thời điểm lập báo cáo tài chính năm.</t>
  </si>
  <si>
    <t>2. Thời điểm trích lập và hoàn nhập các khoản dự phòng là thời điểm lập báo cáo tài chính năm.</t>
  </si>
  <si>
    <t>3. Doanh nghiệp xem xét, quyết định việc xây dựng quy chế về quản lý vật tư, hàng hóa, quản lý danh mục đầu tư, quản lý công nợ để hạn chế các rủi ro trong kinh doanh, trong đó xác định rõ trách nhiệm của từng bộ phận, từng người trong việc theo dõi, quản lý vật tư, hàng hóa, các khoản đầu tư, thu hồi công nợ.</t>
  </si>
  <si>
    <t>…”</t>
  </si>
  <si>
    <t>Và cuối cùng, Điều 6 của Thông tư 48/2019/TT-BTC quy định rằng:</t>
  </si>
  <si>
    <t>“Điều 6. Dự phòng nợ phải thu khó đòi</t>
  </si>
  <si>
    <t>1. Đối tượng lập dự phòng là các khoản nợ phải thu (bao gồm cả các khoản doanh nghiệp đang cho vay và khoản trái phiếu chưa đăng ký giao dịch trên thị trường chứng khoán mà doanh nghiệp đang sở hữu) đã quá hạn thanh toán và các khoản nợ phải thu chưa đến hạn thanh toán nhưng có khả năng doanh nghiệp không thu hồi được đúng hạn, đồng thời đảm bảo điều kiện sau:</t>
  </si>
  <si>
    <t>a) Phải có chứng từ gốc chứng minh số tiền đối tượng nợ chưa trả, bao gồm:</t>
  </si>
  <si>
    <t>- Một trong số các chứng từ gốc sau: Hợp đồng kinh tế, khế ước vay nợ, cam kết nợ;</t>
  </si>
  <si>
    <t>- Bản thanh lý hợp đồng (nếu có);</t>
  </si>
  <si>
    <t>- Đối chiếu công nợ; trường hợp không có đối chiếu công nợ thì phải có văn bản đề nghị đối chiếu xác nhận công nợ hoặc văn bản đòi nợ do doanh nghiệp đã gửi (có dấu bưu điện hoặc xác nhận của đơn vị chuyển phát);</t>
  </si>
  <si>
    <t>- Bảng kê công nợ;</t>
  </si>
  <si>
    <t>- Các chứng từ khác có liên quan (nếu có).</t>
  </si>
  <si>
    <t>b) Có đủ căn cứ xác định là khoản nợ phải thu khó đòi:</t>
  </si>
  <si>
    <t>- Nợ phải thu đã quá thời hạn thanh toán từ 06 tháng trở lên (tính theo thời hạn trả nợ gốc ban đầu theo hợp đồng kinh tế, khế ước vay nợ hoặc các cam kết nợ khác, không tính đến thời gian gia hạn trả nợ giữa các bên), doanh nghiệp đã gửi đối chiếu xác nhận nợ hoặc đôn đốc thanh toán nhưng vẫn chưa thu hồi được nợ.</t>
  </si>
  <si>
    <t>- Nợ phải thu chưa đến hạn thanh toán nhưng doanh nghiệp thu thập được các bằng chứng xác định đối tượng nợ có khả năng không trả được nợ đúng hạn theo quy định tại Điểm c Khoản 2 Điều này.</t>
  </si>
  <si>
    <t>- Riêng đối với các khoản nợ mua của doanh nghiệp mua bán nợ (có đăng ký ngành nghề và hoạt động mua bán nợ theo đúng quy định của pháp luật), thời gian quá hạn được tính kể từ ngày chuyển giao quyền chủ nợ giữa các bên (trên cơ sở biên bản hoặc thông báo bàn giao quyền chủ nợ) hoặc theo cam kết gần nhất (nếu có) giữa doanh nghiệp đối tượng nợ và doanh nghiệp mua bán nợ.</t>
  </si>
  <si>
    <t>2. Mức trích lập:</t>
  </si>
  <si>
    <t>a) Đối với nợ phải thu quá hạn thanh toán, mức trích lập dự phòng như sau:</t>
  </si>
  <si>
    <t>- 30% giá trị đối với khoản nợ phải thu quá hạn từ 6 tháng đến dưới 1 năm.</t>
  </si>
  <si>
    <t>- 50% giá trị đối với khoản nợ phải thu quá hạn từ 1 năm đến dưới 2 năm.</t>
  </si>
  <si>
    <t>- 70% giá trị đối với khoản nợ phải thu quá hạn từ 2 năm đến dưới 3 năm.</t>
  </si>
  <si>
    <t>- 100% giá trị đối với khoản nợ phải thu từ 3 năm trở lên.</t>
  </si>
  <si>
    <t>b) Đối với doanh nghiệp kinh doanh dịch vụ viễn thông và doanh nghiệp kinh doanh bán lẻ hàng hóa, khoản nợ phải thu cước dịch vụ viễn thông, công nghệ thông tin, truyền hình trả sau và khoản nợ phải thu do bán lẻ hàng hóa theo hình thức trả chậm/trả góp của các đối tượng nợ là cá nhân đã quá hạn thanh toán mức trích lập dự phòng như sau:</t>
  </si>
  <si>
    <t>- 30% giá trị đối với khoản nợ phải thu quá hạn từ 3 tháng đến dưới 6 tháng.</t>
  </si>
  <si>
    <t>- 50% giá trị đối với khoản nợ phải thu quá hạn từ 6 tháng đến dưới 9 tháng.</t>
  </si>
  <si>
    <t>- 70% giá trị đối với khoản nợ phải thu quá hạn từ 9 tháng đến dưới 12 tháng.</t>
  </si>
  <si>
    <t>- 100% giá trị đối với khoản nợ phải thu từ 12 tháng trở lên.</t>
  </si>
  <si>
    <t>c) Đối với các khoản nợ phải thu chưa đến hạn thanh toán nhưng doanh nghiệp thu thập được các bằng chứng xác định tổ chức kinh tế đã phá sản, đã mở thủ tục phá sản, đã bỏ trốn khỏi địa điểm kinh doanh; đối tượng nợ đang bị các cơ quan pháp luật truy tố, giam giữ, xét xử hoặc đang thi hành án hoặc đang mắc bệnh hiểm nghèo (có xác nhận của bệnh viện) hoặc đã chết hoặc khoản nợ đã được doanh nghiệp yêu cầu thi hành án nhưng không thể thực hiện được do đối tượng nợ bỏ trốn khỏi nơi cư trú; khoản nợ đã được doanh nghiệp khởi kiện đòi nợ nhưng bị đình chỉ giải quyết vụ án thì doanh nghiệp tự dự kiến mức tổn thất không thu hồi được (tối đa bằng giá trị khoản nợ đang theo dõi trên sổ kế toán) để trích lập dự phòng.</t>
  </si>
  <si>
    <t>3. Tại thời điểm lập báo cáo tài chính năm nếu các khoản nợ phải thu được xác định khó đòi, doanh nghiệp phải trích lập dự phòng theo quy định tại Khoản 2 Điều này và các quy định sau:</t>
  </si>
  <si>
    <t>a) Nếu số dự phòng phải trích lập bằng số dư khoản dự phòng nợ phải thu khó đòi đã trích lập ở báo cáo năm trước đang ghi trên sổ kế toán, doanh nghiệp không được trích lập bổ sung khoản dự phòng nợ phải thu khó đòi.</t>
  </si>
  <si>
    <t>b) Nếu số dự phòng phải trích lập cao hơn số dư khoản dự phòng nợ phải thu khó đòi đã trích lập ở báo cáo năm trước đang ghi trên sổ kế toán, doanh nghiệp trích lập bổ sung số chênh lệch đó và ghi nhận vào chi phí trong kỳ.</t>
  </si>
  <si>
    <t>c) Nếu số dự phòng phải trích lập thấp hơn số dư khoản dự phòng nợ phải thu khó đòi đã trích lập ở báo cáo năm trước đang ghi trên sổ kế toán, doanh nghiệp thực hiện hoàn nhập phần chênh lệch đó và ghi giảm chi phí trong kỳ.</t>
  </si>
  <si>
    <t>d) Doanh nghiệp phải dự kiến mức tổn thất có thể xảy ra hoặc tuổi nợ quá hạn của các khoản nợ và tiến hành lập dự phòng cho từng khoản nợ phải thu khó đòi, kèm theo các chứng cứ chứng minh các khoản nợ khó đòi nêu trên. Sau khi lập dự phòng cho từng khoản nợ phải thu khó đòi, doanh nghiệp tổng hợp toàn bộ khoản dự phòng các khoản nợ vào bảng kê chi tiết để làm căn cứ hạch toán vào chi phí của doanh nghiệp.</t>
  </si>
  <si>
    <t>đ) Đối với khoản nợ mua của doanh nghiệp mua bán nợ, căn cứ phương án mua, xử lý nợ và các nguyên tắc trích lập dự phòng tại Thông tư này để thực hiện trích lập dự phòng, số dự phòng được trích lập tối đa bằng số tiền mà doanh nghiệp đã bỏ ra để mua khoản nợ, thời gian trích lập tối đa không quá thời gian tái cơ cấu doanh nghiệp, thu hồi nợ tại phương án mua, xử lý nợ.</t>
  </si>
  <si>
    <t>e) Doanh nghiệp không thực hiện trích lập dự phòng khoản nợ phải thu quá thời hạn thanh toán phát sinh từ khoản lợi nhuận, cổ tức được chia do góp vốn đầu tư vào các doanh nghiệp khác.</t>
  </si>
  <si>
    <t>g) Khi trích lập dự phòng nợ phải thu khó đòi của một đối tượng nợ có phát sinh cả nợ phải thu và nợ phải trả, căn cứ biên bản đối chiếu công nợ giữa hai bên để doanh nghiệp trích lập dự phòng trên cơ sở số còn phải thu sau khi đã bù trừ khoản nợ phải trả của đối tượng này.</t>
  </si>
  <si>
    <t>Mức trích lập dự phòng của từng khoản nợ quá hạn được tính theo tỷ lệ (%) của khoản nợ quá hạn phải trích lập theo thời hạn quy định nhân (x) với tổng nợ còn phải thu sau khi đã bù trừ khoản nợ phải trả.</t>
  </si>
  <si>
    <t>Theo Khoản 2, Điều 135 Luật Doanh nghiệp năm 2020:</t>
  </si>
  <si>
    <t>2. Cổ tức trả cho cổ phần phổ thông được xác định căn cứ vào số lợi nhuận ròng đã thực hiện và khoản chi trả cổ tức được trích từ nguồn lợi nhuận giữ lại của công ty. Công ty cổ phần chỉ được trả cổ tức của cổ phần phổ thông khi có đủ các điều kiện sau đây:</t>
  </si>
  <si>
    <t>a) Công ty đã hoàn thành nghĩa vụ thuế và các nghĩa vụ tài chính khác theo quy định của pháp luật;</t>
  </si>
  <si>
    <t>b) Đã trích lập các quỹ công ty và bù đắp lỗ trước đó theo quy định của pháp luật và Điều lệ công ty;</t>
  </si>
  <si>
    <t>c) Ngay sau khi trả hết số cổ tức, công ty vẫn bảo đảm thanh toán đủ các khoản nợ và nghĩa vụ tài sản khác đến hạn.</t>
  </si>
  <si>
    <t>Theo đó, Công ty Cổ phần phải hoàn thành nghĩa vụ thuế và các nghĩa vụ tài chính khác theo quy định của pháp luật, sau đó mới được trích lập các quỹ và bù đắp lỗ trước đó theo quy định của pháp luật và Điều lệ Công ty.</t>
  </si>
  <si>
    <t>2. Các trích lập các quỹ Lợi nhuận sau thuế chưa phân phối:</t>
  </si>
  <si>
    <t>Việc trích lập các quỹ từ Lợi nhuận sau thuế chưa phân phối của doanh nghiệp phải đảm bảo rõ ràng, rành mạch và theo đúng chính sách tài chính hiện hành.</t>
  </si>
  <si>
    <t>Doanh nghiệp phải theo dõi chi tiết theo phân chia lợi nhuận trích lập các quỹ của doanh nghiệp.</t>
  </si>
  <si>
    <t>Nguyên tắc Trích lập các quỹ từ Lợi nhuận sau thuế chưa phân phối phải đảm bảo các điều kiện sau:</t>
  </si>
  <si>
    <t>- Bù lỗ của các năm trước khi số lỗ đó đã hết hạn được trừ vào lợi nhuận trước thuế. (nếu còn đủ điều kiện bù)</t>
  </si>
  <si>
    <t>- Chia lãi cho các thành viên góp vốn liên kết theo quy định của hợp đồng (nếu có);</t>
  </si>
  <si>
    <t>- Trích lập các quỹ đặc biệt từ lợi nhuận sau thuế theo tỷ lệ đã được nhà nước quy định đối với công ty đặc thù mà pháp luật quy định phải trích lập;</t>
  </si>
  <si>
    <t>- Số còn lại sau khi lập các quỹ quy định tại điểm nêu ra trong đây được phân phối theo tỷ lệ giữa vốn nhà nước đầu tư tại công ty và vốn công ty tự huy động bình quân trong năm.</t>
  </si>
  <si>
    <t>+ Trích tối đa 30% vào quỹ đầu tư phát triển của công ty;</t>
  </si>
  <si>
    <t>+ Trích tối đa 5% lập quỹ thưởng Ban quản lý điều hành công ty. Mức trích một năm không vượt quá 500 triệu đồng (đối với công ty có Hội đồng quản trị), 200 triệu đồng (đối với công ty không có Hội đồng quản trị) với điều kiện tỷ suất lợi nhuận thực hiện trước thuế trên vốn nhà nước tại công ty phải bằng hoặc lớn hơn tỷ suất lợi nhuận kế hoạch;</t>
  </si>
  <si>
    <t>+ Còn lại phân phối vào quỹ khen thưởng, phúc lợi của công ty.</t>
  </si>
  <si>
    <t>CHIẾN LƯỢC VỐN &amp; QUẢN TRỊ VỐN KINH DOANH</t>
  </si>
  <si>
    <t>QUY MÔ VỐN</t>
  </si>
  <si>
    <t>YÊU CẦU TÍNH CHỦ ĐỘNG</t>
  </si>
  <si>
    <t>Vốn dài hạn (cố định)</t>
  </si>
  <si>
    <t xml:space="preserve">Kế hoạch tài chính kinh doanh </t>
  </si>
  <si>
    <t>Vốn ngắn hạn (lưu động)</t>
  </si>
  <si>
    <t>Kế hoạch dòng tiền &amp; kiểm soát</t>
  </si>
  <si>
    <t>Vốn hoạt động an toàn</t>
  </si>
  <si>
    <t>Hệ thống định mức, hạn mức</t>
  </si>
  <si>
    <t>Tổng nguồn vốn</t>
  </si>
  <si>
    <t>Chính sách tín dụng công ty</t>
  </si>
  <si>
    <t>Giá trị công ty</t>
  </si>
  <si>
    <t>Kế hoạch ứng phó rủi ro tài chính</t>
  </si>
  <si>
    <t>ĐỐI TÁC &amp; GIẢI PHÁP NGUỒN VỐN</t>
  </si>
  <si>
    <t>NGUỒN HÌNH THÀNH</t>
  </si>
  <si>
    <t>Vốn góp bằng tiền</t>
  </si>
  <si>
    <t>Vốn góp ngoài tiền</t>
  </si>
  <si>
    <t>Vốn tín dụng ngân hàng</t>
  </si>
  <si>
    <t>Vốn tín dụng nhà cung cấp</t>
  </si>
  <si>
    <t>Vốn tín dụng khách hàng</t>
  </si>
  <si>
    <t>Vốn hợp tác hoặc M&amp;A</t>
  </si>
  <si>
    <t>Hợp tác kinh doanh vụ việc</t>
  </si>
  <si>
    <t>Tổng cộng</t>
  </si>
  <si>
    <t>ĐO LƯỜNG HIỆU QUẢ</t>
  </si>
  <si>
    <t>N1</t>
  </si>
  <si>
    <t>N2</t>
  </si>
  <si>
    <t>N3</t>
  </si>
  <si>
    <t>N4</t>
  </si>
  <si>
    <t>N5</t>
  </si>
  <si>
    <t>YÊU CẦU TÍNH MINH BẠCH</t>
  </si>
  <si>
    <t>Chi phí vốn</t>
  </si>
  <si>
    <t>Hạch toán minh bạch &amp; có kế hoạch</t>
  </si>
  <si>
    <t>Tỷ suất sinh lợi / vốn chủ sở hữu</t>
  </si>
  <si>
    <t>Kiến thức, nghiệp vụ tài chính nhân sự</t>
  </si>
  <si>
    <t>Tỷ suất sinh lợi / Tổng nguồn vốn</t>
  </si>
  <si>
    <t>Nhãn quan người phụ trách tài chính</t>
  </si>
  <si>
    <t>Sức sinh lợi / tài sản cố định</t>
  </si>
  <si>
    <t>Tuân thủ mục đích sử dụng</t>
  </si>
  <si>
    <t>DFL</t>
  </si>
  <si>
    <t>Hệ thống báo cáo quản trị tài chính</t>
  </si>
  <si>
    <t>QUẢN TRỊ &amp; LUÂN CHUYỂN VỐN</t>
  </si>
  <si>
    <t>Cán cân thanh toán</t>
  </si>
  <si>
    <t>Chỉ số thanh toán cá biệt</t>
  </si>
  <si>
    <t>Tỷ trọng tài sản ngắn / Tổng tài sản</t>
  </si>
  <si>
    <t>Vòng quay vốn trong năm</t>
  </si>
  <si>
    <t>Số ngày thu hồi nợ bình quân</t>
  </si>
  <si>
    <t>Hạn mức tồn kho tối đa</t>
  </si>
  <si>
    <t>Tỷ lệ nợ phải thu / Tổng tài sản</t>
  </si>
  <si>
    <t>Hạn mức nợ phải thu / X</t>
  </si>
  <si>
    <t>QUÝ</t>
  </si>
  <si>
    <t>CHỦ ĐẦU TƯ</t>
  </si>
  <si>
    <t>NHÂN VIÊN</t>
  </si>
  <si>
    <t>NGHIỆP VỤ</t>
  </si>
  <si>
    <t>KHÁCH HÀNG</t>
  </si>
  <si>
    <t>NHÀ CUNG CẤP</t>
  </si>
  <si>
    <t/>
  </si>
  <si>
    <t>MUCIN</t>
  </si>
  <si>
    <t>MỰC IN</t>
  </si>
  <si>
    <t>ĐỐI NGOẠI</t>
  </si>
  <si>
    <t>NƯỚC SINH HOẠT</t>
  </si>
  <si>
    <t>ĐÀO TẠO</t>
  </si>
  <si>
    <t>HOP</t>
  </si>
  <si>
    <t>HỌP</t>
  </si>
  <si>
    <t>IN ẤN</t>
  </si>
  <si>
    <t>YTE</t>
  </si>
  <si>
    <t>Y TẾ</t>
  </si>
  <si>
    <t>TUYỂN DỤNG</t>
  </si>
  <si>
    <t>DỊCH VỤ KHÁC</t>
  </si>
  <si>
    <t>ĐIỆN</t>
  </si>
  <si>
    <t>THỜ CÚNG</t>
  </si>
  <si>
    <t>VỆ SINH</t>
  </si>
  <si>
    <t>TIỀN LƯƠNG</t>
  </si>
  <si>
    <t>THUÊ VĂN PHÒNG</t>
  </si>
  <si>
    <t>NGOẠI GIAO</t>
  </si>
  <si>
    <t>QUÀ TẶNG</t>
  </si>
  <si>
    <t>NƯỚC UỐNG</t>
  </si>
  <si>
    <t>THUÊ XE</t>
  </si>
  <si>
    <t>KETOAN</t>
  </si>
  <si>
    <t>Thuê kế toán</t>
  </si>
  <si>
    <t>Thuế môn bài</t>
  </si>
  <si>
    <t>GIAVON</t>
  </si>
  <si>
    <t>MARKETING</t>
  </si>
  <si>
    <t>HOA HỒNG nhân viên</t>
  </si>
  <si>
    <t>Hoa hồng trưởng phòng</t>
  </si>
  <si>
    <t>DULICH</t>
  </si>
  <si>
    <t>Quỹ 8%</t>
  </si>
  <si>
    <t>CHIẾT KHẤU</t>
  </si>
  <si>
    <t>Quỹ 0.03%</t>
  </si>
  <si>
    <t>DOANH THU</t>
  </si>
  <si>
    <t>107,732,000</t>
  </si>
  <si>
    <t>Lương GĐS</t>
  </si>
  <si>
    <t>Quỹ 8% - Thưởng chỉ tiêu MKT</t>
  </si>
  <si>
    <t>CONGTAC</t>
  </si>
  <si>
    <t xml:space="preserve">Phí công tác </t>
  </si>
  <si>
    <t>DANH MỤC</t>
  </si>
  <si>
    <t>TÊN TÀI LIỆU</t>
  </si>
  <si>
    <t>MỤC ĐÍCH</t>
  </si>
  <si>
    <t>Theo dõi CP từng đội (MKT, xe)</t>
  </si>
  <si>
    <t>Theo dõi sổ quỹ</t>
  </si>
  <si>
    <t>Theo dõi các dòng tiền (công nợ CĐT, sử dung quỹ, )</t>
  </si>
  <si>
    <t>Theo dõi công nợ theo CĐT, Dự án</t>
  </si>
  <si>
    <t>dOANH THU</t>
  </si>
  <si>
    <t>THEO DÕI DT TỪNG NV. TỪNG ĐỘI. TỪNG NGÀY...</t>
  </si>
  <si>
    <t>Công ty TNHH TV BĐS Đại Hưng Thịnh</t>
  </si>
  <si>
    <t>CN 482 Trường Chinh, Q.12</t>
  </si>
  <si>
    <t>SỔ QUỸ</t>
  </si>
  <si>
    <t>19,564,000</t>
  </si>
  <si>
    <t>NGÀY</t>
  </si>
  <si>
    <t>SỐ CT</t>
  </si>
  <si>
    <t>ĐỐI TƯỢNG</t>
  </si>
  <si>
    <t>CHI</t>
  </si>
  <si>
    <t>TỒN</t>
  </si>
  <si>
    <t>Số dư đầu kỳ:</t>
  </si>
  <si>
    <t>30,000,000</t>
  </si>
  <si>
    <t>40,725,500</t>
  </si>
  <si>
    <t>PC57</t>
  </si>
  <si>
    <t>29,300,000</t>
  </si>
  <si>
    <t>a Nam TX lấy 1 thùng 8/4/2022 + 2 thùng đi TN</t>
  </si>
  <si>
    <t>PC58</t>
  </si>
  <si>
    <t>Phan Tấn Đạt</t>
  </si>
  <si>
    <t>Chi tạm ứng MKT tháng 4/2022 - lần 1</t>
  </si>
  <si>
    <t>6,300,000</t>
  </si>
  <si>
    <t>23,000,000</t>
  </si>
  <si>
    <t>Tuyền</t>
  </si>
  <si>
    <t>Ứng quỹ (TM)</t>
  </si>
  <si>
    <t>10,000,000</t>
  </si>
  <si>
    <t>33,000,000</t>
  </si>
  <si>
    <t>PC59</t>
  </si>
  <si>
    <t>cô Tuyết</t>
  </si>
  <si>
    <t>Khoản lương ứng chưa cấn trừ</t>
  </si>
  <si>
    <t>2,500,000</t>
  </si>
  <si>
    <t>30,500,000</t>
  </si>
  <si>
    <t>PC60</t>
  </si>
  <si>
    <t>Chi mua bông + trái cây ông Địa</t>
  </si>
  <si>
    <t>PC61</t>
  </si>
  <si>
    <t>Thanh toán cước Internet - 
 line 1: t008_gftth_thynna8/line 2: t008_gftth_thuntm408</t>
  </si>
  <si>
    <t>1,080,000</t>
  </si>
  <si>
    <t>29,420,000</t>
  </si>
  <si>
    <t>PC62</t>
  </si>
  <si>
    <t>29,110,000</t>
  </si>
  <si>
    <t>PC63</t>
  </si>
  <si>
    <t>Chi mua nước bình Bidrico (8 bình)</t>
  </si>
  <si>
    <t>28,910,000</t>
  </si>
  <si>
    <t>c Ánh</t>
  </si>
  <si>
    <t>Ứng quỹ chi MKT (CK)</t>
  </si>
  <si>
    <t>15,000,000</t>
  </si>
  <si>
    <t>43,910,000</t>
  </si>
  <si>
    <t>PC64</t>
  </si>
  <si>
    <t>Chi ứng MKT phòng Đạt tháng 4/2022 - lần 2</t>
  </si>
  <si>
    <t>5,000,000</t>
  </si>
  <si>
    <t>38,910,000</t>
  </si>
  <si>
    <t>PC65</t>
  </si>
  <si>
    <t>Chi ứng MKT sàn Quân tháng 4/2022 - lần 1</t>
  </si>
  <si>
    <t>PC66</t>
  </si>
  <si>
    <t>Phạm Thị Thuý Lan</t>
  </si>
  <si>
    <t>Chi làm khoá cửa P.303 + P.201</t>
  </si>
  <si>
    <t>28,660,000</t>
  </si>
  <si>
    <t>PC67</t>
  </si>
  <si>
    <t>28,369,000</t>
  </si>
  <si>
    <t>PC68</t>
  </si>
  <si>
    <t>Chi mua hoa + trái cây ông địa M10.3</t>
  </si>
  <si>
    <t>Ứng quỹ (CK)</t>
  </si>
  <si>
    <t>33,369,000</t>
  </si>
  <si>
    <t>PC69</t>
  </si>
  <si>
    <t>33,209,000</t>
  </si>
  <si>
    <t>PC70</t>
  </si>
  <si>
    <t>1,556,000</t>
  </si>
  <si>
    <t>31,653,000</t>
  </si>
  <si>
    <t>PC71</t>
  </si>
  <si>
    <t>31,453,000</t>
  </si>
  <si>
    <t>PC72</t>
  </si>
  <si>
    <t>Chi mua hoa + trái cây ông địa M15.3</t>
  </si>
  <si>
    <t>31,169,000</t>
  </si>
  <si>
    <t>PC73</t>
  </si>
  <si>
    <t>trả tiền nạp ĐT</t>
  </si>
  <si>
    <t>31,119,000</t>
  </si>
  <si>
    <t>PC74</t>
  </si>
  <si>
    <t>6,077,500</t>
  </si>
  <si>
    <t>25,041,500</t>
  </si>
  <si>
    <t>PC75</t>
  </si>
  <si>
    <t>Chi tiền hoa khai trương (2 lẵng) cty Mộc Điền (Q 800k-S 1000k)</t>
  </si>
  <si>
    <t>1,800,000</t>
  </si>
  <si>
    <t>23,241,500</t>
  </si>
  <si>
    <t>PC76</t>
  </si>
  <si>
    <t>23,091,500</t>
  </si>
  <si>
    <t>PC77</t>
  </si>
  <si>
    <t>22,920,500</t>
  </si>
  <si>
    <t>HD000581</t>
  </si>
  <si>
    <t>PC78</t>
  </si>
  <si>
    <t>22,413,000</t>
  </si>
  <si>
    <t>PC79</t>
  </si>
  <si>
    <t>21,866,500</t>
  </si>
  <si>
    <t>PC80</t>
  </si>
  <si>
    <t>21,666,500</t>
  </si>
  <si>
    <t>PC81</t>
  </si>
  <si>
    <t>21,334,500</t>
  </si>
  <si>
    <t>HĐBH HD007098 (27/4/2022) + 
 HĐBH HD007118 (28/4/2022)</t>
  </si>
  <si>
    <t>PC82</t>
  </si>
  <si>
    <t>Gửi HĐC KH Hà Nội</t>
  </si>
  <si>
    <t>21,320,500</t>
  </si>
  <si>
    <t>PC83</t>
  </si>
  <si>
    <t>Chi tiền nhà xe T4/2022</t>
  </si>
  <si>
    <t>2,000,000</t>
  </si>
  <si>
    <t>19,320,500</t>
  </si>
  <si>
    <t>PC84</t>
  </si>
  <si>
    <t>Chi tiền ship tờ rơi Lộc Ngãi - Xuân</t>
  </si>
  <si>
    <t>19,274,500</t>
  </si>
  <si>
    <t>Số dư cuối kỳ:</t>
  </si>
  <si>
    <t>Công ty:</t>
  </si>
  <si>
    <t>NHẬT KÝ DÒNG TIỀN</t>
  </si>
  <si>
    <t>Ghi họ và tên người kiểm soát tài chính</t>
  </si>
  <si>
    <t>Tồn tiền kỳ trước chuyển sang</t>
  </si>
  <si>
    <t>50,000,000</t>
  </si>
  <si>
    <t>200,000,000</t>
  </si>
  <si>
    <t>Nội dung, diễn giải
 (Dưới đây là ví dụ cách ghi nhật ký dòng tiền)</t>
  </si>
  <si>
    <t>Khoản mục chi tiêu</t>
  </si>
  <si>
    <t>Mã thu
  (tăng tiền)</t>
  </si>
  <si>
    <t>Phân loại</t>
  </si>
  <si>
    <t>Thu / B.Có
 (VND)</t>
  </si>
  <si>
    <t>Chi / B. Nợ
 (VND)</t>
  </si>
  <si>
    <t>Tồn tiền</t>
  </si>
  <si>
    <t>Cộng tồn khả dụng</t>
  </si>
  <si>
    <t>Ngân hàng</t>
  </si>
  <si>
    <t>Dư đầu tháng [Lặp lại dòng dư đầu kỳ này ở tháng sau]</t>
  </si>
  <si>
    <t>250,000,000</t>
  </si>
  <si>
    <t>Thu tiền ứng trước hợp đồng 123</t>
  </si>
  <si>
    <t>VAYNH</t>
  </si>
  <si>
    <t>TM</t>
  </si>
  <si>
    <t>56,300,000</t>
  </si>
  <si>
    <t>256,300,000</t>
  </si>
  <si>
    <t>Nhận tiền thanh toán của khách hàng A</t>
  </si>
  <si>
    <t>THUHD</t>
  </si>
  <si>
    <t>TGNH</t>
  </si>
  <si>
    <t>28,350,000</t>
  </si>
  <si>
    <t>228,350,000</t>
  </si>
  <si>
    <t>284,650,000</t>
  </si>
  <si>
    <t>Thanh toán tiền quảng cáo cho Google</t>
  </si>
  <si>
    <t>6,000,000</t>
  </si>
  <si>
    <t>50,300,000</t>
  </si>
  <si>
    <t>278,650,000</t>
  </si>
  <si>
    <t>Tiền mặt tăng do rút tiền ngân hàng về quý</t>
  </si>
  <si>
    <t>LUANCHUYEN</t>
  </si>
  <si>
    <t>80,300,000</t>
  </si>
  <si>
    <t>308,650,000</t>
  </si>
  <si>
    <t>Vay tiền</t>
  </si>
  <si>
    <t>VAYCN</t>
  </si>
  <si>
    <t>120,000,000</t>
  </si>
  <si>
    <t>200,300,000</t>
  </si>
  <si>
    <t>428,650,000</t>
  </si>
  <si>
    <t>Chi lương tháng 2</t>
  </si>
  <si>
    <t>228,650,000</t>
  </si>
  <si>
    <t>Chi ABC</t>
  </si>
  <si>
    <t>PM-CONGNGHE</t>
  </si>
  <si>
    <t>190,300,000</t>
  </si>
  <si>
    <t>218,650,000</t>
  </si>
  <si>
    <t>Mua mới bàn làm việc cho GĐ</t>
  </si>
  <si>
    <t>20,000,000</t>
  </si>
  <si>
    <t>8,350,000</t>
  </si>
  <si>
    <t>198,650,000</t>
  </si>
  <si>
    <t>Rủi ro</t>
  </si>
  <si>
    <t>BOITHUONG</t>
  </si>
  <si>
    <t>8,000,000</t>
  </si>
  <si>
    <t>182,300,000</t>
  </si>
  <si>
    <t>190,650,000</t>
  </si>
  <si>
    <t>Cước vận tải</t>
  </si>
  <si>
    <t>167,300,000</t>
  </si>
  <si>
    <t>175,650,000</t>
  </si>
  <si>
    <t>Nộp thuế</t>
  </si>
  <si>
    <t>4,000,000</t>
  </si>
  <si>
    <t>163,300,000</t>
  </si>
  <si>
    <t>171,650,000</t>
  </si>
  <si>
    <t>Ứng cho công ty ABC mua vật tư</t>
  </si>
  <si>
    <t>UNGTRUOCNCC</t>
  </si>
  <si>
    <t>153,300,000</t>
  </si>
  <si>
    <t>161,650,000</t>
  </si>
  <si>
    <t>Dư đầu kỳ tháng 2</t>
  </si>
  <si>
    <t>Luyên chuyển tiền mặt vào ngân hàng</t>
  </si>
  <si>
    <t>143,300,000</t>
  </si>
  <si>
    <t>151,650,000</t>
  </si>
  <si>
    <t>18,350,000</t>
  </si>
  <si>
    <t>-</t>
  </si>
  <si>
    <t>CTY</t>
  </si>
  <si>
    <t>Lũy kế thực hiện từ đầu năm tới tháng báo cáo</t>
  </si>
  <si>
    <t>KIỂM SOÁT TÀI CHÍNH VÀ DÒNG TIỀN</t>
  </si>
  <si>
    <t>Năm TC:</t>
  </si>
  <si>
    <t>THÁNG</t>
  </si>
  <si>
    <t>NHÓM</t>
  </si>
  <si>
    <t>Chỉ tiêu tài chính</t>
  </si>
  <si>
    <t>Mã khoản</t>
  </si>
  <si>
    <t>Thực hiện</t>
  </si>
  <si>
    <t>Chênh lệch</t>
  </si>
  <si>
    <t>SỐ DƯ ĐẦU THÁNG</t>
  </si>
  <si>
    <t>A1</t>
  </si>
  <si>
    <t>A2</t>
  </si>
  <si>
    <t>Tiền gửi ngân hàng</t>
  </si>
  <si>
    <t>A3</t>
  </si>
  <si>
    <t>Tương đương tiền</t>
  </si>
  <si>
    <t>DÒNG TIỀN VÀO TRONG THÁNG</t>
  </si>
  <si>
    <t>195,000,000</t>
  </si>
  <si>
    <t>154,650,000</t>
  </si>
  <si>
    <t>(40,350,000)</t>
  </si>
  <si>
    <t>B1</t>
  </si>
  <si>
    <t>TMDV</t>
  </si>
  <si>
    <t>Thu ứng trước hợp đồng bán hàng hóa, TP, dịch vụ</t>
  </si>
  <si>
    <t>UNGHD</t>
  </si>
  <si>
    <t>(120,000,000)</t>
  </si>
  <si>
    <t>B2</t>
  </si>
  <si>
    <t>Bán hàng thu tiền ngay, thu theo tiến độ hợp đồng</t>
  </si>
  <si>
    <t>(21,650,000)</t>
  </si>
  <si>
    <t>B3</t>
  </si>
  <si>
    <t>Thu từ thu hồi nợ phải thu của khách hàng, đối tác</t>
  </si>
  <si>
    <t>25,000,000</t>
  </si>
  <si>
    <t>(25,000,000)</t>
  </si>
  <si>
    <t>B4</t>
  </si>
  <si>
    <t>VAY</t>
  </si>
  <si>
    <t>Vay ngân hàng và định chế tài chính tương tự</t>
  </si>
  <si>
    <t>B5</t>
  </si>
  <si>
    <t>Vay tổ chức, cá nhân phi tín dụng</t>
  </si>
  <si>
    <t>B6</t>
  </si>
  <si>
    <t>CSH</t>
  </si>
  <si>
    <t>Thu tiền góp vốn của chủ sỡ hữu, góp vốn kinh doanh</t>
  </si>
  <si>
    <t>B7</t>
  </si>
  <si>
    <t>Thu tiền từ hoạt động hợp tác, liên doanh, liên kết</t>
  </si>
  <si>
    <t>HOPTAC</t>
  </si>
  <si>
    <t>B8</t>
  </si>
  <si>
    <t>Thu hồi các khoản đầu tư, liên doanh, góp vốn</t>
  </si>
  <si>
    <t>THOAIVON</t>
  </si>
  <si>
    <t>B9</t>
  </si>
  <si>
    <t>Các khoản thu làm tăng dòng tiền khác</t>
  </si>
  <si>
    <t>THUKHAC</t>
  </si>
  <si>
    <t>B10</t>
  </si>
  <si>
    <t>Thu hồi vốn bằng tiền ở đơn vị trực thuộc</t>
  </si>
  <si>
    <t>THUNOIBO</t>
  </si>
  <si>
    <t>B11</t>
  </si>
  <si>
    <t>TIENKHAC</t>
  </si>
  <si>
    <t>Chiết khấu tương đương tiền thành tiền</t>
  </si>
  <si>
    <t>Tổng tiền khả dụng trong tháng</t>
  </si>
  <si>
    <t>445,000,000</t>
  </si>
  <si>
    <t>404,650,000</t>
  </si>
  <si>
    <t>DÒNG TIỀN RA PHỤC VỤ HOẠT ĐỘNG</t>
  </si>
  <si>
    <t>295,500,000</t>
  </si>
  <si>
    <t>253,000,000</t>
  </si>
  <si>
    <t>(42,500,000)</t>
  </si>
  <si>
    <t>243,000,000</t>
  </si>
  <si>
    <t>I</t>
  </si>
  <si>
    <t>Các chi tiêu tối thiểu cho hoạt động</t>
  </si>
  <si>
    <t>52,000,000</t>
  </si>
  <si>
    <t>(42,000,000)</t>
  </si>
  <si>
    <t>HOATDONG</t>
  </si>
  <si>
    <t>Các khoản chi hoa hồng, chiết khấu thanh toán</t>
  </si>
  <si>
    <t>Chi các khoản phí, giao dịch hành chính kinh doanh</t>
  </si>
  <si>
    <t>Công tác phí, lưu trú cho BQL, nhân viên</t>
  </si>
  <si>
    <t>(4,000,000)</t>
  </si>
  <si>
    <t>Chi phí di chuyển, phương tiện cho nhân sự, đối tác</t>
  </si>
  <si>
    <t>Chi trả hóa đơn điện nước phục vụ sản xuất kinh doanh</t>
  </si>
  <si>
    <t>Chi trả cước và phí viễn thông, điện thoại</t>
  </si>
  <si>
    <t>3,000,000</t>
  </si>
  <si>
    <t>(3,000,000)</t>
  </si>
  <si>
    <t>Dịch vụ online, website (Không gồm khoản Marketing)</t>
  </si>
  <si>
    <t>DVONLINE</t>
  </si>
  <si>
    <t>Chi thuê, mua, đào tạo ứng dụng công nghệ</t>
  </si>
  <si>
    <t>Văn phòng phẩm, văn phòng phí</t>
  </si>
  <si>
    <t>Chi vệ sinh, an ninh - bảo vệ</t>
  </si>
  <si>
    <t>Chi cho dịch vụ mua ngoài, thuê ngoài khác</t>
  </si>
  <si>
    <t>1.13</t>
  </si>
  <si>
    <t>Chi sửa chữa, nâng cấp trang thiết bị, máy, phương tiện</t>
  </si>
  <si>
    <t>1.14</t>
  </si>
  <si>
    <t>Thù lao Hội đồng quản trị, điều hành</t>
  </si>
  <si>
    <t>1.15</t>
  </si>
  <si>
    <t>Chi giao tế, khánh tiết, tiếp khách</t>
  </si>
  <si>
    <t>(20,000,000)</t>
  </si>
  <si>
    <t>II</t>
  </si>
  <si>
    <t>Các khoản chi tiêu quảng cáo, MKT, xúc tiến bán hàng</t>
  </si>
  <si>
    <t>16,000,000</t>
  </si>
  <si>
    <t>(10,000,000)</t>
  </si>
  <si>
    <t>Chi cho quảng cáo</t>
  </si>
  <si>
    <t>Chi các hoạt động truyền thông, PR, sự kiện</t>
  </si>
  <si>
    <t>PRTT</t>
  </si>
  <si>
    <t>Chi tiêu cho in ấn và các ấn phẩm, media</t>
  </si>
  <si>
    <t>MEDIA</t>
  </si>
  <si>
    <t>III</t>
  </si>
  <si>
    <t>Mua hàng, vật tư, nhiên liệu trả ngay và ứng trước</t>
  </si>
  <si>
    <t>(190,000,000)</t>
  </si>
  <si>
    <t>MUA</t>
  </si>
  <si>
    <t>Mua hàng, vật tư, nhiên liệu trả ngay cho NCC</t>
  </si>
  <si>
    <t>Chi trả ứng trước cho các hợp đồng mua - nhà CC</t>
  </si>
  <si>
    <t>Chi trả cho hoạt động thuê gia công, giao thầu bên ngoài / khoán</t>
  </si>
  <si>
    <t>GIACONG-THAU</t>
  </si>
  <si>
    <t>IV</t>
  </si>
  <si>
    <t>Chi tiêu cho nhân sự tiền lương</t>
  </si>
  <si>
    <t>192,000,000</t>
  </si>
  <si>
    <t>NHANSU</t>
  </si>
  <si>
    <t>Tạm ứng cho nhân sự phục vụ hoạt động</t>
  </si>
  <si>
    <t>(8,000,000)</t>
  </si>
  <si>
    <t>Lương &amp; các khoản bảo hiểm bắt buộc (BHYT, BHXH, BHTN)</t>
  </si>
  <si>
    <t>Các khoản thưởng, thu nhập mềm theo quy chế</t>
  </si>
  <si>
    <t>Chi tiêu cho tuyển dụng và đào tạo nhân sự</t>
  </si>
  <si>
    <t>Các khoản trợ cấp, phúc lợi, đền bù hợp đồng lao động</t>
  </si>
  <si>
    <t>TROCAP</t>
  </si>
  <si>
    <t>Các khoản phúc lợi, quà tặng, thăm hỏi</t>
  </si>
  <si>
    <t>Các khoản chi khác cho nhân sự như đào tạo, đồng phụ, bảo hộ</t>
  </si>
  <si>
    <t>NSKHAC</t>
  </si>
  <si>
    <t>V</t>
  </si>
  <si>
    <t>Thuế và các nghĩa vụ nộp ngân sách</t>
  </si>
  <si>
    <t>1,500,000</t>
  </si>
  <si>
    <t>NSACH</t>
  </si>
  <si>
    <t>Các khoản thuế phải nộp ngân sách</t>
  </si>
  <si>
    <t>Bảo hiểm bắt buộc và bảo hiểm khác</t>
  </si>
  <si>
    <t>BAOHIEM</t>
  </si>
  <si>
    <t>Chi phí giao dịch hành chính, phí, lệ phí</t>
  </si>
  <si>
    <t>TRANO</t>
  </si>
  <si>
    <t>Chi trả các khoản gốc vay ngân hàng, cá nhân</t>
  </si>
  <si>
    <t>TRANOVAY</t>
  </si>
  <si>
    <t>Chi trả lãi vay, chi phí tài chính phục vụ kinh doanh</t>
  </si>
  <si>
    <t>Thanh toán công nợ phải trả với nhà cung cấp</t>
  </si>
  <si>
    <t>TRANONCC</t>
  </si>
  <si>
    <t>Giảm trừ, phải trả lại cho khách hàng</t>
  </si>
  <si>
    <t>TRAKH</t>
  </si>
  <si>
    <t>VI</t>
  </si>
  <si>
    <t>Các khoản chi tiêu vận tải &amp; hạ tầng kinh doanh</t>
  </si>
  <si>
    <t>12,000,000</t>
  </si>
  <si>
    <t>LOGI</t>
  </si>
  <si>
    <t>Chi trả chi phí vận tải, bốc dỡ, lưu kho</t>
  </si>
  <si>
    <t>Chi trả dịch vụ thuê đất, thuê văn phòng</t>
  </si>
  <si>
    <t>Các khoản chi về dịch vụ pháp lý</t>
  </si>
  <si>
    <t>PHAPLY</t>
  </si>
  <si>
    <t>Các khoản chi tiêu tư vấn, thẩm định</t>
  </si>
  <si>
    <t>TUVAN</t>
  </si>
  <si>
    <t>Khoản chi về dịch vụ hỗ trợ kinh doanh</t>
  </si>
  <si>
    <t>BDS</t>
  </si>
  <si>
    <t>Các khoản chi tiêu hỗ trợ / hạ tầng khác</t>
  </si>
  <si>
    <t>LOGIKHAC</t>
  </si>
  <si>
    <t>VII</t>
  </si>
  <si>
    <t>Các khoản chi tiêu khác</t>
  </si>
  <si>
    <t>(7,000,000)</t>
  </si>
  <si>
    <t>Chi trả bồi thường, thiệt hại, rủi ro</t>
  </si>
  <si>
    <t>Các khoản ký quỹ trách nhiệm theo hợp đồng</t>
  </si>
  <si>
    <t>KYQUY</t>
  </si>
  <si>
    <t>Các khoản chi bằng tiền khác khác</t>
  </si>
  <si>
    <t>CHIKHAC</t>
  </si>
  <si>
    <t>Dự phòng chi tiêu bất thường</t>
  </si>
  <si>
    <t>DUPHONG</t>
  </si>
  <si>
    <t>Khoản chi thứ 31 hoặc xóa TEXT nếu không có</t>
  </si>
  <si>
    <t>CHI31</t>
  </si>
  <si>
    <t>Khoản chi thứ 32 hoặc xóa TEXT nếu không có</t>
  </si>
  <si>
    <t>CHI32</t>
  </si>
  <si>
    <t>ĐẦU TƯ MUA SẮM</t>
  </si>
  <si>
    <t>19,999,979</t>
  </si>
  <si>
    <t>TS</t>
  </si>
  <si>
    <t>Đầu tư mua sắm tài sản, thiết bị, CCDC</t>
  </si>
  <si>
    <t>19,999,999</t>
  </si>
  <si>
    <t>Sửa chữa lớn tài sản cố định chưa dự phòng</t>
  </si>
  <si>
    <t>SUACHUALON</t>
  </si>
  <si>
    <t>DA</t>
  </si>
  <si>
    <t>Dự án / phương án đầu tư mới, mở rộng, XDCB</t>
  </si>
  <si>
    <t>DUANDAUTU</t>
  </si>
  <si>
    <t>Các khoản thuê mua trả trước trên 1 năm</t>
  </si>
  <si>
    <t>TRATRUOCDAIHAN</t>
  </si>
  <si>
    <t>TC</t>
  </si>
  <si>
    <t>Đầu tư tài chính, góp vốn, chứng khoán</t>
  </si>
  <si>
    <t>DAUTUTAICHINH</t>
  </si>
  <si>
    <t>DTKHAC</t>
  </si>
  <si>
    <t>Các khoản mục đầu tư khác</t>
  </si>
  <si>
    <t>DAUTUKHAC</t>
  </si>
  <si>
    <t>THẶNG DƯ / THÂM HỤT CUỐI THÁNG</t>
  </si>
  <si>
    <t>149,499,979</t>
  </si>
  <si>
    <t>131,650,000</t>
  </si>
  <si>
    <t>(17,849,979)</t>
  </si>
  <si>
    <t>Độ nhạy:</t>
  </si>
  <si>
    <t>Hướng dẫn nhanh: Chỉ nhập liệu ở cột dự kiến. Không sửa tên chỉ tiêu, mã khoản trong bảng
 Độ nhạy 10%: Dự kiến mức sai lệch khi lập giao động 10%. Có thể thay đổi thông số này theo đặc thù doanh nghiệp. Trong bảng ứng dụng là dữ liệu nhập làm mẫu, hãy thay thế số liệu của DN bạn vào các chỉ tiêu chi tiết.</t>
  </si>
  <si>
    <t>KẾ HOẠCH TÀI CHÍNH - DÒNG TIỀN</t>
  </si>
  <si>
    <t>Cơ sở:</t>
  </si>
  <si>
    <t>Hoạt động</t>
  </si>
  <si>
    <t>Cả năm</t>
  </si>
  <si>
    <t>Thực tế</t>
  </si>
  <si>
    <t>720,000,000</t>
  </si>
  <si>
    <t>710,000,000</t>
  </si>
  <si>
    <t>770,000,000</t>
  </si>
  <si>
    <t>300,000,000</t>
  </si>
  <si>
    <t>500,000,000</t>
  </si>
  <si>
    <t>320,000,000</t>
  </si>
  <si>
    <t>420,000,000</t>
  </si>
  <si>
    <t>210,000,000</t>
  </si>
  <si>
    <t>450,000,000</t>
  </si>
  <si>
    <t>214,500,000</t>
  </si>
  <si>
    <t>310,000,000</t>
  </si>
  <si>
    <t>341,000,000</t>
  </si>
  <si>
    <t>800,000,000</t>
  </si>
  <si>
    <t>880,000,000</t>
  </si>
  <si>
    <t>1,305,000,000</t>
  </si>
  <si>
    <t>1,435,500,000</t>
  </si>
  <si>
    <t>132,000,000</t>
  </si>
  <si>
    <t>275,000,000</t>
  </si>
  <si>
    <t>80,000,000</t>
  </si>
  <si>
    <t>88,000,000</t>
  </si>
  <si>
    <t>495,000,000</t>
  </si>
  <si>
    <t>55,000,000</t>
  </si>
  <si>
    <t>600,000,000</t>
  </si>
  <si>
    <t>660,000,000</t>
  </si>
  <si>
    <t>650,000,000</t>
  </si>
  <si>
    <t>715,000,000</t>
  </si>
  <si>
    <t>27,500,000</t>
  </si>
  <si>
    <t>60,000,000</t>
  </si>
  <si>
    <t>66,000,000</t>
  </si>
  <si>
    <t>205,000,000</t>
  </si>
  <si>
    <t>225,500,000</t>
  </si>
  <si>
    <t>915,000,000</t>
  </si>
  <si>
    <t>934,500,000</t>
  </si>
  <si>
    <t>1,020,000,000</t>
  </si>
  <si>
    <t>1,051,000,000</t>
  </si>
  <si>
    <t>1,570,000,000</t>
  </si>
  <si>
    <t>1,650,000,000</t>
  </si>
  <si>
    <t>2,025,000,000</t>
  </si>
  <si>
    <t>2,155,500,000</t>
  </si>
  <si>
    <t>325,050,000</t>
  </si>
  <si>
    <t>324,200,000</t>
  </si>
  <si>
    <t>356,620,000</t>
  </si>
  <si>
    <t>449,300,000</t>
  </si>
  <si>
    <t>494,230,000</t>
  </si>
  <si>
    <t>1,069,000,000</t>
  </si>
  <si>
    <t>1,175,900,000</t>
  </si>
  <si>
    <t>57,200,000</t>
  </si>
  <si>
    <t>58,200,000</t>
  </si>
  <si>
    <t>64,020,000</t>
  </si>
  <si>
    <t>56,100,000</t>
  </si>
  <si>
    <t>61,710,000</t>
  </si>
  <si>
    <t>166,300,000</t>
  </si>
  <si>
    <t>182,930,000</t>
  </si>
  <si>
    <t>8,800,000</t>
  </si>
  <si>
    <t>11,000,000</t>
  </si>
  <si>
    <t>18,000,000</t>
  </si>
  <si>
    <t>19,800,000</t>
  </si>
  <si>
    <t>4,400,000</t>
  </si>
  <si>
    <t>3,300,000</t>
  </si>
  <si>
    <t>3,200,000</t>
  </si>
  <si>
    <t>3,520,000</t>
  </si>
  <si>
    <t>3,100,000</t>
  </si>
  <si>
    <t>3,410,000</t>
  </si>
  <si>
    <t>9,300,000</t>
  </si>
  <si>
    <t>10,230,000</t>
  </si>
  <si>
    <t>75,000,000</t>
  </si>
  <si>
    <t>82,500,000</t>
  </si>
  <si>
    <t>22,000,000</t>
  </si>
  <si>
    <t>24,200,000</t>
  </si>
  <si>
    <t>17,600,000</t>
  </si>
  <si>
    <t>16,500,000</t>
  </si>
  <si>
    <t>49,000,000</t>
  </si>
  <si>
    <t>53,900,000</t>
  </si>
  <si>
    <t>220,000,000</t>
  </si>
  <si>
    <t>180,000,000</t>
  </si>
  <si>
    <t>198,000,000</t>
  </si>
  <si>
    <t>630,000,000</t>
  </si>
  <si>
    <t>693,000,000</t>
  </si>
  <si>
    <t>65,000,000</t>
  </si>
  <si>
    <t>71,500,000</t>
  </si>
  <si>
    <t>133,000,000</t>
  </si>
  <si>
    <t>146,300,000</t>
  </si>
  <si>
    <t>125,000,000</t>
  </si>
  <si>
    <t>137,500,000</t>
  </si>
  <si>
    <t>1,650,000</t>
  </si>
  <si>
    <t>7,700,000</t>
  </si>
  <si>
    <t>8,470,000</t>
  </si>
  <si>
    <t>5,500,000</t>
  </si>
  <si>
    <t>68,000,000</t>
  </si>
  <si>
    <t>74,800,000</t>
  </si>
  <si>
    <t>13,200,000</t>
  </si>
  <si>
    <t>Luân chuyển tiền nội bộ (Quỹ - Ngân hàng)</t>
  </si>
  <si>
    <t>550,000,000</t>
  </si>
  <si>
    <t>605,000,000</t>
  </si>
  <si>
    <t>750,000,021</t>
  </si>
  <si>
    <t>825,000,023</t>
  </si>
  <si>
    <t>50,000,001</t>
  </si>
  <si>
    <t>55,000,001</t>
  </si>
  <si>
    <t>700,000,005</t>
  </si>
  <si>
    <t>770,000,006</t>
  </si>
  <si>
    <t>619,499,979</t>
  </si>
  <si>
    <t>609,449,977</t>
  </si>
  <si>
    <t>495,800,000</t>
  </si>
  <si>
    <t>474,380,000</t>
  </si>
  <si>
    <t>570,700,000</t>
  </si>
  <si>
    <t>550,770,000</t>
  </si>
  <si>
    <t>205,999,979</t>
  </si>
  <si>
    <t>154,599,977</t>
  </si>
  <si>
    <t>DANH MỤC KHOẢN MỤC PHÍ VÀ CHI TIÊU</t>
  </si>
  <si>
    <t>Nhóm</t>
  </si>
  <si>
    <t>Mã chi tiêu</t>
  </si>
  <si>
    <t>Tên khoản mục phí và chi tiêu</t>
  </si>
  <si>
    <t>Chi tiêu cho vệ sinh, an ninh</t>
  </si>
  <si>
    <t>Dịch vụ mua ngoài khác không bao gồm điện nước, viễn thông, tư vấn</t>
  </si>
  <si>
    <t>Các khoản chi tiêu cho sửa chữa thường xuyên</t>
  </si>
  <si>
    <t>Thù lao chi trả cho hội đồng thành viên, hội đồng quản trị</t>
  </si>
  <si>
    <t>Chi tiêu giao tế, quà tặng đối tác, tiếp khác, giao lưu</t>
  </si>
  <si>
    <t>Tham chiếu quy chế lương, định mức chi tiêu, phương thức chi trả</t>
  </si>
  <si>
    <t>Áp theo chính sách với kết quả và thông báo bằng văn bản hoặc kết quả giao dịch hành chính thuế, bảo hiểm</t>
  </si>
  <si>
    <t>LOGISTIC hiểu theo nghĩa rộng, bao hàm vận tải và các dịch vụ phụ trợ, hỗ trợ cho hoạt động kinh doanh</t>
  </si>
  <si>
    <t>Các khoản bồi thường, gồm bồi thường nhân sự, bồi thường tai nạn, bồi thường hợp đồng</t>
  </si>
  <si>
    <t>Ký quỹ, cầm cố thực hiện trách nhiệm giao dịch</t>
  </si>
  <si>
    <t>Luân chuyển được loại trừ khỏi dòng tiền</t>
  </si>
  <si>
    <t>Chi tiêu khác chưa liệt kê ở trên</t>
  </si>
  <si>
    <t>Trích khoản dự phòng chi tiêu</t>
  </si>
  <si>
    <t>Khoản khác nếu có, nếu không có thì xóa nội dung, không xóa dòng</t>
  </si>
  <si>
    <t>Tài sản, thiết bị</t>
  </si>
  <si>
    <t>Dự án, phát triển</t>
  </si>
  <si>
    <t>Tài chính</t>
  </si>
  <si>
    <t>đầu tư khác</t>
  </si>
  <si>
    <t>CUOICUNG</t>
  </si>
  <si>
    <t>Ghi khoản cuối cùng vào đây hoặc xóa TEXT, để trống ô</t>
  </si>
  <si>
    <t>DÒNG TIỀN VÀO (Tăng dòng tiền cho doanh nghiệp)</t>
  </si>
  <si>
    <t>Thương mại, dịch vụ, bán hang</t>
  </si>
  <si>
    <t>Thu hồi nợ</t>
  </si>
  <si>
    <t>Vay nợ</t>
  </si>
  <si>
    <t>Chủ sở hữu</t>
  </si>
  <si>
    <t>Vốn từ hợp tác mà có</t>
  </si>
  <si>
    <t>Thoái vốn đầu tư</t>
  </si>
  <si>
    <t>Dòng tiền khác</t>
  </si>
  <si>
    <t>Thu hồi nợ nội bộ</t>
  </si>
  <si>
    <t>Chiết khấu, bán trái phiếu / chứng khoán lấy tiền</t>
  </si>
  <si>
    <t>__________________________________________________________________________________________________________</t>
  </si>
  <si>
    <t>Loại tiền</t>
  </si>
  <si>
    <t>Tiền mặt tại quỹ, văn phòng để chi tiêu</t>
  </si>
  <si>
    <t>Tiền tại các tài khoản ngân hàng</t>
  </si>
  <si>
    <t>Mã tiền tệ giao dịch chính</t>
  </si>
  <si>
    <t>VND</t>
  </si>
  <si>
    <t>Công ty CP BĐS</t>
  </si>
  <si>
    <t>PHIẾU CHI</t>
  </si>
  <si>
    <t>Số:</t>
  </si>
  <si>
    <t>Đại Hùng Thịnh</t>
  </si>
  <si>
    <t>482 Trường Chinh, Q.12</t>
  </si>
  <si>
    <t>(Quyển số:……………….)</t>
  </si>
  <si>
    <t>Nợ: …………………….</t>
  </si>
  <si>
    <t>Người nhận tiền</t>
  </si>
  <si>
    <t>:</t>
  </si>
  <si>
    <t>Lý do</t>
  </si>
  <si>
    <t>đồng</t>
  </si>
  <si>
    <t>Bằng chữ</t>
  </si>
  <si>
    <t>Ba trăm ba mươi hai ngàn đồng chẵn.</t>
  </si>
  <si>
    <t>Kèm theo</t>
  </si>
  <si>
    <t>Đã nhận đủ số tiền</t>
  </si>
  <si>
    <t>Người lập phiếu</t>
  </si>
  <si>
    <t>Thủ trưởng đơn vị</t>
  </si>
  <si>
    <t>Lê Thị Thuỳ Anh</t>
  </si>
  <si>
    <t>(QĐ số 1141 - TC/QĐ/CĐKT</t>
  </si>
  <si>
    <t>Ngày 01/11/1995 của BTC)</t>
  </si>
  <si>
    <t>BẢN DỰ BÁO KẾT QUẢ HOẠT ĐỘNG SẢN XUẤT KINH DOANH</t>
  </si>
  <si>
    <t>Mã Dự án</t>
  </si>
  <si>
    <t>Tên Dự Án</t>
  </si>
  <si>
    <t>Mã TK</t>
  </si>
  <si>
    <t>QUÝ I</t>
  </si>
  <si>
    <t>QUÝ II</t>
  </si>
  <si>
    <t>1H</t>
  </si>
  <si>
    <t>QUÝ III</t>
  </si>
  <si>
    <t>QUÝ IV</t>
  </si>
  <si>
    <t>2H</t>
  </si>
  <si>
    <t>TOTAL YEAR 2022</t>
  </si>
  <si>
    <t>BP</t>
  </si>
  <si>
    <t>LF</t>
  </si>
  <si>
    <t>AC</t>
  </si>
  <si>
    <t>AC vs BP</t>
  </si>
  <si>
    <t>AC vs LF</t>
  </si>
  <si>
    <t>I. DOANH SỐ</t>
  </si>
  <si>
    <t>%DS</t>
  </si>
  <si>
    <t>Tỷ trọng</t>
  </si>
  <si>
    <t>CLOUDLAND</t>
  </si>
  <si>
    <t>II. DOANH THU - HOA HỒNG</t>
  </si>
  <si>
    <t>III. GIÁ VỐN BÁN HÀNG</t>
  </si>
  <si>
    <t>IV. LỢI NHUẬN GỘP</t>
  </si>
  <si>
    <t>V. DOANH THU TÀI CHÍNH</t>
  </si>
  <si>
    <t>VI. CHI PHÍ TÀI CHÍNH</t>
  </si>
  <si>
    <t>VII. CHI PHÍ BÁN HÀNG</t>
  </si>
  <si>
    <t>CHI PHÍ NHÂN SỰ KINH DOANH</t>
  </si>
  <si>
    <t>Chi phí lương KD</t>
  </si>
  <si>
    <t>Chi phí hoa hồng nhân viên</t>
  </si>
  <si>
    <t>Chi phí hoa hồng lãnh đạo</t>
  </si>
  <si>
    <t>Chi phí tuyển dụng</t>
  </si>
  <si>
    <t xml:space="preserve">CHI PHÍ MARKETING </t>
  </si>
  <si>
    <t>CHI PHÍ THUÊ XE</t>
  </si>
  <si>
    <t>QUỸ PHÚC LỢI</t>
  </si>
  <si>
    <t>QUYPL</t>
  </si>
  <si>
    <t>CHI PHÍ QUỸ 8%</t>
  </si>
  <si>
    <t>Chi thưởng đạt chỉ tiêu MKT</t>
  </si>
  <si>
    <t>Chi phí du lịch</t>
  </si>
  <si>
    <t>Chi phí hiếu hỉ</t>
  </si>
  <si>
    <t>Chi phí hỗ trợ nhân viên</t>
  </si>
  <si>
    <t>QUỸ 0.03%</t>
  </si>
  <si>
    <t>CHI PHÍ HỖ TRỢ QUẢN LÝ</t>
  </si>
  <si>
    <t>VIII. CHI PHÍ QUẢN LÝ DOANH NGHIỆP</t>
  </si>
  <si>
    <t>CHI PHÍ NHÂN SỰ QUẢN LÝ</t>
  </si>
  <si>
    <t>Lương LĐ</t>
  </si>
  <si>
    <t>Lương QL</t>
  </si>
  <si>
    <t>Thưởng LĐ</t>
  </si>
  <si>
    <t>Thưởng QL</t>
  </si>
  <si>
    <t>THUONGQL</t>
  </si>
  <si>
    <t>Chi phí BHXH</t>
  </si>
  <si>
    <t>Chi phí đào tạo</t>
  </si>
  <si>
    <t>CHI PHÍ THUÊ VĂN PHÒNG</t>
  </si>
  <si>
    <t>CHI PHÍ VẬN HÀNH VĂN PHÒNG</t>
  </si>
  <si>
    <t>Chi phí mực in</t>
  </si>
  <si>
    <t>Chi phí đối ngoại</t>
  </si>
  <si>
    <t>Chi phí nước sinh hoạt</t>
  </si>
  <si>
    <t>Chi phí họp</t>
  </si>
  <si>
    <t>Chi phí kế toán</t>
  </si>
  <si>
    <t>Chi phí công cụ dụng cụ</t>
  </si>
  <si>
    <t>Chi phí in ấn</t>
  </si>
  <si>
    <t>Chi phí y tế</t>
  </si>
  <si>
    <t>Chi phí điện sinh hoạt</t>
  </si>
  <si>
    <t>Chi phí thờ cúng</t>
  </si>
  <si>
    <t>Chi phí vệ sinh</t>
  </si>
  <si>
    <t>Chi phí văn phòng phẩm</t>
  </si>
  <si>
    <t>Chi phí nước uống</t>
  </si>
  <si>
    <t>Chi phí INTENET</t>
  </si>
  <si>
    <t>CHI PHÍ DỊCH VỤ KHÁC</t>
  </si>
  <si>
    <t>Chi phí thuế môn bài</t>
  </si>
  <si>
    <t>CHI PHÍ KHẤU HAO TÀI SẢN</t>
  </si>
  <si>
    <t>KHAUHAO</t>
  </si>
  <si>
    <t xml:space="preserve">CHI PHÍ KHÁC </t>
  </si>
  <si>
    <t>IX. TOTAL CHI PHÍ</t>
  </si>
  <si>
    <t>X. LỢI NHUẬN THUẦN TỪ HĐSXKD</t>
  </si>
  <si>
    <t>THU NHẬP KHAC</t>
  </si>
  <si>
    <t>THU KHAC</t>
  </si>
  <si>
    <t>LỢI NHUẬN KHÁC</t>
  </si>
  <si>
    <t xml:space="preserve">XI. LỢI NHUẬN TRƯỚC THUẾ </t>
  </si>
  <si>
    <t>XII. CHI PHÍ THUẾ THU NHẬP DOANH NGHIỆP</t>
  </si>
  <si>
    <t>TNDN</t>
  </si>
  <si>
    <t>XIII. LỢI NHUẬN SAU THUẾ</t>
  </si>
  <si>
    <t>I. DOANH THU</t>
  </si>
  <si>
    <t>Ngày (BP)</t>
  </si>
  <si>
    <t>CHỦ ĐẦU TƯ (BP)</t>
  </si>
  <si>
    <t>Mã DỰ ÁN (BP)</t>
  </si>
  <si>
    <t>MÃ SẢN PHẨM (BP)</t>
  </si>
  <si>
    <t>BỘ PHẬN (BP)</t>
  </si>
  <si>
    <t>Mã KM</t>
  </si>
  <si>
    <t>KHÁCH HÀNG (BP)</t>
  </si>
  <si>
    <t>SỐ TIỀN</t>
  </si>
  <si>
    <t>Ghi chú (BP)</t>
  </si>
  <si>
    <t>Mã ĐỘI</t>
  </si>
  <si>
    <t>Tên ĐỘI</t>
  </si>
  <si>
    <t>NĂM 2022</t>
  </si>
  <si>
    <t>6 tháng cuối năm</t>
  </si>
  <si>
    <t>01/2022</t>
  </si>
  <si>
    <t>02/2022</t>
  </si>
  <si>
    <t>03/2022</t>
  </si>
  <si>
    <t>04/2022</t>
  </si>
  <si>
    <t>05/2022</t>
  </si>
  <si>
    <t>06/2022</t>
  </si>
  <si>
    <t>07/2022</t>
  </si>
  <si>
    <t>08/2022</t>
  </si>
  <si>
    <t>09/2022</t>
  </si>
  <si>
    <t>10/2022</t>
  </si>
  <si>
    <t>11/2022</t>
  </si>
  <si>
    <t>12/2022</t>
  </si>
  <si>
    <t>Chi phí DV khác</t>
  </si>
  <si>
    <t>Chi phí Internet</t>
  </si>
  <si>
    <t>IV. DOANH THU - HOA HỒNG</t>
  </si>
  <si>
    <t>KẾ HOẠCH DOANH THU BÁN HÀNG NĂM 2022</t>
  </si>
  <si>
    <t>MÃ CHỦ ĐẦU TƯ</t>
  </si>
  <si>
    <t>TÊN CHỦ ĐẦU TƯ</t>
  </si>
  <si>
    <t>KẾ HOẠCH NĂM</t>
  </si>
  <si>
    <r>
      <rPr>
        <rFont val="Times New Roman"/>
        <b/>
        <color rgb="FF0070C0"/>
        <sz val="10.0"/>
      </rPr>
      <t>(</t>
    </r>
    <r>
      <rPr>
        <rFont val="Times New Roman"/>
        <b/>
        <color rgb="FF0070C0"/>
        <sz val="10.0"/>
        <u/>
      </rPr>
      <t>+)</t>
    </r>
    <r>
      <rPr>
        <rFont val="Times New Roman"/>
        <b/>
        <color rgb="FF0070C0"/>
        <sz val="10.0"/>
      </rPr>
      <t xml:space="preserve"> SO VỚI KẾ HOẠCH</t>
    </r>
  </si>
  <si>
    <t>KẾ HOẠCH</t>
  </si>
  <si>
    <t>THỰC HIỆN</t>
  </si>
  <si>
    <t>THÀNH NAM</t>
  </si>
  <si>
    <t>NAM PHONG</t>
  </si>
  <si>
    <t>NAM SÀI GÒN</t>
  </si>
  <si>
    <t>KIM CƯƠNG LAND</t>
  </si>
  <si>
    <t>KHANG VƯỢNG</t>
  </si>
  <si>
    <t>PHÚ GIA THỊNH</t>
  </si>
  <si>
    <t>TRẦN ANH GROUP</t>
  </si>
  <si>
    <t>PHI TRƯỜNG</t>
  </si>
  <si>
    <t>CLOUD LAND</t>
  </si>
  <si>
    <t>HOÀNG CÁT</t>
  </si>
  <si>
    <t>MÃ CĐT</t>
  </si>
  <si>
    <t>MÃ DỰ ÁN</t>
  </si>
  <si>
    <t>TÊN DỰ ÁN</t>
  </si>
  <si>
    <t>THANGLOI</t>
  </si>
  <si>
    <t>4tf6</t>
  </si>
  <si>
    <t>BÁO CÁO KẾT QUẢ HOẠT ĐỘNG KINH DOANH</t>
  </si>
  <si>
    <t>Đơn vị tính : nghìn đồng</t>
  </si>
  <si>
    <t>Tên chỉ tiêu</t>
  </si>
  <si>
    <t>% so với doanh thu thuần</t>
  </si>
  <si>
    <t>Tỷ trong chi phí</t>
  </si>
  <si>
    <t>Biến động (+)</t>
  </si>
  <si>
    <t>(+)
 %</t>
  </si>
  <si>
    <t>1. Doanh thu bán hàng và cung cấp dịch vụ</t>
  </si>
  <si>
    <t>511</t>
  </si>
  <si>
    <t>911</t>
  </si>
  <si>
    <t>2. Các khoản giảm trừ doanh thu</t>
  </si>
  <si>
    <t>521</t>
  </si>
  <si>
    <t>3. Doanh thu thuần về bán hàng và cung cấp dịch vụ (10 = 01 - 02)</t>
  </si>
  <si>
    <t>4. Giá vốn hàng bán</t>
  </si>
  <si>
    <t>632</t>
  </si>
  <si>
    <t>5. Lợi nhuận gộp về bán hàng và cung cấp dịch vụ (20 = 10 - 11)</t>
  </si>
  <si>
    <t>6. Doanh thu hoạt động tài chính</t>
  </si>
  <si>
    <t>515</t>
  </si>
  <si>
    <t>7. Chi phí tài chính</t>
  </si>
  <si>
    <t>635</t>
  </si>
  <si>
    <t>8. Chi phí bán hàng</t>
  </si>
  <si>
    <t>641</t>
  </si>
  <si>
    <t>9. Chi phí quản lý kinh doanh</t>
  </si>
  <si>
    <t>10. Lợi nhuận từ hoạt động kinh doanh [30=20+(21-22)-(24+25)]</t>
  </si>
  <si>
    <t>11. Thu nhập khác</t>
  </si>
  <si>
    <t>711</t>
  </si>
  <si>
    <t>12. Chi phí khác</t>
  </si>
  <si>
    <t>811</t>
  </si>
  <si>
    <t>13. Lợi nhuận khác (40 = 31 - 32)</t>
  </si>
  <si>
    <t>14. Tổng lợi nhuận kế toán trước thuế (50 = 30 + 40)</t>
  </si>
  <si>
    <t>15. Chi phí thuế TNDN</t>
  </si>
  <si>
    <t>821</t>
  </si>
  <si>
    <t>17. Lợi nhuận sau thuế TNDN (60=50-51-52)</t>
  </si>
  <si>
    <t>Tổng chi phí không bao gồm chi phí thuế TNDN</t>
  </si>
  <si>
    <t>Người lập biểu</t>
  </si>
  <si>
    <t>(Ký, họ tên, đóng dấu)</t>
  </si>
  <si>
    <t>QUY TẮC:</t>
  </si>
  <si>
    <t>BẢNG CÂN ĐỐI TÀI KHOẢN</t>
  </si>
  <si>
    <t>Mã xử lý</t>
  </si>
  <si>
    <t>Số hiệu TK</t>
  </si>
  <si>
    <t>Phát sinh trong kỳ</t>
  </si>
  <si>
    <t>Hướng dẫn sử dụng TK</t>
  </si>
  <si>
    <t>Dư nợ</t>
  </si>
  <si>
    <t>Dư có</t>
  </si>
  <si>
    <t>PS Nợ</t>
  </si>
  <si>
    <t>PS có</t>
  </si>
  <si>
    <t>111</t>
  </si>
  <si>
    <t> Tiền mặt</t>
  </si>
  <si>
    <t> Tiền mặt Việt Nam</t>
  </si>
  <si>
    <t> Ngoại tệ</t>
  </si>
  <si>
    <t>1113</t>
  </si>
  <si>
    <t> Vàng tiền tệ</t>
  </si>
  <si>
    <t>1</t>
  </si>
  <si>
    <t>112</t>
  </si>
  <si>
    <t> Tiền gửi ngân hàng</t>
  </si>
  <si>
    <t> Tiền Việt Nam</t>
  </si>
  <si>
    <t>1123</t>
  </si>
  <si>
    <t>113</t>
  </si>
  <si>
    <t> Tiền đang chuyển</t>
  </si>
  <si>
    <t>1131</t>
  </si>
  <si>
    <t>1132</t>
  </si>
  <si>
    <t>121</t>
  </si>
  <si>
    <t> Chứng khoán kinh doanh</t>
  </si>
  <si>
    <t>1211</t>
  </si>
  <si>
    <t> Cổ phiếu</t>
  </si>
  <si>
    <t>1212</t>
  </si>
  <si>
    <t> Trái phiếu</t>
  </si>
  <si>
    <t>1218</t>
  </si>
  <si>
    <t> Chứng khoán và công cụ tài chính khác</t>
  </si>
  <si>
    <t>128</t>
  </si>
  <si>
    <t> Đầu tư nắm giữ đến ngày đáo hạn</t>
  </si>
  <si>
    <t> Tiền gửi có kỳ hạn </t>
  </si>
  <si>
    <t>1282</t>
  </si>
  <si>
    <t>1283</t>
  </si>
  <si>
    <t> Cho vay </t>
  </si>
  <si>
    <t> Các khoản đầu tư khác nắm giữ đến ngày đáo hạn</t>
  </si>
  <si>
    <t>131</t>
  </si>
  <si>
    <t> Phải thu của khách hàng</t>
  </si>
  <si>
    <t> Thuế GTGT được khấu trừ</t>
  </si>
  <si>
    <t>1331</t>
  </si>
  <si>
    <t> Thuế GTGT được khấu trừ của hàng hóa, dịch vụ</t>
  </si>
  <si>
    <t>1332</t>
  </si>
  <si>
    <t> Thuế GTGT được khấu trừ của TSCĐ</t>
  </si>
  <si>
    <t>136</t>
  </si>
  <si>
    <t> Phải thu nội bộ</t>
  </si>
  <si>
    <t> Vốn kinh doanh ở các đơn vị trực thuộc</t>
  </si>
  <si>
    <t>1362</t>
  </si>
  <si>
    <t> Phải thu nội bộ về chênh lệch tỷ giá</t>
  </si>
  <si>
    <t>1363</t>
  </si>
  <si>
    <t>138</t>
  </si>
  <si>
    <t>1385</t>
  </si>
  <si>
    <t>Phải thu về cổ phần hoá</t>
  </si>
  <si>
    <t>141</t>
  </si>
  <si>
    <t>151</t>
  </si>
  <si>
    <t>152</t>
  </si>
  <si>
    <t>153</t>
  </si>
  <si>
    <t>1531</t>
  </si>
  <si>
    <t>1532</t>
  </si>
  <si>
    <t>Bao bì luân chuyển</t>
  </si>
  <si>
    <t>1533</t>
  </si>
  <si>
    <t>Đồ dùng cho thuê</t>
  </si>
  <si>
    <t>1534</t>
  </si>
  <si>
    <t>Thiết bị, phụ tùng thay thế</t>
  </si>
  <si>
    <t>155</t>
  </si>
  <si>
    <t>Thành phẩm</t>
  </si>
  <si>
    <t>1551</t>
  </si>
  <si>
    <t>Thành phẩm nhập kho</t>
  </si>
  <si>
    <t>1557</t>
  </si>
  <si>
    <t>Thành phẩm bất động sản</t>
  </si>
  <si>
    <t>156</t>
  </si>
  <si>
    <t>1561</t>
  </si>
  <si>
    <t>Gía mua hàng hóa</t>
  </si>
  <si>
    <t>1562</t>
  </si>
  <si>
    <t>Chi phí thu mua hàng hóa</t>
  </si>
  <si>
    <t>1567</t>
  </si>
  <si>
    <t>Hàng hóa bất động sản</t>
  </si>
  <si>
    <t>157</t>
  </si>
  <si>
    <t>158</t>
  </si>
  <si>
    <t>Hàng hóa kho bảo thuế</t>
  </si>
  <si>
    <t>161</t>
  </si>
  <si>
    <t>Chi sự nghiệp</t>
  </si>
  <si>
    <t>1611</t>
  </si>
  <si>
    <t>Chi sự nghiệp năm trước</t>
  </si>
  <si>
    <t>1612</t>
  </si>
  <si>
    <t>Chi sự nghiệp năm nay</t>
  </si>
  <si>
    <t>171</t>
  </si>
  <si>
    <t>Giao dịch mua bán lại trái phiếu chính phủ</t>
  </si>
  <si>
    <t>211</t>
  </si>
  <si>
    <t>Nhà cửa, vật kiến trúc</t>
  </si>
  <si>
    <t>Máy móc, thiết bị</t>
  </si>
  <si>
    <t>Phương tiện vận tải, truyền dẫn</t>
  </si>
  <si>
    <t>2114</t>
  </si>
  <si>
    <t>Thiết bị, dụng cụ quản lý</t>
  </si>
  <si>
    <t>2115</t>
  </si>
  <si>
    <t>Cây lâu năm, súc vật làm việc và cho sản phẩm</t>
  </si>
  <si>
    <t>2118</t>
  </si>
  <si>
    <t>TSCĐ khác</t>
  </si>
  <si>
    <t>212</t>
  </si>
  <si>
    <t>2121</t>
  </si>
  <si>
    <t>TSCĐ hữu hình thuê tài chính</t>
  </si>
  <si>
    <t>2122</t>
  </si>
  <si>
    <t>TSCĐ vô hình thuê tài chính</t>
  </si>
  <si>
    <t>213</t>
  </si>
  <si>
    <t>2131</t>
  </si>
  <si>
    <t>Quyền sử dụng đất</t>
  </si>
  <si>
    <t>2132</t>
  </si>
  <si>
    <t>Quyền phát hành</t>
  </si>
  <si>
    <t>2133</t>
  </si>
  <si>
    <t>Bản quyền, bằng sáng chế</t>
  </si>
  <si>
    <t>2134</t>
  </si>
  <si>
    <t>Nhãn hiệu, tên thương mại</t>
  </si>
  <si>
    <t>2135</t>
  </si>
  <si>
    <t>Chương trình phần mềm</t>
  </si>
  <si>
    <t>2136</t>
  </si>
  <si>
    <t>Giấy phép và giấy phép nhượng quyền</t>
  </si>
  <si>
    <t>2138</t>
  </si>
  <si>
    <t>TSCĐ vô hình khác</t>
  </si>
  <si>
    <t>214</t>
  </si>
  <si>
    <t>Hao mòn TSCĐ bất động sản đầu tư</t>
  </si>
  <si>
    <t>217</t>
  </si>
  <si>
    <t>221</t>
  </si>
  <si>
    <t>222</t>
  </si>
  <si>
    <t>Đầu tư góp vốn vào đơn vị khác </t>
  </si>
  <si>
    <t>229</t>
  </si>
  <si>
    <t>Dự phòng tổn thất tài sản </t>
  </si>
  <si>
    <t>241</t>
  </si>
  <si>
    <t>242</t>
  </si>
  <si>
    <t>Chi phí trả trước</t>
  </si>
  <si>
    <t>243</t>
  </si>
  <si>
    <t>244</t>
  </si>
  <si>
    <t>331</t>
  </si>
  <si>
    <t>333</t>
  </si>
  <si>
    <t>334</t>
  </si>
  <si>
    <t>3341</t>
  </si>
  <si>
    <t>Phải trả tiền công tiền lương</t>
  </si>
  <si>
    <t>3342</t>
  </si>
  <si>
    <t>Phải trả thưởng thêm (0,3%)</t>
  </si>
  <si>
    <t>3343</t>
  </si>
  <si>
    <t>Phải trả lương hỗ trợ quản lý</t>
  </si>
  <si>
    <t>3344</t>
  </si>
  <si>
    <t>3345</t>
  </si>
  <si>
    <t>3346</t>
  </si>
  <si>
    <t>3348</t>
  </si>
  <si>
    <t>Phải trả lao động khác</t>
  </si>
  <si>
    <t>335</t>
  </si>
  <si>
    <t>336</t>
  </si>
  <si>
    <t>3362</t>
  </si>
  <si>
    <t>3363</t>
  </si>
  <si>
    <t>337</t>
  </si>
  <si>
    <t>Thanh toán theo tiến độ kế hoạch hợp đồng xây dựng</t>
  </si>
  <si>
    <t>338</t>
  </si>
  <si>
    <t>Phải trả về cổ phần hóa</t>
  </si>
  <si>
    <t>341</t>
  </si>
  <si>
    <t>3411</t>
  </si>
  <si>
    <t>3412</t>
  </si>
  <si>
    <t>343</t>
  </si>
  <si>
    <t>3431</t>
  </si>
  <si>
    <t>34311</t>
  </si>
  <si>
    <t>Mệnh giá trái phiếu</t>
  </si>
  <si>
    <t xml:space="preserve">  34.312 </t>
  </si>
  <si>
    <t>Chiết khấu trái phiếu</t>
  </si>
  <si>
    <t>34313</t>
  </si>
  <si>
    <t>Phụ trội trái phiếu</t>
  </si>
  <si>
    <t>3432</t>
  </si>
  <si>
    <t>344</t>
  </si>
  <si>
    <t>347</t>
  </si>
  <si>
    <t>352</t>
  </si>
  <si>
    <t>3523</t>
  </si>
  <si>
    <t>353</t>
  </si>
  <si>
    <t>Qũy khen thưởng phúc lợi</t>
  </si>
  <si>
    <t>3531</t>
  </si>
  <si>
    <t>Qũy khen thưởng</t>
  </si>
  <si>
    <t>3532</t>
  </si>
  <si>
    <t>Qũy phúc lợi</t>
  </si>
  <si>
    <t>3533</t>
  </si>
  <si>
    <t>Qũy phúc lợi đã hình thành TSCĐ</t>
  </si>
  <si>
    <t>3534</t>
  </si>
  <si>
    <t>Qũy khen thưởng ban quản lý điều hành công ty</t>
  </si>
  <si>
    <t>356</t>
  </si>
  <si>
    <t>Qũy phát triển khoa học và công nghệ</t>
  </si>
  <si>
    <t>Qũy phát triển khoa học và công nghệ đã hình thành TSCĐ</t>
  </si>
  <si>
    <t>357</t>
  </si>
  <si>
    <t>Qũy bình ổn giá</t>
  </si>
  <si>
    <t>411</t>
  </si>
  <si>
    <t>4113</t>
  </si>
  <si>
    <t>412</t>
  </si>
  <si>
    <t>413</t>
  </si>
  <si>
    <t>4131</t>
  </si>
  <si>
    <t>Chênh lệch tỷ giá hối đoái đánh giá lại các khoản mục tiền tệ có gốc ngoại tệ</t>
  </si>
  <si>
    <t>4132</t>
  </si>
  <si>
    <t>Chênh lệch tỷ giá hối đoái trong giai đoạn trước hoạt động</t>
  </si>
  <si>
    <t>414</t>
  </si>
  <si>
    <t>Qũy đầu tư phát triển</t>
  </si>
  <si>
    <t>417</t>
  </si>
  <si>
    <t>Qũy hỗ trợ sắp xếp doanh nghiệp</t>
  </si>
  <si>
    <t>418</t>
  </si>
  <si>
    <t>419</t>
  </si>
  <si>
    <t>Cổ phiếu quỹ</t>
  </si>
  <si>
    <t>421</t>
  </si>
  <si>
    <t>4211</t>
  </si>
  <si>
    <t>Lợi nhuận sau thuế chưa phân phối năm trước</t>
  </si>
  <si>
    <t>4212</t>
  </si>
  <si>
    <t>441</t>
  </si>
  <si>
    <t>Nguồn vốn đầu tư xây dựng cơ bản</t>
  </si>
  <si>
    <t>461</t>
  </si>
  <si>
    <t>Nguồn kinh phí sự nghiệp</t>
  </si>
  <si>
    <t>4611</t>
  </si>
  <si>
    <t>Nguồn kinh phí sự nghiệp năm trước</t>
  </si>
  <si>
    <t>4612</t>
  </si>
  <si>
    <t>Nguồn kinh phí sự nghiệp năm nay</t>
  </si>
  <si>
    <t>466</t>
  </si>
  <si>
    <t>Nguồn kinh phí đã hình thànhTSCĐ</t>
  </si>
  <si>
    <t>Doanh thu bán các thành phẩm</t>
  </si>
  <si>
    <t>5114</t>
  </si>
  <si>
    <t>Doanh thu trợ cấp, trợ giá</t>
  </si>
  <si>
    <t>5117</t>
  </si>
  <si>
    <t>Doanh thu kinh doanh bất động sản đầu tư</t>
  </si>
  <si>
    <t>6111</t>
  </si>
  <si>
    <t>Mua nguyên liệu, vật liệu</t>
  </si>
  <si>
    <t>6112</t>
  </si>
  <si>
    <t>Mua hàng hóa</t>
  </si>
  <si>
    <t>621</t>
  </si>
  <si>
    <t>622</t>
  </si>
  <si>
    <t>623</t>
  </si>
  <si>
    <t>6231</t>
  </si>
  <si>
    <t>6232</t>
  </si>
  <si>
    <t>Chi phí nguyên, vật liệu</t>
  </si>
  <si>
    <t>6233</t>
  </si>
  <si>
    <t>6234</t>
  </si>
  <si>
    <t>6237</t>
  </si>
  <si>
    <t>6238</t>
  </si>
  <si>
    <t>627</t>
  </si>
  <si>
    <t>6271</t>
  </si>
  <si>
    <t>6272</t>
  </si>
  <si>
    <t>6273</t>
  </si>
  <si>
    <t>6274</t>
  </si>
  <si>
    <t>6277</t>
  </si>
  <si>
    <t>6278</t>
  </si>
  <si>
    <t>631</t>
  </si>
  <si>
    <t>Gía thành sản xuất</t>
  </si>
  <si>
    <t>Gía vốn hàng bán</t>
  </si>
  <si>
    <t>Chi phí quản lý doanh nghiệp </t>
  </si>
  <si>
    <t>PHÂN TÍCH BIẾN ĐỘNG BẢNG CÂN ĐỐI KẾ TOÁN</t>
  </si>
  <si>
    <t>Mã số</t>
  </si>
  <si>
    <t>% Tổng TS</t>
  </si>
  <si>
    <t>% thành phần</t>
  </si>
  <si>
    <t>Biến động 
(+)</t>
  </si>
  <si>
    <t>A. TÀI SẢN NGẮN HẠN (100=110+120+130+140+150)</t>
  </si>
  <si>
    <t>100</t>
  </si>
  <si>
    <t>10+50+85+175+230</t>
  </si>
  <si>
    <t xml:space="preserve"> I. Tiền và các khoản tương đương tiền</t>
  </si>
  <si>
    <t>110</t>
  </si>
  <si>
    <t>15+35</t>
  </si>
  <si>
    <t xml:space="preserve">  1. Tiền</t>
  </si>
  <si>
    <t>20+25+30</t>
  </si>
  <si>
    <t xml:space="preserve">    - Tiền mặt</t>
  </si>
  <si>
    <t xml:space="preserve">    - Tiền đang chuyển</t>
  </si>
  <si>
    <t xml:space="preserve">    - Tiền gửi ngân hàng</t>
  </si>
  <si>
    <t xml:space="preserve">  2. Các khoản tương đương tiền</t>
  </si>
  <si>
    <t>40+45</t>
  </si>
  <si>
    <t xml:space="preserve">    - Các khoản đầu tư khác nắm giữ đến ngày đáo hạn (không quá 3 tháng)</t>
  </si>
  <si>
    <t>12881</t>
  </si>
  <si>
    <t xml:space="preserve">    - Tiền gửi có kỳ hạn  (không quá 3 tháng)</t>
  </si>
  <si>
    <t>12811</t>
  </si>
  <si>
    <t xml:space="preserve"> II. Đầu tư tài chính ngắn hạn</t>
  </si>
  <si>
    <t>120</t>
  </si>
  <si>
    <t>55+60+65</t>
  </si>
  <si>
    <t xml:space="preserve">  1. Chứng khoán kinh doanh</t>
  </si>
  <si>
    <t xml:space="preserve">  2. Dự phòng giảm giá chứng khoán kinh doanh (*)</t>
  </si>
  <si>
    <t>122</t>
  </si>
  <si>
    <t xml:space="preserve">  3. Đầu tư nắm giữ đến ngày đáo hạn </t>
  </si>
  <si>
    <t>123</t>
  </si>
  <si>
    <t>70+75+80</t>
  </si>
  <si>
    <t xml:space="preserve">    - Tiền gửi có kỳ hạn (gốc trên 3 tháng nhưng không quá 12 tháng)</t>
  </si>
  <si>
    <t>12812</t>
  </si>
  <si>
    <t xml:space="preserve">    - Trái phiếu (dưới 12 tháng)</t>
  </si>
  <si>
    <t>12821</t>
  </si>
  <si>
    <t xml:space="preserve">    - Các khoản đầu tư khác nắm giữ đến ngày đáo hạn (trên 3 tháng nhưng không quá 12 tháng)</t>
  </si>
  <si>
    <t>12882</t>
  </si>
  <si>
    <t xml:space="preserve"> III. Các khoản phải thu ngắn hạn</t>
  </si>
  <si>
    <t>130</t>
  </si>
  <si>
    <t>90+95+100+120+125+130+165+170</t>
  </si>
  <si>
    <t xml:space="preserve">  1. Phải thu ngắn hạn của khách hàng </t>
  </si>
  <si>
    <t xml:space="preserve">  2. Trả trước cho người bán ngắn hạn </t>
  </si>
  <si>
    <t>132</t>
  </si>
  <si>
    <t xml:space="preserve">  3. Phải thu nội bộ ngắn hạn</t>
  </si>
  <si>
    <t>105+110+115</t>
  </si>
  <si>
    <t xml:space="preserve">    - Phải thu nội bộ về chênh lệch tỷ giá</t>
  </si>
  <si>
    <t xml:space="preserve">    - Phải thu nội bộ về chi phí đi vay đủ điều kiện được vốn hoá</t>
  </si>
  <si>
    <t xml:space="preserve">    - Phải thu nội bộ khác</t>
  </si>
  <si>
    <t xml:space="preserve">  4. Phải thu theo tiến độ hợp đồng xây dựng</t>
  </si>
  <si>
    <t>134</t>
  </si>
  <si>
    <t xml:space="preserve">  5. Phải thu về cho vay ngắn hạn</t>
  </si>
  <si>
    <t>135</t>
  </si>
  <si>
    <t>12831</t>
  </si>
  <si>
    <t xml:space="preserve">  6. Các khoản phải thu khác</t>
  </si>
  <si>
    <t>135+140+145+150+155+160</t>
  </si>
  <si>
    <t xml:space="preserve">    - Phải thu về cổ phần hóa</t>
  </si>
  <si>
    <t xml:space="preserve">    - Phải thu khác</t>
  </si>
  <si>
    <t xml:space="preserve">    - Phải trả người lao động</t>
  </si>
  <si>
    <t xml:space="preserve">    - Phải trả phải nộp khác</t>
  </si>
  <si>
    <t xml:space="preserve">    - Tạm ứng</t>
  </si>
  <si>
    <t xml:space="preserve">    - Cầm cố, thế chấp, ký quỹ, ký cược</t>
  </si>
  <si>
    <t xml:space="preserve">  7. Dự phòng phải thu ngắn hạn khó đòi (*)</t>
  </si>
  <si>
    <t>137</t>
  </si>
  <si>
    <t xml:space="preserve">  8. Tài sản thiếu chờ xử lý </t>
  </si>
  <si>
    <t>139</t>
  </si>
  <si>
    <t xml:space="preserve"> IV. Hàng tồn kho</t>
  </si>
  <si>
    <t>140</t>
  </si>
  <si>
    <t>180+225</t>
  </si>
  <si>
    <t xml:space="preserve">  1. Hàng tồn kho</t>
  </si>
  <si>
    <t>185+190+195+200+205+210+215+220</t>
  </si>
  <si>
    <t xml:space="preserve">    - Hàng mua đang đi đường</t>
  </si>
  <si>
    <t xml:space="preserve">    - Nguyên vật liệu</t>
  </si>
  <si>
    <t xml:space="preserve">    - Công cụ, dụng cụ</t>
  </si>
  <si>
    <t xml:space="preserve">    - Chi phí sản xuất kinh doanh dở dang</t>
  </si>
  <si>
    <t xml:space="preserve">    - Thành phẩm</t>
  </si>
  <si>
    <t xml:space="preserve">    - Hàng hóa</t>
  </si>
  <si>
    <t xml:space="preserve">    - Hàng gửi bán</t>
  </si>
  <si>
    <t xml:space="preserve">    - Hàng hoá kho bảo thuế</t>
  </si>
  <si>
    <t xml:space="preserve">  2. Dự phòng giảm giá hàng tồn kho</t>
  </si>
  <si>
    <t>149</t>
  </si>
  <si>
    <t xml:space="preserve"> V. Tài sản ngắn hạn khác</t>
  </si>
  <si>
    <t>150</t>
  </si>
  <si>
    <t>235+240+245+250+255</t>
  </si>
  <si>
    <t xml:space="preserve">  1. Chi phí trả trước ngắn hạn</t>
  </si>
  <si>
    <t>2421</t>
  </si>
  <si>
    <t xml:space="preserve">  2. Thuế GTGT được khấu trừ</t>
  </si>
  <si>
    <t xml:space="preserve">  3. Thuế và các khoản khác phải thu Nhà nước</t>
  </si>
  <si>
    <t xml:space="preserve">  4. Giao dịch mua bán lại trái phiếu Chính phủ </t>
  </si>
  <si>
    <t xml:space="preserve">  5. Tài sản ngắn hạn khác</t>
  </si>
  <si>
    <t>B. TÀI SẢN DÀI HẠN (200=210+220+240+250+260)</t>
  </si>
  <si>
    <t>200</t>
  </si>
  <si>
    <t>265+350+400+415+440+485</t>
  </si>
  <si>
    <t xml:space="preserve"> I. Các khoản phải thu dài hạn</t>
  </si>
  <si>
    <t>210</t>
  </si>
  <si>
    <t>270+275+280+285+305+310+345</t>
  </si>
  <si>
    <t xml:space="preserve">  1. Phải thu dài hạn của khách hàng</t>
  </si>
  <si>
    <t>1312</t>
  </si>
  <si>
    <t xml:space="preserve">  2. Trả trước cho người bán dài hạn </t>
  </si>
  <si>
    <t>3312</t>
  </si>
  <si>
    <t xml:space="preserve">  3. Vốn kinh doanh ở đơn vị trực thuộc</t>
  </si>
  <si>
    <t xml:space="preserve">  4. Phải thu nội bộ dài hạn </t>
  </si>
  <si>
    <t>290+295+300</t>
  </si>
  <si>
    <t xml:space="preserve">  5. Phải thu về cho vay dài hạn </t>
  </si>
  <si>
    <t>215</t>
  </si>
  <si>
    <t>12832</t>
  </si>
  <si>
    <t xml:space="preserve">  6. Phải thu dài hạn khác</t>
  </si>
  <si>
    <t>216</t>
  </si>
  <si>
    <t>315+320+325+330+335+340</t>
  </si>
  <si>
    <t xml:space="preserve">    - Phải thu dài hạn</t>
  </si>
  <si>
    <t xml:space="preserve">    - Phải trả, phải nộp khác</t>
  </si>
  <si>
    <t xml:space="preserve">    - Ký quỹ, ký cược dài hạn</t>
  </si>
  <si>
    <t xml:space="preserve">  7. Dự phòng phải thu dài hạn khó đòi</t>
  </si>
  <si>
    <t>219</t>
  </si>
  <si>
    <t xml:space="preserve"> II. Tài sản cố định</t>
  </si>
  <si>
    <t>220</t>
  </si>
  <si>
    <t>355+370+385</t>
  </si>
  <si>
    <t xml:space="preserve">  1. Tài sản cố định hữu hình</t>
  </si>
  <si>
    <t>360+365</t>
  </si>
  <si>
    <t xml:space="preserve">    - Nguyên giá</t>
  </si>
  <si>
    <t xml:space="preserve">    - Giá trị hao mòn lũy kế</t>
  </si>
  <si>
    <t>223</t>
  </si>
  <si>
    <t xml:space="preserve">  2. Tài sản cố định thuê tài chính</t>
  </si>
  <si>
    <t>224</t>
  </si>
  <si>
    <t>375+380</t>
  </si>
  <si>
    <t>225</t>
  </si>
  <si>
    <t>226</t>
  </si>
  <si>
    <t xml:space="preserve">  3. TSCĐ vô hình</t>
  </si>
  <si>
    <t>227</t>
  </si>
  <si>
    <t>390+395</t>
  </si>
  <si>
    <t xml:space="preserve"> III. Bất động sản đầu tư</t>
  </si>
  <si>
    <t>230</t>
  </si>
  <si>
    <t>405+410</t>
  </si>
  <si>
    <t>231</t>
  </si>
  <si>
    <t>232</t>
  </si>
  <si>
    <t xml:space="preserve"> IV. Tài sản dở dang dài hạn </t>
  </si>
  <si>
    <t>240</t>
  </si>
  <si>
    <t>420+435</t>
  </si>
  <si>
    <t xml:space="preserve">  1. Chi phí sản xuất, kinh doanh dở dang dài hạn </t>
  </si>
  <si>
    <t>425+430</t>
  </si>
  <si>
    <t xml:space="preserve">    - Chi phí sản xuất, kinh doanh dở dang</t>
  </si>
  <si>
    <t xml:space="preserve">    - Dự phòng giảm giá hàng tồn kho</t>
  </si>
  <si>
    <t xml:space="preserve">  2. Chi phí xây dựng cơ bản dở dang</t>
  </si>
  <si>
    <t xml:space="preserve"> V. Các khoản đầu tư tài chính dài hạn</t>
  </si>
  <si>
    <t>250</t>
  </si>
  <si>
    <t>445+450+455+460+465</t>
  </si>
  <si>
    <t xml:space="preserve">  1. Đầu tư vào công ty con</t>
  </si>
  <si>
    <t>251</t>
  </si>
  <si>
    <t xml:space="preserve">  2. Đầu tư vào công ty liên kết, liên doanh</t>
  </si>
  <si>
    <t>252</t>
  </si>
  <si>
    <t xml:space="preserve">  3. Đầu tư góp vốn vào đơn vị khác </t>
  </si>
  <si>
    <t>253</t>
  </si>
  <si>
    <t xml:space="preserve">  4. Dự phòng giảm giá đầu tư tài chính dài hạn (*)</t>
  </si>
  <si>
    <t>254</t>
  </si>
  <si>
    <t xml:space="preserve">  5. Đầu tư nắm giữ đến ngày đáo hạn </t>
  </si>
  <si>
    <t>255</t>
  </si>
  <si>
    <t>470+475+480</t>
  </si>
  <si>
    <t xml:space="preserve">    - Tiền gửi có kỳ hạn (gốc trên 12 tháng)</t>
  </si>
  <si>
    <t>12813</t>
  </si>
  <si>
    <t xml:space="preserve">    - Trái phiếu (trên 12 tháng)</t>
  </si>
  <si>
    <t>12822</t>
  </si>
  <si>
    <t xml:space="preserve">    - Các khoản đầu tư khác nắm giữ đến ngày đáo hạn (trên 12 tháng)</t>
  </si>
  <si>
    <t>12883</t>
  </si>
  <si>
    <t xml:space="preserve"> VI. Tài sản dài hạn khác</t>
  </si>
  <si>
    <t>260</t>
  </si>
  <si>
    <t>490+495+500+515</t>
  </si>
  <si>
    <t xml:space="preserve">  1. Chi phí trả trước dài hạn</t>
  </si>
  <si>
    <t>261</t>
  </si>
  <si>
    <t>2422</t>
  </si>
  <si>
    <t xml:space="preserve">  2. Tài sản thuế thu nhập hoãn lại</t>
  </si>
  <si>
    <t>262</t>
  </si>
  <si>
    <t xml:space="preserve">  3. Thiết bị, vật tư, phụ tùng thay thế dài hạn </t>
  </si>
  <si>
    <t>263</t>
  </si>
  <si>
    <t>505+510</t>
  </si>
  <si>
    <t xml:space="preserve">     - Thiết bị, phụ tùng thay thế</t>
  </si>
  <si>
    <t xml:space="preserve">     - Dự phòng giảm giá hàng tồn kho</t>
  </si>
  <si>
    <t xml:space="preserve">  4. Tài sản dài hạn khác</t>
  </si>
  <si>
    <t>268</t>
  </si>
  <si>
    <t>TỔNG CỘNG TÀI SẢN (270 = 100+200)</t>
  </si>
  <si>
    <t>270</t>
  </si>
  <si>
    <t>5+260</t>
  </si>
  <si>
    <t>+</t>
  </si>
  <si>
    <t>A. NỢ PHẢI TRẢ (300 = 310 + 330)</t>
  </si>
  <si>
    <t>300</t>
  </si>
  <si>
    <t>535+680</t>
  </si>
  <si>
    <t xml:space="preserve"> I. Nợ ngắn hạn</t>
  </si>
  <si>
    <t>310</t>
  </si>
  <si>
    <t>540+545+550+555+560+565+585+590+595+645+660+665+670+675</t>
  </si>
  <si>
    <t xml:space="preserve">  1. Phải trả người bán ngắn hạn </t>
  </si>
  <si>
    <t>311</t>
  </si>
  <si>
    <t xml:space="preserve">  2. Người mua trả tiền trước ngắn hạn</t>
  </si>
  <si>
    <t>312</t>
  </si>
  <si>
    <t xml:space="preserve">  3. Thuế và các khoản phải nộp Nhà nước</t>
  </si>
  <si>
    <t>313</t>
  </si>
  <si>
    <t xml:space="preserve">  4. Phải trả người lao động</t>
  </si>
  <si>
    <t>314</t>
  </si>
  <si>
    <t xml:space="preserve">  5. Chi phí phải trả ngắn hạn</t>
  </si>
  <si>
    <t>315</t>
  </si>
  <si>
    <t xml:space="preserve">  6. Phải trả nội bộ ngắn hạn</t>
  </si>
  <si>
    <t>316</t>
  </si>
  <si>
    <t>570+575+580</t>
  </si>
  <si>
    <t xml:space="preserve">    - Phải trả nội bộ về chênh lệch tỷ giá</t>
  </si>
  <si>
    <t xml:space="preserve">    - Phải trả nội bộ về chi phí đi vay đủ điều kiện được vốn hoá</t>
  </si>
  <si>
    <t xml:space="preserve">    - Phải trả nội bộ khác</t>
  </si>
  <si>
    <t xml:space="preserve">  7. Phải trả theo tiến độ kế hoạch HĐXD</t>
  </si>
  <si>
    <t>317</t>
  </si>
  <si>
    <t xml:space="preserve">  8. Doanh thu chưa thực hiện ngắn hạn </t>
  </si>
  <si>
    <t>318</t>
  </si>
  <si>
    <t xml:space="preserve">  9. Phải trả ngắn hạn khác</t>
  </si>
  <si>
    <t>319</t>
  </si>
  <si>
    <t>600+605+610+615+620+625+630+635+640</t>
  </si>
  <si>
    <t xml:space="preserve">    - Tài sản thừa chờ giải quyết</t>
  </si>
  <si>
    <t xml:space="preserve">    - Kinh phí công đoàn</t>
  </si>
  <si>
    <t xml:space="preserve">    - Bảo hiểm xã hội</t>
  </si>
  <si>
    <t xml:space="preserve">    - Bảo hiểm y tế</t>
  </si>
  <si>
    <t xml:space="preserve">    - Phải trả về cổ phần hóa</t>
  </si>
  <si>
    <t xml:space="preserve">    - Bảo hiểm thất nghiệp</t>
  </si>
  <si>
    <t xml:space="preserve">    - Phải trả khác (3388)</t>
  </si>
  <si>
    <t xml:space="preserve">    - Phải thu khác (138)</t>
  </si>
  <si>
    <t xml:space="preserve">    - Nhận ký quỹ, ký được ngắn hạn</t>
  </si>
  <si>
    <t xml:space="preserve">  10. Vay và nợ thuê tài chính ngắn hạn </t>
  </si>
  <si>
    <t>320</t>
  </si>
  <si>
    <t>650+655</t>
  </si>
  <si>
    <t xml:space="preserve">    - Vay ngắn hạn</t>
  </si>
  <si>
    <t xml:space="preserve">    - Trái phiếu thường - mệnh giá</t>
  </si>
  <si>
    <t xml:space="preserve">  11. Dự phòng phải trả ngắn hạn </t>
  </si>
  <si>
    <t>321</t>
  </si>
  <si>
    <t xml:space="preserve">  12. Quỹ khen thưởng, phúc lợi </t>
  </si>
  <si>
    <t>322</t>
  </si>
  <si>
    <t xml:space="preserve">  13. Quỹ bình ổn giá </t>
  </si>
  <si>
    <t>323</t>
  </si>
  <si>
    <t xml:space="preserve">  14. Giao dịch mua bán lại trái phiếu Chính phủ </t>
  </si>
  <si>
    <t>324</t>
  </si>
  <si>
    <t xml:space="preserve"> II. Nợ dài hạn</t>
  </si>
  <si>
    <t>330</t>
  </si>
  <si>
    <t>685+690+695+700+705+725+730+745+770+775+780+785+790</t>
  </si>
  <si>
    <t xml:space="preserve">  1. Phải trả người bán dài hạn</t>
  </si>
  <si>
    <t xml:space="preserve">  2. Người mua trả tiền trước dài hạn </t>
  </si>
  <si>
    <t>332</t>
  </si>
  <si>
    <t xml:space="preserve">  3. Chi phí phải trả dài hạn </t>
  </si>
  <si>
    <t xml:space="preserve">  4. Phải trả nội bộ về vốn kinh doanh </t>
  </si>
  <si>
    <t xml:space="preserve">  5. Phải trả nội bộ dài hạn </t>
  </si>
  <si>
    <t>710+715+720</t>
  </si>
  <si>
    <t xml:space="preserve">  6. Doanh thu chưa thực hiện dài hạn </t>
  </si>
  <si>
    <t xml:space="preserve">  7. Phải trả dài hạn khác </t>
  </si>
  <si>
    <t>735+740</t>
  </si>
  <si>
    <t xml:space="preserve">    - Nhận ký cược, ký quỹ dài hạn(344)</t>
  </si>
  <si>
    <t xml:space="preserve">  8. Vay và nợ thuê tài chính dài hạn </t>
  </si>
  <si>
    <t>750+755+760+765</t>
  </si>
  <si>
    <t xml:space="preserve">    - Vay dài hạn</t>
  </si>
  <si>
    <t xml:space="preserve">    - Mệnh giá</t>
  </si>
  <si>
    <t xml:space="preserve">    - Chiết khấu trái phiếu</t>
  </si>
  <si>
    <t>34312</t>
  </si>
  <si>
    <t xml:space="preserve">    - Phụ trội trái phiếu</t>
  </si>
  <si>
    <t xml:space="preserve">  9. Trái phiếu chuyển đổi </t>
  </si>
  <si>
    <t>339</t>
  </si>
  <si>
    <t xml:space="preserve">  10. Cổ phiếu ưu đãi </t>
  </si>
  <si>
    <t>340</t>
  </si>
  <si>
    <t>41112</t>
  </si>
  <si>
    <t xml:space="preserve">  11. Thuế thu nhập hoãn lại phải trả</t>
  </si>
  <si>
    <t xml:space="preserve">  12. Dự phòng phải trả dài hạn</t>
  </si>
  <si>
    <t>342</t>
  </si>
  <si>
    <t xml:space="preserve">  13. Quỹ phát triển khoa học và công nghệ</t>
  </si>
  <si>
    <t>B. NGUỒN VỐN CHỦ SỞ HỮU (400 = 410 + 430)</t>
  </si>
  <si>
    <t>400</t>
  </si>
  <si>
    <t>800+885</t>
  </si>
  <si>
    <t xml:space="preserve"> I. Vốn chủ sở hữu</t>
  </si>
  <si>
    <t>410</t>
  </si>
  <si>
    <t>805+820+825+830+835+840+845+850+855+860+865+880</t>
  </si>
  <si>
    <t xml:space="preserve">  1. Vốn đầu tư của chủ sở hữu</t>
  </si>
  <si>
    <t>810+815</t>
  </si>
  <si>
    <t xml:space="preserve">    - Cổ phiếu phổ thông có quyền biểu quyết </t>
  </si>
  <si>
    <t>411a</t>
  </si>
  <si>
    <t xml:space="preserve">    - Cổ phiếu ưu đãi </t>
  </si>
  <si>
    <t>411b</t>
  </si>
  <si>
    <t xml:space="preserve">  2. Thặng dư vốn cổ phần</t>
  </si>
  <si>
    <t xml:space="preserve">  3. Quyền chọn chuyển đổi trái phiếu </t>
  </si>
  <si>
    <t xml:space="preserve">  4. Vốn khác của chủ sở hữu</t>
  </si>
  <si>
    <t xml:space="preserve">  5. Cổ phiếu quỹ (*)</t>
  </si>
  <si>
    <t>415</t>
  </si>
  <si>
    <t xml:space="preserve">  6. Chênh lệch đánh giá lại tài sản</t>
  </si>
  <si>
    <t>416</t>
  </si>
  <si>
    <t xml:space="preserve">  7. Chênh lệch tỷ giá hối đoái</t>
  </si>
  <si>
    <t xml:space="preserve">  8. Quỹ đầu tư phát triển</t>
  </si>
  <si>
    <t xml:space="preserve">  9. Quỹ hỗ trợ sắp xếp doanh nghiệp </t>
  </si>
  <si>
    <t xml:space="preserve">  10. Quỹ khác thuộc vốn chủ sở hữu</t>
  </si>
  <si>
    <t>420</t>
  </si>
  <si>
    <t xml:space="preserve">  11. Lợi nhuận sau thuế chưa phân phối</t>
  </si>
  <si>
    <t>870+875</t>
  </si>
  <si>
    <t xml:space="preserve">    - Lợi nhuận sau thuế chưa phân phối lũy kế đến cuối kỳ trước </t>
  </si>
  <si>
    <t>421a</t>
  </si>
  <si>
    <t xml:space="preserve">    - Lợi nhuận sau thuế chưa phân phối kỳ này </t>
  </si>
  <si>
    <t>421b</t>
  </si>
  <si>
    <t xml:space="preserve">  12. Nguồn vốn đầu tư XDCB</t>
  </si>
  <si>
    <t>422</t>
  </si>
  <si>
    <t xml:space="preserve"> II. Nguồn kinh phí và quỹ khác</t>
  </si>
  <si>
    <t>430</t>
  </si>
  <si>
    <t>890+905</t>
  </si>
  <si>
    <t xml:space="preserve">  1. Nguồn kinh phí</t>
  </si>
  <si>
    <t>431</t>
  </si>
  <si>
    <t>895-900</t>
  </si>
  <si>
    <t xml:space="preserve">    - Nguồn kinh phí</t>
  </si>
  <si>
    <t xml:space="preserve">    - Chi sự nghiệp</t>
  </si>
  <si>
    <t xml:space="preserve">  2. Nguồn kinh phí đã hình thành TSCĐ</t>
  </si>
  <si>
    <t>432</t>
  </si>
  <si>
    <t xml:space="preserve">       TỔNG CỘNG NGUỒN VỐN (440 = 300 + 400)</t>
  </si>
  <si>
    <t>440</t>
  </si>
  <si>
    <t>530+795</t>
  </si>
  <si>
    <t>Tổng nợ phải thu</t>
  </si>
  <si>
    <t>DANH SÁCH NHÂN VIÊN -482TC</t>
  </si>
  <si>
    <t>TÊN KHOẢN MỤC</t>
  </si>
  <si>
    <t>TÊN NHÓM KHOẢN MỤC</t>
  </si>
  <si>
    <t>TÊN NHÓM QUẢN LÝ</t>
  </si>
  <si>
    <t>HỌ TÊN</t>
  </si>
  <si>
    <t>CHỨC VỤ</t>
  </si>
  <si>
    <t>Mã BP</t>
  </si>
  <si>
    <t>MÃ SẢN PHẨM</t>
  </si>
  <si>
    <t>TÊN SẢN PHẨM</t>
  </si>
  <si>
    <t>Tên Dự án</t>
  </si>
  <si>
    <t>Mã nhà cung cấp</t>
  </si>
  <si>
    <t>Tên nhà cung cấp</t>
  </si>
  <si>
    <t>01/2026</t>
  </si>
  <si>
    <t>Doanh thu bán hàng</t>
  </si>
  <si>
    <t>511_TK</t>
  </si>
  <si>
    <t>DOANH THU BÁN HÀNG</t>
  </si>
  <si>
    <t>L0001</t>
  </si>
  <si>
    <t>Lê Văn Thu</t>
  </si>
  <si>
    <t>PGĐ-KD</t>
  </si>
  <si>
    <t>PH</t>
  </si>
  <si>
    <t>Phước hội Hồ Tràm</t>
  </si>
  <si>
    <t>Thu tiền mặt</t>
  </si>
  <si>
    <t>Tài sản</t>
  </si>
  <si>
    <t>NCC1</t>
  </si>
  <si>
    <t>EVICO</t>
  </si>
  <si>
    <t>CÔNG TY CỔ PHẦN KỸ THUẬT NĂNG LƯỢNG EVICO</t>
  </si>
  <si>
    <t>02/2026</t>
  </si>
  <si>
    <t>Lãi tiền gửi ngân hàng</t>
  </si>
  <si>
    <t>515_DTTC</t>
  </si>
  <si>
    <t>DOANH THU TÀI CHÍNH</t>
  </si>
  <si>
    <t>S0001</t>
  </si>
  <si>
    <t>Trần Minh Khánh</t>
  </si>
  <si>
    <t>TPKD</t>
  </si>
  <si>
    <t>TÀI CHÍNH-KẾ TOÁN</t>
  </si>
  <si>
    <t>PH.LK2-02</t>
  </si>
  <si>
    <t>Chi tiền mặt</t>
  </si>
  <si>
    <t>Nợ phải trả</t>
  </si>
  <si>
    <t>NCC2</t>
  </si>
  <si>
    <t>ĐH THANGLONG</t>
  </si>
  <si>
    <t>TRƯỜNG ĐẠI HỌC THĂNG LONG</t>
  </si>
  <si>
    <t>03/2026</t>
  </si>
  <si>
    <t>GV_LCB</t>
  </si>
  <si>
    <t>Lương cơ bản</t>
  </si>
  <si>
    <t>CPNS</t>
  </si>
  <si>
    <t>CHI PHÍ GIÁ VỐN</t>
  </si>
  <si>
    <t>Nguyễn Thị Mai Thu</t>
  </si>
  <si>
    <t>GĐS</t>
  </si>
  <si>
    <t>PH.LK2-03</t>
  </si>
  <si>
    <t>Thu tiền gửi ngân hàng</t>
  </si>
  <si>
    <t>Vốn chủ sở hữu</t>
  </si>
  <si>
    <t>Lương tính</t>
  </si>
  <si>
    <t>NCC3</t>
  </si>
  <si>
    <t>VITECH</t>
  </si>
  <si>
    <t>CÔNG TY CỔ PHẦN QUỐC TẾ VITECH</t>
  </si>
  <si>
    <t>04/2026</t>
  </si>
  <si>
    <t>GV_PC</t>
  </si>
  <si>
    <t>Phụ cấp</t>
  </si>
  <si>
    <t>S0002</t>
  </si>
  <si>
    <t>Trần Võ Anh Duy</t>
  </si>
  <si>
    <t>BP.CL-R&amp;D</t>
  </si>
  <si>
    <t>CHIẾN LƯỢC R&amp;D</t>
  </si>
  <si>
    <t>PH.LK2-24</t>
  </si>
  <si>
    <t>Chi tiền gửi ngân hàng</t>
  </si>
  <si>
    <t>Doanh thu</t>
  </si>
  <si>
    <t>NCC4</t>
  </si>
  <si>
    <t>THINHPĐ</t>
  </si>
  <si>
    <t>CÔNG TY TNHH TƯ VẤN TK VÀ XD THỊNH PHÁT ĐẠT</t>
  </si>
  <si>
    <t>05/2026</t>
  </si>
  <si>
    <t>GV_LHS</t>
  </si>
  <si>
    <t>Lương hiệu suất</t>
  </si>
  <si>
    <t>S0003</t>
  </si>
  <si>
    <t>Hồ Mỹ Phượng</t>
  </si>
  <si>
    <t>NVKD</t>
  </si>
  <si>
    <t>HÀNH CHÍNH-NHÂN SỰ</t>
  </si>
  <si>
    <t>PH.LK2-34</t>
  </si>
  <si>
    <t>Ghi nhận công nợ</t>
  </si>
  <si>
    <t>Chi phí</t>
  </si>
  <si>
    <t>NCC5</t>
  </si>
  <si>
    <t>ECOBA</t>
  </si>
  <si>
    <t xml:space="preserve">CÔNG TY CỔ PHẦN ECOBA VIỆT NAM </t>
  </si>
  <si>
    <t>06/2026</t>
  </si>
  <si>
    <t>GV_BHXH</t>
  </si>
  <si>
    <t>S0004</t>
  </si>
  <si>
    <t>Nguyễn Hoàng Quân</t>
  </si>
  <si>
    <t>BP.PL</t>
  </si>
  <si>
    <t>PHÁP LÝ</t>
  </si>
  <si>
    <t>PH.LK2-35</t>
  </si>
  <si>
    <t>Góp vốn</t>
  </si>
  <si>
    <t>NCC6</t>
  </si>
  <si>
    <t>SAIDONG</t>
  </si>
  <si>
    <t>CÔNG TY CỔ PHẦN ĐẦU TƯ VÀ PHÁT TRIỂN ĐÔ THỊ SÀI ĐỒNG</t>
  </si>
  <si>
    <t>07/2026</t>
  </si>
  <si>
    <t>GV_MTC</t>
  </si>
  <si>
    <t>Thuê máy thi công</t>
  </si>
  <si>
    <t>MAYTHICONG</t>
  </si>
  <si>
    <t>MÁY THI CÔNG</t>
  </si>
  <si>
    <t>PH.LK4-06</t>
  </si>
  <si>
    <t>Kết chuyển</t>
  </si>
  <si>
    <t>NCC7</t>
  </si>
  <si>
    <t>THAISON</t>
  </si>
  <si>
    <t>CÔNG TY CỔ PHẦN ĐẦU TƯ XÂY DỰNG THÁI SƠN</t>
  </si>
  <si>
    <t>08/2026</t>
  </si>
  <si>
    <t>GV_VCMTC</t>
  </si>
  <si>
    <t>Vận chuyển máy</t>
  </si>
  <si>
    <t>Trần Anh Dũng</t>
  </si>
  <si>
    <t>NCC8</t>
  </si>
  <si>
    <t>09/2026</t>
  </si>
  <si>
    <t>NVL chính</t>
  </si>
  <si>
    <t>NVL</t>
  </si>
  <si>
    <t>NGUYÊN VẬT LIỆU</t>
  </si>
  <si>
    <t>S0006</t>
  </si>
  <si>
    <t>Cao Thị Huyền Trang</t>
  </si>
  <si>
    <t>PH.LK5-11</t>
  </si>
  <si>
    <t>NCC9</t>
  </si>
  <si>
    <t>10/2026</t>
  </si>
  <si>
    <t>NVL phụ</t>
  </si>
  <si>
    <t>S0007</t>
  </si>
  <si>
    <t>Nguyễn Hữu Phúc</t>
  </si>
  <si>
    <t>NCC10</t>
  </si>
  <si>
    <t>11/2026</t>
  </si>
  <si>
    <t>S0008</t>
  </si>
  <si>
    <t>Võ Anh Toàn</t>
  </si>
  <si>
    <t>NCC11</t>
  </si>
  <si>
    <t>12/2026</t>
  </si>
  <si>
    <t>Chi phí hoàn công</t>
  </si>
  <si>
    <t>NGHIEMTHU</t>
  </si>
  <si>
    <t>NGHIỆM THU</t>
  </si>
  <si>
    <t>S0009</t>
  </si>
  <si>
    <t>Nguyễn Trọng Phương</t>
  </si>
  <si>
    <t>SP2</t>
  </si>
  <si>
    <t>NCC12</t>
  </si>
  <si>
    <t>Thí nghiệm</t>
  </si>
  <si>
    <t>S0010</t>
  </si>
  <si>
    <t>Nguyễn Thành Luân</t>
  </si>
  <si>
    <t>SP3</t>
  </si>
  <si>
    <t>Phước Đông Garden</t>
  </si>
  <si>
    <t>NCC13</t>
  </si>
  <si>
    <t>Chi phí chạy thử hệ thống</t>
  </si>
  <si>
    <t>LN</t>
  </si>
  <si>
    <t>LN.A-03</t>
  </si>
  <si>
    <t>KDC Lộc Ngãi</t>
  </si>
  <si>
    <t>NCC14</t>
  </si>
  <si>
    <t>Kiểm định</t>
  </si>
  <si>
    <t>L0005</t>
  </si>
  <si>
    <t>Lương Văn Cảnh</t>
  </si>
  <si>
    <t>P.GĐS</t>
  </si>
  <si>
    <t>LN.A-04</t>
  </si>
  <si>
    <t>NCC15</t>
  </si>
  <si>
    <t>Thờ cúng</t>
  </si>
  <si>
    <t>Phan Thị Thùy Mai</t>
  </si>
  <si>
    <t>LN.A-05</t>
  </si>
  <si>
    <t>NCC16</t>
  </si>
  <si>
    <t>Hồ sơ</t>
  </si>
  <si>
    <t>Lâm Hồ Tiểu Ngọc</t>
  </si>
  <si>
    <t>ADMIN</t>
  </si>
  <si>
    <t>LN.B-03</t>
  </si>
  <si>
    <t>Di chuyển</t>
  </si>
  <si>
    <t>S0013</t>
  </si>
  <si>
    <t>Bùi Thị Minh Tâm</t>
  </si>
  <si>
    <t>Ăn uống</t>
  </si>
  <si>
    <t>Bùi Thị Yến Nhi</t>
  </si>
  <si>
    <t>Nguyễn Thảo Trang</t>
  </si>
  <si>
    <t>LN.C-03</t>
  </si>
  <si>
    <t>KHẤU HAO TSCĐ</t>
  </si>
  <si>
    <t>Lê Quốc Tuấn</t>
  </si>
  <si>
    <t>Vận chuyển vật tư</t>
  </si>
  <si>
    <t>VANCHUYEN</t>
  </si>
  <si>
    <t>VẬN CHUYỂN</t>
  </si>
  <si>
    <t>Vũ Thị Kim Anh</t>
  </si>
  <si>
    <t>LN.C-06</t>
  </si>
  <si>
    <t>Bốc dỡ</t>
  </si>
  <si>
    <t>S0018</t>
  </si>
  <si>
    <t>Nguyễn Trịnh Nghi Truyền</t>
  </si>
  <si>
    <t>Điện nước</t>
  </si>
  <si>
    <t>CPC</t>
  </si>
  <si>
    <t>ĐIỆN NƯỚC</t>
  </si>
  <si>
    <t>S0019</t>
  </si>
  <si>
    <t>Nguyễn Văn Lạc</t>
  </si>
  <si>
    <t>Lán trại</t>
  </si>
  <si>
    <t>LANTRAI</t>
  </si>
  <si>
    <t>LÁN TRẠI</t>
  </si>
  <si>
    <t>Bảo hộ lao động</t>
  </si>
  <si>
    <t>Dương Hải Lộc</t>
  </si>
  <si>
    <t>Dụng cụ thi công</t>
  </si>
  <si>
    <t>DỤNG CỤ</t>
  </si>
  <si>
    <t>S0021</t>
  </si>
  <si>
    <t>Ngô Thị Ngọc Trâm</t>
  </si>
  <si>
    <t>KTP</t>
  </si>
  <si>
    <t>KTP.</t>
  </si>
  <si>
    <t>KDC Kim Thịnh Phú</t>
  </si>
  <si>
    <t>Lương kỹ sư</t>
  </si>
  <si>
    <t>S0022</t>
  </si>
  <si>
    <t>Trần Nguyễn Kim Ngân</t>
  </si>
  <si>
    <t>CHITC</t>
  </si>
  <si>
    <t>Lâm Văn Còn</t>
  </si>
  <si>
    <t>CHI PHÍ LÃI VAY</t>
  </si>
  <si>
    <t>Q0001</t>
  </si>
  <si>
    <t>Chú Minh</t>
  </si>
  <si>
    <t>VP</t>
  </si>
  <si>
    <t>BV</t>
  </si>
  <si>
    <t>Khảo sát</t>
  </si>
  <si>
    <t>CPTHAU</t>
  </si>
  <si>
    <t>ĐẤU THẦU</t>
  </si>
  <si>
    <t>Q0002</t>
  </si>
  <si>
    <t>Nguyễn Thị Thanh Tuyết</t>
  </si>
  <si>
    <t>TV</t>
  </si>
  <si>
    <t>Mua hồ sơ thầu</t>
  </si>
  <si>
    <t>Q0003</t>
  </si>
  <si>
    <t>Admin</t>
  </si>
  <si>
    <t>Lập hồ sơ thầu</t>
  </si>
  <si>
    <t>Q0004</t>
  </si>
  <si>
    <t>KT</t>
  </si>
  <si>
    <t>In ấn hồ sơ thầu</t>
  </si>
  <si>
    <t>Q0005</t>
  </si>
  <si>
    <t>Kim Dương</t>
  </si>
  <si>
    <t>Bảo lãnh dự thầu</t>
  </si>
  <si>
    <t>Huỳnh Hải Âu</t>
  </si>
  <si>
    <t>Thiết kế hồ sơ năng lực</t>
  </si>
  <si>
    <t>Nguyễn Chí Tâm</t>
  </si>
  <si>
    <t>Thiết kế Webside</t>
  </si>
  <si>
    <t>S0026</t>
  </si>
  <si>
    <t>Nguyễn Văn Cảnh</t>
  </si>
  <si>
    <t>Chứng chỉ năng lực</t>
  </si>
  <si>
    <t>S0027</t>
  </si>
  <si>
    <t>Nguyễn Hoàng Gia Minh</t>
  </si>
  <si>
    <t>Pháp lý hợp đồng</t>
  </si>
  <si>
    <t>Hồ Thị Thuý An</t>
  </si>
  <si>
    <t>Quà tặng đối tác</t>
  </si>
  <si>
    <t>CSKH</t>
  </si>
  <si>
    <t>CHĂM SÓC KHÁCH HÀNG</t>
  </si>
  <si>
    <t>S0029</t>
  </si>
  <si>
    <t>Võ Thị Ka Ly</t>
  </si>
  <si>
    <t>Trịnh Công Hoàng</t>
  </si>
  <si>
    <t>Tiếp khách</t>
  </si>
  <si>
    <t>SP5</t>
  </si>
  <si>
    <t>Điện thoại</t>
  </si>
  <si>
    <t>CCDC</t>
  </si>
  <si>
    <t>Nguyễn Quốc Việt</t>
  </si>
  <si>
    <t>SP6</t>
  </si>
  <si>
    <t>Hamil ton Garden</t>
  </si>
  <si>
    <t>SIM</t>
  </si>
  <si>
    <t>S0033</t>
  </si>
  <si>
    <t>Trương Ngọc Như Phương</t>
  </si>
  <si>
    <t>SP7</t>
  </si>
  <si>
    <t>Đồng phục</t>
  </si>
  <si>
    <t>S0034</t>
  </si>
  <si>
    <t>Trần Thị Lệ Thu</t>
  </si>
  <si>
    <t>SP8</t>
  </si>
  <si>
    <t>Máy tính</t>
  </si>
  <si>
    <t>S0035</t>
  </si>
  <si>
    <t>Chu Tuyết Nhi</t>
  </si>
  <si>
    <t>SP9</t>
  </si>
  <si>
    <t>CHI PHÍ QUẢN LÝ</t>
  </si>
  <si>
    <t>S0036</t>
  </si>
  <si>
    <t>Nguyễn Xuân Thiện</t>
  </si>
  <si>
    <t>NVST</t>
  </si>
  <si>
    <t>Nhà vườn sinh thái</t>
  </si>
  <si>
    <t>Khấu hao TSCĐ</t>
  </si>
  <si>
    <t>KHẤU HAO</t>
  </si>
  <si>
    <t>Thuê văn phòng</t>
  </si>
  <si>
    <t>S0038</t>
  </si>
  <si>
    <t>Nguyễn Hoài Nhơn</t>
  </si>
  <si>
    <t>Nguyễn Dũng Đạt</t>
  </si>
  <si>
    <t>S0040</t>
  </si>
  <si>
    <t>Phạm Thị Thúy Lan</t>
  </si>
  <si>
    <t>Lương lãnh đạo</t>
  </si>
  <si>
    <t>S0041</t>
  </si>
  <si>
    <t>Nguyễn Văn Túc</t>
  </si>
  <si>
    <t>LUONGNV</t>
  </si>
  <si>
    <t>Lương nhân viên</t>
  </si>
  <si>
    <t>S0042</t>
  </si>
  <si>
    <t>Nguyễn Thế Hoàng</t>
  </si>
  <si>
    <t>S0043</t>
  </si>
  <si>
    <t>Nguyễn Phú Quý</t>
  </si>
  <si>
    <t>TPKD2</t>
  </si>
  <si>
    <t>SP11</t>
  </si>
  <si>
    <t>The sol city</t>
  </si>
  <si>
    <t>THẮNG LỢI</t>
  </si>
  <si>
    <t>Thưởng lãnh đạo</t>
  </si>
  <si>
    <t>S0044</t>
  </si>
  <si>
    <t>Phạm Thanh Kỳ Duyên</t>
  </si>
  <si>
    <t>CVTD</t>
  </si>
  <si>
    <t>PV</t>
  </si>
  <si>
    <t>Sản phẩm Phước Vinh</t>
  </si>
  <si>
    <t>Thưởng quản lý</t>
  </si>
  <si>
    <t>S0045</t>
  </si>
  <si>
    <t>Vũ Ngọc Phú</t>
  </si>
  <si>
    <t>CHI PHÍ QUẢN LÝ KHÁC</t>
  </si>
  <si>
    <t>VHVP</t>
  </si>
  <si>
    <t>VẬN HÀNH VĂN PHÒNG</t>
  </si>
  <si>
    <t>S0046</t>
  </si>
  <si>
    <t>Nguyễn Thị Tuyết Ngân</t>
  </si>
  <si>
    <t>Đào tạo</t>
  </si>
  <si>
    <t>S0047</t>
  </si>
  <si>
    <t>Đặng Minh Quốc</t>
  </si>
  <si>
    <t>Điện</t>
  </si>
  <si>
    <t>S0048</t>
  </si>
  <si>
    <t>Hoàng Ngọc Quỳnh Nga</t>
  </si>
  <si>
    <t>TTS</t>
  </si>
  <si>
    <t>S0049</t>
  </si>
  <si>
    <t>Nguyễn Minh Cảnh</t>
  </si>
  <si>
    <t>In ấn, photo</t>
  </si>
  <si>
    <t>Nguyễn Vũ Quân</t>
  </si>
  <si>
    <t>Internet</t>
  </si>
  <si>
    <t>Mực in</t>
  </si>
  <si>
    <t>Ngoại giao</t>
  </si>
  <si>
    <t>Nước sinh hoạt</t>
  </si>
  <si>
    <t>Nước uống</t>
  </si>
  <si>
    <t>Đồ thờ cúng</t>
  </si>
  <si>
    <t>Vệ sinh</t>
  </si>
  <si>
    <t>Văn phòng phẩm</t>
  </si>
  <si>
    <t>THUNHAP</t>
  </si>
  <si>
    <t>THU NHẬP</t>
  </si>
  <si>
    <t>SP13</t>
  </si>
  <si>
    <t>KDC Long Hải</t>
  </si>
  <si>
    <t>Thuế TNDN</t>
  </si>
  <si>
    <t>THUẾ</t>
  </si>
  <si>
    <t>SP14</t>
  </si>
  <si>
    <t>GTGT</t>
  </si>
  <si>
    <t>CHI PHÍ THUẾ</t>
  </si>
  <si>
    <t>LK2</t>
  </si>
  <si>
    <t>SP15</t>
  </si>
  <si>
    <t>Sản phẩm Long Khánh 2</t>
  </si>
  <si>
    <t>LK3</t>
  </si>
  <si>
    <t>Sản phẩm Long Khánh 3</t>
  </si>
  <si>
    <t>SP16</t>
  </si>
  <si>
    <t>SP17</t>
  </si>
  <si>
    <t>SP18</t>
  </si>
  <si>
    <t>LOẠI GIAO DỊCH</t>
  </si>
  <si>
    <t>TK Nợ</t>
  </si>
  <si>
    <t>TK Có</t>
  </si>
  <si>
    <t>HƯỚNG DẪN</t>
  </si>
  <si>
    <t>THU TIỀN MẶT</t>
  </si>
  <si>
    <t>Thu tiền thuế GTGT hàng bán ra bằng TM</t>
  </si>
  <si>
    <t>Góp vốn kinh doanh bằng tiền mặt</t>
  </si>
  <si>
    <t>Bán hàng thu tiền ngay bằng TM</t>
  </si>
  <si>
    <t>Thu cổ phần bù lỗ bằng TM</t>
  </si>
  <si>
    <t>CHI TIỀN MẶT</t>
  </si>
  <si>
    <t>Trả lại tiền cọc cho khách hàng bằng TM</t>
  </si>
  <si>
    <t xml:space="preserve">Thanh toán CPQL </t>
  </si>
  <si>
    <t>Nộp thuế TNCN bằng TM</t>
  </si>
  <si>
    <t>Nhân viên ứng trước lương bằng TM</t>
  </si>
  <si>
    <t>Chi trả lợi nhuận cổ phần bằng TM</t>
  </si>
  <si>
    <t>THU TIỀN NGÂN HÀNG</t>
  </si>
  <si>
    <t>Thu khách hàng trả trước HĐ bằng TGNH</t>
  </si>
  <si>
    <t>Thu nợ của khách hàng bằng TGNH</t>
  </si>
  <si>
    <t>Thu tiền thuế GTGT hàng bán ra bằng TGNH</t>
  </si>
  <si>
    <t>Trả tiền chế độ BHXH cho nhân viên</t>
  </si>
  <si>
    <t>Bán hàng thu tiền ngay bằng TGNH</t>
  </si>
  <si>
    <t>Thu cổ phần bù lỗ bằng TGNH</t>
  </si>
  <si>
    <t>CHI TIỀN NGÂN HÀNG</t>
  </si>
  <si>
    <t>Trả lại tiền cọc cho khách hàng bằng TGNH</t>
  </si>
  <si>
    <t>Nộp thuế TNCN bằng TGNH</t>
  </si>
  <si>
    <t>Nộp tiền thuế môn bài bằng TGNH</t>
  </si>
  <si>
    <t>Trả lương cho nhân viên bằng TGNH</t>
  </si>
  <si>
    <t>Nhân viên ứng trước lương bằng TGNH</t>
  </si>
  <si>
    <t>Nộp BHXH bằng TGNH</t>
  </si>
  <si>
    <t>Nhận tiền chế độ BHXH của nhân viên</t>
  </si>
  <si>
    <t>Chi trả lợi nhuận cổ phần bằng TGNH</t>
  </si>
  <si>
    <t>GHI NHẬN CÔNG NỢ</t>
  </si>
  <si>
    <t>Ghi nhận thuế GTGT hàng bán ra chưa thu tiền</t>
  </si>
  <si>
    <t>Ghi nhận thuế GTGT hàng bán ra thu tiền đã thu tiền trước</t>
  </si>
  <si>
    <t>Ghi nhận doanh thu bán hàng đã thu tiền trước</t>
  </si>
  <si>
    <t>Tính thuế TNCN phải nộp</t>
  </si>
  <si>
    <t>Trích KPCĐ trừ lương NLĐ</t>
  </si>
  <si>
    <t>Trích KPCĐ tính vào chi phí bán hàng</t>
  </si>
  <si>
    <t>Trích KPCĐ tính vào chi phí quản lý</t>
  </si>
  <si>
    <t>Trích BHXHtính vào chi phí bán hàng</t>
  </si>
  <si>
    <t>Trích BHYT tính vào chi phí bán hàng</t>
  </si>
  <si>
    <t>Trích BHTN tính vào chi phí bán hàng</t>
  </si>
  <si>
    <t>Trích BHTN tính vào chi phí quản lý</t>
  </si>
  <si>
    <t>Chi phí chung chưa thanh toán</t>
  </si>
  <si>
    <t>Xác định thuế môn bài phải nộp trong năm</t>
  </si>
  <si>
    <t>Phải trả thưởng MKT</t>
  </si>
  <si>
    <t>GÓP VỐN</t>
  </si>
  <si>
    <t>Góp vốn kinh doanh bằng tài sản</t>
  </si>
  <si>
    <t>KẾT CHUYỂN</t>
  </si>
  <si>
    <t>Kết chuyển chi phí nhân công trực tiếp</t>
  </si>
  <si>
    <t>Xác định giá vốn hàng bán ra</t>
  </si>
  <si>
    <t>Kết chuyển chi phí chung vào giá vốn</t>
  </si>
  <si>
    <t xml:space="preserve">Mã đối tượng </t>
  </si>
  <si>
    <t>Tên đối tượng</t>
  </si>
  <si>
    <t>Ngày hạch toán</t>
  </si>
  <si>
    <t>Hạch toán</t>
  </si>
  <si>
    <t>Nghiệp vụ</t>
  </si>
  <si>
    <t>Đối tượng Nợ</t>
  </si>
  <si>
    <t>Đối tượng Có</t>
  </si>
  <si>
    <t>Đội nhóm</t>
  </si>
  <si>
    <t>Chứng từ gốc</t>
  </si>
  <si>
    <t>Thêm dòng</t>
  </si>
  <si>
    <t>Xóa dòng</t>
  </si>
  <si>
    <t>BÁO CÁO CÔNG VIỆC TRIỂN KHAI TRONG THÁNG</t>
  </si>
  <si>
    <t>HẠNG MỤC</t>
  </si>
  <si>
    <t>PHỤ TRÁCH</t>
  </si>
  <si>
    <t>TRẠNG THÁI</t>
  </si>
  <si>
    <t>Tồn đọng tháng trước</t>
  </si>
  <si>
    <t>Bổ sung Báo cáo bản dự báo của tất cả các quý</t>
  </si>
  <si>
    <t>Phương</t>
  </si>
  <si>
    <t>Hoàn thành</t>
  </si>
  <si>
    <t>Xem xét điều chỉnh mục chi phí bán hàng sang giá vốn</t>
  </si>
  <si>
    <t>Chưa thực hiện</t>
  </si>
  <si>
    <t>Giá vốn là bao gồm tiền chiết khấu, hoa hồng nhân viên</t>
  </si>
  <si>
    <t>Họp điều chỉnh lại BP sát hơn với thực tế</t>
  </si>
  <si>
    <t>Lê Anh</t>
  </si>
  <si>
    <t>Triển khai trong tháng</t>
  </si>
  <si>
    <t>Thiết kế báo cáo P&amp;L trên ứng dụng Google sheet</t>
  </si>
  <si>
    <t>Xây dựng cấu trúc báo cáo trên ứng dụng Excel và Power BI</t>
  </si>
  <si>
    <t>Training cấu tạo, ý nghĩa và phương pháp nhập liệu bảng P&amp;L</t>
  </si>
  <si>
    <t>Training phương pháp đọc và phân tích báo cáo</t>
  </si>
  <si>
    <t>Xây dựng báo cáo kết quả kinh doanh, phân tích BCTC và dòng tiền</t>
  </si>
  <si>
    <t>Kế toán họp và cung cấp thông tin kiểm kê tài chính toàn DN tại thời điểm hiện tại</t>
  </si>
  <si>
    <t>Họp kế hoạch kiểm kê, đánh giá tài chính DN</t>
  </si>
  <si>
    <t>Đã liệt kê danh sách tài sản - chưa có đầy đủ thông tin giá do nhiều tài sản phát sinh từ lâu</t>
  </si>
  <si>
    <t>Xác định cấu trúc CP quỹ 8% ghi nhận chi phí phát sinh trong kỳ</t>
  </si>
  <si>
    <t>Phương, Ánh, Anh</t>
  </si>
  <si>
    <t xml:space="preserve">Trích lập quỹ được ghi nhận thêm dưới bảng P&amp;L để theo dõi </t>
  </si>
  <si>
    <t>Kế hoạch thực hiện tháng 5</t>
  </si>
  <si>
    <t>Ghi nhận giá trị tài sản hiện tại của DN để theo dõi biến động</t>
  </si>
  <si>
    <t>Cấu trúc lại chi phí giá vốn và CP bán hàng</t>
  </si>
  <si>
    <t>BP (Đ.VỊ 1000 Đ)</t>
  </si>
  <si>
    <t>% SO VỚI DOANH SỐ</t>
  </si>
  <si>
    <t>% SO VỚI DOANH THU</t>
  </si>
  <si>
    <t>CHI PHÍ DU LỊCH</t>
  </si>
  <si>
    <t>CHI PHÍ HIẾU HỈ</t>
  </si>
  <si>
    <t>CHI PHÍ HỖ TRỢ NHÂN VIÊN</t>
  </si>
  <si>
    <t>VIII. CHI PHÍ QUẢN LÝ DN</t>
  </si>
  <si>
    <t>XII. CHI PHÍ THUẾ THU NHẬP DN</t>
  </si>
  <si>
    <t>% vs BP</t>
  </si>
  <si>
    <t>% vs DT</t>
  </si>
  <si>
    <t>TỔNG</t>
  </si>
  <si>
    <t>TỶ TRỌNG</t>
  </si>
  <si>
    <t>% DS</t>
  </si>
  <si>
    <t>CP BÁN HÀNG</t>
  </si>
  <si>
    <t>% DT</t>
  </si>
  <si>
    <t>CP QUẢN LÝ</t>
  </si>
  <si>
    <t>lÃI/lỖ</t>
  </si>
  <si>
    <t>MIN DS</t>
  </si>
  <si>
    <t>BÁO CÁO KẾT QUẢ SẢN XUẤT KINH DOANH</t>
  </si>
  <si>
    <t>Tài khoản nợ</t>
  </si>
  <si>
    <t>Tài khoản có</t>
  </si>
  <si>
    <t>01</t>
  </si>
  <si>
    <t xml:space="preserve">    - Doanh thu bán hàng</t>
  </si>
  <si>
    <t>02</t>
  </si>
  <si>
    <t>10</t>
  </si>
  <si>
    <t>11</t>
  </si>
  <si>
    <t>20</t>
  </si>
  <si>
    <t>21</t>
  </si>
  <si>
    <t>22</t>
  </si>
  <si>
    <t xml:space="preserve">    - Trong đó: Chi phí lãi vay</t>
  </si>
  <si>
    <t>23</t>
  </si>
  <si>
    <t>24</t>
  </si>
  <si>
    <t>25</t>
  </si>
  <si>
    <t>30</t>
  </si>
  <si>
    <t>31</t>
  </si>
  <si>
    <t>32</t>
  </si>
  <si>
    <t>40</t>
  </si>
  <si>
    <t>50</t>
  </si>
  <si>
    <t>15. Chi phí thuế TNDN hiện hành</t>
  </si>
  <si>
    <t>51</t>
  </si>
  <si>
    <t xml:space="preserve">    15.1. Chi phí thuế TNDN hiện hành - Lãi</t>
  </si>
  <si>
    <t>8211</t>
  </si>
  <si>
    <t xml:space="preserve">    15.2. Chi phí thuế TNDN hiện hành - Lỗ</t>
  </si>
  <si>
    <t>16. Chi phí thuế TNDN hoãn lại</t>
  </si>
  <si>
    <t>52</t>
  </si>
  <si>
    <t xml:space="preserve">    16.1. Chi phí thuế TNDN hoãn lại - Lãi</t>
  </si>
  <si>
    <t xml:space="preserve">    16.2. Chi phí thuế TNDN hoãn lại - Lỗ</t>
  </si>
  <si>
    <t>60</t>
  </si>
  <si>
    <t>18. Lãi cơ bản trên cổ phiếu</t>
  </si>
  <si>
    <t>70</t>
  </si>
  <si>
    <t>19. Lãi suy giảm trên cổ phiếu</t>
  </si>
  <si>
    <t>71</t>
  </si>
  <si>
    <t>CHI PHÍ</t>
  </si>
  <si>
    <t>75</t>
  </si>
  <si>
    <r>
      <rPr>
        <rFont val="Calibri, Arial"/>
        <b/>
        <color rgb="FF0066CC"/>
        <sz val="20.0"/>
      </rPr>
      <t>BẢNG CÂN ĐỐI KẾ TOÁN</t>
    </r>
    <r>
      <rPr>
        <rFont val="Calibri"/>
        <b/>
        <color rgb="FFFF6600"/>
        <sz val="20.0"/>
      </rPr>
      <t xml:space="preserve"> </t>
    </r>
  </si>
  <si>
    <t>TK 21410002789808</t>
  </si>
  <si>
    <t>11211</t>
  </si>
  <si>
    <t>TK 21410002789288</t>
  </si>
  <si>
    <t>11212</t>
  </si>
  <si>
    <t>ĐVT</t>
  </si>
  <si>
    <t>PHÂN TÍCH &amp; SO SÁNH CHI TIẾT THEO CÁC KỲ</t>
  </si>
  <si>
    <t>PHẦN 1: CÂN ĐỐI KẾ TOÁN</t>
  </si>
  <si>
    <t>MS</t>
  </si>
  <si>
    <t>NĂM</t>
  </si>
  <si>
    <t>1H/2022</t>
  </si>
  <si>
    <t>2H/2022</t>
  </si>
  <si>
    <t>QUÍ I/2022</t>
  </si>
  <si>
    <t>QUÍ II/2022</t>
  </si>
  <si>
    <t>QUÍ III/2022</t>
  </si>
  <si>
    <t>QUÍ IV/2022</t>
  </si>
  <si>
    <t>Tăng / Giảm so với kỳ trước</t>
  </si>
  <si>
    <t>% biến động so với kỳ trước</t>
  </si>
  <si>
    <t>I. Tiền và các khoản tương đương tiền</t>
  </si>
  <si>
    <t>II. Đầu tư tài chính ngắn hạn</t>
  </si>
  <si>
    <t>III. Các khoản phải thu ngắn hạn</t>
  </si>
  <si>
    <t>IV. Hàng tồn kho</t>
  </si>
  <si>
    <t>I. Các khoản phải thu dài hạn</t>
  </si>
  <si>
    <t>II. Tài sản cố định</t>
  </si>
  <si>
    <t>III. Bất động sản đầu tư</t>
  </si>
  <si>
    <t>IV. Tài sản dở dang dài hạn</t>
  </si>
  <si>
    <t>V. Các khoản đầu tư tài chính dài hạn</t>
  </si>
  <si>
    <t>VI. Tài sản dài hạn khác</t>
  </si>
  <si>
    <t>I. Nợ ngắn hạn</t>
  </si>
  <si>
    <t>II. Nợ dài hạn</t>
  </si>
  <si>
    <t>I. Vốn chủ sở hữu</t>
  </si>
  <si>
    <t>TỔNG CỘNG NGUỒN VỐN (440 = 300 + 400)</t>
  </si>
  <si>
    <t>PHẦN 2: KẾT QUẢ KINH DOANH</t>
  </si>
  <si>
    <t>Doanh thu thuần bán hàng và cung cấp dịch vụ</t>
  </si>
  <si>
    <t>Lợi nhuận gộp về bán hàng và cung cấp dịch vụ</t>
  </si>
  <si>
    <t>Chi phí quản lý kinh doanh</t>
  </si>
  <si>
    <t>Lợi nhuận từ hoạt động kinh doanh</t>
  </si>
  <si>
    <t>Tổng lợi nhuận kế toán trước thuế (50 = 30 + 40)</t>
  </si>
  <si>
    <t>Lợi nhuận sau thuế TNDN (60=50-51-52)</t>
  </si>
  <si>
    <t>QUẢN LÝ QUAN HỆ ĐỐI TÁC</t>
  </si>
  <si>
    <t>QUẢN LÝ THEO VỊ TRÍ</t>
  </si>
  <si>
    <t>QUẢN LÝ THEO NHÓM</t>
  </si>
  <si>
    <t>CẤP  QUẢN LÝ</t>
  </si>
  <si>
    <t>TÊN NHÓM</t>
  </si>
  <si>
    <t>ĐẠI HƯNG THỊNH E</t>
  </si>
  <si>
    <t>Phú Gia Thịnh</t>
  </si>
  <si>
    <t>Thành Nam</t>
  </si>
  <si>
    <t>Nam Sài Gòn</t>
  </si>
  <si>
    <t>Nam Phong</t>
  </si>
  <si>
    <t>Thắng Lợi</t>
  </si>
  <si>
    <t>Trần Anh Group</t>
  </si>
  <si>
    <t>Phi Trường</t>
  </si>
  <si>
    <t>Hoàng Cát</t>
  </si>
  <si>
    <t>GĐ điều hành
Trần Phước Thành</t>
  </si>
  <si>
    <t>GĐ kinh doanh
Dương Thị Thanh Xuân</t>
  </si>
  <si>
    <t>GĐ tài chính
Kim Văn Thát</t>
  </si>
  <si>
    <t xml:space="preserve">GĐ nhân sự
</t>
  </si>
  <si>
    <t>Sếp</t>
  </si>
  <si>
    <t>Hamilton</t>
  </si>
  <si>
    <t>PHHT</t>
  </si>
  <si>
    <t>The Sol</t>
  </si>
  <si>
    <t>TRƯỞNG PHÒNG</t>
  </si>
  <si>
    <t>TÊN ĐỘI</t>
  </si>
  <si>
    <t>Tín Trường Thịnh</t>
  </si>
  <si>
    <t>Tướng Quân</t>
  </si>
  <si>
    <t>Tín Phát</t>
  </si>
  <si>
    <t>Đất nền</t>
  </si>
  <si>
    <t>Tỉnh</t>
  </si>
  <si>
    <t>Long An</t>
  </si>
  <si>
    <t>BR-VT</t>
  </si>
  <si>
    <t>Huyện</t>
  </si>
  <si>
    <t>Đất Đỏ</t>
  </si>
  <si>
    <t>Cần Đước</t>
  </si>
  <si>
    <t>ĐẠI HƯNG THỊNH</t>
  </si>
  <si>
    <t>Diện tích</t>
  </si>
  <si>
    <t>Nguyễn Thu Hiền</t>
  </si>
  <si>
    <t>Phan Thị Hồng Điệp</t>
  </si>
  <si>
    <t>Vị trí</t>
  </si>
  <si>
    <t>Victory</t>
  </si>
  <si>
    <t>Unite</t>
  </si>
  <si>
    <t>Võ Đặng Thu Thảo</t>
  </si>
  <si>
    <t>Hồ Viết Phòng</t>
  </si>
  <si>
    <t>Phạm Thị Thảo</t>
  </si>
</sst>
</file>

<file path=xl/styles.xml><?xml version="1.0" encoding="utf-8"?>
<styleSheet xmlns="http://schemas.openxmlformats.org/spreadsheetml/2006/main" xmlns:x14ac="http://schemas.microsoft.com/office/spreadsheetml/2009/9/ac" xmlns:mc="http://schemas.openxmlformats.org/markup-compatibility/2006">
  <numFmts count="21">
    <numFmt numFmtId="164" formatCode="dd&quot;/&quot;mm&quot;/&quot;yy"/>
    <numFmt numFmtId="165" formatCode="mm&quot;/&quot;yyyy"/>
    <numFmt numFmtId="166" formatCode="_-* #,##0\ _₫_-;\-* #,##0\ _₫_-;_-* &quot;-&quot;??\ _₫_-;_-@"/>
    <numFmt numFmtId="167" formatCode="_(* #,##0_);_(* \(#,##0\);_(* &quot;-&quot;??_);_(@_)"/>
    <numFmt numFmtId="168" formatCode="0;[Red]0"/>
    <numFmt numFmtId="169" formatCode="&quot;Từ ngày &quot;dd&quot;/&quot;mm"/>
    <numFmt numFmtId="170" formatCode="&quot;đến ngày &quot;dd&quot;/&quot;mm&quot;/&quot;yy"/>
    <numFmt numFmtId="171" formatCode="#,##0;(#,##0)"/>
    <numFmt numFmtId="172" formatCode="d.m"/>
    <numFmt numFmtId="173" formatCode="0.0%"/>
    <numFmt numFmtId="174" formatCode="&quot;THÁNG &quot;m/yyyy"/>
    <numFmt numFmtId="175" formatCode="dd/mm/yyyy"/>
    <numFmt numFmtId="176" formatCode="&quot;Ngày &quot;d &quot;tháng &quot;m &quot;năm &quot;yyyy"/>
    <numFmt numFmtId="177" formatCode="mm/yyyy"/>
    <numFmt numFmtId="178" formatCode="_(* #,##0.00_);_(* \(#,##0.00\);_(* &quot;-&quot;??_);_(@_)"/>
    <numFmt numFmtId="179" formatCode="#,##0;&quot;△ &quot;#,##0"/>
    <numFmt numFmtId="180" formatCode="&quot;Tính đến &quot;dd&quot;/&quot;mm&quot;/&quot;yy"/>
    <numFmt numFmtId="181" formatCode="&quot;Lập, ngày &quot;dd&quot; tháng &quot;mm&quot; năm &quot;yyyy"/>
    <numFmt numFmtId="182" formatCode="###,###,###,###,##0"/>
    <numFmt numFmtId="183" formatCode="dd/mm/yy"/>
    <numFmt numFmtId="184" formatCode="d/m/yy"/>
  </numFmts>
  <fonts count="294">
    <font>
      <sz val="11.0"/>
      <color theme="1"/>
      <name val="Calibri"/>
      <scheme val="minor"/>
    </font>
    <font>
      <b/>
      <sz val="18.0"/>
      <color theme="1"/>
      <name val="Times New Roman"/>
    </font>
    <font/>
    <font>
      <color theme="1"/>
      <name val="Times New Roman"/>
    </font>
    <font>
      <b/>
      <sz val="11.0"/>
      <color theme="1"/>
      <name val="Times New Roman"/>
    </font>
    <font>
      <b/>
      <sz val="11.0"/>
      <color rgb="FF0070C0"/>
      <name val="Times New Roman"/>
    </font>
    <font>
      <sz val="11.0"/>
      <color rgb="FF0070C0"/>
      <name val="Times New Roman"/>
    </font>
    <font>
      <b/>
      <i/>
      <sz val="11.0"/>
      <color rgb="FF0070C0"/>
      <name val="Times New Roman"/>
    </font>
    <font>
      <b/>
      <color theme="1"/>
      <name val="Times New Roman"/>
    </font>
    <font>
      <b/>
      <color rgb="FFFF0000"/>
      <name val="Times New Roman"/>
    </font>
    <font>
      <color rgb="FFFF0000"/>
      <name val="Times New Roman"/>
    </font>
    <font>
      <u/>
      <color rgb="FF0000FF"/>
      <name val="Times New Roman"/>
    </font>
    <font>
      <i/>
      <sz val="9.0"/>
      <color rgb="FFFF0000"/>
      <name val="&quot;Times New Roman&quot;"/>
    </font>
    <font>
      <i/>
      <sz val="9.0"/>
      <color rgb="FFFF0000"/>
      <name val="Arial"/>
    </font>
    <font>
      <b/>
      <sz val="11.0"/>
      <color rgb="FF000000"/>
      <name val="&quot;Times New Roman&quot;"/>
    </font>
    <font>
      <sz val="9.0"/>
      <color theme="1"/>
      <name val="Times New Roman"/>
    </font>
    <font>
      <b/>
      <sz val="8.0"/>
      <color theme="1"/>
      <name val="Times New Roman"/>
    </font>
    <font>
      <b/>
      <i/>
      <sz val="8.0"/>
      <color theme="1"/>
      <name val="Times New Roman"/>
    </font>
    <font>
      <sz val="12.0"/>
      <color theme="1"/>
      <name val="&quot;Times New Roman&quot;"/>
    </font>
    <font>
      <sz val="11.0"/>
      <color theme="1"/>
      <name val="&quot;Times New Roman&quot;"/>
    </font>
    <font>
      <color theme="1"/>
      <name val="&quot;Times New Roman&quot;"/>
    </font>
    <font>
      <color theme="1"/>
      <name val="Arial"/>
    </font>
    <font>
      <color theme="1"/>
      <name val="Calibri"/>
      <scheme val="minor"/>
    </font>
    <font>
      <sz val="11.0"/>
      <color theme="1"/>
      <name val="Times New Roman"/>
    </font>
    <font>
      <sz val="11.0"/>
      <color theme="1"/>
      <name val="Calibri"/>
    </font>
    <font>
      <sz val="12.0"/>
      <color rgb="FF000000"/>
      <name val="&quot;Times New Roman&quot;"/>
    </font>
    <font>
      <sz val="11.0"/>
      <color rgb="FF000000"/>
      <name val="&quot;Times New Roman&quot;"/>
    </font>
    <font>
      <u/>
      <sz val="11.0"/>
      <color rgb="FF0000FF"/>
      <name val="&quot;Times New Roman&quot;"/>
    </font>
    <font>
      <u/>
      <sz val="11.0"/>
      <color rgb="FF0000FF"/>
      <name val="&quot;Times New Roman&quot;"/>
    </font>
    <font>
      <sz val="11.0"/>
      <color theme="1"/>
      <name val="Arial"/>
    </font>
    <font>
      <u/>
      <sz val="11.0"/>
      <color rgb="FF1155CC"/>
      <name val="&quot;Times New Roman&quot;"/>
    </font>
    <font>
      <b/>
      <sz val="10.0"/>
      <color rgb="FF333333"/>
      <name val="Times New Roman"/>
    </font>
    <font>
      <b/>
      <sz val="11.0"/>
      <color rgb="FF333333"/>
      <name val="Times New Roman"/>
    </font>
    <font>
      <b/>
      <sz val="9.0"/>
      <color theme="1"/>
      <name val="Times New Roman"/>
    </font>
    <font>
      <sz val="10.0"/>
      <color rgb="FF0000FF"/>
      <name val="Times New Roman"/>
    </font>
    <font>
      <b/>
      <sz val="11.0"/>
      <color rgb="FF0000FF"/>
      <name val="Times New Roman"/>
    </font>
    <font>
      <sz val="9.0"/>
      <color rgb="FF0000FF"/>
      <name val="Times New Roman"/>
    </font>
    <font>
      <sz val="8.0"/>
      <color rgb="FF0000FF"/>
      <name val="Times New Roman"/>
    </font>
    <font>
      <sz val="10.0"/>
      <color rgb="FF333333"/>
      <name val="Times New Roman"/>
    </font>
    <font>
      <sz val="8.0"/>
      <color theme="1"/>
      <name val="Times New Roman"/>
    </font>
    <font>
      <sz val="11.0"/>
      <color rgb="FF333333"/>
      <name val="Times New Roman"/>
    </font>
    <font>
      <b/>
      <sz val="9.0"/>
      <color rgb="FF000000"/>
      <name val="Arial"/>
    </font>
    <font>
      <b/>
      <color theme="1"/>
      <name val="Calibri"/>
      <scheme val="minor"/>
    </font>
    <font>
      <b/>
      <i/>
      <sz val="9.0"/>
      <color rgb="FF000000"/>
      <name val="Arial"/>
    </font>
    <font>
      <sz val="9.0"/>
      <color rgb="FF000000"/>
      <name val="Arial"/>
    </font>
    <font>
      <sz val="9.0"/>
      <color theme="1"/>
      <name val="Arial"/>
    </font>
    <font>
      <b/>
      <sz val="9.0"/>
      <color theme="1"/>
      <name val="Arial"/>
    </font>
    <font>
      <i/>
      <sz val="9.0"/>
      <color rgb="FFFF9900"/>
      <name val="Arial"/>
    </font>
    <font>
      <i/>
      <color rgb="FFFF9900"/>
      <name val="Calibri"/>
      <scheme val="minor"/>
    </font>
    <font>
      <sz val="18.0"/>
      <color rgb="FF0000FF"/>
      <name val="&quot;Times New Roman&quot;"/>
    </font>
    <font>
      <i/>
      <color rgb="FFFF0000"/>
      <name val="&quot;Times New Roman&quot;"/>
    </font>
    <font>
      <b/>
      <sz val="14.0"/>
      <color theme="1"/>
      <name val="&quot;Times New Roman&quot;"/>
    </font>
    <font>
      <b/>
      <sz val="14.0"/>
      <color rgb="FFFF0000"/>
      <name val="&quot;Times New Roman&quot;"/>
    </font>
    <font>
      <b/>
      <sz val="14.0"/>
      <color rgb="FF0000FF"/>
      <name val="&quot;Times New Roman&quot;"/>
    </font>
    <font>
      <b/>
      <sz val="9.0"/>
      <color theme="1"/>
      <name val="&quot;Times New Roman&quot;"/>
    </font>
    <font>
      <b/>
      <color theme="1"/>
      <name val="&quot;Times New Roman&quot;"/>
    </font>
    <font>
      <sz val="14.0"/>
      <color rgb="FF0000FF"/>
      <name val="&quot;Times New Roman&quot;"/>
    </font>
    <font>
      <b/>
      <color rgb="FFFFFFFF"/>
      <name val="&quot;Times New Roman&quot;"/>
    </font>
    <font>
      <sz val="14.0"/>
      <color theme="1"/>
      <name val="&quot;Times New Roman&quot;"/>
    </font>
    <font>
      <b/>
      <sz val="11.0"/>
      <color rgb="FF000000"/>
      <name val="Times New Roman"/>
    </font>
    <font>
      <b/>
      <sz val="16.0"/>
      <color rgb="FF000000"/>
      <name val="Times New Roman"/>
    </font>
    <font>
      <b/>
      <sz val="9.0"/>
      <color rgb="FF000000"/>
      <name val="Times New Roman"/>
    </font>
    <font>
      <b/>
      <sz val="15.0"/>
      <color rgb="FF000000"/>
      <name val="Times New Roman"/>
    </font>
    <font>
      <b/>
      <sz val="12.0"/>
      <color rgb="FF000000"/>
      <name val="Times New Roman"/>
    </font>
    <font>
      <sz val="11.0"/>
      <color rgb="FF000000"/>
      <name val="Times New Roman"/>
    </font>
    <font>
      <b/>
      <i/>
      <sz val="11.0"/>
      <color rgb="FF000000"/>
      <name val="Times New Roman"/>
    </font>
    <font>
      <b/>
      <i/>
      <sz val="11.0"/>
      <color theme="1"/>
      <name val="Times New Roman"/>
    </font>
    <font>
      <b/>
      <i/>
      <sz val="11.0"/>
      <color rgb="FFFF0000"/>
      <name val="Times New Roman"/>
    </font>
    <font>
      <b/>
      <color rgb="FFFFFF00"/>
      <name val="Calibri"/>
      <scheme val="minor"/>
    </font>
    <font>
      <b/>
      <color rgb="FFFFFFFF"/>
      <name val="Calibri"/>
      <scheme val="minor"/>
    </font>
    <font>
      <b/>
      <sz val="12.0"/>
      <color rgb="FF980000"/>
      <name val="Calibri"/>
      <scheme val="minor"/>
    </font>
    <font>
      <b/>
      <sz val="12.0"/>
      <color rgb="FF0000FF"/>
      <name val="Calibri"/>
      <scheme val="minor"/>
    </font>
    <font>
      <b/>
      <sz val="12.0"/>
      <color rgb="FFF1C232"/>
      <name val="Calibri"/>
      <scheme val="minor"/>
    </font>
    <font>
      <b/>
      <sz val="18.0"/>
      <color rgb="FF63D297"/>
      <name val="Calibri"/>
      <scheme val="minor"/>
    </font>
    <font>
      <b/>
      <sz val="18.0"/>
      <color rgb="FF0000FF"/>
      <name val="Calibri"/>
      <scheme val="minor"/>
    </font>
    <font>
      <b/>
      <color rgb="FF0000FF"/>
      <name val="Calibri"/>
      <scheme val="minor"/>
    </font>
    <font>
      <sz val="9.0"/>
      <color theme="1"/>
      <name val="Calibri"/>
      <scheme val="minor"/>
    </font>
    <font>
      <b/>
      <sz val="15.0"/>
      <color rgb="FF0000FF"/>
      <name val="Calibri"/>
      <scheme val="minor"/>
    </font>
    <font>
      <b/>
      <sz val="11.0"/>
      <color rgb="FFFF0000"/>
      <name val="Times New Roman"/>
    </font>
    <font>
      <sz val="11.0"/>
      <color rgb="FFFF0000"/>
      <name val="Times New Roman"/>
    </font>
    <font>
      <color rgb="FFFF0000"/>
      <name val="Calibri"/>
      <scheme val="minor"/>
    </font>
    <font>
      <b/>
      <sz val="13.0"/>
      <color rgb="FF0000FF"/>
      <name val="Times New Roman"/>
    </font>
    <font>
      <sz val="13.0"/>
      <color theme="1"/>
      <name val="Times New Roman"/>
    </font>
    <font>
      <sz val="13.0"/>
      <color rgb="FFFF0000"/>
      <name val="Times New Roman"/>
    </font>
    <font>
      <b/>
      <sz val="11.0"/>
      <color rgb="FFFFFFFF"/>
      <name val="Times New Roman"/>
    </font>
    <font>
      <b/>
      <sz val="18.0"/>
      <color rgb="FFFFFFFF"/>
      <name val="Times New Roman"/>
    </font>
    <font>
      <sz val="12.0"/>
      <color rgb="FFFFFFFF"/>
      <name val="Times New Roman"/>
    </font>
    <font>
      <b/>
      <sz val="14.0"/>
      <color theme="1"/>
      <name val="Times New Roman"/>
    </font>
    <font>
      <b/>
      <color rgb="FF0070C0"/>
      <name val="Times New Roman"/>
    </font>
    <font>
      <b/>
      <sz val="9.0"/>
      <color rgb="FF0070C0"/>
      <name val="Times New Roman"/>
    </font>
    <font>
      <b/>
      <sz val="11.0"/>
      <color rgb="FFF2F2F2"/>
      <name val="Times New Roman"/>
    </font>
    <font>
      <b/>
      <color rgb="FFF2F2F2"/>
      <name val="Times New Roman"/>
    </font>
    <font>
      <b/>
      <sz val="9.0"/>
      <color rgb="FFF2F2F2"/>
      <name val="Times New Roman"/>
    </font>
    <font>
      <sz val="12.0"/>
      <color theme="1"/>
      <name val="Times New Roman"/>
    </font>
    <font>
      <b/>
      <sz val="12.0"/>
      <color theme="1"/>
      <name val="Times New Roman"/>
    </font>
    <font>
      <sz val="11.0"/>
      <color theme="0"/>
      <name val="Times New Roman"/>
    </font>
    <font>
      <b/>
      <color theme="0"/>
      <name val="Times New Roman"/>
    </font>
    <font>
      <color theme="0"/>
      <name val="Times New Roman"/>
    </font>
    <font>
      <b/>
      <sz val="12.0"/>
      <color theme="1"/>
      <name val="&quot;Times New Roman&quot;"/>
    </font>
    <font>
      <b/>
      <color rgb="FF1A0DAB"/>
      <name val="Arial"/>
    </font>
    <font>
      <sz val="13.0"/>
      <color rgb="FF3578E5"/>
      <name val="Arial"/>
    </font>
    <font>
      <sz val="14.0"/>
      <color rgb="FF3578E5"/>
      <name val="&quot;Segoe UI&quot;"/>
    </font>
    <font>
      <sz val="14.0"/>
      <color rgb="FF000000"/>
      <name val="Arial"/>
    </font>
    <font>
      <b/>
      <sz val="18.0"/>
      <color rgb="FF3578E5"/>
      <name val="Arial"/>
    </font>
    <font>
      <sz val="14.0"/>
      <color rgb="FF1B1B1B"/>
      <name val="&quot;Segoe UI&quot;"/>
    </font>
    <font>
      <b/>
      <sz val="14.0"/>
      <color rgb="FF1B1B1B"/>
      <name val="&quot;Segoe UI&quot;"/>
    </font>
    <font>
      <b/>
      <sz val="14.0"/>
      <color rgb="FFFF0000"/>
      <name val="&quot;Segoe UI&quot;"/>
    </font>
    <font>
      <sz val="14.0"/>
      <color theme="1"/>
      <name val="&quot;Segoe UI&quot;"/>
    </font>
    <font>
      <sz val="14.0"/>
      <color theme="1"/>
      <name val="Calibri"/>
      <scheme val="minor"/>
    </font>
    <font>
      <sz val="14.0"/>
      <color rgb="FF007BFF"/>
      <name val="&quot;Roboto Condensed&quot;"/>
    </font>
    <font>
      <i/>
      <sz val="14.0"/>
      <color rgb="FF212529"/>
      <name val="&quot;Roboto Condensed&quot;"/>
    </font>
    <font>
      <b/>
      <sz val="14.0"/>
      <color rgb="FF212529"/>
      <name val="&quot;Roboto Condensed&quot;"/>
    </font>
    <font>
      <sz val="14.0"/>
      <color rgb="FF212529"/>
      <name val="&quot;Roboto Condensed&quot;"/>
    </font>
    <font>
      <sz val="14.0"/>
      <color rgb="FFFF0000"/>
      <name val="&quot;Roboto Condensed&quot;"/>
    </font>
    <font>
      <b/>
      <sz val="14.0"/>
      <color rgb="FFFF0000"/>
      <name val="Arial"/>
    </font>
    <font>
      <b/>
      <color theme="1"/>
      <name val="Arial"/>
    </font>
    <font>
      <b/>
      <color theme="0"/>
      <name val="Arial"/>
    </font>
    <font>
      <color theme="0"/>
      <name val="Arial"/>
    </font>
    <font>
      <color theme="0"/>
      <name val="Calibri"/>
      <scheme val="minor"/>
    </font>
    <font>
      <b/>
      <color theme="0"/>
      <name val="Calibri"/>
      <scheme val="minor"/>
    </font>
    <font>
      <b/>
      <i/>
      <color theme="0"/>
      <name val="Arial"/>
    </font>
    <font>
      <b/>
      <color rgb="FFFFFFFF"/>
      <name val="Arial"/>
    </font>
    <font>
      <b/>
      <color rgb="FF0066CC"/>
      <name val="Arial"/>
    </font>
    <font>
      <b/>
      <sz val="11.0"/>
      <color theme="1"/>
      <name val="Calibri"/>
    </font>
    <font>
      <b/>
      <i/>
      <color theme="1"/>
      <name val="Arial"/>
    </font>
    <font>
      <color rgb="FF0066CC"/>
      <name val="Arial"/>
    </font>
    <font>
      <color rgb="FFFF0000"/>
      <name val="Arial"/>
    </font>
    <font>
      <b/>
      <color rgb="FFFF0000"/>
      <name val="Arial"/>
    </font>
    <font>
      <sz val="12.0"/>
      <color rgb="FFFF0000"/>
      <name val="&quot;Times New Roman&quot;"/>
    </font>
    <font>
      <b/>
      <sz val="18.0"/>
      <color rgb="FF0070C0"/>
      <name val="&quot;Times New Roman&quot;"/>
    </font>
    <font>
      <u/>
      <color rgb="FF1155CC"/>
    </font>
    <font>
      <b/>
      <sz val="14.0"/>
      <color theme="1"/>
      <name val="Cambria"/>
    </font>
    <font>
      <sz val="14.0"/>
      <color theme="1"/>
      <name val="Cambria"/>
    </font>
    <font>
      <b/>
      <sz val="18.0"/>
      <color rgb="FF000000"/>
      <name val="&quot;Times New Roman&quot;"/>
    </font>
    <font>
      <b/>
      <sz val="12.0"/>
      <color rgb="FF000000"/>
      <name val="&quot;Times New Roman&quot;"/>
    </font>
    <font>
      <b/>
      <u/>
      <sz val="14.0"/>
      <color rgb="FF000000"/>
      <name val="&quot;Times New Roman&quot;"/>
    </font>
    <font>
      <b/>
      <u/>
      <sz val="12.0"/>
      <color rgb="FF000000"/>
      <name val="&quot;Times New Roman&quot;"/>
    </font>
    <font>
      <b/>
      <u/>
      <sz val="12.0"/>
      <color rgb="FF000000"/>
      <name val="&quot;Times New Roman&quot;"/>
    </font>
    <font>
      <b/>
      <u/>
      <sz val="14.0"/>
      <color rgb="FF000000"/>
      <name val="&quot;Times New Roman&quot;"/>
    </font>
    <font>
      <b/>
      <color rgb="FF000000"/>
      <name val="Arial"/>
    </font>
    <font>
      <sz val="11.0"/>
      <color rgb="FF000000"/>
      <name val="Calibri"/>
    </font>
    <font>
      <b/>
      <sz val="20.0"/>
      <color rgb="FF0070C0"/>
      <name val="Calibri"/>
    </font>
    <font>
      <b/>
      <sz val="12.0"/>
      <color rgb="FF000000"/>
      <name val="Arial"/>
    </font>
    <font>
      <b/>
      <sz val="20.0"/>
      <color rgb="FF000000"/>
      <name val="Arial"/>
    </font>
    <font>
      <color rgb="FF000000"/>
      <name val="Arial"/>
    </font>
    <font>
      <i/>
      <sz val="9.0"/>
      <color rgb="FFFF0000"/>
      <name val="Calibri"/>
    </font>
    <font>
      <b/>
      <sz val="11.0"/>
      <color rgb="FFFF0000"/>
      <name val="Calibri"/>
    </font>
    <font>
      <b/>
      <sz val="8.0"/>
      <color rgb="FF000000"/>
      <name val="Arial"/>
    </font>
    <font>
      <b/>
      <sz val="11.0"/>
      <color rgb="FF000000"/>
      <name val="Calibri"/>
    </font>
    <font>
      <sz val="8.0"/>
      <color rgb="FF000000"/>
      <name val="Calibri"/>
    </font>
    <font>
      <sz val="11.0"/>
      <color rgb="FFFF0000"/>
      <name val="Calibri"/>
    </font>
    <font>
      <b/>
      <sz val="9.0"/>
      <color rgb="FF0070C0"/>
      <name val="Arial"/>
    </font>
    <font>
      <b/>
      <color rgb="FF0070C0"/>
      <name val="Arial"/>
    </font>
    <font>
      <sz val="8.0"/>
      <color rgb="FF808080"/>
      <name val="Calibri"/>
    </font>
    <font>
      <b/>
      <sz val="12.0"/>
      <color rgb="FF0070C0"/>
      <name val="Arial"/>
    </font>
    <font>
      <b/>
      <sz val="9.0"/>
      <color rgb="FF002060"/>
      <name val="Arial"/>
    </font>
    <font>
      <b/>
      <sz val="16.0"/>
      <color rgb="FF002060"/>
      <name val="Arial"/>
    </font>
    <font>
      <b/>
      <sz val="15.0"/>
      <color rgb="FF002060"/>
      <name val="Calibri"/>
    </font>
    <font>
      <b/>
      <color rgb="FF000000"/>
      <name val="Calibri"/>
    </font>
    <font>
      <b/>
      <sz val="9.0"/>
      <color rgb="FF000000"/>
      <name val="Calibri"/>
    </font>
    <font>
      <b/>
      <sz val="9.0"/>
      <color rgb="FF0070C0"/>
      <name val="Calibri"/>
    </font>
    <font>
      <sz val="7.0"/>
      <color rgb="FF0070C0"/>
      <name val="Calibri"/>
    </font>
    <font>
      <sz val="9.0"/>
      <color rgb="FF0070C0"/>
      <name val="Calibri"/>
    </font>
    <font>
      <sz val="9.0"/>
      <color rgb="FF000000"/>
      <name val="Calibri"/>
    </font>
    <font>
      <sz val="7.0"/>
      <color rgb="FF000000"/>
      <name val="Calibri"/>
    </font>
    <font>
      <b/>
      <sz val="9.0"/>
      <color rgb="FF9C0006"/>
      <name val="Calibri"/>
    </font>
    <font>
      <b/>
      <sz val="9.0"/>
      <color rgb="FF002060"/>
      <name val="Calibri"/>
    </font>
    <font>
      <sz val="9.0"/>
      <color rgb="FF9C0006"/>
      <name val="Calibri"/>
    </font>
    <font>
      <sz val="9.0"/>
      <color rgb="FF002060"/>
      <name val="Calibri"/>
    </font>
    <font>
      <b/>
      <sz val="12.0"/>
      <color rgb="FF0070C0"/>
      <name val="Calibri"/>
    </font>
    <font>
      <b/>
      <color rgb="FF0070C0"/>
      <name val="Calibri"/>
    </font>
    <font>
      <b/>
      <color rgb="FF9C0006"/>
      <name val="Calibri"/>
    </font>
    <font>
      <b/>
      <color rgb="FF002060"/>
      <name val="Calibri"/>
    </font>
    <font>
      <b/>
      <color rgb="FFFF0000"/>
      <name val="Calibri"/>
    </font>
    <font>
      <sz val="8.0"/>
      <color rgb="FF00B050"/>
      <name val="Arial"/>
    </font>
    <font>
      <b/>
      <sz val="15.0"/>
      <color rgb="FF000000"/>
      <name val="Arial"/>
    </font>
    <font>
      <b/>
      <sz val="7.0"/>
      <color rgb="FF0070C0"/>
      <name val="Arial"/>
    </font>
    <font>
      <sz val="7.0"/>
      <color rgb="FF000000"/>
      <name val="Arial"/>
    </font>
    <font>
      <b/>
      <sz val="9.0"/>
      <color rgb="FFFFFFFF"/>
      <name val="Arial"/>
    </font>
    <font>
      <b/>
      <sz val="7.0"/>
      <color rgb="FFFFFFFF"/>
      <name val="Arial"/>
    </font>
    <font>
      <b/>
      <i/>
      <sz val="9.0"/>
      <color rgb="FF0070C0"/>
      <name val="Arial"/>
    </font>
    <font>
      <b/>
      <i/>
      <sz val="7.0"/>
      <color rgb="FF0070C0"/>
      <name val="Arial"/>
    </font>
    <font>
      <b/>
      <sz val="9.0"/>
      <color rgb="FFFF0000"/>
      <name val="Arial"/>
    </font>
    <font>
      <b/>
      <sz val="15.0"/>
      <color rgb="FF000000"/>
      <name val="Calibri"/>
    </font>
    <font>
      <b/>
      <sz val="8.0"/>
      <color rgb="FF000000"/>
      <name val="Calibri"/>
    </font>
    <font>
      <sz val="14.0"/>
      <color theme="1"/>
      <name val="Arial"/>
    </font>
    <font>
      <b/>
      <sz val="11.0"/>
      <color theme="1"/>
      <name val="Cambria"/>
    </font>
    <font>
      <color theme="1"/>
      <name val="Cambria"/>
    </font>
    <font>
      <b/>
      <sz val="16.0"/>
      <color theme="1"/>
      <name val="Cambria"/>
    </font>
    <font>
      <b/>
      <i/>
      <sz val="11.0"/>
      <color theme="1"/>
      <name val="&quot;Times New Roman&quot;"/>
    </font>
    <font>
      <sz val="11.0"/>
      <color theme="1"/>
      <name val="Cambria"/>
    </font>
    <font>
      <b/>
      <i/>
      <sz val="11.0"/>
      <color theme="1"/>
      <name val="Cambria"/>
    </font>
    <font>
      <i/>
      <sz val="11.0"/>
      <color theme="1"/>
      <name val="Cambria"/>
    </font>
    <font>
      <b/>
      <sz val="14.0"/>
      <color rgb="FF0070C0"/>
      <name val="&quot;Times New Roman&quot;"/>
    </font>
    <font>
      <b/>
      <sz val="12.0"/>
      <color rgb="FF0303CD"/>
      <name val="&quot;Times New Roman&quot;"/>
    </font>
    <font>
      <b/>
      <sz val="12.0"/>
      <color rgb="FFFFC000"/>
      <name val="&quot;Times New Roman&quot;"/>
    </font>
    <font>
      <b/>
      <sz val="12.0"/>
      <color rgb="FF0000FF"/>
      <name val="&quot;Times New Roman&quot;"/>
    </font>
    <font>
      <sz val="12.0"/>
      <color rgb="FF0000FF"/>
      <name val="&quot;Times New Roman&quot;"/>
    </font>
    <font>
      <b/>
      <sz val="12.0"/>
      <color rgb="FF0000FF"/>
      <name val="Times New Roman"/>
    </font>
    <font>
      <sz val="12.0"/>
      <color rgb="FF0000FF"/>
      <name val="Times New Roman"/>
    </font>
    <font>
      <sz val="12.0"/>
      <color rgb="FF0303CD"/>
      <name val="&quot;Times New Roman&quot;"/>
    </font>
    <font>
      <b/>
      <sz val="12.0"/>
      <color rgb="FFFF0000"/>
      <name val="&quot;Times New Roman&quot;"/>
    </font>
    <font>
      <b/>
      <sz val="12.0"/>
      <color rgb="FFFFFFFF"/>
      <name val="&quot;Times New Roman&quot;"/>
    </font>
    <font>
      <b/>
      <sz val="24.0"/>
      <color rgb="FF0070C0"/>
      <name val="&quot;Times New Roman&quot;"/>
    </font>
    <font>
      <b/>
      <sz val="14.0"/>
      <color rgb="FF0432FF"/>
      <name val="Times New Roman"/>
    </font>
    <font>
      <b/>
      <sz val="12.0"/>
      <color rgb="FFFF0000"/>
      <name val="Times New Roman"/>
    </font>
    <font>
      <b/>
      <sz val="12.0"/>
      <color rgb="FF0432FF"/>
      <name val="Times New Roman"/>
    </font>
    <font>
      <sz val="11.0"/>
      <color rgb="FF0432FF"/>
      <name val="Times New Roman"/>
    </font>
    <font>
      <b/>
      <sz val="11.0"/>
      <color rgb="FF0432FF"/>
      <name val="Times New Roman"/>
    </font>
    <font>
      <u/>
      <sz val="9.0"/>
      <color rgb="FF1155CC"/>
      <name val="Times New Roman"/>
    </font>
    <font>
      <b/>
      <sz val="12.0"/>
      <color rgb="FF0000CC"/>
      <name val="Times New Roman"/>
    </font>
    <font>
      <sz val="11.0"/>
      <color rgb="FFFFFFFF"/>
      <name val="Times New Roman"/>
    </font>
    <font>
      <b/>
      <sz val="12.0"/>
      <color rgb="FFFFFFFF"/>
      <name val="Times New Roman"/>
    </font>
    <font>
      <b/>
      <sz val="14.0"/>
      <color rgb="FFFFFFFF"/>
      <name val="Times New Roman"/>
    </font>
    <font>
      <sz val="10.0"/>
      <color theme="1"/>
      <name val="Times New Roman"/>
    </font>
    <font>
      <b/>
      <sz val="9.0"/>
      <color rgb="FFFFFFFF"/>
      <name val="Times New Roman"/>
    </font>
    <font>
      <b/>
      <sz val="10.0"/>
      <color rgb="FF0070C0"/>
      <name val="Times New Roman"/>
    </font>
    <font>
      <b/>
      <sz val="10.0"/>
      <color rgb="FF0432FF"/>
      <name val="Times New Roman"/>
    </font>
    <font>
      <b/>
      <sz val="10.0"/>
      <color rgb="FFF2F2F2"/>
      <name val="Times New Roman"/>
    </font>
    <font>
      <b/>
      <sz val="10.0"/>
      <color theme="1"/>
      <name val="Times New Roman"/>
    </font>
    <font>
      <b/>
      <sz val="18.0"/>
      <color theme="1"/>
      <name val="&quot;Times New Roman&quot;"/>
    </font>
    <font>
      <i/>
      <sz val="12.0"/>
      <color theme="1"/>
      <name val="&quot;Times New Roman&quot;"/>
    </font>
    <font>
      <b/>
      <sz val="11.0"/>
      <color theme="1"/>
      <name val="&quot;Times New Roman&quot;"/>
    </font>
    <font>
      <b/>
      <i/>
      <sz val="11.0"/>
      <color rgb="FF0070C0"/>
      <name val="Arial"/>
    </font>
    <font>
      <b/>
      <sz val="11.0"/>
      <color rgb="FFFF0000"/>
      <name val="&quot;Times New Roman&quot;"/>
    </font>
    <font>
      <b/>
      <sz val="8.0"/>
      <color theme="1"/>
      <name val="Arial"/>
    </font>
    <font>
      <sz val="11.0"/>
      <color rgb="FFFF0000"/>
      <name val="&quot;Times New Roman&quot;"/>
    </font>
    <font>
      <sz val="8.0"/>
      <color theme="1"/>
      <name val="Arial"/>
    </font>
    <font>
      <b/>
      <i/>
      <sz val="8.0"/>
      <color theme="1"/>
      <name val="Arial"/>
    </font>
    <font>
      <b/>
      <sz val="11.0"/>
      <color rgb="FF0066CC"/>
      <name val="&quot;Times New Roman&quot;"/>
    </font>
    <font>
      <sz val="11.0"/>
      <color rgb="FF0066CC"/>
      <name val="Calibri"/>
    </font>
    <font>
      <sz val="8.0"/>
      <color rgb="FF0066CC"/>
      <name val="Arial"/>
    </font>
    <font>
      <b/>
      <i/>
      <sz val="8.0"/>
      <color rgb="FF0066CC"/>
      <name val="Arial"/>
    </font>
    <font>
      <b/>
      <sz val="8.0"/>
      <color rgb="FF0066CC"/>
      <name val="Arial"/>
    </font>
    <font>
      <i/>
      <sz val="11.0"/>
      <color theme="1"/>
      <name val="&quot;Times New Roman&quot;"/>
    </font>
    <font>
      <sz val="8.0"/>
      <color theme="0"/>
      <name val="Times New Roman"/>
    </font>
    <font>
      <sz val="12.0"/>
      <color rgb="FFFF0000"/>
      <name val="Times New Roman"/>
    </font>
    <font>
      <b/>
      <sz val="18.0"/>
      <color rgb="FF0070C0"/>
      <name val="Times New Roman"/>
    </font>
    <font>
      <sz val="11.0"/>
      <color rgb="FF0000FF"/>
      <name val="Times New Roman"/>
    </font>
    <font>
      <b/>
      <color rgb="FF2E75B5"/>
      <name val="Times New Roman"/>
    </font>
    <font>
      <i/>
      <sz val="11.0"/>
      <color theme="1"/>
      <name val="Times New Roman"/>
    </font>
    <font>
      <b/>
      <color rgb="FF002060"/>
      <name val="Times New Roman"/>
    </font>
    <font>
      <b/>
      <sz val="8.0"/>
      <color rgb="FF9C0006"/>
      <name val="Calibri"/>
    </font>
    <font>
      <sz val="12.0"/>
      <color theme="1"/>
      <name val="Calibri"/>
    </font>
    <font>
      <b/>
      <sz val="18.0"/>
      <color rgb="FF0066CC"/>
      <name val="Times New Roman"/>
    </font>
    <font>
      <b/>
      <sz val="12.0"/>
      <color rgb="FF0066CC"/>
      <name val="Calibri"/>
    </font>
    <font>
      <b/>
      <sz val="9.0"/>
      <color theme="1"/>
      <name val="Calibri"/>
    </font>
    <font>
      <b/>
      <sz val="15.0"/>
      <color theme="1"/>
      <name val="Calibri"/>
    </font>
    <font>
      <b/>
      <sz val="11.0"/>
      <color rgb="FF0070C0"/>
      <name val="Calibri"/>
    </font>
    <font>
      <b/>
      <i/>
      <sz val="11.0"/>
      <color theme="1"/>
      <name val="Calibri"/>
    </font>
    <font>
      <b/>
      <i/>
      <sz val="9.0"/>
      <color theme="1"/>
      <name val="Calibri"/>
    </font>
    <font>
      <b/>
      <i/>
      <sz val="11.0"/>
      <color rgb="FF0070C0"/>
      <name val="Calibri"/>
    </font>
    <font>
      <sz val="9.0"/>
      <color theme="1"/>
      <name val="Calibri"/>
    </font>
    <font>
      <i/>
      <sz val="11.0"/>
      <color theme="1"/>
      <name val="Calibri"/>
    </font>
    <font>
      <sz val="8.0"/>
      <color theme="1"/>
      <name val="Calibri"/>
    </font>
    <font>
      <b/>
      <u/>
      <sz val="18.0"/>
      <color theme="1"/>
      <name val="Times New Roman"/>
    </font>
    <font>
      <b/>
      <i/>
      <sz val="8.0"/>
      <color theme="1"/>
      <name val="Calibri"/>
    </font>
    <font>
      <b/>
      <sz val="11.0"/>
      <color rgb="FFFFFFFF"/>
      <name val="Calibri"/>
    </font>
    <font>
      <b/>
      <sz val="14.0"/>
      <color rgb="FF000000"/>
      <name val="Times New Roman"/>
    </font>
    <font>
      <b/>
      <sz val="13.0"/>
      <color rgb="FF000000"/>
      <name val="Times New Roman"/>
    </font>
    <font>
      <sz val="12.0"/>
      <color rgb="FF000000"/>
      <name val="Times New Roman"/>
    </font>
    <font>
      <u/>
      <sz val="11.0"/>
      <color rgb="FF000000"/>
      <name val="Times New Roman"/>
    </font>
    <font>
      <b/>
      <sz val="12.0"/>
      <color rgb="FF006100"/>
      <name val="Times New Roman"/>
    </font>
    <font>
      <sz val="12.0"/>
      <color rgb="FF006100"/>
      <name val="Times New Roman"/>
    </font>
    <font>
      <u/>
      <sz val="12.0"/>
      <color rgb="FF000000"/>
      <name val="Times New Roman"/>
    </font>
    <font>
      <color rgb="FF0000FF"/>
      <name val="Times New Roman"/>
    </font>
    <font>
      <i/>
      <color theme="1"/>
      <name val="Times New Roman"/>
    </font>
    <font>
      <b/>
      <sz val="18.0"/>
      <color rgb="FF0432FF"/>
      <name val="Times New Roman"/>
    </font>
    <font>
      <b/>
      <sz val="12.0"/>
      <color rgb="FFFFFF00"/>
      <name val="&quot;Times New Roman&quot;"/>
    </font>
    <font>
      <sz val="12.0"/>
      <color rgb="FFFFFF00"/>
      <name val="&quot;Times New Roman&quot;"/>
    </font>
    <font>
      <b/>
      <sz val="12.0"/>
      <color rgb="FF0000CC"/>
      <name val="&quot;Times New Roman&quot;"/>
    </font>
    <font>
      <sz val="12.0"/>
      <color rgb="FF0000CC"/>
      <name val="&quot;Times New Roman&quot;"/>
    </font>
    <font>
      <b/>
      <sz val="12.0"/>
      <color rgb="FF0432FF"/>
      <name val="&quot;Times New Roman&quot;"/>
    </font>
    <font>
      <sz val="12.0"/>
      <color rgb="FF0432FF"/>
      <name val="&quot;Times New Roman&quot;"/>
    </font>
    <font>
      <b/>
      <sz val="8.0"/>
      <color rgb="FF0303CD"/>
      <name val="&quot;Times New Roman&quot;"/>
    </font>
    <font>
      <b/>
      <sz val="12.0"/>
      <color theme="0"/>
      <name val="&quot;Times New Roman&quot;"/>
    </font>
    <font>
      <b/>
      <sz val="12.0"/>
      <color theme="0"/>
      <name val="Calibri"/>
      <scheme val="minor"/>
    </font>
    <font>
      <b/>
      <sz val="12.0"/>
      <color rgb="FFFFFFFF"/>
      <name val="Calibri"/>
      <scheme val="minor"/>
    </font>
    <font>
      <sz val="12.0"/>
      <color theme="1"/>
      <name val="Calibri"/>
      <scheme val="minor"/>
    </font>
    <font>
      <b/>
      <sz val="14.0"/>
      <color theme="1"/>
      <name val="Calibri"/>
    </font>
    <font>
      <b/>
      <sz val="12.0"/>
      <color theme="1"/>
      <name val="Calibri"/>
    </font>
    <font>
      <sz val="11.0"/>
      <color rgb="FF0070C0"/>
      <name val="Calibri"/>
    </font>
    <font>
      <b/>
      <sz val="11.0"/>
      <color rgb="FF0000FF"/>
      <name val="Calibri"/>
    </font>
    <font>
      <sz val="11.0"/>
      <color rgb="FF0000FF"/>
      <name val="Calibri"/>
    </font>
    <font>
      <b/>
      <sz val="20.0"/>
      <color rgb="FF0066CC"/>
      <name val="Calibri"/>
    </font>
    <font>
      <i/>
      <sz val="11.0"/>
      <color rgb="FF0070C0"/>
      <name val="Calibri"/>
    </font>
    <font>
      <i/>
      <sz val="8.0"/>
      <color rgb="FF0070C0"/>
      <name val="Arial"/>
    </font>
    <font>
      <b/>
      <sz val="8.0"/>
      <color rgb="FFFFFFFF"/>
      <name val="Arial"/>
    </font>
    <font>
      <b/>
      <sz val="8.0"/>
      <color rgb="FF0070C0"/>
      <name val="Arial"/>
    </font>
    <font>
      <b/>
      <i/>
      <sz val="11.0"/>
      <color rgb="FFFFFFFF"/>
      <name val="Calibri"/>
    </font>
    <font>
      <b/>
      <i/>
      <sz val="9.0"/>
      <color rgb="FFFFFFFF"/>
      <name val="Calibri"/>
    </font>
    <font>
      <i/>
      <sz val="11.0"/>
      <color rgb="FFFFFFFF"/>
      <name val="Calibri"/>
    </font>
    <font>
      <i/>
      <sz val="8.0"/>
      <color rgb="FF9C0006"/>
      <name val="Arial"/>
    </font>
    <font>
      <i/>
      <sz val="8.0"/>
      <color rgb="FFFFFFFF"/>
      <name val="Arial"/>
    </font>
  </fonts>
  <fills count="81">
    <fill>
      <patternFill patternType="none"/>
    </fill>
    <fill>
      <patternFill patternType="lightGray"/>
    </fill>
    <fill>
      <patternFill patternType="solid">
        <fgColor rgb="FFFFC000"/>
        <bgColor rgb="FFFFC000"/>
      </patternFill>
    </fill>
    <fill>
      <patternFill patternType="solid">
        <fgColor rgb="FFDAEEF3"/>
        <bgColor rgb="FFDAEEF3"/>
      </patternFill>
    </fill>
    <fill>
      <patternFill patternType="solid">
        <fgColor rgb="FFC9DAF8"/>
        <bgColor rgb="FFC9DAF8"/>
      </patternFill>
    </fill>
    <fill>
      <patternFill patternType="solid">
        <fgColor rgb="FFF9CB9C"/>
        <bgColor rgb="FFF9CB9C"/>
      </patternFill>
    </fill>
    <fill>
      <patternFill patternType="solid">
        <fgColor rgb="FFF4B084"/>
        <bgColor rgb="FFF4B084"/>
      </patternFill>
    </fill>
    <fill>
      <patternFill patternType="solid">
        <fgColor rgb="FFBDD7EE"/>
        <bgColor rgb="FFBDD7EE"/>
      </patternFill>
    </fill>
    <fill>
      <patternFill patternType="solid">
        <fgColor rgb="FF63D297"/>
        <bgColor rgb="FF63D297"/>
      </patternFill>
    </fill>
    <fill>
      <patternFill patternType="solid">
        <fgColor rgb="FFF4B083"/>
        <bgColor rgb="FFF4B083"/>
      </patternFill>
    </fill>
    <fill>
      <patternFill patternType="solid">
        <fgColor rgb="FFC6D9F0"/>
        <bgColor rgb="FFC6D9F0"/>
      </patternFill>
    </fill>
    <fill>
      <patternFill patternType="solid">
        <fgColor rgb="FFFABF8F"/>
        <bgColor rgb="FFFABF8F"/>
      </patternFill>
    </fill>
    <fill>
      <patternFill patternType="solid">
        <fgColor rgb="FFCFE2F3"/>
        <bgColor rgb="FFCFE2F3"/>
      </patternFill>
    </fill>
    <fill>
      <patternFill patternType="solid">
        <fgColor rgb="FFFFFFFF"/>
        <bgColor rgb="FFFFFFFF"/>
      </patternFill>
    </fill>
    <fill>
      <patternFill patternType="solid">
        <fgColor rgb="FF00FFFF"/>
        <bgColor rgb="FF00FFFF"/>
      </patternFill>
    </fill>
    <fill>
      <patternFill patternType="solid">
        <fgColor rgb="FFE0F7FA"/>
        <bgColor rgb="FFE0F7FA"/>
      </patternFill>
    </fill>
    <fill>
      <patternFill patternType="solid">
        <fgColor rgb="FFFFFF00"/>
        <bgColor rgb="FFFFFF00"/>
      </patternFill>
    </fill>
    <fill>
      <patternFill patternType="solid">
        <fgColor rgb="FFE7F9EF"/>
        <bgColor rgb="FFE7F9EF"/>
      </patternFill>
    </fill>
    <fill>
      <patternFill patternType="solid">
        <fgColor rgb="FFF7CB4D"/>
        <bgColor rgb="FFF7CB4D"/>
      </patternFill>
    </fill>
    <fill>
      <patternFill patternType="solid">
        <fgColor rgb="FFFFF2CC"/>
        <bgColor rgb="FFFFF2CC"/>
      </patternFill>
    </fill>
    <fill>
      <patternFill patternType="solid">
        <fgColor rgb="FFFFFFCC"/>
        <bgColor rgb="FFFFFFCC"/>
      </patternFill>
    </fill>
    <fill>
      <patternFill patternType="solid">
        <fgColor rgb="FFD8D8D8"/>
        <bgColor rgb="FFD8D8D8"/>
      </patternFill>
    </fill>
    <fill>
      <patternFill patternType="solid">
        <fgColor rgb="FFF2F2F2"/>
        <bgColor rgb="FFF2F2F2"/>
      </patternFill>
    </fill>
    <fill>
      <patternFill patternType="solid">
        <fgColor theme="8"/>
        <bgColor theme="8"/>
      </patternFill>
    </fill>
    <fill>
      <patternFill patternType="solid">
        <fgColor rgb="FFF6B26B"/>
        <bgColor rgb="FFF6B26B"/>
      </patternFill>
    </fill>
    <fill>
      <patternFill patternType="solid">
        <fgColor rgb="FFFF9900"/>
        <bgColor rgb="FFFF9900"/>
      </patternFill>
    </fill>
    <fill>
      <patternFill patternType="solid">
        <fgColor rgb="FF93C47D"/>
        <bgColor rgb="FF93C47D"/>
      </patternFill>
    </fill>
    <fill>
      <patternFill patternType="solid">
        <fgColor rgb="FFEA9999"/>
        <bgColor rgb="FFEA9999"/>
      </patternFill>
    </fill>
    <fill>
      <patternFill patternType="solid">
        <fgColor theme="9"/>
        <bgColor theme="9"/>
      </patternFill>
    </fill>
    <fill>
      <patternFill patternType="solid">
        <fgColor rgb="FF9900FF"/>
        <bgColor rgb="FF9900FF"/>
      </patternFill>
    </fill>
    <fill>
      <patternFill patternType="solid">
        <fgColor rgb="FFFF0000"/>
        <bgColor rgb="FFFF0000"/>
      </patternFill>
    </fill>
    <fill>
      <patternFill patternType="solid">
        <fgColor rgb="FFB6D7A8"/>
        <bgColor rgb="FFB6D7A8"/>
      </patternFill>
    </fill>
    <fill>
      <patternFill patternType="solid">
        <fgColor rgb="FF00FF00"/>
        <bgColor rgb="FF00FF00"/>
      </patternFill>
    </fill>
    <fill>
      <patternFill patternType="solid">
        <fgColor rgb="FF00B0F0"/>
        <bgColor rgb="FF00B0F0"/>
      </patternFill>
    </fill>
    <fill>
      <patternFill patternType="solid">
        <fgColor rgb="FFE7E6E6"/>
        <bgColor rgb="FFE7E6E6"/>
      </patternFill>
    </fill>
    <fill>
      <patternFill patternType="solid">
        <fgColor rgb="FFDEEAF6"/>
        <bgColor rgb="FFDEEAF6"/>
      </patternFill>
    </fill>
    <fill>
      <patternFill patternType="solid">
        <fgColor rgb="FF00B050"/>
        <bgColor rgb="FF00B050"/>
      </patternFill>
    </fill>
    <fill>
      <patternFill patternType="solid">
        <fgColor rgb="FFE69138"/>
        <bgColor rgb="FFE69138"/>
      </patternFill>
    </fill>
    <fill>
      <patternFill patternType="solid">
        <fgColor rgb="FF5B95F9"/>
        <bgColor rgb="FF5B95F9"/>
      </patternFill>
    </fill>
    <fill>
      <patternFill patternType="solid">
        <fgColor rgb="FF0000CC"/>
        <bgColor rgb="FF0000CC"/>
      </patternFill>
    </fill>
    <fill>
      <patternFill patternType="solid">
        <fgColor rgb="FF0066CC"/>
        <bgColor rgb="FF0066CC"/>
      </patternFill>
    </fill>
    <fill>
      <patternFill patternType="solid">
        <fgColor rgb="FFFFCC00"/>
        <bgColor rgb="FFFFCC00"/>
      </patternFill>
    </fill>
    <fill>
      <patternFill patternType="solid">
        <fgColor rgb="FFC5E0B3"/>
        <bgColor rgb="FFC5E0B3"/>
      </patternFill>
    </fill>
    <fill>
      <patternFill patternType="solid">
        <fgColor rgb="FFF8CBAD"/>
        <bgColor rgb="FFF8CBAD"/>
      </patternFill>
    </fill>
    <fill>
      <patternFill patternType="solid">
        <fgColor rgb="FFFFC7CE"/>
        <bgColor rgb="FFFFC7CE"/>
      </patternFill>
    </fill>
    <fill>
      <patternFill patternType="solid">
        <fgColor rgb="FFCCFF99"/>
        <bgColor rgb="FFCCFF99"/>
      </patternFill>
    </fill>
    <fill>
      <patternFill patternType="solid">
        <fgColor rgb="FFCCFFFF"/>
        <bgColor rgb="FFCCFFFF"/>
      </patternFill>
    </fill>
    <fill>
      <patternFill patternType="solid">
        <fgColor rgb="FF0070C0"/>
        <bgColor rgb="FF0070C0"/>
      </patternFill>
    </fill>
    <fill>
      <patternFill patternType="solid">
        <fgColor rgb="FFE26B0A"/>
        <bgColor rgb="FFE26B0A"/>
      </patternFill>
    </fill>
    <fill>
      <patternFill patternType="solid">
        <fgColor rgb="FFFDE9D9"/>
        <bgColor rgb="FFFDE9D9"/>
      </patternFill>
    </fill>
    <fill>
      <patternFill patternType="solid">
        <fgColor rgb="FF92D050"/>
        <bgColor rgb="FF92D050"/>
      </patternFill>
    </fill>
    <fill>
      <patternFill patternType="solid">
        <fgColor rgb="FFD9D9D9"/>
        <bgColor rgb="FFD9D9D9"/>
      </patternFill>
    </fill>
    <fill>
      <patternFill patternType="solid">
        <fgColor rgb="FFF6C0C0"/>
        <bgColor rgb="FFF6C0C0"/>
      </patternFill>
    </fill>
    <fill>
      <patternFill patternType="solid">
        <fgColor rgb="FFA4C2F4"/>
        <bgColor rgb="FFA4C2F4"/>
      </patternFill>
    </fill>
    <fill>
      <patternFill patternType="solid">
        <fgColor rgb="FF0303CD"/>
        <bgColor rgb="FF0303CD"/>
      </patternFill>
    </fill>
    <fill>
      <patternFill patternType="solid">
        <fgColor rgb="FFFFCCFF"/>
        <bgColor rgb="FFFFCCFF"/>
      </patternFill>
    </fill>
    <fill>
      <patternFill patternType="solid">
        <fgColor rgb="FFF4CCCC"/>
        <bgColor rgb="FFF4CCCC"/>
      </patternFill>
    </fill>
    <fill>
      <patternFill patternType="solid">
        <fgColor rgb="FFFBE4D5"/>
        <bgColor rgb="FFFBE4D5"/>
      </patternFill>
    </fill>
    <fill>
      <patternFill patternType="solid">
        <fgColor rgb="FF38761D"/>
        <bgColor rgb="FF38761D"/>
      </patternFill>
    </fill>
    <fill>
      <patternFill patternType="solid">
        <fgColor rgb="FFE2EFD9"/>
        <bgColor rgb="FFE2EFD9"/>
      </patternFill>
    </fill>
    <fill>
      <patternFill patternType="solid">
        <fgColor rgb="FFF7CAAC"/>
        <bgColor rgb="FFF7CAAC"/>
      </patternFill>
    </fill>
    <fill>
      <patternFill patternType="solid">
        <fgColor rgb="FFFEF2CB"/>
        <bgColor rgb="FFFEF2CB"/>
      </patternFill>
    </fill>
    <fill>
      <patternFill patternType="solid">
        <fgColor theme="0"/>
        <bgColor theme="0"/>
      </patternFill>
    </fill>
    <fill>
      <patternFill patternType="solid">
        <fgColor rgb="FFEAF1DD"/>
        <bgColor rgb="FFEAF1DD"/>
      </patternFill>
    </fill>
    <fill>
      <patternFill patternType="solid">
        <fgColor rgb="FFFFD966"/>
        <bgColor rgb="FFFFD966"/>
      </patternFill>
    </fill>
    <fill>
      <patternFill patternType="solid">
        <fgColor rgb="FFA2C4C9"/>
        <bgColor rgb="FFA2C4C9"/>
      </patternFill>
    </fill>
    <fill>
      <patternFill patternType="solid">
        <fgColor rgb="FFCCECFF"/>
        <bgColor rgb="FFCCECFF"/>
      </patternFill>
    </fill>
    <fill>
      <patternFill patternType="solid">
        <fgColor rgb="FF9FC5E8"/>
        <bgColor rgb="FF9FC5E8"/>
      </patternFill>
    </fill>
    <fill>
      <patternFill patternType="solid">
        <fgColor rgb="FFD9EAD3"/>
        <bgColor rgb="FFD9EAD3"/>
      </patternFill>
    </fill>
    <fill>
      <patternFill patternType="solid">
        <fgColor rgb="FFD9E2F3"/>
        <bgColor rgb="FFD9E2F3"/>
      </patternFill>
    </fill>
    <fill>
      <patternFill patternType="solid">
        <fgColor rgb="FFC6E0B4"/>
        <bgColor rgb="FFC6E0B4"/>
      </patternFill>
    </fill>
    <fill>
      <patternFill patternType="solid">
        <fgColor rgb="FFFFE699"/>
        <bgColor rgb="FFFFE699"/>
      </patternFill>
    </fill>
    <fill>
      <patternFill patternType="solid">
        <fgColor rgb="FF9BC2E6"/>
        <bgColor rgb="FF9BC2E6"/>
      </patternFill>
    </fill>
    <fill>
      <patternFill patternType="solid">
        <fgColor rgb="FFB4A7D6"/>
        <bgColor rgb="FFB4A7D6"/>
      </patternFill>
    </fill>
    <fill>
      <patternFill patternType="solid">
        <fgColor rgb="FFFFD965"/>
        <bgColor rgb="FFFFD965"/>
      </patternFill>
    </fill>
    <fill>
      <patternFill patternType="solid">
        <fgColor rgb="FFE2EFDA"/>
        <bgColor rgb="FFE2EFDA"/>
      </patternFill>
    </fill>
    <fill>
      <patternFill patternType="solid">
        <fgColor rgb="FFE6533A"/>
        <bgColor rgb="FFE6533A"/>
      </patternFill>
    </fill>
    <fill>
      <patternFill patternType="solid">
        <fgColor rgb="FFFCE5CD"/>
        <bgColor rgb="FFFCE5CD"/>
      </patternFill>
    </fill>
    <fill>
      <patternFill patternType="solid">
        <fgColor rgb="FF134F5C"/>
        <bgColor rgb="FF134F5C"/>
      </patternFill>
    </fill>
    <fill>
      <patternFill patternType="solid">
        <fgColor rgb="FFFFE598"/>
        <bgColor rgb="FFFFE598"/>
      </patternFill>
    </fill>
    <fill>
      <patternFill patternType="solid">
        <fgColor rgb="FF9CC2E5"/>
        <bgColor rgb="FF9CC2E5"/>
      </patternFill>
    </fill>
  </fills>
  <borders count="75">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bottom style="thin">
        <color rgb="FF000000"/>
      </bottom>
    </border>
    <border>
      <right style="thin">
        <color rgb="FF000000"/>
      </right>
      <top style="thin">
        <color rgb="FF000000"/>
      </top>
    </border>
    <border>
      <top style="thin">
        <color rgb="FF000000"/>
      </top>
    </border>
    <border>
      <left style="thin">
        <color rgb="FF000000"/>
      </left>
    </border>
    <border>
      <left style="thin">
        <color rgb="FF000000"/>
      </left>
      <right style="thin">
        <color rgb="FF000000"/>
      </right>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right style="thin">
        <color rgb="FFFFFFFF"/>
      </right>
      <top style="thin">
        <color rgb="FFFFFFFF"/>
      </top>
      <bottom style="thin">
        <color rgb="FF000000"/>
      </bottom>
    </border>
    <border>
      <left style="thin">
        <color rgb="FFFFFFFF"/>
      </left>
      <top style="thin">
        <color rgb="FFFFFFFF"/>
      </top>
      <bottom style="thin">
        <color rgb="FF000000"/>
      </bottom>
    </border>
    <border>
      <right style="thin">
        <color rgb="FFFFFFFF"/>
      </right>
      <top style="thin">
        <color rgb="FFFFFFFF"/>
      </top>
      <bottom style="thin">
        <color rgb="FF000000"/>
      </bottom>
    </border>
    <border>
      <left style="thin">
        <color rgb="FFFFFFFF"/>
      </left>
      <right style="thin">
        <color rgb="FFFFFFFF"/>
      </right>
      <bottom style="thin">
        <color rgb="FFFFFFFF"/>
      </bottom>
    </border>
    <border>
      <top style="thin">
        <color rgb="FF000000"/>
      </top>
      <bottom style="thin">
        <color rgb="FF000000"/>
      </bottom>
    </border>
    <border>
      <right style="thin">
        <color rgb="FF000000"/>
      </right>
    </border>
    <border>
      <bottom style="thin">
        <color rgb="FF000000"/>
      </bottom>
    </border>
    <border>
      <left style="medium">
        <color rgb="FF000000"/>
      </left>
      <right style="thin">
        <color rgb="FF000000"/>
      </right>
    </border>
    <border>
      <left style="medium">
        <color rgb="FF000000"/>
      </left>
      <right style="thin">
        <color rgb="FF000000"/>
      </right>
      <bottom style="thin">
        <color rgb="FF000000"/>
      </bottom>
    </border>
    <border>
      <left style="medium">
        <color rgb="FF000000"/>
      </left>
      <bottom style="thin">
        <color rgb="FF000000"/>
      </bottom>
    </border>
    <border>
      <right style="medium">
        <color rgb="FF000000"/>
      </right>
      <bottom style="thin">
        <color rgb="FF000000"/>
      </bottom>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ck">
        <color rgb="FF0000CC"/>
      </left>
      <top style="thick">
        <color rgb="FF0000CC"/>
      </top>
    </border>
    <border>
      <top style="thick">
        <color rgb="FF0000CC"/>
      </top>
    </border>
    <border>
      <right style="thick">
        <color rgb="FF0000CC"/>
      </right>
      <top style="thick">
        <color rgb="FF0000CC"/>
      </top>
    </border>
    <border>
      <left style="thick">
        <color rgb="FF0000CC"/>
      </left>
    </border>
    <border>
      <bottom/>
    </border>
    <border>
      <right style="thick">
        <color rgb="FF0000CC"/>
      </right>
    </border>
    <border>
      <right style="thin">
        <color rgb="FFFFFFFF"/>
      </right>
    </border>
    <border>
      <left style="thin">
        <color rgb="FFFFFFFF"/>
      </left>
    </border>
    <border>
      <left style="thick">
        <color rgb="FF0000CC"/>
      </left>
      <bottom style="thick">
        <color rgb="FF0000CC"/>
      </bottom>
    </border>
    <border>
      <bottom style="thick">
        <color rgb="FF0000CC"/>
      </bottom>
    </border>
    <border>
      <right style="thick">
        <color rgb="FF0000CC"/>
      </right>
      <bottom style="thick">
        <color rgb="FF0000CC"/>
      </bottom>
    </border>
    <border>
      <left style="thick">
        <color rgb="FFFFFFFF"/>
      </left>
      <right style="thick">
        <color rgb="FFFFFFFF"/>
      </right>
      <top style="thick">
        <color rgb="FFFFFFFF"/>
      </top>
      <bottom style="thick">
        <color rgb="FFFFFFFF"/>
      </bottom>
    </border>
    <border>
      <left style="thick">
        <color rgb="FFFFFFFF"/>
      </left>
      <right style="thick">
        <color rgb="FFFFFFFF"/>
      </right>
      <top style="thick">
        <color rgb="FFFFFFFF"/>
      </top>
    </border>
    <border>
      <left style="thick">
        <color rgb="FFFFFFFF"/>
      </left>
      <right style="thick">
        <color rgb="FFFFFFFF"/>
      </right>
      <bottom style="thick">
        <color rgb="FFFFFFFF"/>
      </bottom>
    </border>
    <border>
      <right/>
    </border>
    <border>
      <left style="thin">
        <color rgb="FF000000"/>
      </left>
      <right style="thin">
        <color rgb="FF000000"/>
      </right>
      <bottom style="hair">
        <color rgb="FF000000"/>
      </bottom>
    </border>
    <border>
      <right style="thin">
        <color rgb="FF000000"/>
      </right>
      <bottom style="hair">
        <color rgb="FF000000"/>
      </bottom>
    </border>
    <border>
      <left style="thin">
        <color rgb="FF000000"/>
      </left>
      <bottom style="hair">
        <color rgb="FF000000"/>
      </bottom>
    </border>
    <border>
      <bottom style="hair">
        <color rgb="FF000000"/>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right/>
      <bottom/>
    </border>
    <border>
      <left style="thin">
        <color rgb="FFFFFFFF"/>
      </left>
      <top style="thin">
        <color rgb="FFFFFFFF"/>
      </top>
    </border>
    <border>
      <top style="thin">
        <color rgb="FFFFFFFF"/>
      </top>
    </border>
    <border>
      <right style="thin">
        <color rgb="FFFFFFFF"/>
      </right>
      <top style="thin">
        <color rgb="FFFFFFFF"/>
      </top>
    </border>
    <border>
      <right/>
      <top/>
    </border>
    <border>
      <right/>
      <top/>
      <bottom/>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FFFFFF"/>
      </bottom>
    </border>
    <border>
      <top style="thin">
        <color rgb="FF999999"/>
      </top>
      <bottom style="thin">
        <color rgb="FFFFFFFF"/>
      </bottom>
    </border>
    <border>
      <right style="thin">
        <color rgb="FFFFFFFF"/>
      </right>
      <top style="thin">
        <color rgb="FF999999"/>
      </top>
      <bottom style="thin">
        <color rgb="FFFFFFFF"/>
      </bottom>
    </border>
    <border>
      <left style="thin">
        <color rgb="FFB6D7A8"/>
      </left>
      <right style="thin">
        <color rgb="FFB6D7A8"/>
      </right>
      <top style="thin">
        <color rgb="FFFFFFFF"/>
      </top>
      <bottom style="thin">
        <color rgb="FFFFFFFF"/>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bottom style="thin">
        <color rgb="FFFFFFFF"/>
      </bottom>
    </border>
    <border>
      <right style="thin">
        <color rgb="FFFFFFFF"/>
      </right>
      <bottom style="thin">
        <color rgb="FFFFFFFF"/>
      </bottom>
    </border>
    <border>
      <left style="thin">
        <color rgb="FFFF0000"/>
      </left>
      <right style="thin">
        <color rgb="FFFF0000"/>
      </right>
      <top style="thin">
        <color rgb="FFFF0000"/>
      </top>
      <bottom style="thin">
        <color rgb="FFFF0000"/>
      </bottom>
    </border>
    <border>
      <left style="thick">
        <color rgb="FFFF0000"/>
      </left>
      <right style="thick">
        <color rgb="FFFF0000"/>
      </right>
      <top style="thick">
        <color rgb="FFFF0000"/>
      </top>
      <bottom style="thick">
        <color rgb="FFFF0000"/>
      </bottom>
    </border>
    <border>
      <left style="thin">
        <color rgb="FFFFFFFF"/>
      </left>
      <right style="thin">
        <color rgb="FFFFFFFF"/>
      </right>
    </border>
  </borders>
  <cellStyleXfs count="1">
    <xf borderId="0" fillId="0" fontId="0" numFmtId="0" applyAlignment="1" applyFont="1"/>
  </cellStyleXfs>
  <cellXfs count="2076">
    <xf borderId="0" fillId="0" fontId="0" numFmtId="0" xfId="0" applyAlignment="1" applyFont="1">
      <alignment readingOrder="0" shrinkToFit="0" vertical="bottom" wrapText="0"/>
    </xf>
    <xf borderId="0" fillId="2" fontId="1" numFmtId="0" xfId="0" applyAlignment="1" applyFill="1" applyFont="1">
      <alignment horizontal="center"/>
    </xf>
    <xf borderId="1" fillId="2" fontId="1" numFmtId="0" xfId="0" applyAlignment="1" applyBorder="1" applyFont="1">
      <alignment horizontal="center"/>
    </xf>
    <xf borderId="2" fillId="0" fontId="2" numFmtId="0" xfId="0" applyBorder="1" applyFont="1"/>
    <xf borderId="3" fillId="2" fontId="3" numFmtId="0" xfId="0" applyBorder="1" applyFont="1"/>
    <xf borderId="3" fillId="2" fontId="3" numFmtId="0" xfId="0" applyAlignment="1" applyBorder="1" applyFont="1">
      <alignment horizontal="center"/>
    </xf>
    <xf borderId="3" fillId="2" fontId="4" numFmtId="0" xfId="0" applyAlignment="1" applyBorder="1" applyFont="1">
      <alignment horizontal="center"/>
    </xf>
    <xf borderId="3" fillId="3" fontId="5" numFmtId="0" xfId="0" applyAlignment="1" applyBorder="1" applyFill="1" applyFont="1">
      <alignment horizontal="right" vertical="bottom"/>
    </xf>
    <xf borderId="3" fillId="3" fontId="6" numFmtId="0" xfId="0" applyAlignment="1" applyBorder="1" applyFont="1">
      <alignment readingOrder="0" shrinkToFit="0" vertical="bottom" wrapText="1"/>
    </xf>
    <xf borderId="3" fillId="3" fontId="6" numFmtId="0" xfId="0" applyAlignment="1" applyBorder="1" applyFont="1">
      <alignment shrinkToFit="0" vertical="bottom" wrapText="1"/>
    </xf>
    <xf borderId="0" fillId="3" fontId="3" numFmtId="0" xfId="0" applyAlignment="1" applyFont="1">
      <alignment vertical="bottom"/>
    </xf>
    <xf borderId="3" fillId="3" fontId="6" numFmtId="0" xfId="0" applyAlignment="1" applyBorder="1" applyFont="1">
      <alignment horizontal="right" vertical="bottom"/>
    </xf>
    <xf borderId="3" fillId="3" fontId="6" numFmtId="49" xfId="0" applyAlignment="1" applyBorder="1" applyFont="1" applyNumberFormat="1">
      <alignment readingOrder="0" shrinkToFit="0" vertical="bottom" wrapText="1"/>
    </xf>
    <xf borderId="3" fillId="3" fontId="7" numFmtId="0" xfId="0" applyAlignment="1" applyBorder="1" applyFont="1">
      <alignment horizontal="right" vertical="bottom"/>
    </xf>
    <xf borderId="3" fillId="3" fontId="6" numFmtId="49" xfId="0" applyAlignment="1" applyBorder="1" applyFont="1" applyNumberFormat="1">
      <alignment shrinkToFit="0" vertical="bottom" wrapText="1"/>
    </xf>
    <xf borderId="0" fillId="0" fontId="8" numFmtId="0" xfId="0" applyAlignment="1" applyFont="1">
      <alignment horizontal="center" readingOrder="0" shrinkToFit="0" vertical="center" wrapText="1"/>
    </xf>
    <xf borderId="0" fillId="0" fontId="8" numFmtId="164" xfId="0" applyAlignment="1" applyFont="1" applyNumberFormat="1">
      <alignment horizontal="center" readingOrder="0" shrinkToFit="0" vertical="center" wrapText="1"/>
    </xf>
    <xf borderId="0" fillId="0" fontId="9" numFmtId="0" xfId="0" applyAlignment="1" applyFont="1">
      <alignment horizontal="center" readingOrder="0" shrinkToFit="0" vertical="center" wrapText="1"/>
    </xf>
    <xf borderId="0" fillId="0" fontId="3" numFmtId="0" xfId="0" applyAlignment="1" applyFont="1">
      <alignment shrinkToFit="0" wrapText="1"/>
    </xf>
    <xf borderId="0" fillId="0" fontId="3" numFmtId="164" xfId="0" applyAlignment="1" applyFont="1" applyNumberFormat="1">
      <alignment readingOrder="0" shrinkToFit="0" wrapText="1"/>
    </xf>
    <xf borderId="0" fillId="0" fontId="3" numFmtId="0" xfId="0" applyAlignment="1" applyFont="1">
      <alignment readingOrder="0" shrinkToFit="0" wrapText="1"/>
    </xf>
    <xf borderId="0" fillId="0" fontId="10" numFmtId="0" xfId="0" applyAlignment="1" applyFont="1">
      <alignment readingOrder="0" shrinkToFit="0" wrapText="1"/>
    </xf>
    <xf borderId="0" fillId="0" fontId="10" numFmtId="0" xfId="0" applyAlignment="1" applyFont="1">
      <alignment shrinkToFit="0" wrapText="1"/>
    </xf>
    <xf borderId="0" fillId="0" fontId="11" numFmtId="0" xfId="0" applyAlignment="1" applyFont="1">
      <alignment readingOrder="0" shrinkToFit="0" wrapText="1"/>
    </xf>
    <xf borderId="0" fillId="0" fontId="3" numFmtId="164" xfId="0" applyAlignment="1" applyFont="1" applyNumberFormat="1">
      <alignment shrinkToFit="0" wrapText="1"/>
    </xf>
    <xf borderId="3" fillId="0" fontId="12" numFmtId="3" xfId="0" applyAlignment="1" applyBorder="1" applyFont="1" applyNumberFormat="1">
      <alignment horizontal="center" readingOrder="0" shrinkToFit="0" vertical="bottom" wrapText="1"/>
    </xf>
    <xf borderId="3" fillId="0" fontId="13" numFmtId="165" xfId="0" applyAlignment="1" applyBorder="1" applyFont="1" applyNumberFormat="1">
      <alignment horizontal="center" shrinkToFit="0" vertical="bottom" wrapText="1"/>
    </xf>
    <xf borderId="3" fillId="0" fontId="13" numFmtId="0" xfId="0" applyAlignment="1" applyBorder="1" applyFont="1">
      <alignment horizontal="center" readingOrder="0" shrinkToFit="0" vertical="bottom" wrapText="1"/>
    </xf>
    <xf borderId="1" fillId="0" fontId="13" numFmtId="0" xfId="0" applyAlignment="1" applyBorder="1" applyFont="1">
      <alignment horizontal="center" readingOrder="0" shrinkToFit="0" vertical="bottom" wrapText="1"/>
    </xf>
    <xf borderId="3" fillId="4" fontId="13" numFmtId="0" xfId="0" applyAlignment="1" applyBorder="1" applyFill="1" applyFont="1">
      <alignment horizontal="center" readingOrder="0" shrinkToFit="0" vertical="bottom" wrapText="1"/>
    </xf>
    <xf borderId="3" fillId="5" fontId="13" numFmtId="0" xfId="0" applyAlignment="1" applyBorder="1" applyFill="1" applyFont="1">
      <alignment horizontal="center" readingOrder="0" shrinkToFit="0" vertical="bottom" wrapText="1"/>
    </xf>
    <xf borderId="0" fillId="6" fontId="14" numFmtId="49" xfId="0" applyAlignment="1" applyFill="1" applyFont="1" applyNumberFormat="1">
      <alignment horizontal="center" readingOrder="0" shrinkToFit="0" vertical="center" wrapText="1"/>
    </xf>
    <xf borderId="0" fillId="6" fontId="14" numFmtId="0" xfId="0" applyAlignment="1" applyFont="1">
      <alignment horizontal="center" readingOrder="0" shrinkToFit="0" vertical="center" wrapText="1"/>
    </xf>
    <xf borderId="0" fillId="4" fontId="14" numFmtId="0" xfId="0" applyAlignment="1" applyFont="1">
      <alignment horizontal="center" readingOrder="0" shrinkToFit="0" vertical="center" wrapText="1"/>
    </xf>
    <xf borderId="4" fillId="6" fontId="14" numFmtId="3" xfId="0" applyAlignment="1" applyBorder="1" applyFont="1" applyNumberFormat="1">
      <alignment horizontal="center" readingOrder="0" shrinkToFit="0" vertical="center" wrapText="1"/>
    </xf>
    <xf borderId="4" fillId="4" fontId="14" numFmtId="49" xfId="0" applyAlignment="1" applyBorder="1" applyFont="1" applyNumberFormat="1">
      <alignment horizontal="center" readingOrder="0" shrinkToFit="0" vertical="center" wrapText="1"/>
    </xf>
    <xf borderId="4" fillId="5" fontId="14" numFmtId="49" xfId="0" applyAlignment="1" applyBorder="1" applyFont="1" applyNumberFormat="1">
      <alignment horizontal="center" readingOrder="0" shrinkToFit="0" vertical="center" wrapText="1"/>
    </xf>
    <xf borderId="4" fillId="4" fontId="14" numFmtId="166" xfId="0" applyAlignment="1" applyBorder="1" applyFont="1" applyNumberFormat="1">
      <alignment horizontal="center" readingOrder="0" shrinkToFit="0" vertical="center" wrapText="1"/>
    </xf>
    <xf borderId="4" fillId="5" fontId="14" numFmtId="166" xfId="0" applyAlignment="1" applyBorder="1" applyFont="1" applyNumberFormat="1">
      <alignment horizontal="center" readingOrder="0" shrinkToFit="0" vertical="center" wrapText="1"/>
    </xf>
    <xf borderId="4" fillId="5" fontId="14" numFmtId="167" xfId="0" applyAlignment="1" applyBorder="1" applyFont="1" applyNumberFormat="1">
      <alignment horizontal="center" readingOrder="0" shrinkToFit="0" vertical="center" wrapText="1"/>
    </xf>
    <xf borderId="4" fillId="4" fontId="14" numFmtId="167" xfId="0" applyAlignment="1" applyBorder="1" applyFont="1" applyNumberFormat="1">
      <alignment horizontal="center" readingOrder="0" shrinkToFit="0" vertical="center" wrapText="1"/>
    </xf>
    <xf borderId="4" fillId="7" fontId="14" numFmtId="49" xfId="0" applyAlignment="1" applyBorder="1" applyFill="1" applyFont="1" applyNumberFormat="1">
      <alignment horizontal="center" readingOrder="0" shrinkToFit="0" vertical="center" wrapText="1"/>
    </xf>
    <xf borderId="4" fillId="7" fontId="14" numFmtId="167" xfId="0" applyAlignment="1" applyBorder="1" applyFont="1" applyNumberFormat="1">
      <alignment horizontal="center" readingOrder="0" shrinkToFit="0" vertical="center" wrapText="1"/>
    </xf>
    <xf borderId="0" fillId="8" fontId="15" numFmtId="49" xfId="0" applyAlignment="1" applyFill="1" applyFont="1" applyNumberFormat="1">
      <alignment horizontal="center" vertical="center"/>
    </xf>
    <xf borderId="0" fillId="8" fontId="15" numFmtId="164" xfId="0" applyAlignment="1" applyFont="1" applyNumberFormat="1">
      <alignment horizontal="center" vertical="center"/>
    </xf>
    <xf borderId="0" fillId="8" fontId="15" numFmtId="0" xfId="0" applyAlignment="1" applyFont="1">
      <alignment horizontal="center" shrinkToFit="0" vertical="center" wrapText="1"/>
    </xf>
    <xf borderId="0" fillId="8" fontId="15" numFmtId="49" xfId="0" applyAlignment="1" applyFont="1" applyNumberFormat="1">
      <alignment horizontal="right" vertical="center"/>
    </xf>
    <xf borderId="0" fillId="8" fontId="15" numFmtId="49" xfId="0" applyAlignment="1" applyFont="1" applyNumberFormat="1">
      <alignment horizontal="center" shrinkToFit="0" vertical="center" wrapText="1"/>
    </xf>
    <xf borderId="0" fillId="8" fontId="15" numFmtId="3" xfId="0" applyAlignment="1" applyFont="1" applyNumberFormat="1">
      <alignment horizontal="right" vertical="center"/>
    </xf>
    <xf borderId="0" fillId="8" fontId="16" numFmtId="3" xfId="0" applyAlignment="1" applyFont="1" applyNumberFormat="1">
      <alignment horizontal="center" shrinkToFit="0" vertical="center" wrapText="1"/>
    </xf>
    <xf borderId="0" fillId="8" fontId="17" numFmtId="168" xfId="0" applyAlignment="1" applyFont="1" applyNumberFormat="1">
      <alignment horizontal="center" shrinkToFit="0" vertical="center" wrapText="1"/>
    </xf>
    <xf borderId="3" fillId="0" fontId="18" numFmtId="49" xfId="0" applyAlignment="1" applyBorder="1" applyFont="1" applyNumberFormat="1">
      <alignment vertical="bottom"/>
    </xf>
    <xf borderId="3" fillId="9" fontId="18" numFmtId="0" xfId="0" applyAlignment="1" applyBorder="1" applyFill="1" applyFont="1">
      <alignment vertical="bottom"/>
    </xf>
    <xf borderId="3" fillId="7" fontId="19" numFmtId="165" xfId="0" applyAlignment="1" applyBorder="1" applyFont="1" applyNumberFormat="1">
      <alignment horizontal="right" vertical="bottom"/>
    </xf>
    <xf borderId="3" fillId="7" fontId="19" numFmtId="164" xfId="0" applyAlignment="1" applyBorder="1" applyFont="1" applyNumberFormat="1">
      <alignment horizontal="right" vertical="bottom"/>
    </xf>
    <xf borderId="3" fillId="0" fontId="19" numFmtId="0" xfId="0" applyAlignment="1" applyBorder="1" applyFont="1">
      <alignment readingOrder="0" shrinkToFit="0" vertical="bottom" wrapText="1"/>
    </xf>
    <xf borderId="3" fillId="4" fontId="19" numFmtId="0" xfId="0" applyAlignment="1" applyBorder="1" applyFont="1">
      <alignment readingOrder="0" shrinkToFit="0" vertical="bottom" wrapText="1"/>
    </xf>
    <xf borderId="3" fillId="10" fontId="19" numFmtId="0" xfId="0" applyAlignment="1" applyBorder="1" applyFill="1" applyFont="1">
      <alignment readingOrder="0" shrinkToFit="0" vertical="bottom" wrapText="1"/>
    </xf>
    <xf borderId="3" fillId="11" fontId="19" numFmtId="165" xfId="0" applyAlignment="1" applyBorder="1" applyFill="1" applyFont="1" applyNumberFormat="1">
      <alignment vertical="bottom"/>
    </xf>
    <xf borderId="3" fillId="0" fontId="19" numFmtId="3" xfId="0" applyAlignment="1" applyBorder="1" applyFont="1" applyNumberFormat="1">
      <alignment horizontal="right" readingOrder="0" vertical="bottom"/>
    </xf>
    <xf borderId="3" fillId="4" fontId="19" numFmtId="49" xfId="0" applyAlignment="1" applyBorder="1" applyFont="1" applyNumberFormat="1">
      <alignment horizontal="center" vertical="bottom"/>
    </xf>
    <xf borderId="3" fillId="5" fontId="19" numFmtId="49" xfId="0" applyAlignment="1" applyBorder="1" applyFont="1" applyNumberFormat="1">
      <alignment horizontal="center" vertical="bottom"/>
    </xf>
    <xf borderId="3" fillId="4" fontId="20" numFmtId="166" xfId="0" applyAlignment="1" applyBorder="1" applyFont="1" applyNumberFormat="1">
      <alignment horizontal="right" vertical="bottom"/>
    </xf>
    <xf borderId="3" fillId="5" fontId="20" numFmtId="166" xfId="0" applyAlignment="1" applyBorder="1" applyFont="1" applyNumberFormat="1">
      <alignment horizontal="right" vertical="bottom"/>
    </xf>
    <xf borderId="3" fillId="5" fontId="19" numFmtId="0" xfId="0" applyAlignment="1" applyBorder="1" applyFont="1">
      <alignment vertical="bottom"/>
    </xf>
    <xf borderId="3" fillId="10" fontId="19" numFmtId="0" xfId="0" applyAlignment="1" applyBorder="1" applyFont="1">
      <alignment readingOrder="0" vertical="bottom"/>
    </xf>
    <xf borderId="3" fillId="4" fontId="19" numFmtId="0" xfId="0" applyAlignment="1" applyBorder="1" applyFont="1">
      <alignment vertical="bottom"/>
    </xf>
    <xf borderId="3" fillId="7" fontId="18" numFmtId="49" xfId="0" applyAlignment="1" applyBorder="1" applyFont="1" applyNumberFormat="1">
      <alignment horizontal="center" readingOrder="0" vertical="bottom"/>
    </xf>
    <xf borderId="3" fillId="7" fontId="21" numFmtId="49" xfId="0" applyAlignment="1" applyBorder="1" applyFont="1" applyNumberFormat="1">
      <alignment vertical="bottom"/>
    </xf>
    <xf borderId="3" fillId="7" fontId="20" numFmtId="49" xfId="0" applyAlignment="1" applyBorder="1" applyFont="1" applyNumberFormat="1">
      <alignment readingOrder="0" vertical="bottom"/>
    </xf>
    <xf borderId="3" fillId="10" fontId="21" numFmtId="0" xfId="0" applyAlignment="1" applyBorder="1" applyFont="1">
      <alignment readingOrder="0" vertical="bottom"/>
    </xf>
    <xf borderId="3" fillId="0" fontId="22" numFmtId="0" xfId="0" applyBorder="1" applyFont="1"/>
    <xf borderId="3" fillId="0" fontId="21" numFmtId="0" xfId="0" applyAlignment="1" applyBorder="1" applyFont="1">
      <alignment vertical="bottom"/>
    </xf>
    <xf borderId="0" fillId="8" fontId="15" numFmtId="0" xfId="0" applyAlignment="1" applyFont="1">
      <alignment horizontal="center" vertical="center"/>
    </xf>
    <xf borderId="0" fillId="8" fontId="15" numFmtId="0" xfId="0" applyAlignment="1" applyFont="1">
      <alignment horizontal="center" shrinkToFit="0" vertical="center" wrapText="1"/>
    </xf>
    <xf borderId="0" fillId="8" fontId="15" numFmtId="0" xfId="0" applyAlignment="1" applyFont="1">
      <alignment horizontal="right" vertical="center"/>
    </xf>
    <xf borderId="0" fillId="8" fontId="16" numFmtId="0" xfId="0" applyAlignment="1" applyFont="1">
      <alignment horizontal="center" shrinkToFit="0" vertical="center" wrapText="1"/>
    </xf>
    <xf borderId="0" fillId="8" fontId="17" numFmtId="0" xfId="0" applyAlignment="1" applyFont="1">
      <alignment horizontal="center" readingOrder="0" shrinkToFit="0" vertical="center" wrapText="1"/>
    </xf>
    <xf borderId="3" fillId="0" fontId="18" numFmtId="49" xfId="0" applyAlignment="1" applyBorder="1" applyFont="1" applyNumberFormat="1">
      <alignment readingOrder="0" vertical="bottom"/>
    </xf>
    <xf borderId="3" fillId="0" fontId="23" numFmtId="0" xfId="0" applyAlignment="1" applyBorder="1" applyFont="1">
      <alignment readingOrder="0" shrinkToFit="0" vertical="bottom" wrapText="1"/>
    </xf>
    <xf borderId="3" fillId="4" fontId="23" numFmtId="0" xfId="0" applyAlignment="1" applyBorder="1" applyFont="1">
      <alignment readingOrder="0" shrinkToFit="0" vertical="bottom" wrapText="1"/>
    </xf>
    <xf borderId="3" fillId="4" fontId="19" numFmtId="49" xfId="0" applyAlignment="1" applyBorder="1" applyFont="1" applyNumberFormat="1">
      <alignment horizontal="center" readingOrder="0" vertical="bottom"/>
    </xf>
    <xf borderId="3" fillId="5" fontId="19" numFmtId="49" xfId="0" applyAlignment="1" applyBorder="1" applyFont="1" applyNumberFormat="1">
      <alignment horizontal="center" readingOrder="0" vertical="bottom"/>
    </xf>
    <xf borderId="3" fillId="7" fontId="21" numFmtId="49" xfId="0" applyAlignment="1" applyBorder="1" applyFont="1" applyNumberFormat="1">
      <alignment readingOrder="0" vertical="bottom"/>
    </xf>
    <xf borderId="3" fillId="7" fontId="20" numFmtId="49" xfId="0" applyAlignment="1" applyBorder="1" applyFont="1" applyNumberFormat="1">
      <alignment vertical="bottom"/>
    </xf>
    <xf borderId="3" fillId="10" fontId="21" numFmtId="0" xfId="0" applyAlignment="1" applyBorder="1" applyFont="1">
      <alignment vertical="bottom"/>
    </xf>
    <xf borderId="3" fillId="0" fontId="21" numFmtId="0" xfId="0" applyAlignment="1" applyBorder="1" applyFont="1">
      <alignment readingOrder="0" vertical="bottom"/>
    </xf>
    <xf borderId="0" fillId="0" fontId="21" numFmtId="0" xfId="0" applyAlignment="1" applyFont="1">
      <alignment vertical="bottom"/>
    </xf>
    <xf borderId="3" fillId="11" fontId="19" numFmtId="0" xfId="0" applyAlignment="1" applyBorder="1" applyFont="1">
      <alignment readingOrder="0" vertical="bottom"/>
    </xf>
    <xf borderId="3" fillId="10" fontId="19" numFmtId="0" xfId="0" applyAlignment="1" applyBorder="1" applyFont="1">
      <alignment vertical="bottom"/>
    </xf>
    <xf borderId="3" fillId="10" fontId="19" numFmtId="165" xfId="0" applyAlignment="1" applyBorder="1" applyFont="1" applyNumberFormat="1">
      <alignment shrinkToFit="0" vertical="bottom" wrapText="1"/>
    </xf>
    <xf borderId="3" fillId="0" fontId="19" numFmtId="165" xfId="0" applyAlignment="1" applyBorder="1" applyFont="1" applyNumberFormat="1">
      <alignment shrinkToFit="0" vertical="bottom" wrapText="1"/>
    </xf>
    <xf borderId="3" fillId="4" fontId="19" numFmtId="165" xfId="0" applyAlignment="1" applyBorder="1" applyFont="1" applyNumberFormat="1">
      <alignment shrinkToFit="0" vertical="bottom" wrapText="1"/>
    </xf>
    <xf borderId="3" fillId="7" fontId="18" numFmtId="49" xfId="0" applyAlignment="1" applyBorder="1" applyFont="1" applyNumberFormat="1">
      <alignment horizontal="center" vertical="bottom"/>
    </xf>
    <xf borderId="3" fillId="10" fontId="18" numFmtId="0" xfId="0" applyAlignment="1" applyBorder="1" applyFont="1">
      <alignment horizontal="center" readingOrder="0" vertical="bottom"/>
    </xf>
    <xf borderId="3" fillId="0" fontId="19" numFmtId="3" xfId="0" applyAlignment="1" applyBorder="1" applyFont="1" applyNumberFormat="1">
      <alignment horizontal="right" vertical="bottom"/>
    </xf>
    <xf borderId="3" fillId="7" fontId="23" numFmtId="164" xfId="0" applyAlignment="1" applyBorder="1" applyFont="1" applyNumberFormat="1">
      <alignment horizontal="right" readingOrder="0" vertical="bottom"/>
    </xf>
    <xf borderId="0" fillId="0" fontId="21" numFmtId="0" xfId="0" applyAlignment="1" applyFont="1">
      <alignment readingOrder="0" vertical="bottom"/>
    </xf>
    <xf borderId="0" fillId="0" fontId="22" numFmtId="0" xfId="0" applyAlignment="1" applyFont="1">
      <alignment readingOrder="0"/>
    </xf>
    <xf borderId="3" fillId="7" fontId="19" numFmtId="164" xfId="0" applyAlignment="1" applyBorder="1" applyFont="1" applyNumberFormat="1">
      <alignment horizontal="right" readingOrder="0" vertical="bottom"/>
    </xf>
    <xf borderId="3" fillId="10" fontId="24" numFmtId="0" xfId="0" applyAlignment="1" applyBorder="1" applyFont="1">
      <alignment readingOrder="0" vertical="bottom"/>
    </xf>
    <xf borderId="3" fillId="0" fontId="23" numFmtId="3" xfId="0" applyAlignment="1" applyBorder="1" applyFont="1" applyNumberFormat="1">
      <alignment horizontal="right" vertical="bottom"/>
    </xf>
    <xf borderId="2" fillId="0" fontId="19" numFmtId="3" xfId="0" applyAlignment="1" applyBorder="1" applyFont="1" applyNumberFormat="1">
      <alignment horizontal="right" readingOrder="0" vertical="bottom"/>
    </xf>
    <xf borderId="5" fillId="0" fontId="19" numFmtId="165" xfId="0" applyAlignment="1" applyBorder="1" applyFont="1" applyNumberFormat="1">
      <alignment shrinkToFit="0" vertical="bottom" wrapText="1"/>
    </xf>
    <xf borderId="5" fillId="4" fontId="19" numFmtId="165" xfId="0" applyAlignment="1" applyBorder="1" applyFont="1" applyNumberFormat="1">
      <alignment shrinkToFit="0" vertical="bottom" wrapText="1"/>
    </xf>
    <xf borderId="6" fillId="0" fontId="19" numFmtId="3" xfId="0" applyAlignment="1" applyBorder="1" applyFont="1" applyNumberFormat="1">
      <alignment horizontal="right" readingOrder="0" vertical="bottom"/>
    </xf>
    <xf borderId="6" fillId="0" fontId="19" numFmtId="3" xfId="0" applyAlignment="1" applyBorder="1" applyFont="1" applyNumberFormat="1">
      <alignment horizontal="right" vertical="bottom"/>
    </xf>
    <xf borderId="5" fillId="0" fontId="19" numFmtId="0" xfId="0" applyAlignment="1" applyBorder="1" applyFont="1">
      <alignment readingOrder="0" shrinkToFit="0" vertical="bottom" wrapText="1"/>
    </xf>
    <xf borderId="6" fillId="4" fontId="19" numFmtId="0" xfId="0" applyAlignment="1" applyBorder="1" applyFont="1">
      <alignment readingOrder="0" shrinkToFit="0" vertical="bottom" wrapText="1"/>
    </xf>
    <xf borderId="6" fillId="10" fontId="19" numFmtId="0" xfId="0" applyAlignment="1" applyBorder="1" applyFont="1">
      <alignment readingOrder="0" shrinkToFit="0" vertical="bottom" wrapText="1"/>
    </xf>
    <xf borderId="5" fillId="4" fontId="19" numFmtId="0" xfId="0" applyAlignment="1" applyBorder="1" applyFont="1">
      <alignment readingOrder="0" shrinkToFit="0" vertical="bottom" wrapText="1"/>
    </xf>
    <xf borderId="3" fillId="0" fontId="19" numFmtId="0" xfId="0" applyAlignment="1" applyBorder="1" applyFont="1">
      <alignment shrinkToFit="0" vertical="bottom" wrapText="1"/>
    </xf>
    <xf borderId="6" fillId="4" fontId="19" numFmtId="0" xfId="0" applyAlignment="1" applyBorder="1" applyFont="1">
      <alignment shrinkToFit="0" vertical="bottom" wrapText="1"/>
    </xf>
    <xf borderId="6" fillId="4" fontId="19" numFmtId="165" xfId="0" applyAlignment="1" applyBorder="1" applyFont="1" applyNumberFormat="1">
      <alignment shrinkToFit="0" vertical="bottom" wrapText="1"/>
    </xf>
    <xf borderId="5" fillId="7" fontId="19" numFmtId="164" xfId="0" applyAlignment="1" applyBorder="1" applyFont="1" applyNumberFormat="1">
      <alignment horizontal="right" readingOrder="0" vertical="bottom"/>
    </xf>
    <xf borderId="6" fillId="0" fontId="19" numFmtId="0" xfId="0" applyAlignment="1" applyBorder="1" applyFont="1">
      <alignment readingOrder="0" shrinkToFit="0" vertical="bottom" wrapText="1"/>
    </xf>
    <xf borderId="5" fillId="0" fontId="19" numFmtId="3" xfId="0" applyAlignment="1" applyBorder="1" applyFont="1" applyNumberFormat="1">
      <alignment horizontal="right" readingOrder="0" vertical="bottom"/>
    </xf>
    <xf borderId="5" fillId="12" fontId="25" numFmtId="164" xfId="0" applyAlignment="1" applyBorder="1" applyFill="1" applyFont="1" applyNumberFormat="1">
      <alignment horizontal="right" readingOrder="0" shrinkToFit="0" vertical="bottom" wrapText="0"/>
    </xf>
    <xf borderId="6" fillId="0" fontId="26" numFmtId="0" xfId="0" applyAlignment="1" applyBorder="1" applyFont="1">
      <alignment horizontal="left" readingOrder="0" shrinkToFit="0" vertical="bottom" wrapText="1"/>
    </xf>
    <xf borderId="6" fillId="4" fontId="26" numFmtId="0" xfId="0" applyAlignment="1" applyBorder="1" applyFont="1">
      <alignment horizontal="left" readingOrder="0" shrinkToFit="0" vertical="bottom" wrapText="1"/>
    </xf>
    <xf borderId="5" fillId="0" fontId="26" numFmtId="3" xfId="0" applyAlignment="1" applyBorder="1" applyFont="1" applyNumberFormat="1">
      <alignment horizontal="right" readingOrder="0" shrinkToFit="0" vertical="bottom" wrapText="0"/>
    </xf>
    <xf borderId="3" fillId="12" fontId="25" numFmtId="164" xfId="0" applyAlignment="1" applyBorder="1" applyFont="1" applyNumberFormat="1">
      <alignment horizontal="right" readingOrder="0" shrinkToFit="0" vertical="bottom" wrapText="0"/>
    </xf>
    <xf borderId="3" fillId="0" fontId="26" numFmtId="0" xfId="0" applyAlignment="1" applyBorder="1" applyFont="1">
      <alignment horizontal="left" readingOrder="0" shrinkToFit="0" vertical="bottom" wrapText="1"/>
    </xf>
    <xf borderId="3" fillId="4" fontId="26" numFmtId="0" xfId="0" applyAlignment="1" applyBorder="1" applyFont="1">
      <alignment horizontal="left" readingOrder="0" shrinkToFit="0" vertical="bottom" wrapText="1"/>
    </xf>
    <xf borderId="3" fillId="0" fontId="26" numFmtId="3" xfId="0" applyAlignment="1" applyBorder="1" applyFont="1" applyNumberFormat="1">
      <alignment horizontal="right" readingOrder="0" shrinkToFit="0" vertical="bottom" wrapText="0"/>
    </xf>
    <xf borderId="2" fillId="0" fontId="19" numFmtId="0" xfId="0" applyAlignment="1" applyBorder="1" applyFont="1">
      <alignment readingOrder="0" shrinkToFit="0" vertical="bottom" wrapText="1"/>
    </xf>
    <xf borderId="2" fillId="4" fontId="19" numFmtId="0" xfId="0" applyAlignment="1" applyBorder="1" applyFont="1">
      <alignment readingOrder="0" shrinkToFit="0" vertical="bottom" wrapText="1"/>
    </xf>
    <xf borderId="6" fillId="10" fontId="19" numFmtId="165" xfId="0" applyAlignment="1" applyBorder="1" applyFont="1" applyNumberFormat="1">
      <alignment shrinkToFit="0" vertical="bottom" wrapText="1"/>
    </xf>
    <xf borderId="2" fillId="0" fontId="26" numFmtId="0" xfId="0" applyAlignment="1" applyBorder="1" applyFont="1">
      <alignment horizontal="left" readingOrder="0" shrinkToFit="0" vertical="bottom" wrapText="1"/>
    </xf>
    <xf borderId="2" fillId="4" fontId="26" numFmtId="0" xfId="0" applyAlignment="1" applyBorder="1" applyFont="1">
      <alignment horizontal="left" readingOrder="0" shrinkToFit="0" vertical="bottom" wrapText="1"/>
    </xf>
    <xf borderId="3" fillId="0" fontId="19" numFmtId="3" xfId="0" applyAlignment="1" applyBorder="1" applyFont="1" applyNumberFormat="1">
      <alignment horizontal="right" readingOrder="0" shrinkToFit="0" vertical="bottom" wrapText="0"/>
    </xf>
    <xf borderId="3" fillId="10" fontId="21" numFmtId="164" xfId="0" applyAlignment="1" applyBorder="1" applyFont="1" applyNumberFormat="1">
      <alignment vertical="bottom"/>
    </xf>
    <xf borderId="3" fillId="4" fontId="19" numFmtId="0" xfId="0" applyAlignment="1" applyBorder="1" applyFont="1">
      <alignment shrinkToFit="0" vertical="bottom" wrapText="1"/>
    </xf>
    <xf borderId="5" fillId="7" fontId="19" numFmtId="164" xfId="0" applyAlignment="1" applyBorder="1" applyFont="1" applyNumberFormat="1">
      <alignment horizontal="right" vertical="bottom"/>
    </xf>
    <xf borderId="6" fillId="0" fontId="19" numFmtId="0" xfId="0" applyAlignment="1" applyBorder="1" applyFont="1">
      <alignment shrinkToFit="0" vertical="bottom" wrapText="1"/>
    </xf>
    <xf borderId="2" fillId="0" fontId="19" numFmtId="0" xfId="0" applyAlignment="1" applyBorder="1" applyFont="1">
      <alignment shrinkToFit="0" vertical="bottom" wrapText="1"/>
    </xf>
    <xf borderId="2" fillId="4" fontId="19" numFmtId="0" xfId="0" applyAlignment="1" applyBorder="1" applyFont="1">
      <alignment shrinkToFit="0" vertical="bottom" wrapText="1"/>
    </xf>
    <xf borderId="3" fillId="10" fontId="19" numFmtId="165" xfId="0" applyAlignment="1" applyBorder="1" applyFont="1" applyNumberFormat="1">
      <alignment readingOrder="0" shrinkToFit="0" vertical="bottom" wrapText="1"/>
    </xf>
    <xf borderId="3" fillId="10" fontId="27" numFmtId="0" xfId="0" applyAlignment="1" applyBorder="1" applyFont="1">
      <alignment readingOrder="0" vertical="bottom"/>
    </xf>
    <xf borderId="3" fillId="10" fontId="28" numFmtId="0" xfId="0" applyAlignment="1" applyBorder="1" applyFont="1">
      <alignment vertical="bottom"/>
    </xf>
    <xf borderId="3" fillId="10" fontId="24" numFmtId="165" xfId="0" applyAlignment="1" applyBorder="1" applyFont="1" applyNumberFormat="1">
      <alignment vertical="bottom"/>
    </xf>
    <xf borderId="5" fillId="0" fontId="23" numFmtId="0" xfId="0" applyAlignment="1" applyBorder="1" applyFont="1">
      <alignment readingOrder="0" shrinkToFit="0" vertical="bottom" wrapText="1"/>
    </xf>
    <xf borderId="5" fillId="4" fontId="23" numFmtId="0" xfId="0" applyAlignment="1" applyBorder="1" applyFont="1">
      <alignment readingOrder="0" shrinkToFit="0" vertical="bottom" wrapText="1"/>
    </xf>
    <xf borderId="3" fillId="0" fontId="23" numFmtId="3" xfId="0" applyAlignment="1" applyBorder="1" applyFont="1" applyNumberFormat="1">
      <alignment horizontal="right" readingOrder="0" vertical="bottom"/>
    </xf>
    <xf borderId="3" fillId="10" fontId="29" numFmtId="0" xfId="0" applyAlignment="1" applyBorder="1" applyFont="1">
      <alignment vertical="bottom"/>
    </xf>
    <xf borderId="5" fillId="10" fontId="29" numFmtId="0" xfId="0" applyAlignment="1" applyBorder="1" applyFont="1">
      <alignment vertical="bottom"/>
    </xf>
    <xf borderId="6" fillId="4" fontId="23" numFmtId="0" xfId="0" applyAlignment="1" applyBorder="1" applyFont="1">
      <alignment readingOrder="0" shrinkToFit="0" vertical="bottom" wrapText="1"/>
    </xf>
    <xf borderId="2" fillId="4" fontId="23" numFmtId="0" xfId="0" applyAlignment="1" applyBorder="1" applyFont="1">
      <alignment readingOrder="0" shrinkToFit="0" vertical="bottom" wrapText="1"/>
    </xf>
    <xf borderId="2" fillId="10" fontId="23" numFmtId="0" xfId="0" applyAlignment="1" applyBorder="1" applyFont="1">
      <alignment readingOrder="0" shrinkToFit="0" vertical="bottom" wrapText="1"/>
    </xf>
    <xf borderId="2" fillId="11" fontId="23" numFmtId="165" xfId="0" applyAlignment="1" applyBorder="1" applyFont="1" applyNumberFormat="1">
      <alignment vertical="bottom"/>
    </xf>
    <xf borderId="2" fillId="0" fontId="23" numFmtId="3" xfId="0" applyAlignment="1" applyBorder="1" applyFont="1" applyNumberFormat="1">
      <alignment horizontal="right" vertical="bottom"/>
    </xf>
    <xf borderId="6" fillId="11" fontId="23" numFmtId="165" xfId="0" applyAlignment="1" applyBorder="1" applyFont="1" applyNumberFormat="1">
      <alignment vertical="bottom"/>
    </xf>
    <xf borderId="6" fillId="0" fontId="23" numFmtId="3" xfId="0" applyAlignment="1" applyBorder="1" applyFont="1" applyNumberFormat="1">
      <alignment horizontal="right" vertical="bottom"/>
    </xf>
    <xf borderId="6" fillId="10" fontId="23" numFmtId="0" xfId="0" applyAlignment="1" applyBorder="1" applyFont="1">
      <alignment readingOrder="0" shrinkToFit="0" vertical="bottom" wrapText="1"/>
    </xf>
    <xf borderId="6" fillId="0" fontId="23" numFmtId="3" xfId="0" applyAlignment="1" applyBorder="1" applyFont="1" applyNumberFormat="1">
      <alignment horizontal="right" readingOrder="0" vertical="bottom"/>
    </xf>
    <xf borderId="3" fillId="10" fontId="30" numFmtId="0" xfId="0" applyAlignment="1" applyBorder="1" applyFont="1">
      <alignment readingOrder="0" vertical="bottom"/>
    </xf>
    <xf borderId="2" fillId="10" fontId="19" numFmtId="165" xfId="0" applyAlignment="1" applyBorder="1" applyFont="1" applyNumberFormat="1">
      <alignment shrinkToFit="0" vertical="bottom" wrapText="1"/>
    </xf>
    <xf borderId="3" fillId="7" fontId="23" numFmtId="49" xfId="0" applyAlignment="1" applyBorder="1" applyFont="1" applyNumberFormat="1">
      <alignment vertical="bottom"/>
    </xf>
    <xf borderId="5" fillId="7" fontId="23" numFmtId="49" xfId="0" applyAlignment="1" applyBorder="1" applyFont="1" applyNumberFormat="1">
      <alignment vertical="bottom"/>
    </xf>
    <xf borderId="0" fillId="13" fontId="31" numFmtId="0" xfId="0" applyAlignment="1" applyFill="1" applyFont="1">
      <alignment horizontal="center" readingOrder="0" vertical="center"/>
    </xf>
    <xf borderId="0" fillId="13" fontId="32" numFmtId="0" xfId="0" applyAlignment="1" applyFont="1">
      <alignment horizontal="center" readingOrder="0" shrinkToFit="0" vertical="center" wrapText="1"/>
    </xf>
    <xf borderId="0" fillId="0" fontId="33" numFmtId="0" xfId="0" applyAlignment="1" applyFont="1">
      <alignment horizontal="center" readingOrder="0" vertical="center"/>
    </xf>
    <xf borderId="0" fillId="14" fontId="16" numFmtId="0" xfId="0" applyAlignment="1" applyFill="1" applyFont="1">
      <alignment horizontal="center" readingOrder="0" shrinkToFit="0" vertical="center" wrapText="1"/>
    </xf>
    <xf borderId="0" fillId="0" fontId="33" numFmtId="0" xfId="0" applyAlignment="1" applyFont="1">
      <alignment horizontal="center" vertical="center"/>
    </xf>
    <xf borderId="0" fillId="13" fontId="34" numFmtId="0" xfId="0" applyAlignment="1" applyFont="1">
      <alignment vertical="center"/>
    </xf>
    <xf borderId="0" fillId="13" fontId="35" numFmtId="0" xfId="0" applyAlignment="1" applyFont="1">
      <alignment horizontal="center" readingOrder="0" shrinkToFit="0" vertical="center" wrapText="1"/>
    </xf>
    <xf borderId="0" fillId="0" fontId="36" numFmtId="0" xfId="0" applyAlignment="1" applyFont="1">
      <alignment vertical="center"/>
    </xf>
    <xf borderId="0" fillId="0" fontId="37" numFmtId="0" xfId="0" applyAlignment="1" applyFont="1">
      <alignment shrinkToFit="0" vertical="center" wrapText="1"/>
    </xf>
    <xf borderId="0" fillId="13" fontId="38" numFmtId="0" xfId="0" applyAlignment="1" applyFont="1">
      <alignment vertical="center"/>
    </xf>
    <xf borderId="0" fillId="13" fontId="32" numFmtId="0" xfId="0" applyAlignment="1" applyFont="1">
      <alignment readingOrder="0" shrinkToFit="0" vertical="center" wrapText="1"/>
    </xf>
    <xf borderId="0" fillId="0" fontId="15" numFmtId="0" xfId="0" applyAlignment="1" applyFont="1">
      <alignment readingOrder="0" vertical="center"/>
    </xf>
    <xf borderId="0" fillId="0" fontId="15" numFmtId="0" xfId="0" applyAlignment="1" applyFont="1">
      <alignment vertical="center"/>
    </xf>
    <xf borderId="0" fillId="0" fontId="39" numFmtId="0" xfId="0" applyAlignment="1" applyFont="1">
      <alignment shrinkToFit="0" vertical="center" wrapText="1"/>
    </xf>
    <xf borderId="0" fillId="13" fontId="40" numFmtId="0" xfId="0" applyAlignment="1" applyFont="1">
      <alignment horizontal="center" vertical="bottom"/>
    </xf>
    <xf borderId="0" fillId="13" fontId="40" numFmtId="0" xfId="0" applyAlignment="1" applyFont="1">
      <alignment vertical="bottom"/>
    </xf>
    <xf borderId="0" fillId="0" fontId="39" numFmtId="0" xfId="0" applyAlignment="1" applyFont="1">
      <alignment readingOrder="0" shrinkToFit="0" vertical="center" wrapText="1"/>
    </xf>
    <xf borderId="0" fillId="15" fontId="40" numFmtId="0" xfId="0" applyAlignment="1" applyFill="1" applyFont="1">
      <alignment horizontal="center" vertical="bottom"/>
    </xf>
    <xf borderId="0" fillId="15" fontId="40" numFmtId="0" xfId="0" applyAlignment="1" applyFont="1">
      <alignment vertical="bottom"/>
    </xf>
    <xf borderId="0" fillId="13" fontId="40" numFmtId="0" xfId="0" applyAlignment="1" applyFont="1">
      <alignment readingOrder="0" vertical="bottom"/>
    </xf>
    <xf borderId="0" fillId="15" fontId="40" numFmtId="0" xfId="0" applyAlignment="1" applyFont="1">
      <alignment horizontal="center" vertical="bottom"/>
    </xf>
    <xf borderId="0" fillId="13" fontId="40" numFmtId="0" xfId="0" applyAlignment="1" applyFont="1">
      <alignment horizontal="center" vertical="bottom"/>
    </xf>
    <xf borderId="0" fillId="13" fontId="40" numFmtId="0" xfId="0" applyAlignment="1" applyFont="1">
      <alignment readingOrder="0" shrinkToFit="0" vertical="center" wrapText="1"/>
    </xf>
    <xf borderId="0" fillId="13" fontId="38" numFmtId="0" xfId="0" applyAlignment="1" applyFont="1">
      <alignment horizontal="center" readingOrder="0" vertical="center"/>
    </xf>
    <xf borderId="0" fillId="13" fontId="32" numFmtId="0" xfId="0" applyAlignment="1" applyFont="1">
      <alignment horizontal="center" vertical="bottom"/>
    </xf>
    <xf borderId="0" fillId="13" fontId="32" numFmtId="0" xfId="0" applyAlignment="1" applyFont="1">
      <alignment vertical="bottom"/>
    </xf>
    <xf borderId="0" fillId="15" fontId="32" numFmtId="0" xfId="0" applyAlignment="1" applyFont="1">
      <alignment horizontal="center" vertical="bottom"/>
    </xf>
    <xf borderId="0" fillId="15" fontId="32" numFmtId="0" xfId="0" applyAlignment="1" applyFont="1">
      <alignment vertical="bottom"/>
    </xf>
    <xf borderId="0" fillId="13" fontId="41" numFmtId="0" xfId="0" applyAlignment="1" applyFont="1">
      <alignment horizontal="center" readingOrder="0"/>
    </xf>
    <xf borderId="0" fillId="0" fontId="42" numFmtId="0" xfId="0" applyFont="1"/>
    <xf borderId="0" fillId="0" fontId="43" numFmtId="0" xfId="0" applyAlignment="1" applyFont="1">
      <alignment horizontal="center" readingOrder="0"/>
    </xf>
    <xf borderId="4" fillId="0" fontId="41" numFmtId="0" xfId="0" applyAlignment="1" applyBorder="1" applyFont="1">
      <alignment horizontal="center" readingOrder="0"/>
    </xf>
    <xf borderId="7" fillId="0" fontId="41" numFmtId="0" xfId="0" applyAlignment="1" applyBorder="1" applyFont="1">
      <alignment horizontal="center" readingOrder="0"/>
    </xf>
    <xf borderId="4" fillId="0" fontId="44" numFmtId="0" xfId="0" applyAlignment="1" applyBorder="1" applyFont="1">
      <alignment horizontal="left"/>
    </xf>
    <xf borderId="4" fillId="0" fontId="41" numFmtId="0" xfId="0" applyAlignment="1" applyBorder="1" applyFont="1">
      <alignment horizontal="left" readingOrder="0"/>
    </xf>
    <xf borderId="7" fillId="0" fontId="44" numFmtId="0" xfId="0" applyAlignment="1" applyBorder="1" applyFont="1">
      <alignment horizontal="left"/>
    </xf>
    <xf borderId="4" fillId="0" fontId="44" numFmtId="0" xfId="0" applyAlignment="1" applyBorder="1" applyFont="1">
      <alignment horizontal="center" readingOrder="0"/>
    </xf>
    <xf borderId="4" fillId="0" fontId="44" numFmtId="0" xfId="0" applyAlignment="1" applyBorder="1" applyFont="1">
      <alignment horizontal="left" readingOrder="0"/>
    </xf>
    <xf borderId="7" fillId="0" fontId="45" numFmtId="0" xfId="0" applyAlignment="1" applyBorder="1" applyFont="1">
      <alignment horizontal="center" readingOrder="0"/>
    </xf>
    <xf borderId="7" fillId="0" fontId="45" numFmtId="0" xfId="0" applyAlignment="1" applyBorder="1" applyFont="1">
      <alignment horizontal="center" readingOrder="0" vertical="top"/>
    </xf>
    <xf borderId="7" fillId="0" fontId="44" numFmtId="0" xfId="0" applyAlignment="1" applyBorder="1" applyFont="1">
      <alignment horizontal="left" vertical="top"/>
    </xf>
    <xf borderId="1" fillId="0" fontId="44" numFmtId="0" xfId="0" applyAlignment="1" applyBorder="1" applyFont="1">
      <alignment horizontal="center" readingOrder="0"/>
    </xf>
    <xf borderId="1" fillId="0" fontId="44" numFmtId="0" xfId="0" applyAlignment="1" applyBorder="1" applyFont="1">
      <alignment horizontal="left" readingOrder="0"/>
    </xf>
    <xf borderId="3" fillId="0" fontId="45" numFmtId="0" xfId="0" applyAlignment="1" applyBorder="1" applyFont="1">
      <alignment horizontal="center" readingOrder="0" vertical="top"/>
    </xf>
    <xf borderId="8" fillId="0" fontId="44" numFmtId="0" xfId="0" applyAlignment="1" applyBorder="1" applyFont="1">
      <alignment horizontal="center" readingOrder="0"/>
    </xf>
    <xf borderId="8" fillId="0" fontId="44" numFmtId="0" xfId="0" applyAlignment="1" applyBorder="1" applyFont="1">
      <alignment horizontal="left" readingOrder="0"/>
    </xf>
    <xf borderId="5" fillId="0" fontId="45" numFmtId="0" xfId="0" applyAlignment="1" applyBorder="1" applyFont="1">
      <alignment horizontal="center" readingOrder="0" vertical="top"/>
    </xf>
    <xf borderId="8" fillId="0" fontId="44" numFmtId="0" xfId="0" applyAlignment="1" applyBorder="1" applyFont="1">
      <alignment horizontal="left"/>
    </xf>
    <xf borderId="8" fillId="0" fontId="41" numFmtId="0" xfId="0" applyAlignment="1" applyBorder="1" applyFont="1">
      <alignment horizontal="left" readingOrder="0"/>
    </xf>
    <xf borderId="5" fillId="0" fontId="44" numFmtId="0" xfId="0" applyAlignment="1" applyBorder="1" applyFont="1">
      <alignment horizontal="left"/>
    </xf>
    <xf borderId="5" fillId="0" fontId="45" numFmtId="0" xfId="0" applyAlignment="1" applyBorder="1" applyFont="1">
      <alignment horizontal="center" readingOrder="0"/>
    </xf>
    <xf borderId="0" fillId="0" fontId="41" numFmtId="0" xfId="0" applyAlignment="1" applyFont="1">
      <alignment horizontal="center" readingOrder="0"/>
    </xf>
    <xf borderId="9" fillId="0" fontId="41" numFmtId="0" xfId="0" applyAlignment="1" applyBorder="1" applyFont="1">
      <alignment horizontal="center" readingOrder="0"/>
    </xf>
    <xf borderId="2" fillId="0" fontId="41" numFmtId="0" xfId="0" applyAlignment="1" applyBorder="1" applyFont="1">
      <alignment horizontal="center" readingOrder="0"/>
    </xf>
    <xf borderId="5" fillId="0" fontId="2" numFmtId="0" xfId="0" applyBorder="1" applyFont="1"/>
    <xf borderId="6" fillId="0" fontId="2" numFmtId="0" xfId="0" applyBorder="1" applyFont="1"/>
    <xf borderId="6" fillId="0" fontId="41" numFmtId="0" xfId="0" applyAlignment="1" applyBorder="1" applyFont="1">
      <alignment horizontal="center" readingOrder="0"/>
    </xf>
    <xf borderId="5" fillId="0" fontId="44" numFmtId="0" xfId="0" applyAlignment="1" applyBorder="1" applyFont="1">
      <alignment horizontal="center" readingOrder="0"/>
    </xf>
    <xf borderId="6" fillId="0" fontId="44" numFmtId="0" xfId="0" applyAlignment="1" applyBorder="1" applyFont="1">
      <alignment horizontal="center" readingOrder="0"/>
    </xf>
    <xf borderId="6" fillId="0" fontId="44" numFmtId="0" xfId="0" applyAlignment="1" applyBorder="1" applyFont="1">
      <alignment horizontal="left" readingOrder="0"/>
    </xf>
    <xf borderId="6" fillId="0" fontId="45" numFmtId="0" xfId="0" applyAlignment="1" applyBorder="1" applyFont="1">
      <alignment horizontal="center" readingOrder="0"/>
    </xf>
    <xf borderId="5" fillId="16" fontId="44" numFmtId="0" xfId="0" applyAlignment="1" applyBorder="1" applyFill="1" applyFont="1">
      <alignment horizontal="center" readingOrder="0"/>
    </xf>
    <xf borderId="6" fillId="16" fontId="44" numFmtId="0" xfId="0" applyAlignment="1" applyBorder="1" applyFont="1">
      <alignment horizontal="left" readingOrder="0"/>
    </xf>
    <xf borderId="6" fillId="16" fontId="45" numFmtId="0" xfId="0" applyAlignment="1" applyBorder="1" applyFont="1">
      <alignment horizontal="center" readingOrder="0"/>
    </xf>
    <xf borderId="6" fillId="16" fontId="44" numFmtId="0" xfId="0" applyAlignment="1" applyBorder="1" applyFont="1">
      <alignment horizontal="center" readingOrder="0"/>
    </xf>
    <xf borderId="5" fillId="13" fontId="44" numFmtId="0" xfId="0" applyAlignment="1" applyBorder="1" applyFont="1">
      <alignment horizontal="left"/>
    </xf>
    <xf borderId="6" fillId="13" fontId="44" numFmtId="0" xfId="0" applyAlignment="1" applyBorder="1" applyFont="1">
      <alignment horizontal="left"/>
    </xf>
    <xf borderId="0" fillId="0" fontId="41" numFmtId="0" xfId="0" applyAlignment="1" applyFont="1">
      <alignment horizontal="left" readingOrder="0" vertical="center"/>
    </xf>
    <xf borderId="0" fillId="0" fontId="46" numFmtId="0" xfId="0" applyAlignment="1" applyFont="1">
      <alignment horizontal="center" readingOrder="0" vertical="center"/>
    </xf>
    <xf borderId="0" fillId="0" fontId="22" numFmtId="0" xfId="0" applyAlignment="1" applyFont="1">
      <alignment vertical="center"/>
    </xf>
    <xf borderId="0" fillId="13" fontId="44" numFmtId="0" xfId="0" applyAlignment="1" applyFont="1">
      <alignment horizontal="center" readingOrder="0" vertical="center"/>
    </xf>
    <xf borderId="0" fillId="13" fontId="41" numFmtId="0" xfId="0" applyAlignment="1" applyFont="1">
      <alignment horizontal="center" readingOrder="0" vertical="center"/>
    </xf>
    <xf borderId="0" fillId="0" fontId="41" numFmtId="0" xfId="0" applyAlignment="1" applyFont="1">
      <alignment horizontal="center" readingOrder="0" vertical="center"/>
    </xf>
    <xf borderId="0" fillId="0" fontId="43" numFmtId="0" xfId="0" applyAlignment="1" applyFont="1">
      <alignment horizontal="center" readingOrder="0" vertical="center"/>
    </xf>
    <xf borderId="4" fillId="0" fontId="44" numFmtId="0" xfId="0" applyAlignment="1" applyBorder="1" applyFont="1">
      <alignment horizontal="center" readingOrder="0" shrinkToFit="0" vertical="center" wrapText="1"/>
    </xf>
    <xf borderId="10" fillId="0" fontId="2" numFmtId="0" xfId="0" applyBorder="1" applyFont="1"/>
    <xf borderId="9" fillId="0" fontId="2" numFmtId="0" xfId="0" applyBorder="1" applyFont="1"/>
    <xf borderId="11" fillId="0" fontId="2" numFmtId="0" xfId="0" applyBorder="1" applyFont="1"/>
    <xf borderId="7" fillId="0" fontId="44" numFmtId="0" xfId="0" applyAlignment="1" applyBorder="1" applyFont="1">
      <alignment horizontal="center" readingOrder="0" shrinkToFit="0" vertical="center" wrapText="1"/>
    </xf>
    <xf borderId="4" fillId="0" fontId="44" numFmtId="0" xfId="0" applyAlignment="1" applyBorder="1" applyFont="1">
      <alignment horizontal="center" readingOrder="0" vertical="center"/>
    </xf>
    <xf borderId="7" fillId="0" fontId="44" numFmtId="0" xfId="0" applyAlignment="1" applyBorder="1" applyFont="1">
      <alignment horizontal="center" readingOrder="0" vertical="center"/>
    </xf>
    <xf borderId="8" fillId="0" fontId="44" numFmtId="0" xfId="0" applyAlignment="1" applyBorder="1" applyFont="1">
      <alignment horizontal="left" readingOrder="0" vertical="center"/>
    </xf>
    <xf borderId="8" fillId="0" fontId="44" numFmtId="0" xfId="0" applyAlignment="1" applyBorder="1" applyFont="1">
      <alignment horizontal="center" readingOrder="0" vertical="center"/>
    </xf>
    <xf borderId="8" fillId="0" fontId="44" numFmtId="0" xfId="0" applyAlignment="1" applyBorder="1" applyFont="1">
      <alignment horizontal="left" vertical="center"/>
    </xf>
    <xf borderId="5" fillId="0" fontId="44" numFmtId="0" xfId="0" applyAlignment="1" applyBorder="1" applyFont="1">
      <alignment horizontal="left" vertical="center"/>
    </xf>
    <xf borderId="4" fillId="0" fontId="44" numFmtId="0" xfId="0" applyAlignment="1" applyBorder="1" applyFont="1">
      <alignment horizontal="left" vertical="center"/>
    </xf>
    <xf borderId="4" fillId="0" fontId="44" numFmtId="0" xfId="0" applyAlignment="1" applyBorder="1" applyFont="1">
      <alignment horizontal="left" readingOrder="0" vertical="center"/>
    </xf>
    <xf borderId="7" fillId="0" fontId="44" numFmtId="0" xfId="0" applyAlignment="1" applyBorder="1" applyFont="1">
      <alignment horizontal="left" vertical="center"/>
    </xf>
    <xf borderId="1" fillId="0" fontId="44" numFmtId="0" xfId="0" applyAlignment="1" applyBorder="1" applyFont="1">
      <alignment horizontal="left" readingOrder="0" vertical="center"/>
    </xf>
    <xf borderId="1" fillId="0" fontId="44" numFmtId="0" xfId="0" applyAlignment="1" applyBorder="1" applyFont="1">
      <alignment horizontal="left" vertical="center"/>
    </xf>
    <xf borderId="3" fillId="0" fontId="44" numFmtId="0" xfId="0" applyAlignment="1" applyBorder="1" applyFont="1">
      <alignment horizontal="left" vertical="center"/>
    </xf>
    <xf borderId="11" fillId="0" fontId="44" numFmtId="0" xfId="0" applyAlignment="1" applyBorder="1" applyFont="1">
      <alignment horizontal="left" readingOrder="0" vertical="center"/>
    </xf>
    <xf borderId="11" fillId="0" fontId="44" numFmtId="0" xfId="0" applyAlignment="1" applyBorder="1" applyFont="1">
      <alignment horizontal="center" readingOrder="0" vertical="center"/>
    </xf>
    <xf borderId="11" fillId="0" fontId="44" numFmtId="0" xfId="0" applyAlignment="1" applyBorder="1" applyFont="1">
      <alignment horizontal="left" vertical="center"/>
    </xf>
    <xf borderId="12" fillId="0" fontId="44" numFmtId="0" xfId="0" applyAlignment="1" applyBorder="1" applyFont="1">
      <alignment horizontal="center" readingOrder="0" vertical="center"/>
    </xf>
    <xf borderId="8" fillId="0" fontId="2" numFmtId="0" xfId="0" applyBorder="1" applyFont="1"/>
    <xf borderId="0" fillId="0" fontId="44" numFmtId="0" xfId="0" applyAlignment="1" applyFont="1">
      <alignment horizontal="left" readingOrder="0" vertical="center"/>
    </xf>
    <xf borderId="0" fillId="0" fontId="42" numFmtId="0" xfId="0" applyAlignment="1" applyFont="1">
      <alignment horizontal="center" vertical="center"/>
    </xf>
    <xf borderId="0" fillId="0" fontId="47" numFmtId="0" xfId="0" applyAlignment="1" applyFont="1">
      <alignment horizontal="left" readingOrder="0" vertical="center"/>
    </xf>
    <xf borderId="0" fillId="13" fontId="47" numFmtId="0" xfId="0" applyAlignment="1" applyFont="1">
      <alignment horizontal="center" readingOrder="0" vertical="center"/>
    </xf>
    <xf borderId="0" fillId="0" fontId="47" numFmtId="0" xfId="0" applyAlignment="1" applyFont="1">
      <alignment horizontal="center" readingOrder="0" vertical="center"/>
    </xf>
    <xf borderId="0" fillId="13" fontId="47" numFmtId="0" xfId="0" applyAlignment="1" applyFont="1">
      <alignment horizontal="left" readingOrder="0" vertical="center"/>
    </xf>
    <xf borderId="0" fillId="0" fontId="48" numFmtId="0" xfId="0" applyAlignment="1" applyFont="1">
      <alignment horizontal="center" vertical="center"/>
    </xf>
    <xf borderId="13" fillId="0" fontId="20" numFmtId="49" xfId="0" applyAlignment="1" applyBorder="1" applyFont="1" applyNumberFormat="1">
      <alignment shrinkToFit="0" vertical="bottom" wrapText="0"/>
    </xf>
    <xf borderId="13" fillId="0" fontId="20" numFmtId="49" xfId="0" applyAlignment="1" applyBorder="1" applyFont="1" applyNumberFormat="1">
      <alignment vertical="bottom"/>
    </xf>
    <xf borderId="13" fillId="0" fontId="21" numFmtId="0" xfId="0" applyAlignment="1" applyBorder="1" applyFont="1">
      <alignment vertical="bottom"/>
    </xf>
    <xf borderId="13" fillId="0" fontId="21" numFmtId="3" xfId="0" applyBorder="1" applyFont="1" applyNumberFormat="1"/>
    <xf borderId="13" fillId="0" fontId="49" numFmtId="0" xfId="0" applyAlignment="1" applyBorder="1" applyFont="1">
      <alignment horizontal="center" shrinkToFit="0" vertical="bottom" wrapText="0"/>
    </xf>
    <xf borderId="14" fillId="0" fontId="21" numFmtId="49" xfId="0" applyAlignment="1" applyBorder="1" applyFont="1" applyNumberFormat="1">
      <alignment vertical="bottom"/>
    </xf>
    <xf borderId="14" fillId="0" fontId="21" numFmtId="0" xfId="0" applyAlignment="1" applyBorder="1" applyFont="1">
      <alignment vertical="bottom"/>
    </xf>
    <xf borderId="14" fillId="0" fontId="50" numFmtId="0" xfId="0" applyAlignment="1" applyBorder="1" applyFont="1">
      <alignment horizontal="center" shrinkToFit="0" vertical="bottom" wrapText="1"/>
    </xf>
    <xf borderId="14" fillId="0" fontId="51" numFmtId="169" xfId="0" applyAlignment="1" applyBorder="1" applyFont="1" applyNumberFormat="1">
      <alignment horizontal="right" vertical="bottom"/>
    </xf>
    <xf borderId="14" fillId="0" fontId="51" numFmtId="170" xfId="0" applyAlignment="1" applyBorder="1" applyFont="1" applyNumberFormat="1">
      <alignment vertical="bottom"/>
    </xf>
    <xf borderId="15" fillId="0" fontId="21" numFmtId="49" xfId="0" applyAlignment="1" applyBorder="1" applyFont="1" applyNumberFormat="1">
      <alignment vertical="bottom"/>
    </xf>
    <xf borderId="15" fillId="0" fontId="21" numFmtId="0" xfId="0" applyAlignment="1" applyBorder="1" applyFont="1">
      <alignment vertical="bottom"/>
    </xf>
    <xf borderId="16" fillId="0" fontId="50" numFmtId="0" xfId="0" applyAlignment="1" applyBorder="1" applyFont="1">
      <alignment horizontal="center" shrinkToFit="0" vertical="bottom" wrapText="1"/>
    </xf>
    <xf borderId="17" fillId="0" fontId="2" numFmtId="0" xfId="0" applyBorder="1" applyFont="1"/>
    <xf borderId="17" fillId="0" fontId="51" numFmtId="169" xfId="0" applyAlignment="1" applyBorder="1" applyFont="1" applyNumberFormat="1">
      <alignment horizontal="right" vertical="bottom"/>
    </xf>
    <xf borderId="16" fillId="0" fontId="51" numFmtId="170" xfId="0" applyAlignment="1" applyBorder="1" applyFont="1" applyNumberFormat="1">
      <alignment vertical="bottom"/>
    </xf>
    <xf borderId="3" fillId="8" fontId="51" numFmtId="49" xfId="0" applyAlignment="1" applyBorder="1" applyFont="1" applyNumberFormat="1">
      <alignment horizontal="center"/>
    </xf>
    <xf borderId="3" fillId="8" fontId="51" numFmtId="49" xfId="0" applyAlignment="1" applyBorder="1" applyFont="1" applyNumberFormat="1">
      <alignment horizontal="center" shrinkToFit="0" wrapText="1"/>
    </xf>
    <xf borderId="3" fillId="8" fontId="51" numFmtId="0" xfId="0" applyAlignment="1" applyBorder="1" applyFont="1">
      <alignment horizontal="center" shrinkToFit="0" wrapText="1"/>
    </xf>
    <xf borderId="1" fillId="8" fontId="52" numFmtId="0" xfId="0" applyAlignment="1" applyBorder="1" applyFont="1">
      <alignment horizontal="center" shrinkToFit="0" wrapText="1"/>
    </xf>
    <xf borderId="1" fillId="8" fontId="51" numFmtId="0" xfId="0" applyAlignment="1" applyBorder="1" applyFont="1">
      <alignment horizontal="center"/>
    </xf>
    <xf borderId="3" fillId="8" fontId="51" numFmtId="0" xfId="0" applyAlignment="1" applyBorder="1" applyFont="1">
      <alignment horizontal="center"/>
    </xf>
    <xf borderId="3" fillId="13" fontId="51" numFmtId="49" xfId="0" applyAlignment="1" applyBorder="1" applyFont="1" applyNumberFormat="1">
      <alignment horizontal="center" vertical="bottom"/>
    </xf>
    <xf borderId="3" fillId="13" fontId="21" numFmtId="49" xfId="0" applyAlignment="1" applyBorder="1" applyFont="1" applyNumberFormat="1">
      <alignment vertical="bottom"/>
    </xf>
    <xf borderId="3" fillId="13" fontId="21" numFmtId="0" xfId="0" applyAlignment="1" applyBorder="1" applyFont="1">
      <alignment vertical="bottom"/>
    </xf>
    <xf borderId="3" fillId="13" fontId="52" numFmtId="0" xfId="0" applyAlignment="1" applyBorder="1" applyFont="1">
      <alignment horizontal="center" vertical="bottom"/>
    </xf>
    <xf borderId="3" fillId="13" fontId="51" numFmtId="0" xfId="0" applyAlignment="1" applyBorder="1" applyFont="1">
      <alignment horizontal="center" vertical="bottom"/>
    </xf>
    <xf borderId="3" fillId="17" fontId="21" numFmtId="49" xfId="0" applyAlignment="1" applyBorder="1" applyFill="1" applyFont="1" applyNumberFormat="1">
      <alignment vertical="bottom"/>
    </xf>
    <xf borderId="3" fillId="17" fontId="21" numFmtId="0" xfId="0" applyAlignment="1" applyBorder="1" applyFont="1">
      <alignment vertical="bottom"/>
    </xf>
    <xf borderId="3" fillId="17" fontId="53" numFmtId="3" xfId="0" applyAlignment="1" applyBorder="1" applyFont="1" applyNumberFormat="1">
      <alignment horizontal="right" vertical="bottom"/>
    </xf>
    <xf borderId="3" fillId="17" fontId="20" numFmtId="0" xfId="0" applyAlignment="1" applyBorder="1" applyFont="1">
      <alignment horizontal="center" vertical="bottom"/>
    </xf>
    <xf borderId="3" fillId="18" fontId="21" numFmtId="49" xfId="0" applyAlignment="1" applyBorder="1" applyFill="1" applyFont="1" applyNumberFormat="1">
      <alignment vertical="bottom"/>
    </xf>
    <xf borderId="3" fillId="18" fontId="54" numFmtId="49" xfId="0" applyAlignment="1" applyBorder="1" applyFont="1" applyNumberFormat="1">
      <alignment vertical="bottom"/>
    </xf>
    <xf borderId="3" fillId="18" fontId="54" numFmtId="49" xfId="0" applyAlignment="1" applyBorder="1" applyFont="1" applyNumberFormat="1">
      <alignment shrinkToFit="0" vertical="bottom" wrapText="1"/>
    </xf>
    <xf borderId="3" fillId="2" fontId="21" numFmtId="3" xfId="0" applyAlignment="1" applyBorder="1" applyFont="1" applyNumberFormat="1">
      <alignment vertical="bottom"/>
    </xf>
    <xf borderId="3" fillId="2" fontId="55" numFmtId="3" xfId="0" applyAlignment="1" applyBorder="1" applyFont="1" applyNumberFormat="1">
      <alignment horizontal="right" vertical="bottom"/>
    </xf>
    <xf borderId="3" fillId="18" fontId="55" numFmtId="0" xfId="0" applyAlignment="1" applyBorder="1" applyFont="1">
      <alignment horizontal="center" shrinkToFit="0" wrapText="1"/>
    </xf>
    <xf borderId="3" fillId="13" fontId="20" numFmtId="49" xfId="0" applyAlignment="1" applyBorder="1" applyFont="1" applyNumberFormat="1">
      <alignment horizontal="center" vertical="bottom"/>
    </xf>
    <xf borderId="3" fillId="19" fontId="20" numFmtId="49" xfId="0" applyAlignment="1" applyBorder="1" applyFill="1" applyFont="1" applyNumberFormat="1">
      <alignment readingOrder="0" vertical="bottom"/>
    </xf>
    <xf borderId="3" fillId="17" fontId="20" numFmtId="0" xfId="0" applyAlignment="1" applyBorder="1" applyFont="1">
      <alignment shrinkToFit="0" vertical="bottom" wrapText="1"/>
    </xf>
    <xf borderId="3" fillId="13" fontId="21" numFmtId="3" xfId="0" applyAlignment="1" applyBorder="1" applyFont="1" applyNumberFormat="1">
      <alignment vertical="bottom"/>
    </xf>
    <xf borderId="3" fillId="13" fontId="56" numFmtId="3" xfId="0" applyAlignment="1" applyBorder="1" applyFont="1" applyNumberFormat="1">
      <alignment horizontal="right" vertical="bottom"/>
    </xf>
    <xf borderId="3" fillId="19" fontId="20" numFmtId="49" xfId="0" applyAlignment="1" applyBorder="1" applyFont="1" applyNumberFormat="1">
      <alignment vertical="bottom"/>
    </xf>
    <xf borderId="3" fillId="13" fontId="20" numFmtId="3" xfId="0" applyAlignment="1" applyBorder="1" applyFont="1" applyNumberFormat="1">
      <alignment horizontal="right" vertical="bottom"/>
    </xf>
    <xf borderId="3" fillId="13" fontId="20" numFmtId="0" xfId="0" applyAlignment="1" applyBorder="1" applyFont="1">
      <alignment horizontal="center" vertical="bottom"/>
    </xf>
    <xf borderId="3" fillId="13" fontId="20" numFmtId="0" xfId="0" applyAlignment="1" applyBorder="1" applyFont="1">
      <alignment shrinkToFit="0" vertical="bottom" wrapText="1"/>
    </xf>
    <xf borderId="3" fillId="17" fontId="21" numFmtId="3" xfId="0" applyAlignment="1" applyBorder="1" applyFont="1" applyNumberFormat="1">
      <alignment vertical="bottom"/>
    </xf>
    <xf borderId="3" fillId="17" fontId="56" numFmtId="3" xfId="0" applyAlignment="1" applyBorder="1" applyFont="1" applyNumberFormat="1">
      <alignment horizontal="right" vertical="bottom"/>
    </xf>
    <xf borderId="3" fillId="13" fontId="20" numFmtId="49" xfId="0" applyAlignment="1" applyBorder="1" applyFont="1" applyNumberFormat="1">
      <alignment vertical="bottom"/>
    </xf>
    <xf borderId="3" fillId="17" fontId="20" numFmtId="49" xfId="0" applyAlignment="1" applyBorder="1" applyFont="1" applyNumberFormat="1">
      <alignment vertical="bottom"/>
    </xf>
    <xf borderId="3" fillId="17" fontId="20" numFmtId="3" xfId="0" applyAlignment="1" applyBorder="1" applyFont="1" applyNumberFormat="1">
      <alignment horizontal="right" vertical="bottom"/>
    </xf>
    <xf borderId="3" fillId="13" fontId="20" numFmtId="0" xfId="0" applyAlignment="1" applyBorder="1" applyFont="1">
      <alignment readingOrder="0" shrinkToFit="0" vertical="bottom" wrapText="1"/>
    </xf>
    <xf borderId="3" fillId="17" fontId="20" numFmtId="0" xfId="0" applyAlignment="1" applyBorder="1" applyFont="1">
      <alignment readingOrder="0" shrinkToFit="0" vertical="bottom" wrapText="1"/>
    </xf>
    <xf borderId="3" fillId="18" fontId="54" numFmtId="49" xfId="0" applyAlignment="1" applyBorder="1" applyFont="1" applyNumberFormat="1">
      <alignment readingOrder="0" vertical="bottom"/>
    </xf>
    <xf borderId="3" fillId="18" fontId="54" numFmtId="49" xfId="0" applyAlignment="1" applyBorder="1" applyFont="1" applyNumberFormat="1">
      <alignment readingOrder="0" shrinkToFit="0" vertical="bottom" wrapText="1"/>
    </xf>
    <xf borderId="3" fillId="13" fontId="20" numFmtId="49" xfId="0" applyAlignment="1" applyBorder="1" applyFont="1" applyNumberFormat="1">
      <alignment readingOrder="0" vertical="bottom"/>
    </xf>
    <xf borderId="3" fillId="17" fontId="20" numFmtId="0" xfId="0" applyAlignment="1" applyBorder="1" applyFont="1">
      <alignment readingOrder="0" shrinkToFit="0" vertical="bottom" wrapText="1"/>
    </xf>
    <xf borderId="3" fillId="13" fontId="20" numFmtId="0" xfId="0" applyAlignment="1" applyBorder="1" applyFont="1">
      <alignment readingOrder="0" shrinkToFit="0" vertical="bottom" wrapText="1"/>
    </xf>
    <xf borderId="18" fillId="0" fontId="21" numFmtId="49" xfId="0" applyAlignment="1" applyBorder="1" applyFont="1" applyNumberFormat="1">
      <alignment vertical="bottom"/>
    </xf>
    <xf borderId="18" fillId="0" fontId="21" numFmtId="0" xfId="0" applyAlignment="1" applyBorder="1" applyFont="1">
      <alignment vertical="bottom"/>
    </xf>
    <xf borderId="13" fillId="0" fontId="57" numFmtId="49" xfId="0" applyAlignment="1" applyBorder="1" applyFont="1" applyNumberFormat="1">
      <alignment horizontal="center" vertical="bottom"/>
    </xf>
    <xf borderId="13" fillId="0" fontId="21" numFmtId="49" xfId="0" applyAlignment="1" applyBorder="1" applyFont="1" applyNumberFormat="1">
      <alignment vertical="bottom"/>
    </xf>
    <xf borderId="13" fillId="0" fontId="51" numFmtId="0" xfId="0" applyAlignment="1" applyBorder="1" applyFont="1">
      <alignment horizontal="center" shrinkToFit="0" vertical="bottom" wrapText="1"/>
    </xf>
    <xf borderId="13" fillId="0" fontId="51" numFmtId="0" xfId="0" applyAlignment="1" applyBorder="1" applyFont="1">
      <alignment horizontal="center" shrinkToFit="0" vertical="bottom" wrapText="0"/>
    </xf>
    <xf borderId="13" fillId="0" fontId="51" numFmtId="0" xfId="0" applyAlignment="1" applyBorder="1" applyFont="1">
      <alignment vertical="bottom"/>
    </xf>
    <xf borderId="13" fillId="0" fontId="58" numFmtId="0" xfId="0" applyAlignment="1" applyBorder="1" applyFont="1">
      <alignment horizontal="center" shrinkToFit="0" vertical="bottom" wrapText="1"/>
    </xf>
    <xf borderId="13" fillId="0" fontId="58" numFmtId="0" xfId="0" applyAlignment="1" applyBorder="1" applyFont="1">
      <alignment horizontal="center" shrinkToFit="0" vertical="bottom" wrapText="0"/>
    </xf>
    <xf borderId="0" fillId="0" fontId="22" numFmtId="0" xfId="0" applyFont="1"/>
    <xf borderId="0" fillId="3" fontId="59" numFmtId="0" xfId="0" applyAlignment="1" applyFont="1">
      <alignment readingOrder="0" vertical="center"/>
    </xf>
    <xf borderId="0" fillId="3" fontId="59" numFmtId="0" xfId="0" applyAlignment="1" applyFont="1">
      <alignment readingOrder="0" shrinkToFit="0" vertical="center" wrapText="1"/>
    </xf>
    <xf borderId="1" fillId="3" fontId="59" numFmtId="0" xfId="0" applyAlignment="1" applyBorder="1" applyFont="1">
      <alignment readingOrder="0" vertical="center"/>
    </xf>
    <xf borderId="19" fillId="3" fontId="29" numFmtId="0" xfId="0" applyAlignment="1" applyBorder="1" applyFont="1">
      <alignment vertical="center"/>
    </xf>
    <xf borderId="2" fillId="3" fontId="29" numFmtId="49" xfId="0" applyAlignment="1" applyBorder="1" applyFont="1" applyNumberFormat="1">
      <alignment vertical="center"/>
    </xf>
    <xf borderId="2" fillId="3" fontId="29" numFmtId="0" xfId="0" applyAlignment="1" applyBorder="1" applyFont="1">
      <alignment vertical="center"/>
    </xf>
    <xf borderId="10" fillId="3" fontId="60" numFmtId="0" xfId="0" applyAlignment="1" applyBorder="1" applyFont="1">
      <alignment horizontal="center" vertical="center"/>
    </xf>
    <xf borderId="0" fillId="3" fontId="60" numFmtId="0" xfId="0" applyAlignment="1" applyFont="1">
      <alignment horizontal="center" shrinkToFit="0" vertical="center" wrapText="1"/>
    </xf>
    <xf borderId="5" fillId="3" fontId="61" numFmtId="0" xfId="0" applyAlignment="1" applyBorder="1" applyFont="1">
      <alignment vertical="center"/>
    </xf>
    <xf borderId="1" fillId="0" fontId="4" numFmtId="49" xfId="0" applyAlignment="1" applyBorder="1" applyFont="1" applyNumberFormat="1">
      <alignment horizontal="center" vertical="center"/>
    </xf>
    <xf borderId="2" fillId="0" fontId="29" numFmtId="49" xfId="0" applyAlignment="1" applyBorder="1" applyFont="1" applyNumberFormat="1">
      <alignment vertical="center"/>
    </xf>
    <xf borderId="20" fillId="0" fontId="2" numFmtId="0" xfId="0" applyBorder="1" applyFont="1"/>
    <xf borderId="1" fillId="3" fontId="62" numFmtId="0" xfId="0" applyAlignment="1" applyBorder="1" applyFont="1">
      <alignment horizontal="center" vertical="center"/>
    </xf>
    <xf borderId="21" fillId="0" fontId="2" numFmtId="0" xfId="0" applyBorder="1" applyFont="1"/>
    <xf borderId="5" fillId="20" fontId="59" numFmtId="0" xfId="0" applyAlignment="1" applyBorder="1" applyFill="1" applyFont="1">
      <alignment vertical="center"/>
    </xf>
    <xf borderId="6" fillId="20" fontId="29" numFmtId="0" xfId="0" applyAlignment="1" applyBorder="1" applyFont="1">
      <alignment vertical="center"/>
    </xf>
    <xf borderId="6" fillId="20" fontId="29" numFmtId="49" xfId="0" applyAlignment="1" applyBorder="1" applyFont="1" applyNumberFormat="1">
      <alignment vertical="center"/>
    </xf>
    <xf borderId="6" fillId="20" fontId="63" numFmtId="0" xfId="0" applyAlignment="1" applyBorder="1" applyFont="1">
      <alignment vertical="center"/>
    </xf>
    <xf borderId="21" fillId="20" fontId="29" numFmtId="0" xfId="0" applyAlignment="1" applyBorder="1" applyFont="1">
      <alignment vertical="center"/>
    </xf>
    <xf borderId="0" fillId="20" fontId="63" numFmtId="0" xfId="0" applyAlignment="1" applyFont="1">
      <alignment shrinkToFit="0" vertical="center" wrapText="1"/>
    </xf>
    <xf borderId="22" fillId="21" fontId="59" numFmtId="0" xfId="0" applyAlignment="1" applyBorder="1" applyFill="1" applyFont="1">
      <alignment horizontal="center" vertical="center"/>
    </xf>
    <xf borderId="20" fillId="21" fontId="59" numFmtId="0" xfId="0" applyAlignment="1" applyBorder="1" applyFont="1">
      <alignment horizontal="center" vertical="center"/>
    </xf>
    <xf borderId="20" fillId="21" fontId="59" numFmtId="49" xfId="0" applyAlignment="1" applyBorder="1" applyFont="1" applyNumberFormat="1">
      <alignment horizontal="center" vertical="center"/>
    </xf>
    <xf borderId="21" fillId="21" fontId="59" numFmtId="0" xfId="0" applyAlignment="1" applyBorder="1" applyFont="1">
      <alignment horizontal="center" vertical="center"/>
    </xf>
    <xf borderId="20" fillId="3" fontId="59" numFmtId="0" xfId="0" applyAlignment="1" applyBorder="1" applyFont="1">
      <alignment horizontal="center" shrinkToFit="0" vertical="center" wrapText="1"/>
    </xf>
    <xf borderId="0" fillId="0" fontId="42" numFmtId="0" xfId="0" applyAlignment="1" applyFont="1">
      <alignment horizontal="center" readingOrder="0" shrinkToFit="0" wrapText="1"/>
    </xf>
    <xf borderId="23" fillId="0" fontId="2" numFmtId="0" xfId="0" applyBorder="1" applyFont="1"/>
    <xf borderId="6" fillId="21" fontId="59" numFmtId="0" xfId="0" applyAlignment="1" applyBorder="1" applyFont="1">
      <alignment horizontal="center" shrinkToFit="0" vertical="center" wrapText="1"/>
    </xf>
    <xf borderId="6" fillId="21" fontId="59" numFmtId="0" xfId="0" applyAlignment="1" applyBorder="1" applyFont="1">
      <alignment horizontal="center" vertical="center"/>
    </xf>
    <xf borderId="0" fillId="3" fontId="59" numFmtId="0" xfId="0" applyAlignment="1" applyFont="1">
      <alignment horizontal="center" shrinkToFit="0" vertical="center" wrapText="1"/>
    </xf>
    <xf borderId="23" fillId="0" fontId="59" numFmtId="0" xfId="0" applyAlignment="1" applyBorder="1" applyFont="1">
      <alignment horizontal="center" vertical="center"/>
    </xf>
    <xf borderId="6" fillId="0" fontId="59" numFmtId="0" xfId="0" applyAlignment="1" applyBorder="1" applyFont="1">
      <alignment shrinkToFit="0" vertical="center" wrapText="1"/>
    </xf>
    <xf borderId="6" fillId="0" fontId="4" numFmtId="49" xfId="0" applyAlignment="1" applyBorder="1" applyFont="1" applyNumberFormat="1">
      <alignment horizontal="center" vertical="center"/>
    </xf>
    <xf borderId="6" fillId="0" fontId="4" numFmtId="167" xfId="0" applyAlignment="1" applyBorder="1" applyFont="1" applyNumberFormat="1">
      <alignment horizontal="right" vertical="center"/>
    </xf>
    <xf borderId="6" fillId="3" fontId="59" numFmtId="167" xfId="0" applyAlignment="1" applyBorder="1" applyFont="1" applyNumberFormat="1">
      <alignment horizontal="right" vertical="center"/>
    </xf>
    <xf borderId="0" fillId="0" fontId="22" numFmtId="167" xfId="0" applyAlignment="1" applyFont="1" applyNumberFormat="1">
      <alignment readingOrder="0" shrinkToFit="0" wrapText="1"/>
    </xf>
    <xf borderId="23" fillId="0" fontId="64" numFmtId="0" xfId="0" applyAlignment="1" applyBorder="1" applyFont="1">
      <alignment horizontal="center" vertical="center"/>
    </xf>
    <xf borderId="6" fillId="0" fontId="64" numFmtId="0" xfId="0" applyAlignment="1" applyBorder="1" applyFont="1">
      <alignment shrinkToFit="0" vertical="center" wrapText="1"/>
    </xf>
    <xf borderId="6" fillId="0" fontId="23" numFmtId="49" xfId="0" applyAlignment="1" applyBorder="1" applyFont="1" applyNumberFormat="1">
      <alignment horizontal="center" vertical="center"/>
    </xf>
    <xf borderId="6" fillId="0" fontId="23" numFmtId="167" xfId="0" applyAlignment="1" applyBorder="1" applyFont="1" applyNumberFormat="1">
      <alignment horizontal="right" vertical="center"/>
    </xf>
    <xf borderId="6" fillId="0" fontId="65" numFmtId="0" xfId="0" applyAlignment="1" applyBorder="1" applyFont="1">
      <alignment shrinkToFit="0" vertical="center" wrapText="1"/>
    </xf>
    <xf borderId="6" fillId="0" fontId="29" numFmtId="49" xfId="0" applyAlignment="1" applyBorder="1" applyFont="1" applyNumberFormat="1">
      <alignment vertical="center"/>
    </xf>
    <xf borderId="6" fillId="0" fontId="66" numFmtId="167" xfId="0" applyAlignment="1" applyBorder="1" applyFont="1" applyNumberFormat="1">
      <alignment horizontal="right" vertical="center"/>
    </xf>
    <xf borderId="23" fillId="16" fontId="59" numFmtId="0" xfId="0" applyAlignment="1" applyBorder="1" applyFont="1">
      <alignment horizontal="center" vertical="center"/>
    </xf>
    <xf borderId="6" fillId="16" fontId="59" numFmtId="0" xfId="0" applyAlignment="1" applyBorder="1" applyFont="1">
      <alignment shrinkToFit="0" vertical="center" wrapText="1"/>
    </xf>
    <xf borderId="6" fillId="16" fontId="29" numFmtId="49" xfId="0" applyAlignment="1" applyBorder="1" applyFont="1" applyNumberFormat="1">
      <alignment vertical="center"/>
    </xf>
    <xf borderId="6" fillId="16" fontId="23" numFmtId="167" xfId="0" applyAlignment="1" applyBorder="1" applyFont="1" applyNumberFormat="1">
      <alignment horizontal="right" vertical="center"/>
    </xf>
    <xf borderId="6" fillId="16" fontId="59" numFmtId="167" xfId="0" applyAlignment="1" applyBorder="1" applyFont="1" applyNumberFormat="1">
      <alignment horizontal="right" vertical="center"/>
    </xf>
    <xf borderId="24" fillId="0" fontId="59" numFmtId="0" xfId="0" applyAlignment="1" applyBorder="1" applyFont="1">
      <alignment shrinkToFit="0" vertical="center" wrapText="1"/>
    </xf>
    <xf borderId="25" fillId="0" fontId="2" numFmtId="0" xfId="0" applyBorder="1" applyFont="1"/>
    <xf borderId="6" fillId="3" fontId="64" numFmtId="167" xfId="0" applyAlignment="1" applyBorder="1" applyFont="1" applyNumberFormat="1">
      <alignment horizontal="right" vertical="center"/>
    </xf>
    <xf borderId="0" fillId="3" fontId="64" numFmtId="167" xfId="0" applyAlignment="1" applyFont="1" applyNumberFormat="1">
      <alignment horizontal="right" readingOrder="0" shrinkToFit="0" vertical="center" wrapText="1"/>
    </xf>
    <xf borderId="6" fillId="0" fontId="29" numFmtId="49" xfId="0" applyAlignment="1" applyBorder="1" applyFont="1" applyNumberFormat="1">
      <alignment readingOrder="0" vertical="center"/>
    </xf>
    <xf borderId="6" fillId="16" fontId="4" numFmtId="167" xfId="0" applyAlignment="1" applyBorder="1" applyFont="1" applyNumberFormat="1">
      <alignment horizontal="right" vertical="center"/>
    </xf>
    <xf borderId="0" fillId="16" fontId="59" numFmtId="167" xfId="0" applyAlignment="1" applyFont="1" applyNumberFormat="1">
      <alignment horizontal="right" readingOrder="0" shrinkToFit="0" vertical="center" wrapText="1"/>
    </xf>
    <xf borderId="23" fillId="22" fontId="59" numFmtId="0" xfId="0" applyAlignment="1" applyBorder="1" applyFill="1" applyFont="1">
      <alignment horizontal="center" vertical="center"/>
    </xf>
    <xf borderId="6" fillId="22" fontId="64" numFmtId="0" xfId="0" applyAlignment="1" applyBorder="1" applyFont="1">
      <alignment shrinkToFit="0" vertical="center" wrapText="1"/>
    </xf>
    <xf borderId="6" fillId="22" fontId="29" numFmtId="49" xfId="0" applyAlignment="1" applyBorder="1" applyFont="1" applyNumberFormat="1">
      <alignment vertical="center"/>
    </xf>
    <xf borderId="6" fillId="22" fontId="23" numFmtId="167" xfId="0" applyAlignment="1" applyBorder="1" applyFont="1" applyNumberFormat="1">
      <alignment horizontal="right" vertical="center"/>
    </xf>
    <xf borderId="6" fillId="22" fontId="59" numFmtId="167" xfId="0" applyAlignment="1" applyBorder="1" applyFont="1" applyNumberFormat="1">
      <alignment horizontal="right" vertical="center"/>
    </xf>
    <xf borderId="0" fillId="22" fontId="59" numFmtId="167" xfId="0" applyAlignment="1" applyFont="1" applyNumberFormat="1">
      <alignment horizontal="right" readingOrder="0" shrinkToFit="0" vertical="center" wrapText="1"/>
    </xf>
    <xf borderId="6" fillId="22" fontId="59" numFmtId="0" xfId="0" applyAlignment="1" applyBorder="1" applyFont="1">
      <alignment shrinkToFit="0" vertical="center" wrapText="1"/>
    </xf>
    <xf borderId="6" fillId="22" fontId="4" numFmtId="167" xfId="0" applyAlignment="1" applyBorder="1" applyFont="1" applyNumberFormat="1">
      <alignment horizontal="right" vertical="center"/>
    </xf>
    <xf borderId="24" fillId="0" fontId="5" numFmtId="0" xfId="0" applyAlignment="1" applyBorder="1" applyFont="1">
      <alignment shrinkToFit="0" vertical="center" wrapText="1"/>
    </xf>
    <xf borderId="6" fillId="0" fontId="29" numFmtId="0" xfId="0" applyAlignment="1" applyBorder="1" applyFont="1">
      <alignment vertical="center"/>
    </xf>
    <xf borderId="6" fillId="3" fontId="29" numFmtId="0" xfId="0" applyAlignment="1" applyBorder="1" applyFont="1">
      <alignment vertical="center"/>
    </xf>
    <xf borderId="0" fillId="3" fontId="29" numFmtId="0" xfId="0" applyAlignment="1" applyFont="1">
      <alignment shrinkToFit="0" vertical="center" wrapText="1"/>
    </xf>
    <xf borderId="23" fillId="0" fontId="6" numFmtId="0" xfId="0" applyAlignment="1" applyBorder="1" applyFont="1">
      <alignment horizontal="center" vertical="center"/>
    </xf>
    <xf borderId="6" fillId="0" fontId="6" numFmtId="0" xfId="0" applyAlignment="1" applyBorder="1" applyFont="1">
      <alignment shrinkToFit="0" vertical="center" wrapText="1"/>
    </xf>
    <xf borderId="6" fillId="3" fontId="6" numFmtId="167" xfId="0" applyAlignment="1" applyBorder="1" applyFont="1" applyNumberFormat="1">
      <alignment horizontal="right" vertical="center"/>
    </xf>
    <xf borderId="0" fillId="3" fontId="6" numFmtId="167" xfId="0" applyAlignment="1" applyFont="1" applyNumberFormat="1">
      <alignment horizontal="right" shrinkToFit="0" vertical="center" wrapText="1"/>
    </xf>
    <xf borderId="6" fillId="3" fontId="7" numFmtId="0" xfId="0" applyAlignment="1" applyBorder="1" applyFont="1">
      <alignment vertical="center"/>
    </xf>
    <xf borderId="6" fillId="3" fontId="7" numFmtId="49" xfId="0" applyAlignment="1" applyBorder="1" applyFont="1" applyNumberFormat="1">
      <alignment horizontal="center" vertical="center"/>
    </xf>
    <xf borderId="6" fillId="3" fontId="7" numFmtId="171" xfId="0" applyAlignment="1" applyBorder="1" applyFont="1" applyNumberFormat="1">
      <alignment horizontal="right" vertical="center"/>
    </xf>
    <xf borderId="6" fillId="3" fontId="7" numFmtId="167" xfId="0" applyAlignment="1" applyBorder="1" applyFont="1" applyNumberFormat="1">
      <alignment horizontal="right" vertical="center"/>
    </xf>
    <xf borderId="0" fillId="3" fontId="7" numFmtId="167" xfId="0" applyAlignment="1" applyFont="1" applyNumberFormat="1">
      <alignment horizontal="right" readingOrder="0" shrinkToFit="0" vertical="center" wrapText="1"/>
    </xf>
    <xf borderId="5" fillId="3" fontId="7" numFmtId="0" xfId="0" applyAlignment="1" applyBorder="1" applyFont="1">
      <alignment horizontal="center" vertical="center"/>
    </xf>
    <xf borderId="6" fillId="3" fontId="7" numFmtId="0" xfId="0" applyAlignment="1" applyBorder="1" applyFont="1">
      <alignment readingOrder="0" vertical="center"/>
    </xf>
    <xf borderId="6" fillId="3" fontId="67" numFmtId="167" xfId="0" applyAlignment="1" applyBorder="1" applyFont="1" applyNumberFormat="1">
      <alignment horizontal="right" vertical="center"/>
    </xf>
    <xf borderId="0" fillId="3" fontId="67" numFmtId="167" xfId="0" applyAlignment="1" applyFont="1" applyNumberFormat="1">
      <alignment horizontal="right" readingOrder="0" shrinkToFit="0" vertical="center" wrapText="1"/>
    </xf>
    <xf borderId="6" fillId="3" fontId="67" numFmtId="171" xfId="0" applyAlignment="1" applyBorder="1" applyFont="1" applyNumberFormat="1">
      <alignment horizontal="right" vertical="center"/>
    </xf>
    <xf borderId="0" fillId="3" fontId="67" numFmtId="171" xfId="0" applyAlignment="1" applyFont="1" applyNumberFormat="1">
      <alignment horizontal="right" readingOrder="0" shrinkToFit="0" vertical="center" wrapText="1"/>
    </xf>
    <xf borderId="6" fillId="3" fontId="29" numFmtId="167" xfId="0" applyAlignment="1" applyBorder="1" applyFont="1" applyNumberFormat="1">
      <alignment vertical="center"/>
    </xf>
    <xf borderId="0" fillId="3" fontId="29" numFmtId="167" xfId="0" applyAlignment="1" applyFont="1" applyNumberFormat="1">
      <alignment readingOrder="0" shrinkToFit="0" vertical="center" wrapText="1"/>
    </xf>
    <xf borderId="0" fillId="3" fontId="29" numFmtId="0" xfId="0" applyAlignment="1" applyFont="1">
      <alignment vertical="center"/>
    </xf>
    <xf borderId="0" fillId="3" fontId="7" numFmtId="0" xfId="0" applyAlignment="1" applyFont="1">
      <alignment vertical="center"/>
    </xf>
    <xf borderId="0" fillId="0" fontId="23" numFmtId="49" xfId="0" applyAlignment="1" applyFont="1" applyNumberFormat="1">
      <alignment horizontal="center" vertical="center"/>
    </xf>
    <xf borderId="0" fillId="0" fontId="23" numFmtId="167" xfId="0" applyAlignment="1" applyFont="1" applyNumberFormat="1">
      <alignment horizontal="right" vertical="center"/>
    </xf>
    <xf borderId="0" fillId="3" fontId="29" numFmtId="167" xfId="0" applyAlignment="1" applyFont="1" applyNumberFormat="1">
      <alignment vertical="center"/>
    </xf>
    <xf borderId="0" fillId="3" fontId="29" numFmtId="167" xfId="0" applyAlignment="1" applyFont="1" applyNumberFormat="1">
      <alignment shrinkToFit="0" vertical="center" wrapText="1"/>
    </xf>
    <xf borderId="0" fillId="0" fontId="42" numFmtId="0" xfId="0" applyAlignment="1" applyFont="1">
      <alignment horizontal="center" readingOrder="0"/>
    </xf>
    <xf borderId="0" fillId="0" fontId="42" numFmtId="49" xfId="0" applyAlignment="1" applyFont="1" applyNumberFormat="1">
      <alignment horizontal="center" readingOrder="0"/>
    </xf>
    <xf borderId="0" fillId="0" fontId="22" numFmtId="49" xfId="0" applyAlignment="1" applyFont="1" applyNumberFormat="1">
      <alignment readingOrder="0"/>
    </xf>
    <xf borderId="0" fillId="23" fontId="68" numFmtId="0" xfId="0" applyAlignment="1" applyFill="1" applyFont="1">
      <alignment horizontal="center"/>
    </xf>
    <xf borderId="0" fillId="23" fontId="69" numFmtId="0" xfId="0" applyAlignment="1" applyFont="1">
      <alignment horizontal="center" readingOrder="0"/>
    </xf>
    <xf borderId="0" fillId="23" fontId="68" numFmtId="0" xfId="0" applyAlignment="1" applyFont="1">
      <alignment horizontal="center" readingOrder="0"/>
    </xf>
    <xf borderId="0" fillId="0" fontId="70" numFmtId="0" xfId="0" applyAlignment="1" applyFont="1">
      <alignment horizontal="center" readingOrder="0"/>
    </xf>
    <xf borderId="0" fillId="0" fontId="71" numFmtId="0" xfId="0" applyAlignment="1" applyFont="1">
      <alignment horizontal="center" readingOrder="0"/>
    </xf>
    <xf borderId="0" fillId="0" fontId="72" numFmtId="0" xfId="0" applyAlignment="1" applyFont="1">
      <alignment horizontal="center" readingOrder="0"/>
    </xf>
    <xf borderId="0" fillId="19" fontId="73" numFmtId="0" xfId="0" applyAlignment="1" applyFont="1">
      <alignment horizontal="center" readingOrder="0"/>
    </xf>
    <xf borderId="0" fillId="24" fontId="74" numFmtId="0" xfId="0" applyAlignment="1" applyFill="1" applyFont="1">
      <alignment horizontal="center" readingOrder="0"/>
    </xf>
    <xf borderId="0" fillId="23" fontId="75" numFmtId="0" xfId="0" applyAlignment="1" applyFont="1">
      <alignment readingOrder="0"/>
    </xf>
    <xf borderId="0" fillId="23" fontId="75" numFmtId="0" xfId="0" applyFont="1"/>
    <xf borderId="0" fillId="0" fontId="75" numFmtId="0" xfId="0" applyFont="1"/>
    <xf borderId="0" fillId="0" fontId="75" numFmtId="0" xfId="0" applyAlignment="1" applyFont="1">
      <alignment readingOrder="0"/>
    </xf>
    <xf borderId="0" fillId="0" fontId="22" numFmtId="0" xfId="0" applyAlignment="1" applyFont="1">
      <alignment readingOrder="0" shrinkToFit="0" wrapText="1"/>
    </xf>
    <xf borderId="0" fillId="0" fontId="76" numFmtId="0" xfId="0" applyFont="1"/>
    <xf borderId="0" fillId="0" fontId="76" numFmtId="0" xfId="0" applyAlignment="1" applyFont="1">
      <alignment readingOrder="0"/>
    </xf>
    <xf borderId="0" fillId="25" fontId="75" numFmtId="0" xfId="0" applyAlignment="1" applyFill="1" applyFont="1">
      <alignment horizontal="center" readingOrder="0"/>
    </xf>
    <xf borderId="0" fillId="26" fontId="42" numFmtId="0" xfId="0" applyAlignment="1" applyFill="1" applyFont="1">
      <alignment horizontal="center" readingOrder="0"/>
    </xf>
    <xf borderId="0" fillId="27" fontId="42" numFmtId="0" xfId="0" applyAlignment="1" applyFill="1" applyFont="1">
      <alignment horizontal="center" readingOrder="0"/>
    </xf>
    <xf borderId="0" fillId="28" fontId="22" numFmtId="0" xfId="0" applyAlignment="1" applyFill="1" applyFont="1">
      <alignment readingOrder="0"/>
    </xf>
    <xf borderId="0" fillId="28" fontId="22" numFmtId="0" xfId="0" applyFont="1"/>
    <xf borderId="0" fillId="14" fontId="22" numFmtId="0" xfId="0" applyAlignment="1" applyFont="1">
      <alignment readingOrder="0"/>
    </xf>
    <xf borderId="0" fillId="14" fontId="22" numFmtId="0" xfId="0" applyFont="1"/>
    <xf borderId="0" fillId="29" fontId="22" numFmtId="0" xfId="0" applyFill="1" applyFont="1"/>
    <xf borderId="0" fillId="16" fontId="22" numFmtId="0" xfId="0" applyAlignment="1" applyFont="1">
      <alignment readingOrder="0"/>
    </xf>
    <xf borderId="0" fillId="16" fontId="22" numFmtId="0" xfId="0" applyFont="1"/>
    <xf borderId="0" fillId="29" fontId="22" numFmtId="0" xfId="0" applyAlignment="1" applyFont="1">
      <alignment readingOrder="0"/>
    </xf>
    <xf borderId="0" fillId="29" fontId="22" numFmtId="9" xfId="0" applyAlignment="1" applyFont="1" applyNumberFormat="1">
      <alignment readingOrder="0"/>
    </xf>
    <xf borderId="0" fillId="30" fontId="22" numFmtId="0" xfId="0" applyAlignment="1" applyFill="1" applyFont="1">
      <alignment horizontal="center" readingOrder="0"/>
    </xf>
    <xf borderId="0" fillId="0" fontId="77" numFmtId="0" xfId="0" applyAlignment="1" applyFont="1">
      <alignment horizontal="center" readingOrder="0"/>
    </xf>
    <xf borderId="3" fillId="21" fontId="59" numFmtId="0" xfId="0" applyAlignment="1" applyBorder="1" applyFont="1">
      <alignment horizontal="center" vertical="center"/>
    </xf>
    <xf borderId="1" fillId="21" fontId="59" numFmtId="0" xfId="0" applyAlignment="1" applyBorder="1" applyFont="1">
      <alignment horizontal="center" vertical="center"/>
    </xf>
    <xf borderId="19" fillId="0" fontId="2" numFmtId="0" xfId="0" applyBorder="1" applyFont="1"/>
    <xf borderId="3" fillId="21" fontId="59" numFmtId="0" xfId="0" applyAlignment="1" applyBorder="1" applyFont="1">
      <alignment horizontal="center" shrinkToFit="0" vertical="center" wrapText="1"/>
    </xf>
    <xf borderId="3" fillId="0" fontId="59" numFmtId="0" xfId="0" applyAlignment="1" applyBorder="1" applyFont="1">
      <alignment horizontal="center" shrinkToFit="0" vertical="center" wrapText="1"/>
    </xf>
    <xf borderId="3" fillId="24" fontId="75" numFmtId="0" xfId="0" applyAlignment="1" applyBorder="1" applyFont="1">
      <alignment readingOrder="0"/>
    </xf>
    <xf borderId="3" fillId="24" fontId="75" numFmtId="0" xfId="0" applyBorder="1" applyFont="1"/>
    <xf borderId="3" fillId="0" fontId="59" numFmtId="0" xfId="0" applyAlignment="1" applyBorder="1" applyFont="1">
      <alignment horizontal="center" vertical="center"/>
    </xf>
    <xf borderId="1" fillId="0" fontId="59" numFmtId="0" xfId="0" applyAlignment="1" applyBorder="1" applyFont="1">
      <alignment shrinkToFit="0" vertical="center" wrapText="1"/>
    </xf>
    <xf borderId="3" fillId="0" fontId="4" numFmtId="167" xfId="0" applyAlignment="1" applyBorder="1" applyFont="1" applyNumberFormat="1">
      <alignment horizontal="right" vertical="center"/>
    </xf>
    <xf borderId="3" fillId="0" fontId="59" numFmtId="167" xfId="0" applyAlignment="1" applyBorder="1" applyFont="1" applyNumberFormat="1">
      <alignment horizontal="right" vertical="center"/>
    </xf>
    <xf borderId="3" fillId="0" fontId="59" numFmtId="0" xfId="0" applyAlignment="1" applyBorder="1" applyFont="1">
      <alignment horizontal="center" readingOrder="0" vertical="center"/>
    </xf>
    <xf borderId="3" fillId="0" fontId="64" numFmtId="172" xfId="0" applyAlignment="1" applyBorder="1" applyFont="1" applyNumberFormat="1">
      <alignment horizontal="center" readingOrder="0" vertical="center"/>
    </xf>
    <xf borderId="1" fillId="0" fontId="64" numFmtId="0" xfId="0" applyAlignment="1" applyBorder="1" applyFont="1">
      <alignment shrinkToFit="0" vertical="center" wrapText="1"/>
    </xf>
    <xf borderId="3" fillId="0" fontId="23" numFmtId="167" xfId="0" applyAlignment="1" applyBorder="1" applyFont="1" applyNumberFormat="1">
      <alignment horizontal="right" vertical="center"/>
    </xf>
    <xf borderId="3" fillId="0" fontId="64" numFmtId="0" xfId="0" applyAlignment="1" applyBorder="1" applyFont="1">
      <alignment horizontal="center" readingOrder="0" vertical="center"/>
    </xf>
    <xf borderId="1" fillId="0" fontId="65" numFmtId="0" xfId="0" applyAlignment="1" applyBorder="1" applyFont="1">
      <alignment shrinkToFit="0" vertical="center" wrapText="1"/>
    </xf>
    <xf borderId="3" fillId="0" fontId="66" numFmtId="167" xfId="0" applyAlignment="1" applyBorder="1" applyFont="1" applyNumberFormat="1">
      <alignment horizontal="right" vertical="center"/>
    </xf>
    <xf borderId="3" fillId="0" fontId="78" numFmtId="0" xfId="0" applyAlignment="1" applyBorder="1" applyFont="1">
      <alignment horizontal="center" readingOrder="0" vertical="center"/>
    </xf>
    <xf borderId="1" fillId="0" fontId="78" numFmtId="0" xfId="0" applyAlignment="1" applyBorder="1" applyFont="1">
      <alignment shrinkToFit="0" vertical="center" wrapText="1"/>
    </xf>
    <xf borderId="3" fillId="0" fontId="79" numFmtId="167" xfId="0" applyAlignment="1" applyBorder="1" applyFont="1" applyNumberFormat="1">
      <alignment horizontal="right" vertical="center"/>
    </xf>
    <xf borderId="3" fillId="0" fontId="78" numFmtId="167" xfId="0" applyAlignment="1" applyBorder="1" applyFont="1" applyNumberFormat="1">
      <alignment horizontal="right" vertical="center"/>
    </xf>
    <xf borderId="3" fillId="0" fontId="6" numFmtId="0" xfId="0" applyAlignment="1" applyBorder="1" applyFont="1">
      <alignment horizontal="center" readingOrder="0" vertical="center"/>
    </xf>
    <xf borderId="1" fillId="0" fontId="6" numFmtId="0" xfId="0" applyAlignment="1" applyBorder="1" applyFont="1">
      <alignment readingOrder="0" shrinkToFit="0" vertical="center" wrapText="1"/>
    </xf>
    <xf borderId="3" fillId="0" fontId="6" numFmtId="167" xfId="0" applyAlignment="1" applyBorder="1" applyFont="1" applyNumberFormat="1">
      <alignment horizontal="right" vertical="center"/>
    </xf>
    <xf borderId="1" fillId="0" fontId="6" numFmtId="0" xfId="0" applyAlignment="1" applyBorder="1" applyFont="1">
      <alignment shrinkToFit="0" vertical="center" wrapText="1"/>
    </xf>
    <xf borderId="0" fillId="0" fontId="80" numFmtId="0" xfId="0" applyAlignment="1" applyFont="1">
      <alignment readingOrder="0"/>
    </xf>
    <xf borderId="0" fillId="0" fontId="80" numFmtId="0" xfId="0" applyFont="1"/>
    <xf borderId="13" fillId="0" fontId="20" numFmtId="49" xfId="0" applyAlignment="1" applyBorder="1" applyFont="1" applyNumberFormat="1">
      <alignment vertical="center"/>
    </xf>
    <xf borderId="13" fillId="0" fontId="21" numFmtId="0" xfId="0" applyAlignment="1" applyBorder="1" applyFont="1">
      <alignment vertical="center"/>
    </xf>
    <xf borderId="13" fillId="0" fontId="21" numFmtId="3" xfId="0" applyAlignment="1" applyBorder="1" applyFont="1" applyNumberFormat="1">
      <alignment vertical="center"/>
    </xf>
    <xf borderId="13" fillId="0" fontId="49" numFmtId="0" xfId="0" applyAlignment="1" applyBorder="1" applyFont="1">
      <alignment horizontal="center" readingOrder="0" shrinkToFit="0" vertical="center" wrapText="0"/>
    </xf>
    <xf borderId="14" fillId="0" fontId="21" numFmtId="49" xfId="0" applyAlignment="1" applyBorder="1" applyFont="1" applyNumberFormat="1">
      <alignment vertical="center"/>
    </xf>
    <xf borderId="14" fillId="0" fontId="21" numFmtId="0" xfId="0" applyAlignment="1" applyBorder="1" applyFont="1">
      <alignment vertical="center"/>
    </xf>
    <xf borderId="14" fillId="0" fontId="51" numFmtId="169" xfId="0" applyAlignment="1" applyBorder="1" applyFont="1" applyNumberFormat="1">
      <alignment horizontal="right" vertical="center"/>
    </xf>
    <xf borderId="14" fillId="0" fontId="51" numFmtId="170" xfId="0" applyAlignment="1" applyBorder="1" applyFont="1" applyNumberFormat="1">
      <alignment vertical="center"/>
    </xf>
    <xf borderId="15" fillId="0" fontId="21" numFmtId="49" xfId="0" applyAlignment="1" applyBorder="1" applyFont="1" applyNumberFormat="1">
      <alignment vertical="center"/>
    </xf>
    <xf borderId="15" fillId="0" fontId="21" numFmtId="0" xfId="0" applyAlignment="1" applyBorder="1" applyFont="1">
      <alignment vertical="center"/>
    </xf>
    <xf borderId="17" fillId="0" fontId="51" numFmtId="169" xfId="0" applyAlignment="1" applyBorder="1" applyFont="1" applyNumberFormat="1">
      <alignment horizontal="right" vertical="center"/>
    </xf>
    <xf borderId="16" fillId="0" fontId="51" numFmtId="170" xfId="0" applyAlignment="1" applyBorder="1" applyFont="1" applyNumberFormat="1">
      <alignment vertical="center"/>
    </xf>
    <xf borderId="3" fillId="8" fontId="51" numFmtId="49" xfId="0" applyAlignment="1" applyBorder="1" applyFont="1" applyNumberFormat="1">
      <alignment horizontal="center" readingOrder="0" shrinkToFit="0" vertical="center" wrapText="1"/>
    </xf>
    <xf borderId="3" fillId="8" fontId="51" numFmtId="0" xfId="0" applyAlignment="1" applyBorder="1" applyFont="1">
      <alignment horizontal="center" readingOrder="0" shrinkToFit="0" vertical="center" wrapText="1"/>
    </xf>
    <xf borderId="1" fillId="8" fontId="51" numFmtId="0" xfId="0" applyAlignment="1" applyBorder="1" applyFont="1">
      <alignment horizontal="center" readingOrder="0" vertical="center"/>
    </xf>
    <xf borderId="2" fillId="8" fontId="51" numFmtId="0" xfId="0" applyAlignment="1" applyBorder="1" applyFont="1">
      <alignment horizontal="center" readingOrder="0" vertical="center"/>
    </xf>
    <xf borderId="3" fillId="13" fontId="21" numFmtId="49" xfId="0" applyAlignment="1" applyBorder="1" applyFont="1" applyNumberFormat="1">
      <alignment vertical="center"/>
    </xf>
    <xf borderId="3" fillId="13" fontId="21" numFmtId="0" xfId="0" applyAlignment="1" applyBorder="1" applyFont="1">
      <alignment vertical="center"/>
    </xf>
    <xf borderId="3" fillId="13" fontId="51" numFmtId="0" xfId="0" applyAlignment="1" applyBorder="1" applyFont="1">
      <alignment horizontal="center" vertical="center"/>
    </xf>
    <xf borderId="3" fillId="17" fontId="21" numFmtId="49" xfId="0" applyAlignment="1" applyBorder="1" applyFont="1" applyNumberFormat="1">
      <alignment vertical="center"/>
    </xf>
    <xf borderId="3" fillId="17" fontId="21" numFmtId="0" xfId="0" applyAlignment="1" applyBorder="1" applyFont="1">
      <alignment vertical="center"/>
    </xf>
    <xf borderId="3" fillId="17" fontId="53" numFmtId="3" xfId="0" applyAlignment="1" applyBorder="1" applyFont="1" applyNumberFormat="1">
      <alignment horizontal="right" vertical="center"/>
    </xf>
    <xf borderId="3" fillId="13" fontId="20" numFmtId="49" xfId="0" applyAlignment="1" applyBorder="1" applyFont="1" applyNumberFormat="1">
      <alignment vertical="center"/>
    </xf>
    <xf borderId="3" fillId="13" fontId="20" numFmtId="0" xfId="0" applyAlignment="1" applyBorder="1" applyFont="1">
      <alignment shrinkToFit="0" vertical="center" wrapText="1"/>
    </xf>
    <xf borderId="3" fillId="13" fontId="21" numFmtId="3" xfId="0" applyAlignment="1" applyBorder="1" applyFont="1" applyNumberFormat="1">
      <alignment vertical="center"/>
    </xf>
    <xf borderId="3" fillId="13" fontId="56" numFmtId="3" xfId="0" applyAlignment="1" applyBorder="1" applyFont="1" applyNumberFormat="1">
      <alignment horizontal="right" vertical="center"/>
    </xf>
    <xf borderId="3" fillId="17" fontId="20" numFmtId="49" xfId="0" applyAlignment="1" applyBorder="1" applyFont="1" applyNumberFormat="1">
      <alignment vertical="center"/>
    </xf>
    <xf borderId="3" fillId="17" fontId="20" numFmtId="0" xfId="0" applyAlignment="1" applyBorder="1" applyFont="1">
      <alignment shrinkToFit="0" vertical="center" wrapText="1"/>
    </xf>
    <xf borderId="18" fillId="0" fontId="21" numFmtId="49" xfId="0" applyAlignment="1" applyBorder="1" applyFont="1" applyNumberFormat="1">
      <alignment vertical="center"/>
    </xf>
    <xf borderId="18" fillId="0" fontId="21" numFmtId="0" xfId="0" applyAlignment="1" applyBorder="1" applyFont="1">
      <alignment vertical="center"/>
    </xf>
    <xf borderId="13" fillId="0" fontId="21" numFmtId="49" xfId="0" applyAlignment="1" applyBorder="1" applyFont="1" applyNumberFormat="1">
      <alignment vertical="center"/>
    </xf>
    <xf borderId="13" fillId="0" fontId="51" numFmtId="0" xfId="0" applyAlignment="1" applyBorder="1" applyFont="1">
      <alignment horizontal="center" shrinkToFit="0" vertical="center" wrapText="1"/>
    </xf>
    <xf borderId="13" fillId="0" fontId="51" numFmtId="0" xfId="0" applyAlignment="1" applyBorder="1" applyFont="1">
      <alignment horizontal="center" shrinkToFit="0" vertical="center" wrapText="0"/>
    </xf>
    <xf borderId="13" fillId="0" fontId="58" numFmtId="0" xfId="0" applyAlignment="1" applyBorder="1" applyFont="1">
      <alignment horizontal="center" shrinkToFit="0" vertical="center" wrapText="1"/>
    </xf>
    <xf borderId="26" fillId="31" fontId="81" numFmtId="0" xfId="0" applyAlignment="1" applyBorder="1" applyFill="1" applyFont="1">
      <alignment horizontal="center" readingOrder="0" shrinkToFit="0" vertical="center" wrapText="1"/>
    </xf>
    <xf borderId="27" fillId="0" fontId="2" numFmtId="0" xfId="0" applyBorder="1" applyFont="1"/>
    <xf borderId="28" fillId="0" fontId="2" numFmtId="0" xfId="0" applyBorder="1" applyFont="1"/>
    <xf borderId="0" fillId="31" fontId="82" numFmtId="0" xfId="0" applyAlignment="1" applyFont="1">
      <alignment shrinkToFit="0" vertical="center" wrapText="1"/>
    </xf>
    <xf borderId="0" fillId="31" fontId="82" numFmtId="0" xfId="0" applyAlignment="1" applyFont="1">
      <alignment horizontal="center" readingOrder="0" shrinkToFit="0" vertical="center" wrapText="1"/>
    </xf>
    <xf borderId="29" fillId="0" fontId="2" numFmtId="0" xfId="0" applyBorder="1" applyFont="1"/>
    <xf borderId="30" fillId="0" fontId="2" numFmtId="0" xfId="0" applyBorder="1" applyFont="1"/>
    <xf borderId="0" fillId="0" fontId="14" numFmtId="0" xfId="0" applyAlignment="1" applyFont="1">
      <alignment horizontal="center" readingOrder="0" shrinkToFit="0" vertical="center" wrapText="1"/>
    </xf>
    <xf borderId="0" fillId="31" fontId="82" numFmtId="0" xfId="0" applyAlignment="1" applyFont="1">
      <alignment horizontal="center" shrinkToFit="0" vertical="center" wrapText="1"/>
    </xf>
    <xf borderId="31" fillId="0" fontId="2" numFmtId="0" xfId="0" applyBorder="1" applyFont="1"/>
    <xf borderId="32" fillId="0" fontId="2" numFmtId="0" xfId="0" applyBorder="1" applyFont="1"/>
    <xf borderId="33" fillId="0" fontId="2" numFmtId="0" xfId="0" applyBorder="1" applyFont="1"/>
    <xf borderId="0" fillId="32" fontId="81" numFmtId="0" xfId="0" applyAlignment="1" applyFill="1" applyFont="1">
      <alignment readingOrder="0"/>
    </xf>
    <xf borderId="0" fillId="32" fontId="83" numFmtId="0" xfId="0" applyFont="1"/>
    <xf borderId="0" fillId="32" fontId="82" numFmtId="0" xfId="0" applyFont="1"/>
    <xf borderId="0" fillId="32" fontId="82" numFmtId="0" xfId="0" applyAlignment="1" applyFont="1">
      <alignment horizontal="center"/>
    </xf>
    <xf borderId="0" fillId="0" fontId="81" numFmtId="0" xfId="0" applyAlignment="1" applyFont="1">
      <alignment readingOrder="0"/>
    </xf>
    <xf borderId="0" fillId="0" fontId="83" numFmtId="0" xfId="0" applyFont="1"/>
    <xf borderId="0" fillId="0" fontId="82" numFmtId="0" xfId="0" applyFont="1"/>
    <xf borderId="0" fillId="0" fontId="82" numFmtId="0" xfId="0" applyAlignment="1" applyFont="1">
      <alignment horizontal="center"/>
    </xf>
    <xf borderId="0" fillId="0" fontId="82" numFmtId="0" xfId="0" applyAlignment="1" applyFont="1">
      <alignment horizontal="center" readingOrder="0"/>
    </xf>
    <xf borderId="0" fillId="0" fontId="83" numFmtId="0" xfId="0" applyAlignment="1" applyFont="1">
      <alignment readingOrder="0"/>
    </xf>
    <xf borderId="0" fillId="0" fontId="82" numFmtId="0" xfId="0" applyAlignment="1" applyFont="1">
      <alignment readingOrder="0"/>
    </xf>
    <xf borderId="0" fillId="0" fontId="81" numFmtId="0" xfId="0" applyFont="1"/>
    <xf borderId="0" fillId="16" fontId="81" numFmtId="0" xfId="0" applyFont="1"/>
    <xf borderId="0" fillId="16" fontId="83" numFmtId="0" xfId="0" applyAlignment="1" applyFont="1">
      <alignment readingOrder="0"/>
    </xf>
    <xf borderId="0" fillId="16" fontId="82" numFmtId="0" xfId="0" applyFont="1"/>
    <xf borderId="0" fillId="16" fontId="82" numFmtId="0" xfId="0" applyAlignment="1" applyFont="1">
      <alignment horizontal="center" readingOrder="0"/>
    </xf>
    <xf borderId="0" fillId="16" fontId="82" numFmtId="0" xfId="0" applyAlignment="1" applyFont="1">
      <alignment horizontal="center"/>
    </xf>
    <xf borderId="0" fillId="16" fontId="82" numFmtId="0" xfId="0" applyAlignment="1" applyFont="1">
      <alignment readingOrder="0"/>
    </xf>
    <xf borderId="0" fillId="16" fontId="83" numFmtId="0" xfId="0" applyFont="1"/>
    <xf borderId="0" fillId="16" fontId="81" numFmtId="0" xfId="0" applyAlignment="1" applyFont="1">
      <alignment readingOrder="0"/>
    </xf>
    <xf borderId="0" fillId="33" fontId="84" numFmtId="0" xfId="0" applyAlignment="1" applyFill="1" applyFont="1">
      <alignment horizontal="center" shrinkToFit="0" wrapText="1"/>
    </xf>
    <xf borderId="0" fillId="33" fontId="85" numFmtId="0" xfId="0" applyAlignment="1" applyFont="1">
      <alignment horizontal="center" readingOrder="0" shrinkToFit="0" vertical="center" wrapText="1"/>
    </xf>
    <xf borderId="0" fillId="33" fontId="86" numFmtId="0" xfId="0" applyAlignment="1" applyFont="1">
      <alignment horizontal="center" readingOrder="0" shrinkToFit="0" wrapText="1"/>
    </xf>
    <xf borderId="0" fillId="34" fontId="87" numFmtId="167" xfId="0" applyAlignment="1" applyFill="1" applyFont="1" applyNumberFormat="1">
      <alignment horizontal="center" shrinkToFit="0" wrapText="1"/>
    </xf>
    <xf borderId="0" fillId="20" fontId="88" numFmtId="0" xfId="0" applyAlignment="1" applyFont="1">
      <alignment horizontal="center" readingOrder="0" shrinkToFit="0" vertical="center" wrapText="1"/>
    </xf>
    <xf borderId="34" fillId="20" fontId="89" numFmtId="3" xfId="0" applyAlignment="1" applyBorder="1" applyFont="1" applyNumberFormat="1">
      <alignment horizontal="center" readingOrder="0" shrinkToFit="0" vertical="center" wrapText="1"/>
    </xf>
    <xf borderId="35" fillId="0" fontId="2" numFmtId="0" xfId="0" applyBorder="1" applyFont="1"/>
    <xf borderId="36" fillId="0" fontId="2" numFmtId="0" xfId="0" applyBorder="1" applyFont="1"/>
    <xf borderId="34" fillId="20" fontId="89" numFmtId="0" xfId="0" applyAlignment="1" applyBorder="1" applyFont="1">
      <alignment horizontal="center" readingOrder="0" shrinkToFit="0" vertical="center" wrapText="1"/>
    </xf>
    <xf borderId="0" fillId="20" fontId="88" numFmtId="0" xfId="0" applyAlignment="1" applyFont="1">
      <alignment horizontal="center" shrinkToFit="0" vertical="center" wrapText="1"/>
    </xf>
    <xf borderId="0" fillId="35" fontId="88" numFmtId="0" xfId="0" applyAlignment="1" applyFill="1" applyFont="1">
      <alignment horizontal="center" shrinkToFit="0" vertical="center" wrapText="1"/>
    </xf>
    <xf borderId="37" fillId="20" fontId="88" numFmtId="3" xfId="0" applyAlignment="1" applyBorder="1" applyFont="1" applyNumberFormat="1">
      <alignment horizontal="center" readingOrder="0" shrinkToFit="0" vertical="center" wrapText="1"/>
    </xf>
    <xf borderId="38" fillId="20" fontId="89" numFmtId="0" xfId="0" applyAlignment="1" applyBorder="1" applyFont="1">
      <alignment horizontal="center" readingOrder="0" shrinkToFit="0" vertical="center" wrapText="1"/>
    </xf>
    <xf borderId="38" fillId="0" fontId="2" numFmtId="0" xfId="0" applyBorder="1" applyFont="1"/>
    <xf quotePrefix="1" borderId="38" fillId="20" fontId="89" numFmtId="0" xfId="0" applyAlignment="1" applyBorder="1" applyFont="1">
      <alignment horizontal="center" shrinkToFit="0" vertical="center" wrapText="1"/>
    </xf>
    <xf borderId="38" fillId="20" fontId="89" numFmtId="0" xfId="0" applyAlignment="1" applyBorder="1" applyFont="1">
      <alignment horizontal="center" shrinkToFit="0" vertical="center" wrapText="1"/>
    </xf>
    <xf borderId="37" fillId="20" fontId="89" numFmtId="0" xfId="0" applyAlignment="1" applyBorder="1" applyFont="1">
      <alignment horizontal="center" shrinkToFit="0" vertical="center" wrapText="1"/>
    </xf>
    <xf quotePrefix="1" borderId="39" fillId="20" fontId="88" numFmtId="0" xfId="0" applyAlignment="1" applyBorder="1" applyFont="1">
      <alignment horizontal="center" shrinkToFit="0" vertical="center" wrapText="1"/>
    </xf>
    <xf borderId="0" fillId="36" fontId="90" numFmtId="0" xfId="0" applyAlignment="1" applyFill="1" applyFont="1">
      <alignment readingOrder="0" shrinkToFit="0" wrapText="1"/>
    </xf>
    <xf borderId="0" fillId="36" fontId="90" numFmtId="10" xfId="0" applyAlignment="1" applyFont="1" applyNumberFormat="1">
      <alignment horizontal="center" shrinkToFit="0" wrapText="1"/>
    </xf>
    <xf borderId="37" fillId="36" fontId="91" numFmtId="3" xfId="0" applyAlignment="1" applyBorder="1" applyFont="1" applyNumberFormat="1">
      <alignment horizontal="center" shrinkToFit="0" wrapText="1"/>
    </xf>
    <xf borderId="0" fillId="36" fontId="91" numFmtId="9" xfId="0" applyAlignment="1" applyFont="1" applyNumberFormat="1">
      <alignment horizontal="center" shrinkToFit="0" wrapText="1"/>
    </xf>
    <xf borderId="39" fillId="0" fontId="2" numFmtId="0" xfId="0" applyBorder="1" applyFont="1"/>
    <xf borderId="0" fillId="36" fontId="92" numFmtId="167" xfId="0" applyAlignment="1" applyFont="1" applyNumberFormat="1">
      <alignment horizontal="center" shrinkToFit="0" wrapText="1"/>
    </xf>
    <xf borderId="39" fillId="36" fontId="91" numFmtId="9" xfId="0" applyAlignment="1" applyBorder="1" applyFont="1" applyNumberFormat="1">
      <alignment horizontal="center" shrinkToFit="0" wrapText="1"/>
    </xf>
    <xf borderId="0" fillId="36" fontId="91" numFmtId="3" xfId="0" applyAlignment="1" applyFont="1" applyNumberFormat="1">
      <alignment horizontal="center" shrinkToFit="0" wrapText="1"/>
    </xf>
    <xf borderId="0" fillId="19" fontId="93" numFmtId="0" xfId="0" applyFont="1"/>
    <xf borderId="3" fillId="19" fontId="94" numFmtId="0" xfId="0" applyAlignment="1" applyBorder="1" applyFont="1">
      <alignment vertical="bottom"/>
    </xf>
    <xf borderId="1" fillId="19" fontId="94" numFmtId="0" xfId="0" applyAlignment="1" applyBorder="1" applyFont="1">
      <alignment vertical="bottom"/>
    </xf>
    <xf borderId="37" fillId="19" fontId="93" numFmtId="3" xfId="0" applyBorder="1" applyFont="1" applyNumberFormat="1"/>
    <xf borderId="40" fillId="19" fontId="93" numFmtId="173" xfId="0" applyAlignment="1" applyBorder="1" applyFont="1" applyNumberFormat="1">
      <alignment shrinkToFit="0" wrapText="1"/>
    </xf>
    <xf borderId="41" fillId="19" fontId="93" numFmtId="3" xfId="0" applyBorder="1" applyFont="1" applyNumberFormat="1"/>
    <xf borderId="0" fillId="19" fontId="93" numFmtId="3" xfId="0" applyFont="1" applyNumberFormat="1"/>
    <xf borderId="39" fillId="19" fontId="93" numFmtId="9" xfId="0" applyBorder="1" applyFont="1" applyNumberFormat="1"/>
    <xf borderId="37" fillId="19" fontId="93" numFmtId="167" xfId="0" applyBorder="1" applyFont="1" applyNumberFormat="1"/>
    <xf borderId="0" fillId="19" fontId="93" numFmtId="167" xfId="0" applyAlignment="1" applyFont="1" applyNumberFormat="1">
      <alignment shrinkToFit="0" wrapText="1"/>
    </xf>
    <xf borderId="0" fillId="19" fontId="93" numFmtId="167" xfId="0" applyAlignment="1" applyFont="1" applyNumberFormat="1">
      <alignment horizontal="center" shrinkToFit="0" wrapText="1"/>
    </xf>
    <xf borderId="39" fillId="19" fontId="93" numFmtId="173" xfId="0" applyAlignment="1" applyBorder="1" applyFont="1" applyNumberFormat="1">
      <alignment horizontal="center" shrinkToFit="0" wrapText="1"/>
    </xf>
    <xf borderId="0" fillId="19" fontId="93" numFmtId="167" xfId="0" applyFont="1" applyNumberFormat="1"/>
    <xf borderId="37" fillId="19" fontId="93" numFmtId="3" xfId="0" applyAlignment="1" applyBorder="1" applyFont="1" applyNumberFormat="1">
      <alignment shrinkToFit="0" wrapText="1"/>
    </xf>
    <xf borderId="41" fillId="19" fontId="93" numFmtId="3" xfId="0" applyAlignment="1" applyBorder="1" applyFont="1" applyNumberFormat="1">
      <alignment shrinkToFit="0" wrapText="1"/>
    </xf>
    <xf borderId="0" fillId="19" fontId="93" numFmtId="3" xfId="0" applyAlignment="1" applyFont="1" applyNumberFormat="1">
      <alignment shrinkToFit="0" wrapText="1"/>
    </xf>
    <xf borderId="39" fillId="19" fontId="93" numFmtId="9" xfId="0" applyAlignment="1" applyBorder="1" applyFont="1" applyNumberFormat="1">
      <alignment shrinkToFit="0" wrapText="1"/>
    </xf>
    <xf borderId="37" fillId="19" fontId="93" numFmtId="167" xfId="0" applyAlignment="1" applyBorder="1" applyFont="1" applyNumberFormat="1">
      <alignment shrinkToFit="0" wrapText="1"/>
    </xf>
    <xf borderId="0" fillId="0" fontId="93" numFmtId="0" xfId="0" applyFont="1"/>
    <xf borderId="3" fillId="0" fontId="94" numFmtId="0" xfId="0" applyAlignment="1" applyBorder="1" applyFont="1">
      <alignment vertical="bottom"/>
    </xf>
    <xf borderId="1" fillId="0" fontId="94" numFmtId="0" xfId="0" applyAlignment="1" applyBorder="1" applyFont="1">
      <alignment vertical="bottom"/>
    </xf>
    <xf borderId="37" fillId="0" fontId="93" numFmtId="3" xfId="0" applyAlignment="1" applyBorder="1" applyFont="1" applyNumberFormat="1">
      <alignment shrinkToFit="0" wrapText="1"/>
    </xf>
    <xf borderId="40" fillId="0" fontId="93" numFmtId="173" xfId="0" applyAlignment="1" applyBorder="1" applyFont="1" applyNumberFormat="1">
      <alignment shrinkToFit="0" wrapText="1"/>
    </xf>
    <xf borderId="41" fillId="0" fontId="93" numFmtId="3" xfId="0" applyAlignment="1" applyBorder="1" applyFont="1" applyNumberFormat="1">
      <alignment shrinkToFit="0" wrapText="1"/>
    </xf>
    <xf borderId="0" fillId="0" fontId="93" numFmtId="3" xfId="0" applyAlignment="1" applyFont="1" applyNumberFormat="1">
      <alignment shrinkToFit="0" wrapText="1"/>
    </xf>
    <xf borderId="39" fillId="0" fontId="93" numFmtId="9" xfId="0" applyAlignment="1" applyBorder="1" applyFont="1" applyNumberFormat="1">
      <alignment shrinkToFit="0" wrapText="1"/>
    </xf>
    <xf borderId="37" fillId="0" fontId="93" numFmtId="167" xfId="0" applyAlignment="1" applyBorder="1" applyFont="1" applyNumberFormat="1">
      <alignment shrinkToFit="0" wrapText="1"/>
    </xf>
    <xf borderId="0" fillId="0" fontId="93" numFmtId="167" xfId="0" applyAlignment="1" applyFont="1" applyNumberFormat="1">
      <alignment shrinkToFit="0" wrapText="1"/>
    </xf>
    <xf borderId="0" fillId="0" fontId="93" numFmtId="167" xfId="0" applyAlignment="1" applyFont="1" applyNumberFormat="1">
      <alignment horizontal="center" shrinkToFit="0" wrapText="1"/>
    </xf>
    <xf borderId="39" fillId="0" fontId="93" numFmtId="173" xfId="0" applyAlignment="1" applyBorder="1" applyFont="1" applyNumberFormat="1">
      <alignment horizontal="center" shrinkToFit="0" wrapText="1"/>
    </xf>
    <xf borderId="0" fillId="0" fontId="93" numFmtId="167" xfId="0" applyFont="1" applyNumberFormat="1"/>
    <xf borderId="37" fillId="0" fontId="93" numFmtId="3" xfId="0" applyBorder="1" applyFont="1" applyNumberFormat="1"/>
    <xf borderId="40" fillId="0" fontId="93" numFmtId="173" xfId="0" applyBorder="1" applyFont="1" applyNumberFormat="1"/>
    <xf borderId="41" fillId="0" fontId="93" numFmtId="3" xfId="0" applyBorder="1" applyFont="1" applyNumberFormat="1"/>
    <xf borderId="0" fillId="0" fontId="93" numFmtId="3" xfId="0" applyFont="1" applyNumberFormat="1"/>
    <xf borderId="39" fillId="0" fontId="93" numFmtId="9" xfId="0" applyBorder="1" applyFont="1" applyNumberFormat="1"/>
    <xf borderId="37" fillId="0" fontId="93" numFmtId="0" xfId="0" applyBorder="1" applyFont="1"/>
    <xf borderId="0" fillId="0" fontId="93" numFmtId="0" xfId="0" applyAlignment="1" applyFont="1">
      <alignment horizontal="center" shrinkToFit="0" wrapText="1"/>
    </xf>
    <xf borderId="0" fillId="25" fontId="95" numFmtId="0" xfId="0" applyAlignment="1" applyFont="1">
      <alignment horizontal="left" shrinkToFit="0" wrapText="0"/>
    </xf>
    <xf borderId="0" fillId="25" fontId="96" numFmtId="0" xfId="0" applyAlignment="1" applyFont="1">
      <alignment horizontal="left" readingOrder="0" shrinkToFit="0" wrapText="0"/>
    </xf>
    <xf borderId="0" fillId="25" fontId="95" numFmtId="10" xfId="0" applyAlignment="1" applyFont="1" applyNumberFormat="1">
      <alignment horizontal="left" shrinkToFit="0" wrapText="0"/>
    </xf>
    <xf borderId="34" fillId="37" fontId="91" numFmtId="3" xfId="0" applyAlignment="1" applyBorder="1" applyFill="1" applyFont="1" applyNumberFormat="1">
      <alignment horizontal="center" shrinkToFit="0" wrapText="1"/>
    </xf>
    <xf borderId="35" fillId="37" fontId="91" numFmtId="9" xfId="0" applyAlignment="1" applyBorder="1" applyFont="1" applyNumberFormat="1">
      <alignment horizontal="center" shrinkToFit="0" wrapText="1"/>
    </xf>
    <xf borderId="35" fillId="37" fontId="91" numFmtId="173" xfId="0" applyAlignment="1" applyBorder="1" applyFont="1" applyNumberFormat="1">
      <alignment horizontal="center" shrinkToFit="0" wrapText="1"/>
    </xf>
    <xf borderId="35" fillId="37" fontId="91" numFmtId="3" xfId="0" applyAlignment="1" applyBorder="1" applyFont="1" applyNumberFormat="1">
      <alignment horizontal="center" shrinkToFit="0" wrapText="1"/>
    </xf>
    <xf borderId="36" fillId="37" fontId="91" numFmtId="9" xfId="0" applyAlignment="1" applyBorder="1" applyFont="1" applyNumberFormat="1">
      <alignment horizontal="center" shrinkToFit="0" wrapText="1"/>
    </xf>
    <xf borderId="34" fillId="25" fontId="95" numFmtId="0" xfId="0" applyAlignment="1" applyBorder="1" applyFont="1">
      <alignment horizontal="left" shrinkToFit="0" wrapText="0"/>
    </xf>
    <xf borderId="35" fillId="25" fontId="95" numFmtId="0" xfId="0" applyAlignment="1" applyBorder="1" applyFont="1">
      <alignment horizontal="left" shrinkToFit="0" wrapText="0"/>
    </xf>
    <xf borderId="36" fillId="25" fontId="96" numFmtId="9" xfId="0" applyAlignment="1" applyBorder="1" applyFont="1" applyNumberFormat="1">
      <alignment horizontal="left" shrinkToFit="0" wrapText="0"/>
    </xf>
    <xf borderId="0" fillId="25" fontId="97" numFmtId="0" xfId="0" applyAlignment="1" applyFont="1">
      <alignment horizontal="left" shrinkToFit="0" wrapText="0"/>
    </xf>
    <xf borderId="0" fillId="25" fontId="95" numFmtId="167" xfId="0" applyAlignment="1" applyFont="1" applyNumberFormat="1">
      <alignment horizontal="left" shrinkToFit="0" wrapText="0"/>
    </xf>
    <xf borderId="0" fillId="0" fontId="23" numFmtId="0" xfId="0" applyFont="1"/>
    <xf borderId="37" fillId="0" fontId="23" numFmtId="3" xfId="0" applyBorder="1" applyFont="1" applyNumberFormat="1"/>
    <xf borderId="0" fillId="0" fontId="93" numFmtId="173" xfId="0" applyAlignment="1" applyFont="1" applyNumberFormat="1">
      <alignment shrinkToFit="0" wrapText="1"/>
    </xf>
    <xf borderId="0" fillId="0" fontId="93" numFmtId="173" xfId="0" applyAlignment="1" applyFont="1" applyNumberFormat="1">
      <alignment horizontal="center" shrinkToFit="0" wrapText="1"/>
    </xf>
    <xf borderId="37" fillId="0" fontId="23" numFmtId="0" xfId="0" applyBorder="1" applyFont="1"/>
    <xf borderId="0" fillId="0" fontId="3" numFmtId="167" xfId="0" applyAlignment="1" applyFont="1" applyNumberFormat="1">
      <alignment horizontal="center" shrinkToFit="0" wrapText="1"/>
    </xf>
    <xf borderId="0" fillId="0" fontId="3" numFmtId="0" xfId="0" applyAlignment="1" applyFont="1">
      <alignment horizontal="center" shrinkToFit="0" wrapText="1"/>
    </xf>
    <xf borderId="0" fillId="0" fontId="23" numFmtId="167" xfId="0" applyFont="1" applyNumberFormat="1"/>
    <xf borderId="42" fillId="0" fontId="23" numFmtId="3" xfId="0" applyBorder="1" applyFont="1" applyNumberFormat="1"/>
    <xf borderId="43" fillId="0" fontId="93" numFmtId="173" xfId="0" applyAlignment="1" applyBorder="1" applyFont="1" applyNumberFormat="1">
      <alignment shrinkToFit="0" wrapText="1"/>
    </xf>
    <xf borderId="43" fillId="0" fontId="93" numFmtId="173" xfId="0" applyAlignment="1" applyBorder="1" applyFont="1" applyNumberFormat="1">
      <alignment horizontal="center" shrinkToFit="0" wrapText="1"/>
    </xf>
    <xf borderId="43" fillId="0" fontId="93" numFmtId="3" xfId="0" applyAlignment="1" applyBorder="1" applyFont="1" applyNumberFormat="1">
      <alignment shrinkToFit="0" wrapText="1"/>
    </xf>
    <xf borderId="44" fillId="0" fontId="93" numFmtId="9" xfId="0" applyAlignment="1" applyBorder="1" applyFont="1" applyNumberFormat="1">
      <alignment shrinkToFit="0" wrapText="1"/>
    </xf>
    <xf borderId="42" fillId="0" fontId="23" numFmtId="0" xfId="0" applyBorder="1" applyFont="1"/>
    <xf borderId="43" fillId="0" fontId="23" numFmtId="0" xfId="0" applyBorder="1" applyFont="1"/>
    <xf borderId="43" fillId="0" fontId="3" numFmtId="167" xfId="0" applyAlignment="1" applyBorder="1" applyFont="1" applyNumberFormat="1">
      <alignment horizontal="center" shrinkToFit="0" wrapText="1"/>
    </xf>
    <xf borderId="44" fillId="0" fontId="93" numFmtId="173" xfId="0" applyAlignment="1" applyBorder="1" applyFont="1" applyNumberFormat="1">
      <alignment horizontal="center" shrinkToFit="0" wrapText="1"/>
    </xf>
    <xf borderId="0" fillId="38" fontId="4" numFmtId="0" xfId="0" applyFill="1" applyFont="1"/>
    <xf borderId="3" fillId="38" fontId="98" numFmtId="0" xfId="0" applyAlignment="1" applyBorder="1" applyFont="1">
      <alignment readingOrder="0" vertical="bottom"/>
    </xf>
    <xf borderId="0" fillId="38" fontId="4" numFmtId="0" xfId="0" applyAlignment="1" applyFont="1">
      <alignment readingOrder="0"/>
    </xf>
    <xf borderId="0" fillId="38" fontId="4" numFmtId="3" xfId="0" applyFont="1" applyNumberFormat="1"/>
    <xf borderId="0" fillId="38" fontId="8" numFmtId="167" xfId="0" applyAlignment="1" applyFont="1" applyNumberFormat="1">
      <alignment horizontal="center" shrinkToFit="0" wrapText="1"/>
    </xf>
    <xf borderId="0" fillId="38" fontId="8" numFmtId="173" xfId="0" applyAlignment="1" applyFont="1" applyNumberFormat="1">
      <alignment horizontal="center" shrinkToFit="0" wrapText="1"/>
    </xf>
    <xf borderId="0" fillId="38" fontId="8" numFmtId="0" xfId="0" applyAlignment="1" applyFont="1">
      <alignment horizontal="center" shrinkToFit="0" wrapText="1"/>
    </xf>
    <xf borderId="0" fillId="38" fontId="4" numFmtId="167" xfId="0" applyFont="1" applyNumberFormat="1"/>
    <xf borderId="0" fillId="16" fontId="78" numFmtId="0" xfId="0" applyFont="1"/>
    <xf borderId="0" fillId="16" fontId="78" numFmtId="0" xfId="0" applyAlignment="1" applyFont="1">
      <alignment readingOrder="0"/>
    </xf>
    <xf borderId="0" fillId="16" fontId="78" numFmtId="3" xfId="0" applyFont="1" applyNumberFormat="1"/>
    <xf borderId="0" fillId="16" fontId="78" numFmtId="173" xfId="0" applyFont="1" applyNumberFormat="1"/>
    <xf borderId="0" fillId="16" fontId="9" numFmtId="167" xfId="0" applyAlignment="1" applyFont="1" applyNumberFormat="1">
      <alignment horizontal="center" shrinkToFit="0" wrapText="1"/>
    </xf>
    <xf borderId="0" fillId="16" fontId="9" numFmtId="173" xfId="0" applyAlignment="1" applyFont="1" applyNumberFormat="1">
      <alignment horizontal="center" shrinkToFit="0" wrapText="1"/>
    </xf>
    <xf borderId="0" fillId="16" fontId="9" numFmtId="0" xfId="0" applyAlignment="1" applyFont="1">
      <alignment horizontal="center" shrinkToFit="0" wrapText="1"/>
    </xf>
    <xf borderId="0" fillId="16" fontId="78" numFmtId="167" xfId="0" applyFont="1" applyNumberFormat="1"/>
    <xf borderId="3" fillId="0" fontId="98" numFmtId="0" xfId="0" applyAlignment="1" applyBorder="1" applyFont="1">
      <alignment readingOrder="0" vertical="bottom"/>
    </xf>
    <xf borderId="0" fillId="0" fontId="23" numFmtId="0" xfId="0" applyAlignment="1" applyFont="1">
      <alignment readingOrder="0"/>
    </xf>
    <xf borderId="0" fillId="0" fontId="23" numFmtId="3" xfId="0" applyFont="1" applyNumberFormat="1"/>
    <xf borderId="0" fillId="0" fontId="3" numFmtId="173" xfId="0" applyAlignment="1" applyFont="1" applyNumberFormat="1">
      <alignment horizontal="center" shrinkToFit="0" wrapText="1"/>
    </xf>
    <xf borderId="0" fillId="0" fontId="23" numFmtId="10" xfId="0" applyFont="1" applyNumberFormat="1"/>
    <xf borderId="0" fillId="0" fontId="3" numFmtId="0" xfId="0" applyFont="1"/>
    <xf borderId="0" fillId="0" fontId="3" numFmtId="3" xfId="0" applyFont="1" applyNumberFormat="1"/>
    <xf borderId="0" fillId="38" fontId="8" numFmtId="0" xfId="0" applyFont="1"/>
    <xf borderId="0" fillId="38" fontId="8" numFmtId="0" xfId="0" applyAlignment="1" applyFont="1">
      <alignment readingOrder="0"/>
    </xf>
    <xf borderId="0" fillId="38" fontId="8" numFmtId="3" xfId="0" applyFont="1" applyNumberFormat="1"/>
    <xf borderId="0" fillId="38" fontId="8" numFmtId="173" xfId="0" applyFont="1" applyNumberFormat="1"/>
    <xf borderId="0" fillId="13" fontId="99" numFmtId="0" xfId="0" applyAlignment="1" applyFont="1">
      <alignment horizontal="left" readingOrder="0"/>
    </xf>
    <xf borderId="0" fillId="0" fontId="100" numFmtId="0" xfId="0" applyAlignment="1" applyFont="1">
      <alignment horizontal="center" readingOrder="0" shrinkToFit="0" wrapText="1"/>
    </xf>
    <xf borderId="45" fillId="0" fontId="101" numFmtId="0" xfId="0" applyAlignment="1" applyBorder="1" applyFont="1">
      <alignment readingOrder="0" shrinkToFit="0" wrapText="1"/>
    </xf>
    <xf borderId="0" fillId="0" fontId="102" numFmtId="0" xfId="0" applyAlignment="1" applyFont="1">
      <alignment horizontal="left" readingOrder="0" shrinkToFit="0" wrapText="1"/>
    </xf>
    <xf borderId="0" fillId="0" fontId="103" numFmtId="0" xfId="0" applyAlignment="1" applyFont="1">
      <alignment horizontal="center" readingOrder="0" shrinkToFit="0" wrapText="1"/>
    </xf>
    <xf borderId="45" fillId="13" fontId="104" numFmtId="0" xfId="0" applyAlignment="1" applyBorder="1" applyFont="1">
      <alignment horizontal="left" shrinkToFit="0" wrapText="1"/>
    </xf>
    <xf borderId="45" fillId="13" fontId="104" numFmtId="0" xfId="0" applyAlignment="1" applyBorder="1" applyFont="1">
      <alignment readingOrder="0" shrinkToFit="0" wrapText="1"/>
    </xf>
    <xf borderId="45" fillId="13" fontId="105" numFmtId="0" xfId="0" applyAlignment="1" applyBorder="1" applyFont="1">
      <alignment readingOrder="0" shrinkToFit="0" wrapText="1"/>
    </xf>
    <xf borderId="45" fillId="13" fontId="106" numFmtId="0" xfId="0" applyAlignment="1" applyBorder="1" applyFont="1">
      <alignment readingOrder="0" shrinkToFit="0" wrapText="1"/>
    </xf>
    <xf borderId="45" fillId="13" fontId="106" numFmtId="0" xfId="0" applyAlignment="1" applyBorder="1" applyFont="1">
      <alignment horizontal="left" shrinkToFit="0" wrapText="1"/>
    </xf>
    <xf borderId="45" fillId="13" fontId="107" numFmtId="0" xfId="0" applyAlignment="1" applyBorder="1" applyFont="1">
      <alignment readingOrder="0" shrinkToFit="0" wrapText="1"/>
    </xf>
    <xf borderId="45" fillId="13" fontId="107" numFmtId="0" xfId="0" applyAlignment="1" applyBorder="1" applyFont="1">
      <alignment horizontal="left" shrinkToFit="0" wrapText="1"/>
    </xf>
    <xf borderId="45" fillId="39" fontId="108" numFmtId="0" xfId="0" applyAlignment="1" applyBorder="1" applyFill="1" applyFont="1">
      <alignment shrinkToFit="0" wrapText="1"/>
    </xf>
    <xf borderId="46" fillId="0" fontId="108" numFmtId="0" xfId="0" applyAlignment="1" applyBorder="1" applyFont="1">
      <alignment shrinkToFit="0" wrapText="1"/>
    </xf>
    <xf borderId="45" fillId="0" fontId="109" numFmtId="0" xfId="0" applyAlignment="1" applyBorder="1" applyFont="1">
      <alignment horizontal="left" readingOrder="0" shrinkToFit="0" wrapText="1"/>
    </xf>
    <xf borderId="45" fillId="0" fontId="110" numFmtId="0" xfId="0" applyAlignment="1" applyBorder="1" applyFont="1">
      <alignment horizontal="left" shrinkToFit="0" wrapText="1"/>
    </xf>
    <xf borderId="45" fillId="0" fontId="110" numFmtId="0" xfId="0" applyAlignment="1" applyBorder="1" applyFont="1">
      <alignment horizontal="left" readingOrder="0" shrinkToFit="0" wrapText="1"/>
    </xf>
    <xf borderId="45" fillId="0" fontId="108" numFmtId="0" xfId="0" applyAlignment="1" applyBorder="1" applyFont="1">
      <alignment shrinkToFit="0" wrapText="1"/>
    </xf>
    <xf borderId="45" fillId="0" fontId="111" numFmtId="0" xfId="0" applyAlignment="1" applyBorder="1" applyFont="1">
      <alignment horizontal="left" readingOrder="0" shrinkToFit="0" wrapText="1"/>
    </xf>
    <xf borderId="45" fillId="0" fontId="112" numFmtId="0" xfId="0" applyAlignment="1" applyBorder="1" applyFont="1">
      <alignment horizontal="left" shrinkToFit="0" wrapText="1"/>
    </xf>
    <xf borderId="45" fillId="0" fontId="112" numFmtId="0" xfId="0" applyAlignment="1" applyBorder="1" applyFont="1">
      <alignment horizontal="left" readingOrder="0" shrinkToFit="0" wrapText="1"/>
    </xf>
    <xf quotePrefix="1" borderId="45" fillId="0" fontId="113" numFmtId="0" xfId="0" applyAlignment="1" applyBorder="1" applyFont="1">
      <alignment horizontal="left" readingOrder="0" shrinkToFit="0" wrapText="1"/>
    </xf>
    <xf quotePrefix="1" borderId="45" fillId="0" fontId="112" numFmtId="0" xfId="0" applyAlignment="1" applyBorder="1" applyFont="1">
      <alignment horizontal="left" readingOrder="0" shrinkToFit="0" wrapText="1"/>
    </xf>
    <xf borderId="47" fillId="39" fontId="108" numFmtId="0" xfId="0" applyAlignment="1" applyBorder="1" applyFont="1">
      <alignment shrinkToFit="0" wrapText="1"/>
    </xf>
    <xf borderId="45" fillId="0" fontId="22" numFmtId="0" xfId="0" applyAlignment="1" applyBorder="1" applyFont="1">
      <alignment shrinkToFit="0" wrapText="1"/>
    </xf>
    <xf borderId="0" fillId="13" fontId="114" numFmtId="0" xfId="0" applyAlignment="1" applyFont="1">
      <alignment horizontal="center" readingOrder="0" vertical="center"/>
    </xf>
    <xf borderId="0" fillId="16" fontId="115" numFmtId="0" xfId="0" applyAlignment="1" applyFont="1">
      <alignment vertical="bottom"/>
    </xf>
    <xf borderId="20" fillId="40" fontId="116" numFmtId="0" xfId="0" applyAlignment="1" applyBorder="1" applyFill="1" applyFont="1">
      <alignment horizontal="center" shrinkToFit="0" textRotation="90" vertical="center" wrapText="1"/>
    </xf>
    <xf borderId="0" fillId="40" fontId="116" numFmtId="0" xfId="0" applyAlignment="1" applyFont="1">
      <alignment horizontal="center" vertical="bottom"/>
    </xf>
    <xf borderId="0" fillId="40" fontId="116" numFmtId="0" xfId="0" applyAlignment="1" applyFont="1">
      <alignment horizontal="center" readingOrder="0" vertical="bottom"/>
    </xf>
    <xf borderId="0" fillId="40" fontId="117" numFmtId="0" xfId="0" applyAlignment="1" applyFont="1">
      <alignment horizontal="left" vertical="bottom"/>
    </xf>
    <xf borderId="0" fillId="40" fontId="118" numFmtId="0" xfId="0" applyFont="1"/>
    <xf borderId="0" fillId="40" fontId="117" numFmtId="3" xfId="0" applyAlignment="1" applyFont="1" applyNumberFormat="1">
      <alignment horizontal="right" vertical="bottom"/>
    </xf>
    <xf borderId="0" fillId="34" fontId="21" numFmtId="0" xfId="0" applyAlignment="1" applyFont="1">
      <alignment vertical="bottom"/>
    </xf>
    <xf borderId="0" fillId="40" fontId="116" numFmtId="0" xfId="0" applyAlignment="1" applyFont="1">
      <alignment horizontal="left" vertical="bottom"/>
    </xf>
    <xf borderId="0" fillId="40" fontId="119" numFmtId="0" xfId="0" applyFont="1"/>
    <xf borderId="0" fillId="40" fontId="120" numFmtId="3" xfId="0" applyAlignment="1" applyFont="1" applyNumberFormat="1">
      <alignment horizontal="right" vertical="bottom"/>
    </xf>
    <xf borderId="0" fillId="40" fontId="116" numFmtId="0" xfId="0" applyAlignment="1" applyFont="1">
      <alignment horizontal="center" shrinkToFit="0" vertical="center" wrapText="1"/>
    </xf>
    <xf borderId="12" fillId="40" fontId="121" numFmtId="0" xfId="0" applyAlignment="1" applyBorder="1" applyFont="1">
      <alignment horizontal="center" shrinkToFit="0" textRotation="90" vertical="center" wrapText="1"/>
    </xf>
    <xf borderId="7" fillId="40" fontId="121" numFmtId="0" xfId="0" applyAlignment="1" applyBorder="1" applyFont="1">
      <alignment horizontal="center" shrinkToFit="0" textRotation="90" vertical="center" wrapText="1"/>
    </xf>
    <xf borderId="0" fillId="35" fontId="115" numFmtId="0" xfId="0" applyAlignment="1" applyFont="1">
      <alignment horizontal="center" vertical="bottom"/>
    </xf>
    <xf borderId="0" fillId="20" fontId="122" numFmtId="0" xfId="0" applyAlignment="1" applyFont="1">
      <alignment horizontal="center" vertical="bottom"/>
    </xf>
    <xf borderId="12" fillId="0" fontId="2" numFmtId="0" xfId="0" applyBorder="1" applyFont="1"/>
    <xf borderId="0" fillId="35" fontId="21" numFmtId="0" xfId="0" applyAlignment="1" applyFont="1">
      <alignment vertical="bottom"/>
    </xf>
    <xf borderId="0" fillId="35" fontId="21" numFmtId="3" xfId="0" applyAlignment="1" applyFont="1" applyNumberFormat="1">
      <alignment horizontal="right" vertical="bottom"/>
    </xf>
    <xf borderId="0" fillId="20" fontId="24" numFmtId="0" xfId="0" applyAlignment="1" applyFont="1">
      <alignment vertical="bottom"/>
    </xf>
    <xf borderId="0" fillId="35" fontId="24" numFmtId="3" xfId="0" applyAlignment="1" applyFont="1" applyNumberFormat="1">
      <alignment vertical="bottom"/>
    </xf>
    <xf borderId="0" fillId="35" fontId="115" numFmtId="0" xfId="0" applyAlignment="1" applyFont="1">
      <alignment vertical="bottom"/>
    </xf>
    <xf borderId="0" fillId="35" fontId="123" numFmtId="3" xfId="0" applyAlignment="1" applyFont="1" applyNumberFormat="1">
      <alignment vertical="bottom"/>
    </xf>
    <xf borderId="48" fillId="13" fontId="24" numFmtId="0" xfId="0" applyAlignment="1" applyBorder="1" applyFont="1">
      <alignment vertical="bottom"/>
    </xf>
    <xf borderId="0" fillId="13" fontId="24" numFmtId="0" xfId="0" applyAlignment="1" applyFont="1">
      <alignment vertical="bottom"/>
    </xf>
    <xf borderId="0" fillId="41" fontId="115" numFmtId="0" xfId="0" applyAlignment="1" applyFill="1" applyFont="1">
      <alignment horizontal="center" shrinkToFit="0" wrapText="0"/>
    </xf>
    <xf borderId="0" fillId="41" fontId="115" numFmtId="0" xfId="0" applyAlignment="1" applyFont="1">
      <alignment horizontal="center" vertical="bottom"/>
    </xf>
    <xf borderId="0" fillId="41" fontId="21" numFmtId="0" xfId="0" applyAlignment="1" applyFont="1">
      <alignment vertical="bottom"/>
    </xf>
    <xf borderId="0" fillId="41" fontId="24" numFmtId="0" xfId="0" applyAlignment="1" applyFont="1">
      <alignment vertical="bottom"/>
    </xf>
    <xf borderId="0" fillId="41" fontId="124" numFmtId="0" xfId="0" applyAlignment="1" applyFont="1">
      <alignment vertical="bottom"/>
    </xf>
    <xf borderId="0" fillId="41" fontId="124" numFmtId="9" xfId="0" applyAlignment="1" applyFont="1" applyNumberFormat="1">
      <alignment horizontal="right" vertical="bottom"/>
    </xf>
    <xf borderId="0" fillId="34" fontId="115" numFmtId="0" xfId="0" applyAlignment="1" applyFont="1">
      <alignment vertical="bottom"/>
    </xf>
    <xf borderId="0" fillId="40" fontId="121" numFmtId="0" xfId="0" applyAlignment="1" applyFont="1">
      <alignment horizontal="center" shrinkToFit="0" textRotation="90" vertical="center" wrapText="1"/>
    </xf>
    <xf borderId="0" fillId="20" fontId="125" numFmtId="0" xfId="0" applyAlignment="1" applyFont="1">
      <alignment vertical="bottom"/>
    </xf>
    <xf borderId="0" fillId="16" fontId="126" numFmtId="0" xfId="0" applyAlignment="1" applyFont="1">
      <alignment vertical="bottom"/>
    </xf>
    <xf borderId="0" fillId="16" fontId="127" numFmtId="0" xfId="0" applyAlignment="1" applyFont="1">
      <alignment vertical="bottom"/>
    </xf>
    <xf borderId="3" fillId="16" fontId="98" numFmtId="0" xfId="0" applyAlignment="1" applyBorder="1" applyFont="1">
      <alignment horizontal="center" readingOrder="0"/>
    </xf>
    <xf borderId="3" fillId="16" fontId="98" numFmtId="0" xfId="0" applyAlignment="1" applyBorder="1" applyFont="1">
      <alignment horizontal="center"/>
    </xf>
    <xf borderId="3" fillId="16" fontId="98" numFmtId="167" xfId="0" applyAlignment="1" applyBorder="1" applyFont="1" applyNumberFormat="1">
      <alignment horizontal="center"/>
    </xf>
    <xf borderId="3" fillId="16" fontId="18" numFmtId="0" xfId="0" applyBorder="1" applyFont="1"/>
    <xf borderId="3" fillId="42" fontId="18" numFmtId="164" xfId="0" applyAlignment="1" applyBorder="1" applyFill="1" applyFont="1" applyNumberFormat="1">
      <alignment horizontal="center"/>
    </xf>
    <xf borderId="3" fillId="19" fontId="19" numFmtId="0" xfId="0" applyAlignment="1" applyBorder="1" applyFont="1">
      <alignment vertical="bottom"/>
    </xf>
    <xf borderId="3" fillId="42" fontId="18" numFmtId="0" xfId="0" applyAlignment="1" applyBorder="1" applyFont="1">
      <alignment vertical="bottom"/>
    </xf>
    <xf borderId="3" fillId="0" fontId="18" numFmtId="167" xfId="0" applyAlignment="1" applyBorder="1" applyFont="1" applyNumberFormat="1">
      <alignment horizontal="right" readingOrder="0" vertical="bottom"/>
    </xf>
    <xf borderId="3" fillId="0" fontId="18" numFmtId="0" xfId="0" applyAlignment="1" applyBorder="1" applyFont="1">
      <alignment vertical="bottom"/>
    </xf>
    <xf borderId="3" fillId="0" fontId="18" numFmtId="167" xfId="0" applyAlignment="1" applyBorder="1" applyFont="1" applyNumberFormat="1">
      <alignment horizontal="right" vertical="bottom"/>
    </xf>
    <xf borderId="3" fillId="0" fontId="18" numFmtId="167" xfId="0" applyAlignment="1" applyBorder="1" applyFont="1" applyNumberFormat="1">
      <alignment vertical="bottom"/>
    </xf>
    <xf borderId="3" fillId="42" fontId="18" numFmtId="0" xfId="0" applyAlignment="1" applyBorder="1" applyFont="1">
      <alignment readingOrder="0" vertical="bottom"/>
    </xf>
    <xf borderId="3" fillId="42" fontId="93" numFmtId="0" xfId="0" applyAlignment="1" applyBorder="1" applyFont="1">
      <alignment vertical="bottom"/>
    </xf>
    <xf borderId="5" fillId="42" fontId="93" numFmtId="0" xfId="0" applyAlignment="1" applyBorder="1" applyFont="1">
      <alignment vertical="bottom"/>
    </xf>
    <xf borderId="3" fillId="0" fontId="18" numFmtId="167" xfId="0" applyAlignment="1" applyBorder="1" applyFont="1" applyNumberFormat="1">
      <alignment readingOrder="0" vertical="bottom"/>
    </xf>
    <xf borderId="3" fillId="0" fontId="18" numFmtId="0" xfId="0" applyAlignment="1" applyBorder="1" applyFont="1">
      <alignment readingOrder="0" vertical="bottom"/>
    </xf>
    <xf borderId="3" fillId="16" fontId="18" numFmtId="167" xfId="0" applyAlignment="1" applyBorder="1" applyFont="1" applyNumberFormat="1">
      <alignment horizontal="right" vertical="bottom"/>
    </xf>
    <xf borderId="3" fillId="42" fontId="128" numFmtId="0" xfId="0" applyAlignment="1" applyBorder="1" applyFont="1">
      <alignment vertical="bottom"/>
    </xf>
    <xf borderId="3" fillId="0" fontId="18" numFmtId="164" xfId="0" applyAlignment="1" applyBorder="1" applyFont="1" applyNumberFormat="1">
      <alignment horizontal="center"/>
    </xf>
    <xf borderId="3" fillId="0" fontId="18" numFmtId="0" xfId="0" applyAlignment="1" applyBorder="1" applyFont="1">
      <alignment horizontal="right" vertical="bottom"/>
    </xf>
    <xf borderId="0" fillId="0" fontId="18" numFmtId="164" xfId="0" applyFont="1" applyNumberFormat="1"/>
    <xf borderId="0" fillId="0" fontId="18" numFmtId="0" xfId="0" applyAlignment="1" applyFont="1">
      <alignment vertical="bottom"/>
    </xf>
    <xf borderId="0" fillId="0" fontId="18" numFmtId="167" xfId="0" applyAlignment="1" applyFont="1" applyNumberFormat="1">
      <alignment vertical="bottom"/>
    </xf>
    <xf borderId="1" fillId="0" fontId="129" numFmtId="0" xfId="0" applyAlignment="1" applyBorder="1" applyFont="1">
      <alignment horizontal="center" vertical="bottom"/>
    </xf>
    <xf borderId="3" fillId="25" fontId="51" numFmtId="0" xfId="0" applyAlignment="1" applyBorder="1" applyFont="1">
      <alignment horizontal="center" shrinkToFit="0" wrapText="1"/>
    </xf>
    <xf borderId="0" fillId="0" fontId="130" numFmtId="0" xfId="0" applyAlignment="1" applyFont="1">
      <alignment readingOrder="0"/>
    </xf>
    <xf borderId="0" fillId="0" fontId="25" numFmtId="0" xfId="0" applyAlignment="1" applyFont="1">
      <alignment shrinkToFit="0" vertical="bottom" wrapText="0"/>
    </xf>
    <xf borderId="0" fillId="0" fontId="131" numFmtId="0" xfId="0" applyAlignment="1" applyFont="1">
      <alignment horizontal="left" readingOrder="0" shrinkToFit="0" vertical="bottom" wrapText="0"/>
    </xf>
    <xf borderId="0" fillId="0" fontId="132" numFmtId="0" xfId="0" applyAlignment="1" applyFont="1">
      <alignment horizontal="left" readingOrder="0" shrinkToFit="0" vertical="bottom" wrapText="0"/>
    </xf>
    <xf borderId="0" fillId="0" fontId="133" numFmtId="0" xfId="0" applyAlignment="1" applyFont="1">
      <alignment horizontal="center" readingOrder="0" shrinkToFit="0" vertical="bottom" wrapText="0"/>
    </xf>
    <xf borderId="0" fillId="0" fontId="25" numFmtId="0" xfId="0" applyAlignment="1" applyFont="1">
      <alignment horizontal="right" readingOrder="0" shrinkToFit="0" vertical="bottom" wrapText="0"/>
    </xf>
    <xf borderId="0" fillId="0" fontId="134" numFmtId="174" xfId="0" applyAlignment="1" applyFont="1" applyNumberFormat="1">
      <alignment horizontal="center" readingOrder="0" shrinkToFit="0" vertical="bottom" wrapText="0"/>
    </xf>
    <xf borderId="0" fillId="0" fontId="25" numFmtId="0" xfId="0" applyAlignment="1" applyFont="1">
      <alignment horizontal="left" readingOrder="0" shrinkToFit="0" vertical="bottom" wrapText="0"/>
    </xf>
    <xf borderId="3" fillId="43" fontId="134" numFmtId="0" xfId="0" applyAlignment="1" applyBorder="1" applyFill="1" applyFont="1">
      <alignment horizontal="center" readingOrder="0" shrinkToFit="0" wrapText="0"/>
    </xf>
    <xf borderId="2" fillId="43" fontId="134" numFmtId="0" xfId="0" applyAlignment="1" applyBorder="1" applyFont="1">
      <alignment horizontal="center" readingOrder="0" shrinkToFit="0" wrapText="0"/>
    </xf>
    <xf borderId="0" fillId="0" fontId="135" numFmtId="0" xfId="0" applyAlignment="1" applyFont="1">
      <alignment horizontal="left" readingOrder="0" shrinkToFit="0" vertical="bottom" wrapText="0"/>
    </xf>
    <xf borderId="0" fillId="0" fontId="136" numFmtId="0" xfId="0" applyAlignment="1" applyFont="1">
      <alignment horizontal="right" readingOrder="0" shrinkToFit="0" vertical="bottom" wrapText="0"/>
    </xf>
    <xf borderId="0" fillId="0" fontId="137" numFmtId="0" xfId="0" applyAlignment="1" applyFont="1">
      <alignment horizontal="right" shrinkToFit="0" vertical="bottom" wrapText="0"/>
    </xf>
    <xf borderId="7" fillId="0" fontId="25" numFmtId="0" xfId="0" applyAlignment="1" applyBorder="1" applyFont="1">
      <alignment horizontal="right" readingOrder="0" shrinkToFit="0" vertical="bottom" wrapText="0"/>
    </xf>
    <xf borderId="9" fillId="0" fontId="25" numFmtId="175" xfId="0" applyAlignment="1" applyBorder="1" applyFont="1" applyNumberFormat="1">
      <alignment horizontal="right" readingOrder="0" shrinkToFit="0" vertical="bottom" wrapText="0"/>
    </xf>
    <xf borderId="9" fillId="0" fontId="25" numFmtId="0" xfId="0" applyAlignment="1" applyBorder="1" applyFont="1">
      <alignment horizontal="right" readingOrder="0" shrinkToFit="0" vertical="bottom" wrapText="0"/>
    </xf>
    <xf borderId="9" fillId="0" fontId="25" numFmtId="0" xfId="0" applyAlignment="1" applyBorder="1" applyFont="1">
      <alignment horizontal="left" readingOrder="0" shrinkToFit="0" vertical="bottom" wrapText="0"/>
    </xf>
    <xf borderId="9" fillId="0" fontId="25" numFmtId="0" xfId="0" applyAlignment="1" applyBorder="1" applyFont="1">
      <alignment shrinkToFit="0" vertical="bottom" wrapText="0"/>
    </xf>
    <xf borderId="12" fillId="0" fontId="25" numFmtId="0" xfId="0" applyAlignment="1" applyBorder="1" applyFont="1">
      <alignment horizontal="right" readingOrder="0" shrinkToFit="0" vertical="bottom" wrapText="0"/>
    </xf>
    <xf borderId="20" fillId="0" fontId="25" numFmtId="175" xfId="0" applyAlignment="1" applyBorder="1" applyFont="1" applyNumberFormat="1">
      <alignment horizontal="right" readingOrder="0" shrinkToFit="0" vertical="bottom" wrapText="0"/>
    </xf>
    <xf borderId="20" fillId="0" fontId="25" numFmtId="0" xfId="0" applyAlignment="1" applyBorder="1" applyFont="1">
      <alignment horizontal="right" readingOrder="0" shrinkToFit="0" vertical="bottom" wrapText="0"/>
    </xf>
    <xf borderId="20" fillId="0" fontId="25" numFmtId="0" xfId="0" applyAlignment="1" applyBorder="1" applyFont="1">
      <alignment horizontal="left" readingOrder="0" shrinkToFit="0" vertical="bottom" wrapText="0"/>
    </xf>
    <xf borderId="20" fillId="0" fontId="25" numFmtId="0" xfId="0" applyAlignment="1" applyBorder="1" applyFont="1">
      <alignment shrinkToFit="0" vertical="bottom" wrapText="0"/>
    </xf>
    <xf borderId="12" fillId="0" fontId="25" numFmtId="0" xfId="0" applyAlignment="1" applyBorder="1" applyFont="1">
      <alignment shrinkToFit="0" vertical="bottom" wrapText="0"/>
    </xf>
    <xf borderId="20" fillId="0" fontId="25" numFmtId="0" xfId="0" applyAlignment="1" applyBorder="1" applyFont="1">
      <alignment horizontal="right" shrinkToFit="0" vertical="bottom" wrapText="0"/>
    </xf>
    <xf borderId="20" fillId="16" fontId="25" numFmtId="0" xfId="0" applyAlignment="1" applyBorder="1" applyFont="1">
      <alignment horizontal="left" readingOrder="0" shrinkToFit="0" vertical="bottom" wrapText="0"/>
    </xf>
    <xf borderId="20" fillId="2" fontId="25" numFmtId="0" xfId="0" applyAlignment="1" applyBorder="1" applyFont="1">
      <alignment horizontal="left" readingOrder="0" shrinkToFit="0" vertical="bottom" wrapText="0"/>
    </xf>
    <xf borderId="20" fillId="0" fontId="25" numFmtId="0" xfId="0" applyAlignment="1" applyBorder="1" applyFont="1">
      <alignment horizontal="left" readingOrder="0" vertical="bottom"/>
    </xf>
    <xf borderId="20" fillId="0" fontId="25" numFmtId="0" xfId="0" applyAlignment="1" applyBorder="1" applyFont="1">
      <alignment horizontal="center" shrinkToFit="0" vertical="bottom" wrapText="0"/>
    </xf>
    <xf borderId="5" fillId="0" fontId="25" numFmtId="0" xfId="0" applyAlignment="1" applyBorder="1" applyFont="1">
      <alignment shrinkToFit="0" vertical="bottom" wrapText="0"/>
    </xf>
    <xf borderId="6" fillId="0" fontId="25" numFmtId="0" xfId="0" applyAlignment="1" applyBorder="1" applyFont="1">
      <alignment shrinkToFit="0" vertical="bottom" wrapText="0"/>
    </xf>
    <xf borderId="6" fillId="0" fontId="25" numFmtId="0" xfId="0" applyAlignment="1" applyBorder="1" applyFont="1">
      <alignment horizontal="center" shrinkToFit="0" vertical="bottom" wrapText="0"/>
    </xf>
    <xf borderId="6" fillId="0" fontId="138" numFmtId="0" xfId="0" applyAlignment="1" applyBorder="1" applyFont="1">
      <alignment horizontal="left" readingOrder="0" shrinkToFit="0" vertical="bottom" wrapText="0"/>
    </xf>
    <xf borderId="6" fillId="0" fontId="25" numFmtId="0" xfId="0" applyAlignment="1" applyBorder="1" applyFont="1">
      <alignment horizontal="left" readingOrder="0" shrinkToFit="0" vertical="bottom" wrapText="0"/>
    </xf>
    <xf borderId="2" fillId="0" fontId="134" numFmtId="0" xfId="0" applyAlignment="1" applyBorder="1" applyFont="1">
      <alignment horizontal="left" readingOrder="0" shrinkToFit="0" vertical="bottom" wrapText="0"/>
    </xf>
    <xf borderId="2" fillId="0" fontId="25" numFmtId="0" xfId="0" applyAlignment="1" applyBorder="1" applyFont="1">
      <alignment shrinkToFit="0" vertical="bottom" wrapText="0"/>
    </xf>
    <xf borderId="4" fillId="3" fontId="139" numFmtId="0" xfId="0" applyAlignment="1" applyBorder="1" applyFont="1">
      <alignment horizontal="left" readingOrder="0" shrinkToFit="0" vertical="bottom" wrapText="0"/>
    </xf>
    <xf borderId="0" fillId="3" fontId="140" numFmtId="0" xfId="0" applyAlignment="1" applyFont="1">
      <alignment shrinkToFit="0" vertical="bottom" wrapText="0"/>
    </xf>
    <xf borderId="4" fillId="3" fontId="141" numFmtId="0" xfId="0" applyAlignment="1" applyBorder="1" applyFont="1">
      <alignment horizontal="center" readingOrder="0" shrinkToFit="0" vertical="center" wrapText="0"/>
    </xf>
    <xf borderId="11" fillId="3" fontId="142" numFmtId="0" xfId="0" applyAlignment="1" applyBorder="1" applyFont="1">
      <alignment horizontal="left" readingOrder="0" shrinkToFit="0" wrapText="0"/>
    </xf>
    <xf borderId="20" fillId="3" fontId="143" numFmtId="0" xfId="0" applyAlignment="1" applyBorder="1" applyFont="1">
      <alignment horizontal="center" readingOrder="0" shrinkToFit="0" vertical="bottom" wrapText="0"/>
    </xf>
    <xf borderId="8" fillId="3" fontId="41" numFmtId="0" xfId="0" applyAlignment="1" applyBorder="1" applyFont="1">
      <alignment horizontal="left" readingOrder="0" shrinkToFit="0" vertical="bottom" wrapText="0"/>
    </xf>
    <xf borderId="0" fillId="3" fontId="144" numFmtId="0" xfId="0" applyAlignment="1" applyFont="1">
      <alignment horizontal="left" readingOrder="0" shrinkToFit="0" vertical="bottom" wrapText="0"/>
    </xf>
    <xf borderId="1" fillId="3" fontId="145" numFmtId="0" xfId="0" applyAlignment="1" applyBorder="1" applyFont="1">
      <alignment horizontal="left" readingOrder="0" shrinkToFit="0" wrapText="1"/>
    </xf>
    <xf borderId="19" fillId="3" fontId="146" numFmtId="0" xfId="0" applyAlignment="1" applyBorder="1" applyFont="1">
      <alignment horizontal="center" readingOrder="0" shrinkToFit="0" wrapText="0"/>
    </xf>
    <xf borderId="6" fillId="3" fontId="146" numFmtId="0" xfId="0" applyAlignment="1" applyBorder="1" applyFont="1">
      <alignment readingOrder="0" shrinkToFit="0" wrapText="0"/>
    </xf>
    <xf borderId="12" fillId="16" fontId="147" numFmtId="0" xfId="0" applyAlignment="1" applyBorder="1" applyFont="1">
      <alignment horizontal="center" readingOrder="0" shrinkToFit="0" wrapText="0"/>
    </xf>
    <xf borderId="12" fillId="16" fontId="148" numFmtId="0" xfId="0" applyAlignment="1" applyBorder="1" applyFont="1">
      <alignment horizontal="center" readingOrder="0" shrinkToFit="0" wrapText="0"/>
    </xf>
    <xf borderId="12" fillId="16" fontId="148" numFmtId="0" xfId="0" applyAlignment="1" applyBorder="1" applyFont="1">
      <alignment horizontal="center" readingOrder="0"/>
    </xf>
    <xf borderId="19" fillId="16" fontId="148" numFmtId="0" xfId="0" applyAlignment="1" applyBorder="1" applyFont="1">
      <alignment horizontal="center" readingOrder="0" shrinkToFit="0" wrapText="0"/>
    </xf>
    <xf borderId="6" fillId="16" fontId="148" numFmtId="0" xfId="0" applyAlignment="1" applyBorder="1" applyFont="1">
      <alignment horizontal="center" readingOrder="0" shrinkToFit="0" wrapText="0"/>
    </xf>
    <xf borderId="12" fillId="0" fontId="149" numFmtId="0" xfId="0" applyAlignment="1" applyBorder="1" applyFont="1">
      <alignment horizontal="center" readingOrder="0" shrinkToFit="0" wrapText="0"/>
    </xf>
    <xf borderId="20" fillId="0" fontId="140" numFmtId="0" xfId="0" applyAlignment="1" applyBorder="1" applyFont="1">
      <alignment horizontal="center" readingOrder="0" shrinkToFit="0" wrapText="0"/>
    </xf>
    <xf borderId="20" fillId="0" fontId="150" numFmtId="0" xfId="0" applyAlignment="1" applyBorder="1" applyFont="1">
      <alignment readingOrder="0" shrinkToFit="0" vertical="bottom" wrapText="0"/>
    </xf>
    <xf borderId="20" fillId="0" fontId="140" numFmtId="0" xfId="0" applyAlignment="1" applyBorder="1" applyFont="1">
      <alignment shrinkToFit="0" vertical="bottom" wrapText="0"/>
    </xf>
    <xf borderId="20" fillId="0" fontId="140" numFmtId="0" xfId="0" applyAlignment="1" applyBorder="1" applyFont="1">
      <alignment readingOrder="0" shrinkToFit="0" vertical="bottom" wrapText="0"/>
    </xf>
    <xf borderId="20" fillId="0" fontId="140" numFmtId="0" xfId="0" applyAlignment="1" applyBorder="1" applyFont="1">
      <alignment horizontal="center" shrinkToFit="0" wrapText="0"/>
    </xf>
    <xf borderId="1" fillId="13" fontId="151" numFmtId="0" xfId="0" applyAlignment="1" applyBorder="1" applyFont="1">
      <alignment horizontal="center" readingOrder="0" shrinkToFit="0" vertical="bottom" wrapText="0"/>
    </xf>
    <xf borderId="19" fillId="13" fontId="152" numFmtId="0" xfId="0" applyAlignment="1" applyBorder="1" applyFont="1">
      <alignment horizontal="left" readingOrder="0" shrinkToFit="0" wrapText="0"/>
    </xf>
    <xf borderId="4" fillId="13" fontId="153" numFmtId="0" xfId="0" applyAlignment="1" applyBorder="1" applyFont="1">
      <alignment horizontal="left" readingOrder="0"/>
    </xf>
    <xf borderId="4" fillId="22" fontId="148" numFmtId="0" xfId="0" applyAlignment="1" applyBorder="1" applyFont="1">
      <alignment horizontal="center" readingOrder="0"/>
    </xf>
    <xf borderId="1" fillId="13" fontId="154" numFmtId="0" xfId="0" applyAlignment="1" applyBorder="1" applyFont="1">
      <alignment horizontal="left" readingOrder="0" shrinkToFit="0" wrapText="0"/>
    </xf>
    <xf borderId="1" fillId="13" fontId="155" numFmtId="0" xfId="0" applyAlignment="1" applyBorder="1" applyFont="1">
      <alignment horizontal="center" readingOrder="0" shrinkToFit="0" vertical="bottom" wrapText="0"/>
    </xf>
    <xf borderId="19" fillId="13" fontId="156" numFmtId="0" xfId="0" applyAlignment="1" applyBorder="1" applyFont="1">
      <alignment horizontal="left" readingOrder="0" shrinkToFit="0" vertical="bottom" wrapText="0"/>
    </xf>
    <xf borderId="19" fillId="13" fontId="157" numFmtId="0" xfId="0" applyAlignment="1" applyBorder="1" applyFont="1">
      <alignment horizontal="center" readingOrder="0" shrinkToFit="0" wrapText="0"/>
    </xf>
    <xf borderId="5" fillId="20" fontId="139" numFmtId="0" xfId="0" applyAlignment="1" applyBorder="1" applyFont="1">
      <alignment horizontal="center" readingOrder="0" shrinkToFit="0" wrapText="0"/>
    </xf>
    <xf borderId="6" fillId="20" fontId="139" numFmtId="0" xfId="0" applyAlignment="1" applyBorder="1" applyFont="1">
      <alignment horizontal="center" readingOrder="0" shrinkToFit="0" wrapText="0"/>
    </xf>
    <xf borderId="6" fillId="20" fontId="158" numFmtId="0" xfId="0" applyAlignment="1" applyBorder="1" applyFont="1">
      <alignment readingOrder="0" shrinkToFit="0" wrapText="0"/>
    </xf>
    <xf borderId="6" fillId="20" fontId="158" numFmtId="0" xfId="0" applyAlignment="1" applyBorder="1" applyFont="1">
      <alignment horizontal="center" readingOrder="0" shrinkToFit="0" wrapText="0"/>
    </xf>
    <xf borderId="21" fillId="20" fontId="158" numFmtId="0" xfId="0" applyAlignment="1" applyBorder="1" applyFont="1">
      <alignment horizontal="center" readingOrder="0" shrinkToFit="0" wrapText="0"/>
    </xf>
    <xf borderId="8" fillId="20" fontId="158" numFmtId="0" xfId="0" applyAlignment="1" applyBorder="1" applyFont="1">
      <alignment horizontal="center" readingOrder="0" shrinkToFit="0" wrapText="0"/>
    </xf>
    <xf borderId="8" fillId="20" fontId="159" numFmtId="0" xfId="0" applyAlignment="1" applyBorder="1" applyFont="1">
      <alignment horizontal="center" readingOrder="0"/>
    </xf>
    <xf borderId="49" fillId="13" fontId="151" numFmtId="0" xfId="0" applyAlignment="1" applyBorder="1" applyFont="1">
      <alignment horizontal="center" readingOrder="0" shrinkToFit="0" vertical="bottom" wrapText="0"/>
    </xf>
    <xf borderId="50" fillId="13" fontId="151" numFmtId="0" xfId="0" applyAlignment="1" applyBorder="1" applyFont="1">
      <alignment horizontal="center" readingOrder="0" shrinkToFit="0" vertical="bottom" wrapText="0"/>
    </xf>
    <xf borderId="50" fillId="13" fontId="160" numFmtId="0" xfId="0" applyAlignment="1" applyBorder="1" applyFont="1">
      <alignment readingOrder="0" shrinkToFit="0" vertical="bottom" wrapText="0"/>
    </xf>
    <xf borderId="50" fillId="13" fontId="161" numFmtId="0" xfId="0" applyAlignment="1" applyBorder="1" applyFont="1">
      <alignment horizontal="left" shrinkToFit="0" vertical="bottom" wrapText="0"/>
    </xf>
    <xf borderId="50" fillId="13" fontId="162" numFmtId="9" xfId="0" applyAlignment="1" applyBorder="1" applyFont="1" applyNumberFormat="1">
      <alignment horizontal="center" readingOrder="0" shrinkToFit="0" vertical="bottom" wrapText="0"/>
    </xf>
    <xf borderId="11" fillId="13" fontId="163" numFmtId="0" xfId="0" applyAlignment="1" applyBorder="1" applyFont="1">
      <alignment horizontal="center" shrinkToFit="0" vertical="bottom" wrapText="0"/>
    </xf>
    <xf borderId="49" fillId="13" fontId="44" numFmtId="0" xfId="0" applyAlignment="1" applyBorder="1" applyFont="1">
      <alignment horizontal="center" readingOrder="0" shrinkToFit="0" vertical="bottom" wrapText="0"/>
    </xf>
    <xf borderId="50" fillId="13" fontId="44" numFmtId="0" xfId="0" applyAlignment="1" applyBorder="1" applyFont="1">
      <alignment horizontal="center" readingOrder="0" shrinkToFit="0" vertical="bottom" wrapText="0"/>
    </xf>
    <xf borderId="50" fillId="13" fontId="163" numFmtId="0" xfId="0" applyAlignment="1" applyBorder="1" applyFont="1">
      <alignment readingOrder="0" shrinkToFit="0" vertical="bottom" wrapText="0"/>
    </xf>
    <xf borderId="50" fillId="13" fontId="164" numFmtId="0" xfId="0" applyAlignment="1" applyBorder="1" applyFont="1">
      <alignment horizontal="left" readingOrder="0" shrinkToFit="0" vertical="bottom" wrapText="0"/>
    </xf>
    <xf borderId="50" fillId="13" fontId="159" numFmtId="0" xfId="0" applyAlignment="1" applyBorder="1" applyFont="1">
      <alignment readingOrder="0" shrinkToFit="0" vertical="bottom" wrapText="0"/>
    </xf>
    <xf borderId="50" fillId="13" fontId="163" numFmtId="9" xfId="0" applyAlignment="1" applyBorder="1" applyFont="1" applyNumberFormat="1">
      <alignment horizontal="center" readingOrder="0" shrinkToFit="0" vertical="bottom" wrapText="0"/>
    </xf>
    <xf borderId="51" fillId="0" fontId="2" numFmtId="0" xfId="0" applyBorder="1" applyFont="1"/>
    <xf borderId="50" fillId="13" fontId="44" numFmtId="0" xfId="0" applyAlignment="1" applyBorder="1" applyFont="1">
      <alignment horizontal="center" shrinkToFit="0" vertical="bottom" wrapText="0"/>
    </xf>
    <xf borderId="50" fillId="13" fontId="164" numFmtId="0" xfId="0" applyAlignment="1" applyBorder="1" applyFont="1">
      <alignment horizontal="left" shrinkToFit="0" vertical="bottom" wrapText="0"/>
    </xf>
    <xf borderId="50" fillId="13" fontId="163" numFmtId="0" xfId="0" applyAlignment="1" applyBorder="1" applyFont="1">
      <alignment shrinkToFit="0" vertical="bottom" wrapText="0"/>
    </xf>
    <xf borderId="50" fillId="13" fontId="159" numFmtId="0" xfId="0" applyAlignment="1" applyBorder="1" applyFont="1">
      <alignment shrinkToFit="0" vertical="bottom" wrapText="0"/>
    </xf>
    <xf borderId="50" fillId="13" fontId="163" numFmtId="0" xfId="0" applyAlignment="1" applyBorder="1" applyFont="1">
      <alignment horizontal="center" shrinkToFit="0" vertical="bottom" wrapText="0"/>
    </xf>
    <xf borderId="52" fillId="13" fontId="163" numFmtId="0" xfId="0" applyAlignment="1" applyBorder="1" applyFont="1">
      <alignment horizontal="center" shrinkToFit="0" vertical="bottom" wrapText="0"/>
    </xf>
    <xf borderId="49" fillId="20" fontId="151" numFmtId="0" xfId="0" applyAlignment="1" applyBorder="1" applyFont="1">
      <alignment horizontal="center" readingOrder="0" shrinkToFit="0" vertical="bottom" wrapText="0"/>
    </xf>
    <xf borderId="50" fillId="20" fontId="151" numFmtId="0" xfId="0" applyAlignment="1" applyBorder="1" applyFont="1">
      <alignment horizontal="center" readingOrder="0" shrinkToFit="0" vertical="bottom" wrapText="0"/>
    </xf>
    <xf borderId="50" fillId="20" fontId="160" numFmtId="0" xfId="0" applyAlignment="1" applyBorder="1" applyFont="1">
      <alignment readingOrder="0" shrinkToFit="0" vertical="bottom" wrapText="0"/>
    </xf>
    <xf borderId="50" fillId="20" fontId="161" numFmtId="0" xfId="0" applyAlignment="1" applyBorder="1" applyFont="1">
      <alignment horizontal="left" shrinkToFit="0" vertical="bottom" wrapText="0"/>
    </xf>
    <xf borderId="50" fillId="20" fontId="151" numFmtId="0" xfId="0" applyAlignment="1" applyBorder="1" applyFont="1">
      <alignment readingOrder="0" shrinkToFit="0" vertical="bottom" wrapText="0"/>
    </xf>
    <xf borderId="3" fillId="44" fontId="165" numFmtId="0" xfId="0" applyAlignment="1" applyBorder="1" applyFill="1" applyFont="1">
      <alignment readingOrder="0" shrinkToFit="0" vertical="bottom" wrapText="0"/>
    </xf>
    <xf borderId="50" fillId="20" fontId="160" numFmtId="9" xfId="0" applyAlignment="1" applyBorder="1" applyFont="1" applyNumberFormat="1">
      <alignment horizontal="center" readingOrder="0" shrinkToFit="0" vertical="bottom" wrapText="0"/>
    </xf>
    <xf borderId="52" fillId="20" fontId="166" numFmtId="0" xfId="0" applyAlignment="1" applyBorder="1" applyFont="1">
      <alignment readingOrder="0" shrinkToFit="0" vertical="bottom" wrapText="0"/>
    </xf>
    <xf borderId="3" fillId="44" fontId="167" numFmtId="0" xfId="0" applyAlignment="1" applyBorder="1" applyFont="1">
      <alignment readingOrder="0" shrinkToFit="0" vertical="bottom" wrapText="0"/>
    </xf>
    <xf borderId="52" fillId="13" fontId="168" numFmtId="0" xfId="0" applyAlignment="1" applyBorder="1" applyFont="1">
      <alignment readingOrder="0" shrinkToFit="0" vertical="bottom" wrapText="0"/>
    </xf>
    <xf borderId="52" fillId="13" fontId="168" numFmtId="0" xfId="0" applyAlignment="1" applyBorder="1" applyFont="1">
      <alignment horizontal="center" shrinkToFit="0" wrapText="0"/>
    </xf>
    <xf borderId="49" fillId="45" fontId="152" numFmtId="0" xfId="0" applyAlignment="1" applyBorder="1" applyFill="1" applyFont="1">
      <alignment horizontal="center" shrinkToFit="0" vertical="bottom" wrapText="0"/>
    </xf>
    <xf borderId="50" fillId="45" fontId="152" numFmtId="0" xfId="0" applyAlignment="1" applyBorder="1" applyFont="1">
      <alignment horizontal="center" readingOrder="0" shrinkToFit="0" vertical="bottom" wrapText="0"/>
    </xf>
    <xf borderId="50" fillId="45" fontId="169" numFmtId="0" xfId="0" applyAlignment="1" applyBorder="1" applyFont="1">
      <alignment readingOrder="0" shrinkToFit="0" vertical="bottom" wrapText="0"/>
    </xf>
    <xf borderId="50" fillId="45" fontId="170" numFmtId="0" xfId="0" applyAlignment="1" applyBorder="1" applyFont="1">
      <alignment horizontal="left" shrinkToFit="0" vertical="bottom" wrapText="0"/>
    </xf>
    <xf borderId="50" fillId="45" fontId="170" numFmtId="0" xfId="0" applyAlignment="1" applyBorder="1" applyFont="1">
      <alignment readingOrder="0" shrinkToFit="0" vertical="bottom" wrapText="0"/>
    </xf>
    <xf borderId="3" fillId="44" fontId="171" numFmtId="0" xfId="0" applyAlignment="1" applyBorder="1" applyFont="1">
      <alignment readingOrder="0" shrinkToFit="0" vertical="bottom" wrapText="0"/>
    </xf>
    <xf borderId="50" fillId="45" fontId="170" numFmtId="0" xfId="0" applyAlignment="1" applyBorder="1" applyFont="1">
      <alignment horizontal="center" shrinkToFit="0" vertical="bottom" wrapText="0"/>
    </xf>
    <xf borderId="52" fillId="13" fontId="172" numFmtId="0" xfId="0" applyAlignment="1" applyBorder="1" applyFont="1">
      <alignment shrinkToFit="0" vertical="bottom" wrapText="0"/>
    </xf>
    <xf borderId="49" fillId="13" fontId="127" numFmtId="0" xfId="0" applyAlignment="1" applyBorder="1" applyFont="1">
      <alignment horizontal="center" readingOrder="0" shrinkToFit="0" vertical="bottom" wrapText="0"/>
    </xf>
    <xf borderId="50" fillId="13" fontId="127" numFmtId="0" xfId="0" applyAlignment="1" applyBorder="1" applyFont="1">
      <alignment horizontal="center" readingOrder="0" shrinkToFit="0" vertical="bottom" wrapText="0"/>
    </xf>
    <xf borderId="50" fillId="13" fontId="173" numFmtId="0" xfId="0" applyAlignment="1" applyBorder="1" applyFont="1">
      <alignment readingOrder="0" shrinkToFit="0" vertical="bottom" wrapText="0"/>
    </xf>
    <xf borderId="50" fillId="13" fontId="173" numFmtId="0" xfId="0" applyAlignment="1" applyBorder="1" applyFont="1">
      <alignment horizontal="left" shrinkToFit="0" vertical="bottom" wrapText="0"/>
    </xf>
    <xf borderId="50" fillId="13" fontId="173" numFmtId="9" xfId="0" applyAlignment="1" applyBorder="1" applyFont="1" applyNumberFormat="1">
      <alignment horizontal="center" readingOrder="0" shrinkToFit="0" vertical="bottom" wrapText="0"/>
    </xf>
    <xf borderId="52" fillId="13" fontId="172" numFmtId="0" xfId="0" applyAlignment="1" applyBorder="1" applyFont="1">
      <alignment readingOrder="0" shrinkToFit="0" vertical="bottom" wrapText="0"/>
    </xf>
    <xf borderId="49" fillId="13" fontId="152" numFmtId="0" xfId="0" applyAlignment="1" applyBorder="1" applyFont="1">
      <alignment horizontal="center" readingOrder="0" shrinkToFit="0" vertical="bottom" wrapText="0"/>
    </xf>
    <xf borderId="50" fillId="13" fontId="152" numFmtId="0" xfId="0" applyAlignment="1" applyBorder="1" applyFont="1">
      <alignment horizontal="center" readingOrder="0" shrinkToFit="0" vertical="bottom" wrapText="0"/>
    </xf>
    <xf borderId="50" fillId="13" fontId="170" numFmtId="0" xfId="0" applyAlignment="1" applyBorder="1" applyFont="1">
      <alignment readingOrder="0" shrinkToFit="0" vertical="bottom" wrapText="0"/>
    </xf>
    <xf borderId="50" fillId="13" fontId="170" numFmtId="0" xfId="0" applyAlignment="1" applyBorder="1" applyFont="1">
      <alignment horizontal="left" shrinkToFit="0" vertical="bottom" wrapText="0"/>
    </xf>
    <xf borderId="50" fillId="13" fontId="170" numFmtId="9" xfId="0" applyAlignment="1" applyBorder="1" applyFont="1" applyNumberFormat="1">
      <alignment horizontal="center" readingOrder="0" shrinkToFit="0" vertical="bottom" wrapText="0"/>
    </xf>
    <xf borderId="49" fillId="13" fontId="44" numFmtId="172" xfId="0" applyAlignment="1" applyBorder="1" applyFont="1" applyNumberFormat="1">
      <alignment horizontal="center" readingOrder="0" shrinkToFit="0" vertical="bottom" wrapText="0"/>
    </xf>
    <xf borderId="50" fillId="13" fontId="170" numFmtId="0" xfId="0" applyAlignment="1" applyBorder="1" applyFont="1">
      <alignment horizontal="left" readingOrder="0" shrinkToFit="0" vertical="bottom" wrapText="0"/>
    </xf>
    <xf borderId="49" fillId="46" fontId="139" numFmtId="0" xfId="0" applyAlignment="1" applyBorder="1" applyFill="1" applyFont="1">
      <alignment horizontal="center" readingOrder="0" shrinkToFit="0" vertical="bottom" wrapText="0"/>
    </xf>
    <xf borderId="50" fillId="46" fontId="139" numFmtId="0" xfId="0" applyAlignment="1" applyBorder="1" applyFont="1">
      <alignment horizontal="center" readingOrder="0" shrinkToFit="0" vertical="bottom" wrapText="0"/>
    </xf>
    <xf borderId="50" fillId="46" fontId="158" numFmtId="0" xfId="0" applyAlignment="1" applyBorder="1" applyFont="1">
      <alignment readingOrder="0" shrinkToFit="0" vertical="bottom" wrapText="0"/>
    </xf>
    <xf borderId="50" fillId="46" fontId="158" numFmtId="0" xfId="0" applyAlignment="1" applyBorder="1" applyFont="1">
      <alignment horizontal="left" readingOrder="0" shrinkToFit="0" vertical="bottom" wrapText="0"/>
    </xf>
    <xf borderId="50" fillId="46" fontId="158" numFmtId="9" xfId="0" applyAlignment="1" applyBorder="1" applyFont="1" applyNumberFormat="1">
      <alignment horizontal="center" readingOrder="0" shrinkToFit="0" vertical="bottom" wrapText="0"/>
    </xf>
    <xf borderId="52" fillId="46" fontId="172" numFmtId="0" xfId="0" applyAlignment="1" applyBorder="1" applyFont="1">
      <alignment readingOrder="0" shrinkToFit="0" vertical="bottom" wrapText="0"/>
    </xf>
    <xf borderId="49" fillId="46" fontId="44" numFmtId="0" xfId="0" applyAlignment="1" applyBorder="1" applyFont="1">
      <alignment horizontal="center" readingOrder="0" shrinkToFit="0" vertical="bottom" wrapText="0"/>
    </xf>
    <xf borderId="50" fillId="46" fontId="44" numFmtId="0" xfId="0" applyAlignment="1" applyBorder="1" applyFont="1">
      <alignment horizontal="center" readingOrder="0" shrinkToFit="0" vertical="bottom" wrapText="0"/>
    </xf>
    <xf borderId="50" fillId="46" fontId="163" numFmtId="0" xfId="0" applyAlignment="1" applyBorder="1" applyFont="1">
      <alignment readingOrder="0" shrinkToFit="0" vertical="bottom" wrapText="0"/>
    </xf>
    <xf borderId="50" fillId="46" fontId="164" numFmtId="0" xfId="0" applyAlignment="1" applyBorder="1" applyFont="1">
      <alignment horizontal="left" readingOrder="0" shrinkToFit="0" vertical="bottom" wrapText="0"/>
    </xf>
    <xf borderId="50" fillId="46" fontId="163" numFmtId="9" xfId="0" applyAlignment="1" applyBorder="1" applyFont="1" applyNumberFormat="1">
      <alignment horizontal="center" readingOrder="0" shrinkToFit="0" vertical="bottom" wrapText="0"/>
    </xf>
    <xf borderId="52" fillId="13" fontId="168" numFmtId="0" xfId="0" applyAlignment="1" applyBorder="1" applyFont="1">
      <alignment shrinkToFit="0" vertical="bottom" wrapText="0"/>
    </xf>
    <xf borderId="5" fillId="20" fontId="139" numFmtId="0" xfId="0" applyAlignment="1" applyBorder="1" applyFont="1">
      <alignment horizontal="center" readingOrder="0" shrinkToFit="0" vertical="bottom" wrapText="0"/>
    </xf>
    <xf borderId="6" fillId="20" fontId="139" numFmtId="0" xfId="0" applyAlignment="1" applyBorder="1" applyFont="1">
      <alignment horizontal="center" readingOrder="0" shrinkToFit="0" vertical="bottom" wrapText="0"/>
    </xf>
    <xf borderId="6" fillId="20" fontId="158" numFmtId="0" xfId="0" applyAlignment="1" applyBorder="1" applyFont="1">
      <alignment readingOrder="0" shrinkToFit="0" vertical="bottom" wrapText="0"/>
    </xf>
    <xf borderId="6" fillId="20" fontId="158" numFmtId="0" xfId="0" applyAlignment="1" applyBorder="1" applyFont="1">
      <alignment horizontal="left" readingOrder="0" shrinkToFit="0" vertical="bottom" wrapText="0"/>
    </xf>
    <xf borderId="6" fillId="20" fontId="158" numFmtId="9" xfId="0" applyAlignment="1" applyBorder="1" applyFont="1" applyNumberFormat="1">
      <alignment horizontal="center" readingOrder="0" shrinkToFit="0" vertical="bottom" wrapText="0"/>
    </xf>
    <xf borderId="21" fillId="20" fontId="168" numFmtId="0" xfId="0" applyAlignment="1" applyBorder="1" applyFont="1">
      <alignment shrinkToFit="0" vertical="bottom" wrapText="0"/>
    </xf>
    <xf borderId="21" fillId="0" fontId="22" numFmtId="0" xfId="0" applyBorder="1" applyFont="1"/>
    <xf borderId="2" fillId="16" fontId="41" numFmtId="0" xfId="0" applyAlignment="1" applyBorder="1" applyFont="1">
      <alignment readingOrder="0" shrinkToFit="0" wrapText="0"/>
    </xf>
    <xf borderId="2" fillId="16" fontId="41" numFmtId="9" xfId="0" applyAlignment="1" applyBorder="1" applyFont="1" applyNumberFormat="1">
      <alignment horizontal="center" readingOrder="0" shrinkToFit="0" wrapText="0"/>
    </xf>
    <xf borderId="11" fillId="0" fontId="174" numFmtId="0" xfId="0" applyAlignment="1" applyBorder="1" applyFont="1">
      <alignment horizontal="left" readingOrder="0" vertical="bottom"/>
    </xf>
    <xf borderId="0" fillId="0" fontId="44" numFmtId="0" xfId="0" applyAlignment="1" applyFont="1">
      <alignment shrinkToFit="0" vertical="bottom" wrapText="0"/>
    </xf>
    <xf borderId="4" fillId="3" fontId="175" numFmtId="0" xfId="0" applyAlignment="1" applyBorder="1" applyFont="1">
      <alignment horizontal="left" readingOrder="0" shrinkToFit="0" wrapText="0"/>
    </xf>
    <xf borderId="20" fillId="16" fontId="41" numFmtId="0" xfId="0" applyAlignment="1" applyBorder="1" applyFont="1">
      <alignment readingOrder="0" shrinkToFit="0" wrapText="0"/>
    </xf>
    <xf borderId="12" fillId="16" fontId="41" numFmtId="0" xfId="0" applyAlignment="1" applyBorder="1" applyFont="1">
      <alignment horizontal="center" readingOrder="0" shrinkToFit="0" wrapText="0"/>
    </xf>
    <xf borderId="6" fillId="16" fontId="41" numFmtId="0" xfId="0" applyAlignment="1" applyBorder="1" applyFont="1">
      <alignment shrinkToFit="0" wrapText="0"/>
    </xf>
    <xf borderId="19" fillId="20" fontId="41" numFmtId="0" xfId="0" applyAlignment="1" applyBorder="1" applyFont="1">
      <alignment horizontal="center" readingOrder="0" shrinkToFit="0" vertical="bottom" wrapText="0"/>
    </xf>
    <xf borderId="1" fillId="20" fontId="41" numFmtId="0" xfId="0" applyAlignment="1" applyBorder="1" applyFont="1">
      <alignment horizontal="center" readingOrder="0" shrinkToFit="0" wrapText="0"/>
    </xf>
    <xf borderId="5" fillId="20" fontId="41" numFmtId="0" xfId="0" applyAlignment="1" applyBorder="1" applyFont="1">
      <alignment horizontal="center" readingOrder="0" shrinkToFit="0" wrapText="0"/>
    </xf>
    <xf borderId="6" fillId="20" fontId="41" numFmtId="0" xfId="0" applyAlignment="1" applyBorder="1" applyFont="1">
      <alignment readingOrder="0" shrinkToFit="0" wrapText="0"/>
    </xf>
    <xf borderId="5" fillId="20" fontId="41" numFmtId="0" xfId="0" applyAlignment="1" applyBorder="1" applyFont="1">
      <alignment horizontal="center" readingOrder="0"/>
    </xf>
    <xf borderId="21" fillId="20" fontId="41" numFmtId="0" xfId="0" applyAlignment="1" applyBorder="1" applyFont="1">
      <alignment horizontal="center" readingOrder="0" shrinkToFit="0" wrapText="0"/>
    </xf>
    <xf borderId="12" fillId="22" fontId="151" numFmtId="0" xfId="0" applyAlignment="1" applyBorder="1" applyFont="1">
      <alignment horizontal="center" readingOrder="0" shrinkToFit="0" vertical="bottom" wrapText="0"/>
    </xf>
    <xf borderId="20" fillId="22" fontId="151" numFmtId="0" xfId="0" applyAlignment="1" applyBorder="1" applyFont="1">
      <alignment readingOrder="0" shrinkToFit="0" vertical="bottom" wrapText="0"/>
    </xf>
    <xf borderId="20" fillId="22" fontId="176" numFmtId="0" xfId="0" applyAlignment="1" applyBorder="1" applyFont="1">
      <alignment horizontal="left" vertical="bottom"/>
    </xf>
    <xf borderId="0" fillId="22" fontId="151" numFmtId="0" xfId="0" applyAlignment="1" applyFont="1">
      <alignment readingOrder="0" shrinkToFit="0" vertical="bottom" wrapText="0"/>
    </xf>
    <xf borderId="12" fillId="22" fontId="151" numFmtId="0" xfId="0" applyAlignment="1" applyBorder="1" applyFont="1">
      <alignment readingOrder="0" shrinkToFit="0" vertical="bottom" wrapText="0"/>
    </xf>
    <xf borderId="12" fillId="22" fontId="41" numFmtId="0" xfId="0" applyAlignment="1" applyBorder="1" applyFont="1">
      <alignment horizontal="center" readingOrder="0" shrinkToFit="0" vertical="bottom" wrapText="0"/>
    </xf>
    <xf borderId="20" fillId="22" fontId="44" numFmtId="0" xfId="0" applyAlignment="1" applyBorder="1" applyFont="1">
      <alignment readingOrder="0" shrinkToFit="0" vertical="bottom" wrapText="0"/>
    </xf>
    <xf borderId="20" fillId="22" fontId="177" numFmtId="0" xfId="0" applyAlignment="1" applyBorder="1" applyFont="1">
      <alignment horizontal="left" readingOrder="0" vertical="bottom"/>
    </xf>
    <xf borderId="0" fillId="22" fontId="44" numFmtId="0" xfId="0" applyAlignment="1" applyFont="1">
      <alignment readingOrder="0" shrinkToFit="0" vertical="bottom" wrapText="0"/>
    </xf>
    <xf borderId="12" fillId="22" fontId="44" numFmtId="0" xfId="0" applyAlignment="1" applyBorder="1" applyFont="1">
      <alignment readingOrder="0" shrinkToFit="0" vertical="bottom" wrapText="0"/>
    </xf>
    <xf borderId="0" fillId="22" fontId="44" numFmtId="0" xfId="0" applyAlignment="1" applyFont="1">
      <alignment shrinkToFit="0" vertical="bottom" wrapText="0"/>
    </xf>
    <xf borderId="20" fillId="22" fontId="177" numFmtId="0" xfId="0" applyAlignment="1" applyBorder="1" applyFont="1">
      <alignment horizontal="left" vertical="bottom"/>
    </xf>
    <xf borderId="12" fillId="22" fontId="44" numFmtId="0" xfId="0" applyAlignment="1" applyBorder="1" applyFont="1">
      <alignment shrinkToFit="0" vertical="bottom" wrapText="0"/>
    </xf>
    <xf borderId="3" fillId="20" fontId="151" numFmtId="0" xfId="0" applyAlignment="1" applyBorder="1" applyFont="1">
      <alignment horizontal="center" readingOrder="0" shrinkToFit="0" vertical="bottom" wrapText="0"/>
    </xf>
    <xf borderId="2" fillId="20" fontId="151" numFmtId="0" xfId="0" applyAlignment="1" applyBorder="1" applyFont="1">
      <alignment readingOrder="0" shrinkToFit="0" vertical="bottom" wrapText="0"/>
    </xf>
    <xf borderId="2" fillId="20" fontId="176" numFmtId="0" xfId="0" applyAlignment="1" applyBorder="1" applyFont="1">
      <alignment horizontal="left" vertical="bottom"/>
    </xf>
    <xf borderId="19" fillId="20" fontId="151" numFmtId="0" xfId="0" applyAlignment="1" applyBorder="1" applyFont="1">
      <alignment readingOrder="0" shrinkToFit="0" vertical="bottom" wrapText="0"/>
    </xf>
    <xf borderId="3" fillId="20" fontId="151" numFmtId="0" xfId="0" applyAlignment="1" applyBorder="1" applyFont="1">
      <alignment readingOrder="0" shrinkToFit="0" vertical="bottom" wrapText="0"/>
    </xf>
    <xf borderId="49" fillId="22" fontId="44" numFmtId="0" xfId="0" applyAlignment="1" applyBorder="1" applyFont="1">
      <alignment horizontal="center" readingOrder="0" shrinkToFit="0" vertical="bottom" wrapText="0"/>
    </xf>
    <xf borderId="50" fillId="22" fontId="44" numFmtId="0" xfId="0" applyAlignment="1" applyBorder="1" applyFont="1">
      <alignment readingOrder="0" shrinkToFit="0" vertical="bottom" wrapText="1"/>
    </xf>
    <xf borderId="50" fillId="22" fontId="177" numFmtId="0" xfId="0" applyAlignment="1" applyBorder="1" applyFont="1">
      <alignment horizontal="left" readingOrder="0" vertical="bottom"/>
    </xf>
    <xf borderId="50" fillId="22" fontId="44" numFmtId="0" xfId="0" applyAlignment="1" applyBorder="1" applyFont="1">
      <alignment readingOrder="0" shrinkToFit="0" vertical="bottom" wrapText="0"/>
    </xf>
    <xf borderId="50" fillId="22" fontId="44" numFmtId="0" xfId="0" applyAlignment="1" applyBorder="1" applyFont="1">
      <alignment shrinkToFit="0" vertical="bottom" wrapText="0"/>
    </xf>
    <xf borderId="5" fillId="22" fontId="44" numFmtId="0" xfId="0" applyAlignment="1" applyBorder="1" applyFont="1">
      <alignment horizontal="center" readingOrder="0" shrinkToFit="0" vertical="bottom" wrapText="0"/>
    </xf>
    <xf borderId="6" fillId="22" fontId="44" numFmtId="0" xfId="0" applyAlignment="1" applyBorder="1" applyFont="1">
      <alignment readingOrder="0" shrinkToFit="0" vertical="bottom" wrapText="1"/>
    </xf>
    <xf borderId="6" fillId="22" fontId="177" numFmtId="0" xfId="0" applyAlignment="1" applyBorder="1" applyFont="1">
      <alignment horizontal="left" readingOrder="0" vertical="bottom"/>
    </xf>
    <xf borderId="6" fillId="22" fontId="44" numFmtId="0" xfId="0" applyAlignment="1" applyBorder="1" applyFont="1">
      <alignment shrinkToFit="0" vertical="bottom" wrapText="0"/>
    </xf>
    <xf borderId="6" fillId="22" fontId="44" numFmtId="0" xfId="0" applyAlignment="1" applyBorder="1" applyFont="1">
      <alignment readingOrder="0" shrinkToFit="0" vertical="bottom" wrapText="0"/>
    </xf>
    <xf borderId="0" fillId="47" fontId="178" numFmtId="0" xfId="0" applyAlignment="1" applyFill="1" applyFont="1">
      <alignment horizontal="center" shrinkToFit="0" vertical="bottom" wrapText="0"/>
    </xf>
    <xf borderId="0" fillId="47" fontId="178" numFmtId="0" xfId="0" applyAlignment="1" applyFont="1">
      <alignment readingOrder="0" shrinkToFit="0" vertical="bottom" wrapText="0"/>
    </xf>
    <xf borderId="0" fillId="47" fontId="179" numFmtId="0" xfId="0" applyAlignment="1" applyFont="1">
      <alignment horizontal="left" vertical="bottom"/>
    </xf>
    <xf borderId="12" fillId="47" fontId="178" numFmtId="0" xfId="0" applyAlignment="1" applyBorder="1" applyFont="1">
      <alignment readingOrder="0" shrinkToFit="0" vertical="bottom" wrapText="0"/>
    </xf>
    <xf borderId="20" fillId="47" fontId="178" numFmtId="0" xfId="0" applyAlignment="1" applyBorder="1" applyFont="1">
      <alignment readingOrder="0" shrinkToFit="0" vertical="bottom" wrapText="0"/>
    </xf>
    <xf borderId="3" fillId="48" fontId="178" numFmtId="0" xfId="0" applyAlignment="1" applyBorder="1" applyFill="1" applyFont="1">
      <alignment horizontal="center" readingOrder="0" shrinkToFit="0" vertical="bottom" wrapText="0"/>
    </xf>
    <xf borderId="2" fillId="48" fontId="178" numFmtId="0" xfId="0" applyAlignment="1" applyBorder="1" applyFont="1">
      <alignment readingOrder="0" shrinkToFit="0" vertical="bottom" wrapText="0"/>
    </xf>
    <xf borderId="2" fillId="48" fontId="179" numFmtId="0" xfId="0" applyAlignment="1" applyBorder="1" applyFont="1">
      <alignment horizontal="left" vertical="bottom"/>
    </xf>
    <xf borderId="19" fillId="48" fontId="178" numFmtId="0" xfId="0" applyAlignment="1" applyBorder="1" applyFont="1">
      <alignment readingOrder="0" shrinkToFit="0" vertical="bottom" wrapText="0"/>
    </xf>
    <xf borderId="1" fillId="48" fontId="178" numFmtId="0" xfId="0" applyAlignment="1" applyBorder="1" applyFont="1">
      <alignment readingOrder="0" shrinkToFit="0" vertical="bottom" wrapText="0"/>
    </xf>
    <xf borderId="49" fillId="49" fontId="180" numFmtId="0" xfId="0" applyAlignment="1" applyBorder="1" applyFill="1" applyFont="1">
      <alignment horizontal="center" readingOrder="0" shrinkToFit="0" vertical="bottom" wrapText="0"/>
    </xf>
    <xf borderId="50" fillId="49" fontId="180" numFmtId="0" xfId="0" applyAlignment="1" applyBorder="1" applyFont="1">
      <alignment readingOrder="0" shrinkToFit="0" vertical="bottom" wrapText="0"/>
    </xf>
    <xf borderId="50" fillId="49" fontId="181" numFmtId="0" xfId="0" applyAlignment="1" applyBorder="1" applyFont="1">
      <alignment horizontal="left" vertical="bottom"/>
    </xf>
    <xf borderId="49" fillId="49" fontId="44" numFmtId="172" xfId="0" applyAlignment="1" applyBorder="1" applyFont="1" applyNumberFormat="1">
      <alignment horizontal="center" readingOrder="0" shrinkToFit="0" vertical="bottom" wrapText="0"/>
    </xf>
    <xf borderId="50" fillId="49" fontId="44" numFmtId="0" xfId="0" applyAlignment="1" applyBorder="1" applyFont="1">
      <alignment readingOrder="0" shrinkToFit="0" vertical="bottom" wrapText="0"/>
    </xf>
    <xf borderId="50" fillId="49" fontId="177" numFmtId="0" xfId="0" applyAlignment="1" applyBorder="1" applyFont="1">
      <alignment horizontal="left" readingOrder="0" vertical="bottom"/>
    </xf>
    <xf borderId="50" fillId="49" fontId="44" numFmtId="0" xfId="0" applyAlignment="1" applyBorder="1" applyFont="1">
      <alignment shrinkToFit="0" vertical="bottom" wrapText="0"/>
    </xf>
    <xf borderId="50" fillId="49" fontId="177" numFmtId="0" xfId="0" applyAlignment="1" applyBorder="1" applyFont="1">
      <alignment horizontal="left" vertical="bottom"/>
    </xf>
    <xf borderId="49" fillId="49" fontId="44" numFmtId="0" xfId="0" applyAlignment="1" applyBorder="1" applyFont="1">
      <alignment horizontal="center" readingOrder="0" shrinkToFit="0" vertical="bottom" wrapText="0"/>
    </xf>
    <xf borderId="49" fillId="46" fontId="151" numFmtId="0" xfId="0" applyAlignment="1" applyBorder="1" applyFont="1">
      <alignment horizontal="center" readingOrder="0" shrinkToFit="0" vertical="bottom" wrapText="0"/>
    </xf>
    <xf borderId="50" fillId="46" fontId="151" numFmtId="0" xfId="0" applyAlignment="1" applyBorder="1" applyFont="1">
      <alignment readingOrder="0" shrinkToFit="0" vertical="bottom" wrapText="0"/>
    </xf>
    <xf borderId="50" fillId="46" fontId="177" numFmtId="0" xfId="0" applyAlignment="1" applyBorder="1" applyFont="1">
      <alignment horizontal="left" vertical="bottom"/>
    </xf>
    <xf borderId="50" fillId="46" fontId="44" numFmtId="0" xfId="0" applyAlignment="1" applyBorder="1" applyFont="1">
      <alignment readingOrder="0" shrinkToFit="0" vertical="bottom" wrapText="0"/>
    </xf>
    <xf borderId="50" fillId="46" fontId="177" numFmtId="0" xfId="0" applyAlignment="1" applyBorder="1" applyFont="1">
      <alignment horizontal="left" readingOrder="0" vertical="bottom"/>
    </xf>
    <xf borderId="50" fillId="46" fontId="44" numFmtId="0" xfId="0" applyAlignment="1" applyBorder="1" applyFont="1">
      <alignment shrinkToFit="0" vertical="bottom" wrapText="0"/>
    </xf>
    <xf borderId="5" fillId="46" fontId="44" numFmtId="0" xfId="0" applyAlignment="1" applyBorder="1" applyFont="1">
      <alignment horizontal="center" readingOrder="0" shrinkToFit="0" vertical="bottom" wrapText="0"/>
    </xf>
    <xf borderId="6" fillId="46" fontId="44" numFmtId="0" xfId="0" applyAlignment="1" applyBorder="1" applyFont="1">
      <alignment readingOrder="0" shrinkToFit="0" vertical="bottom" wrapText="0"/>
    </xf>
    <xf borderId="6" fillId="46" fontId="44" numFmtId="0" xfId="0" applyAlignment="1" applyBorder="1" applyFont="1">
      <alignment shrinkToFit="0" vertical="bottom" wrapText="0"/>
    </xf>
    <xf borderId="5" fillId="16" fontId="182" numFmtId="0" xfId="0" applyAlignment="1" applyBorder="1" applyFont="1">
      <alignment horizontal="center" readingOrder="0" shrinkToFit="0" wrapText="0"/>
    </xf>
    <xf borderId="6" fillId="16" fontId="182" numFmtId="0" xfId="0" applyAlignment="1" applyBorder="1" applyFont="1">
      <alignment readingOrder="0" shrinkToFit="0" wrapText="0"/>
    </xf>
    <xf borderId="2" fillId="16" fontId="182" numFmtId="0" xfId="0" applyAlignment="1" applyBorder="1" applyFont="1">
      <alignment horizontal="left"/>
    </xf>
    <xf borderId="21" fillId="16" fontId="182" numFmtId="0" xfId="0" applyAlignment="1" applyBorder="1" applyFont="1">
      <alignment readingOrder="0" shrinkToFit="0" wrapText="0"/>
    </xf>
    <xf borderId="8" fillId="16" fontId="182" numFmtId="0" xfId="0" applyAlignment="1" applyBorder="1" applyFont="1">
      <alignment readingOrder="0" shrinkToFit="0" wrapText="0"/>
    </xf>
    <xf borderId="1" fillId="16" fontId="183" numFmtId="0" xfId="0" applyAlignment="1" applyBorder="1" applyFont="1">
      <alignment horizontal="center" readingOrder="0" shrinkToFit="0" wrapText="0"/>
    </xf>
    <xf borderId="20" fillId="0" fontId="183" numFmtId="0" xfId="0" applyBorder="1" applyFont="1"/>
    <xf borderId="12" fillId="3" fontId="148" numFmtId="0" xfId="0" applyAlignment="1" applyBorder="1" applyFont="1">
      <alignment horizontal="center" readingOrder="0" shrinkToFit="0" wrapText="0"/>
    </xf>
    <xf borderId="12" fillId="3" fontId="148" numFmtId="0" xfId="0" applyAlignment="1" applyBorder="1" applyFont="1">
      <alignment horizontal="left" readingOrder="0" shrinkToFit="0" wrapText="0"/>
    </xf>
    <xf borderId="6" fillId="0" fontId="183" numFmtId="0" xfId="0" applyBorder="1" applyFont="1"/>
    <xf borderId="5" fillId="3" fontId="148" numFmtId="0" xfId="0" applyAlignment="1" applyBorder="1" applyFont="1">
      <alignment horizontal="center" readingOrder="0" shrinkToFit="0" wrapText="0"/>
    </xf>
    <xf borderId="19" fillId="3" fontId="148" numFmtId="0" xfId="0" applyAlignment="1" applyBorder="1" applyFont="1">
      <alignment horizontal="left" readingOrder="0" shrinkToFit="0" wrapText="0"/>
    </xf>
    <xf borderId="6" fillId="0" fontId="184" numFmtId="0" xfId="0" applyAlignment="1" applyBorder="1" applyFont="1">
      <alignment horizontal="left" shrinkToFit="0" wrapText="0"/>
    </xf>
    <xf borderId="5" fillId="3" fontId="140" numFmtId="0" xfId="0" applyAlignment="1" applyBorder="1" applyFont="1">
      <alignment horizontal="center" readingOrder="0" shrinkToFit="0" wrapText="0"/>
    </xf>
    <xf borderId="6" fillId="3" fontId="140" numFmtId="0" xfId="0" applyAlignment="1" applyBorder="1" applyFont="1">
      <alignment horizontal="left" shrinkToFit="0" wrapText="0"/>
    </xf>
    <xf borderId="21" fillId="3" fontId="148" numFmtId="0" xfId="0" applyAlignment="1" applyBorder="1" applyFont="1">
      <alignment horizontal="left" shrinkToFit="0" wrapText="0"/>
    </xf>
    <xf borderId="8" fillId="3" fontId="148" numFmtId="0" xfId="0" applyAlignment="1" applyBorder="1" applyFont="1">
      <alignment horizontal="left" readingOrder="0" shrinkToFit="0" wrapText="0"/>
    </xf>
    <xf borderId="5" fillId="0" fontId="184" numFmtId="0" xfId="0" applyAlignment="1" applyBorder="1" applyFont="1">
      <alignment horizontal="left" shrinkToFit="0" wrapText="0"/>
    </xf>
    <xf borderId="5" fillId="13" fontId="140" numFmtId="172" xfId="0" applyAlignment="1" applyBorder="1" applyFont="1" applyNumberFormat="1">
      <alignment horizontal="center" readingOrder="0" shrinkToFit="0" vertical="bottom" wrapText="0"/>
    </xf>
    <xf borderId="6" fillId="13" fontId="140" numFmtId="0" xfId="0" applyAlignment="1" applyBorder="1" applyFont="1">
      <alignment horizontal="center" readingOrder="0" shrinkToFit="0" vertical="bottom" wrapText="0"/>
    </xf>
    <xf borderId="6" fillId="13" fontId="140" numFmtId="0" xfId="0" applyAlignment="1" applyBorder="1" applyFont="1">
      <alignment readingOrder="0" shrinkToFit="0" vertical="bottom" wrapText="0"/>
    </xf>
    <xf borderId="6" fillId="0" fontId="149" numFmtId="0" xfId="0" applyAlignment="1" applyBorder="1" applyFont="1">
      <alignment horizontal="left" vertical="bottom"/>
    </xf>
    <xf borderId="6" fillId="0" fontId="149" numFmtId="0" xfId="0" applyAlignment="1" applyBorder="1" applyFont="1">
      <alignment horizontal="left" readingOrder="0" vertical="bottom"/>
    </xf>
    <xf borderId="5" fillId="13" fontId="140" numFmtId="0" xfId="0" applyAlignment="1" applyBorder="1" applyFont="1">
      <alignment horizontal="center" readingOrder="0" shrinkToFit="0" vertical="bottom" wrapText="0"/>
    </xf>
    <xf borderId="5" fillId="3" fontId="148" numFmtId="0" xfId="0" applyAlignment="1" applyBorder="1" applyFont="1">
      <alignment horizontal="center" readingOrder="0" shrinkToFit="0" vertical="bottom" wrapText="0"/>
    </xf>
    <xf borderId="6" fillId="3" fontId="148" numFmtId="0" xfId="0" applyAlignment="1" applyBorder="1" applyFont="1">
      <alignment horizontal="left" shrinkToFit="0" vertical="bottom" wrapText="0"/>
    </xf>
    <xf borderId="6" fillId="3" fontId="148" numFmtId="0" xfId="0" applyAlignment="1" applyBorder="1" applyFont="1">
      <alignment shrinkToFit="0" vertical="bottom" wrapText="0"/>
    </xf>
    <xf borderId="6" fillId="3" fontId="148" numFmtId="0" xfId="0" applyAlignment="1" applyBorder="1" applyFont="1">
      <alignment readingOrder="0" shrinkToFit="0" vertical="bottom" wrapText="0"/>
    </xf>
    <xf borderId="6" fillId="3" fontId="184" numFmtId="0" xfId="0" applyAlignment="1" applyBorder="1" applyFont="1">
      <alignment horizontal="left" shrinkToFit="0" vertical="bottom" wrapText="0"/>
    </xf>
    <xf borderId="6" fillId="0" fontId="149" numFmtId="0" xfId="0" applyAlignment="1" applyBorder="1" applyFont="1">
      <alignment horizontal="left" shrinkToFit="0" vertical="bottom" wrapText="0"/>
    </xf>
    <xf borderId="12" fillId="0" fontId="149" numFmtId="0" xfId="0" applyAlignment="1" applyBorder="1" applyFont="1">
      <alignment horizontal="center" readingOrder="0"/>
    </xf>
    <xf borderId="5" fillId="3" fontId="148" numFmtId="0" xfId="0" applyAlignment="1" applyBorder="1" applyFont="1">
      <alignment horizontal="left" readingOrder="0" shrinkToFit="0" vertical="bottom" wrapText="0"/>
    </xf>
    <xf borderId="6" fillId="3" fontId="148" numFmtId="0" xfId="0" applyAlignment="1" applyBorder="1" applyFont="1">
      <alignment horizontal="left" readingOrder="0" shrinkToFit="0" vertical="bottom" wrapText="0"/>
    </xf>
    <xf borderId="6" fillId="3" fontId="149" numFmtId="0" xfId="0" applyAlignment="1" applyBorder="1" applyFont="1">
      <alignment horizontal="left" shrinkToFit="0" vertical="bottom" wrapText="0"/>
    </xf>
    <xf borderId="5" fillId="3" fontId="140" numFmtId="0" xfId="0" applyAlignment="1" applyBorder="1" applyFont="1">
      <alignment horizontal="center" readingOrder="0" shrinkToFit="0" vertical="bottom" wrapText="0"/>
    </xf>
    <xf borderId="6" fillId="3" fontId="148" numFmtId="0" xfId="0" applyAlignment="1" applyBorder="1" applyFont="1">
      <alignment horizontal="center" shrinkToFit="0" vertical="bottom" wrapText="0"/>
    </xf>
    <xf borderId="6" fillId="0" fontId="149" numFmtId="0" xfId="0" applyAlignment="1" applyBorder="1" applyFont="1">
      <alignment horizontal="left" readingOrder="0" shrinkToFit="0" vertical="bottom" wrapText="0"/>
    </xf>
    <xf borderId="5" fillId="13" fontId="140" numFmtId="0" xfId="0" applyAlignment="1" applyBorder="1" applyFont="1">
      <alignment horizontal="center" shrinkToFit="0" vertical="bottom" wrapText="0"/>
    </xf>
    <xf borderId="12" fillId="0" fontId="149" numFmtId="0" xfId="0" applyAlignment="1" applyBorder="1" applyFont="1">
      <alignment horizontal="left" readingOrder="0" vertical="bottom"/>
    </xf>
    <xf borderId="5" fillId="16" fontId="148" numFmtId="0" xfId="0" applyAlignment="1" applyBorder="1" applyFont="1">
      <alignment horizontal="left" readingOrder="0" shrinkToFit="0" vertical="bottom" wrapText="0"/>
    </xf>
    <xf borderId="6" fillId="16" fontId="148" numFmtId="0" xfId="0" applyAlignment="1" applyBorder="1" applyFont="1">
      <alignment horizontal="left" shrinkToFit="0" vertical="bottom" wrapText="0"/>
    </xf>
    <xf borderId="6" fillId="16" fontId="148" numFmtId="0" xfId="0" applyAlignment="1" applyBorder="1" applyFont="1">
      <alignment horizontal="left" readingOrder="0" shrinkToFit="0" vertical="bottom" wrapText="0"/>
    </xf>
    <xf borderId="6" fillId="16" fontId="149" numFmtId="0" xfId="0" applyAlignment="1" applyBorder="1" applyFont="1">
      <alignment horizontal="left" shrinkToFit="0" vertical="bottom" wrapText="0"/>
    </xf>
    <xf borderId="5" fillId="50" fontId="148" numFmtId="0" xfId="0" applyAlignment="1" applyBorder="1" applyFill="1" applyFont="1">
      <alignment horizontal="left" shrinkToFit="0" vertical="bottom" wrapText="0"/>
    </xf>
    <xf borderId="6" fillId="50" fontId="148" numFmtId="0" xfId="0" applyAlignment="1" applyBorder="1" applyFont="1">
      <alignment horizontal="left" shrinkToFit="0" vertical="bottom" wrapText="0"/>
    </xf>
    <xf borderId="6" fillId="50" fontId="148" numFmtId="0" xfId="0" applyAlignment="1" applyBorder="1" applyFont="1">
      <alignment horizontal="left" readingOrder="0" shrinkToFit="0" vertical="bottom" wrapText="0"/>
    </xf>
    <xf borderId="6" fillId="50" fontId="149" numFmtId="0" xfId="0" applyAlignment="1" applyBorder="1" applyFont="1">
      <alignment horizontal="left" shrinkToFit="0" vertical="bottom" wrapText="0"/>
    </xf>
    <xf borderId="6" fillId="13" fontId="148" numFmtId="0" xfId="0" applyAlignment="1" applyBorder="1" applyFont="1">
      <alignment readingOrder="0" shrinkToFit="0" vertical="bottom" wrapText="0"/>
    </xf>
    <xf borderId="1" fillId="13" fontId="140" numFmtId="0" xfId="0" applyAlignment="1" applyBorder="1" applyFont="1">
      <alignment horizontal="left" readingOrder="0" shrinkToFit="0" wrapText="0"/>
    </xf>
    <xf borderId="12" fillId="51" fontId="140" numFmtId="0" xfId="0" applyAlignment="1" applyBorder="1" applyFill="1" applyFont="1">
      <alignment horizontal="center" readingOrder="0" shrinkToFit="0" wrapText="0"/>
    </xf>
    <xf borderId="6" fillId="51" fontId="140" numFmtId="0" xfId="0" applyAlignment="1" applyBorder="1" applyFont="1">
      <alignment horizontal="center" shrinkToFit="0" wrapText="0"/>
    </xf>
    <xf borderId="6" fillId="51" fontId="148" numFmtId="0" xfId="0" applyAlignment="1" applyBorder="1" applyFont="1">
      <alignment readingOrder="0" shrinkToFit="0" vertical="bottom" wrapText="0"/>
    </xf>
    <xf borderId="6" fillId="51" fontId="140" numFmtId="0" xfId="0" applyAlignment="1" applyBorder="1" applyFont="1">
      <alignment readingOrder="0" shrinkToFit="0" vertical="bottom" wrapText="0"/>
    </xf>
    <xf borderId="6" fillId="51" fontId="149" numFmtId="0" xfId="0" applyAlignment="1" applyBorder="1" applyFont="1">
      <alignment horizontal="left" shrinkToFit="0" vertical="bottom" wrapText="0"/>
    </xf>
    <xf borderId="5" fillId="51" fontId="140" numFmtId="0" xfId="0" applyAlignment="1" applyBorder="1" applyFont="1">
      <alignment readingOrder="0" shrinkToFit="0" vertical="bottom" wrapText="0"/>
    </xf>
    <xf borderId="6" fillId="51" fontId="140" numFmtId="0" xfId="0" applyAlignment="1" applyBorder="1" applyFont="1">
      <alignment shrinkToFit="0" vertical="bottom" wrapText="0"/>
    </xf>
    <xf borderId="13" fillId="50" fontId="185" numFmtId="0" xfId="0" applyAlignment="1" applyBorder="1" applyFont="1">
      <alignment horizontal="center" readingOrder="0" shrinkToFit="0" vertical="bottom" wrapText="0"/>
    </xf>
    <xf borderId="13" fillId="0" fontId="25" numFmtId="0" xfId="0" applyAlignment="1" applyBorder="1" applyFont="1">
      <alignment horizontal="left" shrinkToFit="0" vertical="bottom" wrapText="0"/>
    </xf>
    <xf borderId="53" fillId="0" fontId="186" numFmtId="0" xfId="0" applyAlignment="1" applyBorder="1" applyFont="1">
      <alignment horizontal="center" readingOrder="0" shrinkToFit="0" vertical="bottom" wrapText="0"/>
    </xf>
    <xf borderId="54" fillId="0" fontId="2" numFmtId="0" xfId="0" applyBorder="1" applyFont="1"/>
    <xf borderId="55" fillId="0" fontId="2" numFmtId="0" xfId="0" applyBorder="1" applyFont="1"/>
    <xf borderId="13" fillId="0" fontId="187" numFmtId="0" xfId="0" applyAlignment="1" applyBorder="1" applyFont="1">
      <alignment shrinkToFit="0" vertical="bottom" wrapText="0"/>
    </xf>
    <xf borderId="13" fillId="0" fontId="188" numFmtId="0" xfId="0" applyAlignment="1" applyBorder="1" applyFont="1">
      <alignment horizontal="center" readingOrder="0" shrinkToFit="0" vertical="bottom" wrapText="0"/>
    </xf>
    <xf borderId="13" fillId="0" fontId="132" numFmtId="0" xfId="0" applyAlignment="1" applyBorder="1" applyFont="1">
      <alignment horizontal="right" readingOrder="0" shrinkToFit="0" vertical="bottom" wrapText="0"/>
    </xf>
    <xf borderId="13" fillId="0" fontId="186" numFmtId="0" xfId="0" applyAlignment="1" applyBorder="1" applyFont="1">
      <alignment horizontal="left" readingOrder="0" shrinkToFit="0" vertical="bottom" wrapText="0"/>
    </xf>
    <xf borderId="53" fillId="0" fontId="187" numFmtId="0" xfId="0" applyAlignment="1" applyBorder="1" applyFont="1">
      <alignment horizontal="left" readingOrder="0" shrinkToFit="0" vertical="bottom" wrapText="0"/>
    </xf>
    <xf borderId="13" fillId="0" fontId="21" numFmtId="0" xfId="0" applyAlignment="1" applyBorder="1" applyFont="1">
      <alignment shrinkToFit="0" vertical="bottom" wrapText="0"/>
    </xf>
    <xf borderId="13" fillId="0" fontId="25" numFmtId="0" xfId="0" applyAlignment="1" applyBorder="1" applyFont="1">
      <alignment shrinkToFit="0" vertical="bottom" wrapText="0"/>
    </xf>
    <xf borderId="53" fillId="0" fontId="134" numFmtId="0" xfId="0" applyAlignment="1" applyBorder="1" applyFont="1">
      <alignment horizontal="center" readingOrder="0" shrinkToFit="0" vertical="bottom" wrapText="0"/>
    </xf>
    <xf borderId="13" fillId="0" fontId="20" numFmtId="176" xfId="0" applyAlignment="1" applyBorder="1" applyFont="1" applyNumberFormat="1">
      <alignment horizontal="center" readingOrder="0" shrinkToFit="0" vertical="bottom" wrapText="0"/>
    </xf>
    <xf borderId="13" fillId="0" fontId="189" numFmtId="0" xfId="0" applyAlignment="1" applyBorder="1" applyFont="1">
      <alignment shrinkToFit="0" vertical="bottom" wrapText="0"/>
    </xf>
    <xf borderId="53" fillId="0" fontId="190" numFmtId="0" xfId="0" applyAlignment="1" applyBorder="1" applyFont="1">
      <alignment horizontal="center" readingOrder="0" shrinkToFit="0" vertical="bottom" wrapText="0"/>
    </xf>
    <xf borderId="13" fillId="0" fontId="187" numFmtId="0" xfId="0" applyAlignment="1" applyBorder="1" applyFont="1">
      <alignment horizontal="center" shrinkToFit="0" vertical="bottom" wrapText="0"/>
    </xf>
    <xf borderId="13" fillId="0" fontId="187" numFmtId="0" xfId="0" applyAlignment="1" applyBorder="1" applyFont="1">
      <alignment horizontal="center" readingOrder="0" shrinkToFit="0" vertical="bottom" wrapText="0"/>
    </xf>
    <xf borderId="13" fillId="0" fontId="190" numFmtId="0" xfId="0" applyAlignment="1" applyBorder="1" applyFont="1">
      <alignment horizontal="left" readingOrder="0" shrinkToFit="0" vertical="bottom" wrapText="0"/>
    </xf>
    <xf borderId="13" fillId="0" fontId="190" numFmtId="0" xfId="0" applyAlignment="1" applyBorder="1" applyFont="1">
      <alignment shrinkToFit="0" vertical="bottom" wrapText="0"/>
    </xf>
    <xf borderId="53" fillId="0" fontId="190" numFmtId="0" xfId="0" applyAlignment="1" applyBorder="1" applyFont="1">
      <alignment horizontal="left" readingOrder="0" shrinkToFit="0" vertical="bottom" wrapText="0"/>
    </xf>
    <xf borderId="53" fillId="0" fontId="26" numFmtId="0" xfId="0" applyAlignment="1" applyBorder="1" applyFont="1">
      <alignment horizontal="left" readingOrder="0" shrinkToFit="0" vertical="bottom" wrapText="0"/>
    </xf>
    <xf borderId="13" fillId="0" fontId="190" numFmtId="0" xfId="0" applyAlignment="1" applyBorder="1" applyFont="1">
      <alignment horizontal="center" shrinkToFit="0" vertical="bottom" wrapText="0"/>
    </xf>
    <xf borderId="53" fillId="0" fontId="191" numFmtId="0" xfId="0" applyAlignment="1" applyBorder="1" applyFont="1">
      <alignment horizontal="left" readingOrder="0" shrinkToFit="0" vertical="top" wrapText="0"/>
    </xf>
    <xf borderId="53" fillId="0" fontId="190" numFmtId="176" xfId="0" applyAlignment="1" applyBorder="1" applyFont="1" applyNumberFormat="1">
      <alignment horizontal="left" readingOrder="0" shrinkToFit="0" vertical="bottom" wrapText="0"/>
    </xf>
    <xf borderId="53" fillId="0" fontId="186" numFmtId="0" xfId="0" applyAlignment="1" applyBorder="1" applyFont="1">
      <alignment horizontal="left" readingOrder="0" shrinkToFit="0" vertical="bottom" wrapText="0"/>
    </xf>
    <xf borderId="13" fillId="0" fontId="186" numFmtId="0" xfId="0" applyAlignment="1" applyBorder="1" applyFont="1">
      <alignment shrinkToFit="0" vertical="bottom" wrapText="0"/>
    </xf>
    <xf borderId="13" fillId="0" fontId="186" numFmtId="0" xfId="0" applyAlignment="1" applyBorder="1" applyFont="1">
      <alignment horizontal="center" readingOrder="0" shrinkToFit="0" vertical="bottom" wrapText="0"/>
    </xf>
    <xf borderId="53" fillId="0" fontId="192" numFmtId="0" xfId="0" applyAlignment="1" applyBorder="1" applyFont="1">
      <alignment horizontal="left" readingOrder="0" shrinkToFit="0" vertical="bottom" wrapText="0"/>
    </xf>
    <xf borderId="13" fillId="0" fontId="192" numFmtId="0" xfId="0" applyAlignment="1" applyBorder="1" applyFont="1">
      <alignment horizontal="center" shrinkToFit="0" vertical="bottom" wrapText="0"/>
    </xf>
    <xf borderId="13" fillId="0" fontId="192" numFmtId="0" xfId="0" applyAlignment="1" applyBorder="1" applyFont="1">
      <alignment horizontal="right" readingOrder="0" shrinkToFit="0" vertical="bottom" wrapText="0"/>
    </xf>
    <xf borderId="13" fillId="0" fontId="192" numFmtId="0" xfId="0" applyAlignment="1" applyBorder="1" applyFont="1">
      <alignment shrinkToFit="0" vertical="bottom" wrapText="0"/>
    </xf>
    <xf borderId="13" fillId="0" fontId="192" numFmtId="0" xfId="0" applyAlignment="1" applyBorder="1" applyFont="1">
      <alignment horizontal="center" readingOrder="0" shrinkToFit="0" vertical="bottom" wrapText="0"/>
    </xf>
    <xf borderId="53" fillId="0" fontId="192" numFmtId="0" xfId="0" applyAlignment="1" applyBorder="1" applyFont="1">
      <alignment horizontal="center" readingOrder="0" shrinkToFit="0" vertical="bottom" wrapText="0"/>
    </xf>
    <xf borderId="53" fillId="0" fontId="55" numFmtId="0" xfId="0" applyAlignment="1" applyBorder="1" applyFont="1">
      <alignment horizontal="left" readingOrder="0" shrinkToFit="0" vertical="bottom" wrapText="0"/>
    </xf>
    <xf borderId="13" fillId="0" fontId="190" numFmtId="0" xfId="0" applyAlignment="1" applyBorder="1" applyFont="1">
      <alignment horizontal="left" shrinkToFit="0" vertical="bottom" wrapText="0"/>
    </xf>
    <xf borderId="53" fillId="0" fontId="22" numFmtId="0" xfId="0" applyBorder="1" applyFont="1"/>
    <xf borderId="13" fillId="0" fontId="186" numFmtId="0" xfId="0" applyAlignment="1" applyBorder="1" applyFont="1">
      <alignment horizontal="left" shrinkToFit="0" vertical="bottom" wrapText="0"/>
    </xf>
    <xf borderId="3" fillId="0" fontId="193" numFmtId="10" xfId="0" applyAlignment="1" applyBorder="1" applyFont="1" applyNumberFormat="1">
      <alignment shrinkToFit="0" vertical="bottom" wrapText="0"/>
    </xf>
    <xf borderId="3" fillId="0" fontId="58" numFmtId="0" xfId="0" applyAlignment="1" applyBorder="1" applyFont="1">
      <alignment vertical="bottom"/>
    </xf>
    <xf borderId="3" fillId="0" fontId="58" numFmtId="167" xfId="0" applyAlignment="1" applyBorder="1" applyFont="1" applyNumberFormat="1">
      <alignment vertical="bottom"/>
    </xf>
    <xf borderId="3" fillId="0" fontId="58" numFmtId="9" xfId="0" applyAlignment="1" applyBorder="1" applyFont="1" applyNumberFormat="1">
      <alignment vertical="bottom"/>
    </xf>
    <xf borderId="3" fillId="0" fontId="58" numFmtId="177" xfId="0" applyAlignment="1" applyBorder="1" applyFont="1" applyNumberFormat="1">
      <alignment vertical="bottom"/>
    </xf>
    <xf borderId="3" fillId="0" fontId="58" numFmtId="4" xfId="0" applyAlignment="1" applyBorder="1" applyFont="1" applyNumberFormat="1">
      <alignment vertical="bottom"/>
    </xf>
    <xf borderId="3" fillId="0" fontId="98" numFmtId="177" xfId="0" applyAlignment="1" applyBorder="1" applyFont="1" applyNumberFormat="1">
      <alignment vertical="bottom"/>
    </xf>
    <xf borderId="3" fillId="0" fontId="98" numFmtId="177" xfId="0" applyAlignment="1" applyBorder="1" applyFont="1" applyNumberFormat="1">
      <alignment shrinkToFit="0" vertical="bottom" wrapText="0"/>
    </xf>
    <xf borderId="3" fillId="0" fontId="98" numFmtId="0" xfId="0" applyAlignment="1" applyBorder="1" applyFont="1">
      <alignment readingOrder="0" shrinkToFit="0" vertical="bottom" wrapText="0"/>
    </xf>
    <xf borderId="1" fillId="52" fontId="194" numFmtId="177" xfId="0" applyAlignment="1" applyBorder="1" applyFill="1" applyFont="1" applyNumberFormat="1">
      <alignment horizontal="center" vertical="bottom"/>
    </xf>
    <xf borderId="1" fillId="0" fontId="194" numFmtId="167" xfId="0" applyAlignment="1" applyBorder="1" applyFont="1" applyNumberFormat="1">
      <alignment horizontal="center" vertical="bottom"/>
    </xf>
    <xf borderId="1" fillId="0" fontId="98" numFmtId="167" xfId="0" applyAlignment="1" applyBorder="1" applyFont="1" applyNumberFormat="1">
      <alignment horizontal="center" vertical="bottom"/>
    </xf>
    <xf borderId="1" fillId="0" fontId="98" numFmtId="178" xfId="0" applyAlignment="1" applyBorder="1" applyFont="1" applyNumberFormat="1">
      <alignment horizontal="center" vertical="bottom"/>
    </xf>
    <xf borderId="3" fillId="36" fontId="195" numFmtId="0" xfId="0" applyAlignment="1" applyBorder="1" applyFont="1">
      <alignment shrinkToFit="0" wrapText="0"/>
    </xf>
    <xf borderId="3" fillId="36" fontId="195" numFmtId="0" xfId="0" applyBorder="1" applyFont="1"/>
    <xf borderId="3" fillId="36" fontId="18" numFmtId="0" xfId="0" applyBorder="1" applyFont="1"/>
    <xf borderId="3" fillId="36" fontId="195" numFmtId="0" xfId="0" applyAlignment="1" applyBorder="1" applyFont="1">
      <alignment horizontal="right" shrinkToFit="0" wrapText="1"/>
    </xf>
    <xf borderId="3" fillId="36" fontId="195" numFmtId="167" xfId="0" applyAlignment="1" applyBorder="1" applyFont="1" applyNumberFormat="1">
      <alignment horizontal="center" shrinkToFit="0" wrapText="1"/>
    </xf>
    <xf borderId="3" fillId="36" fontId="195" numFmtId="9" xfId="0" applyAlignment="1" applyBorder="1" applyFont="1" applyNumberFormat="1">
      <alignment horizontal="center" shrinkToFit="0" wrapText="1"/>
    </xf>
    <xf borderId="3" fillId="36" fontId="195" numFmtId="0" xfId="0" applyAlignment="1" applyBorder="1" applyFont="1">
      <alignment horizontal="center" shrinkToFit="0" wrapText="1"/>
    </xf>
    <xf borderId="3" fillId="10" fontId="196" numFmtId="0" xfId="0" applyAlignment="1" applyBorder="1" applyFont="1">
      <alignment horizontal="right" vertical="bottom"/>
    </xf>
    <xf borderId="3" fillId="10" fontId="196" numFmtId="0" xfId="0" applyAlignment="1" applyBorder="1" applyFont="1">
      <alignment vertical="bottom"/>
    </xf>
    <xf borderId="3" fillId="10" fontId="196" numFmtId="0" xfId="0" applyAlignment="1" applyBorder="1" applyFont="1">
      <alignment horizontal="right" readingOrder="0" vertical="bottom"/>
    </xf>
    <xf borderId="3" fillId="10" fontId="196" numFmtId="167" xfId="0" applyAlignment="1" applyBorder="1" applyFont="1" applyNumberFormat="1">
      <alignment horizontal="center" vertical="bottom"/>
    </xf>
    <xf borderId="1" fillId="10" fontId="197" numFmtId="9" xfId="0" applyAlignment="1" applyBorder="1" applyFont="1" applyNumberFormat="1">
      <alignment vertical="bottom"/>
    </xf>
    <xf borderId="3" fillId="10" fontId="197" numFmtId="9" xfId="0" applyAlignment="1" applyBorder="1" applyFont="1" applyNumberFormat="1">
      <alignment vertical="bottom"/>
    </xf>
    <xf borderId="3" fillId="0" fontId="98" numFmtId="0" xfId="0" applyAlignment="1" applyBorder="1" applyFont="1">
      <alignment horizontal="right" vertical="bottom"/>
    </xf>
    <xf borderId="3" fillId="0" fontId="98" numFmtId="0" xfId="0" applyAlignment="1" applyBorder="1" applyFont="1">
      <alignment vertical="bottom"/>
    </xf>
    <xf borderId="3" fillId="0" fontId="194" numFmtId="167" xfId="0" applyAlignment="1" applyBorder="1" applyFont="1" applyNumberFormat="1">
      <alignment horizontal="center" vertical="bottom"/>
    </xf>
    <xf borderId="1" fillId="0" fontId="18" numFmtId="9" xfId="0" applyAlignment="1" applyBorder="1" applyFont="1" applyNumberFormat="1">
      <alignment vertical="bottom"/>
    </xf>
    <xf borderId="3" fillId="0" fontId="98" numFmtId="167" xfId="0" applyAlignment="1" applyBorder="1" applyFont="1" applyNumberFormat="1">
      <alignment horizontal="center" vertical="bottom"/>
    </xf>
    <xf borderId="3" fillId="0" fontId="18" numFmtId="9" xfId="0" applyAlignment="1" applyBorder="1" applyFont="1" applyNumberFormat="1">
      <alignment vertical="bottom"/>
    </xf>
    <xf borderId="3" fillId="10" fontId="24" numFmtId="0" xfId="0" applyAlignment="1" applyBorder="1" applyFont="1">
      <alignment vertical="bottom"/>
    </xf>
    <xf borderId="2" fillId="10" fontId="198" numFmtId="0" xfId="0" applyAlignment="1" applyBorder="1" applyFont="1">
      <alignment vertical="bottom"/>
    </xf>
    <xf borderId="2" fillId="10" fontId="198" numFmtId="0" xfId="0" applyAlignment="1" applyBorder="1" applyFont="1">
      <alignment horizontal="right" vertical="bottom"/>
    </xf>
    <xf borderId="2" fillId="10" fontId="198" numFmtId="167" xfId="0" applyAlignment="1" applyBorder="1" applyFont="1" applyNumberFormat="1">
      <alignment horizontal="center" vertical="bottom"/>
    </xf>
    <xf borderId="1" fillId="10" fontId="18" numFmtId="9" xfId="0" applyAlignment="1" applyBorder="1" applyFont="1" applyNumberFormat="1">
      <alignment vertical="bottom"/>
    </xf>
    <xf borderId="2" fillId="10" fontId="24" numFmtId="9" xfId="0" applyAlignment="1" applyBorder="1" applyFont="1" applyNumberFormat="1">
      <alignment vertical="bottom"/>
    </xf>
    <xf borderId="2" fillId="10" fontId="199" numFmtId="9" xfId="0" applyAlignment="1" applyBorder="1" applyFont="1" applyNumberFormat="1">
      <alignment horizontal="right" vertical="bottom"/>
    </xf>
    <xf borderId="3" fillId="0" fontId="98" numFmtId="0" xfId="0" applyAlignment="1" applyBorder="1" applyFont="1">
      <alignment readingOrder="0" vertical="bottom"/>
    </xf>
    <xf borderId="1" fillId="36" fontId="195" numFmtId="9" xfId="0" applyAlignment="1" applyBorder="1" applyFont="1" applyNumberFormat="1">
      <alignment horizontal="center" shrinkToFit="0" wrapText="1"/>
    </xf>
    <xf borderId="3" fillId="10" fontId="123" numFmtId="0" xfId="0" applyAlignment="1" applyBorder="1" applyFont="1">
      <alignment vertical="bottom"/>
    </xf>
    <xf borderId="2" fillId="10" fontId="198" numFmtId="0" xfId="0" applyAlignment="1" applyBorder="1" applyFont="1">
      <alignment horizontal="right" readingOrder="0" vertical="bottom"/>
    </xf>
    <xf borderId="1" fillId="10" fontId="98" numFmtId="9" xfId="0" applyAlignment="1" applyBorder="1" applyFont="1" applyNumberFormat="1">
      <alignment vertical="bottom"/>
    </xf>
    <xf borderId="2" fillId="10" fontId="123" numFmtId="9" xfId="0" applyAlignment="1" applyBorder="1" applyFont="1" applyNumberFormat="1">
      <alignment vertical="bottom"/>
    </xf>
    <xf borderId="3" fillId="10" fontId="98" numFmtId="167" xfId="0" applyAlignment="1" applyBorder="1" applyFont="1" applyNumberFormat="1">
      <alignment horizontal="center" vertical="bottom"/>
    </xf>
    <xf borderId="2" fillId="10" fontId="198" numFmtId="9" xfId="0" applyAlignment="1" applyBorder="1" applyFont="1" applyNumberFormat="1">
      <alignment horizontal="right" vertical="bottom"/>
    </xf>
    <xf borderId="3" fillId="52" fontId="98" numFmtId="0" xfId="0" applyAlignment="1" applyBorder="1" applyFont="1">
      <alignment shrinkToFit="0" vertical="bottom" wrapText="0"/>
    </xf>
    <xf borderId="3" fillId="52" fontId="98" numFmtId="0" xfId="0" applyAlignment="1" applyBorder="1" applyFont="1">
      <alignment vertical="bottom"/>
    </xf>
    <xf borderId="3" fillId="52" fontId="98" numFmtId="0" xfId="0" applyAlignment="1" applyBorder="1" applyFont="1">
      <alignment readingOrder="0" vertical="bottom"/>
    </xf>
    <xf borderId="3" fillId="52" fontId="194" numFmtId="167" xfId="0" applyAlignment="1" applyBorder="1" applyFont="1" applyNumberFormat="1">
      <alignment horizontal="center" vertical="bottom"/>
    </xf>
    <xf borderId="1" fillId="52" fontId="18" numFmtId="9" xfId="0" applyAlignment="1" applyBorder="1" applyFont="1" applyNumberFormat="1">
      <alignment vertical="bottom"/>
    </xf>
    <xf borderId="3" fillId="52" fontId="18" numFmtId="9" xfId="0" applyAlignment="1" applyBorder="1" applyFont="1" applyNumberFormat="1">
      <alignment vertical="bottom"/>
    </xf>
    <xf borderId="3" fillId="7" fontId="98" numFmtId="0" xfId="0" applyAlignment="1" applyBorder="1" applyFont="1">
      <alignment horizontal="right" vertical="bottom"/>
    </xf>
    <xf borderId="2" fillId="7" fontId="198" numFmtId="0" xfId="0" applyAlignment="1" applyBorder="1" applyFont="1">
      <alignment vertical="bottom"/>
    </xf>
    <xf borderId="3" fillId="7" fontId="98" numFmtId="0" xfId="0" applyAlignment="1" applyBorder="1" applyFont="1">
      <alignment vertical="bottom"/>
    </xf>
    <xf borderId="3" fillId="7" fontId="98" numFmtId="0" xfId="0" applyAlignment="1" applyBorder="1" applyFont="1">
      <alignment horizontal="right" readingOrder="0" vertical="bottom"/>
    </xf>
    <xf borderId="3" fillId="7" fontId="98" numFmtId="9" xfId="0" applyAlignment="1" applyBorder="1" applyFont="1" applyNumberFormat="1">
      <alignment vertical="bottom"/>
    </xf>
    <xf borderId="1" fillId="7" fontId="98" numFmtId="9" xfId="0" applyAlignment="1" applyBorder="1" applyFont="1" applyNumberFormat="1">
      <alignment vertical="bottom"/>
    </xf>
    <xf borderId="3" fillId="7" fontId="98" numFmtId="167" xfId="0" applyAlignment="1" applyBorder="1" applyFont="1" applyNumberFormat="1">
      <alignment horizontal="center" vertical="bottom"/>
    </xf>
    <xf borderId="3" fillId="7" fontId="194" numFmtId="167" xfId="0" applyAlignment="1" applyBorder="1" applyFont="1" applyNumberFormat="1">
      <alignment horizontal="center" vertical="bottom"/>
    </xf>
    <xf borderId="3" fillId="33" fontId="98" numFmtId="0" xfId="0" applyAlignment="1" applyBorder="1" applyFont="1">
      <alignment shrinkToFit="0" vertical="bottom" wrapText="0"/>
    </xf>
    <xf borderId="3" fillId="33" fontId="98" numFmtId="0" xfId="0" applyAlignment="1" applyBorder="1" applyFont="1">
      <alignment vertical="bottom"/>
    </xf>
    <xf borderId="3" fillId="33" fontId="98" numFmtId="0" xfId="0" applyAlignment="1" applyBorder="1" applyFont="1">
      <alignment readingOrder="0" vertical="bottom"/>
    </xf>
    <xf borderId="3" fillId="33" fontId="194" numFmtId="167" xfId="0" applyAlignment="1" applyBorder="1" applyFont="1" applyNumberFormat="1">
      <alignment horizontal="center" vertical="bottom"/>
    </xf>
    <xf borderId="1" fillId="33" fontId="18" numFmtId="9" xfId="0" applyAlignment="1" applyBorder="1" applyFont="1" applyNumberFormat="1">
      <alignment vertical="bottom"/>
    </xf>
    <xf borderId="3" fillId="33" fontId="98" numFmtId="9" xfId="0" applyAlignment="1" applyBorder="1" applyFont="1" applyNumberFormat="1">
      <alignment horizontal="right" vertical="bottom"/>
    </xf>
    <xf borderId="3" fillId="33" fontId="18" numFmtId="9" xfId="0" applyAlignment="1" applyBorder="1" applyFont="1" applyNumberFormat="1">
      <alignment vertical="bottom"/>
    </xf>
    <xf borderId="3" fillId="7" fontId="98" numFmtId="167" xfId="0" applyAlignment="1" applyBorder="1" applyFont="1" applyNumberFormat="1">
      <alignment horizontal="right" vertical="bottom"/>
    </xf>
    <xf borderId="3" fillId="7" fontId="94" numFmtId="167" xfId="0" applyAlignment="1" applyBorder="1" applyFont="1" applyNumberFormat="1">
      <alignment horizontal="center" vertical="bottom"/>
    </xf>
    <xf borderId="3" fillId="0" fontId="98" numFmtId="167" xfId="0" applyAlignment="1" applyBorder="1" applyFont="1" applyNumberFormat="1">
      <alignment horizontal="right" vertical="bottom"/>
    </xf>
    <xf borderId="5" fillId="0" fontId="94" numFmtId="167" xfId="0" applyAlignment="1" applyBorder="1" applyFont="1" applyNumberFormat="1">
      <alignment horizontal="center" vertical="bottom"/>
    </xf>
    <xf borderId="3" fillId="0" fontId="98" numFmtId="9" xfId="0" applyAlignment="1" applyBorder="1" applyFont="1" applyNumberFormat="1">
      <alignment horizontal="right" vertical="bottom"/>
    </xf>
    <xf borderId="5" fillId="7" fontId="94" numFmtId="167" xfId="0" applyAlignment="1" applyBorder="1" applyFont="1" applyNumberFormat="1">
      <alignment horizontal="center" vertical="bottom"/>
    </xf>
    <xf borderId="3" fillId="50" fontId="98" numFmtId="0" xfId="0" applyAlignment="1" applyBorder="1" applyFont="1">
      <alignment shrinkToFit="0" vertical="bottom" wrapText="0"/>
    </xf>
    <xf borderId="3" fillId="50" fontId="98" numFmtId="0" xfId="0" applyAlignment="1" applyBorder="1" applyFont="1">
      <alignment vertical="bottom"/>
    </xf>
    <xf borderId="3" fillId="50" fontId="98" numFmtId="0" xfId="0" applyAlignment="1" applyBorder="1" applyFont="1">
      <alignment horizontal="right" vertical="bottom"/>
    </xf>
    <xf borderId="3" fillId="50" fontId="194" numFmtId="167" xfId="0" applyAlignment="1" applyBorder="1" applyFont="1" applyNumberFormat="1">
      <alignment horizontal="center" vertical="bottom"/>
    </xf>
    <xf borderId="1" fillId="50" fontId="18" numFmtId="9" xfId="0" applyAlignment="1" applyBorder="1" applyFont="1" applyNumberFormat="1">
      <alignment vertical="bottom"/>
    </xf>
    <xf borderId="3" fillId="50" fontId="98" numFmtId="167" xfId="0" applyAlignment="1" applyBorder="1" applyFont="1" applyNumberFormat="1">
      <alignment horizontal="center" vertical="bottom"/>
    </xf>
    <xf borderId="3" fillId="50" fontId="18" numFmtId="9" xfId="0" applyAlignment="1" applyBorder="1" applyFont="1" applyNumberFormat="1">
      <alignment vertical="bottom"/>
    </xf>
    <xf borderId="3" fillId="52" fontId="98" numFmtId="0" xfId="0" applyAlignment="1" applyBorder="1" applyFont="1">
      <alignment horizontal="right" vertical="bottom"/>
    </xf>
    <xf borderId="3" fillId="52" fontId="98" numFmtId="167" xfId="0" applyAlignment="1" applyBorder="1" applyFont="1" applyNumberFormat="1">
      <alignment horizontal="center" vertical="bottom"/>
    </xf>
    <xf borderId="3" fillId="52" fontId="98" numFmtId="167" xfId="0" applyAlignment="1" applyBorder="1" applyFont="1" applyNumberFormat="1">
      <alignment horizontal="right" vertical="bottom"/>
    </xf>
    <xf borderId="3" fillId="52" fontId="98" numFmtId="9" xfId="0" applyAlignment="1" applyBorder="1" applyFont="1" applyNumberFormat="1">
      <alignment horizontal="right" vertical="bottom"/>
    </xf>
    <xf borderId="3" fillId="0" fontId="98" numFmtId="9" xfId="0" applyAlignment="1" applyBorder="1" applyFont="1" applyNumberFormat="1">
      <alignment vertical="bottom"/>
    </xf>
    <xf borderId="3" fillId="0" fontId="200" numFmtId="167" xfId="0" applyAlignment="1" applyBorder="1" applyFont="1" applyNumberFormat="1">
      <alignment horizontal="center" vertical="bottom"/>
    </xf>
    <xf borderId="3" fillId="0" fontId="18" numFmtId="167" xfId="0" applyAlignment="1" applyBorder="1" applyFont="1" applyNumberFormat="1">
      <alignment horizontal="center" vertical="bottom"/>
    </xf>
    <xf borderId="3" fillId="0" fontId="18" numFmtId="0" xfId="0" applyAlignment="1" applyBorder="1" applyFont="1">
      <alignment readingOrder="0" vertical="bottom"/>
    </xf>
    <xf borderId="3" fillId="52" fontId="201" numFmtId="0" xfId="0" applyAlignment="1" applyBorder="1" applyFont="1">
      <alignment shrinkToFit="0" vertical="bottom" wrapText="0"/>
    </xf>
    <xf borderId="3" fillId="52" fontId="201" numFmtId="0" xfId="0" applyAlignment="1" applyBorder="1" applyFont="1">
      <alignment vertical="bottom"/>
    </xf>
    <xf borderId="3" fillId="52" fontId="201" numFmtId="167" xfId="0" applyAlignment="1" applyBorder="1" applyFont="1" applyNumberFormat="1">
      <alignment horizontal="center" vertical="bottom"/>
    </xf>
    <xf borderId="1" fillId="52" fontId="128" numFmtId="9" xfId="0" applyAlignment="1" applyBorder="1" applyFont="1" applyNumberFormat="1">
      <alignment vertical="bottom"/>
    </xf>
    <xf borderId="3" fillId="52" fontId="201" numFmtId="167" xfId="0" applyAlignment="1" applyBorder="1" applyFont="1" applyNumberFormat="1">
      <alignment horizontal="right" vertical="bottom"/>
    </xf>
    <xf borderId="3" fillId="52" fontId="201" numFmtId="9" xfId="0" applyAlignment="1" applyBorder="1" applyFont="1" applyNumberFormat="1">
      <alignment horizontal="right" vertical="bottom"/>
    </xf>
    <xf borderId="3" fillId="53" fontId="98" numFmtId="0" xfId="0" applyAlignment="1" applyBorder="1" applyFill="1" applyFont="1">
      <alignment shrinkToFit="0" vertical="bottom" wrapText="0"/>
    </xf>
    <xf borderId="3" fillId="53" fontId="98" numFmtId="0" xfId="0" applyAlignment="1" applyBorder="1" applyFont="1">
      <alignment vertical="bottom"/>
    </xf>
    <xf borderId="3" fillId="53" fontId="98" numFmtId="0" xfId="0" applyAlignment="1" applyBorder="1" applyFont="1">
      <alignment horizontal="right" vertical="bottom"/>
    </xf>
    <xf borderId="3" fillId="53" fontId="194" numFmtId="167" xfId="0" applyAlignment="1" applyBorder="1" applyFont="1" applyNumberFormat="1">
      <alignment horizontal="center" vertical="bottom"/>
    </xf>
    <xf borderId="1" fillId="53" fontId="18" numFmtId="9" xfId="0" applyAlignment="1" applyBorder="1" applyFont="1" applyNumberFormat="1">
      <alignment vertical="bottom"/>
    </xf>
    <xf borderId="3" fillId="53" fontId="98" numFmtId="167" xfId="0" applyAlignment="1" applyBorder="1" applyFont="1" applyNumberFormat="1">
      <alignment horizontal="center" vertical="bottom"/>
    </xf>
    <xf borderId="3" fillId="53" fontId="98" numFmtId="167" xfId="0" applyAlignment="1" applyBorder="1" applyFont="1" applyNumberFormat="1">
      <alignment horizontal="right" vertical="bottom"/>
    </xf>
    <xf borderId="3" fillId="53" fontId="98" numFmtId="9" xfId="0" applyAlignment="1" applyBorder="1" applyFont="1" applyNumberFormat="1">
      <alignment horizontal="right" vertical="bottom"/>
    </xf>
    <xf borderId="3" fillId="50" fontId="98" numFmtId="167" xfId="0" applyAlignment="1" applyBorder="1" applyFont="1" applyNumberFormat="1">
      <alignment horizontal="right" vertical="bottom"/>
    </xf>
    <xf borderId="3" fillId="53" fontId="18" numFmtId="9" xfId="0" applyAlignment="1" applyBorder="1" applyFont="1" applyNumberFormat="1">
      <alignment vertical="bottom"/>
    </xf>
    <xf borderId="3" fillId="36" fontId="195" numFmtId="0" xfId="0" applyAlignment="1" applyBorder="1" applyFont="1">
      <alignment readingOrder="0" shrinkToFit="0" wrapText="0"/>
    </xf>
    <xf borderId="3" fillId="54" fontId="202" numFmtId="164" xfId="0" applyAlignment="1" applyBorder="1" applyFill="1" applyFont="1" applyNumberFormat="1">
      <alignment horizontal="center"/>
    </xf>
    <xf borderId="3" fillId="54" fontId="202" numFmtId="0" xfId="0" applyAlignment="1" applyBorder="1" applyFont="1">
      <alignment horizontal="center" readingOrder="0"/>
    </xf>
    <xf borderId="3" fillId="54" fontId="202" numFmtId="0" xfId="0" applyAlignment="1" applyBorder="1" applyFont="1">
      <alignment horizontal="center"/>
    </xf>
    <xf borderId="3" fillId="54" fontId="202" numFmtId="0" xfId="0" applyAlignment="1" applyBorder="1" applyFont="1">
      <alignment horizontal="center" readingOrder="0"/>
    </xf>
    <xf borderId="3" fillId="54" fontId="202" numFmtId="167" xfId="0" applyAlignment="1" applyBorder="1" applyFont="1" applyNumberFormat="1">
      <alignment horizontal="center" readingOrder="0"/>
    </xf>
    <xf borderId="3" fillId="54" fontId="202" numFmtId="0" xfId="0" applyAlignment="1" applyBorder="1" applyFont="1">
      <alignment horizontal="center" shrinkToFit="0" wrapText="0"/>
    </xf>
    <xf borderId="3" fillId="54" fontId="18" numFmtId="0" xfId="0" applyBorder="1" applyFont="1"/>
    <xf borderId="3" fillId="16" fontId="18" numFmtId="164" xfId="0" applyAlignment="1" applyBorder="1" applyFont="1" applyNumberFormat="1">
      <alignment horizontal="right" vertical="bottom"/>
    </xf>
    <xf borderId="3" fillId="16" fontId="18" numFmtId="0" xfId="0" applyAlignment="1" applyBorder="1" applyFont="1">
      <alignment vertical="bottom"/>
    </xf>
    <xf borderId="3" fillId="16" fontId="18" numFmtId="0" xfId="0" applyAlignment="1" applyBorder="1" applyFont="1">
      <alignment shrinkToFit="0" vertical="bottom" wrapText="0"/>
    </xf>
    <xf borderId="3" fillId="16" fontId="21" numFmtId="49" xfId="0" applyAlignment="1" applyBorder="1" applyFont="1" applyNumberFormat="1">
      <alignment vertical="bottom"/>
    </xf>
    <xf borderId="0" fillId="16" fontId="18" numFmtId="167" xfId="0" applyAlignment="1" applyFont="1" applyNumberFormat="1">
      <alignment vertical="bottom"/>
    </xf>
    <xf borderId="3" fillId="16" fontId="18" numFmtId="167" xfId="0" applyAlignment="1" applyBorder="1" applyFont="1" applyNumberFormat="1">
      <alignment horizontal="right" readingOrder="0" vertical="bottom"/>
    </xf>
    <xf borderId="3" fillId="55" fontId="18" numFmtId="164" xfId="0" applyAlignment="1" applyBorder="1" applyFill="1" applyFont="1" applyNumberFormat="1">
      <alignment horizontal="right" vertical="bottom"/>
    </xf>
    <xf borderId="3" fillId="55" fontId="18" numFmtId="0" xfId="0" applyAlignment="1" applyBorder="1" applyFont="1">
      <alignment vertical="bottom"/>
    </xf>
    <xf borderId="3" fillId="55" fontId="18" numFmtId="0" xfId="0" applyAlignment="1" applyBorder="1" applyFont="1">
      <alignment shrinkToFit="0" vertical="bottom" wrapText="0"/>
    </xf>
    <xf borderId="3" fillId="55" fontId="21" numFmtId="49" xfId="0" applyAlignment="1" applyBorder="1" applyFont="1" applyNumberFormat="1">
      <alignment vertical="bottom"/>
    </xf>
    <xf borderId="3" fillId="55" fontId="18" numFmtId="167" xfId="0" applyAlignment="1" applyBorder="1" applyFont="1" applyNumberFormat="1">
      <alignment horizontal="right" vertical="bottom"/>
    </xf>
    <xf borderId="0" fillId="55" fontId="18" numFmtId="167" xfId="0" applyAlignment="1" applyFont="1" applyNumberFormat="1">
      <alignment vertical="bottom"/>
    </xf>
    <xf borderId="3" fillId="55" fontId="18" numFmtId="167" xfId="0" applyAlignment="1" applyBorder="1" applyFont="1" applyNumberFormat="1">
      <alignment horizontal="right" readingOrder="0" vertical="bottom"/>
    </xf>
    <xf borderId="3" fillId="42" fontId="18" numFmtId="164" xfId="0" applyAlignment="1" applyBorder="1" applyFont="1" applyNumberFormat="1">
      <alignment horizontal="right" vertical="bottom"/>
    </xf>
    <xf borderId="3" fillId="42" fontId="18" numFmtId="0" xfId="0" applyAlignment="1" applyBorder="1" applyFont="1">
      <alignment shrinkToFit="0" vertical="bottom" wrapText="0"/>
    </xf>
    <xf borderId="3" fillId="0" fontId="18" numFmtId="0" xfId="0" applyAlignment="1" applyBorder="1" applyFont="1">
      <alignment shrinkToFit="0" vertical="bottom" wrapText="0"/>
    </xf>
    <xf borderId="3" fillId="9" fontId="18" numFmtId="0" xfId="0" applyAlignment="1" applyBorder="1" applyFont="1">
      <alignment horizontal="center" shrinkToFit="0" vertical="bottom" wrapText="0"/>
    </xf>
    <xf borderId="3" fillId="42" fontId="18" numFmtId="164" xfId="0" applyAlignment="1" applyBorder="1" applyFont="1" applyNumberFormat="1">
      <alignment vertical="bottom"/>
    </xf>
    <xf borderId="3" fillId="0" fontId="203" numFmtId="10" xfId="0" applyAlignment="1" applyBorder="1" applyFont="1" applyNumberFormat="1">
      <alignment shrinkToFit="0" vertical="bottom" wrapText="0"/>
    </xf>
    <xf borderId="3" fillId="0" fontId="18" numFmtId="177" xfId="0" applyAlignment="1" applyBorder="1" applyFont="1" applyNumberFormat="1">
      <alignment vertical="bottom"/>
    </xf>
    <xf borderId="3" fillId="36" fontId="195" numFmtId="0" xfId="0" applyAlignment="1" applyBorder="1" applyFont="1">
      <alignment shrinkToFit="0" vertical="center" wrapText="0"/>
    </xf>
    <xf borderId="3" fillId="36" fontId="195" numFmtId="0" xfId="0" applyAlignment="1" applyBorder="1" applyFont="1">
      <alignment vertical="center"/>
    </xf>
    <xf borderId="3" fillId="36" fontId="18" numFmtId="0" xfId="0" applyAlignment="1" applyBorder="1" applyFont="1">
      <alignment vertical="center"/>
    </xf>
    <xf borderId="3" fillId="36" fontId="195" numFmtId="0" xfId="0" applyAlignment="1" applyBorder="1" applyFont="1">
      <alignment horizontal="right" shrinkToFit="0" vertical="center" wrapText="1"/>
    </xf>
    <xf borderId="3" fillId="36" fontId="195" numFmtId="167" xfId="0" applyAlignment="1" applyBorder="1" applyFont="1" applyNumberFormat="1">
      <alignment horizontal="center" shrinkToFit="0" vertical="center" wrapText="1"/>
    </xf>
    <xf borderId="3" fillId="36" fontId="195" numFmtId="9" xfId="0" applyAlignment="1" applyBorder="1" applyFont="1" applyNumberFormat="1">
      <alignment horizontal="center" shrinkToFit="0" vertical="center" wrapText="1"/>
    </xf>
    <xf borderId="3" fillId="36" fontId="195" numFmtId="0" xfId="0" applyAlignment="1" applyBorder="1" applyFont="1">
      <alignment horizontal="center" shrinkToFit="0" vertical="center" wrapText="1"/>
    </xf>
    <xf borderId="3" fillId="33" fontId="98" numFmtId="167" xfId="0" applyAlignment="1" applyBorder="1" applyFont="1" applyNumberFormat="1">
      <alignment horizontal="center" vertical="bottom"/>
    </xf>
    <xf borderId="3" fillId="33" fontId="98" numFmtId="167" xfId="0" applyAlignment="1" applyBorder="1" applyFont="1" applyNumberFormat="1">
      <alignment horizontal="right" vertical="bottom"/>
    </xf>
    <xf borderId="3" fillId="0" fontId="94" numFmtId="167" xfId="0" applyAlignment="1" applyBorder="1" applyFont="1" applyNumberFormat="1">
      <alignment horizontal="center" vertical="bottom"/>
    </xf>
    <xf borderId="0" fillId="0" fontId="23" numFmtId="0" xfId="0" applyAlignment="1" applyFont="1">
      <alignment shrinkToFit="0" vertical="center" wrapText="1"/>
    </xf>
    <xf borderId="0" fillId="0" fontId="8" numFmtId="0" xfId="0" applyAlignment="1" applyFont="1">
      <alignment horizontal="center" shrinkToFit="0" vertical="center" wrapText="1"/>
    </xf>
    <xf borderId="0" fillId="0" fontId="15" numFmtId="0" xfId="0" applyAlignment="1" applyFont="1">
      <alignment shrinkToFit="0" vertical="center" wrapText="1"/>
    </xf>
    <xf borderId="0" fillId="56" fontId="4" numFmtId="0" xfId="0" applyAlignment="1" applyFill="1" applyFont="1">
      <alignment horizontal="center" readingOrder="0" shrinkToFit="0" vertical="center" wrapText="1"/>
    </xf>
    <xf borderId="0" fillId="20" fontId="204" numFmtId="0" xfId="0" applyAlignment="1" applyFont="1">
      <alignment horizontal="center" readingOrder="0" shrinkToFit="0" vertical="center" wrapText="1"/>
    </xf>
    <xf borderId="0" fillId="12" fontId="204" numFmtId="0" xfId="0" applyAlignment="1" applyFont="1">
      <alignment horizontal="center" readingOrder="0" shrinkToFit="0" vertical="center" wrapText="1"/>
    </xf>
    <xf borderId="0" fillId="57" fontId="204" numFmtId="49" xfId="0" applyAlignment="1" applyFill="1" applyFont="1" applyNumberFormat="1">
      <alignment horizontal="center" shrinkToFit="0" vertical="center" wrapText="1"/>
    </xf>
    <xf borderId="0" fillId="57" fontId="204" numFmtId="49" xfId="0" applyAlignment="1" applyFont="1" applyNumberFormat="1">
      <alignment horizontal="center" readingOrder="0" shrinkToFit="0" vertical="center" wrapText="1"/>
    </xf>
    <xf borderId="48" fillId="58" fontId="205" numFmtId="0" xfId="0" applyAlignment="1" applyBorder="1" applyFill="1" applyFont="1">
      <alignment shrinkToFit="0" wrapText="0"/>
    </xf>
    <xf borderId="0" fillId="58" fontId="23" numFmtId="0" xfId="0" applyFont="1"/>
    <xf borderId="0" fillId="58" fontId="15" numFmtId="0" xfId="0" applyFont="1"/>
    <xf borderId="0" fillId="58" fontId="78" numFmtId="167" xfId="0" applyAlignment="1" applyFont="1" applyNumberFormat="1">
      <alignment horizontal="center" vertical="bottom"/>
    </xf>
    <xf borderId="0" fillId="13" fontId="94" numFmtId="0" xfId="0" applyAlignment="1" applyFont="1">
      <alignment horizontal="right"/>
    </xf>
    <xf borderId="0" fillId="13" fontId="4" numFmtId="0" xfId="0" applyFont="1"/>
    <xf borderId="0" fillId="59" fontId="33" numFmtId="0" xfId="0" applyAlignment="1" applyFill="1" applyFont="1">
      <alignment vertical="bottom"/>
    </xf>
    <xf borderId="0" fillId="13" fontId="4" numFmtId="0" xfId="0" applyAlignment="1" applyFont="1">
      <alignment horizontal="right"/>
    </xf>
    <xf borderId="0" fillId="56" fontId="4" numFmtId="167" xfId="0" applyAlignment="1" applyFont="1" applyNumberFormat="1">
      <alignment horizontal="right" vertical="bottom"/>
    </xf>
    <xf borderId="0" fillId="56" fontId="23" numFmtId="9" xfId="0" applyAlignment="1" applyFont="1" applyNumberFormat="1">
      <alignment vertical="bottom"/>
    </xf>
    <xf borderId="0" fillId="20" fontId="4" numFmtId="167" xfId="0" applyAlignment="1" applyFont="1" applyNumberFormat="1">
      <alignment horizontal="right" vertical="bottom"/>
    </xf>
    <xf borderId="0" fillId="12" fontId="4" numFmtId="167" xfId="0" applyAlignment="1" applyFont="1" applyNumberFormat="1">
      <alignment horizontal="right" vertical="bottom"/>
    </xf>
    <xf borderId="0" fillId="13" fontId="4" numFmtId="167" xfId="0" applyAlignment="1" applyFont="1" applyNumberFormat="1">
      <alignment horizontal="right" vertical="bottom"/>
    </xf>
    <xf borderId="38" fillId="13" fontId="94" numFmtId="0" xfId="0" applyAlignment="1" applyBorder="1" applyFont="1">
      <alignment horizontal="right"/>
    </xf>
    <xf borderId="38" fillId="13" fontId="4" numFmtId="0" xfId="0" applyBorder="1" applyFont="1"/>
    <xf borderId="38" fillId="59" fontId="33" numFmtId="0" xfId="0" applyAlignment="1" applyBorder="1" applyFont="1">
      <alignment vertical="bottom"/>
    </xf>
    <xf borderId="38" fillId="13" fontId="4" numFmtId="0" xfId="0" applyAlignment="1" applyBorder="1" applyFont="1">
      <alignment horizontal="right"/>
    </xf>
    <xf borderId="48" fillId="58" fontId="205" numFmtId="0" xfId="0" applyAlignment="1" applyBorder="1" applyFont="1">
      <alignment readingOrder="0" shrinkToFit="0" wrapText="0"/>
    </xf>
    <xf borderId="0" fillId="59" fontId="33" numFmtId="0" xfId="0" applyAlignment="1" applyFont="1">
      <alignment readingOrder="0" vertical="bottom"/>
    </xf>
    <xf borderId="48" fillId="30" fontId="94" numFmtId="0" xfId="0" applyAlignment="1" applyBorder="1" applyFont="1">
      <alignment shrinkToFit="0" wrapText="0"/>
    </xf>
    <xf borderId="48" fillId="30" fontId="4" numFmtId="179" xfId="0" applyBorder="1" applyFont="1" applyNumberFormat="1"/>
    <xf borderId="0" fillId="30" fontId="4" numFmtId="179" xfId="0" applyFont="1" applyNumberFormat="1"/>
    <xf borderId="0" fillId="30" fontId="33" numFmtId="179" xfId="0" applyFont="1" applyNumberFormat="1"/>
    <xf borderId="0" fillId="30" fontId="4" numFmtId="167" xfId="0" applyAlignment="1" applyFont="1" applyNumberFormat="1">
      <alignment horizontal="right" vertical="bottom"/>
    </xf>
    <xf borderId="0" fillId="30" fontId="4" numFmtId="9" xfId="0" applyAlignment="1" applyFont="1" applyNumberFormat="1">
      <alignment horizontal="right" vertical="bottom"/>
    </xf>
    <xf borderId="48" fillId="60" fontId="94" numFmtId="0" xfId="0" applyAlignment="1" applyBorder="1" applyFill="1" applyFont="1">
      <alignment readingOrder="0" shrinkToFit="0" wrapText="0"/>
    </xf>
    <xf borderId="48" fillId="60" fontId="23" numFmtId="0" xfId="0" applyBorder="1" applyFont="1"/>
    <xf borderId="0" fillId="60" fontId="23" numFmtId="0" xfId="0" applyFont="1"/>
    <xf borderId="0" fillId="60" fontId="15" numFmtId="0" xfId="0" applyFont="1"/>
    <xf borderId="0" fillId="60" fontId="4" numFmtId="167" xfId="0" applyAlignment="1" applyFont="1" applyNumberFormat="1">
      <alignment horizontal="right" vertical="bottom"/>
    </xf>
    <xf borderId="0" fillId="60" fontId="23" numFmtId="9" xfId="0" applyAlignment="1" applyFont="1" applyNumberFormat="1">
      <alignment vertical="bottom"/>
    </xf>
    <xf borderId="0" fillId="13" fontId="94" numFmtId="0" xfId="0" applyAlignment="1" applyFont="1">
      <alignment horizontal="right" vertical="bottom"/>
    </xf>
    <xf borderId="0" fillId="59" fontId="24" numFmtId="0" xfId="0" applyAlignment="1" applyFont="1">
      <alignment vertical="bottom"/>
    </xf>
    <xf borderId="38" fillId="13" fontId="4" numFmtId="0" xfId="0" applyAlignment="1" applyBorder="1" applyFont="1">
      <alignment horizontal="right" vertical="bottom"/>
    </xf>
    <xf borderId="0" fillId="56" fontId="23" numFmtId="9" xfId="0" applyAlignment="1" applyFont="1" applyNumberFormat="1">
      <alignment horizontal="right" vertical="bottom"/>
    </xf>
    <xf borderId="48" fillId="57" fontId="206" numFmtId="0" xfId="0" applyAlignment="1" applyBorder="1" applyFont="1">
      <alignment shrinkToFit="0" wrapText="0"/>
    </xf>
    <xf borderId="48" fillId="57" fontId="23" numFmtId="0" xfId="0" applyBorder="1" applyFont="1"/>
    <xf borderId="0" fillId="57" fontId="23" numFmtId="0" xfId="0" applyFont="1"/>
    <xf borderId="0" fillId="57" fontId="15" numFmtId="0" xfId="0" applyAlignment="1" applyFont="1">
      <alignment vertical="bottom"/>
    </xf>
    <xf borderId="0" fillId="57" fontId="207" numFmtId="0" xfId="0" applyAlignment="1" applyFont="1">
      <alignment horizontal="right"/>
    </xf>
    <xf borderId="0" fillId="57" fontId="207" numFmtId="167" xfId="0" applyAlignment="1" applyFont="1" applyNumberFormat="1">
      <alignment horizontal="right" vertical="bottom"/>
    </xf>
    <xf borderId="0" fillId="57" fontId="207" numFmtId="167" xfId="0" applyAlignment="1" applyFont="1" applyNumberFormat="1">
      <alignment vertical="bottom"/>
    </xf>
    <xf borderId="0" fillId="57" fontId="15" numFmtId="0" xfId="0" applyFont="1"/>
    <xf borderId="0" fillId="13" fontId="23" numFmtId="0" xfId="0" applyFont="1"/>
    <xf borderId="0" fillId="13" fontId="8" numFmtId="0" xfId="0" applyFont="1"/>
    <xf borderId="0" fillId="59" fontId="15" numFmtId="0" xfId="0" applyAlignment="1" applyFont="1">
      <alignment vertical="bottom"/>
    </xf>
    <xf borderId="0" fillId="13" fontId="23" numFmtId="0" xfId="0" applyAlignment="1" applyFont="1">
      <alignment horizontal="right"/>
    </xf>
    <xf borderId="0" fillId="56" fontId="23" numFmtId="167" xfId="0" applyAlignment="1" applyFont="1" applyNumberFormat="1">
      <alignment horizontal="right" vertical="bottom"/>
    </xf>
    <xf borderId="0" fillId="20" fontId="23" numFmtId="167" xfId="0" applyAlignment="1" applyFont="1" applyNumberFormat="1">
      <alignment horizontal="right" vertical="bottom"/>
    </xf>
    <xf borderId="0" fillId="12" fontId="23" numFmtId="167" xfId="0" applyAlignment="1" applyFont="1" applyNumberFormat="1">
      <alignment horizontal="right" vertical="bottom"/>
    </xf>
    <xf borderId="0" fillId="13" fontId="23" numFmtId="167" xfId="0" applyAlignment="1" applyFont="1" applyNumberFormat="1">
      <alignment horizontal="right" vertical="bottom"/>
    </xf>
    <xf borderId="0" fillId="13" fontId="23" numFmtId="0" xfId="0" applyAlignment="1" applyFont="1">
      <alignment readingOrder="0"/>
    </xf>
    <xf borderId="0" fillId="59" fontId="15" numFmtId="0" xfId="0" applyAlignment="1" applyFont="1">
      <alignment readingOrder="0" vertical="bottom"/>
    </xf>
    <xf borderId="0" fillId="56" fontId="4" numFmtId="9" xfId="0" applyAlignment="1" applyFont="1" applyNumberFormat="1">
      <alignment vertical="bottom"/>
    </xf>
    <xf borderId="0" fillId="13" fontId="4" numFmtId="0" xfId="0" applyAlignment="1" applyFont="1">
      <alignment readingOrder="0"/>
    </xf>
    <xf borderId="0" fillId="59" fontId="33" numFmtId="0" xfId="0" applyAlignment="1" applyFont="1">
      <alignment readingOrder="0" vertical="bottom"/>
    </xf>
    <xf borderId="56" fillId="57" fontId="206" numFmtId="0" xfId="0" applyAlignment="1" applyBorder="1" applyFont="1">
      <alignment shrinkToFit="0" wrapText="0"/>
    </xf>
    <xf borderId="56" fillId="57" fontId="4" numFmtId="0" xfId="0" applyBorder="1" applyFont="1"/>
    <xf borderId="38" fillId="57" fontId="4" numFmtId="0" xfId="0" applyBorder="1" applyFont="1"/>
    <xf borderId="38" fillId="57" fontId="33" numFmtId="0" xfId="0" applyBorder="1" applyFont="1"/>
    <xf borderId="38" fillId="57" fontId="208" numFmtId="0" xfId="0" applyAlignment="1" applyBorder="1" applyFont="1">
      <alignment horizontal="right"/>
    </xf>
    <xf borderId="38" fillId="57" fontId="208" numFmtId="167" xfId="0" applyAlignment="1" applyBorder="1" applyFont="1" applyNumberFormat="1">
      <alignment horizontal="right" vertical="bottom"/>
    </xf>
    <xf borderId="38" fillId="57" fontId="208" numFmtId="167" xfId="0" applyAlignment="1" applyBorder="1" applyFont="1" applyNumberFormat="1">
      <alignment vertical="bottom"/>
    </xf>
    <xf borderId="0" fillId="13" fontId="23" numFmtId="0" xfId="0" applyAlignment="1" applyFont="1">
      <alignment readingOrder="0"/>
    </xf>
    <xf borderId="0" fillId="59" fontId="15" numFmtId="0" xfId="0" applyAlignment="1" applyFont="1">
      <alignment readingOrder="0" vertical="bottom"/>
    </xf>
    <xf borderId="0" fillId="59" fontId="209" numFmtId="0" xfId="0" applyAlignment="1" applyFont="1">
      <alignment readingOrder="0" vertical="bottom"/>
    </xf>
    <xf borderId="48" fillId="30" fontId="210" numFmtId="0" xfId="0" applyAlignment="1" applyBorder="1" applyFont="1">
      <alignment shrinkToFit="0" wrapText="0"/>
    </xf>
    <xf borderId="48" fillId="30" fontId="23" numFmtId="0" xfId="0" applyBorder="1" applyFont="1"/>
    <xf borderId="0" fillId="30" fontId="23" numFmtId="0" xfId="0" applyFont="1"/>
    <xf borderId="0" fillId="30" fontId="15" numFmtId="0" xfId="0" applyFont="1"/>
    <xf borderId="0" fillId="30" fontId="211" numFmtId="167" xfId="0" applyAlignment="1" applyFont="1" applyNumberFormat="1">
      <alignment horizontal="right" vertical="bottom"/>
    </xf>
    <xf borderId="0" fillId="30" fontId="23" numFmtId="9" xfId="0" applyAlignment="1" applyFont="1" applyNumberFormat="1">
      <alignment vertical="bottom"/>
    </xf>
    <xf borderId="48" fillId="60" fontId="94" numFmtId="0" xfId="0" applyAlignment="1" applyBorder="1" applyFont="1">
      <alignment shrinkToFit="0" wrapText="0"/>
    </xf>
    <xf borderId="0" fillId="60" fontId="4" numFmtId="0" xfId="0" applyFont="1"/>
    <xf borderId="0" fillId="60" fontId="23" numFmtId="167" xfId="0" applyAlignment="1" applyFont="1" applyNumberFormat="1">
      <alignment horizontal="right" vertical="bottom"/>
    </xf>
    <xf borderId="48" fillId="47" fontId="212" numFmtId="0" xfId="0" applyAlignment="1" applyBorder="1" applyFont="1">
      <alignment shrinkToFit="0" wrapText="0"/>
    </xf>
    <xf borderId="48" fillId="47" fontId="23" numFmtId="0" xfId="0" applyBorder="1" applyFont="1"/>
    <xf borderId="0" fillId="47" fontId="23" numFmtId="0" xfId="0" applyFont="1"/>
    <xf borderId="0" fillId="47" fontId="15" numFmtId="0" xfId="0" applyFont="1"/>
    <xf borderId="0" fillId="47" fontId="211" numFmtId="167" xfId="0" applyAlignment="1" applyFont="1" applyNumberFormat="1">
      <alignment horizontal="right" vertical="bottom"/>
    </xf>
    <xf borderId="0" fillId="47" fontId="23" numFmtId="9" xfId="0" applyAlignment="1" applyFont="1" applyNumberFormat="1">
      <alignment vertical="bottom"/>
    </xf>
    <xf borderId="0" fillId="57" fontId="23" numFmtId="9" xfId="0" applyAlignment="1" applyFont="1" applyNumberFormat="1">
      <alignment vertical="bottom"/>
    </xf>
    <xf borderId="0" fillId="47" fontId="84" numFmtId="167" xfId="0" applyAlignment="1" applyFont="1" applyNumberFormat="1">
      <alignment horizontal="right" vertical="bottom"/>
    </xf>
    <xf borderId="0" fillId="57" fontId="204" numFmtId="165" xfId="0" applyAlignment="1" applyFont="1" applyNumberFormat="1">
      <alignment horizontal="center" shrinkToFit="0" vertical="center" wrapText="1"/>
    </xf>
    <xf borderId="0" fillId="57" fontId="204" numFmtId="165" xfId="0" applyAlignment="1" applyFont="1" applyNumberFormat="1">
      <alignment horizontal="center" readingOrder="0" shrinkToFit="0" vertical="center" wrapText="1"/>
    </xf>
    <xf borderId="38" fillId="13" fontId="4" numFmtId="167" xfId="0" applyAlignment="1" applyBorder="1" applyFont="1" applyNumberFormat="1">
      <alignment horizontal="right" vertical="bottom"/>
    </xf>
    <xf borderId="0" fillId="13" fontId="4" numFmtId="0" xfId="0" applyAlignment="1" applyFont="1">
      <alignment horizontal="center" vertical="bottom"/>
    </xf>
    <xf borderId="0" fillId="0" fontId="15" numFmtId="0" xfId="0" applyFont="1"/>
    <xf borderId="0" fillId="56" fontId="23" numFmtId="0" xfId="0" applyAlignment="1" applyFont="1">
      <alignment vertical="bottom"/>
    </xf>
    <xf borderId="0" fillId="20" fontId="23" numFmtId="0" xfId="0" applyFont="1"/>
    <xf borderId="0" fillId="12" fontId="23" numFmtId="0" xfId="0" applyFont="1"/>
    <xf borderId="1" fillId="33" fontId="213" numFmtId="0" xfId="0" applyAlignment="1" applyBorder="1" applyFont="1">
      <alignment horizontal="center" shrinkToFit="0" vertical="bottom" wrapText="1"/>
    </xf>
    <xf borderId="0" fillId="33" fontId="213" numFmtId="0" xfId="0" applyAlignment="1" applyFont="1">
      <alignment horizontal="center" shrinkToFit="0" vertical="bottom" wrapText="1"/>
    </xf>
    <xf borderId="0" fillId="0" fontId="214" numFmtId="0" xfId="0" applyFont="1"/>
    <xf borderId="7" fillId="36" fontId="215" numFmtId="0" xfId="0" applyAlignment="1" applyBorder="1" applyFont="1">
      <alignment horizontal="center" shrinkToFit="0" vertical="center" wrapText="1"/>
    </xf>
    <xf borderId="7" fillId="36" fontId="92" numFmtId="0" xfId="0" applyAlignment="1" applyBorder="1" applyFont="1">
      <alignment shrinkToFit="0" vertical="center" wrapText="1"/>
    </xf>
    <xf borderId="1" fillId="20" fontId="216" numFmtId="0" xfId="0" applyAlignment="1" applyBorder="1" applyFont="1">
      <alignment horizontal="center" shrinkToFit="0" vertical="center" wrapText="1"/>
    </xf>
    <xf borderId="1" fillId="20" fontId="216" numFmtId="180" xfId="0" applyAlignment="1" applyBorder="1" applyFont="1" applyNumberFormat="1">
      <alignment horizontal="center" shrinkToFit="0" vertical="center" wrapText="1"/>
    </xf>
    <xf borderId="1" fillId="20" fontId="216" numFmtId="3" xfId="0" applyAlignment="1" applyBorder="1" applyFont="1" applyNumberFormat="1">
      <alignment horizontal="center" shrinkToFit="0" vertical="center" wrapText="1"/>
    </xf>
    <xf borderId="0" fillId="20" fontId="217" numFmtId="0" xfId="0" applyAlignment="1" applyFont="1">
      <alignment horizontal="center" readingOrder="0" shrinkToFit="0" vertical="center" wrapText="1"/>
    </xf>
    <xf borderId="0" fillId="12" fontId="217" numFmtId="0" xfId="0" applyAlignment="1" applyFont="1">
      <alignment horizontal="center" readingOrder="0" shrinkToFit="0" vertical="center" wrapText="1"/>
    </xf>
    <xf borderId="0" fillId="57" fontId="217" numFmtId="49" xfId="0" applyAlignment="1" applyFont="1" applyNumberFormat="1">
      <alignment horizontal="center" shrinkToFit="0" vertical="center" wrapText="1"/>
    </xf>
    <xf borderId="0" fillId="57" fontId="217" numFmtId="49" xfId="0" applyAlignment="1" applyFont="1" applyNumberFormat="1">
      <alignment horizontal="center" readingOrder="0" shrinkToFit="0" vertical="center" wrapText="1"/>
    </xf>
    <xf borderId="3" fillId="20" fontId="216" numFmtId="3" xfId="0" applyAlignment="1" applyBorder="1" applyFont="1" applyNumberFormat="1">
      <alignment horizontal="center" shrinkToFit="0" vertical="center" wrapText="1"/>
    </xf>
    <xf borderId="3" fillId="20" fontId="216" numFmtId="0" xfId="0" applyAlignment="1" applyBorder="1" applyFont="1">
      <alignment horizontal="center" shrinkToFit="0" vertical="center" wrapText="1"/>
    </xf>
    <xf quotePrefix="1" borderId="3" fillId="20" fontId="216" numFmtId="9" xfId="0" applyAlignment="1" applyBorder="1" applyFont="1" applyNumberFormat="1">
      <alignment horizontal="center" shrinkToFit="0" vertical="center" wrapText="1"/>
    </xf>
    <xf borderId="0" fillId="0" fontId="214" numFmtId="0" xfId="0" applyAlignment="1" applyFont="1">
      <alignment horizontal="center" vertical="center"/>
    </xf>
    <xf borderId="3" fillId="36" fontId="218" numFmtId="167" xfId="0" applyAlignment="1" applyBorder="1" applyFont="1" applyNumberFormat="1">
      <alignment horizontal="center" shrinkToFit="0" vertical="center" wrapText="1"/>
    </xf>
    <xf borderId="3" fillId="36" fontId="218" numFmtId="10" xfId="0" applyAlignment="1" applyBorder="1" applyFont="1" applyNumberFormat="1">
      <alignment horizontal="center" shrinkToFit="0" vertical="center" wrapText="1"/>
    </xf>
    <xf borderId="3" fillId="36" fontId="218" numFmtId="9" xfId="0" applyAlignment="1" applyBorder="1" applyFont="1" applyNumberFormat="1">
      <alignment horizontal="center" shrinkToFit="0" vertical="center" wrapText="1"/>
    </xf>
    <xf borderId="3" fillId="36" fontId="218" numFmtId="3" xfId="0" applyAlignment="1" applyBorder="1" applyFont="1" applyNumberFormat="1">
      <alignment horizontal="right" shrinkToFit="0" vertical="center" wrapText="1"/>
    </xf>
    <xf borderId="0" fillId="36" fontId="218" numFmtId="167" xfId="0" applyAlignment="1" applyFont="1" applyNumberFormat="1">
      <alignment horizontal="center" shrinkToFit="0" vertical="center" wrapText="1"/>
    </xf>
    <xf borderId="3" fillId="61" fontId="33" numFmtId="0" xfId="0" applyAlignment="1" applyBorder="1" applyFill="1" applyFont="1">
      <alignment horizontal="center" shrinkToFit="0" vertical="bottom" wrapText="1"/>
    </xf>
    <xf borderId="3" fillId="61" fontId="15" numFmtId="0" xfId="0" applyAlignment="1" applyBorder="1" applyFont="1">
      <alignment shrinkToFit="0" vertical="bottom" wrapText="1"/>
    </xf>
    <xf borderId="3" fillId="61" fontId="214" numFmtId="167" xfId="0" applyAlignment="1" applyBorder="1" applyFont="1" applyNumberFormat="1">
      <alignment horizontal="center" shrinkToFit="0" vertical="bottom" wrapText="1"/>
    </xf>
    <xf borderId="3" fillId="61" fontId="214" numFmtId="10" xfId="0" applyAlignment="1" applyBorder="1" applyFont="1" applyNumberFormat="1">
      <alignment horizontal="center" shrinkToFit="0" vertical="bottom" wrapText="1"/>
    </xf>
    <xf borderId="3" fillId="61" fontId="214" numFmtId="9" xfId="0" applyAlignment="1" applyBorder="1" applyFont="1" applyNumberFormat="1">
      <alignment vertical="bottom"/>
    </xf>
    <xf borderId="3" fillId="61" fontId="214" numFmtId="3" xfId="0" applyAlignment="1" applyBorder="1" applyFont="1" applyNumberFormat="1">
      <alignment horizontal="right" shrinkToFit="0" vertical="bottom" wrapText="1"/>
    </xf>
    <xf borderId="3" fillId="61" fontId="214" numFmtId="9" xfId="0" applyAlignment="1" applyBorder="1" applyFont="1" applyNumberFormat="1">
      <alignment horizontal="center" shrinkToFit="0" vertical="bottom" wrapText="1"/>
    </xf>
    <xf borderId="0" fillId="20" fontId="219" numFmtId="167" xfId="0" applyAlignment="1" applyFont="1" applyNumberFormat="1">
      <alignment horizontal="right" vertical="bottom"/>
    </xf>
    <xf borderId="0" fillId="12" fontId="219" numFmtId="167" xfId="0" applyAlignment="1" applyFont="1" applyNumberFormat="1">
      <alignment horizontal="right" vertical="bottom"/>
    </xf>
    <xf borderId="0" fillId="61" fontId="214" numFmtId="167" xfId="0" applyAlignment="1" applyFont="1" applyNumberFormat="1">
      <alignment horizontal="center" shrinkToFit="0" vertical="bottom" wrapText="1"/>
    </xf>
    <xf borderId="3" fillId="61" fontId="33" numFmtId="0" xfId="0" applyAlignment="1" applyBorder="1" applyFont="1">
      <alignment horizontal="center" readingOrder="0" shrinkToFit="0" vertical="bottom" wrapText="1"/>
    </xf>
    <xf borderId="3" fillId="61" fontId="15" numFmtId="0" xfId="0" applyAlignment="1" applyBorder="1" applyFont="1">
      <alignment readingOrder="0" shrinkToFit="0" vertical="bottom" wrapText="1"/>
    </xf>
    <xf borderId="3" fillId="20" fontId="89" numFmtId="0" xfId="0" applyAlignment="1" applyBorder="1" applyFont="1">
      <alignment horizontal="center" shrinkToFit="0" vertical="center" wrapText="1"/>
    </xf>
    <xf borderId="3" fillId="20" fontId="216" numFmtId="0" xfId="0" applyAlignment="1" applyBorder="1" applyFont="1">
      <alignment shrinkToFit="0" vertical="center" wrapText="1"/>
    </xf>
    <xf borderId="3" fillId="20" fontId="217" numFmtId="0" xfId="0" applyAlignment="1" applyBorder="1" applyFont="1">
      <alignment horizontal="center" readingOrder="0" shrinkToFit="0" vertical="center" wrapText="1"/>
    </xf>
    <xf borderId="3" fillId="12" fontId="217" numFmtId="0" xfId="0" applyAlignment="1" applyBorder="1" applyFont="1">
      <alignment horizontal="center" readingOrder="0" shrinkToFit="0" vertical="center" wrapText="1"/>
    </xf>
    <xf borderId="3" fillId="57" fontId="217" numFmtId="49" xfId="0" applyAlignment="1" applyBorder="1" applyFont="1" applyNumberFormat="1">
      <alignment horizontal="center" shrinkToFit="0" vertical="center" wrapText="1"/>
    </xf>
    <xf borderId="3" fillId="57" fontId="217" numFmtId="49" xfId="0" applyAlignment="1" applyBorder="1" applyFont="1" applyNumberFormat="1">
      <alignment horizontal="center" readingOrder="0" shrinkToFit="0" vertical="center" wrapText="1"/>
    </xf>
    <xf borderId="3" fillId="0" fontId="214" numFmtId="178" xfId="0" applyAlignment="1" applyBorder="1" applyFont="1" applyNumberFormat="1">
      <alignment vertical="bottom"/>
    </xf>
    <xf borderId="3" fillId="0" fontId="214" numFmtId="0" xfId="0" applyAlignment="1" applyBorder="1" applyFont="1">
      <alignment vertical="bottom"/>
    </xf>
    <xf borderId="3" fillId="0" fontId="214" numFmtId="3" xfId="0" applyAlignment="1" applyBorder="1" applyFont="1" applyNumberFormat="1">
      <alignment horizontal="right" shrinkToFit="0" vertical="bottom" wrapText="1"/>
    </xf>
    <xf borderId="3" fillId="0" fontId="214" numFmtId="3" xfId="0" applyBorder="1" applyFont="1" applyNumberFormat="1"/>
    <xf borderId="3" fillId="0" fontId="214" numFmtId="9" xfId="0" applyBorder="1" applyFont="1" applyNumberFormat="1"/>
    <xf borderId="3" fillId="0" fontId="214" numFmtId="167" xfId="0" applyAlignment="1" applyBorder="1" applyFont="1" applyNumberFormat="1">
      <alignment horizontal="right" shrinkToFit="0" vertical="bottom" wrapText="1"/>
    </xf>
    <xf borderId="3" fillId="0" fontId="214" numFmtId="167" xfId="0" applyAlignment="1" applyBorder="1" applyFont="1" applyNumberFormat="1">
      <alignment horizontal="right" readingOrder="0" vertical="bottom"/>
    </xf>
    <xf borderId="0" fillId="0" fontId="214" numFmtId="3" xfId="0" applyFont="1" applyNumberFormat="1"/>
    <xf borderId="3" fillId="0" fontId="214" numFmtId="167" xfId="0" applyAlignment="1" applyBorder="1" applyFont="1" applyNumberFormat="1">
      <alignment horizontal="right" readingOrder="0" shrinkToFit="0" vertical="bottom" wrapText="1"/>
    </xf>
    <xf borderId="3" fillId="0" fontId="214" numFmtId="167" xfId="0" applyAlignment="1" applyBorder="1" applyFont="1" applyNumberFormat="1">
      <alignment readingOrder="0" vertical="bottom"/>
    </xf>
    <xf borderId="3" fillId="0" fontId="15" numFmtId="0" xfId="0" applyAlignment="1" applyBorder="1" applyFont="1">
      <alignment readingOrder="0"/>
    </xf>
    <xf borderId="3" fillId="0" fontId="15" numFmtId="0" xfId="0" applyBorder="1" applyFont="1"/>
    <xf borderId="3" fillId="0" fontId="219" numFmtId="0" xfId="0" applyAlignment="1" applyBorder="1" applyFont="1">
      <alignment vertical="bottom"/>
    </xf>
    <xf borderId="3" fillId="0" fontId="214" numFmtId="0" xfId="0" applyBorder="1" applyFont="1"/>
    <xf borderId="3" fillId="0" fontId="219" numFmtId="0" xfId="0" applyAlignment="1" applyBorder="1" applyFont="1">
      <alignment readingOrder="0" vertical="bottom"/>
    </xf>
    <xf borderId="3" fillId="0" fontId="214" numFmtId="0" xfId="0" applyAlignment="1" applyBorder="1" applyFont="1">
      <alignment readingOrder="0"/>
    </xf>
    <xf borderId="3" fillId="0" fontId="214" numFmtId="0" xfId="0" applyAlignment="1" applyBorder="1" applyFont="1">
      <alignment horizontal="right"/>
    </xf>
    <xf borderId="0" fillId="0" fontId="23" numFmtId="0" xfId="0" applyAlignment="1" applyFont="1">
      <alignment readingOrder="0" shrinkToFit="0" vertical="center" wrapText="1"/>
    </xf>
    <xf borderId="53" fillId="0" fontId="220" numFmtId="0" xfId="0" applyAlignment="1" applyBorder="1" applyFont="1">
      <alignment horizontal="center" vertical="bottom"/>
    </xf>
    <xf borderId="53" fillId="0" fontId="19" numFmtId="0" xfId="0" applyAlignment="1" applyBorder="1" applyFont="1">
      <alignment horizontal="center" vertical="bottom"/>
    </xf>
    <xf borderId="0" fillId="0" fontId="19" numFmtId="0" xfId="0" applyAlignment="1" applyFont="1">
      <alignment horizontal="center" vertical="bottom"/>
    </xf>
    <xf borderId="0" fillId="0" fontId="19" numFmtId="9" xfId="0" applyAlignment="1" applyFont="1" applyNumberFormat="1">
      <alignment horizontal="center" vertical="bottom"/>
    </xf>
    <xf borderId="57" fillId="0" fontId="221" numFmtId="0" xfId="0" applyAlignment="1" applyBorder="1" applyFont="1">
      <alignment horizontal="right" readingOrder="0" vertical="bottom"/>
    </xf>
    <xf borderId="58" fillId="0" fontId="2" numFmtId="0" xfId="0" applyBorder="1" applyFont="1"/>
    <xf borderId="59" fillId="0" fontId="2" numFmtId="0" xfId="0" applyBorder="1" applyFont="1"/>
    <xf borderId="3" fillId="13" fontId="98" numFmtId="0" xfId="0" applyAlignment="1" applyBorder="1" applyFont="1">
      <alignment horizontal="center" shrinkToFit="0" wrapText="1"/>
    </xf>
    <xf borderId="3" fillId="13" fontId="222" numFmtId="0" xfId="0" applyAlignment="1" applyBorder="1" applyFont="1">
      <alignment horizontal="center" shrinkToFit="0" wrapText="1"/>
    </xf>
    <xf borderId="3" fillId="62" fontId="204" numFmtId="49" xfId="0" applyAlignment="1" applyBorder="1" applyFill="1" applyFont="1" applyNumberFormat="1">
      <alignment horizontal="center" readingOrder="0" shrinkToFit="0" vertical="center" wrapText="1"/>
    </xf>
    <xf borderId="3" fillId="3" fontId="180" numFmtId="49" xfId="0" applyAlignment="1" applyBorder="1" applyFont="1" applyNumberFormat="1">
      <alignment horizontal="center" shrinkToFit="0" wrapText="1"/>
    </xf>
    <xf borderId="3" fillId="3" fontId="180" numFmtId="9" xfId="0" applyAlignment="1" applyBorder="1" applyFont="1" applyNumberFormat="1">
      <alignment horizontal="center" shrinkToFit="0" wrapText="1"/>
    </xf>
    <xf borderId="3" fillId="63" fontId="180" numFmtId="49" xfId="0" applyAlignment="1" applyBorder="1" applyFill="1" applyFont="1" applyNumberFormat="1">
      <alignment horizontal="center" shrinkToFit="0" wrapText="1"/>
    </xf>
    <xf borderId="3" fillId="63" fontId="180" numFmtId="9" xfId="0" applyAlignment="1" applyBorder="1" applyFont="1" applyNumberFormat="1">
      <alignment horizontal="center" shrinkToFit="0" wrapText="1"/>
    </xf>
    <xf borderId="3" fillId="49" fontId="223" numFmtId="49" xfId="0" applyAlignment="1" applyBorder="1" applyFont="1" applyNumberFormat="1">
      <alignment horizontal="center" shrinkToFit="0" wrapText="1"/>
    </xf>
    <xf borderId="3" fillId="49" fontId="223" numFmtId="9" xfId="0" applyAlignment="1" applyBorder="1" applyFont="1" applyNumberFormat="1">
      <alignment horizontal="center" shrinkToFit="0" wrapText="1"/>
    </xf>
    <xf borderId="3" fillId="13" fontId="222" numFmtId="0" xfId="0" applyAlignment="1" applyBorder="1" applyFont="1">
      <alignment vertical="bottom"/>
    </xf>
    <xf borderId="3" fillId="13" fontId="222" numFmtId="0" xfId="0" applyAlignment="1" applyBorder="1" applyFont="1">
      <alignment horizontal="center" vertical="bottom"/>
    </xf>
    <xf borderId="3" fillId="13" fontId="224" numFmtId="3" xfId="0" applyAlignment="1" applyBorder="1" applyFont="1" applyNumberFormat="1">
      <alignment horizontal="right" vertical="bottom"/>
    </xf>
    <xf borderId="3" fillId="3" fontId="225" numFmtId="9" xfId="0" applyAlignment="1" applyBorder="1" applyFont="1" applyNumberFormat="1">
      <alignment horizontal="center" vertical="bottom"/>
    </xf>
    <xf borderId="3" fillId="3" fontId="24" numFmtId="9" xfId="0" applyAlignment="1" applyBorder="1" applyFont="1" applyNumberFormat="1">
      <alignment vertical="bottom"/>
    </xf>
    <xf borderId="3" fillId="63" fontId="225" numFmtId="9" xfId="0" applyAlignment="1" applyBorder="1" applyFont="1" applyNumberFormat="1">
      <alignment horizontal="center" vertical="bottom"/>
    </xf>
    <xf borderId="3" fillId="63" fontId="24" numFmtId="9" xfId="0" applyAlignment="1" applyBorder="1" applyFont="1" applyNumberFormat="1">
      <alignment vertical="bottom"/>
    </xf>
    <xf borderId="3" fillId="49" fontId="225" numFmtId="167" xfId="0" applyAlignment="1" applyBorder="1" applyFont="1" applyNumberFormat="1">
      <alignment horizontal="right" vertical="bottom"/>
    </xf>
    <xf borderId="3" fillId="49" fontId="225" numFmtId="9" xfId="0" applyAlignment="1" applyBorder="1" applyFont="1" applyNumberFormat="1">
      <alignment horizontal="right" vertical="bottom"/>
    </xf>
    <xf borderId="3" fillId="13" fontId="226" numFmtId="3" xfId="0" applyAlignment="1" applyBorder="1" applyFont="1" applyNumberFormat="1">
      <alignment horizontal="right" vertical="bottom"/>
    </xf>
    <xf borderId="3" fillId="3" fontId="227" numFmtId="9" xfId="0" applyAlignment="1" applyBorder="1" applyFont="1" applyNumberFormat="1">
      <alignment horizontal="center" vertical="bottom"/>
    </xf>
    <xf borderId="3" fillId="13" fontId="19" numFmtId="3" xfId="0" applyAlignment="1" applyBorder="1" applyFont="1" applyNumberFormat="1">
      <alignment horizontal="right" vertical="bottom"/>
    </xf>
    <xf borderId="3" fillId="49" fontId="227" numFmtId="167" xfId="0" applyAlignment="1" applyBorder="1" applyFont="1" applyNumberFormat="1">
      <alignment horizontal="right" vertical="bottom"/>
    </xf>
    <xf borderId="3" fillId="49" fontId="227" numFmtId="9" xfId="0" applyAlignment="1" applyBorder="1" applyFont="1" applyNumberFormat="1">
      <alignment horizontal="right" vertical="bottom"/>
    </xf>
    <xf borderId="3" fillId="49" fontId="228" numFmtId="167" xfId="0" applyAlignment="1" applyBorder="1" applyFont="1" applyNumberFormat="1">
      <alignment horizontal="right" vertical="bottom"/>
    </xf>
    <xf borderId="3" fillId="49" fontId="228" numFmtId="9" xfId="0" applyAlignment="1" applyBorder="1" applyFont="1" applyNumberFormat="1">
      <alignment horizontal="right" vertical="bottom"/>
    </xf>
    <xf borderId="3" fillId="3" fontId="228" numFmtId="9" xfId="0" applyAlignment="1" applyBorder="1" applyFont="1" applyNumberFormat="1">
      <alignment horizontal="center" vertical="bottom"/>
    </xf>
    <xf borderId="3" fillId="63" fontId="228" numFmtId="9" xfId="0" applyAlignment="1" applyBorder="1" applyFont="1" applyNumberFormat="1">
      <alignment horizontal="center" vertical="bottom"/>
    </xf>
    <xf borderId="7" fillId="64" fontId="229" numFmtId="0" xfId="0" applyAlignment="1" applyBorder="1" applyFill="1" applyFont="1">
      <alignment vertical="bottom"/>
    </xf>
    <xf borderId="7" fillId="64" fontId="230" numFmtId="0" xfId="0" applyAlignment="1" applyBorder="1" applyFont="1">
      <alignment vertical="bottom"/>
    </xf>
    <xf borderId="7" fillId="64" fontId="229" numFmtId="3" xfId="0" applyAlignment="1" applyBorder="1" applyFont="1" applyNumberFormat="1">
      <alignment horizontal="right" vertical="bottom"/>
    </xf>
    <xf borderId="7" fillId="64" fontId="231" numFmtId="9" xfId="0" applyAlignment="1" applyBorder="1" applyFont="1" applyNumberFormat="1">
      <alignment horizontal="center" vertical="bottom"/>
    </xf>
    <xf borderId="7" fillId="64" fontId="232" numFmtId="9" xfId="0" applyAlignment="1" applyBorder="1" applyFont="1" applyNumberFormat="1">
      <alignment horizontal="center" vertical="bottom"/>
    </xf>
    <xf borderId="7" fillId="64" fontId="233" numFmtId="9" xfId="0" applyAlignment="1" applyBorder="1" applyFont="1" applyNumberFormat="1">
      <alignment horizontal="center" vertical="bottom"/>
    </xf>
    <xf borderId="7" fillId="64" fontId="233" numFmtId="9" xfId="0" applyAlignment="1" applyBorder="1" applyFont="1" applyNumberFormat="1">
      <alignment horizontal="right" vertical="bottom"/>
    </xf>
    <xf borderId="13" fillId="0" fontId="24" numFmtId="0" xfId="0" applyAlignment="1" applyBorder="1" applyFont="1">
      <alignment vertical="bottom"/>
    </xf>
    <xf borderId="13" fillId="0" fontId="22" numFmtId="0" xfId="0" applyBorder="1" applyFont="1"/>
    <xf borderId="13" fillId="0" fontId="22" numFmtId="9" xfId="0" applyBorder="1" applyFont="1" applyNumberFormat="1"/>
    <xf borderId="13" fillId="0" fontId="222" numFmtId="0" xfId="0" applyAlignment="1" applyBorder="1" applyFont="1">
      <alignment horizontal="center" vertical="bottom"/>
    </xf>
    <xf borderId="53" fillId="0" fontId="222" numFmtId="181" xfId="0" applyAlignment="1" applyBorder="1" applyFont="1" applyNumberFormat="1">
      <alignment horizontal="center" vertical="bottom"/>
    </xf>
    <xf borderId="13" fillId="0" fontId="222" numFmtId="181" xfId="0" applyAlignment="1" applyBorder="1" applyFont="1" applyNumberFormat="1">
      <alignment horizontal="center" vertical="bottom"/>
    </xf>
    <xf borderId="13" fillId="0" fontId="222" numFmtId="9" xfId="0" applyAlignment="1" applyBorder="1" applyFont="1" applyNumberFormat="1">
      <alignment horizontal="center" vertical="bottom"/>
    </xf>
    <xf borderId="13" fillId="0" fontId="234" numFmtId="0" xfId="0" applyAlignment="1" applyBorder="1" applyFont="1">
      <alignment horizontal="center" vertical="bottom"/>
    </xf>
    <xf borderId="53" fillId="0" fontId="234" numFmtId="0" xfId="0" applyAlignment="1" applyBorder="1" applyFont="1">
      <alignment horizontal="center" vertical="bottom"/>
    </xf>
    <xf borderId="13" fillId="0" fontId="234" numFmtId="9" xfId="0" applyAlignment="1" applyBorder="1" applyFont="1" applyNumberFormat="1">
      <alignment horizontal="center" vertical="bottom"/>
    </xf>
    <xf borderId="0" fillId="0" fontId="23" numFmtId="49" xfId="0" applyFont="1" applyNumberFormat="1"/>
    <xf borderId="0" fillId="0" fontId="88" numFmtId="49" xfId="0" applyAlignment="1" applyFont="1" applyNumberFormat="1">
      <alignment horizontal="center" shrinkToFit="0" wrapText="1"/>
    </xf>
    <xf borderId="0" fillId="62" fontId="235" numFmtId="0" xfId="0" applyFont="1"/>
    <xf borderId="60" fillId="65" fontId="236" numFmtId="0" xfId="0" applyAlignment="1" applyBorder="1" applyFill="1" applyFont="1">
      <alignment horizontal="center"/>
    </xf>
    <xf borderId="61" fillId="65" fontId="23" numFmtId="0" xfId="0" applyBorder="1" applyFont="1"/>
    <xf borderId="61" fillId="13" fontId="23" numFmtId="0" xfId="0" applyBorder="1" applyFont="1"/>
    <xf borderId="56" fillId="0" fontId="23" numFmtId="0" xfId="0" applyBorder="1" applyFont="1"/>
    <xf borderId="38" fillId="0" fontId="23" numFmtId="0" xfId="0" applyBorder="1" applyFont="1"/>
    <xf borderId="0" fillId="0" fontId="237" numFmtId="49" xfId="0" applyAlignment="1" applyFont="1" applyNumberFormat="1">
      <alignment horizontal="center" shrinkToFit="0" wrapText="1"/>
    </xf>
    <xf borderId="48" fillId="0" fontId="2" numFmtId="0" xfId="0" applyBorder="1" applyFont="1"/>
    <xf borderId="56" fillId="0" fontId="2" numFmtId="0" xfId="0" applyBorder="1" applyFont="1"/>
    <xf borderId="48" fillId="65" fontId="23" numFmtId="0" xfId="0" applyBorder="1" applyFont="1"/>
    <xf borderId="48" fillId="13" fontId="23" numFmtId="0" xfId="0" applyBorder="1" applyFont="1"/>
    <xf borderId="4" fillId="0" fontId="4" numFmtId="49" xfId="0" applyAlignment="1" applyBorder="1" applyFont="1" applyNumberFormat="1">
      <alignment horizontal="center" readingOrder="0" shrinkToFit="0" wrapText="1"/>
    </xf>
    <xf borderId="1" fillId="0" fontId="4" numFmtId="49" xfId="0" applyAlignment="1" applyBorder="1" applyFont="1" applyNumberFormat="1">
      <alignment horizontal="center" shrinkToFit="0" wrapText="1"/>
    </xf>
    <xf borderId="3" fillId="0" fontId="4" numFmtId="1" xfId="0" applyAlignment="1" applyBorder="1" applyFont="1" applyNumberFormat="1">
      <alignment horizontal="center" shrinkToFit="0" wrapText="1"/>
    </xf>
    <xf borderId="1" fillId="16" fontId="8" numFmtId="0" xfId="0" applyAlignment="1" applyBorder="1" applyFont="1">
      <alignment horizontal="center"/>
    </xf>
    <xf borderId="0" fillId="65" fontId="8" numFmtId="0" xfId="0" applyAlignment="1" applyFont="1">
      <alignment horizontal="center"/>
    </xf>
    <xf borderId="0" fillId="65" fontId="8" numFmtId="0" xfId="0" applyAlignment="1" applyFont="1">
      <alignment horizontal="center" shrinkToFit="0" wrapText="1"/>
    </xf>
    <xf borderId="0" fillId="2" fontId="8" numFmtId="0" xfId="0" applyAlignment="1" applyFont="1">
      <alignment horizontal="center"/>
    </xf>
    <xf borderId="0" fillId="60" fontId="8" numFmtId="177" xfId="0" applyAlignment="1" applyFont="1" applyNumberFormat="1">
      <alignment horizontal="center"/>
    </xf>
    <xf borderId="0" fillId="50" fontId="8" numFmtId="177" xfId="0" applyAlignment="1" applyFont="1" applyNumberFormat="1">
      <alignment horizontal="center"/>
    </xf>
    <xf borderId="3" fillId="0" fontId="4" numFmtId="49" xfId="0" applyAlignment="1" applyBorder="1" applyFont="1" applyNumberFormat="1">
      <alignment horizontal="center" shrinkToFit="0" wrapText="1"/>
    </xf>
    <xf borderId="3" fillId="0" fontId="23" numFmtId="1" xfId="0" applyBorder="1" applyFont="1" applyNumberFormat="1"/>
    <xf borderId="3" fillId="16" fontId="8" numFmtId="49" xfId="0" applyAlignment="1" applyBorder="1" applyFont="1" applyNumberFormat="1">
      <alignment horizontal="center" shrinkToFit="0" wrapText="1"/>
    </xf>
    <xf borderId="0" fillId="2" fontId="8" numFmtId="49" xfId="0" applyAlignment="1" applyFont="1" applyNumberFormat="1">
      <alignment horizontal="center" shrinkToFit="0" wrapText="1"/>
    </xf>
    <xf borderId="0" fillId="60" fontId="8" numFmtId="49" xfId="0" applyAlignment="1" applyFont="1" applyNumberFormat="1">
      <alignment horizontal="center" shrinkToFit="0" wrapText="1"/>
    </xf>
    <xf borderId="0" fillId="50" fontId="8" numFmtId="49" xfId="0" applyAlignment="1" applyFont="1" applyNumberFormat="1">
      <alignment horizontal="center" shrinkToFit="0" wrapText="1"/>
    </xf>
    <xf borderId="0" fillId="61" fontId="8" numFmtId="49" xfId="0" applyAlignment="1" applyFont="1" applyNumberFormat="1">
      <alignment horizontal="center" shrinkToFit="0" wrapText="1"/>
    </xf>
    <xf borderId="3" fillId="0" fontId="238" numFmtId="49" xfId="0" applyAlignment="1" applyBorder="1" applyFont="1" applyNumberFormat="1">
      <alignment horizontal="center" shrinkToFit="0" wrapText="1"/>
    </xf>
    <xf borderId="3" fillId="0" fontId="23" numFmtId="49" xfId="0" applyBorder="1" applyFont="1" applyNumberFormat="1"/>
    <xf borderId="3" fillId="0" fontId="4" numFmtId="1" xfId="0" applyAlignment="1" applyBorder="1" applyFont="1" applyNumberFormat="1">
      <alignment shrinkToFit="0" wrapText="1"/>
    </xf>
    <xf borderId="3" fillId="66" fontId="4" numFmtId="167" xfId="0" applyBorder="1" applyFill="1" applyFont="1" applyNumberFormat="1"/>
    <xf borderId="0" fillId="65" fontId="23" numFmtId="0" xfId="0" applyFont="1"/>
    <xf borderId="0" fillId="2" fontId="88" numFmtId="167" xfId="0" applyAlignment="1" applyFont="1" applyNumberFormat="1">
      <alignment horizontal="right"/>
    </xf>
    <xf borderId="0" fillId="60" fontId="88" numFmtId="167" xfId="0" applyAlignment="1" applyFont="1" applyNumberFormat="1">
      <alignment horizontal="right"/>
    </xf>
    <xf borderId="0" fillId="66" fontId="23" numFmtId="167" xfId="0" applyFont="1" applyNumberFormat="1"/>
    <xf borderId="0" fillId="66" fontId="88" numFmtId="167" xfId="0" applyAlignment="1" applyFont="1" applyNumberFormat="1">
      <alignment horizontal="right"/>
    </xf>
    <xf borderId="1" fillId="0" fontId="23" numFmtId="49" xfId="0" applyBorder="1" applyFont="1" applyNumberFormat="1"/>
    <xf borderId="3" fillId="0" fontId="23" numFmtId="49" xfId="0" applyAlignment="1" applyBorder="1" applyFont="1" applyNumberFormat="1">
      <alignment horizontal="center" shrinkToFit="0" wrapText="1"/>
    </xf>
    <xf borderId="3" fillId="0" fontId="23" numFmtId="167" xfId="0" applyBorder="1" applyFont="1" applyNumberFormat="1"/>
    <xf borderId="3" fillId="0" fontId="3" numFmtId="167" xfId="0" applyAlignment="1" applyBorder="1" applyFont="1" applyNumberFormat="1">
      <alignment horizontal="right"/>
    </xf>
    <xf borderId="1" fillId="0" fontId="4" numFmtId="49" xfId="0" applyAlignment="1" applyBorder="1" applyFont="1" applyNumberFormat="1">
      <alignment horizontal="center" readingOrder="0" shrinkToFit="0" wrapText="1"/>
    </xf>
    <xf borderId="0" fillId="66" fontId="3" numFmtId="167" xfId="0" applyAlignment="1" applyFont="1" applyNumberFormat="1">
      <alignment horizontal="right"/>
    </xf>
    <xf borderId="3" fillId="0" fontId="23" numFmtId="49" xfId="0" applyAlignment="1" applyBorder="1" applyFont="1" applyNumberFormat="1">
      <alignment vertical="bottom"/>
    </xf>
    <xf borderId="3" fillId="35" fontId="4" numFmtId="167" xfId="0" applyBorder="1" applyFont="1" applyNumberFormat="1"/>
    <xf borderId="3" fillId="66" fontId="88" numFmtId="167" xfId="0" applyAlignment="1" applyBorder="1" applyFont="1" applyNumberFormat="1">
      <alignment horizontal="right"/>
    </xf>
    <xf borderId="0" fillId="0" fontId="239" numFmtId="167" xfId="0" applyAlignment="1" applyFont="1" applyNumberFormat="1">
      <alignment horizontal="right"/>
    </xf>
    <xf borderId="0" fillId="66" fontId="239" numFmtId="167" xfId="0" applyAlignment="1" applyFont="1" applyNumberFormat="1">
      <alignment horizontal="right"/>
    </xf>
    <xf borderId="0" fillId="0" fontId="88" numFmtId="167" xfId="0" applyAlignment="1" applyFont="1" applyNumberFormat="1">
      <alignment horizontal="right"/>
    </xf>
    <xf borderId="3" fillId="0" fontId="240" numFmtId="49" xfId="0" applyAlignment="1" applyBorder="1" applyFont="1" applyNumberFormat="1">
      <alignment horizontal="right" shrinkToFit="0" wrapText="1"/>
    </xf>
    <xf borderId="3" fillId="0" fontId="240" numFmtId="1" xfId="0" applyAlignment="1" applyBorder="1" applyFont="1" applyNumberFormat="1">
      <alignment shrinkToFit="0" wrapText="1"/>
    </xf>
    <xf borderId="3" fillId="0" fontId="23" numFmtId="1" xfId="0" applyAlignment="1" applyBorder="1" applyFont="1" applyNumberFormat="1">
      <alignment readingOrder="0"/>
    </xf>
    <xf borderId="0" fillId="65" fontId="23" numFmtId="167" xfId="0" applyFont="1" applyNumberFormat="1"/>
    <xf borderId="3" fillId="0" fontId="240" numFmtId="167" xfId="0" applyAlignment="1" applyBorder="1" applyFont="1" applyNumberFormat="1">
      <alignment shrinkToFit="0" wrapText="1"/>
    </xf>
    <xf borderId="1" fillId="0" fontId="23" numFmtId="0" xfId="0" applyBorder="1" applyFont="1"/>
    <xf borderId="3" fillId="0" fontId="240" numFmtId="0" xfId="0" applyAlignment="1" applyBorder="1" applyFont="1">
      <alignment shrinkToFit="0" wrapText="1"/>
    </xf>
    <xf borderId="3" fillId="0" fontId="23" numFmtId="0" xfId="0" applyBorder="1" applyFont="1"/>
    <xf borderId="1" fillId="0" fontId="4" numFmtId="0" xfId="0" applyAlignment="1" applyBorder="1" applyFont="1">
      <alignment horizontal="center" readingOrder="0" shrinkToFit="0" wrapText="1"/>
    </xf>
    <xf borderId="3" fillId="0" fontId="4" numFmtId="0" xfId="0" applyAlignment="1" applyBorder="1" applyFont="1">
      <alignment shrinkToFit="0" wrapText="1"/>
    </xf>
    <xf borderId="0" fillId="0" fontId="3" numFmtId="167" xfId="0" applyAlignment="1" applyFont="1" applyNumberFormat="1">
      <alignment horizontal="right"/>
    </xf>
    <xf borderId="0" fillId="65" fontId="241" numFmtId="167" xfId="0" applyAlignment="1" applyFont="1" applyNumberFormat="1">
      <alignment horizontal="right"/>
    </xf>
    <xf borderId="0" fillId="2" fontId="241" numFmtId="167" xfId="0" applyAlignment="1" applyFont="1" applyNumberFormat="1">
      <alignment horizontal="right"/>
    </xf>
    <xf borderId="0" fillId="22" fontId="241" numFmtId="167" xfId="0" applyAlignment="1" applyFont="1" applyNumberFormat="1">
      <alignment horizontal="right"/>
    </xf>
    <xf borderId="1" fillId="67" fontId="8" numFmtId="0" xfId="0" applyBorder="1" applyFill="1" applyFont="1"/>
    <xf borderId="3" fillId="67" fontId="8" numFmtId="49" xfId="0" applyBorder="1" applyFont="1" applyNumberFormat="1"/>
    <xf borderId="3" fillId="67" fontId="8" numFmtId="0" xfId="0" applyBorder="1" applyFont="1"/>
    <xf borderId="3" fillId="67" fontId="241" numFmtId="167" xfId="0" applyAlignment="1" applyBorder="1" applyFont="1" applyNumberFormat="1">
      <alignment horizontal="right"/>
    </xf>
    <xf borderId="0" fillId="0" fontId="3" numFmtId="49" xfId="0" applyFont="1" applyNumberFormat="1"/>
    <xf borderId="13" fillId="3" fontId="24" numFmtId="182" xfId="0" applyBorder="1" applyFont="1" applyNumberFormat="1"/>
    <xf borderId="13" fillId="44" fontId="242" numFmtId="182" xfId="0" applyAlignment="1" applyBorder="1" applyFont="1" applyNumberFormat="1">
      <alignment horizontal="center" shrinkToFit="0" wrapText="1"/>
    </xf>
    <xf borderId="13" fillId="44" fontId="242" numFmtId="49" xfId="0" applyAlignment="1" applyBorder="1" applyFont="1" applyNumberFormat="1">
      <alignment horizontal="center" shrinkToFit="0" wrapText="1"/>
    </xf>
    <xf borderId="13" fillId="3" fontId="24" numFmtId="9" xfId="0" applyBorder="1" applyFont="1" applyNumberFormat="1"/>
    <xf borderId="0" fillId="3" fontId="24" numFmtId="182" xfId="0" applyFont="1" applyNumberFormat="1"/>
    <xf borderId="15" fillId="13" fontId="243" numFmtId="182" xfId="0" applyBorder="1" applyFont="1" applyNumberFormat="1"/>
    <xf borderId="15" fillId="13" fontId="243" numFmtId="182" xfId="0" applyAlignment="1" applyBorder="1" applyFont="1" applyNumberFormat="1">
      <alignment horizontal="center" shrinkToFit="0" wrapText="0"/>
    </xf>
    <xf borderId="15" fillId="13" fontId="243" numFmtId="49" xfId="0" applyAlignment="1" applyBorder="1" applyFont="1" applyNumberFormat="1">
      <alignment horizontal="center" shrinkToFit="0" wrapText="0"/>
    </xf>
    <xf borderId="15" fillId="13" fontId="244" numFmtId="182" xfId="0" applyAlignment="1" applyBorder="1" applyFont="1" applyNumberFormat="1">
      <alignment horizontal="center" shrinkToFit="0" wrapText="0"/>
    </xf>
    <xf borderId="15" fillId="13" fontId="243" numFmtId="9" xfId="0" applyBorder="1" applyFont="1" applyNumberFormat="1"/>
    <xf borderId="0" fillId="13" fontId="243" numFmtId="182" xfId="0" applyFont="1" applyNumberFormat="1"/>
    <xf borderId="3" fillId="0" fontId="245" numFmtId="0" xfId="0" applyAlignment="1" applyBorder="1" applyFont="1">
      <alignment shrinkToFit="0" wrapText="0"/>
    </xf>
    <xf borderId="3" fillId="0" fontId="24" numFmtId="0" xfId="0" applyBorder="1" applyFont="1"/>
    <xf borderId="3" fillId="12" fontId="123" numFmtId="167" xfId="0" applyAlignment="1" applyBorder="1" applyFont="1" applyNumberFormat="1">
      <alignment horizontal="center"/>
    </xf>
    <xf borderId="3" fillId="12" fontId="123" numFmtId="49" xfId="0" applyAlignment="1" applyBorder="1" applyFont="1" applyNumberFormat="1">
      <alignment horizontal="center"/>
    </xf>
    <xf borderId="3" fillId="12" fontId="24" numFmtId="0" xfId="0" applyBorder="1" applyFont="1"/>
    <xf borderId="3" fillId="12" fontId="24" numFmtId="9" xfId="0" applyBorder="1" applyFont="1" applyNumberFormat="1"/>
    <xf borderId="3" fillId="68" fontId="24" numFmtId="167" xfId="0" applyBorder="1" applyFill="1" applyFont="1" applyNumberFormat="1"/>
    <xf borderId="3" fillId="68" fontId="24" numFmtId="9" xfId="0" applyBorder="1" applyFont="1" applyNumberFormat="1"/>
    <xf borderId="3" fillId="56" fontId="123" numFmtId="0" xfId="0" applyAlignment="1" applyBorder="1" applyFont="1">
      <alignment horizontal="center" shrinkToFit="0" wrapText="1"/>
    </xf>
    <xf borderId="3" fillId="56" fontId="24" numFmtId="0" xfId="0" applyBorder="1" applyFont="1"/>
    <xf borderId="0" fillId="56" fontId="24" numFmtId="0" xfId="0" applyFont="1"/>
    <xf borderId="3" fillId="21" fontId="123" numFmtId="182" xfId="0" applyAlignment="1" applyBorder="1" applyFont="1" applyNumberFormat="1">
      <alignment horizontal="center" shrinkToFit="0" vertical="center" wrapText="1"/>
    </xf>
    <xf borderId="3" fillId="21" fontId="123" numFmtId="49" xfId="0" applyAlignment="1" applyBorder="1" applyFont="1" applyNumberFormat="1">
      <alignment horizontal="center" shrinkToFit="0" vertical="center" wrapText="1"/>
    </xf>
    <xf borderId="3" fillId="21" fontId="246" numFmtId="49" xfId="0" applyAlignment="1" applyBorder="1" applyFont="1" applyNumberFormat="1">
      <alignment horizontal="center" shrinkToFit="0" vertical="center" wrapText="1"/>
    </xf>
    <xf borderId="3" fillId="21" fontId="123" numFmtId="165" xfId="0" applyAlignment="1" applyBorder="1" applyFont="1" applyNumberFormat="1">
      <alignment horizontal="center" shrinkToFit="0" vertical="center" wrapText="1"/>
    </xf>
    <xf borderId="3" fillId="21" fontId="123" numFmtId="0" xfId="0" applyAlignment="1" applyBorder="1" applyFont="1">
      <alignment horizontal="center" shrinkToFit="0" vertical="center" wrapText="1"/>
    </xf>
    <xf borderId="3" fillId="21" fontId="123" numFmtId="9" xfId="0" applyAlignment="1" applyBorder="1" applyFont="1" applyNumberFormat="1">
      <alignment horizontal="center" shrinkToFit="0" vertical="center" wrapText="1"/>
    </xf>
    <xf borderId="3" fillId="21" fontId="247" numFmtId="9" xfId="0" applyAlignment="1" applyBorder="1" applyFont="1" applyNumberFormat="1">
      <alignment horizontal="center" shrinkToFit="0" vertical="center" wrapText="1"/>
    </xf>
    <xf borderId="0" fillId="21" fontId="247" numFmtId="9" xfId="0" applyAlignment="1" applyFont="1" applyNumberFormat="1">
      <alignment horizontal="center" shrinkToFit="0" vertical="center" wrapText="1"/>
    </xf>
    <xf borderId="3" fillId="20" fontId="123" numFmtId="182" xfId="0" applyAlignment="1" applyBorder="1" applyFont="1" applyNumberFormat="1">
      <alignment horizontal="center" vertical="bottom"/>
    </xf>
    <xf borderId="3" fillId="20" fontId="123" numFmtId="49" xfId="0" applyAlignment="1" applyBorder="1" applyFont="1" applyNumberFormat="1">
      <alignment shrinkToFit="0" vertical="bottom" wrapText="1"/>
    </xf>
    <xf borderId="3" fillId="20" fontId="123" numFmtId="49" xfId="0" applyAlignment="1" applyBorder="1" applyFont="1" applyNumberFormat="1">
      <alignment vertical="bottom"/>
    </xf>
    <xf borderId="3" fillId="20" fontId="246" numFmtId="49" xfId="0" applyAlignment="1" applyBorder="1" applyFont="1" applyNumberFormat="1">
      <alignment shrinkToFit="0" vertical="bottom" wrapText="1"/>
    </xf>
    <xf borderId="3" fillId="20" fontId="24" numFmtId="49" xfId="0" applyAlignment="1" applyBorder="1" applyFont="1" applyNumberFormat="1">
      <alignment vertical="bottom"/>
    </xf>
    <xf borderId="3" fillId="20" fontId="123" numFmtId="167" xfId="0" applyAlignment="1" applyBorder="1" applyFont="1" applyNumberFormat="1">
      <alignment horizontal="right" vertical="bottom"/>
    </xf>
    <xf borderId="3" fillId="20" fontId="248" numFmtId="9" xfId="0" applyAlignment="1" applyBorder="1" applyFont="1" applyNumberFormat="1">
      <alignment horizontal="center" vertical="bottom"/>
    </xf>
    <xf borderId="3" fillId="20" fontId="248" numFmtId="9" xfId="0" applyAlignment="1" applyBorder="1" applyFont="1" applyNumberFormat="1">
      <alignment horizontal="right" vertical="bottom"/>
    </xf>
    <xf borderId="3" fillId="20" fontId="248" numFmtId="9" xfId="0" applyAlignment="1" applyBorder="1" applyFont="1" applyNumberFormat="1">
      <alignment vertical="bottom"/>
    </xf>
    <xf borderId="3" fillId="20" fontId="248" numFmtId="167" xfId="0" applyAlignment="1" applyBorder="1" applyFont="1" applyNumberFormat="1">
      <alignment horizontal="right" vertical="bottom"/>
    </xf>
    <xf borderId="0" fillId="20" fontId="248" numFmtId="9" xfId="0" applyAlignment="1" applyFont="1" applyNumberFormat="1">
      <alignment horizontal="center" vertical="bottom"/>
    </xf>
    <xf borderId="3" fillId="0" fontId="249" numFmtId="182" xfId="0" applyAlignment="1" applyBorder="1" applyFont="1" applyNumberFormat="1">
      <alignment horizontal="center" vertical="bottom"/>
    </xf>
    <xf borderId="3" fillId="0" fontId="249" numFmtId="49" xfId="0" applyAlignment="1" applyBorder="1" applyFont="1" applyNumberFormat="1">
      <alignment shrinkToFit="0" vertical="bottom" wrapText="1"/>
    </xf>
    <xf borderId="3" fillId="0" fontId="249" numFmtId="49" xfId="0" applyAlignment="1" applyBorder="1" applyFont="1" applyNumberFormat="1">
      <alignment vertical="bottom"/>
    </xf>
    <xf borderId="3" fillId="0" fontId="250" numFmtId="49" xfId="0" applyAlignment="1" applyBorder="1" applyFont="1" applyNumberFormat="1">
      <alignment shrinkToFit="0" vertical="bottom" wrapText="1"/>
    </xf>
    <xf borderId="3" fillId="0" fontId="24" numFmtId="49" xfId="0" applyAlignment="1" applyBorder="1" applyFont="1" applyNumberFormat="1">
      <alignment vertical="bottom"/>
    </xf>
    <xf borderId="3" fillId="12" fontId="249" numFmtId="167" xfId="0" applyAlignment="1" applyBorder="1" applyFont="1" applyNumberFormat="1">
      <alignment horizontal="right" vertical="bottom"/>
    </xf>
    <xf borderId="3" fillId="12" fontId="251" numFmtId="9" xfId="0" applyAlignment="1" applyBorder="1" applyFont="1" applyNumberFormat="1">
      <alignment horizontal="center" vertical="bottom"/>
    </xf>
    <xf borderId="3" fillId="68" fontId="249" numFmtId="167" xfId="0" applyAlignment="1" applyBorder="1" applyFont="1" applyNumberFormat="1">
      <alignment horizontal="right" vertical="bottom"/>
    </xf>
    <xf borderId="3" fillId="68" fontId="251" numFmtId="9" xfId="0" applyAlignment="1" applyBorder="1" applyFont="1" applyNumberFormat="1">
      <alignment horizontal="right" vertical="bottom"/>
    </xf>
    <xf borderId="3" fillId="68" fontId="251" numFmtId="9" xfId="0" applyAlignment="1" applyBorder="1" applyFont="1" applyNumberFormat="1">
      <alignment vertical="bottom"/>
    </xf>
    <xf borderId="3" fillId="56" fontId="251" numFmtId="167" xfId="0" applyAlignment="1" applyBorder="1" applyFont="1" applyNumberFormat="1">
      <alignment horizontal="right" vertical="bottom"/>
    </xf>
    <xf borderId="3" fillId="56" fontId="248" numFmtId="9" xfId="0" applyAlignment="1" applyBorder="1" applyFont="1" applyNumberFormat="1">
      <alignment horizontal="center" vertical="bottom"/>
    </xf>
    <xf borderId="0" fillId="56" fontId="248" numFmtId="9" xfId="0" applyAlignment="1" applyFont="1" applyNumberFormat="1">
      <alignment horizontal="center" vertical="bottom"/>
    </xf>
    <xf borderId="3" fillId="0" fontId="24" numFmtId="182" xfId="0" applyAlignment="1" applyBorder="1" applyFont="1" applyNumberFormat="1">
      <alignment horizontal="center" vertical="bottom"/>
    </xf>
    <xf borderId="3" fillId="0" fontId="24" numFmtId="49" xfId="0" applyAlignment="1" applyBorder="1" applyFont="1" applyNumberFormat="1">
      <alignment shrinkToFit="0" vertical="bottom" wrapText="1"/>
    </xf>
    <xf borderId="3" fillId="0" fontId="252" numFmtId="49" xfId="0" applyAlignment="1" applyBorder="1" applyFont="1" applyNumberFormat="1">
      <alignment shrinkToFit="0" vertical="bottom" wrapText="1"/>
    </xf>
    <xf borderId="3" fillId="12" fontId="123" numFmtId="167" xfId="0" applyAlignment="1" applyBorder="1" applyFont="1" applyNumberFormat="1">
      <alignment horizontal="right" vertical="bottom"/>
    </xf>
    <xf borderId="3" fillId="12" fontId="248" numFmtId="9" xfId="0" applyAlignment="1" applyBorder="1" applyFont="1" applyNumberFormat="1">
      <alignment horizontal="center" vertical="bottom"/>
    </xf>
    <xf borderId="3" fillId="12" fontId="24" numFmtId="9" xfId="0" applyAlignment="1" applyBorder="1" applyFont="1" applyNumberFormat="1">
      <alignment vertical="bottom"/>
    </xf>
    <xf borderId="3" fillId="68" fontId="123" numFmtId="167" xfId="0" applyAlignment="1" applyBorder="1" applyFont="1" applyNumberFormat="1">
      <alignment horizontal="right" vertical="bottom"/>
    </xf>
    <xf borderId="3" fillId="68" fontId="248" numFmtId="9" xfId="0" applyAlignment="1" applyBorder="1" applyFont="1" applyNumberFormat="1">
      <alignment horizontal="right" vertical="bottom"/>
    </xf>
    <xf borderId="3" fillId="68" fontId="24" numFmtId="9" xfId="0" applyAlignment="1" applyBorder="1" applyFont="1" applyNumberFormat="1">
      <alignment vertical="bottom"/>
    </xf>
    <xf borderId="3" fillId="56" fontId="248" numFmtId="167" xfId="0" applyAlignment="1" applyBorder="1" applyFont="1" applyNumberFormat="1">
      <alignment horizontal="right" vertical="bottom"/>
    </xf>
    <xf borderId="3" fillId="0" fontId="24" numFmtId="49" xfId="0" applyAlignment="1" applyBorder="1" applyFont="1" applyNumberFormat="1">
      <alignment horizontal="center" vertical="bottom"/>
    </xf>
    <xf borderId="3" fillId="0" fontId="24" numFmtId="182" xfId="0" applyAlignment="1" applyBorder="1" applyFont="1" applyNumberFormat="1">
      <alignment vertical="bottom"/>
    </xf>
    <xf borderId="3" fillId="0" fontId="253" numFmtId="49" xfId="0" applyAlignment="1" applyBorder="1" applyFont="1" applyNumberFormat="1">
      <alignment shrinkToFit="0" vertical="bottom" wrapText="1"/>
    </xf>
    <xf borderId="3" fillId="0" fontId="253" numFmtId="49" xfId="0" applyAlignment="1" applyBorder="1" applyFont="1" applyNumberFormat="1">
      <alignment horizontal="center" vertical="bottom"/>
    </xf>
    <xf borderId="3" fillId="56" fontId="24" numFmtId="167" xfId="0" applyAlignment="1" applyBorder="1" applyFont="1" applyNumberFormat="1">
      <alignment vertical="bottom"/>
    </xf>
    <xf borderId="3" fillId="0" fontId="254" numFmtId="49" xfId="0" applyAlignment="1" applyBorder="1" applyFont="1" applyNumberFormat="1">
      <alignment shrinkToFit="0" vertical="bottom" wrapText="1"/>
    </xf>
    <xf borderId="3" fillId="68" fontId="248" numFmtId="9" xfId="0" applyAlignment="1" applyBorder="1" applyFont="1" applyNumberFormat="1">
      <alignment vertical="bottom"/>
    </xf>
    <xf borderId="3" fillId="0" fontId="150" numFmtId="49" xfId="0" applyAlignment="1" applyBorder="1" applyFont="1" applyNumberFormat="1">
      <alignment horizontal="center" vertical="bottom"/>
    </xf>
    <xf borderId="3" fillId="69" fontId="169" numFmtId="182" xfId="0" applyAlignment="1" applyBorder="1" applyFill="1" applyFont="1" applyNumberFormat="1">
      <alignment horizontal="center" vertical="bottom"/>
    </xf>
    <xf borderId="3" fillId="69" fontId="169" numFmtId="49" xfId="0" applyAlignment="1" applyBorder="1" applyFont="1" applyNumberFormat="1">
      <alignment horizontal="center" shrinkToFit="0" vertical="bottom" wrapText="1"/>
    </xf>
    <xf borderId="3" fillId="69" fontId="169" numFmtId="49" xfId="0" applyAlignment="1" applyBorder="1" applyFont="1" applyNumberFormat="1">
      <alignment vertical="bottom"/>
    </xf>
    <xf borderId="3" fillId="69" fontId="169" numFmtId="49" xfId="0" applyAlignment="1" applyBorder="1" applyFont="1" applyNumberFormat="1">
      <alignment shrinkToFit="0" vertical="bottom" wrapText="1"/>
    </xf>
    <xf borderId="3" fillId="69" fontId="24" numFmtId="49" xfId="0" applyAlignment="1" applyBorder="1" applyFont="1" applyNumberFormat="1">
      <alignment vertical="bottom"/>
    </xf>
    <xf borderId="3" fillId="69" fontId="169" numFmtId="167" xfId="0" applyAlignment="1" applyBorder="1" applyFont="1" applyNumberFormat="1">
      <alignment horizontal="right" vertical="bottom"/>
    </xf>
    <xf borderId="3" fillId="69" fontId="248" numFmtId="9" xfId="0" applyAlignment="1" applyBorder="1" applyFont="1" applyNumberFormat="1">
      <alignment horizontal="center" vertical="bottom"/>
    </xf>
    <xf borderId="3" fillId="69" fontId="24" numFmtId="9" xfId="0" applyAlignment="1" applyBorder="1" applyFont="1" applyNumberFormat="1">
      <alignment vertical="bottom"/>
    </xf>
    <xf borderId="3" fillId="69" fontId="248" numFmtId="9" xfId="0" applyAlignment="1" applyBorder="1" applyFont="1" applyNumberFormat="1">
      <alignment horizontal="right" vertical="bottom"/>
    </xf>
    <xf borderId="3" fillId="69" fontId="248" numFmtId="167" xfId="0" applyAlignment="1" applyBorder="1" applyFont="1" applyNumberFormat="1">
      <alignment horizontal="right" vertical="bottom"/>
    </xf>
    <xf borderId="0" fillId="69" fontId="248" numFmtId="9" xfId="0" applyAlignment="1" applyFont="1" applyNumberFormat="1">
      <alignment horizontal="center" vertical="bottom"/>
    </xf>
    <xf borderId="3" fillId="21" fontId="123" numFmtId="182" xfId="0" applyAlignment="1" applyBorder="1" applyFont="1" applyNumberFormat="1">
      <alignment horizontal="center"/>
    </xf>
    <xf borderId="1" fillId="21" fontId="123" numFmtId="49" xfId="0" applyAlignment="1" applyBorder="1" applyFont="1" applyNumberFormat="1">
      <alignment shrinkToFit="0" wrapText="1"/>
    </xf>
    <xf borderId="19" fillId="21" fontId="123" numFmtId="49" xfId="0" applyAlignment="1" applyBorder="1" applyFont="1" applyNumberFormat="1">
      <alignment shrinkToFit="0" wrapText="1"/>
    </xf>
    <xf borderId="2" fillId="21" fontId="123" numFmtId="49" xfId="0" applyAlignment="1" applyBorder="1" applyFont="1" applyNumberFormat="1">
      <alignment shrinkToFit="0" wrapText="1"/>
    </xf>
    <xf borderId="3" fillId="21" fontId="24" numFmtId="167" xfId="0" applyBorder="1" applyFont="1" applyNumberFormat="1"/>
    <xf borderId="3" fillId="21" fontId="24" numFmtId="0" xfId="0" applyBorder="1" applyFont="1"/>
    <xf borderId="3" fillId="21" fontId="24" numFmtId="9" xfId="0" applyBorder="1" applyFont="1" applyNumberFormat="1"/>
    <xf quotePrefix="1" borderId="3" fillId="21" fontId="255" numFmtId="0" xfId="0" applyAlignment="1" applyBorder="1" applyFont="1">
      <alignment horizontal="center" readingOrder="0"/>
    </xf>
    <xf borderId="3" fillId="21" fontId="247" numFmtId="9" xfId="0" applyAlignment="1" applyBorder="1" applyFont="1" applyNumberFormat="1">
      <alignment horizontal="center"/>
    </xf>
    <xf borderId="0" fillId="21" fontId="247" numFmtId="9" xfId="0" applyAlignment="1" applyFont="1" applyNumberFormat="1">
      <alignment horizontal="center"/>
    </xf>
    <xf borderId="3" fillId="0" fontId="256" numFmtId="49" xfId="0" applyAlignment="1" applyBorder="1" applyFont="1" applyNumberFormat="1">
      <alignment shrinkToFit="0" vertical="bottom" wrapText="1"/>
    </xf>
    <xf borderId="3" fillId="0" fontId="24" numFmtId="49" xfId="0" applyAlignment="1" applyBorder="1" applyFont="1" applyNumberFormat="1">
      <alignment readingOrder="0" vertical="bottom"/>
    </xf>
    <xf borderId="3" fillId="69" fontId="123" numFmtId="182" xfId="0" applyAlignment="1" applyBorder="1" applyFont="1" applyNumberFormat="1">
      <alignment horizontal="center" vertical="bottom"/>
    </xf>
    <xf borderId="3" fillId="69" fontId="248" numFmtId="49" xfId="0" applyAlignment="1" applyBorder="1" applyFont="1" applyNumberFormat="1">
      <alignment shrinkToFit="0" vertical="bottom" wrapText="1"/>
    </xf>
    <xf borderId="3" fillId="69" fontId="248" numFmtId="49" xfId="0" applyAlignment="1" applyBorder="1" applyFont="1" applyNumberFormat="1">
      <alignment vertical="bottom"/>
    </xf>
    <xf borderId="3" fillId="69" fontId="160" numFmtId="49" xfId="0" applyAlignment="1" applyBorder="1" applyFont="1" applyNumberFormat="1">
      <alignment shrinkToFit="0" vertical="bottom" wrapText="1"/>
    </xf>
    <xf borderId="3" fillId="12" fontId="248" numFmtId="167" xfId="0" applyAlignment="1" applyBorder="1" applyFont="1" applyNumberFormat="1">
      <alignment horizontal="right" vertical="bottom"/>
    </xf>
    <xf borderId="3" fillId="68" fontId="248" numFmtId="167" xfId="0" applyAlignment="1" applyBorder="1" applyFont="1" applyNumberFormat="1">
      <alignment horizontal="right" vertical="bottom"/>
    </xf>
    <xf borderId="3" fillId="33" fontId="24" numFmtId="0" xfId="0" applyAlignment="1" applyBorder="1" applyFont="1">
      <alignment vertical="bottom"/>
    </xf>
    <xf borderId="3" fillId="33" fontId="257" numFmtId="0" xfId="0" applyAlignment="1" applyBorder="1" applyFont="1">
      <alignment shrinkToFit="0" vertical="bottom" wrapText="1"/>
    </xf>
    <xf borderId="3" fillId="33" fontId="24" numFmtId="49" xfId="0" applyAlignment="1" applyBorder="1" applyFont="1" applyNumberFormat="1">
      <alignment vertical="bottom"/>
    </xf>
    <xf borderId="3" fillId="33" fontId="257" numFmtId="167" xfId="0" applyAlignment="1" applyBorder="1" applyFont="1" applyNumberFormat="1">
      <alignment horizontal="right" vertical="bottom"/>
    </xf>
    <xf borderId="3" fillId="33" fontId="257" numFmtId="9" xfId="0" applyAlignment="1" applyBorder="1" applyFont="1" applyNumberFormat="1">
      <alignment horizontal="center" vertical="bottom"/>
    </xf>
    <xf borderId="3" fillId="33" fontId="24" numFmtId="9" xfId="0" applyAlignment="1" applyBorder="1" applyFont="1" applyNumberFormat="1">
      <alignment vertical="bottom"/>
    </xf>
    <xf borderId="0" fillId="33" fontId="257" numFmtId="9" xfId="0" applyAlignment="1" applyFont="1" applyNumberFormat="1">
      <alignment horizontal="center" vertical="bottom"/>
    </xf>
    <xf borderId="0" fillId="0" fontId="3" numFmtId="164" xfId="0" applyFont="1" applyNumberFormat="1"/>
    <xf borderId="0" fillId="62" fontId="3" numFmtId="165" xfId="0" applyFont="1" applyNumberFormat="1"/>
    <xf borderId="0" fillId="62" fontId="3" numFmtId="0" xfId="0" applyFont="1"/>
    <xf borderId="0" fillId="0" fontId="258" numFmtId="0" xfId="0" applyAlignment="1" applyFont="1">
      <alignment horizontal="center" readingOrder="0"/>
    </xf>
    <xf borderId="0" fillId="0" fontId="8" numFmtId="164" xfId="0" applyAlignment="1" applyFont="1" applyNumberFormat="1">
      <alignment horizontal="center" readingOrder="0"/>
    </xf>
    <xf borderId="0" fillId="62" fontId="59" numFmtId="0" xfId="0" applyAlignment="1" applyFont="1">
      <alignment horizontal="center" readingOrder="0" shrinkToFit="0" vertical="bottom" wrapText="0"/>
    </xf>
    <xf borderId="0" fillId="62" fontId="59" numFmtId="165" xfId="0" applyAlignment="1" applyFont="1" applyNumberFormat="1">
      <alignment horizontal="center" readingOrder="0" shrinkToFit="0" vertical="bottom" wrapText="0"/>
    </xf>
    <xf borderId="0" fillId="70" fontId="63" numFmtId="0" xfId="0" applyAlignment="1" applyFill="1" applyFont="1">
      <alignment horizontal="center" readingOrder="0" shrinkToFit="0" vertical="bottom" wrapText="0"/>
    </xf>
    <xf borderId="0" fillId="0" fontId="63" numFmtId="0" xfId="0" applyAlignment="1" applyFont="1">
      <alignment horizontal="center" readingOrder="0" shrinkToFit="0" vertical="bottom" wrapText="0"/>
    </xf>
    <xf borderId="0" fillId="57" fontId="259" numFmtId="0" xfId="0" applyAlignment="1" applyFont="1">
      <alignment horizontal="center" readingOrder="0"/>
    </xf>
    <xf borderId="3" fillId="57" fontId="259" numFmtId="0" xfId="0" applyAlignment="1" applyBorder="1" applyFont="1">
      <alignment horizontal="center" readingOrder="0"/>
    </xf>
    <xf borderId="2" fillId="57" fontId="259" numFmtId="0" xfId="0" applyAlignment="1" applyBorder="1" applyFont="1">
      <alignment horizontal="center" readingOrder="0"/>
    </xf>
    <xf borderId="0" fillId="0" fontId="8" numFmtId="0" xfId="0" applyAlignment="1" applyFont="1">
      <alignment horizontal="center"/>
    </xf>
    <xf borderId="0" fillId="50" fontId="59" numFmtId="0" xfId="0" applyAlignment="1" applyFont="1">
      <alignment horizontal="center" readingOrder="0" shrinkToFit="0" vertical="bottom" wrapText="0"/>
    </xf>
    <xf borderId="0" fillId="71" fontId="59" numFmtId="0" xfId="0" applyAlignment="1" applyFill="1" applyFont="1">
      <alignment horizontal="center" readingOrder="0" shrinkToFit="0" vertical="bottom" wrapText="0"/>
    </xf>
    <xf borderId="0" fillId="72" fontId="59" numFmtId="0" xfId="0" applyAlignment="1" applyFill="1" applyFont="1">
      <alignment horizontal="center" readingOrder="0" shrinkToFit="0" vertical="bottom" wrapText="0"/>
    </xf>
    <xf borderId="0" fillId="0" fontId="8" numFmtId="0" xfId="0" applyAlignment="1" applyFont="1">
      <alignment horizontal="center" readingOrder="0"/>
    </xf>
    <xf borderId="0" fillId="0" fontId="3" numFmtId="164" xfId="0" applyAlignment="1" applyFont="1" applyNumberFormat="1">
      <alignment readingOrder="0"/>
    </xf>
    <xf borderId="0" fillId="62" fontId="64" numFmtId="0" xfId="0" applyAlignment="1" applyFont="1">
      <alignment readingOrder="0" shrinkToFit="0" vertical="bottom" wrapText="0"/>
    </xf>
    <xf borderId="0" fillId="62" fontId="64" numFmtId="165" xfId="0" applyAlignment="1" applyFont="1" applyNumberFormat="1">
      <alignment readingOrder="0" shrinkToFit="0" vertical="bottom" wrapText="0"/>
    </xf>
    <xf borderId="0" fillId="62" fontId="64" numFmtId="49" xfId="0" applyAlignment="1" applyFont="1" applyNumberFormat="1">
      <alignment readingOrder="0" shrinkToFit="0" vertical="bottom" wrapText="0"/>
    </xf>
    <xf borderId="0" fillId="70" fontId="260" numFmtId="0" xfId="0" applyAlignment="1" applyFont="1">
      <alignment readingOrder="0" shrinkToFit="0" vertical="bottom" wrapText="0"/>
    </xf>
    <xf borderId="0" fillId="6" fontId="260" numFmtId="0" xfId="0" applyAlignment="1" applyFont="1">
      <alignment readingOrder="0" shrinkToFit="0" vertical="bottom" wrapText="0"/>
    </xf>
    <xf borderId="0" fillId="0" fontId="260" numFmtId="0" xfId="0" applyAlignment="1" applyFont="1">
      <alignment horizontal="center" readingOrder="0" vertical="bottom"/>
    </xf>
    <xf borderId="5" fillId="0" fontId="260" numFmtId="0" xfId="0" applyAlignment="1" applyBorder="1" applyFont="1">
      <alignment horizontal="center" readingOrder="0" vertical="bottom"/>
    </xf>
    <xf borderId="6" fillId="67" fontId="63" numFmtId="0" xfId="0" applyAlignment="1" applyBorder="1" applyFont="1">
      <alignment horizontal="center" readingOrder="0" vertical="bottom"/>
    </xf>
    <xf borderId="20" fillId="0" fontId="260" numFmtId="0" xfId="0" applyAlignment="1" applyBorder="1" applyFont="1">
      <alignment vertical="bottom"/>
    </xf>
    <xf borderId="0" fillId="50" fontId="64" numFmtId="0" xfId="0" applyAlignment="1" applyFont="1">
      <alignment readingOrder="0" shrinkToFit="0" vertical="bottom" wrapText="0"/>
    </xf>
    <xf borderId="0" fillId="0" fontId="3" numFmtId="0" xfId="0" applyAlignment="1" applyFont="1">
      <alignment readingOrder="0"/>
    </xf>
    <xf borderId="0" fillId="71" fontId="64" numFmtId="0" xfId="0" applyAlignment="1" applyFont="1">
      <alignment horizontal="left" shrinkToFit="0" vertical="bottom" wrapText="0"/>
    </xf>
    <xf borderId="0" fillId="71" fontId="64" numFmtId="0" xfId="0" applyAlignment="1" applyFont="1">
      <alignment shrinkToFit="0" vertical="bottom" wrapText="0"/>
    </xf>
    <xf borderId="0" fillId="72" fontId="64" numFmtId="0" xfId="0" applyAlignment="1" applyFont="1">
      <alignment readingOrder="0" shrinkToFit="0" vertical="bottom" wrapText="0"/>
    </xf>
    <xf borderId="0" fillId="0" fontId="8" numFmtId="0" xfId="0" applyAlignment="1" applyFont="1">
      <alignment readingOrder="0" shrinkToFit="0" wrapText="1"/>
    </xf>
    <xf borderId="0" fillId="14" fontId="93" numFmtId="49" xfId="0" applyAlignment="1" applyFont="1" applyNumberFormat="1">
      <alignment horizontal="center" shrinkToFit="0" vertical="bottom" wrapText="1"/>
    </xf>
    <xf borderId="0" fillId="0" fontId="21" numFmtId="0" xfId="0" applyAlignment="1" applyFont="1">
      <alignment readingOrder="0" shrinkToFit="0" vertical="bottom" wrapText="1"/>
    </xf>
    <xf borderId="6" fillId="0" fontId="260" numFmtId="0" xfId="0" applyAlignment="1" applyBorder="1" applyFont="1">
      <alignment vertical="bottom"/>
    </xf>
    <xf borderId="0" fillId="73" fontId="260" numFmtId="0" xfId="0" applyAlignment="1" applyFill="1" applyFont="1">
      <alignment readingOrder="0" shrinkToFit="0" vertical="bottom" wrapText="0"/>
    </xf>
    <xf borderId="6" fillId="13" fontId="63" numFmtId="0" xfId="0" applyAlignment="1" applyBorder="1" applyFont="1">
      <alignment horizontal="center" readingOrder="0" vertical="bottom"/>
    </xf>
    <xf borderId="20" fillId="13" fontId="63" numFmtId="0" xfId="0" applyAlignment="1" applyBorder="1" applyFont="1">
      <alignment horizontal="left" readingOrder="0"/>
    </xf>
    <xf borderId="0" fillId="14" fontId="21" numFmtId="49" xfId="0" applyAlignment="1" applyFont="1" applyNumberFormat="1">
      <alignment horizontal="center" vertical="bottom"/>
    </xf>
    <xf borderId="9" fillId="13" fontId="63" numFmtId="0" xfId="0" applyAlignment="1" applyBorder="1" applyFont="1">
      <alignment horizontal="left" readingOrder="0"/>
    </xf>
    <xf borderId="6" fillId="13" fontId="63" numFmtId="0" xfId="0" applyAlignment="1" applyBorder="1" applyFont="1">
      <alignment horizontal="center" readingOrder="0"/>
    </xf>
    <xf borderId="0" fillId="14" fontId="21" numFmtId="0" xfId="0" applyAlignment="1" applyFont="1">
      <alignment horizontal="center" vertical="bottom"/>
    </xf>
    <xf borderId="6" fillId="13" fontId="260" numFmtId="0" xfId="0" applyAlignment="1" applyBorder="1" applyFont="1">
      <alignment horizontal="center" readingOrder="0" vertical="bottom"/>
    </xf>
    <xf borderId="6" fillId="13" fontId="260" numFmtId="0" xfId="0" applyAlignment="1" applyBorder="1" applyFont="1">
      <alignment horizontal="center" readingOrder="0"/>
    </xf>
    <xf borderId="0" fillId="50" fontId="261" numFmtId="0" xfId="0" applyAlignment="1" applyFont="1">
      <alignment readingOrder="0" shrinkToFit="0" vertical="bottom" wrapText="0"/>
    </xf>
    <xf borderId="6" fillId="55" fontId="63" numFmtId="0" xfId="0" applyAlignment="1" applyBorder="1" applyFont="1">
      <alignment horizontal="center" readingOrder="0" vertical="bottom"/>
    </xf>
    <xf borderId="9" fillId="55" fontId="63" numFmtId="0" xfId="0" applyAlignment="1" applyBorder="1" applyFont="1">
      <alignment horizontal="left" readingOrder="0"/>
    </xf>
    <xf borderId="6" fillId="55" fontId="63" numFmtId="0" xfId="0" applyAlignment="1" applyBorder="1" applyFont="1">
      <alignment horizontal="center" readingOrder="0"/>
    </xf>
    <xf borderId="0" fillId="50" fontId="64" numFmtId="0" xfId="0" applyAlignment="1" applyFont="1">
      <alignment shrinkToFit="0" vertical="bottom" wrapText="0"/>
    </xf>
    <xf borderId="6" fillId="55" fontId="260" numFmtId="0" xfId="0" applyAlignment="1" applyBorder="1" applyFont="1">
      <alignment horizontal="center" readingOrder="0" vertical="bottom"/>
    </xf>
    <xf borderId="0" fillId="71" fontId="64" numFmtId="0" xfId="0" applyAlignment="1" applyFont="1">
      <alignment horizontal="left" readingOrder="0" shrinkToFit="0" vertical="bottom" wrapText="0"/>
    </xf>
    <xf borderId="6" fillId="74" fontId="63" numFmtId="0" xfId="0" applyAlignment="1" applyBorder="1" applyFill="1" applyFont="1">
      <alignment horizontal="center" readingOrder="0" vertical="bottom"/>
    </xf>
    <xf borderId="9" fillId="20" fontId="63" numFmtId="0" xfId="0" applyAlignment="1" applyBorder="1" applyFont="1">
      <alignment horizontal="left" readingOrder="0"/>
    </xf>
    <xf borderId="6" fillId="74" fontId="63" numFmtId="0" xfId="0" applyAlignment="1" applyBorder="1" applyFont="1">
      <alignment horizontal="center" readingOrder="0"/>
    </xf>
    <xf borderId="6" fillId="74" fontId="260" numFmtId="0" xfId="0" applyAlignment="1" applyBorder="1" applyFont="1">
      <alignment horizontal="center" readingOrder="0"/>
    </xf>
    <xf borderId="6" fillId="70" fontId="262" numFmtId="0" xfId="0" applyAlignment="1" applyBorder="1" applyFont="1">
      <alignment horizontal="center" readingOrder="0" vertical="bottom"/>
    </xf>
    <xf borderId="9" fillId="70" fontId="63" numFmtId="0" xfId="0" applyAlignment="1" applyBorder="1" applyFont="1">
      <alignment horizontal="left" readingOrder="0"/>
    </xf>
    <xf borderId="6" fillId="70" fontId="262" numFmtId="0" xfId="0" applyAlignment="1" applyBorder="1" applyFont="1">
      <alignment horizontal="center" readingOrder="0"/>
    </xf>
    <xf borderId="6" fillId="70" fontId="263" numFmtId="0" xfId="0" applyAlignment="1" applyBorder="1" applyFont="1">
      <alignment horizontal="center" readingOrder="0" vertical="bottom"/>
    </xf>
    <xf borderId="6" fillId="70" fontId="263" numFmtId="0" xfId="0" applyAlignment="1" applyBorder="1" applyFont="1">
      <alignment horizontal="center" readingOrder="0"/>
    </xf>
    <xf borderId="0" fillId="72" fontId="64" numFmtId="0" xfId="0" applyAlignment="1" applyFont="1">
      <alignment shrinkToFit="0" vertical="bottom" wrapText="0"/>
    </xf>
    <xf borderId="0" fillId="50" fontId="64" numFmtId="0" xfId="0" applyAlignment="1" applyFont="1">
      <alignment shrinkToFit="0" vertical="bottom" wrapText="0"/>
    </xf>
    <xf borderId="0" fillId="27" fontId="260" numFmtId="0" xfId="0" applyAlignment="1" applyFont="1">
      <alignment readingOrder="0" shrinkToFit="0" vertical="bottom" wrapText="0"/>
    </xf>
    <xf borderId="6" fillId="0" fontId="260" numFmtId="0" xfId="0" applyAlignment="1" applyBorder="1" applyFont="1">
      <alignment horizontal="center" readingOrder="0" vertical="bottom"/>
    </xf>
    <xf borderId="3" fillId="0" fontId="3" numFmtId="0" xfId="0" applyAlignment="1" applyBorder="1" applyFont="1">
      <alignment readingOrder="0"/>
    </xf>
    <xf borderId="6" fillId="0" fontId="259" numFmtId="0" xfId="0" applyAlignment="1" applyBorder="1" applyFont="1">
      <alignment horizontal="center" readingOrder="0" vertical="bottom"/>
    </xf>
    <xf borderId="0" fillId="64" fontId="260" numFmtId="0" xfId="0" applyAlignment="1" applyFont="1">
      <alignment readingOrder="0" shrinkToFit="0" vertical="bottom" wrapText="0"/>
    </xf>
    <xf borderId="9" fillId="0" fontId="260" numFmtId="0" xfId="0" applyAlignment="1" applyBorder="1" applyFont="1">
      <alignment horizontal="left" readingOrder="0" vertical="bottom"/>
    </xf>
    <xf borderId="0" fillId="31" fontId="260" numFmtId="0" xfId="0" applyAlignment="1" applyFont="1">
      <alignment readingOrder="0" shrinkToFit="0" vertical="bottom" wrapText="0"/>
    </xf>
    <xf borderId="3" fillId="13" fontId="260" numFmtId="0" xfId="0" applyAlignment="1" applyBorder="1" applyFont="1">
      <alignment horizontal="center" readingOrder="0" vertical="bottom"/>
    </xf>
    <xf borderId="3" fillId="13" fontId="63" numFmtId="0" xfId="0" applyAlignment="1" applyBorder="1" applyFont="1">
      <alignment horizontal="center" readingOrder="0" vertical="bottom"/>
    </xf>
    <xf borderId="0" fillId="62" fontId="3" numFmtId="0" xfId="0" applyAlignment="1" applyFont="1">
      <alignment readingOrder="0"/>
    </xf>
    <xf borderId="0" fillId="72" fontId="64" numFmtId="0" xfId="0" applyAlignment="1" applyFont="1">
      <alignment readingOrder="0" shrinkToFit="0" vertical="bottom" wrapText="0"/>
    </xf>
    <xf borderId="0" fillId="0" fontId="260" numFmtId="0" xfId="0" applyAlignment="1" applyFont="1">
      <alignment horizontal="left" readingOrder="0" shrinkToFit="0" vertical="bottom" wrapText="0"/>
    </xf>
    <xf borderId="5" fillId="0" fontId="3" numFmtId="0" xfId="0" applyBorder="1" applyFont="1"/>
    <xf borderId="3" fillId="0" fontId="3" numFmtId="0" xfId="0" applyBorder="1" applyFont="1"/>
    <xf borderId="0" fillId="31" fontId="264" numFmtId="0" xfId="0" applyAlignment="1" applyFont="1">
      <alignment readingOrder="0" shrinkToFit="0" vertical="bottom" wrapText="0"/>
    </xf>
    <xf borderId="0" fillId="75" fontId="64" numFmtId="0" xfId="0" applyAlignment="1" applyFill="1" applyFont="1">
      <alignment readingOrder="0" shrinkToFit="0" vertical="bottom" wrapText="0"/>
    </xf>
    <xf borderId="0" fillId="75" fontId="64" numFmtId="0" xfId="0" applyAlignment="1" applyFont="1">
      <alignment shrinkToFit="0" vertical="bottom" wrapText="0"/>
    </xf>
    <xf borderId="0" fillId="71" fontId="64" numFmtId="0" xfId="0" applyAlignment="1" applyFont="1">
      <alignment horizontal="left" shrinkToFit="0" vertical="bottom" wrapText="0"/>
    </xf>
    <xf borderId="0" fillId="62" fontId="63" numFmtId="0" xfId="0" applyAlignment="1" applyFont="1">
      <alignment horizontal="center" readingOrder="0" vertical="bottom"/>
    </xf>
    <xf borderId="0" fillId="62" fontId="63" numFmtId="49" xfId="0" applyAlignment="1" applyFont="1" applyNumberFormat="1">
      <alignment horizontal="center" readingOrder="0" shrinkToFit="0" wrapText="0"/>
    </xf>
    <xf borderId="20" fillId="76" fontId="212" numFmtId="0" xfId="0" applyAlignment="1" applyBorder="1" applyFill="1" applyFont="1">
      <alignment horizontal="center" readingOrder="0" shrinkToFit="0" wrapText="0"/>
    </xf>
    <xf borderId="0" fillId="76" fontId="212" numFmtId="0" xfId="0" applyAlignment="1" applyFont="1">
      <alignment horizontal="center" readingOrder="0" shrinkToFit="0" wrapText="0"/>
    </xf>
    <xf borderId="0" fillId="0" fontId="260" numFmtId="0" xfId="0" applyAlignment="1" applyFont="1">
      <alignment readingOrder="0" shrinkToFit="0" vertical="bottom" wrapText="0"/>
    </xf>
    <xf borderId="0" fillId="62" fontId="260" numFmtId="0" xfId="0" applyAlignment="1" applyFont="1">
      <alignment readingOrder="0" vertical="bottom"/>
    </xf>
    <xf borderId="0" fillId="62" fontId="260" numFmtId="49" xfId="0" applyAlignment="1" applyFont="1" applyNumberFormat="1">
      <alignment horizontal="center" readingOrder="0" shrinkToFit="0" wrapText="0"/>
    </xf>
    <xf borderId="0" fillId="62" fontId="260" numFmtId="0" xfId="0" applyAlignment="1" applyFont="1">
      <alignment readingOrder="0" shrinkToFit="0" vertical="bottom" wrapText="0"/>
    </xf>
    <xf borderId="0" fillId="62" fontId="260" numFmtId="0" xfId="0" applyAlignment="1" applyFont="1">
      <alignment shrinkToFit="0" vertical="bottom" wrapText="0"/>
    </xf>
    <xf borderId="0" fillId="62" fontId="236" numFmtId="0" xfId="0" applyAlignment="1" applyFont="1">
      <alignment readingOrder="0" vertical="bottom"/>
    </xf>
    <xf borderId="0" fillId="62" fontId="236" numFmtId="49" xfId="0" applyAlignment="1" applyFont="1" applyNumberFormat="1">
      <alignment horizontal="center" readingOrder="0" shrinkToFit="0" wrapText="0"/>
    </xf>
    <xf borderId="0" fillId="62" fontId="3" numFmtId="49" xfId="0" applyAlignment="1" applyFont="1" applyNumberFormat="1">
      <alignment horizontal="center" readingOrder="0"/>
    </xf>
    <xf borderId="0" fillId="62" fontId="3" numFmtId="49" xfId="0" applyAlignment="1" applyFont="1" applyNumberFormat="1">
      <alignment readingOrder="0"/>
    </xf>
    <xf borderId="0" fillId="62" fontId="236" numFmtId="0" xfId="0" applyAlignment="1" applyFont="1">
      <alignment shrinkToFit="0" vertical="bottom" wrapText="0"/>
    </xf>
    <xf borderId="0" fillId="62" fontId="260" numFmtId="0" xfId="0" applyAlignment="1" applyFont="1">
      <alignment vertical="bottom"/>
    </xf>
    <xf borderId="0" fillId="62" fontId="260" numFmtId="49" xfId="0" applyAlignment="1" applyFont="1" applyNumberFormat="1">
      <alignment horizontal="center" shrinkToFit="0" wrapText="0"/>
    </xf>
    <xf borderId="0" fillId="0" fontId="260" numFmtId="0" xfId="0" applyAlignment="1" applyFont="1">
      <alignment shrinkToFit="0" vertical="bottom" wrapText="0"/>
    </xf>
    <xf borderId="13" fillId="0" fontId="8" numFmtId="0" xfId="0" applyAlignment="1" applyBorder="1" applyFont="1">
      <alignment readingOrder="0"/>
    </xf>
    <xf borderId="13" fillId="0" fontId="3" numFmtId="0" xfId="0" applyBorder="1" applyFont="1"/>
    <xf borderId="62" fillId="0" fontId="3" numFmtId="0" xfId="0" applyBorder="1" applyFont="1"/>
    <xf borderId="14" fillId="0" fontId="8" numFmtId="0" xfId="0" applyAlignment="1" applyBorder="1" applyFont="1">
      <alignment horizontal="center" readingOrder="0"/>
    </xf>
    <xf borderId="13" fillId="0" fontId="8" numFmtId="0" xfId="0" applyAlignment="1" applyBorder="1" applyFont="1">
      <alignment horizontal="center" readingOrder="0"/>
    </xf>
    <xf borderId="13" fillId="0" fontId="8" numFmtId="0" xfId="0" applyAlignment="1" applyBorder="1" applyFont="1">
      <alignment horizontal="center"/>
    </xf>
    <xf borderId="53" fillId="0" fontId="8" numFmtId="0" xfId="0" applyAlignment="1" applyBorder="1" applyFont="1">
      <alignment horizontal="center" readingOrder="0"/>
    </xf>
    <xf borderId="54" fillId="0" fontId="3" numFmtId="0" xfId="0" applyAlignment="1" applyBorder="1" applyFont="1">
      <alignment readingOrder="0"/>
    </xf>
    <xf borderId="62" fillId="0" fontId="3" numFmtId="0" xfId="0" applyAlignment="1" applyBorder="1" applyFont="1">
      <alignment readingOrder="0"/>
    </xf>
    <xf borderId="54" fillId="0" fontId="3" numFmtId="0" xfId="0" applyBorder="1" applyFont="1"/>
    <xf borderId="63" fillId="0" fontId="3" numFmtId="183" xfId="0" applyAlignment="1" applyBorder="1" applyFont="1" applyNumberFormat="1">
      <alignment readingOrder="0"/>
    </xf>
    <xf borderId="64" fillId="0" fontId="2" numFmtId="0" xfId="0" applyBorder="1" applyFont="1"/>
    <xf borderId="65" fillId="0" fontId="2" numFmtId="0" xfId="0" applyBorder="1" applyFont="1"/>
    <xf borderId="55" fillId="0" fontId="3" numFmtId="0" xfId="0" applyBorder="1" applyFont="1"/>
    <xf borderId="18" fillId="0" fontId="8" numFmtId="0" xfId="0" applyAlignment="1" applyBorder="1" applyFont="1">
      <alignment horizontal="center" readingOrder="0"/>
    </xf>
    <xf borderId="18" fillId="0" fontId="8" numFmtId="0" xfId="0" applyAlignment="1" applyBorder="1" applyFont="1">
      <alignment horizontal="center"/>
    </xf>
    <xf borderId="13" fillId="0" fontId="265" numFmtId="0" xfId="0" applyAlignment="1" applyBorder="1" applyFont="1">
      <alignment readingOrder="0"/>
    </xf>
    <xf borderId="66" fillId="31" fontId="8" numFmtId="0" xfId="0" applyAlignment="1" applyBorder="1" applyFont="1">
      <alignment horizontal="center" readingOrder="0"/>
    </xf>
    <xf borderId="66" fillId="31" fontId="8" numFmtId="0" xfId="0" applyAlignment="1" applyBorder="1" applyFont="1">
      <alignment horizontal="center"/>
    </xf>
    <xf borderId="14" fillId="0" fontId="3" numFmtId="0" xfId="0" applyBorder="1" applyFont="1"/>
    <xf borderId="13" fillId="0" fontId="266" numFmtId="0" xfId="0" applyAlignment="1" applyBorder="1" applyFont="1">
      <alignment readingOrder="0"/>
    </xf>
    <xf borderId="18" fillId="0" fontId="3" numFmtId="0" xfId="0" applyBorder="1" applyFont="1"/>
    <xf borderId="57" fillId="0" fontId="8" numFmtId="0" xfId="0" applyAlignment="1" applyBorder="1" applyFont="1">
      <alignment horizontal="center" readingOrder="0"/>
    </xf>
    <xf borderId="67" fillId="0" fontId="3" numFmtId="183" xfId="0" applyAlignment="1" applyBorder="1" applyFont="1" applyNumberFormat="1">
      <alignment readingOrder="0"/>
    </xf>
    <xf borderId="68" fillId="0" fontId="2" numFmtId="0" xfId="0" applyBorder="1" applyFont="1"/>
    <xf borderId="69" fillId="0" fontId="2" numFmtId="0" xfId="0" applyBorder="1" applyFont="1"/>
    <xf borderId="54" fillId="0" fontId="8" numFmtId="0" xfId="0" applyAlignment="1" applyBorder="1" applyFont="1">
      <alignment horizontal="center"/>
    </xf>
    <xf borderId="70" fillId="0" fontId="8" numFmtId="0" xfId="0" applyAlignment="1" applyBorder="1" applyFont="1">
      <alignment horizontal="center"/>
    </xf>
    <xf borderId="70" fillId="0" fontId="2" numFmtId="0" xfId="0" applyBorder="1" applyFont="1"/>
    <xf borderId="71" fillId="0" fontId="2" numFmtId="0" xfId="0" applyBorder="1" applyFont="1"/>
    <xf borderId="55" fillId="0" fontId="8" numFmtId="0" xfId="0" applyAlignment="1" applyBorder="1" applyFont="1">
      <alignment horizontal="center"/>
    </xf>
    <xf borderId="67" fillId="0" fontId="3" numFmtId="0" xfId="0" applyBorder="1" applyFont="1"/>
    <xf borderId="71" fillId="0" fontId="8" numFmtId="0" xfId="0" applyAlignment="1" applyBorder="1" applyFont="1">
      <alignment horizontal="center"/>
    </xf>
    <xf borderId="41" fillId="0" fontId="8" numFmtId="0" xfId="0" applyAlignment="1" applyBorder="1" applyFont="1">
      <alignment horizontal="center" readingOrder="0"/>
    </xf>
    <xf borderId="40" fillId="0" fontId="2" numFmtId="0" xfId="0" applyBorder="1" applyFont="1"/>
    <xf borderId="14" fillId="0" fontId="267" numFmtId="0" xfId="0" applyAlignment="1" applyBorder="1" applyFont="1">
      <alignment readingOrder="0"/>
    </xf>
    <xf borderId="14" fillId="0" fontId="267" numFmtId="0" xfId="0" applyAlignment="1" applyBorder="1" applyFont="1">
      <alignment readingOrder="0" shrinkToFit="0" wrapText="1"/>
    </xf>
    <xf borderId="72" fillId="0" fontId="8" numFmtId="0" xfId="0" applyAlignment="1" applyBorder="1" applyFont="1">
      <alignment horizontal="center" readingOrder="0" vertical="center"/>
    </xf>
    <xf borderId="72" fillId="0" fontId="8" numFmtId="0" xfId="0" applyAlignment="1" applyBorder="1" applyFont="1">
      <alignment horizontal="center" readingOrder="0" shrinkToFit="0" vertical="center" wrapText="1"/>
    </xf>
    <xf borderId="72" fillId="0" fontId="8" numFmtId="0" xfId="0" applyAlignment="1" applyBorder="1" applyFont="1">
      <alignment readingOrder="0" vertical="center"/>
    </xf>
    <xf borderId="72" fillId="0" fontId="8" numFmtId="0" xfId="0" applyAlignment="1" applyBorder="1" applyFont="1">
      <alignment readingOrder="0" shrinkToFit="0" vertical="center" wrapText="0"/>
    </xf>
    <xf borderId="72" fillId="0" fontId="8" numFmtId="0" xfId="0" applyAlignment="1" applyBorder="1" applyFont="1">
      <alignment readingOrder="0" shrinkToFit="0" vertical="center" wrapText="1"/>
    </xf>
    <xf borderId="72" fillId="0" fontId="8" numFmtId="0" xfId="0" applyAlignment="1" applyBorder="1" applyFont="1">
      <alignment shrinkToFit="0" vertical="center" wrapText="1"/>
    </xf>
    <xf borderId="72" fillId="0" fontId="3" numFmtId="0" xfId="0" applyAlignment="1" applyBorder="1" applyFont="1">
      <alignment vertical="center"/>
    </xf>
    <xf borderId="72" fillId="0" fontId="3" numFmtId="0" xfId="0" applyAlignment="1" applyBorder="1" applyFont="1">
      <alignment shrinkToFit="0" vertical="center" wrapText="1"/>
    </xf>
    <xf borderId="72" fillId="0" fontId="3" numFmtId="0" xfId="0" applyAlignment="1" applyBorder="1" applyFont="1">
      <alignment readingOrder="0" shrinkToFit="0" vertical="center" wrapText="1"/>
    </xf>
    <xf borderId="72" fillId="0" fontId="3" numFmtId="0" xfId="0" applyAlignment="1" applyBorder="1" applyFont="1">
      <alignment horizontal="center" readingOrder="0" shrinkToFit="0" vertical="center" wrapText="1"/>
    </xf>
    <xf borderId="72" fillId="0" fontId="8" numFmtId="0" xfId="0" applyAlignment="1" applyBorder="1" applyFont="1">
      <alignment horizontal="center" shrinkToFit="0" vertical="center" wrapText="1"/>
    </xf>
    <xf borderId="72" fillId="0" fontId="3" numFmtId="9" xfId="0" applyAlignment="1" applyBorder="1" applyFont="1" applyNumberFormat="1">
      <alignment horizontal="center" readingOrder="0" shrinkToFit="0" vertical="center" wrapText="1"/>
    </xf>
    <xf borderId="0" fillId="0" fontId="3" numFmtId="0" xfId="0" applyAlignment="1" applyFont="1">
      <alignment vertical="center"/>
    </xf>
    <xf borderId="0" fillId="0" fontId="3" numFmtId="0" xfId="0" applyAlignment="1" applyFont="1">
      <alignment shrinkToFit="0" vertical="center" wrapText="1"/>
    </xf>
    <xf borderId="0" fillId="0" fontId="3" numFmtId="0" xfId="0" applyAlignment="1" applyFont="1">
      <alignment readingOrder="0" shrinkToFit="0" vertical="center" wrapText="1"/>
    </xf>
    <xf borderId="0" fillId="0" fontId="3" numFmtId="0" xfId="0" applyAlignment="1" applyFont="1">
      <alignment horizontal="center" readingOrder="0" shrinkToFit="0" vertical="center" wrapText="1"/>
    </xf>
    <xf borderId="0" fillId="0" fontId="3" numFmtId="9" xfId="0" applyAlignment="1" applyFont="1" applyNumberFormat="1">
      <alignment horizontal="center" readingOrder="0" shrinkToFit="0" vertical="center" wrapText="1"/>
    </xf>
    <xf borderId="0" fillId="0" fontId="3" numFmtId="10" xfId="0" applyFont="1" applyNumberFormat="1"/>
    <xf borderId="3" fillId="0" fontId="8" numFmtId="0" xfId="0" applyAlignment="1" applyBorder="1" applyFont="1">
      <alignment horizontal="center" readingOrder="0" shrinkToFit="0" vertical="center" wrapText="1"/>
    </xf>
    <xf borderId="3" fillId="0" fontId="94" numFmtId="0" xfId="0" applyAlignment="1" applyBorder="1" applyFont="1">
      <alignment shrinkToFit="0" wrapText="0"/>
    </xf>
    <xf borderId="3" fillId="0" fontId="8" numFmtId="167" xfId="0" applyBorder="1" applyFont="1" applyNumberFormat="1"/>
    <xf borderId="3" fillId="0" fontId="8" numFmtId="10" xfId="0" applyBorder="1" applyFont="1" applyNumberFormat="1"/>
    <xf borderId="3" fillId="0" fontId="94" numFmtId="0" xfId="0" applyAlignment="1" applyBorder="1" applyFont="1">
      <alignment shrinkToFit="0" vertical="bottom" wrapText="0"/>
    </xf>
    <xf borderId="3" fillId="0" fontId="8" numFmtId="9" xfId="0" applyBorder="1" applyFont="1" applyNumberFormat="1"/>
    <xf borderId="0" fillId="0" fontId="22" numFmtId="184" xfId="0" applyAlignment="1" applyFont="1" applyNumberFormat="1">
      <alignment readingOrder="0"/>
    </xf>
    <xf borderId="7" fillId="0" fontId="98" numFmtId="0" xfId="0" applyAlignment="1" applyBorder="1" applyFont="1">
      <alignment horizontal="center" readingOrder="0" vertical="center"/>
    </xf>
    <xf borderId="7" fillId="0" fontId="98" numFmtId="177" xfId="0" applyAlignment="1" applyBorder="1" applyFont="1" applyNumberFormat="1">
      <alignment horizontal="center" vertical="center"/>
    </xf>
    <xf borderId="7" fillId="0" fontId="98" numFmtId="177" xfId="0" applyAlignment="1" applyBorder="1" applyFont="1" applyNumberFormat="1">
      <alignment horizontal="center" shrinkToFit="0" vertical="center" wrapText="0"/>
    </xf>
    <xf borderId="3" fillId="0" fontId="98" numFmtId="177" xfId="0" applyAlignment="1" applyBorder="1" applyFont="1" applyNumberFormat="1">
      <alignment horizontal="center" vertical="center"/>
    </xf>
    <xf borderId="3" fillId="0" fontId="98" numFmtId="0" xfId="0" applyAlignment="1" applyBorder="1" applyFont="1">
      <alignment horizontal="center" readingOrder="0" shrinkToFit="0" vertical="center" wrapText="0"/>
    </xf>
    <xf borderId="1" fillId="52" fontId="194" numFmtId="177" xfId="0" applyAlignment="1" applyBorder="1" applyFont="1" applyNumberFormat="1">
      <alignment horizontal="center" vertical="center"/>
    </xf>
    <xf borderId="3" fillId="0" fontId="18" numFmtId="0" xfId="0" applyAlignment="1" applyBorder="1" applyFont="1">
      <alignment horizontal="center" vertical="center"/>
    </xf>
    <xf borderId="1" fillId="0" fontId="194" numFmtId="167" xfId="0" applyAlignment="1" applyBorder="1" applyFont="1" applyNumberFormat="1">
      <alignment horizontal="center" vertical="center"/>
    </xf>
    <xf borderId="1" fillId="0" fontId="98" numFmtId="167" xfId="0" applyAlignment="1" applyBorder="1" applyFont="1" applyNumberFormat="1">
      <alignment horizontal="center" vertical="center"/>
    </xf>
    <xf borderId="3" fillId="31" fontId="268" numFmtId="0" xfId="0" applyAlignment="1" applyBorder="1" applyFont="1">
      <alignment shrinkToFit="0" vertical="center" wrapText="0"/>
    </xf>
    <xf borderId="3" fillId="31" fontId="268" numFmtId="0" xfId="0" applyAlignment="1" applyBorder="1" applyFont="1">
      <alignment vertical="center"/>
    </xf>
    <xf borderId="3" fillId="31" fontId="269" numFmtId="0" xfId="0" applyAlignment="1" applyBorder="1" applyFont="1">
      <alignment vertical="center"/>
    </xf>
    <xf borderId="3" fillId="31" fontId="268" numFmtId="0" xfId="0" applyAlignment="1" applyBorder="1" applyFont="1">
      <alignment horizontal="right" shrinkToFit="0" vertical="center" wrapText="1"/>
    </xf>
    <xf borderId="3" fillId="31" fontId="268" numFmtId="167" xfId="0" applyAlignment="1" applyBorder="1" applyFont="1" applyNumberFormat="1">
      <alignment horizontal="center" shrinkToFit="0" vertical="center" wrapText="1"/>
    </xf>
    <xf borderId="3" fillId="31" fontId="268" numFmtId="9" xfId="0" applyAlignment="1" applyBorder="1" applyFont="1" applyNumberFormat="1">
      <alignment horizontal="center" shrinkToFit="0" vertical="center" wrapText="1"/>
    </xf>
    <xf borderId="3" fillId="19" fontId="270" numFmtId="0" xfId="0" applyAlignment="1" applyBorder="1" applyFont="1">
      <alignment shrinkToFit="0" vertical="bottom" wrapText="0"/>
    </xf>
    <xf borderId="3" fillId="19" fontId="270" numFmtId="0" xfId="0" applyAlignment="1" applyBorder="1" applyFont="1">
      <alignment vertical="bottom"/>
    </xf>
    <xf borderId="3" fillId="19" fontId="270" numFmtId="167" xfId="0" applyAlignment="1" applyBorder="1" applyFont="1" applyNumberFormat="1">
      <alignment horizontal="center" vertical="bottom"/>
    </xf>
    <xf borderId="1" fillId="19" fontId="271" numFmtId="9" xfId="0" applyAlignment="1" applyBorder="1" applyFont="1" applyNumberFormat="1">
      <alignment vertical="bottom"/>
    </xf>
    <xf borderId="3" fillId="19" fontId="270" numFmtId="167" xfId="0" applyAlignment="1" applyBorder="1" applyFont="1" applyNumberFormat="1">
      <alignment horizontal="right" vertical="bottom"/>
    </xf>
    <xf borderId="3" fillId="19" fontId="271" numFmtId="9" xfId="0" applyAlignment="1" applyBorder="1" applyFont="1" applyNumberFormat="1">
      <alignment vertical="bottom"/>
    </xf>
    <xf borderId="3" fillId="31" fontId="98" numFmtId="0" xfId="0" applyAlignment="1" applyBorder="1" applyFont="1">
      <alignment shrinkToFit="0" vertical="bottom" wrapText="0"/>
    </xf>
    <xf borderId="3" fillId="31" fontId="98" numFmtId="0" xfId="0" applyAlignment="1" applyBorder="1" applyFont="1">
      <alignment vertical="bottom"/>
    </xf>
    <xf borderId="3" fillId="31" fontId="98" numFmtId="0" xfId="0" applyAlignment="1" applyBorder="1" applyFont="1">
      <alignment horizontal="right" vertical="bottom"/>
    </xf>
    <xf borderId="3" fillId="31" fontId="194" numFmtId="167" xfId="0" applyAlignment="1" applyBorder="1" applyFont="1" applyNumberFormat="1">
      <alignment horizontal="center" vertical="bottom"/>
    </xf>
    <xf borderId="1" fillId="31" fontId="18" numFmtId="9" xfId="0" applyAlignment="1" applyBorder="1" applyFont="1" applyNumberFormat="1">
      <alignment vertical="bottom"/>
    </xf>
    <xf borderId="3" fillId="31" fontId="98" numFmtId="167" xfId="0" applyAlignment="1" applyBorder="1" applyFont="1" applyNumberFormat="1">
      <alignment horizontal="center" vertical="bottom"/>
    </xf>
    <xf borderId="3" fillId="31" fontId="18" numFmtId="9" xfId="0" applyAlignment="1" applyBorder="1" applyFont="1" applyNumberFormat="1">
      <alignment vertical="bottom"/>
    </xf>
    <xf borderId="3" fillId="19" fontId="270" numFmtId="0" xfId="0" applyAlignment="1" applyBorder="1" applyFont="1">
      <alignment horizontal="right" vertical="bottom"/>
    </xf>
    <xf borderId="3" fillId="19" fontId="270" numFmtId="9" xfId="0" applyAlignment="1" applyBorder="1" applyFont="1" applyNumberFormat="1">
      <alignment horizontal="right" vertical="bottom"/>
    </xf>
    <xf borderId="3" fillId="0" fontId="270" numFmtId="0" xfId="0" applyAlignment="1" applyBorder="1" applyFont="1">
      <alignment vertical="bottom"/>
    </xf>
    <xf borderId="3" fillId="0" fontId="270" numFmtId="0" xfId="0" applyAlignment="1" applyBorder="1" applyFont="1">
      <alignment horizontal="right" vertical="bottom"/>
    </xf>
    <xf borderId="3" fillId="0" fontId="270" numFmtId="167" xfId="0" applyAlignment="1" applyBorder="1" applyFont="1" applyNumberFormat="1">
      <alignment horizontal="center" vertical="bottom"/>
    </xf>
    <xf borderId="3" fillId="0" fontId="270" numFmtId="9" xfId="0" applyAlignment="1" applyBorder="1" applyFont="1" applyNumberFormat="1">
      <alignment vertical="bottom"/>
    </xf>
    <xf borderId="3" fillId="0" fontId="270" numFmtId="167" xfId="0" applyAlignment="1" applyBorder="1" applyFont="1" applyNumberFormat="1">
      <alignment horizontal="right" vertical="bottom"/>
    </xf>
    <xf borderId="3" fillId="0" fontId="270" numFmtId="9" xfId="0" applyAlignment="1" applyBorder="1" applyFont="1" applyNumberFormat="1">
      <alignment horizontal="right" vertical="bottom"/>
    </xf>
    <xf borderId="3" fillId="0" fontId="271" numFmtId="0" xfId="0" applyAlignment="1" applyBorder="1" applyFont="1">
      <alignment vertical="bottom"/>
    </xf>
    <xf borderId="3" fillId="0" fontId="271" numFmtId="0" xfId="0" applyAlignment="1" applyBorder="1" applyFont="1">
      <alignment horizontal="right" vertical="bottom"/>
    </xf>
    <xf borderId="3" fillId="0" fontId="271" numFmtId="167" xfId="0" applyAlignment="1" applyBorder="1" applyFont="1" applyNumberFormat="1">
      <alignment horizontal="center" vertical="bottom"/>
    </xf>
    <xf borderId="3" fillId="0" fontId="271" numFmtId="9" xfId="0" applyAlignment="1" applyBorder="1" applyFont="1" applyNumberFormat="1">
      <alignment vertical="bottom"/>
    </xf>
    <xf borderId="3" fillId="19" fontId="270" numFmtId="0" xfId="0" applyAlignment="1" applyBorder="1" applyFont="1">
      <alignment readingOrder="0" shrinkToFit="0" vertical="bottom" wrapText="0"/>
    </xf>
    <xf borderId="3" fillId="31" fontId="98" numFmtId="167" xfId="0" applyAlignment="1" applyBorder="1" applyFont="1" applyNumberFormat="1">
      <alignment horizontal="right" vertical="bottom"/>
    </xf>
    <xf borderId="3" fillId="19" fontId="98" numFmtId="0" xfId="0" applyAlignment="1" applyBorder="1" applyFont="1">
      <alignment vertical="bottom"/>
    </xf>
    <xf borderId="3" fillId="19" fontId="98" numFmtId="0" xfId="0" applyAlignment="1" applyBorder="1" applyFont="1">
      <alignment horizontal="right" vertical="bottom"/>
    </xf>
    <xf borderId="3" fillId="19" fontId="194" numFmtId="167" xfId="0" applyAlignment="1" applyBorder="1" applyFont="1" applyNumberFormat="1">
      <alignment horizontal="center" vertical="bottom"/>
    </xf>
    <xf borderId="1" fillId="19" fontId="18" numFmtId="9" xfId="0" applyAlignment="1" applyBorder="1" applyFont="1" applyNumberFormat="1">
      <alignment vertical="bottom"/>
    </xf>
    <xf borderId="3" fillId="19" fontId="98" numFmtId="167" xfId="0" applyAlignment="1" applyBorder="1" applyFont="1" applyNumberFormat="1">
      <alignment horizontal="center" vertical="bottom"/>
    </xf>
    <xf borderId="3" fillId="19" fontId="98" numFmtId="167" xfId="0" applyAlignment="1" applyBorder="1" applyFont="1" applyNumberFormat="1">
      <alignment horizontal="right" vertical="bottom"/>
    </xf>
    <xf borderId="3" fillId="19" fontId="18" numFmtId="9" xfId="0" applyAlignment="1" applyBorder="1" applyFont="1" applyNumberFormat="1">
      <alignment vertical="bottom"/>
    </xf>
    <xf borderId="3" fillId="19" fontId="98" numFmtId="9" xfId="0" applyAlignment="1" applyBorder="1" applyFont="1" applyNumberFormat="1">
      <alignment horizontal="right" vertical="bottom"/>
    </xf>
    <xf borderId="3" fillId="19" fontId="98" numFmtId="0" xfId="0" applyAlignment="1" applyBorder="1" applyFont="1">
      <alignment readingOrder="0" shrinkToFit="0" vertical="bottom" wrapText="0"/>
    </xf>
    <xf borderId="7" fillId="53" fontId="98" numFmtId="0" xfId="0" applyAlignment="1" applyBorder="1" applyFont="1">
      <alignment shrinkToFit="0" vertical="bottom" wrapText="0"/>
    </xf>
    <xf borderId="7" fillId="53" fontId="98" numFmtId="0" xfId="0" applyAlignment="1" applyBorder="1" applyFont="1">
      <alignment vertical="bottom"/>
    </xf>
    <xf borderId="7" fillId="53" fontId="194" numFmtId="167" xfId="0" applyAlignment="1" applyBorder="1" applyFont="1" applyNumberFormat="1">
      <alignment horizontal="center" vertical="bottom"/>
    </xf>
    <xf borderId="4" fillId="53" fontId="18" numFmtId="9" xfId="0" applyAlignment="1" applyBorder="1" applyFont="1" applyNumberFormat="1">
      <alignment vertical="bottom"/>
    </xf>
    <xf borderId="7" fillId="53" fontId="98" numFmtId="167" xfId="0" applyAlignment="1" applyBorder="1" applyFont="1" applyNumberFormat="1">
      <alignment horizontal="center" vertical="bottom"/>
    </xf>
    <xf borderId="7" fillId="53" fontId="98" numFmtId="167" xfId="0" applyAlignment="1" applyBorder="1" applyFont="1" applyNumberFormat="1">
      <alignment horizontal="right" vertical="bottom"/>
    </xf>
    <xf borderId="7" fillId="53" fontId="98" numFmtId="9" xfId="0" applyAlignment="1" applyBorder="1" applyFont="1" applyNumberFormat="1">
      <alignment horizontal="right" vertical="bottom"/>
    </xf>
    <xf borderId="13" fillId="0" fontId="98" numFmtId="0" xfId="0" applyAlignment="1" applyBorder="1" applyFont="1">
      <alignment shrinkToFit="0" vertical="bottom" wrapText="0"/>
    </xf>
    <xf borderId="13" fillId="0" fontId="98" numFmtId="0" xfId="0" applyAlignment="1" applyBorder="1" applyFont="1">
      <alignment vertical="bottom"/>
    </xf>
    <xf borderId="13" fillId="0" fontId="194" numFmtId="167" xfId="0" applyAlignment="1" applyBorder="1" applyFont="1" applyNumberFormat="1">
      <alignment horizontal="center" vertical="bottom"/>
    </xf>
    <xf borderId="13" fillId="0" fontId="18" numFmtId="9" xfId="0" applyAlignment="1" applyBorder="1" applyFont="1" applyNumberFormat="1">
      <alignment vertical="bottom"/>
    </xf>
    <xf borderId="13" fillId="0" fontId="98" numFmtId="167" xfId="0" applyAlignment="1" applyBorder="1" applyFont="1" applyNumberFormat="1">
      <alignment horizontal="center" vertical="bottom"/>
    </xf>
    <xf borderId="13" fillId="0" fontId="98" numFmtId="167" xfId="0" applyAlignment="1" applyBorder="1" applyFont="1" applyNumberFormat="1">
      <alignment horizontal="right" vertical="bottom"/>
    </xf>
    <xf borderId="13" fillId="0" fontId="98" numFmtId="9" xfId="0" applyAlignment="1" applyBorder="1" applyFont="1" applyNumberFormat="1">
      <alignment horizontal="right" vertical="bottom"/>
    </xf>
    <xf borderId="13" fillId="0" fontId="194" numFmtId="167" xfId="0" applyAlignment="1" applyBorder="1" applyFont="1" applyNumberFormat="1">
      <alignment horizontal="center" readingOrder="0" vertical="bottom"/>
    </xf>
    <xf borderId="13" fillId="0" fontId="18" numFmtId="0" xfId="0" applyAlignment="1" applyBorder="1" applyFont="1">
      <alignment readingOrder="0" vertical="bottom"/>
    </xf>
    <xf borderId="13" fillId="0" fontId="98" numFmtId="0" xfId="0" applyAlignment="1" applyBorder="1" applyFont="1">
      <alignment readingOrder="0" vertical="bottom"/>
    </xf>
    <xf borderId="13" fillId="0" fontId="18" numFmtId="9" xfId="0" applyAlignment="1" applyBorder="1" applyFont="1" applyNumberFormat="1">
      <alignment readingOrder="0" vertical="bottom"/>
    </xf>
    <xf borderId="13" fillId="0" fontId="194" numFmtId="10" xfId="0" applyAlignment="1" applyBorder="1" applyFont="1" applyNumberFormat="1">
      <alignment horizontal="center" vertical="bottom"/>
    </xf>
    <xf borderId="13" fillId="0" fontId="18" numFmtId="10" xfId="0" applyAlignment="1" applyBorder="1" applyFont="1" applyNumberFormat="1">
      <alignment vertical="bottom"/>
    </xf>
    <xf borderId="0" fillId="0" fontId="22" numFmtId="164" xfId="0" applyAlignment="1" applyFont="1" applyNumberFormat="1">
      <alignment readingOrder="0"/>
    </xf>
    <xf borderId="1" fillId="52" fontId="194" numFmtId="0" xfId="0" applyAlignment="1" applyBorder="1" applyFont="1">
      <alignment horizontal="center" readingOrder="0" vertical="center"/>
    </xf>
    <xf borderId="3" fillId="26" fontId="268" numFmtId="0" xfId="0" applyAlignment="1" applyBorder="1" applyFont="1">
      <alignment shrinkToFit="0" vertical="center" wrapText="0"/>
    </xf>
    <xf borderId="3" fillId="26" fontId="268" numFmtId="0" xfId="0" applyAlignment="1" applyBorder="1" applyFont="1">
      <alignment vertical="center"/>
    </xf>
    <xf borderId="3" fillId="26" fontId="269" numFmtId="0" xfId="0" applyAlignment="1" applyBorder="1" applyFont="1">
      <alignment vertical="center"/>
    </xf>
    <xf borderId="3" fillId="26" fontId="268" numFmtId="0" xfId="0" applyAlignment="1" applyBorder="1" applyFont="1">
      <alignment horizontal="right" shrinkToFit="0" vertical="center" wrapText="1"/>
    </xf>
    <xf borderId="3" fillId="26" fontId="268" numFmtId="167" xfId="0" applyAlignment="1" applyBorder="1" applyFont="1" applyNumberFormat="1">
      <alignment horizontal="center" shrinkToFit="0" vertical="center" wrapText="1"/>
    </xf>
    <xf borderId="3" fillId="26" fontId="268" numFmtId="9" xfId="0" applyAlignment="1" applyBorder="1" applyFont="1" applyNumberFormat="1">
      <alignment horizontal="center" shrinkToFit="0" vertical="center" wrapText="1"/>
    </xf>
    <xf borderId="3" fillId="26" fontId="268" numFmtId="0" xfId="0" applyAlignment="1" applyBorder="1" applyFont="1">
      <alignment shrinkToFit="0" wrapText="0"/>
    </xf>
    <xf borderId="3" fillId="26" fontId="268" numFmtId="0" xfId="0" applyBorder="1" applyFont="1"/>
    <xf borderId="3" fillId="26" fontId="269" numFmtId="0" xfId="0" applyBorder="1" applyFont="1"/>
    <xf borderId="3" fillId="26" fontId="268" numFmtId="0" xfId="0" applyAlignment="1" applyBorder="1" applyFont="1">
      <alignment horizontal="right" shrinkToFit="0" wrapText="1"/>
    </xf>
    <xf borderId="3" fillId="26" fontId="268" numFmtId="167" xfId="0" applyAlignment="1" applyBorder="1" applyFont="1" applyNumberFormat="1">
      <alignment horizontal="center" shrinkToFit="0" wrapText="1"/>
    </xf>
    <xf borderId="1" fillId="26" fontId="268" numFmtId="9" xfId="0" applyAlignment="1" applyBorder="1" applyFont="1" applyNumberFormat="1">
      <alignment horizontal="center" shrinkToFit="0" wrapText="1"/>
    </xf>
    <xf borderId="3" fillId="26" fontId="268" numFmtId="9" xfId="0" applyAlignment="1" applyBorder="1" applyFont="1" applyNumberFormat="1">
      <alignment horizontal="center" shrinkToFit="0" wrapText="1"/>
    </xf>
    <xf borderId="3" fillId="77" fontId="272" numFmtId="0" xfId="0" applyAlignment="1" applyBorder="1" applyFill="1" applyFont="1">
      <alignment shrinkToFit="0" vertical="bottom" wrapText="0"/>
    </xf>
    <xf borderId="3" fillId="77" fontId="272" numFmtId="0" xfId="0" applyAlignment="1" applyBorder="1" applyFont="1">
      <alignment vertical="bottom"/>
    </xf>
    <xf borderId="3" fillId="77" fontId="272" numFmtId="167" xfId="0" applyAlignment="1" applyBorder="1" applyFont="1" applyNumberFormat="1">
      <alignment horizontal="center" vertical="bottom"/>
    </xf>
    <xf borderId="1" fillId="77" fontId="273" numFmtId="9" xfId="0" applyAlignment="1" applyBorder="1" applyFont="1" applyNumberFormat="1">
      <alignment vertical="bottom"/>
    </xf>
    <xf borderId="3" fillId="77" fontId="272" numFmtId="167" xfId="0" applyAlignment="1" applyBorder="1" applyFont="1" applyNumberFormat="1">
      <alignment horizontal="right" vertical="bottom"/>
    </xf>
    <xf borderId="3" fillId="77" fontId="273" numFmtId="9" xfId="0" applyAlignment="1" applyBorder="1" applyFont="1" applyNumberFormat="1">
      <alignment vertical="bottom"/>
    </xf>
    <xf borderId="3" fillId="77" fontId="272" numFmtId="0" xfId="0" applyAlignment="1" applyBorder="1" applyFont="1">
      <alignment horizontal="right" vertical="bottom"/>
    </xf>
    <xf borderId="3" fillId="77" fontId="272" numFmtId="9" xfId="0" applyAlignment="1" applyBorder="1" applyFont="1" applyNumberFormat="1">
      <alignment horizontal="right" vertical="bottom"/>
    </xf>
    <xf borderId="3" fillId="0" fontId="272" numFmtId="0" xfId="0" applyAlignment="1" applyBorder="1" applyFont="1">
      <alignment vertical="bottom"/>
    </xf>
    <xf borderId="3" fillId="0" fontId="272" numFmtId="0" xfId="0" applyAlignment="1" applyBorder="1" applyFont="1">
      <alignment horizontal="right" vertical="bottom"/>
    </xf>
    <xf borderId="3" fillId="0" fontId="272" numFmtId="167" xfId="0" applyAlignment="1" applyBorder="1" applyFont="1" applyNumberFormat="1">
      <alignment horizontal="center" vertical="bottom"/>
    </xf>
    <xf borderId="3" fillId="0" fontId="272" numFmtId="9" xfId="0" applyAlignment="1" applyBorder="1" applyFont="1" applyNumberFormat="1">
      <alignment vertical="bottom"/>
    </xf>
    <xf borderId="3" fillId="0" fontId="272" numFmtId="167" xfId="0" applyAlignment="1" applyBorder="1" applyFont="1" applyNumberFormat="1">
      <alignment horizontal="right" vertical="bottom"/>
    </xf>
    <xf borderId="3" fillId="0" fontId="272" numFmtId="9" xfId="0" applyAlignment="1" applyBorder="1" applyFont="1" applyNumberFormat="1">
      <alignment horizontal="right" vertical="bottom"/>
    </xf>
    <xf borderId="3" fillId="0" fontId="273" numFmtId="0" xfId="0" applyAlignment="1" applyBorder="1" applyFont="1">
      <alignment vertical="bottom"/>
    </xf>
    <xf borderId="3" fillId="0" fontId="273" numFmtId="0" xfId="0" applyAlignment="1" applyBorder="1" applyFont="1">
      <alignment horizontal="right" vertical="bottom"/>
    </xf>
    <xf borderId="3" fillId="0" fontId="273" numFmtId="167" xfId="0" applyAlignment="1" applyBorder="1" applyFont="1" applyNumberFormat="1">
      <alignment horizontal="center" vertical="bottom"/>
    </xf>
    <xf borderId="3" fillId="0" fontId="273" numFmtId="9" xfId="0" applyAlignment="1" applyBorder="1" applyFont="1" applyNumberFormat="1">
      <alignment vertical="bottom"/>
    </xf>
    <xf borderId="3" fillId="0" fontId="273" numFmtId="0" xfId="0" applyAlignment="1" applyBorder="1" applyFont="1">
      <alignment readingOrder="0" vertical="bottom"/>
    </xf>
    <xf borderId="3" fillId="0" fontId="272" numFmtId="0" xfId="0" applyAlignment="1" applyBorder="1" applyFont="1">
      <alignment readingOrder="0" vertical="bottom"/>
    </xf>
    <xf borderId="3" fillId="77" fontId="272" numFmtId="0" xfId="0" applyAlignment="1" applyBorder="1" applyFont="1">
      <alignment readingOrder="0" shrinkToFit="0" vertical="bottom" wrapText="0"/>
    </xf>
    <xf borderId="3" fillId="67" fontId="98" numFmtId="0" xfId="0" applyAlignment="1" applyBorder="1" applyFont="1">
      <alignment shrinkToFit="0" vertical="bottom" wrapText="0"/>
    </xf>
    <xf borderId="3" fillId="67" fontId="98" numFmtId="0" xfId="0" applyAlignment="1" applyBorder="1" applyFont="1">
      <alignment vertical="bottom"/>
    </xf>
    <xf borderId="3" fillId="67" fontId="98" numFmtId="0" xfId="0" applyAlignment="1" applyBorder="1" applyFont="1">
      <alignment horizontal="right" vertical="bottom"/>
    </xf>
    <xf borderId="3" fillId="67" fontId="194" numFmtId="167" xfId="0" applyAlignment="1" applyBorder="1" applyFont="1" applyNumberFormat="1">
      <alignment horizontal="center" vertical="bottom"/>
    </xf>
    <xf borderId="1" fillId="67" fontId="18" numFmtId="9" xfId="0" applyAlignment="1" applyBorder="1" applyFont="1" applyNumberFormat="1">
      <alignment vertical="bottom"/>
    </xf>
    <xf borderId="3" fillId="67" fontId="98" numFmtId="167" xfId="0" applyAlignment="1" applyBorder="1" applyFont="1" applyNumberFormat="1">
      <alignment horizontal="center" vertical="bottom"/>
    </xf>
    <xf borderId="3" fillId="67" fontId="98" numFmtId="167" xfId="0" applyAlignment="1" applyBorder="1" applyFont="1" applyNumberFormat="1">
      <alignment horizontal="right" vertical="bottom"/>
    </xf>
    <xf borderId="3" fillId="67" fontId="98" numFmtId="9" xfId="0" applyAlignment="1" applyBorder="1" applyFont="1" applyNumberFormat="1">
      <alignment horizontal="right" vertical="bottom"/>
    </xf>
    <xf borderId="3" fillId="67" fontId="18" numFmtId="9" xfId="0" applyAlignment="1" applyBorder="1" applyFont="1" applyNumberFormat="1">
      <alignment vertical="bottom"/>
    </xf>
    <xf borderId="1" fillId="52" fontId="194" numFmtId="49" xfId="0" applyAlignment="1" applyBorder="1" applyFont="1" applyNumberFormat="1">
      <alignment horizontal="center" readingOrder="0" vertical="center"/>
    </xf>
    <xf borderId="3" fillId="0" fontId="271" numFmtId="0" xfId="0" applyAlignment="1" applyBorder="1" applyFont="1">
      <alignment readingOrder="0" vertical="bottom"/>
    </xf>
    <xf borderId="3" fillId="77" fontId="270" numFmtId="167" xfId="0" applyAlignment="1" applyBorder="1" applyFont="1" applyNumberFormat="1">
      <alignment horizontal="center" vertical="bottom"/>
    </xf>
    <xf borderId="13" fillId="62" fontId="98" numFmtId="0" xfId="0" applyAlignment="1" applyBorder="1" applyFont="1">
      <alignment shrinkToFit="0" vertical="bottom" wrapText="0"/>
    </xf>
    <xf borderId="13" fillId="62" fontId="98" numFmtId="0" xfId="0" applyAlignment="1" applyBorder="1" applyFont="1">
      <alignment vertical="bottom"/>
    </xf>
    <xf borderId="13" fillId="62" fontId="194" numFmtId="167" xfId="0" applyAlignment="1" applyBorder="1" applyFont="1" applyNumberFormat="1">
      <alignment horizontal="center" vertical="bottom"/>
    </xf>
    <xf borderId="13" fillId="62" fontId="18" numFmtId="9" xfId="0" applyAlignment="1" applyBorder="1" applyFont="1" applyNumberFormat="1">
      <alignment vertical="bottom"/>
    </xf>
    <xf borderId="13" fillId="62" fontId="98" numFmtId="167" xfId="0" applyAlignment="1" applyBorder="1" applyFont="1" applyNumberFormat="1">
      <alignment horizontal="center" vertical="bottom"/>
    </xf>
    <xf borderId="13" fillId="62" fontId="98" numFmtId="167" xfId="0" applyAlignment="1" applyBorder="1" applyFont="1" applyNumberFormat="1">
      <alignment horizontal="right" vertical="bottom"/>
    </xf>
    <xf borderId="13" fillId="62" fontId="98" numFmtId="9" xfId="0" applyAlignment="1" applyBorder="1" applyFont="1" applyNumberFormat="1">
      <alignment horizontal="right" vertical="bottom"/>
    </xf>
    <xf borderId="13" fillId="62" fontId="194" numFmtId="167" xfId="0" applyAlignment="1" applyBorder="1" applyFont="1" applyNumberFormat="1">
      <alignment horizontal="center" readingOrder="0" vertical="bottom"/>
    </xf>
    <xf borderId="13" fillId="62" fontId="18" numFmtId="0" xfId="0" applyAlignment="1" applyBorder="1" applyFont="1">
      <alignment readingOrder="0" vertical="bottom"/>
    </xf>
    <xf borderId="13" fillId="62" fontId="274" numFmtId="167" xfId="0" applyAlignment="1" applyBorder="1" applyFont="1" applyNumberFormat="1">
      <alignment horizontal="center" vertical="bottom"/>
    </xf>
    <xf borderId="13" fillId="62" fontId="194" numFmtId="9" xfId="0" applyAlignment="1" applyBorder="1" applyFont="1" applyNumberFormat="1">
      <alignment horizontal="center" readingOrder="0" vertical="bottom"/>
    </xf>
    <xf borderId="13" fillId="62" fontId="18" numFmtId="9" xfId="0" applyAlignment="1" applyBorder="1" applyFont="1" applyNumberFormat="1">
      <alignment readingOrder="0" vertical="bottom"/>
    </xf>
    <xf borderId="0" fillId="0" fontId="22" numFmtId="167" xfId="0" applyFont="1" applyNumberFormat="1"/>
    <xf borderId="13" fillId="62" fontId="98" numFmtId="0" xfId="0" applyAlignment="1" applyBorder="1" applyFont="1">
      <alignment readingOrder="0" vertical="bottom"/>
    </xf>
    <xf borderId="13" fillId="62" fontId="274" numFmtId="9" xfId="0" applyAlignment="1" applyBorder="1" applyFont="1" applyNumberFormat="1">
      <alignment horizontal="center" vertical="bottom"/>
    </xf>
    <xf borderId="13" fillId="62" fontId="98" numFmtId="9" xfId="0" applyAlignment="1" applyBorder="1" applyFont="1" applyNumberFormat="1">
      <alignment horizontal="center" vertical="bottom"/>
    </xf>
    <xf borderId="3" fillId="0" fontId="8" numFmtId="0" xfId="0" applyAlignment="1" applyBorder="1" applyFont="1">
      <alignment horizontal="center" readingOrder="0"/>
    </xf>
    <xf borderId="3" fillId="57" fontId="204" numFmtId="49" xfId="0" applyAlignment="1" applyBorder="1" applyFont="1" applyNumberFormat="1">
      <alignment horizontal="center" readingOrder="0" shrinkToFit="0" vertical="center" wrapText="1"/>
    </xf>
    <xf borderId="3" fillId="12" fontId="204" numFmtId="0" xfId="0" applyAlignment="1" applyBorder="1" applyFont="1">
      <alignment horizontal="center" readingOrder="0" shrinkToFit="0" vertical="center" wrapText="1"/>
    </xf>
    <xf borderId="3" fillId="13" fontId="23" numFmtId="0" xfId="0" applyBorder="1" applyFont="1"/>
    <xf borderId="3" fillId="0" fontId="3" numFmtId="167" xfId="0" applyBorder="1" applyFont="1" applyNumberFormat="1"/>
    <xf borderId="3" fillId="0" fontId="8" numFmtId="167" xfId="0" applyBorder="1" applyFont="1" applyNumberFormat="1"/>
    <xf borderId="3" fillId="57" fontId="204" numFmtId="49" xfId="0" applyAlignment="1" applyBorder="1" applyFont="1" applyNumberFormat="1">
      <alignment horizontal="center" shrinkToFit="0" vertical="center" wrapText="1"/>
    </xf>
    <xf borderId="3" fillId="13" fontId="4" numFmtId="0" xfId="0" applyBorder="1" applyFont="1"/>
    <xf borderId="3" fillId="0" fontId="18" numFmtId="0" xfId="0" applyAlignment="1" applyBorder="1" applyFont="1">
      <alignment readingOrder="0" vertical="bottom"/>
    </xf>
    <xf borderId="3" fillId="0" fontId="42" numFmtId="167" xfId="0" applyBorder="1" applyFont="1" applyNumberFormat="1"/>
    <xf borderId="3" fillId="0" fontId="8" numFmtId="0" xfId="0" applyAlignment="1" applyBorder="1" applyFont="1">
      <alignment horizontal="center" readingOrder="0" vertical="center"/>
    </xf>
    <xf borderId="3" fillId="57" fontId="206" numFmtId="0" xfId="0" applyAlignment="1" applyBorder="1" applyFont="1">
      <alignment shrinkToFit="0" vertical="center" wrapText="0"/>
    </xf>
    <xf borderId="3" fillId="0" fontId="8" numFmtId="167" xfId="0" applyAlignment="1" applyBorder="1" applyFont="1" applyNumberFormat="1">
      <alignment vertical="center"/>
    </xf>
    <xf borderId="3" fillId="57" fontId="206" numFmtId="0" xfId="0" applyAlignment="1" applyBorder="1" applyFont="1">
      <alignment readingOrder="0" shrinkToFit="0" vertical="center" wrapText="0"/>
    </xf>
    <xf borderId="3" fillId="47" fontId="212" numFmtId="0" xfId="0" applyAlignment="1" applyBorder="1" applyFont="1">
      <alignment shrinkToFit="0" vertical="center" wrapText="0"/>
    </xf>
    <xf borderId="3" fillId="0" fontId="8" numFmtId="0" xfId="0" applyAlignment="1" applyBorder="1" applyFont="1">
      <alignment vertical="center"/>
    </xf>
    <xf borderId="53" fillId="52" fontId="194" numFmtId="49" xfId="0" applyAlignment="1" applyBorder="1" applyFont="1" applyNumberFormat="1">
      <alignment horizontal="center" readingOrder="0" vertical="center"/>
    </xf>
    <xf borderId="73" fillId="16" fontId="94" numFmtId="0" xfId="0" applyAlignment="1" applyBorder="1" applyFont="1">
      <alignment readingOrder="0"/>
    </xf>
    <xf borderId="73" fillId="16" fontId="94" numFmtId="9" xfId="0" applyBorder="1" applyFont="1" applyNumberFormat="1"/>
    <xf borderId="14" fillId="62" fontId="98" numFmtId="0" xfId="0" applyAlignment="1" applyBorder="1" applyFont="1">
      <alignment vertical="bottom"/>
    </xf>
    <xf borderId="14" fillId="62" fontId="194" numFmtId="167" xfId="0" applyAlignment="1" applyBorder="1" applyFont="1" applyNumberFormat="1">
      <alignment horizontal="center" readingOrder="0" vertical="bottom"/>
    </xf>
    <xf borderId="14" fillId="62" fontId="18" numFmtId="9" xfId="0" applyAlignment="1" applyBorder="1" applyFont="1" applyNumberFormat="1">
      <alignment vertical="bottom"/>
    </xf>
    <xf borderId="14" fillId="62" fontId="18" numFmtId="0" xfId="0" applyAlignment="1" applyBorder="1" applyFont="1">
      <alignment readingOrder="0" vertical="bottom"/>
    </xf>
    <xf borderId="14" fillId="62" fontId="98" numFmtId="167" xfId="0" applyAlignment="1" applyBorder="1" applyFont="1" applyNumberFormat="1">
      <alignment horizontal="center" vertical="bottom"/>
    </xf>
    <xf borderId="14" fillId="62" fontId="98" numFmtId="167" xfId="0" applyAlignment="1" applyBorder="1" applyFont="1" applyNumberFormat="1">
      <alignment horizontal="center" readingOrder="0" vertical="bottom"/>
    </xf>
    <xf borderId="14" fillId="62" fontId="98" numFmtId="167" xfId="0" applyAlignment="1" applyBorder="1" applyFont="1" applyNumberFormat="1">
      <alignment horizontal="right" readingOrder="0" vertical="bottom"/>
    </xf>
    <xf borderId="14" fillId="62" fontId="98" numFmtId="9" xfId="0" applyAlignment="1" applyBorder="1" applyFont="1" applyNumberFormat="1">
      <alignment horizontal="right" vertical="bottom"/>
    </xf>
    <xf borderId="14" fillId="62" fontId="98" numFmtId="167" xfId="0" applyAlignment="1" applyBorder="1" applyFont="1" applyNumberFormat="1">
      <alignment horizontal="right" vertical="bottom"/>
    </xf>
    <xf borderId="74" fillId="62" fontId="98" numFmtId="9" xfId="0" applyAlignment="1" applyBorder="1" applyFont="1" applyNumberFormat="1">
      <alignment horizontal="right" vertical="bottom"/>
    </xf>
    <xf borderId="72" fillId="78" fontId="275" numFmtId="0" xfId="0" applyAlignment="1" applyBorder="1" applyFill="1" applyFont="1">
      <alignment horizontal="center" readingOrder="0" vertical="bottom"/>
    </xf>
    <xf borderId="72" fillId="78" fontId="275" numFmtId="167" xfId="0" applyAlignment="1" applyBorder="1" applyFont="1" applyNumberFormat="1">
      <alignment horizontal="center" readingOrder="0" vertical="bottom"/>
    </xf>
    <xf borderId="72" fillId="78" fontId="276" numFmtId="0" xfId="0" applyAlignment="1" applyBorder="1" applyFont="1">
      <alignment horizontal="center" readingOrder="0"/>
    </xf>
    <xf borderId="72" fillId="78" fontId="277" numFmtId="0" xfId="0" applyAlignment="1" applyBorder="1" applyFont="1">
      <alignment horizontal="center" readingOrder="0"/>
    </xf>
    <xf borderId="72" fillId="62" fontId="98" numFmtId="0" xfId="0" applyAlignment="1" applyBorder="1" applyFont="1">
      <alignment vertical="bottom"/>
    </xf>
    <xf borderId="72" fillId="62" fontId="194" numFmtId="167" xfId="0" applyAlignment="1" applyBorder="1" applyFont="1" applyNumberFormat="1">
      <alignment horizontal="center" vertical="bottom"/>
    </xf>
    <xf borderId="72" fillId="62" fontId="194" numFmtId="9" xfId="0" applyAlignment="1" applyBorder="1" applyFont="1" applyNumberFormat="1">
      <alignment horizontal="center" vertical="bottom"/>
    </xf>
    <xf borderId="72" fillId="0" fontId="278" numFmtId="167" xfId="0" applyBorder="1" applyFont="1" applyNumberFormat="1"/>
    <xf borderId="72" fillId="62" fontId="98" numFmtId="167" xfId="0" applyAlignment="1" applyBorder="1" applyFont="1" applyNumberFormat="1">
      <alignment horizontal="right" vertical="bottom"/>
    </xf>
    <xf borderId="72" fillId="62" fontId="98" numFmtId="0" xfId="0" applyAlignment="1" applyBorder="1" applyFont="1">
      <alignment readingOrder="0" vertical="bottom"/>
    </xf>
    <xf borderId="18" fillId="0" fontId="278" numFmtId="0" xfId="0" applyBorder="1" applyFont="1"/>
    <xf borderId="13" fillId="0" fontId="278" numFmtId="0" xfId="0" applyBorder="1" applyFont="1"/>
    <xf borderId="72" fillId="78" fontId="202" numFmtId="0" xfId="0" applyAlignment="1" applyBorder="1" applyFont="1">
      <alignment horizontal="center" readingOrder="0" vertical="bottom"/>
    </xf>
    <xf borderId="1" fillId="20" fontId="279" numFmtId="182" xfId="0" applyAlignment="1" applyBorder="1" applyFont="1" applyNumberFormat="1">
      <alignment horizontal="center" shrinkToFit="0" wrapText="1"/>
    </xf>
    <xf borderId="3" fillId="20" fontId="24" numFmtId="0" xfId="0" applyAlignment="1" applyBorder="1" applyFont="1">
      <alignment vertical="bottom"/>
    </xf>
    <xf borderId="3" fillId="0" fontId="24" numFmtId="0" xfId="0" applyAlignment="1" applyBorder="1" applyFont="1">
      <alignment horizontal="right" vertical="bottom"/>
    </xf>
    <xf borderId="0" fillId="0" fontId="24" numFmtId="0" xfId="0" applyAlignment="1" applyFont="1">
      <alignment vertical="bottom"/>
    </xf>
    <xf borderId="3" fillId="20" fontId="123" numFmtId="182" xfId="0" applyAlignment="1" applyBorder="1" applyFont="1" applyNumberFormat="1">
      <alignment horizontal="center" shrinkToFit="0" wrapText="1"/>
    </xf>
    <xf borderId="3" fillId="69" fontId="280" numFmtId="49" xfId="0" applyAlignment="1" applyBorder="1" applyFont="1" applyNumberFormat="1">
      <alignment horizontal="center" shrinkToFit="0" wrapText="1"/>
    </xf>
    <xf borderId="3" fillId="69" fontId="123" numFmtId="49" xfId="0" applyAlignment="1" applyBorder="1" applyFont="1" applyNumberFormat="1">
      <alignment horizontal="center" shrinkToFit="0" wrapText="1"/>
    </xf>
    <xf borderId="3" fillId="69" fontId="123" numFmtId="2" xfId="0" applyAlignment="1" applyBorder="1" applyFont="1" applyNumberFormat="1">
      <alignment horizontal="center" shrinkToFit="0" wrapText="1"/>
    </xf>
    <xf borderId="3" fillId="50" fontId="280" numFmtId="0" xfId="0" applyAlignment="1" applyBorder="1" applyFont="1">
      <alignment horizontal="center"/>
    </xf>
    <xf borderId="3" fillId="79" fontId="280" numFmtId="177" xfId="0" applyAlignment="1" applyBorder="1" applyFill="1" applyFont="1" applyNumberFormat="1">
      <alignment horizontal="center"/>
    </xf>
    <xf borderId="3" fillId="80" fontId="280" numFmtId="177" xfId="0" applyAlignment="1" applyBorder="1" applyFill="1" applyFont="1" applyNumberFormat="1">
      <alignment horizontal="center"/>
    </xf>
    <xf borderId="3" fillId="0" fontId="280" numFmtId="177" xfId="0" applyAlignment="1" applyBorder="1" applyFont="1" applyNumberFormat="1">
      <alignment horizontal="right"/>
    </xf>
    <xf borderId="0" fillId="50" fontId="24" numFmtId="177" xfId="0" applyFont="1" applyNumberFormat="1"/>
    <xf borderId="3" fillId="13" fontId="123" numFmtId="49" xfId="0" applyAlignment="1" applyBorder="1" applyFont="1" applyNumberFormat="1">
      <alignment vertical="bottom"/>
    </xf>
    <xf borderId="3" fillId="13" fontId="123" numFmtId="49" xfId="0" applyAlignment="1" applyBorder="1" applyFont="1" applyNumberFormat="1">
      <alignment horizontal="center" vertical="bottom"/>
    </xf>
    <xf borderId="3" fillId="13" fontId="123" numFmtId="2" xfId="0" applyAlignment="1" applyBorder="1" applyFont="1" applyNumberFormat="1">
      <alignment vertical="bottom"/>
    </xf>
    <xf borderId="3" fillId="50" fontId="123" numFmtId="167" xfId="0" applyAlignment="1" applyBorder="1" applyFont="1" applyNumberFormat="1">
      <alignment horizontal="right" vertical="bottom"/>
    </xf>
    <xf borderId="3" fillId="79" fontId="123" numFmtId="167" xfId="0" applyAlignment="1" applyBorder="1" applyFont="1" applyNumberFormat="1">
      <alignment horizontal="right" vertical="bottom"/>
    </xf>
    <xf borderId="3" fillId="80" fontId="123" numFmtId="167" xfId="0" applyAlignment="1" applyBorder="1" applyFont="1" applyNumberFormat="1">
      <alignment horizontal="right" vertical="bottom"/>
    </xf>
    <xf borderId="3" fillId="13" fontId="123" numFmtId="167" xfId="0" applyAlignment="1" applyBorder="1" applyFont="1" applyNumberFormat="1">
      <alignment horizontal="right" vertical="bottom"/>
    </xf>
    <xf borderId="0" fillId="50" fontId="24" numFmtId="167" xfId="0" applyAlignment="1" applyFont="1" applyNumberFormat="1">
      <alignment vertical="bottom"/>
    </xf>
    <xf borderId="3" fillId="20" fontId="24" numFmtId="182" xfId="0" applyAlignment="1" applyBorder="1" applyFont="1" applyNumberFormat="1">
      <alignment horizontal="center" vertical="bottom"/>
    </xf>
    <xf borderId="3" fillId="13" fontId="24" numFmtId="49" xfId="0" applyAlignment="1" applyBorder="1" applyFont="1" applyNumberFormat="1">
      <alignment vertical="bottom"/>
    </xf>
    <xf borderId="3" fillId="13" fontId="24" numFmtId="167" xfId="0" applyAlignment="1" applyBorder="1" applyFont="1" applyNumberFormat="1">
      <alignment horizontal="right" vertical="bottom"/>
    </xf>
    <xf borderId="3" fillId="0" fontId="123" numFmtId="49" xfId="0" applyAlignment="1" applyBorder="1" applyFont="1" applyNumberFormat="1">
      <alignment vertical="bottom"/>
    </xf>
    <xf borderId="3" fillId="0" fontId="123" numFmtId="49" xfId="0" applyAlignment="1" applyBorder="1" applyFont="1" applyNumberFormat="1">
      <alignment horizontal="center" vertical="bottom"/>
    </xf>
    <xf borderId="3" fillId="0" fontId="123" numFmtId="2" xfId="0" applyAlignment="1" applyBorder="1" applyFont="1" applyNumberFormat="1">
      <alignment vertical="bottom"/>
    </xf>
    <xf borderId="3" fillId="13" fontId="24" numFmtId="1" xfId="0" applyAlignment="1" applyBorder="1" applyFont="1" applyNumberFormat="1">
      <alignment horizontal="right" vertical="bottom"/>
    </xf>
    <xf borderId="3" fillId="20" fontId="281" numFmtId="182" xfId="0" applyAlignment="1" applyBorder="1" applyFont="1" applyNumberFormat="1">
      <alignment horizontal="center" vertical="bottom"/>
    </xf>
    <xf borderId="3" fillId="13" fontId="281" numFmtId="49" xfId="0" applyAlignment="1" applyBorder="1" applyFont="1" applyNumberFormat="1">
      <alignment vertical="bottom"/>
    </xf>
    <xf borderId="3" fillId="13" fontId="281" numFmtId="2" xfId="0" applyAlignment="1" applyBorder="1" applyFont="1" applyNumberFormat="1">
      <alignment vertical="bottom"/>
    </xf>
    <xf borderId="3" fillId="13" fontId="24" numFmtId="167" xfId="0" applyAlignment="1" applyBorder="1" applyFont="1" applyNumberFormat="1">
      <alignment vertical="bottom"/>
    </xf>
    <xf borderId="3" fillId="13" fontId="281" numFmtId="1" xfId="0" applyAlignment="1" applyBorder="1" applyFont="1" applyNumberFormat="1">
      <alignment horizontal="right" vertical="bottom"/>
    </xf>
    <xf borderId="3" fillId="16" fontId="123" numFmtId="49" xfId="0" applyAlignment="1" applyBorder="1" applyFont="1" applyNumberFormat="1">
      <alignment vertical="bottom"/>
    </xf>
    <xf borderId="3" fillId="16" fontId="123" numFmtId="49" xfId="0" applyAlignment="1" applyBorder="1" applyFont="1" applyNumberFormat="1">
      <alignment horizontal="center" vertical="bottom"/>
    </xf>
    <xf borderId="3" fillId="16" fontId="24" numFmtId="2" xfId="0" applyAlignment="1" applyBorder="1" applyFont="1" applyNumberFormat="1">
      <alignment vertical="bottom"/>
    </xf>
    <xf borderId="3" fillId="16" fontId="24" numFmtId="167" xfId="0" applyAlignment="1" applyBorder="1" applyFont="1" applyNumberFormat="1">
      <alignment horizontal="right" vertical="bottom"/>
    </xf>
    <xf borderId="3" fillId="13" fontId="24" numFmtId="2" xfId="0" applyAlignment="1" applyBorder="1" applyFont="1" applyNumberFormat="1">
      <alignment vertical="bottom"/>
    </xf>
    <xf borderId="3" fillId="79" fontId="24" numFmtId="167" xfId="0" applyAlignment="1" applyBorder="1" applyFont="1" applyNumberFormat="1">
      <alignment vertical="bottom"/>
    </xf>
    <xf borderId="3" fillId="80" fontId="24" numFmtId="167" xfId="0" applyAlignment="1" applyBorder="1" applyFont="1" applyNumberFormat="1">
      <alignment vertical="bottom"/>
    </xf>
    <xf borderId="0" fillId="20" fontId="24" numFmtId="182" xfId="0" applyAlignment="1" applyFont="1" applyNumberFormat="1">
      <alignment vertical="bottom"/>
    </xf>
    <xf borderId="0" fillId="13" fontId="282" numFmtId="49" xfId="0" applyAlignment="1" applyFont="1" applyNumberFormat="1">
      <alignment vertical="bottom"/>
    </xf>
    <xf borderId="0" fillId="13" fontId="282" numFmtId="49" xfId="0" applyAlignment="1" applyFont="1" applyNumberFormat="1">
      <alignment horizontal="center" vertical="bottom"/>
    </xf>
    <xf borderId="0" fillId="13" fontId="24" numFmtId="49" xfId="0" applyAlignment="1" applyFont="1" applyNumberFormat="1">
      <alignment vertical="bottom"/>
    </xf>
    <xf borderId="0" fillId="13" fontId="24" numFmtId="2" xfId="0" applyAlignment="1" applyFont="1" applyNumberFormat="1">
      <alignment vertical="bottom"/>
    </xf>
    <xf borderId="0" fillId="13" fontId="123" numFmtId="167" xfId="0" applyAlignment="1" applyFont="1" applyNumberFormat="1">
      <alignment horizontal="right" vertical="bottom"/>
    </xf>
    <xf borderId="0" fillId="13" fontId="283" numFmtId="167" xfId="0" applyAlignment="1" applyFont="1" applyNumberFormat="1">
      <alignment horizontal="right" vertical="bottom"/>
    </xf>
    <xf borderId="0" fillId="13" fontId="24" numFmtId="167" xfId="0" applyAlignment="1" applyFont="1" applyNumberFormat="1">
      <alignment vertical="bottom"/>
    </xf>
    <xf borderId="3" fillId="20" fontId="24" numFmtId="182" xfId="0" applyAlignment="1" applyBorder="1" applyFont="1" applyNumberFormat="1">
      <alignment vertical="bottom"/>
    </xf>
    <xf borderId="3" fillId="13" fontId="282" numFmtId="49" xfId="0" applyAlignment="1" applyBorder="1" applyFont="1" applyNumberFormat="1">
      <alignment vertical="bottom"/>
    </xf>
    <xf borderId="3" fillId="13" fontId="282" numFmtId="49" xfId="0" applyAlignment="1" applyBorder="1" applyFont="1" applyNumberFormat="1">
      <alignment horizontal="center" vertical="bottom"/>
    </xf>
    <xf borderId="3" fillId="3" fontId="24" numFmtId="182" xfId="0" applyBorder="1" applyFont="1" applyNumberFormat="1"/>
    <xf borderId="3" fillId="3" fontId="24" numFmtId="49" xfId="0" applyBorder="1" applyFont="1" applyNumberFormat="1"/>
    <xf borderId="3" fillId="59" fontId="24" numFmtId="0" xfId="0" applyAlignment="1" applyBorder="1" applyFont="1">
      <alignment vertical="bottom"/>
    </xf>
    <xf borderId="3" fillId="59" fontId="24" numFmtId="182" xfId="0" applyBorder="1" applyFont="1" applyNumberFormat="1"/>
    <xf borderId="1" fillId="13" fontId="284" numFmtId="182" xfId="0" applyAlignment="1" applyBorder="1" applyFont="1" applyNumberFormat="1">
      <alignment horizontal="center" shrinkToFit="0" wrapText="1"/>
    </xf>
    <xf borderId="3" fillId="13" fontId="24" numFmtId="182" xfId="0" applyBorder="1" applyFont="1" applyNumberFormat="1"/>
    <xf borderId="3" fillId="21" fontId="24" numFmtId="164" xfId="0" applyBorder="1" applyFont="1" applyNumberFormat="1"/>
    <xf borderId="3" fillId="21" fontId="24" numFmtId="49" xfId="0" applyBorder="1" applyFont="1" applyNumberFormat="1"/>
    <xf borderId="3" fillId="0" fontId="24" numFmtId="0" xfId="0" applyAlignment="1" applyBorder="1" applyFont="1">
      <alignment vertical="bottom"/>
    </xf>
    <xf borderId="3" fillId="59" fontId="246" numFmtId="164" xfId="0" applyAlignment="1" applyBorder="1" applyFont="1" applyNumberFormat="1">
      <alignment horizontal="center"/>
    </xf>
    <xf borderId="3" fillId="21" fontId="123" numFmtId="182" xfId="0" applyAlignment="1" applyBorder="1" applyFont="1" applyNumberFormat="1">
      <alignment horizontal="center" shrinkToFit="0" wrapText="1"/>
    </xf>
    <xf borderId="3" fillId="21" fontId="123" numFmtId="49" xfId="0" applyAlignment="1" applyBorder="1" applyFont="1" applyNumberFormat="1">
      <alignment horizontal="center" shrinkToFit="0" wrapText="1"/>
    </xf>
    <xf borderId="3" fillId="21" fontId="246" numFmtId="49" xfId="0" applyAlignment="1" applyBorder="1" applyFont="1" applyNumberFormat="1">
      <alignment horizontal="center" shrinkToFit="0" wrapText="1"/>
    </xf>
    <xf borderId="3" fillId="59" fontId="280" numFmtId="177" xfId="0" applyAlignment="1" applyBorder="1" applyFont="1" applyNumberFormat="1">
      <alignment horizontal="center"/>
    </xf>
    <xf borderId="0" fillId="59" fontId="248" numFmtId="167" xfId="0" applyAlignment="1" applyFont="1" applyNumberFormat="1">
      <alignment horizontal="right" vertical="bottom"/>
    </xf>
    <xf borderId="3" fillId="59" fontId="123" numFmtId="167" xfId="0" applyAlignment="1" applyBorder="1" applyFont="1" applyNumberFormat="1">
      <alignment horizontal="right" vertical="bottom"/>
    </xf>
    <xf borderId="3" fillId="59" fontId="249" numFmtId="167" xfId="0" applyAlignment="1" applyBorder="1" applyFont="1" applyNumberFormat="1">
      <alignment horizontal="right" vertical="bottom"/>
    </xf>
    <xf borderId="3" fillId="59" fontId="253" numFmtId="167" xfId="0" applyAlignment="1" applyBorder="1" applyFont="1" applyNumberFormat="1">
      <alignment horizontal="right" vertical="bottom"/>
    </xf>
    <xf borderId="3" fillId="59" fontId="24" numFmtId="167" xfId="0" applyAlignment="1" applyBorder="1" applyFont="1" applyNumberFormat="1">
      <alignment horizontal="right" vertical="bottom"/>
    </xf>
    <xf borderId="3" fillId="59" fontId="248" numFmtId="167" xfId="0" applyAlignment="1" applyBorder="1" applyFont="1" applyNumberFormat="1">
      <alignment horizontal="right" vertical="bottom"/>
    </xf>
    <xf borderId="3" fillId="59" fontId="24" numFmtId="0" xfId="0" applyBorder="1" applyFont="1"/>
    <xf borderId="3" fillId="59" fontId="24" numFmtId="167" xfId="0" applyBorder="1" applyFont="1" applyNumberFormat="1"/>
    <xf borderId="3" fillId="59" fontId="24" numFmtId="9" xfId="0" applyBorder="1" applyFont="1" applyNumberFormat="1"/>
    <xf borderId="3" fillId="0" fontId="249" numFmtId="167" xfId="0" applyAlignment="1" applyBorder="1" applyFont="1" applyNumberFormat="1">
      <alignment horizontal="right" vertical="bottom"/>
    </xf>
    <xf borderId="3" fillId="0" fontId="123" numFmtId="167" xfId="0" applyAlignment="1" applyBorder="1" applyFont="1" applyNumberFormat="1">
      <alignment horizontal="right" vertical="bottom"/>
    </xf>
    <xf borderId="3" fillId="2" fontId="257" numFmtId="167" xfId="0" applyAlignment="1" applyBorder="1" applyFont="1" applyNumberFormat="1">
      <alignment horizontal="right" vertical="bottom"/>
    </xf>
    <xf borderId="0" fillId="20" fontId="248" numFmtId="0" xfId="0" applyAlignment="1" applyFont="1">
      <alignment shrinkToFit="0" wrapText="1"/>
    </xf>
    <xf borderId="3" fillId="20" fontId="24" numFmtId="49" xfId="0" applyAlignment="1" applyBorder="1" applyFont="1" applyNumberFormat="1">
      <alignment horizontal="center"/>
    </xf>
    <xf borderId="3" fillId="20" fontId="24" numFmtId="0" xfId="0" applyAlignment="1" applyBorder="1" applyFont="1">
      <alignment horizontal="center"/>
    </xf>
    <xf borderId="1" fillId="20" fontId="247" numFmtId="0" xfId="0" applyAlignment="1" applyBorder="1" applyFont="1">
      <alignment horizontal="center"/>
    </xf>
    <xf borderId="3" fillId="13" fontId="24" numFmtId="0" xfId="0" applyAlignment="1" applyBorder="1" applyFont="1">
      <alignment vertical="bottom"/>
    </xf>
    <xf borderId="3" fillId="13" fontId="169" numFmtId="0" xfId="0" applyAlignment="1" applyBorder="1" applyFont="1">
      <alignment vertical="bottom"/>
    </xf>
    <xf borderId="3" fillId="13" fontId="169" numFmtId="49" xfId="0" applyAlignment="1" applyBorder="1" applyFont="1" applyNumberFormat="1">
      <alignment horizontal="center" vertical="bottom"/>
    </xf>
    <xf borderId="3" fillId="3" fontId="123" numFmtId="0" xfId="0" applyAlignment="1" applyBorder="1" applyFont="1">
      <alignment horizontal="center" vertical="bottom"/>
    </xf>
    <xf borderId="3" fillId="3" fontId="123" numFmtId="165" xfId="0" applyAlignment="1" applyBorder="1" applyFont="1" applyNumberFormat="1">
      <alignment horizontal="center" vertical="bottom"/>
    </xf>
    <xf borderId="3" fillId="22" fontId="123" numFmtId="0" xfId="0" applyAlignment="1" applyBorder="1" applyFont="1">
      <alignment horizontal="center" vertical="bottom"/>
    </xf>
    <xf borderId="0" fillId="22" fontId="123" numFmtId="0" xfId="0" applyAlignment="1" applyFont="1">
      <alignment vertical="bottom"/>
    </xf>
    <xf borderId="3" fillId="22" fontId="123" numFmtId="49" xfId="0" applyAlignment="1" applyBorder="1" applyFont="1" applyNumberFormat="1">
      <alignment horizontal="center" vertical="bottom"/>
    </xf>
    <xf borderId="3" fillId="22" fontId="225" numFmtId="167" xfId="0" applyAlignment="1" applyBorder="1" applyFont="1" applyNumberFormat="1">
      <alignment horizontal="center" vertical="bottom"/>
    </xf>
    <xf borderId="3" fillId="22" fontId="24" numFmtId="0" xfId="0" applyAlignment="1" applyBorder="1" applyFont="1">
      <alignment vertical="bottom"/>
    </xf>
    <xf borderId="0" fillId="22" fontId="285" numFmtId="0" xfId="0" applyAlignment="1" applyFont="1">
      <alignment horizontal="right" vertical="bottom"/>
    </xf>
    <xf borderId="0" fillId="22" fontId="24" numFmtId="49" xfId="0" applyAlignment="1" applyFont="1" applyNumberFormat="1">
      <alignment vertical="bottom"/>
    </xf>
    <xf borderId="3" fillId="22" fontId="24" numFmtId="167" xfId="0" applyAlignment="1" applyBorder="1" applyFont="1" applyNumberFormat="1">
      <alignment vertical="bottom"/>
    </xf>
    <xf borderId="3" fillId="22" fontId="286" numFmtId="167" xfId="0" applyAlignment="1" applyBorder="1" applyFont="1" applyNumberFormat="1">
      <alignment horizontal="center" vertical="bottom"/>
    </xf>
    <xf borderId="3" fillId="22" fontId="285" numFmtId="0" xfId="0" applyAlignment="1" applyBorder="1" applyFont="1">
      <alignment horizontal="right" vertical="bottom"/>
    </xf>
    <xf borderId="3" fillId="22" fontId="24" numFmtId="49" xfId="0" applyAlignment="1" applyBorder="1" applyFont="1" applyNumberFormat="1">
      <alignment vertical="bottom"/>
    </xf>
    <xf borderId="3" fillId="22" fontId="286" numFmtId="9" xfId="0" applyAlignment="1" applyBorder="1" applyFont="1" applyNumberFormat="1">
      <alignment horizontal="center" vertical="bottom"/>
    </xf>
    <xf borderId="3" fillId="22" fontId="24" numFmtId="9" xfId="0" applyAlignment="1" applyBorder="1" applyFont="1" applyNumberFormat="1">
      <alignment vertical="bottom"/>
    </xf>
    <xf borderId="0" fillId="22" fontId="286" numFmtId="9" xfId="0" applyAlignment="1" applyFont="1" applyNumberFormat="1">
      <alignment horizontal="center" vertical="bottom"/>
    </xf>
    <xf borderId="3" fillId="22" fontId="24" numFmtId="0" xfId="0" applyAlignment="1" applyBorder="1" applyFont="1">
      <alignment horizontal="center" vertical="bottom"/>
    </xf>
    <xf borderId="0" fillId="22" fontId="24" numFmtId="0" xfId="0" applyAlignment="1" applyFont="1">
      <alignment vertical="bottom"/>
    </xf>
    <xf borderId="3" fillId="22" fontId="24" numFmtId="49" xfId="0" applyAlignment="1" applyBorder="1" applyFont="1" applyNumberFormat="1">
      <alignment horizontal="center" vertical="bottom"/>
    </xf>
    <xf borderId="3" fillId="22" fontId="227" numFmtId="167" xfId="0" applyAlignment="1" applyBorder="1" applyFont="1" applyNumberFormat="1">
      <alignment horizontal="center" vertical="bottom"/>
    </xf>
    <xf borderId="3" fillId="36" fontId="257" numFmtId="0" xfId="0" applyAlignment="1" applyBorder="1" applyFont="1">
      <alignment horizontal="center" vertical="bottom"/>
    </xf>
    <xf borderId="0" fillId="36" fontId="257" numFmtId="0" xfId="0" applyAlignment="1" applyFont="1">
      <alignment vertical="bottom"/>
    </xf>
    <xf borderId="3" fillId="36" fontId="257" numFmtId="49" xfId="0" applyAlignment="1" applyBorder="1" applyFont="1" applyNumberFormat="1">
      <alignment horizontal="center" vertical="bottom"/>
    </xf>
    <xf borderId="3" fillId="36" fontId="287" numFmtId="167" xfId="0" applyAlignment="1" applyBorder="1" applyFont="1" applyNumberFormat="1">
      <alignment horizontal="center" vertical="bottom"/>
    </xf>
    <xf borderId="0" fillId="22" fontId="24" numFmtId="49" xfId="0" applyAlignment="1" applyFont="1" applyNumberFormat="1">
      <alignment horizontal="center" vertical="bottom"/>
    </xf>
    <xf borderId="3" fillId="13" fontId="248" numFmtId="49" xfId="0" applyAlignment="1" applyBorder="1" applyFont="1" applyNumberFormat="1">
      <alignment horizontal="center" vertical="bottom"/>
    </xf>
    <xf borderId="3" fillId="13" fontId="288" numFmtId="0" xfId="0" applyAlignment="1" applyBorder="1" applyFont="1">
      <alignment horizontal="center" vertical="bottom"/>
    </xf>
    <xf borderId="3" fillId="13" fontId="24" numFmtId="165" xfId="0" applyAlignment="1" applyBorder="1" applyFont="1" applyNumberFormat="1">
      <alignment horizontal="right" vertical="bottom"/>
    </xf>
    <xf borderId="3" fillId="49" fontId="123" numFmtId="0" xfId="0" applyAlignment="1" applyBorder="1" applyFont="1">
      <alignment horizontal="center" vertical="bottom"/>
    </xf>
    <xf borderId="3" fillId="49" fontId="123" numFmtId="0" xfId="0" applyAlignment="1" applyBorder="1" applyFont="1">
      <alignment vertical="bottom"/>
    </xf>
    <xf borderId="3" fillId="49" fontId="246" numFmtId="49" xfId="0" applyAlignment="1" applyBorder="1" applyFont="1" applyNumberFormat="1">
      <alignment horizontal="center" vertical="bottom"/>
    </xf>
    <xf borderId="3" fillId="49" fontId="225" numFmtId="167" xfId="0" applyAlignment="1" applyBorder="1" applyFont="1" applyNumberFormat="1">
      <alignment horizontal="center" vertical="bottom"/>
    </xf>
    <xf borderId="3" fillId="49" fontId="24" numFmtId="0" xfId="0" applyAlignment="1" applyBorder="1" applyFont="1">
      <alignment vertical="bottom"/>
    </xf>
    <xf borderId="0" fillId="49" fontId="285" numFmtId="0" xfId="0" applyAlignment="1" applyFont="1">
      <alignment horizontal="right" vertical="bottom"/>
    </xf>
    <xf borderId="0" fillId="49" fontId="24" numFmtId="49" xfId="0" applyAlignment="1" applyFont="1" applyNumberFormat="1">
      <alignment vertical="bottom"/>
    </xf>
    <xf borderId="3" fillId="49" fontId="24" numFmtId="167" xfId="0" applyAlignment="1" applyBorder="1" applyFont="1" applyNumberFormat="1">
      <alignment vertical="bottom"/>
    </xf>
    <xf borderId="3" fillId="49" fontId="286" numFmtId="167" xfId="0" applyAlignment="1" applyBorder="1" applyFont="1" applyNumberFormat="1">
      <alignment horizontal="center" vertical="bottom"/>
    </xf>
    <xf borderId="3" fillId="49" fontId="286" numFmtId="9" xfId="0" applyAlignment="1" applyBorder="1" applyFont="1" applyNumberFormat="1">
      <alignment horizontal="center" vertical="bottom"/>
    </xf>
    <xf borderId="3" fillId="49" fontId="24" numFmtId="9" xfId="0" applyAlignment="1" applyBorder="1" applyFont="1" applyNumberFormat="1">
      <alignment vertical="bottom"/>
    </xf>
    <xf borderId="0" fillId="49" fontId="24" numFmtId="0" xfId="0" applyAlignment="1" applyFont="1">
      <alignment vertical="bottom"/>
    </xf>
    <xf borderId="3" fillId="36" fontId="289" numFmtId="0" xfId="0" applyAlignment="1" applyBorder="1" applyFont="1">
      <alignment horizontal="center" vertical="bottom"/>
    </xf>
    <xf borderId="0" fillId="36" fontId="289" numFmtId="0" xfId="0" applyAlignment="1" applyFont="1">
      <alignment vertical="bottom"/>
    </xf>
    <xf borderId="3" fillId="36" fontId="290" numFmtId="49" xfId="0" applyAlignment="1" applyBorder="1" applyFont="1" applyNumberFormat="1">
      <alignment horizontal="center" vertical="bottom"/>
    </xf>
    <xf borderId="3" fillId="36" fontId="24" numFmtId="0" xfId="0" applyAlignment="1" applyBorder="1" applyFont="1">
      <alignment vertical="bottom"/>
    </xf>
    <xf borderId="0" fillId="36" fontId="291" numFmtId="0" xfId="0" applyAlignment="1" applyFont="1">
      <alignment horizontal="right" vertical="bottom"/>
    </xf>
    <xf borderId="0" fillId="36" fontId="24" numFmtId="49" xfId="0" applyAlignment="1" applyFont="1" applyNumberFormat="1">
      <alignment vertical="bottom"/>
    </xf>
    <xf borderId="3" fillId="36" fontId="24" numFmtId="167" xfId="0" applyAlignment="1" applyBorder="1" applyFont="1" applyNumberFormat="1">
      <alignment vertical="bottom"/>
    </xf>
    <xf borderId="3" fillId="36" fontId="292" numFmtId="167" xfId="0" applyAlignment="1" applyBorder="1" applyFont="1" applyNumberFormat="1">
      <alignment horizontal="center" vertical="bottom"/>
    </xf>
    <xf borderId="3" fillId="36" fontId="293" numFmtId="167" xfId="0" applyAlignment="1" applyBorder="1" applyFont="1" applyNumberFormat="1">
      <alignment horizontal="center" vertical="bottom"/>
    </xf>
    <xf borderId="3" fillId="36" fontId="291" numFmtId="0" xfId="0" applyAlignment="1" applyBorder="1" applyFont="1">
      <alignment horizontal="right" vertical="bottom"/>
    </xf>
    <xf borderId="3" fillId="36" fontId="24" numFmtId="49" xfId="0" applyAlignment="1" applyBorder="1" applyFont="1" applyNumberFormat="1">
      <alignment vertical="bottom"/>
    </xf>
    <xf borderId="3" fillId="36" fontId="292" numFmtId="9" xfId="0" applyAlignment="1" applyBorder="1" applyFont="1" applyNumberFormat="1">
      <alignment horizontal="center" vertical="bottom"/>
    </xf>
    <xf borderId="3" fillId="36" fontId="24" numFmtId="9" xfId="0" applyAlignment="1" applyBorder="1" applyFont="1" applyNumberFormat="1">
      <alignment vertical="bottom"/>
    </xf>
    <xf borderId="3" fillId="36" fontId="293" numFmtId="9" xfId="0" applyAlignment="1" applyBorder="1" applyFont="1" applyNumberFormat="1">
      <alignment horizontal="center" vertical="bottom"/>
    </xf>
    <xf borderId="0" fillId="2" fontId="22" numFmtId="0" xfId="0" applyAlignment="1" applyFont="1">
      <alignment horizontal="center" readingOrder="0" shrinkToFit="0" wrapText="1"/>
    </xf>
    <xf borderId="0" fillId="2" fontId="22" numFmtId="0" xfId="0" applyAlignment="1" applyFont="1">
      <alignment horizontal="center" shrinkToFit="0" wrapText="1"/>
    </xf>
    <xf borderId="0" fillId="0" fontId="22" numFmtId="0" xfId="0" applyAlignment="1" applyFont="1">
      <alignment horizontal="center" shrinkToFit="0" wrapText="1"/>
    </xf>
    <xf borderId="0" fillId="67" fontId="22" numFmtId="0" xfId="0" applyAlignment="1" applyFont="1">
      <alignment horizontal="center" readingOrder="0" shrinkToFit="0" wrapText="1"/>
    </xf>
    <xf borderId="0" fillId="64" fontId="22" numFmtId="0" xfId="0" applyAlignment="1" applyFont="1">
      <alignment horizontal="center" readingOrder="0" shrinkToFit="0" wrapText="1"/>
    </xf>
    <xf borderId="0" fillId="67" fontId="22" numFmtId="0" xfId="0" applyAlignment="1" applyFont="1">
      <alignment horizontal="center" readingOrder="0" shrinkToFit="0" wrapText="1"/>
    </xf>
    <xf borderId="0" fillId="64" fontId="22" numFmtId="0" xfId="0" applyAlignment="1" applyFont="1">
      <alignment horizontal="center" readingOrder="0" shrinkToFit="0" wrapText="1"/>
    </xf>
    <xf borderId="0" fillId="0" fontId="22" numFmtId="0" xfId="0" applyAlignment="1" applyFont="1">
      <alignment horizontal="center" readingOrder="0" shrinkToFit="0" wrapText="1"/>
    </xf>
    <xf borderId="0" fillId="2" fontId="22" numFmtId="0" xfId="0" applyAlignment="1" applyFont="1">
      <alignment readingOrder="0"/>
    </xf>
    <xf borderId="0" fillId="67" fontId="22" numFmtId="0" xfId="0" applyAlignment="1" applyFont="1">
      <alignment readingOrder="0"/>
    </xf>
    <xf borderId="0" fillId="64" fontId="22" numFmtId="0" xfId="0" applyAlignment="1" applyFont="1">
      <alignment readingOrder="0"/>
    </xf>
    <xf borderId="0" fillId="2" fontId="22" numFmtId="0" xfId="0" applyFont="1"/>
    <xf borderId="0" fillId="64" fontId="22" numFmtId="0" xfId="0" applyFont="1"/>
    <xf borderId="0" fillId="67" fontId="22" numFmtId="0" xfId="0" applyFont="1"/>
  </cellXfs>
  <cellStyles count="1">
    <cellStyle xfId="0" name="Normal" builtinId="0"/>
  </cellStyles>
  <dxfs count="17">
    <dxf>
      <font/>
      <fill>
        <patternFill patternType="none"/>
      </fill>
      <border/>
    </dxf>
    <dxf>
      <font/>
      <fill>
        <patternFill patternType="solid">
          <fgColor rgb="FF63D297"/>
          <bgColor rgb="FF63D297"/>
        </patternFill>
      </fill>
      <border/>
    </dxf>
    <dxf>
      <font/>
      <fill>
        <patternFill patternType="solid">
          <fgColor rgb="FFFFFFFF"/>
          <bgColor rgb="FFFFFFFF"/>
        </patternFill>
      </fill>
      <border/>
    </dxf>
    <dxf>
      <font/>
      <fill>
        <patternFill patternType="solid">
          <fgColor rgb="FFE7F9EF"/>
          <bgColor rgb="FFE7F9EF"/>
        </patternFill>
      </fill>
      <border/>
    </dxf>
    <dxf>
      <font/>
      <fill>
        <patternFill patternType="solid">
          <fgColor rgb="FFE6533A"/>
          <bgColor rgb="FFE6533A"/>
        </patternFill>
      </fill>
      <border/>
    </dxf>
    <dxf>
      <font/>
      <fill>
        <patternFill patternType="solid">
          <fgColor rgb="FFE0F7FA"/>
          <bgColor rgb="FFE0F7FA"/>
        </patternFill>
      </fill>
      <border/>
    </dxf>
    <dxf>
      <font/>
      <fill>
        <patternFill patternType="solid">
          <fgColor rgb="FFB7E1CD"/>
          <bgColor rgb="FFB7E1CD"/>
        </patternFill>
      </fill>
      <border/>
    </dxf>
    <dxf>
      <font/>
      <fill>
        <patternFill patternType="solid">
          <fgColor rgb="FFFFFF00"/>
          <bgColor rgb="FFFFFF00"/>
        </patternFill>
      </fill>
      <border/>
    </dxf>
    <dxf>
      <font/>
      <fill>
        <patternFill patternType="solid">
          <fgColor rgb="FF3C78D8"/>
          <bgColor rgb="FF3C78D8"/>
        </patternFill>
      </fill>
      <border/>
    </dxf>
    <dxf>
      <font/>
      <fill>
        <patternFill patternType="solid">
          <fgColor rgb="FFEA9999"/>
          <bgColor rgb="FFEA9999"/>
        </patternFill>
      </fill>
      <border/>
    </dxf>
    <dxf>
      <font/>
      <fill>
        <patternFill patternType="solid">
          <fgColor rgb="FFF4CCCC"/>
          <bgColor rgb="FFF4CCCC"/>
        </patternFill>
      </fill>
      <border/>
    </dxf>
    <dxf>
      <font/>
      <fill>
        <patternFill patternType="solid">
          <fgColor rgb="FF00FF00"/>
          <bgColor rgb="FF00FF00"/>
        </patternFill>
      </fill>
      <border/>
    </dxf>
    <dxf>
      <font/>
      <fill>
        <patternFill patternType="solid">
          <fgColor rgb="FFFF0000"/>
          <bgColor rgb="FFFF0000"/>
        </patternFill>
      </fill>
      <border/>
    </dxf>
    <dxf>
      <font>
        <color rgb="FFFFFF00"/>
      </font>
      <fill>
        <patternFill patternType="solid">
          <fgColor rgb="FFFF0000"/>
          <bgColor rgb="FFFF0000"/>
        </patternFill>
      </fill>
      <border/>
    </dxf>
    <dxf>
      <font/>
      <fill>
        <patternFill patternType="solid">
          <fgColor rgb="FF5B95F9"/>
          <bgColor rgb="FF5B95F9"/>
        </patternFill>
      </fill>
      <border/>
    </dxf>
    <dxf>
      <font/>
      <fill>
        <patternFill patternType="solid">
          <fgColor rgb="FFE8F0FE"/>
          <bgColor rgb="FFE8F0FE"/>
        </patternFill>
      </fill>
      <border/>
    </dxf>
    <dxf>
      <font>
        <color rgb="FFFF0000"/>
      </font>
      <fill>
        <patternFill patternType="none"/>
      </fill>
      <border/>
    </dxf>
  </dxfs>
  <tableStyles count="22">
    <tableStyle count="3" pivot="0" name="DATA-style">
      <tableStyleElement dxfId="1" type="headerRow"/>
      <tableStyleElement dxfId="2" type="firstRowStripe"/>
      <tableStyleElement dxfId="3" type="secondRowStripe"/>
    </tableStyle>
    <tableStyle count="2" pivot="0" name="Hệ thống tài khoản TT133-style">
      <tableStyleElement dxfId="2" type="firstRowStripe"/>
      <tableStyleElement dxfId="5" type="secondRowStripe"/>
    </tableStyle>
    <tableStyle count="2" pivot="0" name="Hệ thống tài khoản TT133-style 2">
      <tableStyleElement dxfId="5" type="firstRowStripe"/>
      <tableStyleElement dxfId="2" type="secondRowStripe"/>
    </tableStyle>
    <tableStyle count="2" pivot="0" name="Hệ thống tài khoản TT133-style 3">
      <tableStyleElement dxfId="5" type="firstRowStripe"/>
      <tableStyleElement dxfId="2" type="secondRowStripe"/>
    </tableStyle>
    <tableStyle count="2" pivot="0" name="Hệ thống tài khoản TT133-style 4">
      <tableStyleElement dxfId="2" type="firstRowStripe"/>
      <tableStyleElement dxfId="5" type="secondRowStripe"/>
    </tableStyle>
    <tableStyle count="2" pivot="0" name="Hệ thống tài khoản TT133-style 5">
      <tableStyleElement dxfId="5" type="firstRowStripe"/>
      <tableStyleElement dxfId="2" type="secondRowStripe"/>
    </tableStyle>
    <tableStyle count="2" pivot="0" name="Hệ thống tài khoản TT133-style 6">
      <tableStyleElement dxfId="5" type="firstRowStripe"/>
      <tableStyleElement dxfId="2" type="secondRowStripe"/>
    </tableStyle>
    <tableStyle count="2" pivot="0" name="Hệ thống tài khoản TT133-style 7">
      <tableStyleElement dxfId="5" type="firstRowStripe"/>
      <tableStyleElement dxfId="2" type="secondRowStripe"/>
    </tableStyle>
    <tableStyle count="2" pivot="0" name="Hệ thống tài khoản TT133-style 8">
      <tableStyleElement dxfId="2" type="firstRowStripe"/>
      <tableStyleElement dxfId="5" type="secondRowStripe"/>
    </tableStyle>
    <tableStyle count="2" pivot="0" name="Hệ thống tài khoản TT133-style 9">
      <tableStyleElement dxfId="2" type="firstRowStripe"/>
      <tableStyleElement dxfId="5" type="secondRowStripe"/>
    </tableStyle>
    <tableStyle count="2" pivot="0" name="Hệ thống tài khoản TT133-style 10">
      <tableStyleElement dxfId="5" type="firstRowStripe"/>
      <tableStyleElement dxfId="2" type="secondRowStripe"/>
    </tableStyle>
    <tableStyle count="2" pivot="0" name="Hệ thống tài khoản TT133-style 11">
      <tableStyleElement dxfId="5" type="firstRowStripe"/>
      <tableStyleElement dxfId="2" type="secondRowStripe"/>
    </tableStyle>
    <tableStyle count="2" pivot="0" name="Hệ thống tài khoản TT133-style 12">
      <tableStyleElement dxfId="2" type="firstRowStripe"/>
      <tableStyleElement dxfId="5" type="secondRowStripe"/>
    </tableStyle>
    <tableStyle count="2" pivot="0" name="Hệ thống tài khoản TT133-style 13">
      <tableStyleElement dxfId="5" type="firstRowStripe"/>
      <tableStyleElement dxfId="2" type="secondRowStripe"/>
    </tableStyle>
    <tableStyle count="2" pivot="0" name="Hệ thống tài khoản TT133-style 14">
      <tableStyleElement dxfId="2" type="firstRowStripe"/>
      <tableStyleElement dxfId="5" type="secondRowStripe"/>
    </tableStyle>
    <tableStyle count="2" pivot="0" name="Hệ thống tài khoản TT133-style 15">
      <tableStyleElement dxfId="5" type="firstRowStripe"/>
      <tableStyleElement dxfId="2" type="secondRowStripe"/>
    </tableStyle>
    <tableStyle count="2" pivot="0" name="Hệ thống tài khoản TT133-style 16">
      <tableStyleElement dxfId="5" type="firstRowStripe"/>
      <tableStyleElement dxfId="2" type="secondRowStripe"/>
    </tableStyle>
    <tableStyle count="2" pivot="0" name="Hệ thống tài khoản TT133-style 17">
      <tableStyleElement dxfId="2" type="firstRowStripe"/>
      <tableStyleElement dxfId="5" type="secondRowStripe"/>
    </tableStyle>
    <tableStyle count="2" pivot="0" name="Hệ thống tài khoản TT133-style 18">
      <tableStyleElement dxfId="2" type="firstRowStripe"/>
      <tableStyleElement dxfId="5" type="secondRowStripe"/>
    </tableStyle>
    <tableStyle count="2" pivot="0" name="Hệ thống tài khoản TT133-style 19">
      <tableStyleElement dxfId="5" type="firstRowStripe"/>
      <tableStyleElement dxfId="2" type="secondRowStripe"/>
    </tableStyle>
    <tableStyle count="2" pivot="0" name="Hệ thống tài khoản TT133-style 20">
      <tableStyleElement dxfId="5" type="firstRowStripe"/>
      <tableStyleElement dxfId="2" type="secondRowStripe"/>
    </tableStyle>
    <tableStyle count="3" pivot="0" name="S1-style">
      <tableStyleElement dxfId="14" type="headerRow"/>
      <tableStyleElement dxfId="2" type="firstRowStripe"/>
      <tableStyleElement dxfId="15"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61" Type="http://schemas.openxmlformats.org/officeDocument/2006/relationships/worksheet" Target="worksheets/sheet57.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60" Type="http://schemas.openxmlformats.org/officeDocument/2006/relationships/worksheet" Target="worksheets/sheet56.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59" Type="http://schemas.openxmlformats.org/officeDocument/2006/relationships/worksheet" Target="worksheets/sheet55.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0000"/>
                </a:solidFill>
                <a:latin typeface="+mn-lt"/>
              </a:defRPr>
            </a:pPr>
            <a:r>
              <a:rPr b="1">
                <a:solidFill>
                  <a:srgbClr val="FF0000"/>
                </a:solidFill>
                <a:latin typeface="+mn-lt"/>
              </a:rPr>
              <a:t>I. DOANH SỐ</a:t>
            </a:r>
          </a:p>
        </c:rich>
      </c:tx>
      <c:overlay val="0"/>
    </c:title>
    <c:plotArea>
      <c:layout/>
      <c:barChart>
        <c:barDir val="col"/>
        <c:ser>
          <c:idx val="0"/>
          <c:order val="0"/>
          <c:tx>
            <c:strRef>
              <c:f>'S2'!$C$125</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'S2'!$D$124:$I$124</c:f>
            </c:strRef>
          </c:cat>
          <c:val>
            <c:numRef>
              <c:f>'S2'!$D$125:$I$125</c:f>
              <c:numCache/>
            </c:numRef>
          </c:val>
        </c:ser>
        <c:axId val="1541614908"/>
        <c:axId val="830451214"/>
      </c:barChart>
      <c:lineChart>
        <c:varyColors val="0"/>
        <c:ser>
          <c:idx val="1"/>
          <c:order val="1"/>
          <c:tx>
            <c:strRef>
              <c:f>'S2'!$C$126</c:f>
            </c:strRef>
          </c:tx>
          <c:spPr>
            <a:ln cmpd="sng">
              <a:solidFill>
                <a:srgbClr val="C0504D"/>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'S2'!$D$124:$I$124</c:f>
            </c:strRef>
          </c:cat>
          <c:val>
            <c:numRef>
              <c:f>'S2'!$D$126:$I$126</c:f>
              <c:numCache/>
            </c:numRef>
          </c:val>
          <c:smooth val="0"/>
        </c:ser>
        <c:axId val="1541614908"/>
        <c:axId val="830451214"/>
      </c:lineChart>
      <c:catAx>
        <c:axId val="15416149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30451214"/>
      </c:catAx>
      <c:valAx>
        <c:axId val="8304512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41614908"/>
      </c:valAx>
    </c:plotArea>
    <c:legend>
      <c:legendPos val="r"/>
      <c:overlay val="0"/>
      <c:txPr>
        <a:bodyPr/>
        <a:lstStyle/>
        <a:p>
          <a:pPr lvl="0">
            <a:defRPr b="0">
              <a:solidFill>
                <a:srgbClr val="1A1A1A"/>
              </a:solidFill>
              <a:latin typeface="+mn-lt"/>
            </a:defRPr>
          </a:pPr>
        </a:p>
      </c:txPr>
    </c:legend>
    <c:plotVisOnly val="1"/>
  </c:chart>
  <c:spPr>
    <a:solidFill>
      <a:srgbClr val="FFF2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0000"/>
                </a:solidFill>
                <a:latin typeface="+mn-lt"/>
              </a:defRPr>
            </a:pPr>
            <a:r>
              <a:rPr b="1">
                <a:solidFill>
                  <a:srgbClr val="FF0000"/>
                </a:solidFill>
                <a:latin typeface="+mn-lt"/>
              </a:rPr>
              <a:t>II. DOANH THU - HOA HỒNG</a:t>
            </a:r>
          </a:p>
        </c:rich>
      </c:tx>
      <c:overlay val="0"/>
    </c:title>
    <c:plotArea>
      <c:layout/>
      <c:barChart>
        <c:barDir val="col"/>
        <c:ser>
          <c:idx val="0"/>
          <c:order val="0"/>
          <c:tx>
            <c:strRef>
              <c:f>'S2'!$C$136</c:f>
            </c:strRef>
          </c:tx>
          <c:spPr>
            <a:solidFill>
              <a:schemeClr val="accent1"/>
            </a:solidFill>
            <a:ln cmpd="sng">
              <a:noFill/>
            </a:ln>
          </c:spPr>
          <c:dPt>
            <c:idx val="2"/>
          </c:dPt>
          <c:dLbls>
            <c:numFmt formatCode="General" sourceLinked="1"/>
            <c:txPr>
              <a:bodyPr/>
              <a:lstStyle/>
              <a:p>
                <a:pPr lvl="0">
                  <a:defRPr/>
                </a:pPr>
              </a:p>
            </c:txPr>
            <c:showLegendKey val="0"/>
            <c:showVal val="1"/>
            <c:showCatName val="0"/>
            <c:showSerName val="0"/>
            <c:showPercent val="0"/>
            <c:showBubbleSize val="0"/>
          </c:dLbls>
          <c:cat>
            <c:strRef>
              <c:f>'S2'!$D$135:$I$135</c:f>
            </c:strRef>
          </c:cat>
          <c:val>
            <c:numRef>
              <c:f>'S2'!$D$136:$I$136</c:f>
              <c:numCache/>
            </c:numRef>
          </c:val>
        </c:ser>
        <c:axId val="1227654134"/>
        <c:axId val="754559971"/>
      </c:barChart>
      <c:lineChart>
        <c:varyColors val="0"/>
        <c:ser>
          <c:idx val="1"/>
          <c:order val="1"/>
          <c:tx>
            <c:strRef>
              <c:f>'S2'!$C$137</c:f>
            </c:strRef>
          </c:tx>
          <c:spPr>
            <a:ln cmpd="sng">
              <a:solidFill>
                <a:srgbClr val="C0504D"/>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'S2'!$D$135:$I$135</c:f>
            </c:strRef>
          </c:cat>
          <c:val>
            <c:numRef>
              <c:f>'S2'!$D$137:$I$137</c:f>
              <c:numCache/>
            </c:numRef>
          </c:val>
          <c:smooth val="0"/>
        </c:ser>
        <c:axId val="1227654134"/>
        <c:axId val="754559971"/>
      </c:lineChart>
      <c:catAx>
        <c:axId val="12276541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54559971"/>
      </c:catAx>
      <c:valAx>
        <c:axId val="7545599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27654134"/>
      </c:valAx>
    </c:plotArea>
    <c:legend>
      <c:legendPos val="r"/>
      <c:overlay val="0"/>
      <c:txPr>
        <a:bodyPr/>
        <a:lstStyle/>
        <a:p>
          <a:pPr lvl="0">
            <a:defRPr b="0">
              <a:solidFill>
                <a:srgbClr val="1A1A1A"/>
              </a:solidFill>
              <a:latin typeface="+mn-lt"/>
            </a:defRPr>
          </a:pPr>
        </a:p>
      </c:txPr>
    </c:legend>
    <c:plotVisOnly val="1"/>
  </c:chart>
  <c:spPr>
    <a:solidFill>
      <a:srgbClr val="D7F6EC"/>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0000"/>
                </a:solidFill>
                <a:latin typeface="+mn-lt"/>
              </a:defRPr>
            </a:pPr>
            <a:r>
              <a:rPr b="1">
                <a:solidFill>
                  <a:srgbClr val="FF0000"/>
                </a:solidFill>
                <a:latin typeface="+mn-lt"/>
              </a:rPr>
              <a:t>IX. TOTAL CHI PHÍ và % vs BP</a:t>
            </a:r>
          </a:p>
        </c:rich>
      </c:tx>
      <c:overlay val="0"/>
    </c:title>
    <c:plotArea>
      <c:layout/>
      <c:barChart>
        <c:barDir val="col"/>
        <c:ser>
          <c:idx val="0"/>
          <c:order val="0"/>
          <c:tx>
            <c:strRef>
              <c:f>'S2'!$C$149:$F$149</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'S2'!$G$148:$I$148</c:f>
            </c:strRef>
          </c:cat>
          <c:val>
            <c:numRef>
              <c:f>'S2'!$G$149:$I$149</c:f>
              <c:numCache/>
            </c:numRef>
          </c:val>
        </c:ser>
        <c:axId val="1597940496"/>
        <c:axId val="715052000"/>
      </c:barChart>
      <c:lineChart>
        <c:varyColors val="0"/>
        <c:ser>
          <c:idx val="1"/>
          <c:order val="1"/>
          <c:tx>
            <c:strRef>
              <c:f>'S2'!$C$150:$F$150</c:f>
            </c:strRef>
          </c:tx>
          <c:spPr>
            <a:ln cmpd="sng">
              <a:solidFill>
                <a:srgbClr val="C0504D"/>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'S2'!$G$148:$I$148</c:f>
            </c:strRef>
          </c:cat>
          <c:val>
            <c:numRef>
              <c:f>'S2'!$G$150:$I$150</c:f>
              <c:numCache/>
            </c:numRef>
          </c:val>
          <c:smooth val="0"/>
        </c:ser>
        <c:axId val="1597940496"/>
        <c:axId val="715052000"/>
      </c:lineChart>
      <c:catAx>
        <c:axId val="15979404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15052000"/>
      </c:catAx>
      <c:valAx>
        <c:axId val="7150520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97940496"/>
      </c:valAx>
    </c:plotArea>
    <c:legend>
      <c:legendPos val="r"/>
      <c:overlay val="0"/>
      <c:txPr>
        <a:bodyPr/>
        <a:lstStyle/>
        <a:p>
          <a:pPr lvl="0">
            <a:defRPr b="0">
              <a:solidFill>
                <a:srgbClr val="1A1A1A"/>
              </a:solidFill>
              <a:latin typeface="+mn-lt"/>
            </a:defRPr>
          </a:pPr>
        </a:p>
      </c:txPr>
    </c:legend>
    <c:plotVisOnly val="1"/>
  </c:chart>
  <c:spPr>
    <a:solidFill>
      <a:srgbClr val="F4CCCC"/>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FF"/>
                </a:solidFill>
                <a:latin typeface="+mn-lt"/>
              </a:defRPr>
            </a:pPr>
            <a:r>
              <a:rPr b="1">
                <a:solidFill>
                  <a:srgbClr val="0000FF"/>
                </a:solidFill>
                <a:latin typeface="+mn-lt"/>
              </a:rPr>
              <a:t>XI. LỢI NHUẬN TRƯỚC THUẾ  và % vs BP</a:t>
            </a:r>
          </a:p>
        </c:rich>
      </c:tx>
      <c:overlay val="0"/>
    </c:title>
    <c:plotArea>
      <c:layout/>
      <c:barChart>
        <c:barDir val="col"/>
        <c:ser>
          <c:idx val="0"/>
          <c:order val="0"/>
          <c:tx>
            <c:strRef>
              <c:f>'S2'!$C$161:$F$161</c:f>
            </c:strRef>
          </c:tx>
          <c:spPr>
            <a:solidFill>
              <a:srgbClr val="00B05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'S2'!$G$160:$I$160</c:f>
            </c:strRef>
          </c:cat>
          <c:val>
            <c:numRef>
              <c:f>'S2'!$G$161:$I$161</c:f>
              <c:numCache/>
            </c:numRef>
          </c:val>
        </c:ser>
        <c:axId val="97217636"/>
        <c:axId val="444937905"/>
      </c:barChart>
      <c:lineChart>
        <c:varyColors val="0"/>
        <c:ser>
          <c:idx val="1"/>
          <c:order val="1"/>
          <c:tx>
            <c:strRef>
              <c:f>'S2'!$C$162:$F$162</c:f>
            </c:strRef>
          </c:tx>
          <c:spPr>
            <a:ln cmpd="sng">
              <a:solidFill>
                <a:srgbClr val="C0504D"/>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'S2'!$G$160:$I$160</c:f>
            </c:strRef>
          </c:cat>
          <c:val>
            <c:numRef>
              <c:f>'S2'!$G$162:$I$162</c:f>
              <c:numCache/>
            </c:numRef>
          </c:val>
          <c:smooth val="0"/>
        </c:ser>
        <c:axId val="97217636"/>
        <c:axId val="444937905"/>
      </c:lineChart>
      <c:catAx>
        <c:axId val="972176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44937905"/>
      </c:catAx>
      <c:valAx>
        <c:axId val="4449379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7217636"/>
      </c:valAx>
    </c:plotArea>
    <c:legend>
      <c:legendPos val="r"/>
      <c:overlay val="0"/>
      <c:txPr>
        <a:bodyPr/>
        <a:lstStyle/>
        <a:p>
          <a:pPr lvl="0">
            <a:defRPr b="0">
              <a:solidFill>
                <a:srgbClr val="1A1A1A"/>
              </a:solidFill>
              <a:latin typeface="+mn-lt"/>
            </a:defRPr>
          </a:pPr>
        </a:p>
      </c:txPr>
    </c:legend>
    <c:plotVisOnly val="1"/>
  </c:chart>
  <c:spPr>
    <a:solidFill>
      <a:srgbClr val="D9EAD3"/>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'S4'!$C$139</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'S4'!$D$138:$I$138</c:f>
            </c:strRef>
          </c:cat>
          <c:val>
            <c:numRef>
              <c:f>'S4'!$D$139:$I$139</c:f>
              <c:numCache/>
            </c:numRef>
          </c:val>
        </c:ser>
        <c:axId val="1858206091"/>
        <c:axId val="804553948"/>
      </c:barChart>
      <c:lineChart>
        <c:varyColors val="0"/>
        <c:ser>
          <c:idx val="1"/>
          <c:order val="1"/>
          <c:tx>
            <c:strRef>
              <c:f>'S4'!$C$140</c:f>
            </c:strRef>
          </c:tx>
          <c:spPr>
            <a:ln cmpd="sng">
              <a:solidFill>
                <a:srgbClr val="C0504D"/>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'S4'!$D$138:$I$138</c:f>
            </c:strRef>
          </c:cat>
          <c:val>
            <c:numRef>
              <c:f>'S4'!$D$140:$I$140</c:f>
              <c:numCache/>
            </c:numRef>
          </c:val>
          <c:smooth val="0"/>
        </c:ser>
        <c:axId val="1858206091"/>
        <c:axId val="804553948"/>
      </c:lineChart>
      <c:catAx>
        <c:axId val="18582060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04553948"/>
      </c:catAx>
      <c:valAx>
        <c:axId val="8045539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58206091"/>
      </c:valAx>
    </c:plotArea>
    <c:legend>
      <c:legendPos val="r"/>
      <c:overlay val="0"/>
      <c:txPr>
        <a:bodyPr/>
        <a:lstStyle/>
        <a:p>
          <a:pPr lvl="0">
            <a:defRPr b="0">
              <a:solidFill>
                <a:srgbClr val="1A1A1A"/>
              </a:solidFill>
              <a:latin typeface="+mn-lt"/>
            </a:defRPr>
          </a:pPr>
        </a:p>
      </c:txPr>
    </c:legend>
    <c:plotVisOnly val="1"/>
  </c:chart>
  <c:spPr>
    <a:solidFill>
      <a:srgbClr val="C5E0B3"/>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'S4'!$C$142</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'S4'!$D$141:$I$141</c:f>
            </c:strRef>
          </c:cat>
          <c:val>
            <c:numRef>
              <c:f>'S4'!$D$142:$I$142</c:f>
              <c:numCache/>
            </c:numRef>
          </c:val>
        </c:ser>
        <c:axId val="337650561"/>
        <c:axId val="2000255385"/>
      </c:barChart>
      <c:lineChart>
        <c:varyColors val="0"/>
        <c:ser>
          <c:idx val="1"/>
          <c:order val="1"/>
          <c:tx>
            <c:strRef>
              <c:f>'S4'!$C$143</c:f>
            </c:strRef>
          </c:tx>
          <c:spPr>
            <a:ln cmpd="sng">
              <a:solidFill>
                <a:srgbClr val="C0504D"/>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'S4'!$D$141:$I$141</c:f>
            </c:strRef>
          </c:cat>
          <c:val>
            <c:numRef>
              <c:f>'S4'!$D$143:$I$143</c:f>
              <c:numCache/>
            </c:numRef>
          </c:val>
          <c:smooth val="0"/>
        </c:ser>
        <c:axId val="337650561"/>
        <c:axId val="2000255385"/>
      </c:lineChart>
      <c:catAx>
        <c:axId val="3376505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00255385"/>
      </c:catAx>
      <c:valAx>
        <c:axId val="20002553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37650561"/>
      </c:valAx>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'S4'!$C$147</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'S4'!$D$146:$I$146</c:f>
            </c:strRef>
          </c:cat>
          <c:val>
            <c:numRef>
              <c:f>'S4'!$D$147:$I$147</c:f>
              <c:numCache/>
            </c:numRef>
          </c:val>
        </c:ser>
        <c:axId val="1623914416"/>
        <c:axId val="1667557578"/>
      </c:barChart>
      <c:lineChart>
        <c:varyColors val="0"/>
        <c:ser>
          <c:idx val="1"/>
          <c:order val="1"/>
          <c:tx>
            <c:strRef>
              <c:f>'S4'!$C$148</c:f>
            </c:strRef>
          </c:tx>
          <c:spPr>
            <a:ln cmpd="sng">
              <a:solidFill>
                <a:srgbClr val="C0504D"/>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'S4'!$D$146:$I$146</c:f>
            </c:strRef>
          </c:cat>
          <c:val>
            <c:numRef>
              <c:f>'S4'!$D$148:$I$148</c:f>
              <c:numCache/>
            </c:numRef>
          </c:val>
          <c:smooth val="0"/>
        </c:ser>
        <c:axId val="1623914416"/>
        <c:axId val="1667557578"/>
      </c:lineChart>
      <c:catAx>
        <c:axId val="16239144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67557578"/>
      </c:catAx>
      <c:valAx>
        <c:axId val="16675575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23914416"/>
      </c:valAx>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'S4'!$C$150</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'S4'!$D$149:$I$149</c:f>
            </c:strRef>
          </c:cat>
          <c:val>
            <c:numRef>
              <c:f>'S4'!$D$150:$I$150</c:f>
              <c:numCache/>
            </c:numRef>
          </c:val>
        </c:ser>
        <c:axId val="738414439"/>
        <c:axId val="1127974641"/>
      </c:barChart>
      <c:lineChart>
        <c:varyColors val="0"/>
        <c:ser>
          <c:idx val="1"/>
          <c:order val="1"/>
          <c:tx>
            <c:strRef>
              <c:f>'S4'!$C$151</c:f>
            </c:strRef>
          </c:tx>
          <c:spPr>
            <a:ln cmpd="sng">
              <a:solidFill>
                <a:srgbClr val="C0504D"/>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'S4'!$D$149:$I$149</c:f>
            </c:strRef>
          </c:cat>
          <c:val>
            <c:numRef>
              <c:f>'S4'!$D$151:$I$151</c:f>
              <c:numCache/>
            </c:numRef>
          </c:val>
          <c:smooth val="0"/>
        </c:ser>
        <c:axId val="738414439"/>
        <c:axId val="1127974641"/>
      </c:lineChart>
      <c:catAx>
        <c:axId val="7384144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27974641"/>
      </c:catAx>
      <c:valAx>
        <c:axId val="11279746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38414439"/>
      </c:valAx>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'S4'!$C$156</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'S4'!$D$155:$I$155</c:f>
            </c:strRef>
          </c:cat>
          <c:val>
            <c:numRef>
              <c:f>'S4'!$D$156:$I$156</c:f>
              <c:numCache/>
            </c:numRef>
          </c:val>
        </c:ser>
        <c:axId val="907079486"/>
        <c:axId val="1732546511"/>
      </c:barChart>
      <c:lineChart>
        <c:varyColors val="0"/>
        <c:ser>
          <c:idx val="1"/>
          <c:order val="1"/>
          <c:tx>
            <c:strRef>
              <c:f>'S4'!$C$157</c:f>
            </c:strRef>
          </c:tx>
          <c:spPr>
            <a:ln cmpd="sng">
              <a:solidFill>
                <a:srgbClr val="C0504D"/>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'S4'!$D$155:$I$155</c:f>
            </c:strRef>
          </c:cat>
          <c:val>
            <c:numRef>
              <c:f>'S4'!$D$157:$I$157</c:f>
              <c:numCache/>
            </c:numRef>
          </c:val>
          <c:smooth val="0"/>
        </c:ser>
        <c:axId val="907079486"/>
        <c:axId val="1732546511"/>
      </c:lineChart>
      <c:catAx>
        <c:axId val="9070794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32546511"/>
      </c:catAx>
      <c:valAx>
        <c:axId val="17325465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07079486"/>
      </c:valAx>
    </c:plotArea>
    <c:legend>
      <c:legendPos val="r"/>
      <c:overlay val="0"/>
      <c:txPr>
        <a:bodyPr/>
        <a:lstStyle/>
        <a:p>
          <a:pPr lvl="0">
            <a:defRPr b="0">
              <a:solidFill>
                <a:srgbClr val="1A1A1A"/>
              </a:solidFill>
              <a:latin typeface="+mn-lt"/>
            </a:defRPr>
          </a:pPr>
        </a:p>
      </c:txPr>
    </c:legend>
    <c:plotVisOnly val="1"/>
  </c:chart>
  <c:spPr>
    <a:solidFill>
      <a:srgbClr val="FFCCFF"/>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303CD"/>
                </a:solidFill>
                <a:latin typeface="Arial"/>
              </a:defRPr>
            </a:pPr>
            <a:r>
              <a:rPr b="1">
                <a:solidFill>
                  <a:srgbClr val="0303CD"/>
                </a:solidFill>
                <a:latin typeface="Arial"/>
              </a:rPr>
              <a:t>DOANH SỐ QUÝ II-2022</a:t>
            </a:r>
          </a:p>
        </c:rich>
      </c:tx>
      <c:overlay val="0"/>
    </c:title>
    <c:plotArea>
      <c:layout/>
      <c:lineChart>
        <c:ser>
          <c:idx val="0"/>
          <c:order val="0"/>
          <c:tx>
            <c:strRef>
              <c:f>'BIỂU ĐỒ'!$B$2</c:f>
            </c:strRef>
          </c:tx>
          <c:spPr>
            <a:ln cmpd="sng">
              <a:solidFill>
                <a:srgbClr val="4F81BD"/>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ĐỒ'!$C$1:$E$1</c:f>
            </c:strRef>
          </c:cat>
          <c:val>
            <c:numRef>
              <c:f>'BIỂU ĐỒ'!$C$2:$E$2</c:f>
              <c:numCache/>
            </c:numRef>
          </c:val>
          <c:smooth val="1"/>
        </c:ser>
        <c:ser>
          <c:idx val="1"/>
          <c:order val="1"/>
          <c:tx>
            <c:strRef>
              <c:f>'BIỂU ĐỒ'!$B$3</c:f>
            </c:strRef>
          </c:tx>
          <c:spPr>
            <a:ln cmpd="sng">
              <a:solidFill>
                <a:srgbClr val="C0504D"/>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ĐỒ'!$C$1:$E$1</c:f>
            </c:strRef>
          </c:cat>
          <c:val>
            <c:numRef>
              <c:f>'BIỂU ĐỒ'!$C$3:$E$3</c:f>
              <c:numCache/>
            </c:numRef>
          </c:val>
          <c:smooth val="1"/>
        </c:ser>
        <c:ser>
          <c:idx val="2"/>
          <c:order val="2"/>
          <c:tx>
            <c:strRef>
              <c:f>'BIỂU ĐỒ'!$B$4</c:f>
            </c:strRef>
          </c:tx>
          <c:spPr>
            <a:ln cmpd="sng">
              <a:solidFill>
                <a:srgbClr val="9BBB59"/>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ĐỒ'!$C$1:$E$1</c:f>
            </c:strRef>
          </c:cat>
          <c:val>
            <c:numRef>
              <c:f>'BIỂU ĐỒ'!$C$4:$E$4</c:f>
              <c:numCache/>
            </c:numRef>
          </c:val>
          <c:smooth val="1"/>
        </c:ser>
        <c:ser>
          <c:idx val="3"/>
          <c:order val="3"/>
          <c:tx>
            <c:strRef>
              <c:f>'BIỂU ĐỒ'!$B$5</c:f>
            </c:strRef>
          </c:tx>
          <c:spPr>
            <a:ln cmpd="sng">
              <a:solidFill>
                <a:srgbClr val="8064A2"/>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ĐỒ'!$C$1:$E$1</c:f>
            </c:strRef>
          </c:cat>
          <c:val>
            <c:numRef>
              <c:f>'BIỂU ĐỒ'!$C$5:$E$5</c:f>
              <c:numCache/>
            </c:numRef>
          </c:val>
          <c:smooth val="1"/>
        </c:ser>
        <c:ser>
          <c:idx val="4"/>
          <c:order val="4"/>
          <c:tx>
            <c:strRef>
              <c:f>'BIỂU ĐỒ'!$B$6</c:f>
            </c:strRef>
          </c:tx>
          <c:spPr>
            <a:ln cmpd="sng">
              <a:solidFill>
                <a:srgbClr val="4BACC6"/>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ĐỒ'!$C$1:$E$1</c:f>
            </c:strRef>
          </c:cat>
          <c:val>
            <c:numRef>
              <c:f>'BIỂU ĐỒ'!$C$6:$E$6</c:f>
              <c:numCache/>
            </c:numRef>
          </c:val>
          <c:smooth val="1"/>
        </c:ser>
        <c:ser>
          <c:idx val="5"/>
          <c:order val="5"/>
          <c:tx>
            <c:strRef>
              <c:f>'BIỂU ĐỒ'!$B$7</c:f>
            </c:strRef>
          </c:tx>
          <c:spPr>
            <a:ln cmpd="sng">
              <a:solidFill>
                <a:srgbClr val="F79646"/>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ĐỒ'!$C$1:$E$1</c:f>
            </c:strRef>
          </c:cat>
          <c:val>
            <c:numRef>
              <c:f>'BIỂU ĐỒ'!$C$7:$E$7</c:f>
              <c:numCache/>
            </c:numRef>
          </c:val>
          <c:smooth val="1"/>
        </c:ser>
        <c:ser>
          <c:idx val="6"/>
          <c:order val="6"/>
          <c:tx>
            <c:strRef>
              <c:f>'BIỂU ĐỒ'!$B$8</c:f>
            </c:strRef>
          </c:tx>
          <c:spPr>
            <a:ln cmpd="sng">
              <a:solidFill>
                <a:srgbClr val="84A7D1"/>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ĐỒ'!$C$1:$E$1</c:f>
            </c:strRef>
          </c:cat>
          <c:val>
            <c:numRef>
              <c:f>'BIỂU ĐỒ'!$C$8:$E$8</c:f>
              <c:numCache/>
            </c:numRef>
          </c:val>
          <c:smooth val="1"/>
        </c:ser>
        <c:ser>
          <c:idx val="7"/>
          <c:order val="7"/>
          <c:tx>
            <c:strRef>
              <c:f>'BIỂU ĐỒ'!$B$9</c:f>
            </c:strRef>
          </c:tx>
          <c:spPr>
            <a:ln cmpd="sng">
              <a:solidFill>
                <a:srgbClr val="D38582"/>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ĐỒ'!$C$1:$E$1</c:f>
            </c:strRef>
          </c:cat>
          <c:val>
            <c:numRef>
              <c:f>'BIỂU ĐỒ'!$C$9:$E$9</c:f>
              <c:numCache/>
            </c:numRef>
          </c:val>
          <c:smooth val="1"/>
        </c:ser>
        <c:ser>
          <c:idx val="8"/>
          <c:order val="8"/>
          <c:tx>
            <c:strRef>
              <c:f>'BIỂU ĐỒ'!$B$10</c:f>
            </c:strRef>
          </c:tx>
          <c:spPr>
            <a:ln cmpd="sng">
              <a:solidFill>
                <a:srgbClr val="B9CF8B"/>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ĐỒ'!$C$1:$E$1</c:f>
            </c:strRef>
          </c:cat>
          <c:val>
            <c:numRef>
              <c:f>'BIỂU ĐỒ'!$C$10:$E$10</c:f>
              <c:numCache/>
            </c:numRef>
          </c:val>
          <c:smooth val="1"/>
        </c:ser>
        <c:ser>
          <c:idx val="9"/>
          <c:order val="9"/>
          <c:tx>
            <c:strRef>
              <c:f>'BIỂU ĐỒ'!$B$11</c:f>
            </c:strRef>
          </c:tx>
          <c:spPr>
            <a:ln cmpd="sng">
              <a:solidFill>
                <a:srgbClr val="A693BE"/>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ĐỒ'!$C$1:$E$1</c:f>
            </c:strRef>
          </c:cat>
          <c:val>
            <c:numRef>
              <c:f>'BIỂU ĐỒ'!$C$11:$E$11</c:f>
              <c:numCache/>
            </c:numRef>
          </c:val>
          <c:smooth val="1"/>
        </c:ser>
        <c:ser>
          <c:idx val="10"/>
          <c:order val="10"/>
          <c:tx>
            <c:strRef>
              <c:f>'BIỂU ĐỒ'!$B$12</c:f>
            </c:strRef>
          </c:tx>
          <c:spPr>
            <a:ln cmpd="sng">
              <a:solidFill>
                <a:srgbClr val="81C5D7"/>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ĐỒ'!$C$1:$E$1</c:f>
            </c:strRef>
          </c:cat>
          <c:val>
            <c:numRef>
              <c:f>'BIỂU ĐỒ'!$C$12:$E$12</c:f>
              <c:numCache/>
            </c:numRef>
          </c:val>
          <c:smooth val="1"/>
        </c:ser>
        <c:ser>
          <c:idx val="11"/>
          <c:order val="11"/>
          <c:tx>
            <c:strRef>
              <c:f>'BIỂU ĐỒ'!$B$13</c:f>
            </c:strRef>
          </c:tx>
          <c:spPr>
            <a:ln cmpd="sng">
              <a:solidFill>
                <a:srgbClr val="F9B67E"/>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ĐỒ'!$C$1:$E$1</c:f>
            </c:strRef>
          </c:cat>
          <c:val>
            <c:numRef>
              <c:f>'BIỂU ĐỒ'!$C$13:$E$13</c:f>
              <c:numCache/>
            </c:numRef>
          </c:val>
          <c:smooth val="1"/>
        </c:ser>
        <c:ser>
          <c:idx val="12"/>
          <c:order val="12"/>
          <c:tx>
            <c:strRef>
              <c:f>'BIỂU ĐỒ'!$B$14</c:f>
            </c:strRef>
          </c:tx>
          <c:spPr>
            <a:ln cmpd="sng">
              <a:solidFill>
                <a:srgbClr val="B9CDE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ĐỒ'!$C$1:$E$1</c:f>
            </c:strRef>
          </c:cat>
          <c:val>
            <c:numRef>
              <c:f>'BIỂU ĐỒ'!$C$14:$E$14</c:f>
              <c:numCache/>
            </c:numRef>
          </c:val>
          <c:smooth val="1"/>
        </c:ser>
        <c:ser>
          <c:idx val="13"/>
          <c:order val="13"/>
          <c:tx>
            <c:strRef>
              <c:f>'BIỂU ĐỒ'!$B$15</c:f>
            </c:strRef>
          </c:tx>
          <c:spPr>
            <a:ln cmpd="sng">
              <a:solidFill>
                <a:srgbClr val="E6B9B8"/>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ĐỒ'!$C$1:$E$1</c:f>
            </c:strRef>
          </c:cat>
          <c:val>
            <c:numRef>
              <c:f>'BIỂU ĐỒ'!$C$15:$E$15</c:f>
              <c:numCache/>
            </c:numRef>
          </c:val>
          <c:smooth val="1"/>
        </c:ser>
        <c:ser>
          <c:idx val="14"/>
          <c:order val="14"/>
          <c:tx>
            <c:strRef>
              <c:f>'BIỂU ĐỒ'!$B$16</c:f>
            </c:strRef>
          </c:tx>
          <c:spPr>
            <a:ln cmpd="sng">
              <a:solidFill>
                <a:srgbClr val="FF0000">
                  <a:alpha val="100000"/>
                </a:srgbClr>
              </a:solidFill>
            </a:ln>
          </c:spPr>
          <c:marker>
            <c:symbol val="none"/>
          </c:marker>
          <c:dLbls>
            <c:numFmt formatCode="General" sourceLinked="1"/>
            <c:txPr>
              <a:bodyPr/>
              <a:lstStyle/>
              <a:p>
                <a:pPr lvl="0">
                  <a:defRPr b="1"/>
                </a:pPr>
              </a:p>
            </c:txPr>
            <c:showLegendKey val="0"/>
            <c:showVal val="1"/>
            <c:showCatName val="0"/>
            <c:showSerName val="0"/>
            <c:showPercent val="0"/>
            <c:showBubbleSize val="0"/>
          </c:dLbls>
          <c:cat>
            <c:strRef>
              <c:f>'BIỂU ĐỒ'!$C$1:$E$1</c:f>
            </c:strRef>
          </c:cat>
          <c:val>
            <c:numRef>
              <c:f>'BIỂU ĐỒ'!$C$16:$E$16</c:f>
              <c:numCache/>
            </c:numRef>
          </c:val>
          <c:smooth val="1"/>
        </c:ser>
        <c:axId val="495215101"/>
        <c:axId val="1086729942"/>
      </c:lineChart>
      <c:catAx>
        <c:axId val="4952151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86729942"/>
      </c:catAx>
      <c:valAx>
        <c:axId val="10867299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95215101"/>
      </c:valAx>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432FF"/>
                </a:solidFill>
                <a:latin typeface="+mn-lt"/>
              </a:defRPr>
            </a:pPr>
            <a:r>
              <a:rPr b="1">
                <a:solidFill>
                  <a:srgbClr val="0432FF"/>
                </a:solidFill>
                <a:latin typeface="+mn-lt"/>
              </a:rPr>
              <a:t>DOANH THU - HOA HỒNG QUÝ II-2022</a:t>
            </a:r>
          </a:p>
        </c:rich>
      </c:tx>
      <c:overlay val="0"/>
    </c:title>
    <c:plotArea>
      <c:layout/>
      <c:lineChart>
        <c:ser>
          <c:idx val="0"/>
          <c:order val="0"/>
          <c:tx>
            <c:strRef>
              <c:f>'BIỂU ĐỒ'!$B$20</c:f>
            </c:strRef>
          </c:tx>
          <c:spPr>
            <a:ln cmpd="sng">
              <a:solidFill>
                <a:srgbClr val="4F81BD"/>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ĐỒ'!$C$19:$E$19</c:f>
            </c:strRef>
          </c:cat>
          <c:val>
            <c:numRef>
              <c:f>'BIỂU ĐỒ'!$C$20:$E$20</c:f>
              <c:numCache/>
            </c:numRef>
          </c:val>
          <c:smooth val="1"/>
        </c:ser>
        <c:ser>
          <c:idx val="1"/>
          <c:order val="1"/>
          <c:tx>
            <c:strRef>
              <c:f>'BIỂU ĐỒ'!$B$21</c:f>
            </c:strRef>
          </c:tx>
          <c:spPr>
            <a:ln cmpd="sng">
              <a:solidFill>
                <a:srgbClr val="C0504D"/>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ĐỒ'!$C$19:$E$19</c:f>
            </c:strRef>
          </c:cat>
          <c:val>
            <c:numRef>
              <c:f>'BIỂU ĐỒ'!$C$21:$E$21</c:f>
              <c:numCache/>
            </c:numRef>
          </c:val>
          <c:smooth val="1"/>
        </c:ser>
        <c:ser>
          <c:idx val="2"/>
          <c:order val="2"/>
          <c:tx>
            <c:strRef>
              <c:f>'BIỂU ĐỒ'!$B$22</c:f>
            </c:strRef>
          </c:tx>
          <c:spPr>
            <a:ln cmpd="sng">
              <a:solidFill>
                <a:srgbClr val="9BBB59"/>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ĐỒ'!$C$19:$E$19</c:f>
            </c:strRef>
          </c:cat>
          <c:val>
            <c:numRef>
              <c:f>'BIỂU ĐỒ'!$C$22:$E$22</c:f>
              <c:numCache/>
            </c:numRef>
          </c:val>
          <c:smooth val="1"/>
        </c:ser>
        <c:ser>
          <c:idx val="3"/>
          <c:order val="3"/>
          <c:tx>
            <c:strRef>
              <c:f>'BIỂU ĐỒ'!$B$23</c:f>
            </c:strRef>
          </c:tx>
          <c:spPr>
            <a:ln cmpd="sng">
              <a:solidFill>
                <a:srgbClr val="8064A2"/>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ĐỒ'!$C$19:$E$19</c:f>
            </c:strRef>
          </c:cat>
          <c:val>
            <c:numRef>
              <c:f>'BIỂU ĐỒ'!$C$23:$E$23</c:f>
              <c:numCache/>
            </c:numRef>
          </c:val>
          <c:smooth val="1"/>
        </c:ser>
        <c:ser>
          <c:idx val="4"/>
          <c:order val="4"/>
          <c:tx>
            <c:strRef>
              <c:f>'BIỂU ĐỒ'!$B$24</c:f>
            </c:strRef>
          </c:tx>
          <c:spPr>
            <a:ln cmpd="sng">
              <a:solidFill>
                <a:srgbClr val="4BACC6"/>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ĐỒ'!$C$19:$E$19</c:f>
            </c:strRef>
          </c:cat>
          <c:val>
            <c:numRef>
              <c:f>'BIỂU ĐỒ'!$C$24:$E$24</c:f>
              <c:numCache/>
            </c:numRef>
          </c:val>
          <c:smooth val="1"/>
        </c:ser>
        <c:ser>
          <c:idx val="5"/>
          <c:order val="5"/>
          <c:tx>
            <c:strRef>
              <c:f>'BIỂU ĐỒ'!$B$25</c:f>
            </c:strRef>
          </c:tx>
          <c:spPr>
            <a:ln cmpd="sng">
              <a:solidFill>
                <a:srgbClr val="F79646"/>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ĐỒ'!$C$19:$E$19</c:f>
            </c:strRef>
          </c:cat>
          <c:val>
            <c:numRef>
              <c:f>'BIỂU ĐỒ'!$C$25:$E$25</c:f>
              <c:numCache/>
            </c:numRef>
          </c:val>
          <c:smooth val="1"/>
        </c:ser>
        <c:ser>
          <c:idx val="6"/>
          <c:order val="6"/>
          <c:tx>
            <c:strRef>
              <c:f>'BIỂU ĐỒ'!$B$26</c:f>
            </c:strRef>
          </c:tx>
          <c:spPr>
            <a:ln cmpd="sng">
              <a:solidFill>
                <a:srgbClr val="84A7D1"/>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ĐỒ'!$C$19:$E$19</c:f>
            </c:strRef>
          </c:cat>
          <c:val>
            <c:numRef>
              <c:f>'BIỂU ĐỒ'!$C$26:$E$26</c:f>
              <c:numCache/>
            </c:numRef>
          </c:val>
          <c:smooth val="1"/>
        </c:ser>
        <c:ser>
          <c:idx val="7"/>
          <c:order val="7"/>
          <c:tx>
            <c:strRef>
              <c:f>'BIỂU ĐỒ'!$B$27</c:f>
            </c:strRef>
          </c:tx>
          <c:spPr>
            <a:ln cmpd="sng">
              <a:solidFill>
                <a:srgbClr val="D38582"/>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ĐỒ'!$C$19:$E$19</c:f>
            </c:strRef>
          </c:cat>
          <c:val>
            <c:numRef>
              <c:f>'BIỂU ĐỒ'!$C$27:$E$27</c:f>
              <c:numCache/>
            </c:numRef>
          </c:val>
          <c:smooth val="1"/>
        </c:ser>
        <c:ser>
          <c:idx val="8"/>
          <c:order val="8"/>
          <c:tx>
            <c:strRef>
              <c:f>'BIỂU ĐỒ'!$B$28</c:f>
            </c:strRef>
          </c:tx>
          <c:spPr>
            <a:ln cmpd="sng">
              <a:solidFill>
                <a:srgbClr val="B9CF8B"/>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ĐỒ'!$C$19:$E$19</c:f>
            </c:strRef>
          </c:cat>
          <c:val>
            <c:numRef>
              <c:f>'BIỂU ĐỒ'!$C$28:$E$28</c:f>
              <c:numCache/>
            </c:numRef>
          </c:val>
          <c:smooth val="1"/>
        </c:ser>
        <c:ser>
          <c:idx val="9"/>
          <c:order val="9"/>
          <c:tx>
            <c:strRef>
              <c:f>'BIỂU ĐỒ'!$B$29</c:f>
            </c:strRef>
          </c:tx>
          <c:spPr>
            <a:ln cmpd="sng">
              <a:solidFill>
                <a:srgbClr val="A693BE"/>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ĐỒ'!$C$19:$E$19</c:f>
            </c:strRef>
          </c:cat>
          <c:val>
            <c:numRef>
              <c:f>'BIỂU ĐỒ'!$C$29:$E$29</c:f>
              <c:numCache/>
            </c:numRef>
          </c:val>
          <c:smooth val="1"/>
        </c:ser>
        <c:ser>
          <c:idx val="10"/>
          <c:order val="10"/>
          <c:tx>
            <c:strRef>
              <c:f>'BIỂU ĐỒ'!$B$30</c:f>
            </c:strRef>
          </c:tx>
          <c:spPr>
            <a:ln cmpd="sng">
              <a:solidFill>
                <a:srgbClr val="81C5D7"/>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ĐỒ'!$C$19:$E$19</c:f>
            </c:strRef>
          </c:cat>
          <c:val>
            <c:numRef>
              <c:f>'BIỂU ĐỒ'!$C$30:$E$30</c:f>
              <c:numCache/>
            </c:numRef>
          </c:val>
          <c:smooth val="1"/>
        </c:ser>
        <c:ser>
          <c:idx val="11"/>
          <c:order val="11"/>
          <c:tx>
            <c:strRef>
              <c:f>'BIỂU ĐỒ'!$B$31</c:f>
            </c:strRef>
          </c:tx>
          <c:spPr>
            <a:ln cmpd="sng">
              <a:solidFill>
                <a:srgbClr val="F9B67E"/>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ĐỒ'!$C$19:$E$19</c:f>
            </c:strRef>
          </c:cat>
          <c:val>
            <c:numRef>
              <c:f>'BIỂU ĐỒ'!$C$31:$E$31</c:f>
              <c:numCache/>
            </c:numRef>
          </c:val>
          <c:smooth val="1"/>
        </c:ser>
        <c:ser>
          <c:idx val="12"/>
          <c:order val="12"/>
          <c:tx>
            <c:strRef>
              <c:f>'BIỂU ĐỒ'!$B$32</c:f>
            </c:strRef>
          </c:tx>
          <c:spPr>
            <a:ln cmpd="sng">
              <a:solidFill>
                <a:srgbClr val="B9CDE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ĐỒ'!$C$19:$E$19</c:f>
            </c:strRef>
          </c:cat>
          <c:val>
            <c:numRef>
              <c:f>'BIỂU ĐỒ'!$C$32:$E$32</c:f>
              <c:numCache/>
            </c:numRef>
          </c:val>
          <c:smooth val="1"/>
        </c:ser>
        <c:ser>
          <c:idx val="13"/>
          <c:order val="13"/>
          <c:tx>
            <c:strRef>
              <c:f>'BIỂU ĐỒ'!$B$33</c:f>
            </c:strRef>
          </c:tx>
          <c:spPr>
            <a:ln cmpd="sng">
              <a:solidFill>
                <a:srgbClr val="E6B9B8"/>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ĐỒ'!$C$19:$E$19</c:f>
            </c:strRef>
          </c:cat>
          <c:val>
            <c:numRef>
              <c:f>'BIỂU ĐỒ'!$C$33:$E$33</c:f>
              <c:numCache/>
            </c:numRef>
          </c:val>
          <c:smooth val="1"/>
        </c:ser>
        <c:ser>
          <c:idx val="14"/>
          <c:order val="14"/>
          <c:tx>
            <c:strRef>
              <c:f>'BIỂU ĐỒ'!$B$34</c:f>
            </c:strRef>
          </c:tx>
          <c:spPr>
            <a:ln cmpd="sng">
              <a:solidFill>
                <a:srgbClr val="FF0000">
                  <a:alpha val="100000"/>
                </a:srgbClr>
              </a:solidFill>
            </a:ln>
          </c:spPr>
          <c:marker>
            <c:symbol val="none"/>
          </c:marker>
          <c:dLbls>
            <c:numFmt formatCode="General" sourceLinked="1"/>
            <c:txPr>
              <a:bodyPr/>
              <a:lstStyle/>
              <a:p>
                <a:pPr lvl="0">
                  <a:defRPr b="1"/>
                </a:pPr>
              </a:p>
            </c:txPr>
            <c:showLegendKey val="0"/>
            <c:showVal val="1"/>
            <c:showCatName val="0"/>
            <c:showSerName val="0"/>
            <c:showPercent val="0"/>
            <c:showBubbleSize val="0"/>
          </c:dLbls>
          <c:cat>
            <c:strRef>
              <c:f>'BIỂU ĐỒ'!$C$19:$E$19</c:f>
            </c:strRef>
          </c:cat>
          <c:val>
            <c:numRef>
              <c:f>'BIỂU ĐỒ'!$C$34:$E$34</c:f>
              <c:numCache/>
            </c:numRef>
          </c:val>
          <c:smooth val="1"/>
        </c:ser>
        <c:axId val="1179946749"/>
        <c:axId val="273704204"/>
      </c:lineChart>
      <c:catAx>
        <c:axId val="11799467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73704204"/>
      </c:catAx>
      <c:valAx>
        <c:axId val="2737042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79946749"/>
      </c:valAx>
    </c:plotArea>
    <c:legend>
      <c:legendPos val="r"/>
      <c:overlay val="0"/>
      <c:txPr>
        <a:bodyPr/>
        <a:lstStyle/>
        <a:p>
          <a:pPr lvl="0">
            <a:defRPr b="0">
              <a:solidFill>
                <a:srgbClr val="1A1A1A"/>
              </a:solidFill>
              <a:latin typeface="+mn-lt"/>
            </a:defRPr>
          </a:pPr>
        </a:p>
      </c:txPr>
    </c:legend>
    <c:plotVisOnly val="1"/>
  </c:chart>
  <c:spPr>
    <a:solidFill>
      <a:srgbClr val="FFF2CC"/>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0000"/>
                </a:solidFill>
                <a:latin typeface="+mn-lt"/>
              </a:defRPr>
            </a:pPr>
            <a:r>
              <a:rPr b="1">
                <a:solidFill>
                  <a:srgbClr val="FF0000"/>
                </a:solidFill>
                <a:latin typeface="+mn-lt"/>
              </a:rPr>
              <a:t>LỢI NHUẬN </a:t>
            </a:r>
          </a:p>
        </c:rich>
      </c:tx>
      <c:overlay val="0"/>
    </c:title>
    <c:plotArea>
      <c:layout/>
      <c:barChart>
        <c:barDir val="col"/>
        <c:ser>
          <c:idx val="0"/>
          <c:order val="0"/>
          <c:tx>
            <c:strRef>
              <c:f>'BIỂU ĐỒ'!$B$44</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'BIỂU ĐỒ'!$C$43:$F$43</c:f>
            </c:strRef>
          </c:cat>
          <c:val>
            <c:numRef>
              <c:f>'BIỂU ĐỒ'!$C$44:$F$44</c:f>
              <c:numCache/>
            </c:numRef>
          </c:val>
        </c:ser>
        <c:ser>
          <c:idx val="1"/>
          <c:order val="1"/>
          <c:tx>
            <c:strRef>
              <c:f>'BIỂU ĐỒ'!$B$45</c:f>
            </c:strRef>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'BIỂU ĐỒ'!$C$43:$F$43</c:f>
            </c:strRef>
          </c:cat>
          <c:val>
            <c:numRef>
              <c:f>'BIỂU ĐỒ'!$C$45:$F$45</c:f>
              <c:numCache/>
            </c:numRef>
          </c:val>
        </c:ser>
        <c:ser>
          <c:idx val="2"/>
          <c:order val="2"/>
          <c:tx>
            <c:strRef>
              <c:f>'BIỂU ĐỒ'!$B$46</c:f>
            </c:strRef>
          </c:tx>
          <c:cat>
            <c:strRef>
              <c:f>'BIỂU ĐỒ'!$C$43:$F$43</c:f>
            </c:strRef>
          </c:cat>
          <c:val>
            <c:numRef>
              <c:f>'BIỂU ĐỒ'!$C$46:$F$46</c:f>
              <c:numCache/>
            </c:numRef>
          </c:val>
        </c:ser>
        <c:axId val="1932054417"/>
        <c:axId val="1736593473"/>
      </c:barChart>
      <c:catAx>
        <c:axId val="19320544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36593473"/>
      </c:catAx>
      <c:valAx>
        <c:axId val="17365934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32054417"/>
      </c:valAx>
    </c:plotArea>
    <c:legend>
      <c:legendPos val="r"/>
      <c:overlay val="0"/>
      <c:txPr>
        <a:bodyPr/>
        <a:lstStyle/>
        <a:p>
          <a:pPr lvl="0">
            <a:defRPr b="0">
              <a:solidFill>
                <a:srgbClr val="1A1A1A"/>
              </a:solidFill>
              <a:latin typeface="+mn-lt"/>
            </a:defRPr>
          </a:pPr>
        </a:p>
      </c:txPr>
    </c:legend>
    <c:plotVisOnly val="1"/>
  </c:chart>
  <c:spPr>
    <a:solidFill>
      <a:srgbClr val="F8E9B8"/>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'PHÂN TÍCH'!$B$3</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'PHÂN TÍCH'!$A$4:$A$10</c:f>
            </c:strRef>
          </c:cat>
          <c:val>
            <c:numRef>
              <c:f>'PHÂN TÍCH'!$B$4:$B$10</c:f>
              <c:numCache/>
            </c:numRef>
          </c:val>
        </c:ser>
        <c:axId val="606426445"/>
        <c:axId val="76712780"/>
      </c:barChart>
      <c:catAx>
        <c:axId val="6064264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6712780"/>
      </c:catAx>
      <c:valAx>
        <c:axId val="767127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06426445"/>
      </c:valAx>
    </c:plotArea>
    <c:legend>
      <c:legendPos val="r"/>
      <c:overlay val="0"/>
      <c:txPr>
        <a:bodyPr/>
        <a:lstStyle/>
        <a:p>
          <a:pPr lvl="0">
            <a:defRPr b="0">
              <a:solidFill>
                <a:srgbClr val="1A1A1A"/>
              </a:solidFill>
              <a:latin typeface="+mn-lt"/>
            </a:defRPr>
          </a:pPr>
        </a:p>
      </c:txPr>
    </c:legend>
    <c:plotVisOnly val="1"/>
  </c:chart>
  <c:spPr>
    <a:solidFill>
      <a:srgbClr val="FFF2CC"/>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'PHÂN TÍCH'!$D$3</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'PHÂN TÍCH'!$A$4:$A$10</c:f>
            </c:strRef>
          </c:cat>
          <c:val>
            <c:numRef>
              <c:f>'PHÂN TÍCH'!$D$4:$D$10</c:f>
              <c:numCache/>
            </c:numRef>
          </c:val>
        </c:ser>
        <c:axId val="393614007"/>
        <c:axId val="4536072"/>
      </c:barChart>
      <c:catAx>
        <c:axId val="3936140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536072"/>
      </c:catAx>
      <c:valAx>
        <c:axId val="45360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93614007"/>
      </c:valAx>
    </c:plotArea>
    <c:legend>
      <c:legendPos val="r"/>
      <c:overlay val="0"/>
      <c:txPr>
        <a:bodyPr/>
        <a:lstStyle/>
        <a:p>
          <a:pPr lvl="0">
            <a:defRPr b="0">
              <a:solidFill>
                <a:srgbClr val="1A1A1A"/>
              </a:solidFill>
              <a:latin typeface="+mn-lt"/>
            </a:defRPr>
          </a:pPr>
        </a:p>
      </c:txPr>
    </c:legend>
    <c:plotVisOnly val="1"/>
  </c:chart>
  <c:spPr>
    <a:solidFill>
      <a:srgbClr val="D9EAD3"/>
    </a:solidFill>
  </c:spPr>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'PHÂN TÍCH'!$F$3</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'PHÂN TÍCH'!$A$4:$A$10</c:f>
            </c:strRef>
          </c:cat>
          <c:val>
            <c:numRef>
              <c:f>'PHÂN TÍCH'!$F$4:$F$10</c:f>
              <c:numCache/>
            </c:numRef>
          </c:val>
        </c:ser>
        <c:axId val="1407019065"/>
        <c:axId val="1016915618"/>
      </c:barChart>
      <c:catAx>
        <c:axId val="14070190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16915618"/>
      </c:catAx>
      <c:valAx>
        <c:axId val="10169156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07019065"/>
      </c:valAx>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'PHÂN TÍCH'!$H$3</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'PHÂN TÍCH'!$A$4:$A$10</c:f>
            </c:strRef>
          </c:cat>
          <c:val>
            <c:numRef>
              <c:f>'PHÂN TÍCH'!$H$4:$H$10</c:f>
              <c:numCache/>
            </c:numRef>
          </c:val>
        </c:ser>
        <c:axId val="797851916"/>
        <c:axId val="1840628194"/>
      </c:barChart>
      <c:catAx>
        <c:axId val="7978519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40628194"/>
      </c:catAx>
      <c:valAx>
        <c:axId val="18406281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97851916"/>
      </c:valAx>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'PHÂN TÍCH'!$J$3</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'PHÂN TÍCH'!$A$4:$A$10</c:f>
            </c:strRef>
          </c:cat>
          <c:val>
            <c:numRef>
              <c:f>'PHÂN TÍCH'!$J$4:$J$10</c:f>
              <c:numCache/>
            </c:numRef>
          </c:val>
        </c:ser>
        <c:axId val="1071978566"/>
        <c:axId val="232124332"/>
      </c:barChart>
      <c:catAx>
        <c:axId val="10719785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32124332"/>
      </c:catAx>
      <c:valAx>
        <c:axId val="2321243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71978566"/>
      </c:valAx>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strRef>
              <c:f>'PHÂN TÍCH'!$L$3</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'PHÂN TÍCH'!$A$4:$A$10</c:f>
            </c:strRef>
          </c:cat>
          <c:val>
            <c:numRef>
              <c:f>'PHÂN TÍCH'!$L$4:$L$10</c:f>
              <c:numCache/>
            </c:numRef>
          </c:val>
        </c:ser>
        <c:ser>
          <c:idx val="1"/>
          <c:order val="1"/>
          <c:tx>
            <c:strRef>
              <c:f>'PHÂN TÍCH'!$M$3</c:f>
            </c:strRef>
          </c:tx>
          <c:cat>
            <c:strRef>
              <c:f>'PHÂN TÍCH'!$A$4:$A$10</c:f>
            </c:strRef>
          </c:cat>
          <c:val>
            <c:numRef>
              <c:f>'PHÂN TÍCH'!$M$4:$M$10</c:f>
              <c:numCache/>
            </c:numRef>
          </c:val>
        </c:ser>
        <c:overlap val="100"/>
        <c:axId val="1489791775"/>
        <c:axId val="786863954"/>
      </c:barChart>
      <c:catAx>
        <c:axId val="148979177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86863954"/>
      </c:catAx>
      <c:valAx>
        <c:axId val="78686395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89791775"/>
        <c:crosses val="max"/>
      </c:valAx>
    </c:plotArea>
    <c:legend>
      <c:legendPos val="r"/>
      <c:overlay val="0"/>
      <c:txPr>
        <a:bodyPr/>
        <a:lstStyle/>
        <a:p>
          <a:pPr lvl="0">
            <a:defRPr b="0">
              <a:solidFill>
                <a:srgbClr val="1A1A1A"/>
              </a:solidFill>
              <a:latin typeface="Arial"/>
            </a:defRPr>
          </a:pPr>
        </a:p>
      </c:txPr>
    </c:legend>
    <c:plotVisOnly val="1"/>
  </c:chart>
  <c:spPr>
    <a:solidFill>
      <a:srgbClr val="CFE2F3"/>
    </a:solidFill>
  </c:spPr>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0000"/>
                </a:solidFill>
                <a:latin typeface="+mn-lt"/>
              </a:defRPr>
            </a:pPr>
            <a:r>
              <a:rPr b="1">
                <a:solidFill>
                  <a:srgbClr val="FF0000"/>
                </a:solidFill>
                <a:latin typeface="+mn-lt"/>
              </a:rPr>
              <a:t>MIN DS</a:t>
            </a:r>
          </a:p>
        </c:rich>
      </c:tx>
      <c:overlay val="0"/>
    </c:title>
    <c:plotArea>
      <c:layout/>
      <c:barChart>
        <c:barDir val="col"/>
        <c:ser>
          <c:idx val="0"/>
          <c:order val="0"/>
          <c:tx>
            <c:strRef>
              <c:f>'PHÂN TÍCH'!$N$1:$N$3</c:f>
            </c:strRef>
          </c:tx>
          <c:cat>
            <c:strRef>
              <c:f>'PHÂN TÍCH'!$A$4:$A$9</c:f>
            </c:strRef>
          </c:cat>
          <c:val>
            <c:numRef>
              <c:f>'PHÂN TÍCH'!$N$4:$N$9</c:f>
              <c:numCache/>
            </c:numRef>
          </c:val>
        </c:ser>
        <c:axId val="2027282646"/>
        <c:axId val="1191104209"/>
      </c:barChart>
      <c:catAx>
        <c:axId val="20272826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91104209"/>
      </c:catAx>
      <c:valAx>
        <c:axId val="1191104209"/>
        <c:scaling>
          <c:orientation val="minMax"/>
        </c:scaling>
        <c:delete val="0"/>
        <c:axPos val="l"/>
        <c:tickLblPos val="nextTo"/>
        <c:spPr>
          <a:ln>
            <a:noFill/>
          </a:ln>
        </c:spPr>
        <c:crossAx val="2027282646"/>
      </c:valAx>
    </c:plotArea>
    <c:legend>
      <c:legendPos val="r"/>
      <c:overlay val="0"/>
      <c:txPr>
        <a:bodyPr/>
        <a:lstStyle/>
        <a:p>
          <a:pPr lvl="0">
            <a:defRPr b="0">
              <a:solidFill>
                <a:srgbClr val="1A1A1A"/>
              </a:solidFill>
              <a:latin typeface="+mn-lt"/>
            </a:defRPr>
          </a:pPr>
        </a:p>
      </c:txPr>
    </c:legend>
    <c:plotVisOnly val="1"/>
  </c:chart>
  <c:spPr>
    <a:solidFill>
      <a:srgbClr val="00FF00"/>
    </a:solidFill>
  </c:spPr>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'PHÂN TÍCH'!$A$49</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val>
            <c:numRef>
              <c:f>'PHÂN TÍCH'!$A$50:$A$60</c:f>
              <c:numCache/>
            </c:numRef>
          </c:val>
        </c:ser>
        <c:axId val="612421462"/>
        <c:axId val="1775305035"/>
      </c:barChart>
      <c:lineChart>
        <c:varyColors val="0"/>
        <c:ser>
          <c:idx val="1"/>
          <c:order val="1"/>
          <c:tx>
            <c:strRef>
              <c:f>'PHÂN TÍCH'!$B$49</c:f>
            </c:strRef>
          </c:tx>
          <c:spPr>
            <a:ln cmpd="sng">
              <a:solidFill>
                <a:srgbClr val="C0504D"/>
              </a:solidFill>
            </a:ln>
          </c:spPr>
          <c:marker>
            <c:symbol val="none"/>
          </c:marker>
          <c:dLbls>
            <c:numFmt formatCode="General" sourceLinked="1"/>
            <c:txPr>
              <a:bodyPr/>
              <a:lstStyle/>
              <a:p>
                <a:pPr lvl="0">
                  <a:defRPr/>
                </a:pPr>
              </a:p>
            </c:txPr>
            <c:showLegendKey val="0"/>
            <c:showVal val="1"/>
            <c:showCatName val="0"/>
            <c:showSerName val="0"/>
            <c:showPercent val="0"/>
            <c:showBubbleSize val="0"/>
          </c:dLbls>
          <c:val>
            <c:numRef>
              <c:f>'PHÂN TÍCH'!$B$50:$B$60</c:f>
              <c:numCache/>
            </c:numRef>
          </c:val>
          <c:smooth val="0"/>
        </c:ser>
        <c:axId val="612421462"/>
        <c:axId val="1775305035"/>
      </c:lineChart>
      <c:catAx>
        <c:axId val="6124214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75305035"/>
      </c:catAx>
      <c:valAx>
        <c:axId val="17753050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12421462"/>
      </c:valAx>
    </c:plotArea>
    <c:legend>
      <c:legendPos val="r"/>
      <c:overlay val="0"/>
      <c:txPr>
        <a:bodyPr/>
        <a:lstStyle/>
        <a:p>
          <a:pPr lvl="0">
            <a:defRPr b="0">
              <a:solidFill>
                <a:srgbClr val="1A1A1A"/>
              </a:solidFill>
              <a:latin typeface="+mn-lt"/>
            </a:defRPr>
          </a:pPr>
        </a:p>
      </c:txPr>
    </c:legend>
    <c:plotVisOnly val="1"/>
  </c:chart>
  <c:spPr>
    <a:solidFill>
      <a:srgbClr val="FFF2CC"/>
    </a:solidFill>
  </c:spPr>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'PHÂN TÍCH'!$A$49</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val>
            <c:numRef>
              <c:f>'PHÂN TÍCH'!$A$50:$A$60</c:f>
              <c:numCache/>
            </c:numRef>
          </c:val>
        </c:ser>
        <c:axId val="558154653"/>
        <c:axId val="2126504693"/>
      </c:barChart>
      <c:lineChart>
        <c:varyColors val="0"/>
        <c:ser>
          <c:idx val="1"/>
          <c:order val="1"/>
          <c:tx>
            <c:strRef>
              <c:f>'PHÂN TÍCH'!$D$49</c:f>
            </c:strRef>
          </c:tx>
          <c:spPr>
            <a:ln cmpd="sng">
              <a:solidFill>
                <a:srgbClr val="C0504D"/>
              </a:solidFill>
            </a:ln>
          </c:spPr>
          <c:marker>
            <c:symbol val="none"/>
          </c:marker>
          <c:dLbls>
            <c:numFmt formatCode="General" sourceLinked="1"/>
            <c:txPr>
              <a:bodyPr/>
              <a:lstStyle/>
              <a:p>
                <a:pPr lvl="0">
                  <a:defRPr/>
                </a:pPr>
              </a:p>
            </c:txPr>
            <c:showLegendKey val="0"/>
            <c:showVal val="1"/>
            <c:showCatName val="0"/>
            <c:showSerName val="0"/>
            <c:showPercent val="0"/>
            <c:showBubbleSize val="0"/>
          </c:dLbls>
          <c:val>
            <c:numRef>
              <c:f>'PHÂN TÍCH'!$D$50:$D$60</c:f>
              <c:numCache/>
            </c:numRef>
          </c:val>
          <c:smooth val="0"/>
        </c:ser>
        <c:axId val="558154653"/>
        <c:axId val="2126504693"/>
      </c:lineChart>
      <c:catAx>
        <c:axId val="5581546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26504693"/>
      </c:catAx>
      <c:valAx>
        <c:axId val="21265046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58154653"/>
      </c:valAx>
    </c:plotArea>
    <c:legend>
      <c:legendPos val="r"/>
      <c:overlay val="0"/>
      <c:txPr>
        <a:bodyPr/>
        <a:lstStyle/>
        <a:p>
          <a:pPr lvl="0">
            <a:defRPr b="0">
              <a:solidFill>
                <a:srgbClr val="1A1A1A"/>
              </a:solidFill>
              <a:latin typeface="+mn-lt"/>
            </a:defRPr>
          </a:pPr>
        </a:p>
      </c:txPr>
    </c:legend>
    <c:plotVisOnly val="1"/>
  </c:chart>
  <c:spPr>
    <a:solidFill>
      <a:srgbClr val="D9EAD3"/>
    </a:solidFill>
  </c:spPr>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'PHÂN TÍCH'!$A$49</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val>
            <c:numRef>
              <c:f>'PHÂN TÍCH'!$A$50:$A$60</c:f>
              <c:numCache/>
            </c:numRef>
          </c:val>
        </c:ser>
        <c:axId val="365861202"/>
        <c:axId val="1364991618"/>
      </c:barChart>
      <c:lineChart>
        <c:varyColors val="0"/>
        <c:ser>
          <c:idx val="1"/>
          <c:order val="1"/>
          <c:tx>
            <c:strRef>
              <c:f>'PHÂN TÍCH'!$J$49</c:f>
            </c:strRef>
          </c:tx>
          <c:spPr>
            <a:ln cmpd="sng">
              <a:solidFill>
                <a:srgbClr val="C0504D"/>
              </a:solidFill>
            </a:ln>
          </c:spPr>
          <c:marker>
            <c:symbol val="none"/>
          </c:marker>
          <c:dLbls>
            <c:numFmt formatCode="General" sourceLinked="1"/>
            <c:txPr>
              <a:bodyPr/>
              <a:lstStyle/>
              <a:p>
                <a:pPr lvl="0">
                  <a:defRPr/>
                </a:pPr>
              </a:p>
            </c:txPr>
            <c:showLegendKey val="0"/>
            <c:showVal val="1"/>
            <c:showCatName val="0"/>
            <c:showSerName val="0"/>
            <c:showPercent val="0"/>
            <c:showBubbleSize val="0"/>
          </c:dLbls>
          <c:val>
            <c:numRef>
              <c:f>'PHÂN TÍCH'!$J$50:$J$60</c:f>
              <c:numCache/>
            </c:numRef>
          </c:val>
          <c:smooth val="0"/>
        </c:ser>
        <c:axId val="365861202"/>
        <c:axId val="1364991618"/>
      </c:lineChart>
      <c:catAx>
        <c:axId val="3658612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64991618"/>
      </c:catAx>
      <c:valAx>
        <c:axId val="13649916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65861202"/>
      </c:valAx>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'PHÂN TÍCH'!$A$49</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val>
            <c:numRef>
              <c:f>'PHÂN TÍCH'!$A$50:$A$60</c:f>
              <c:numCache/>
            </c:numRef>
          </c:val>
        </c:ser>
        <c:axId val="862311072"/>
        <c:axId val="1454547496"/>
      </c:barChart>
      <c:lineChart>
        <c:ser>
          <c:idx val="1"/>
          <c:order val="1"/>
          <c:tx>
            <c:strRef>
              <c:f>'PHÂN TÍCH'!$H$49</c:f>
            </c:strRef>
          </c:tx>
          <c:spPr>
            <a:ln cmpd="sng">
              <a:solidFill>
                <a:srgbClr val="C0504D"/>
              </a:solidFill>
            </a:ln>
          </c:spPr>
          <c:marker>
            <c:symbol val="none"/>
          </c:marker>
          <c:dLbls>
            <c:numFmt formatCode="General" sourceLinked="1"/>
            <c:txPr>
              <a:bodyPr/>
              <a:lstStyle/>
              <a:p>
                <a:pPr lvl="0">
                  <a:defRPr/>
                </a:pPr>
              </a:p>
            </c:txPr>
            <c:showLegendKey val="0"/>
            <c:showVal val="1"/>
            <c:showCatName val="0"/>
            <c:showSerName val="0"/>
            <c:showPercent val="0"/>
            <c:showBubbleSize val="0"/>
          </c:dLbls>
          <c:val>
            <c:numRef>
              <c:f>'PHÂN TÍCH'!$H$50:$H$60</c:f>
              <c:numCache/>
            </c:numRef>
          </c:val>
          <c:smooth val="0"/>
        </c:ser>
        <c:ser>
          <c:idx val="2"/>
          <c:order val="2"/>
          <c:tx>
            <c:strRef>
              <c:f>'PHÂN TÍCH'!$I$49</c:f>
            </c:strRef>
          </c:tx>
          <c:spPr>
            <a:ln cmpd="sng">
              <a:solidFill>
                <a:srgbClr val="9BBB59"/>
              </a:solidFill>
            </a:ln>
          </c:spPr>
          <c:marker>
            <c:symbol val="none"/>
          </c:marker>
          <c:val>
            <c:numRef>
              <c:f>'PHÂN TÍCH'!$I$50:$I$60</c:f>
              <c:numCache/>
            </c:numRef>
          </c:val>
          <c:smooth val="0"/>
        </c:ser>
        <c:axId val="862311072"/>
        <c:axId val="1454547496"/>
      </c:lineChart>
      <c:catAx>
        <c:axId val="8623110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54547496"/>
      </c:catAx>
      <c:valAx>
        <c:axId val="14545474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62311072"/>
      </c:valAx>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'PHÂN TÍCH'!$A$49</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val>
            <c:numRef>
              <c:f>'PHÂN TÍCH'!$A$50:$A$60</c:f>
              <c:numCache/>
            </c:numRef>
          </c:val>
        </c:ser>
        <c:axId val="1571893264"/>
        <c:axId val="850912572"/>
      </c:barChart>
      <c:lineChart>
        <c:ser>
          <c:idx val="1"/>
          <c:order val="1"/>
          <c:tx>
            <c:strRef>
              <c:f>'PHÂN TÍCH'!$F$49</c:f>
            </c:strRef>
          </c:tx>
          <c:spPr>
            <a:ln cmpd="sng">
              <a:solidFill>
                <a:srgbClr val="C0504D"/>
              </a:solidFill>
            </a:ln>
          </c:spPr>
          <c:marker>
            <c:symbol val="none"/>
          </c:marker>
          <c:dLbls>
            <c:numFmt formatCode="General" sourceLinked="1"/>
            <c:txPr>
              <a:bodyPr/>
              <a:lstStyle/>
              <a:p>
                <a:pPr lvl="0">
                  <a:defRPr/>
                </a:pPr>
              </a:p>
            </c:txPr>
            <c:showLegendKey val="0"/>
            <c:showVal val="1"/>
            <c:showCatName val="0"/>
            <c:showSerName val="0"/>
            <c:showPercent val="0"/>
            <c:showBubbleSize val="0"/>
          </c:dLbls>
          <c:val>
            <c:numRef>
              <c:f>'PHÂN TÍCH'!$F$50:$F$60</c:f>
              <c:numCache/>
            </c:numRef>
          </c:val>
          <c:smooth val="0"/>
        </c:ser>
        <c:ser>
          <c:idx val="2"/>
          <c:order val="2"/>
          <c:tx>
            <c:strRef>
              <c:f>'PHÂN TÍCH'!$G$49</c:f>
            </c:strRef>
          </c:tx>
          <c:spPr>
            <a:ln cmpd="sng">
              <a:solidFill>
                <a:srgbClr val="9BBB59"/>
              </a:solidFill>
            </a:ln>
          </c:spPr>
          <c:marker>
            <c:symbol val="none"/>
          </c:marker>
          <c:val>
            <c:numRef>
              <c:f>'PHÂN TÍCH'!$G$50:$G$60</c:f>
              <c:numCache/>
            </c:numRef>
          </c:val>
          <c:smooth val="0"/>
        </c:ser>
        <c:axId val="1571893264"/>
        <c:axId val="850912572"/>
      </c:lineChart>
      <c:catAx>
        <c:axId val="15718932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50912572"/>
      </c:catAx>
      <c:valAx>
        <c:axId val="8509125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71893264"/>
      </c:valAx>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'PHÂN TÍCH'!$A$49</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val>
            <c:numRef>
              <c:f>'PHÂN TÍCH'!$A$50:$A$60</c:f>
              <c:numCache/>
            </c:numRef>
          </c:val>
        </c:ser>
        <c:overlap val="100"/>
        <c:axId val="706972515"/>
        <c:axId val="794715948"/>
      </c:barChart>
      <c:lineChart>
        <c:varyColors val="0"/>
        <c:ser>
          <c:idx val="1"/>
          <c:order val="1"/>
          <c:tx>
            <c:strRef>
              <c:f>'PHÂN TÍCH'!$L$49</c:f>
            </c:strRef>
          </c:tx>
          <c:spPr>
            <a:ln cmpd="sng">
              <a:solidFill>
                <a:srgbClr val="C0504D"/>
              </a:solidFill>
            </a:ln>
          </c:spPr>
          <c:marker>
            <c:symbol val="none"/>
          </c:marker>
          <c:dLbls>
            <c:numFmt formatCode="General" sourceLinked="1"/>
            <c:txPr>
              <a:bodyPr/>
              <a:lstStyle/>
              <a:p>
                <a:pPr lvl="0">
                  <a:defRPr/>
                </a:pPr>
              </a:p>
            </c:txPr>
            <c:showLegendKey val="0"/>
            <c:showVal val="1"/>
            <c:showCatName val="0"/>
            <c:showSerName val="0"/>
            <c:showPercent val="0"/>
            <c:showBubbleSize val="0"/>
          </c:dLbls>
          <c:val>
            <c:numRef>
              <c:f>'PHÂN TÍCH'!$L$50:$L$60</c:f>
              <c:numCache/>
            </c:numRef>
          </c:val>
          <c:smooth val="0"/>
        </c:ser>
        <c:axId val="706972515"/>
        <c:axId val="794715948"/>
      </c:lineChart>
      <c:catAx>
        <c:axId val="7069725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94715948"/>
      </c:catAx>
      <c:valAx>
        <c:axId val="7947159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06972515"/>
      </c:valAx>
    </c:plotArea>
    <c:legend>
      <c:legendPos val="r"/>
      <c:overlay val="0"/>
      <c:txPr>
        <a:bodyPr/>
        <a:lstStyle/>
        <a:p>
          <a:pPr lvl="0">
            <a:defRPr b="0">
              <a:solidFill>
                <a:srgbClr val="1A1A1A"/>
              </a:solidFill>
              <a:latin typeface="Arial"/>
            </a:defRPr>
          </a:pPr>
        </a:p>
      </c:txPr>
    </c:legend>
    <c:plotVisOnly val="1"/>
  </c:chart>
  <c:spPr>
    <a:solidFill>
      <a:srgbClr val="CFE2F3"/>
    </a:solidFill>
  </c:spPr>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7.png"/><Relationship Id="rId3" Type="http://schemas.openxmlformats.org/officeDocument/2006/relationships/image" Target="../media/image10.png"/><Relationship Id="rId4" Type="http://schemas.openxmlformats.org/officeDocument/2006/relationships/image" Target="../media/image8.png"/><Relationship Id="rId5" Type="http://schemas.openxmlformats.org/officeDocument/2006/relationships/image" Target="../media/image6.png"/><Relationship Id="rId6" Type="http://schemas.openxmlformats.org/officeDocument/2006/relationships/image" Target="../media/image9.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1.png"/></Relationships>
</file>

<file path=xl/drawings/_rels/drawing5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52.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 Id="rId5" Type="http://schemas.openxmlformats.org/officeDocument/2006/relationships/chart" Target="../charts/chart9.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 Id="rId3" Type="http://schemas.openxmlformats.org/officeDocument/2006/relationships/image" Target="../media/Chart12.png"/><Relationship Id="rId4" Type="http://schemas.openxmlformats.org/officeDocument/2006/relationships/chart" Target="../charts/chart12.xml"/></Relationships>
</file>

<file path=xl/drawings/_rels/drawing54.xml.rels><?xml version="1.0" encoding="UTF-8" standalone="yes"?><Relationships xmlns="http://schemas.openxmlformats.org/package/2006/relationships"><Relationship Id="rId11" Type="http://schemas.openxmlformats.org/officeDocument/2006/relationships/chart" Target="../charts/chart23.xml"/><Relationship Id="rId10" Type="http://schemas.openxmlformats.org/officeDocument/2006/relationships/chart" Target="../charts/chart22.xml"/><Relationship Id="rId13" Type="http://schemas.openxmlformats.org/officeDocument/2006/relationships/chart" Target="../charts/chart25.xml"/><Relationship Id="rId12" Type="http://schemas.openxmlformats.org/officeDocument/2006/relationships/chart" Target="../charts/chart24.xml"/><Relationship Id="rId1" Type="http://schemas.openxmlformats.org/officeDocument/2006/relationships/chart" Target="../charts/chart13.xml"/><Relationship Id="rId2" Type="http://schemas.openxmlformats.org/officeDocument/2006/relationships/chart" Target="../charts/chart14.xml"/><Relationship Id="rId3" Type="http://schemas.openxmlformats.org/officeDocument/2006/relationships/chart" Target="../charts/chart15.xml"/><Relationship Id="rId4" Type="http://schemas.openxmlformats.org/officeDocument/2006/relationships/chart" Target="../charts/chart16.xml"/><Relationship Id="rId9" Type="http://schemas.openxmlformats.org/officeDocument/2006/relationships/chart" Target="../charts/chart21.xml"/><Relationship Id="rId5" Type="http://schemas.openxmlformats.org/officeDocument/2006/relationships/chart" Target="../charts/chart17.xml"/><Relationship Id="rId6" Type="http://schemas.openxmlformats.org/officeDocument/2006/relationships/chart" Target="../charts/chart18.xml"/><Relationship Id="rId7" Type="http://schemas.openxmlformats.org/officeDocument/2006/relationships/chart" Target="../charts/chart19.xml"/><Relationship Id="rId8"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76200</xdr:colOff>
      <xdr:row>1</xdr:row>
      <xdr:rowOff>28575</xdr:rowOff>
    </xdr:from>
    <xdr:ext cx="6667500" cy="248602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839825" cy="1781175"/>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144250" cy="1619250"/>
    <xdr:pic>
      <xdr:nvPicPr>
        <xdr:cNvPr id="0" name="image13.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2849225" cy="1781175"/>
    <xdr:pic>
      <xdr:nvPicPr>
        <xdr:cNvPr id="0" name="image5.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114300</xdr:rowOff>
    </xdr:from>
    <xdr:ext cx="4772025" cy="2000250"/>
    <xdr:pic>
      <xdr:nvPicPr>
        <xdr:cNvPr id="0" name="image4.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38100</xdr:colOff>
      <xdr:row>3</xdr:row>
      <xdr:rowOff>114300</xdr:rowOff>
    </xdr:from>
    <xdr:ext cx="5324475" cy="1914525"/>
    <xdr:pic>
      <xdr:nvPicPr>
        <xdr:cNvPr id="0" name="image7.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609600</xdr:colOff>
      <xdr:row>29</xdr:row>
      <xdr:rowOff>209550</xdr:rowOff>
    </xdr:from>
    <xdr:ext cx="2000250" cy="1600200"/>
    <xdr:pic>
      <xdr:nvPicPr>
        <xdr:cNvPr id="0" name="image10.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29</xdr:row>
      <xdr:rowOff>228600</xdr:rowOff>
    </xdr:from>
    <xdr:ext cx="1895475" cy="1562100"/>
    <xdr:pic>
      <xdr:nvPicPr>
        <xdr:cNvPr id="0" name="image8.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38100</xdr:colOff>
      <xdr:row>29</xdr:row>
      <xdr:rowOff>342900</xdr:rowOff>
    </xdr:from>
    <xdr:ext cx="1733550" cy="1133475"/>
    <xdr:pic>
      <xdr:nvPicPr>
        <xdr:cNvPr id="0" name="image6.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47625</xdr:colOff>
      <xdr:row>29</xdr:row>
      <xdr:rowOff>342900</xdr:rowOff>
    </xdr:from>
    <xdr:ext cx="1733550" cy="1133475"/>
    <xdr:pic>
      <xdr:nvPicPr>
        <xdr:cNvPr id="0" name="image6.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752475</xdr:colOff>
      <xdr:row>30</xdr:row>
      <xdr:rowOff>85725</xdr:rowOff>
    </xdr:from>
    <xdr:ext cx="1733550" cy="1133475"/>
    <xdr:pic>
      <xdr:nvPicPr>
        <xdr:cNvPr id="0" name="image6.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-38100</xdr:colOff>
      <xdr:row>15</xdr:row>
      <xdr:rowOff>142875</xdr:rowOff>
    </xdr:from>
    <xdr:ext cx="10267950" cy="2057400"/>
    <xdr:pic>
      <xdr:nvPicPr>
        <xdr:cNvPr id="0" name="image9.png" title="Hình ảnh"/>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152400</xdr:rowOff>
    </xdr:from>
    <xdr:ext cx="12782550" cy="2247900"/>
    <xdr:pic>
      <xdr:nvPicPr>
        <xdr:cNvPr id="0" name="image12.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876800" cy="5362575"/>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334125" cy="4524375"/>
    <xdr:pic>
      <xdr:nvPicPr>
        <xdr:cNvPr id="0" name="image1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609600</xdr:colOff>
      <xdr:row>121</xdr:row>
      <xdr:rowOff>0</xdr:rowOff>
    </xdr:from>
    <xdr:ext cx="3981450" cy="2457450"/>
    <xdr:graphicFrame>
      <xdr:nvGraphicFramePr>
        <xdr:cNvPr id="1" name="Chart 1" title="Biểu đồ"/>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609600</xdr:colOff>
      <xdr:row>133</xdr:row>
      <xdr:rowOff>171450</xdr:rowOff>
    </xdr:from>
    <xdr:ext cx="3981450" cy="2381250"/>
    <xdr:graphicFrame>
      <xdr:nvGraphicFramePr>
        <xdr:cNvPr id="2" name="Chart 2" title="Biểu đồ"/>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12</xdr:col>
      <xdr:colOff>609600</xdr:colOff>
      <xdr:row>146</xdr:row>
      <xdr:rowOff>76200</xdr:rowOff>
    </xdr:from>
    <xdr:ext cx="3981450" cy="2190750"/>
    <xdr:graphicFrame>
      <xdr:nvGraphicFramePr>
        <xdr:cNvPr id="3" name="Chart 3" title="Biểu đồ"/>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609600</xdr:colOff>
      <xdr:row>157</xdr:row>
      <xdr:rowOff>171450</xdr:rowOff>
    </xdr:from>
    <xdr:ext cx="3981450" cy="2381250"/>
    <xdr:graphicFrame>
      <xdr:nvGraphicFramePr>
        <xdr:cNvPr id="4" name="Chart 4" title="Biểu đồ"/>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120</xdr:row>
      <xdr:rowOff>180975</xdr:rowOff>
    </xdr:from>
    <xdr:ext cx="2533650" cy="1962150"/>
    <xdr:graphicFrame>
      <xdr:nvGraphicFramePr>
        <xdr:cNvPr id="5" name="Chart 5" title="Biểu đồ"/>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2181225</xdr:colOff>
      <xdr:row>120</xdr:row>
      <xdr:rowOff>180975</xdr:rowOff>
    </xdr:from>
    <xdr:ext cx="2400300" cy="1962150"/>
    <xdr:graphicFrame>
      <xdr:nvGraphicFramePr>
        <xdr:cNvPr id="6" name="Chart 6" title="Biểu đồ"/>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409575</xdr:colOff>
      <xdr:row>120</xdr:row>
      <xdr:rowOff>190500</xdr:rowOff>
    </xdr:from>
    <xdr:ext cx="2457450" cy="1962150"/>
    <xdr:graphicFrame>
      <xdr:nvGraphicFramePr>
        <xdr:cNvPr id="7" name="Chart 7" title="Biểu đồ"/>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952500</xdr:colOff>
      <xdr:row>121</xdr:row>
      <xdr:rowOff>0</xdr:rowOff>
    </xdr:from>
    <xdr:ext cx="2667000" cy="1962150"/>
    <xdr:graphicFrame>
      <xdr:nvGraphicFramePr>
        <xdr:cNvPr id="8" name="Chart 8" title="Biểu đồ"/>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15</xdr:col>
      <xdr:colOff>152400</xdr:colOff>
      <xdr:row>120</xdr:row>
      <xdr:rowOff>190500</xdr:rowOff>
    </xdr:from>
    <xdr:ext cx="2667000" cy="1962150"/>
    <xdr:graphicFrame>
      <xdr:nvGraphicFramePr>
        <xdr:cNvPr id="9" name="Chart 9" title="Biểu đồ"/>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952500</xdr:colOff>
      <xdr:row>1</xdr:row>
      <xdr:rowOff>0</xdr:rowOff>
    </xdr:from>
    <xdr:ext cx="9163050" cy="3971925"/>
    <xdr:graphicFrame>
      <xdr:nvGraphicFramePr>
        <xdr:cNvPr id="10" name="Chart 10" title="Biểu đồ"/>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952500</xdr:colOff>
      <xdr:row>19</xdr:row>
      <xdr:rowOff>19050</xdr:rowOff>
    </xdr:from>
    <xdr:ext cx="9163050" cy="3876675"/>
    <xdr:graphicFrame>
      <xdr:nvGraphicFramePr>
        <xdr:cNvPr id="11" name="Chart 11" title="Biểu đồ"/>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952500</xdr:colOff>
      <xdr:row>34</xdr:row>
      <xdr:rowOff>0</xdr:rowOff>
    </xdr:from>
    <xdr:ext cx="7610475" cy="2971800"/>
    <xdr:pic>
      <xdr:nvPicPr>
        <xdr:cNvPr id="431788297" name="Chart12" title="Biểu đồ">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952500</xdr:colOff>
      <xdr:row>42</xdr:row>
      <xdr:rowOff>19050</xdr:rowOff>
    </xdr:from>
    <xdr:ext cx="7667625" cy="3048000"/>
    <xdr:graphicFrame>
      <xdr:nvGraphicFramePr>
        <xdr:cNvPr id="13" name="Chart 13" title="Biểu đồ"/>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xdr:row>
      <xdr:rowOff>9525</xdr:rowOff>
    </xdr:from>
    <xdr:ext cx="3352800" cy="2066925"/>
    <xdr:graphicFrame>
      <xdr:nvGraphicFramePr>
        <xdr:cNvPr id="14" name="Chart 14" title="Biểu đồ"/>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20</xdr:row>
      <xdr:rowOff>171450</xdr:rowOff>
    </xdr:from>
    <xdr:ext cx="3352800" cy="2066925"/>
    <xdr:graphicFrame>
      <xdr:nvGraphicFramePr>
        <xdr:cNvPr id="15" name="Chart 15" title="Biểu đồ"/>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990600</xdr:colOff>
      <xdr:row>31</xdr:row>
      <xdr:rowOff>142875</xdr:rowOff>
    </xdr:from>
    <xdr:ext cx="3457575" cy="1905000"/>
    <xdr:graphicFrame>
      <xdr:nvGraphicFramePr>
        <xdr:cNvPr id="16" name="Chart 16" title="Biểu đồ"/>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1009650</xdr:colOff>
      <xdr:row>20</xdr:row>
      <xdr:rowOff>171450</xdr:rowOff>
    </xdr:from>
    <xdr:ext cx="3438525" cy="2066925"/>
    <xdr:graphicFrame>
      <xdr:nvGraphicFramePr>
        <xdr:cNvPr id="17" name="Chart 17" title="Biểu đồ"/>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990600</xdr:colOff>
      <xdr:row>10</xdr:row>
      <xdr:rowOff>9525</xdr:rowOff>
    </xdr:from>
    <xdr:ext cx="3438525" cy="2066925"/>
    <xdr:graphicFrame>
      <xdr:nvGraphicFramePr>
        <xdr:cNvPr id="18" name="Chart 18" title="Biểu đồ"/>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8</xdr:col>
      <xdr:colOff>228600</xdr:colOff>
      <xdr:row>10</xdr:row>
      <xdr:rowOff>9525</xdr:rowOff>
    </xdr:from>
    <xdr:ext cx="3352800" cy="6038850"/>
    <xdr:graphicFrame>
      <xdr:nvGraphicFramePr>
        <xdr:cNvPr id="19" name="Chart 19" title="Biểu đồ"/>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0</xdr:colOff>
      <xdr:row>31</xdr:row>
      <xdr:rowOff>142875</xdr:rowOff>
    </xdr:from>
    <xdr:ext cx="3352800" cy="1905000"/>
    <xdr:graphicFrame>
      <xdr:nvGraphicFramePr>
        <xdr:cNvPr id="20" name="Chart 20" title="Biểu đồ"/>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0</xdr:col>
      <xdr:colOff>0</xdr:colOff>
      <xdr:row>61</xdr:row>
      <xdr:rowOff>9525</xdr:rowOff>
    </xdr:from>
    <xdr:ext cx="3352800" cy="2066925"/>
    <xdr:graphicFrame>
      <xdr:nvGraphicFramePr>
        <xdr:cNvPr id="21" name="Chart 21" title="Biểu đồ"/>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0</xdr:colOff>
      <xdr:row>71</xdr:row>
      <xdr:rowOff>171450</xdr:rowOff>
    </xdr:from>
    <xdr:ext cx="3352800" cy="2066925"/>
    <xdr:graphicFrame>
      <xdr:nvGraphicFramePr>
        <xdr:cNvPr id="22" name="Chart 22" title="Biểu đồ"/>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3</xdr:col>
      <xdr:colOff>1009650</xdr:colOff>
      <xdr:row>61</xdr:row>
      <xdr:rowOff>9525</xdr:rowOff>
    </xdr:from>
    <xdr:ext cx="3438525" cy="2066925"/>
    <xdr:graphicFrame>
      <xdr:nvGraphicFramePr>
        <xdr:cNvPr id="23" name="Chart 23" title="Biểu đồ"/>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3</xdr:col>
      <xdr:colOff>1009650</xdr:colOff>
      <xdr:row>71</xdr:row>
      <xdr:rowOff>171450</xdr:rowOff>
    </xdr:from>
    <xdr:ext cx="3438525" cy="2066925"/>
    <xdr:graphicFrame>
      <xdr:nvGraphicFramePr>
        <xdr:cNvPr id="24" name="Chart 24" title="Biểu đồ"/>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8</xdr:col>
      <xdr:colOff>257175</xdr:colOff>
      <xdr:row>71</xdr:row>
      <xdr:rowOff>180975</xdr:rowOff>
    </xdr:from>
    <xdr:ext cx="3352800" cy="2066925"/>
    <xdr:graphicFrame>
      <xdr:nvGraphicFramePr>
        <xdr:cNvPr id="25" name="Chart 25" title="Biểu đồ"/>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8</xdr:col>
      <xdr:colOff>257175</xdr:colOff>
      <xdr:row>61</xdr:row>
      <xdr:rowOff>9525</xdr:rowOff>
    </xdr:from>
    <xdr:ext cx="3352800" cy="2066925"/>
    <xdr:graphicFrame>
      <xdr:nvGraphicFramePr>
        <xdr:cNvPr id="26" name="Chart 26" title="Biểu đồ"/>
        <xdr:cNvGraphicFramePr/>
      </xdr:nvGraphicFramePr>
      <xdr:xfrm>
        <a:off x="0" y="0"/>
        <a:ext cx="0" cy="0"/>
      </xdr:xfrm>
      <a:graphic>
        <a:graphicData uri="http://schemas.openxmlformats.org/drawingml/2006/chart">
          <c:chart r:id="rId13"/>
        </a:graphicData>
      </a:graphic>
    </xdr:graphicFrame>
    <xdr:clientData fLocksWithSheet="0"/>
  </xdr:oneCellAnchor>
</xdr:wsD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J2:AT4" displayName="Table_1" name="Table_1" id="1">
  <tableColumns count="11">
    <tableColumn name="Seri" id="1"/>
    <tableColumn name="Số" id="2"/>
    <tableColumn name="Ngày" id="3"/>
    <tableColumn name="KH/Nhà cung cấp" id="4"/>
    <tableColumn name="MST" id="5"/>
    <tableColumn name="Tên hàng hóa" id="6"/>
    <tableColumn name="Tiền hàng" id="7"/>
    <tableColumn name="Tiền thuế" id="8"/>
    <tableColumn name="Kỳ kê khai" id="9"/>
    <tableColumn name="Biên tập hồ sơ" id="10"/>
    <tableColumn name="Ý KIẾN KIỂM SOÁT VIÊN " id="11"/>
  </tableColumns>
  <tableStyleInfo name="DATA-style" showColumnStripes="0" showFirstColumn="1" showLastColumn="1" showRowStripes="1"/>
</table>
</file>

<file path=xl/tables/table2.xml><?xml version="1.0" encoding="utf-8"?>
<table xmlns="http://schemas.openxmlformats.org/spreadsheetml/2006/main" headerRowCount="0" ref="B5:E6" displayName="Table_2" name="Table_2" id="2">
  <tableColumns count="4">
    <tableColumn name="Column1" id="1"/>
    <tableColumn name="Column2" id="2"/>
    <tableColumn name="Column3" id="3"/>
    <tableColumn name="Column4" id="4"/>
  </tableColumns>
  <tableStyleInfo name="Hệ thống tài khoản TT133-style" showColumnStripes="0" showFirstColumn="1" showLastColumn="1" showRowStripes="1"/>
</table>
</file>

<file path=xl/tables/table3.xml><?xml version="1.0" encoding="utf-8"?>
<table xmlns="http://schemas.openxmlformats.org/spreadsheetml/2006/main" headerRowCount="0" ref="B8:E12" displayName="Table_3" name="Table_3" id="3">
  <tableColumns count="4">
    <tableColumn name="Column1" id="1"/>
    <tableColumn name="Column2" id="2"/>
    <tableColumn name="Column3" id="3"/>
    <tableColumn name="Column4" id="4"/>
  </tableColumns>
  <tableStyleInfo name="Hệ thống tài khoản TT133-style 2" showColumnStripes="0" showFirstColumn="1" showLastColumn="1" showRowStripes="1"/>
</table>
</file>

<file path=xl/tables/table4.xml><?xml version="1.0" encoding="utf-8"?>
<table xmlns="http://schemas.openxmlformats.org/spreadsheetml/2006/main" headerRowCount="0" ref="B15:C16" displayName="Table_4" name="Table_4" id="4">
  <tableColumns count="2">
    <tableColumn name="Column1" id="1"/>
    <tableColumn name="Column2" id="2"/>
  </tableColumns>
  <tableStyleInfo name="Hệ thống tài khoản TT133-style 3" showColumnStripes="0" showFirstColumn="1" showLastColumn="1" showRowStripes="1"/>
</table>
</file>

<file path=xl/tables/table5.xml><?xml version="1.0" encoding="utf-8"?>
<table xmlns="http://schemas.openxmlformats.org/spreadsheetml/2006/main" headerRowCount="0" ref="B22:C23" displayName="Table_5" name="Table_5" id="5">
  <tableColumns count="2">
    <tableColumn name="Column1" id="1"/>
    <tableColumn name="Column2" id="2"/>
  </tableColumns>
  <tableStyleInfo name="Hệ thống tài khoản TT133-style 4" showColumnStripes="0" showFirstColumn="1" showLastColumn="1" showRowStripes="1"/>
</table>
</file>

<file path=xl/tables/table6.xml><?xml version="1.0" encoding="utf-8"?>
<table xmlns="http://schemas.openxmlformats.org/spreadsheetml/2006/main" headerRowCount="0" ref="B25:C27" displayName="Table_6" name="Table_6" id="6">
  <tableColumns count="2">
    <tableColumn name="Column1" id="1"/>
    <tableColumn name="Column2" id="2"/>
  </tableColumns>
  <tableStyleInfo name="Hệ thống tài khoản TT133-style 5" showColumnStripes="0" showFirstColumn="1" showLastColumn="1" showRowStripes="1"/>
</table>
</file>

<file path=xl/tables/table7.xml><?xml version="1.0" encoding="utf-8"?>
<table xmlns="http://schemas.openxmlformats.org/spreadsheetml/2006/main" headerRowCount="0" ref="B37:C39" displayName="Table_7" name="Table_7" id="7">
  <tableColumns count="2">
    <tableColumn name="Column1" id="1"/>
    <tableColumn name="Column2" id="2"/>
  </tableColumns>
  <tableStyleInfo name="Hệ thống tài khoản TT133-style 6" showColumnStripes="0" showFirstColumn="1" showLastColumn="1" showRowStripes="1"/>
</table>
</file>

<file path=xl/tables/table8.xml><?xml version="1.0" encoding="utf-8"?>
<table xmlns="http://schemas.openxmlformats.org/spreadsheetml/2006/main" headerRowCount="0" ref="B41:C44" displayName="Table_8" name="Table_8" id="8">
  <tableColumns count="2">
    <tableColumn name="Column1" id="1"/>
    <tableColumn name="Column2" id="2"/>
  </tableColumns>
  <tableStyleInfo name="Hệ thống tài khoản TT133-style 7" showColumnStripes="0" showFirstColumn="1" showLastColumn="1" showRowStripes="1"/>
</table>
</file>

<file path=xl/tables/table9.xml><?xml version="1.0" encoding="utf-8"?>
<table xmlns="http://schemas.openxmlformats.org/spreadsheetml/2006/main" headerRowCount="0" ref="B46:C48" displayName="Table_9" name="Table_9" id="9">
  <tableColumns count="2">
    <tableColumn name="Column1" id="1"/>
    <tableColumn name="Column2" id="2"/>
  </tableColumns>
  <tableStyleInfo name="Hệ thống tài khoản TT133-style 8" showColumnStripes="0" showFirstColumn="1" showLastColumn="1" showRowStripes="1"/>
</table>
</file>

<file path=xl/tables/table10.xml><?xml version="1.0" encoding="utf-8"?>
<table xmlns="http://schemas.openxmlformats.org/spreadsheetml/2006/main" headerRowCount="0" ref="B50:C53" displayName="Table_10" name="Table_10" id="10">
  <tableColumns count="2">
    <tableColumn name="Column1" id="1"/>
    <tableColumn name="Column2" id="2"/>
  </tableColumns>
  <tableStyleInfo name="Hệ thống tài khoản TT133-style 9" showColumnStripes="0" showFirstColumn="1" showLastColumn="1" showRowStripes="1"/>
</table>
</file>

<file path=xl/tables/table11.xml><?xml version="1.0" encoding="utf-8"?>
<table xmlns="http://schemas.openxmlformats.org/spreadsheetml/2006/main" headerRowCount="0" ref="B55:C57" displayName="Table_11" name="Table_11" id="11">
  <tableColumns count="2">
    <tableColumn name="Column1" id="1"/>
    <tableColumn name="Column2" id="2"/>
  </tableColumns>
  <tableStyleInfo name="Hệ thống tài khoản TT133-style 10" showColumnStripes="0" showFirstColumn="1" showLastColumn="1" showRowStripes="1"/>
</table>
</file>

<file path=xl/tables/table12.xml><?xml version="1.0" encoding="utf-8"?>
<table xmlns="http://schemas.openxmlformats.org/spreadsheetml/2006/main" headerRowCount="0" ref="B63:C74" displayName="Table_12" name="Table_12" id="12">
  <tableColumns count="2">
    <tableColumn name="Column1" id="1"/>
    <tableColumn name="Column2" id="2"/>
  </tableColumns>
  <tableStyleInfo name="Hệ thống tài khoản TT133-style 11" showColumnStripes="0" showFirstColumn="1" showLastColumn="1" showRowStripes="1"/>
</table>
</file>

<file path=xl/tables/table13.xml><?xml version="1.0" encoding="utf-8"?>
<table xmlns="http://schemas.openxmlformats.org/spreadsheetml/2006/main" headerRowCount="0" ref="B78:C79" displayName="Table_13" name="Table_13" id="13">
  <tableColumns count="2">
    <tableColumn name="Column1" id="1"/>
    <tableColumn name="Column2" id="2"/>
  </tableColumns>
  <tableStyleInfo name="Hệ thống tài khoản TT133-style 12" showColumnStripes="0" showFirstColumn="1" showLastColumn="1" showRowStripes="1"/>
</table>
</file>

<file path=xl/tables/table14.xml><?xml version="1.0" encoding="utf-8"?>
<table xmlns="http://schemas.openxmlformats.org/spreadsheetml/2006/main" headerRowCount="0" ref="B81:C88" displayName="Table_14" name="Table_14" id="14">
  <tableColumns count="2">
    <tableColumn name="Column1" id="1"/>
    <tableColumn name="Column2" id="2"/>
  </tableColumns>
  <tableStyleInfo name="Hệ thống tài khoản TT133-style 13" showColumnStripes="0" showFirstColumn="1" showLastColumn="1" showRowStripes="1"/>
</table>
</file>

<file path=xl/tables/table15.xml><?xml version="1.0" encoding="utf-8"?>
<table xmlns="http://schemas.openxmlformats.org/spreadsheetml/2006/main" headerRowCount="0" ref="B93:C95" displayName="Table_15" name="Table_15" id="15">
  <tableColumns count="2">
    <tableColumn name="Column1" id="1"/>
    <tableColumn name="Column2" id="2"/>
  </tableColumns>
  <tableStyleInfo name="Hệ thống tài khoản TT133-style 14" showColumnStripes="0" showFirstColumn="1" showLastColumn="1" showRowStripes="1"/>
</table>
</file>

<file path=xl/tables/table16.xml><?xml version="1.0" encoding="utf-8"?>
<table xmlns="http://schemas.openxmlformats.org/spreadsheetml/2006/main" headerRowCount="0" ref="B102:C103" displayName="Table_16" name="Table_16" id="16">
  <tableColumns count="2">
    <tableColumn name="Column1" id="1"/>
    <tableColumn name="Column2" id="2"/>
  </tableColumns>
  <tableStyleInfo name="Hệ thống tài khoản TT133-style 15" showColumnStripes="0" showFirstColumn="1" showLastColumn="1" showRowStripes="1"/>
</table>
</file>

<file path=xl/tables/table17.xml><?xml version="1.0" encoding="utf-8"?>
<table xmlns="http://schemas.openxmlformats.org/spreadsheetml/2006/main" headerRowCount="0" ref="B107:C109" displayName="Table_17" name="Table_17" id="17">
  <tableColumns count="2">
    <tableColumn name="Column1" id="1"/>
    <tableColumn name="Column2" id="2"/>
  </tableColumns>
  <tableStyleInfo name="Hệ thống tài khoản TT133-style 16" showColumnStripes="0" showFirstColumn="1" showLastColumn="1" showRowStripes="1"/>
</table>
</file>

<file path=xl/tables/table18.xml><?xml version="1.0" encoding="utf-8"?>
<table xmlns="http://schemas.openxmlformats.org/spreadsheetml/2006/main" headerRowCount="0" ref="B118:E121" displayName="Table_18" name="Table_18" id="18">
  <tableColumns count="4">
    <tableColumn name="Column1" id="1"/>
    <tableColumn name="Column2" id="2"/>
    <tableColumn name="Column3" id="3"/>
    <tableColumn name="Column4" id="4"/>
  </tableColumns>
  <tableStyleInfo name="Hệ thống tài khoản TT133-style 17" showColumnStripes="0" showFirstColumn="1" showLastColumn="1" showRowStripes="1"/>
</table>
</file>

<file path=xl/tables/table19.xml><?xml version="1.0" encoding="utf-8"?>
<table xmlns="http://schemas.openxmlformats.org/spreadsheetml/2006/main" headerRowCount="0" ref="B124:C124" displayName="Table_19" name="Table_19" id="19">
  <tableColumns count="2">
    <tableColumn name="Column1" id="1"/>
    <tableColumn name="Column2" id="2"/>
  </tableColumns>
  <tableStyleInfo name="Hệ thống tài khoản TT133-style 18" showColumnStripes="0" showFirstColumn="1" showLastColumn="1" showRowStripes="1"/>
</table>
</file>

<file path=xl/tables/table20.xml><?xml version="1.0" encoding="utf-8"?>
<table xmlns="http://schemas.openxmlformats.org/spreadsheetml/2006/main" headerRowCount="0" ref="C125:C126" displayName="Table_20" name="Table_20" id="20">
  <tableColumns count="1">
    <tableColumn name="Column1" id="1"/>
  </tableColumns>
  <tableStyleInfo name="Hệ thống tài khoản TT133-style 19" showColumnStripes="0" showFirstColumn="1" showLastColumn="1" showRowStripes="1"/>
</table>
</file>

<file path=xl/tables/table21.xml><?xml version="1.0" encoding="utf-8"?>
<table xmlns="http://schemas.openxmlformats.org/spreadsheetml/2006/main" headerRowCount="0" ref="C130:C131" displayName="Table_21" name="Table_21" id="21">
  <tableColumns count="1">
    <tableColumn name="Column1" id="1"/>
  </tableColumns>
  <tableStyleInfo name="Hệ thống tài khoản TT133-style 20" showColumnStripes="0" showFirstColumn="1" showLastColumn="1" showRowStripes="1"/>
</table>
</file>

<file path=xl/tables/table22.xml><?xml version="1.0" encoding="utf-8"?>
<table xmlns="http://schemas.openxmlformats.org/spreadsheetml/2006/main" ref="A2:D15" displayName="Table_22" name="Table_22" id="22">
  <tableColumns count="4">
    <tableColumn name="CHỈ TIÊU" id="1"/>
    <tableColumn name="BP (Đ.VỊ 1000 Đ)" id="2"/>
    <tableColumn name="% SO VỚI DOANH SỐ" id="3"/>
    <tableColumn name="% SO VỚI DOANH THU" id="4"/>
  </tableColumns>
  <tableStyleInfo name="S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ocs.google.com/spreadsheets/d/1zOIjlZHAJdqlLKizt3NXUUB7_A3WzMF713_Zyu2G-cs/edit?gid=681765774" TargetMode="External"/><Relationship Id="rId10" Type="http://schemas.openxmlformats.org/officeDocument/2006/relationships/hyperlink" Target="https://drive.google.com/file/d/1nMCUWROUFtwYBpnEj-kfh_uvEO72lECn/view?usp=drive_link" TargetMode="External"/><Relationship Id="rId12" Type="http://schemas.openxmlformats.org/officeDocument/2006/relationships/drawing" Target="../drawings/drawing2.xml"/><Relationship Id="rId1" Type="http://schemas.openxmlformats.org/officeDocument/2006/relationships/hyperlink" Target="https://drive.google.com/file/d/1pNt0dop6MyupVnU7fcmHW-hV__S7wEXM/view?usp=drive_link" TargetMode="External"/><Relationship Id="rId2" Type="http://schemas.openxmlformats.org/officeDocument/2006/relationships/hyperlink" Target="https://drive.google.com/file/d/1-ylmpZm4I4pXZgl5mqQbyNCxDRTQlr_g/view?usp=drive_link" TargetMode="External"/><Relationship Id="rId3" Type="http://schemas.openxmlformats.org/officeDocument/2006/relationships/hyperlink" Target="https://drive.google.com/file/d/1-1rHIjgzzNbLY35MTh-zmxxEg4PsO5b8/view?usp=drive_link" TargetMode="External"/><Relationship Id="rId4" Type="http://schemas.openxmlformats.org/officeDocument/2006/relationships/hyperlink" Target="https://drive.google.com/file/d/1PZpyBl2tBqZ7z60XMT084kSh0pO_64Rz/view?usp=drive_link" TargetMode="External"/><Relationship Id="rId9" Type="http://schemas.openxmlformats.org/officeDocument/2006/relationships/hyperlink" Target="https://drive.google.com/file/d/1_fYg_aYkCnUouhMi21SV-1Ww5K01nUua/view?usp=drive_link" TargetMode="External"/><Relationship Id="rId5" Type="http://schemas.openxmlformats.org/officeDocument/2006/relationships/hyperlink" Target="https://drive.google.com/file/d/1gW7rwp4NsGT0QUWcK-_k3BfQfQMMaAZO/view?usp=drive_link" TargetMode="External"/><Relationship Id="rId6" Type="http://schemas.openxmlformats.org/officeDocument/2006/relationships/hyperlink" Target="https://drive.google.com/file/d/1qa5MgXniKkQgesSpS_MzM-L5TLl8DJ4p/view?usp=drive_link" TargetMode="External"/><Relationship Id="rId7" Type="http://schemas.openxmlformats.org/officeDocument/2006/relationships/hyperlink" Target="https://drive.google.com/file/d/1Q4_7_4bWH6x8v55110n1TXCch8ezRD2L/view?usp=drive_link" TargetMode="External"/><Relationship Id="rId8" Type="http://schemas.openxmlformats.org/officeDocument/2006/relationships/hyperlink" Target="https://drive.google.com/file/d/1QjODKjB-EDR4CUXVpb7E44n5Ahgrcoxz/view?usp=drive_link" TargetMode="External"/></Relationships>
</file>

<file path=xl/worksheets/_rels/sheet3.xml.rels><?xml version="1.0" encoding="UTF-8" standalone="yes"?><Relationships xmlns="http://schemas.openxmlformats.org/package/2006/relationships"><Relationship Id="rId11" Type="http://schemas.openxmlformats.org/officeDocument/2006/relationships/vmlDrawing" Target="../drawings/vmlDrawing1.vml"/><Relationship Id="rId10" Type="http://schemas.openxmlformats.org/officeDocument/2006/relationships/drawing" Target="../drawings/drawing3.xml"/><Relationship Id="rId13" Type="http://schemas.openxmlformats.org/officeDocument/2006/relationships/table" Target="../tables/table1.xml"/><Relationship Id="rId1" Type="http://schemas.openxmlformats.org/officeDocument/2006/relationships/comments" Target="../comments1.xml"/><Relationship Id="rId2" Type="http://schemas.openxmlformats.org/officeDocument/2006/relationships/hyperlink" Target="http://nuoc.sh" TargetMode="External"/><Relationship Id="rId3" Type="http://schemas.openxmlformats.org/officeDocument/2006/relationships/hyperlink" Target="http://nuoc.sh" TargetMode="External"/><Relationship Id="rId4" Type="http://schemas.openxmlformats.org/officeDocument/2006/relationships/hyperlink" Target="http://nuoc.sh" TargetMode="External"/><Relationship Id="rId9" Type="http://schemas.openxmlformats.org/officeDocument/2006/relationships/hyperlink" Target="http://nuoc.sh/" TargetMode="External"/><Relationship Id="rId5" Type="http://schemas.openxmlformats.org/officeDocument/2006/relationships/hyperlink" Target="http://nuoc.sh" TargetMode="External"/><Relationship Id="rId6" Type="http://schemas.openxmlformats.org/officeDocument/2006/relationships/hyperlink" Target="http://nuoc.sh/" TargetMode="External"/><Relationship Id="rId7" Type="http://schemas.openxmlformats.org/officeDocument/2006/relationships/hyperlink" Target="http://nuoc.sh/" TargetMode="External"/><Relationship Id="rId8" Type="http://schemas.openxmlformats.org/officeDocument/2006/relationships/hyperlink" Target="http://nuoc.sh/" TargetMode="External"/></Relationships>
</file>

<file path=xl/worksheets/_rels/sheet4.xml.rels><?xml version="1.0" encoding="UTF-8" standalone="yes"?><Relationships xmlns="http://schemas.openxmlformats.org/package/2006/relationships"><Relationship Id="rId40" Type="http://schemas.openxmlformats.org/officeDocument/2006/relationships/table" Target="../tables/table20.xml"/><Relationship Id="rId31" Type="http://schemas.openxmlformats.org/officeDocument/2006/relationships/table" Target="../tables/table11.xml"/><Relationship Id="rId30" Type="http://schemas.openxmlformats.org/officeDocument/2006/relationships/table" Target="../tables/table10.xml"/><Relationship Id="rId41" Type="http://schemas.openxmlformats.org/officeDocument/2006/relationships/table" Target="../tables/table21.xml"/><Relationship Id="rId22" Type="http://schemas.openxmlformats.org/officeDocument/2006/relationships/table" Target="../tables/table2.xml"/><Relationship Id="rId33" Type="http://schemas.openxmlformats.org/officeDocument/2006/relationships/table" Target="../tables/table13.xml"/><Relationship Id="rId32" Type="http://schemas.openxmlformats.org/officeDocument/2006/relationships/table" Target="../tables/table12.xml"/><Relationship Id="rId24" Type="http://schemas.openxmlformats.org/officeDocument/2006/relationships/table" Target="../tables/table4.xml"/><Relationship Id="rId35" Type="http://schemas.openxmlformats.org/officeDocument/2006/relationships/table" Target="../tables/table15.xml"/><Relationship Id="rId23" Type="http://schemas.openxmlformats.org/officeDocument/2006/relationships/table" Target="../tables/table3.xml"/><Relationship Id="rId34" Type="http://schemas.openxmlformats.org/officeDocument/2006/relationships/table" Target="../tables/table14.xml"/><Relationship Id="rId1" Type="http://schemas.openxmlformats.org/officeDocument/2006/relationships/drawing" Target="../drawings/drawing4.xml"/><Relationship Id="rId26" Type="http://schemas.openxmlformats.org/officeDocument/2006/relationships/table" Target="../tables/table6.xml"/><Relationship Id="rId37" Type="http://schemas.openxmlformats.org/officeDocument/2006/relationships/table" Target="../tables/table17.xml"/><Relationship Id="rId25" Type="http://schemas.openxmlformats.org/officeDocument/2006/relationships/table" Target="../tables/table5.xml"/><Relationship Id="rId36" Type="http://schemas.openxmlformats.org/officeDocument/2006/relationships/table" Target="../tables/table16.xml"/><Relationship Id="rId28" Type="http://schemas.openxmlformats.org/officeDocument/2006/relationships/table" Target="../tables/table8.xml"/><Relationship Id="rId39" Type="http://schemas.openxmlformats.org/officeDocument/2006/relationships/table" Target="../tables/table19.xml"/><Relationship Id="rId27" Type="http://schemas.openxmlformats.org/officeDocument/2006/relationships/table" Target="../tables/table7.xml"/><Relationship Id="rId38" Type="http://schemas.openxmlformats.org/officeDocument/2006/relationships/table" Target="../tables/table18.xml"/><Relationship Id="rId29" Type="http://schemas.openxmlformats.org/officeDocument/2006/relationships/table" Target="../tables/table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4.xml"/><Relationship Id="rId3"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5.xml"/><Relationship Id="rId3"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nuoc.sh/" TargetMode="External"/><Relationship Id="rId3" Type="http://schemas.openxmlformats.org/officeDocument/2006/relationships/drawing" Target="../drawings/drawing37.xml"/><Relationship Id="rId4" Type="http://schemas.openxmlformats.org/officeDocument/2006/relationships/vmlDrawing" Target="../drawings/vmlDrawing4.vml"/></Relationships>
</file>

<file path=xl/worksheets/_rels/sheet3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nuoc.sh/" TargetMode="External"/><Relationship Id="rId3" Type="http://schemas.openxmlformats.org/officeDocument/2006/relationships/drawing" Target="../drawings/drawing38.xml"/><Relationship Id="rId4" Type="http://schemas.openxmlformats.org/officeDocument/2006/relationships/vmlDrawing" Target="../drawings/vmlDrawing5.v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nuoc.sh/" TargetMode="External"/><Relationship Id="rId3" Type="http://schemas.openxmlformats.org/officeDocument/2006/relationships/drawing" Target="../drawings/drawing40.xml"/><Relationship Id="rId4" Type="http://schemas.openxmlformats.org/officeDocument/2006/relationships/vmlDrawing" Target="../drawings/vmlDrawing6.v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42.xml"/><Relationship Id="rId3" Type="http://schemas.openxmlformats.org/officeDocument/2006/relationships/vmlDrawing" Target="../drawings/vmlDrawing7.v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hyperlink" Target="http://bp.pl" TargetMode="External"/><Relationship Id="rId2" Type="http://schemas.openxmlformats.org/officeDocument/2006/relationships/hyperlink" Target="http://nuoc.sh" TargetMode="External"/><Relationship Id="rId3"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 Id="rId3" Type="http://schemas.openxmlformats.org/officeDocument/2006/relationships/table" Target="../tables/table22.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57"/>
    <col customWidth="1" min="2" max="2" width="61.0"/>
    <col customWidth="1" min="3" max="3" width="28.29"/>
    <col customWidth="1" min="4" max="4" width="13.43"/>
  </cols>
  <sheetData>
    <row r="1">
      <c r="A1" s="1" t="s">
        <v>0</v>
      </c>
      <c r="D1" s="2" t="s">
        <v>1</v>
      </c>
      <c r="E1" s="3"/>
    </row>
    <row r="2">
      <c r="A2" s="4"/>
      <c r="B2" s="4"/>
      <c r="C2" s="5" t="s">
        <v>2</v>
      </c>
      <c r="D2" s="6" t="s">
        <v>3</v>
      </c>
      <c r="E2" s="6" t="s">
        <v>4</v>
      </c>
    </row>
    <row r="3">
      <c r="A3" s="7" t="s">
        <v>5</v>
      </c>
      <c r="B3" s="8" t="s">
        <v>6</v>
      </c>
      <c r="C3" s="9"/>
      <c r="D3" s="10"/>
      <c r="E3" s="10"/>
    </row>
    <row r="4">
      <c r="A4" s="11" t="s">
        <v>7</v>
      </c>
      <c r="B4" s="8" t="s">
        <v>8</v>
      </c>
      <c r="C4" s="9"/>
      <c r="D4" s="10"/>
      <c r="E4" s="10"/>
    </row>
    <row r="5">
      <c r="A5" s="7" t="s">
        <v>9</v>
      </c>
      <c r="B5" s="8" t="s">
        <v>10</v>
      </c>
      <c r="C5" s="9"/>
      <c r="D5" s="10"/>
      <c r="E5" s="10"/>
    </row>
    <row r="6">
      <c r="A6" s="7" t="s">
        <v>11</v>
      </c>
      <c r="B6" s="12" t="s">
        <v>12</v>
      </c>
      <c r="C6" s="9"/>
      <c r="D6" s="10"/>
      <c r="E6" s="10"/>
    </row>
    <row r="7">
      <c r="A7" s="11" t="s">
        <v>13</v>
      </c>
      <c r="B7" s="9"/>
      <c r="C7" s="9"/>
      <c r="D7" s="10"/>
      <c r="E7" s="10"/>
    </row>
    <row r="8">
      <c r="A8" s="7" t="s">
        <v>14</v>
      </c>
      <c r="B8" s="8" t="s">
        <v>15</v>
      </c>
      <c r="C8" s="9"/>
      <c r="D8" s="10"/>
      <c r="E8" s="10" t="s">
        <v>16</v>
      </c>
    </row>
    <row r="9">
      <c r="A9" s="13" t="s">
        <v>17</v>
      </c>
      <c r="B9" s="8" t="s">
        <v>18</v>
      </c>
      <c r="C9" s="9"/>
      <c r="D9" s="10"/>
      <c r="E9" s="10"/>
    </row>
    <row r="10">
      <c r="A10" s="13" t="s">
        <v>19</v>
      </c>
      <c r="B10" s="8" t="s">
        <v>20</v>
      </c>
      <c r="C10" s="9"/>
      <c r="D10" s="10"/>
      <c r="E10" s="10"/>
    </row>
    <row r="11">
      <c r="A11" s="13" t="s">
        <v>21</v>
      </c>
      <c r="B11" s="9"/>
      <c r="C11" s="9"/>
      <c r="D11" s="10" t="s">
        <v>16</v>
      </c>
      <c r="E11" s="10"/>
    </row>
    <row r="12">
      <c r="A12" s="13" t="s">
        <v>22</v>
      </c>
      <c r="B12" s="8" t="s">
        <v>23</v>
      </c>
      <c r="C12" s="9"/>
      <c r="D12" s="10"/>
      <c r="E12" s="10"/>
    </row>
    <row r="13">
      <c r="A13" s="13" t="s">
        <v>24</v>
      </c>
      <c r="B13" s="8" t="s">
        <v>20</v>
      </c>
      <c r="C13" s="9"/>
      <c r="D13" s="10"/>
      <c r="E13" s="10"/>
    </row>
    <row r="14">
      <c r="A14" s="13" t="s">
        <v>25</v>
      </c>
      <c r="B14" s="8" t="s">
        <v>26</v>
      </c>
      <c r="C14" s="9"/>
      <c r="D14" s="10"/>
      <c r="E14" s="10"/>
    </row>
    <row r="15">
      <c r="A15" s="13" t="s">
        <v>27</v>
      </c>
      <c r="B15" s="9"/>
      <c r="C15" s="9"/>
      <c r="D15" s="10"/>
      <c r="E15" s="10"/>
    </row>
    <row r="16">
      <c r="A16" s="11" t="s">
        <v>28</v>
      </c>
      <c r="B16" s="12" t="s">
        <v>29</v>
      </c>
      <c r="C16" s="8" t="s">
        <v>30</v>
      </c>
      <c r="D16" s="10"/>
      <c r="E16" s="10"/>
    </row>
    <row r="17">
      <c r="A17" s="11" t="s">
        <v>31</v>
      </c>
      <c r="B17" s="14"/>
      <c r="C17" s="9"/>
      <c r="D17" s="10"/>
      <c r="E17" s="10"/>
    </row>
    <row r="18">
      <c r="A18" s="11" t="s">
        <v>32</v>
      </c>
      <c r="B18" s="14"/>
      <c r="C18" s="9"/>
      <c r="D18" s="10"/>
      <c r="E18" s="10"/>
    </row>
    <row r="19">
      <c r="A19" s="11" t="s">
        <v>33</v>
      </c>
      <c r="B19" s="14"/>
      <c r="C19" s="9"/>
      <c r="D19" s="10"/>
      <c r="E19" s="10"/>
    </row>
  </sheetData>
  <mergeCells count="2">
    <mergeCell ref="A1:C1"/>
    <mergeCell ref="D1:E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9.43"/>
    <col customWidth="1" min="3" max="3" width="7.57"/>
    <col customWidth="1" min="4" max="4" width="27.43"/>
    <col customWidth="1" min="5" max="5" width="32.14"/>
    <col customWidth="1" min="6" max="6" width="50.14"/>
    <col customWidth="1" min="7" max="7" width="6.57"/>
    <col customWidth="1" min="8" max="8" width="12.14"/>
    <col customWidth="1" min="9" max="9" width="25.71"/>
    <col customWidth="1" min="10" max="10" width="73.86"/>
  </cols>
  <sheetData>
    <row r="1">
      <c r="A1" s="15" t="s">
        <v>34</v>
      </c>
      <c r="B1" s="16" t="s">
        <v>35</v>
      </c>
      <c r="C1" s="15" t="s">
        <v>36</v>
      </c>
      <c r="D1" s="15" t="s">
        <v>37</v>
      </c>
      <c r="E1" s="15" t="s">
        <v>38</v>
      </c>
      <c r="F1" s="15" t="s">
        <v>39</v>
      </c>
      <c r="G1" s="17" t="s">
        <v>40</v>
      </c>
      <c r="H1" s="17" t="s">
        <v>41</v>
      </c>
      <c r="I1" s="17" t="s">
        <v>42</v>
      </c>
      <c r="J1" s="15" t="s">
        <v>43</v>
      </c>
    </row>
    <row r="2" ht="152.25" customHeight="1">
      <c r="A2" s="18"/>
      <c r="B2" s="19"/>
      <c r="C2" s="20"/>
      <c r="D2" s="20" t="s">
        <v>44</v>
      </c>
      <c r="E2" s="20" t="s">
        <v>45</v>
      </c>
      <c r="F2" s="18"/>
      <c r="G2" s="21" t="b">
        <v>1</v>
      </c>
      <c r="H2" s="21"/>
      <c r="I2" s="21" t="s">
        <v>46</v>
      </c>
      <c r="J2" s="18"/>
    </row>
    <row r="3">
      <c r="A3" s="18"/>
      <c r="B3" s="19"/>
      <c r="C3" s="20"/>
      <c r="D3" s="20" t="s">
        <v>47</v>
      </c>
      <c r="E3" s="20"/>
      <c r="F3" s="20" t="s">
        <v>48</v>
      </c>
      <c r="G3" s="22" t="b">
        <v>0</v>
      </c>
      <c r="H3" s="22"/>
      <c r="I3" s="22"/>
      <c r="J3" s="20"/>
    </row>
    <row r="4">
      <c r="A4" s="18"/>
      <c r="B4" s="19"/>
      <c r="C4" s="18"/>
      <c r="D4" s="18"/>
      <c r="E4" s="18"/>
      <c r="F4" s="18"/>
      <c r="G4" s="22" t="b">
        <v>0</v>
      </c>
      <c r="H4" s="22"/>
      <c r="I4" s="22"/>
      <c r="J4" s="18"/>
    </row>
    <row r="5">
      <c r="A5" s="18"/>
      <c r="B5" s="19">
        <v>46038.0</v>
      </c>
      <c r="C5" s="20"/>
      <c r="D5" s="20" t="s">
        <v>49</v>
      </c>
      <c r="E5" s="20" t="s">
        <v>50</v>
      </c>
      <c r="F5" s="20" t="s">
        <v>51</v>
      </c>
      <c r="G5" s="21" t="b">
        <v>1</v>
      </c>
      <c r="H5" s="20"/>
      <c r="I5" s="20" t="s">
        <v>52</v>
      </c>
      <c r="J5" s="20"/>
    </row>
    <row r="6">
      <c r="A6" s="18"/>
      <c r="B6" s="19">
        <v>46038.0</v>
      </c>
      <c r="C6" s="20"/>
      <c r="D6" s="20" t="s">
        <v>49</v>
      </c>
      <c r="E6" s="20" t="s">
        <v>53</v>
      </c>
      <c r="F6" s="20" t="s">
        <v>54</v>
      </c>
      <c r="G6" s="21" t="b">
        <v>1</v>
      </c>
      <c r="H6" s="21"/>
      <c r="I6" s="21" t="s">
        <v>52</v>
      </c>
      <c r="J6" s="18"/>
    </row>
    <row r="7">
      <c r="A7" s="18"/>
      <c r="B7" s="19">
        <v>46038.0</v>
      </c>
      <c r="C7" s="20"/>
      <c r="D7" s="20" t="s">
        <v>49</v>
      </c>
      <c r="E7" s="20" t="s">
        <v>55</v>
      </c>
      <c r="F7" s="20" t="s">
        <v>56</v>
      </c>
      <c r="G7" s="21" t="b">
        <v>1</v>
      </c>
      <c r="H7" s="21"/>
      <c r="I7" s="21" t="s">
        <v>52</v>
      </c>
      <c r="J7" s="18"/>
    </row>
    <row r="8">
      <c r="A8" s="18"/>
      <c r="B8" s="19">
        <v>46038.0</v>
      </c>
      <c r="C8" s="20"/>
      <c r="D8" s="20" t="s">
        <v>49</v>
      </c>
      <c r="E8" s="20" t="s">
        <v>57</v>
      </c>
      <c r="F8" s="20" t="s">
        <v>58</v>
      </c>
      <c r="G8" s="21" t="b">
        <v>1</v>
      </c>
      <c r="H8" s="21"/>
      <c r="I8" s="21" t="s">
        <v>52</v>
      </c>
      <c r="J8" s="23" t="s">
        <v>59</v>
      </c>
    </row>
    <row r="9">
      <c r="A9" s="18"/>
      <c r="B9" s="19">
        <v>46038.0</v>
      </c>
      <c r="C9" s="20"/>
      <c r="D9" s="20" t="s">
        <v>60</v>
      </c>
      <c r="E9" s="20" t="s">
        <v>61</v>
      </c>
      <c r="F9" s="20" t="s">
        <v>62</v>
      </c>
      <c r="G9" s="21" t="b">
        <v>1</v>
      </c>
      <c r="H9" s="21"/>
      <c r="I9" s="21" t="s">
        <v>52</v>
      </c>
      <c r="J9" s="23" t="s">
        <v>63</v>
      </c>
    </row>
    <row r="10">
      <c r="A10" s="18"/>
      <c r="B10" s="19">
        <v>46038.0</v>
      </c>
      <c r="C10" s="20"/>
      <c r="D10" s="20" t="s">
        <v>64</v>
      </c>
      <c r="E10" s="20" t="s">
        <v>65</v>
      </c>
      <c r="F10" s="20" t="s">
        <v>66</v>
      </c>
      <c r="G10" s="21" t="b">
        <v>0</v>
      </c>
      <c r="H10" s="21"/>
      <c r="I10" s="21" t="s">
        <v>52</v>
      </c>
      <c r="J10" s="23" t="s">
        <v>67</v>
      </c>
    </row>
    <row r="11">
      <c r="A11" s="18"/>
      <c r="B11" s="19">
        <v>46038.0</v>
      </c>
      <c r="C11" s="20"/>
      <c r="D11" s="20" t="s">
        <v>68</v>
      </c>
      <c r="E11" s="18"/>
      <c r="F11" s="20" t="s">
        <v>69</v>
      </c>
      <c r="G11" s="21" t="b">
        <v>0</v>
      </c>
      <c r="H11" s="21"/>
      <c r="I11" s="21" t="s">
        <v>52</v>
      </c>
      <c r="J11" s="23" t="s">
        <v>70</v>
      </c>
    </row>
    <row r="12">
      <c r="A12" s="18"/>
      <c r="B12" s="19">
        <v>46038.0</v>
      </c>
      <c r="C12" s="20"/>
      <c r="D12" s="20" t="s">
        <v>71</v>
      </c>
      <c r="E12" s="20" t="s">
        <v>72</v>
      </c>
      <c r="F12" s="20" t="s">
        <v>69</v>
      </c>
      <c r="G12" s="21" t="b">
        <v>0</v>
      </c>
      <c r="H12" s="21"/>
      <c r="I12" s="21" t="s">
        <v>52</v>
      </c>
      <c r="J12" s="23" t="s">
        <v>73</v>
      </c>
    </row>
    <row r="13">
      <c r="A13" s="18"/>
      <c r="B13" s="19">
        <v>46038.0</v>
      </c>
      <c r="C13" s="20"/>
      <c r="D13" s="20" t="s">
        <v>71</v>
      </c>
      <c r="E13" s="20" t="s">
        <v>74</v>
      </c>
      <c r="F13" s="20" t="s">
        <v>75</v>
      </c>
      <c r="G13" s="22" t="b">
        <v>0</v>
      </c>
      <c r="H13" s="21"/>
      <c r="I13" s="21" t="s">
        <v>52</v>
      </c>
      <c r="J13" s="23" t="s">
        <v>76</v>
      </c>
    </row>
    <row r="14">
      <c r="A14" s="18"/>
      <c r="B14" s="19">
        <v>46038.0</v>
      </c>
      <c r="C14" s="20"/>
      <c r="D14" s="20" t="s">
        <v>77</v>
      </c>
      <c r="E14" s="20" t="s">
        <v>78</v>
      </c>
      <c r="F14" s="20" t="s">
        <v>79</v>
      </c>
      <c r="G14" s="21" t="b">
        <v>0</v>
      </c>
      <c r="H14" s="21"/>
      <c r="I14" s="21" t="s">
        <v>80</v>
      </c>
      <c r="J14" s="18"/>
    </row>
    <row r="15">
      <c r="A15" s="18"/>
      <c r="B15" s="19">
        <v>46038.0</v>
      </c>
      <c r="C15" s="20"/>
      <c r="D15" s="20" t="s">
        <v>1</v>
      </c>
      <c r="E15" s="20" t="s">
        <v>81</v>
      </c>
      <c r="F15" s="20" t="s">
        <v>82</v>
      </c>
      <c r="G15" s="21" t="b">
        <v>0</v>
      </c>
      <c r="H15" s="21"/>
      <c r="I15" s="21" t="s">
        <v>83</v>
      </c>
      <c r="J15" s="23" t="s">
        <v>84</v>
      </c>
    </row>
    <row r="16">
      <c r="A16" s="18"/>
      <c r="B16" s="19">
        <v>46038.0</v>
      </c>
      <c r="C16" s="20"/>
      <c r="D16" s="20" t="s">
        <v>85</v>
      </c>
      <c r="E16" s="20" t="s">
        <v>86</v>
      </c>
      <c r="F16" s="20" t="s">
        <v>87</v>
      </c>
      <c r="G16" s="21" t="b">
        <v>0</v>
      </c>
      <c r="H16" s="21"/>
      <c r="I16" s="21" t="s">
        <v>52</v>
      </c>
      <c r="J16" s="23" t="s">
        <v>88</v>
      </c>
    </row>
    <row r="17">
      <c r="A17" s="18"/>
      <c r="B17" s="19">
        <v>46038.0</v>
      </c>
      <c r="C17" s="18"/>
      <c r="D17" s="20" t="s">
        <v>89</v>
      </c>
      <c r="E17" s="20" t="s">
        <v>90</v>
      </c>
      <c r="F17" s="20" t="s">
        <v>91</v>
      </c>
      <c r="G17" s="22" t="b">
        <v>0</v>
      </c>
      <c r="H17" s="21"/>
      <c r="I17" s="21" t="s">
        <v>92</v>
      </c>
      <c r="J17" s="23" t="s">
        <v>93</v>
      </c>
    </row>
    <row r="18">
      <c r="A18" s="18"/>
      <c r="B18" s="19">
        <v>46038.0</v>
      </c>
      <c r="C18" s="18"/>
      <c r="D18" s="20" t="s">
        <v>94</v>
      </c>
      <c r="E18" s="20" t="s">
        <v>95</v>
      </c>
      <c r="F18" s="20" t="s">
        <v>96</v>
      </c>
      <c r="G18" s="21" t="b">
        <v>1</v>
      </c>
      <c r="H18" s="21"/>
      <c r="I18" s="21" t="s">
        <v>52</v>
      </c>
      <c r="J18" s="23" t="s">
        <v>97</v>
      </c>
    </row>
    <row r="19">
      <c r="A19" s="18"/>
      <c r="B19" s="19">
        <v>46039.0</v>
      </c>
      <c r="C19" s="18"/>
      <c r="D19" s="20" t="s">
        <v>98</v>
      </c>
      <c r="E19" s="20" t="s">
        <v>99</v>
      </c>
      <c r="F19" s="20" t="s">
        <v>100</v>
      </c>
      <c r="G19" s="21" t="b">
        <v>1</v>
      </c>
      <c r="H19" s="21"/>
      <c r="I19" s="21" t="s">
        <v>52</v>
      </c>
      <c r="J19" s="23" t="s">
        <v>101</v>
      </c>
    </row>
    <row r="20">
      <c r="A20" s="18"/>
      <c r="B20" s="24"/>
      <c r="C20" s="18"/>
      <c r="D20" s="20" t="s">
        <v>102</v>
      </c>
      <c r="E20" s="20" t="s">
        <v>103</v>
      </c>
      <c r="F20" s="20" t="s">
        <v>104</v>
      </c>
      <c r="G20" s="22" t="b">
        <v>0</v>
      </c>
      <c r="H20" s="22"/>
      <c r="I20" s="22"/>
      <c r="J20" s="18"/>
    </row>
    <row r="21">
      <c r="A21" s="18"/>
      <c r="B21" s="24"/>
      <c r="C21" s="18"/>
      <c r="D21" s="18"/>
      <c r="E21" s="18"/>
      <c r="F21" s="18"/>
      <c r="G21" s="22" t="b">
        <v>0</v>
      </c>
      <c r="H21" s="22"/>
      <c r="I21" s="22"/>
      <c r="J21" s="18"/>
    </row>
    <row r="22">
      <c r="A22" s="18"/>
      <c r="B22" s="24"/>
      <c r="C22" s="18"/>
      <c r="D22" s="18"/>
      <c r="E22" s="18"/>
      <c r="F22" s="18"/>
      <c r="G22" s="22" t="b">
        <v>0</v>
      </c>
      <c r="H22" s="22"/>
      <c r="I22" s="22"/>
      <c r="J22" s="18"/>
    </row>
    <row r="23">
      <c r="A23" s="18"/>
      <c r="B23" s="24"/>
      <c r="C23" s="18"/>
      <c r="D23" s="18"/>
      <c r="E23" s="18"/>
      <c r="F23" s="18"/>
      <c r="G23" s="22" t="b">
        <v>0</v>
      </c>
      <c r="H23" s="22"/>
      <c r="I23" s="22"/>
      <c r="J23" s="18"/>
    </row>
    <row r="24">
      <c r="A24" s="18"/>
      <c r="B24" s="24"/>
      <c r="C24" s="18"/>
      <c r="D24" s="18"/>
      <c r="E24" s="18"/>
      <c r="F24" s="18"/>
      <c r="G24" s="22" t="b">
        <v>0</v>
      </c>
      <c r="H24" s="22"/>
      <c r="I24" s="22"/>
      <c r="J24" s="18"/>
    </row>
    <row r="25">
      <c r="A25" s="18"/>
      <c r="B25" s="24"/>
      <c r="C25" s="18"/>
      <c r="D25" s="18"/>
      <c r="E25" s="18"/>
      <c r="F25" s="18"/>
      <c r="G25" s="22" t="b">
        <v>0</v>
      </c>
      <c r="H25" s="22"/>
      <c r="I25" s="22"/>
      <c r="J25" s="18"/>
    </row>
    <row r="26">
      <c r="A26" s="18"/>
      <c r="B26" s="24"/>
      <c r="C26" s="18"/>
      <c r="D26" s="18"/>
      <c r="E26" s="18"/>
      <c r="F26" s="18"/>
      <c r="G26" s="22" t="b">
        <v>0</v>
      </c>
      <c r="H26" s="22"/>
      <c r="I26" s="22"/>
      <c r="J26" s="18"/>
    </row>
    <row r="27">
      <c r="A27" s="18"/>
      <c r="B27" s="24"/>
      <c r="C27" s="18"/>
      <c r="D27" s="18"/>
      <c r="E27" s="18"/>
      <c r="F27" s="18"/>
      <c r="G27" s="22" t="b">
        <v>0</v>
      </c>
      <c r="H27" s="22"/>
      <c r="I27" s="22"/>
      <c r="J27" s="18"/>
    </row>
    <row r="28">
      <c r="A28" s="18"/>
      <c r="B28" s="24"/>
      <c r="C28" s="18"/>
      <c r="D28" s="18"/>
      <c r="E28" s="18"/>
      <c r="F28" s="18"/>
      <c r="G28" s="22" t="b">
        <v>0</v>
      </c>
      <c r="H28" s="22"/>
      <c r="I28" s="22"/>
      <c r="J28" s="18"/>
    </row>
    <row r="29">
      <c r="A29" s="18"/>
      <c r="B29" s="24"/>
      <c r="C29" s="18"/>
      <c r="D29" s="18"/>
      <c r="E29" s="18"/>
      <c r="F29" s="18"/>
      <c r="G29" s="22" t="b">
        <v>0</v>
      </c>
      <c r="H29" s="22"/>
      <c r="I29" s="22"/>
      <c r="J29" s="18"/>
    </row>
    <row r="30">
      <c r="A30" s="18"/>
      <c r="B30" s="24"/>
      <c r="C30" s="18"/>
      <c r="D30" s="18"/>
      <c r="E30" s="18"/>
      <c r="F30" s="18"/>
      <c r="G30" s="22"/>
      <c r="H30" s="22"/>
      <c r="I30" s="22"/>
      <c r="J30" s="18"/>
    </row>
    <row r="31">
      <c r="A31" s="18"/>
      <c r="B31" s="24"/>
      <c r="C31" s="18"/>
      <c r="D31" s="18"/>
      <c r="E31" s="18"/>
      <c r="F31" s="18"/>
      <c r="G31" s="22"/>
      <c r="H31" s="22"/>
      <c r="I31" s="22"/>
      <c r="J31" s="18"/>
    </row>
    <row r="32">
      <c r="A32" s="18"/>
      <c r="B32" s="24"/>
      <c r="C32" s="18"/>
      <c r="D32" s="18"/>
      <c r="E32" s="18"/>
      <c r="F32" s="18"/>
      <c r="G32" s="22"/>
      <c r="H32" s="22"/>
      <c r="I32" s="22"/>
      <c r="J32" s="18"/>
    </row>
    <row r="33">
      <c r="A33" s="18"/>
      <c r="B33" s="24"/>
      <c r="C33" s="18"/>
      <c r="D33" s="18"/>
      <c r="E33" s="18"/>
      <c r="F33" s="18"/>
      <c r="G33" s="22"/>
      <c r="H33" s="22"/>
      <c r="I33" s="22"/>
      <c r="J33" s="18"/>
    </row>
    <row r="34">
      <c r="A34" s="18"/>
      <c r="B34" s="24"/>
      <c r="C34" s="18"/>
      <c r="D34" s="18"/>
      <c r="E34" s="18"/>
      <c r="F34" s="18"/>
      <c r="G34" s="22"/>
      <c r="H34" s="22"/>
      <c r="I34" s="22"/>
      <c r="J34" s="18"/>
    </row>
    <row r="35">
      <c r="A35" s="18"/>
      <c r="B35" s="24"/>
      <c r="C35" s="18"/>
      <c r="D35" s="18"/>
      <c r="E35" s="18"/>
      <c r="F35" s="18"/>
      <c r="G35" s="22"/>
      <c r="H35" s="22"/>
      <c r="I35" s="22"/>
      <c r="J35" s="18"/>
    </row>
    <row r="36">
      <c r="A36" s="18"/>
      <c r="B36" s="24"/>
      <c r="C36" s="18"/>
      <c r="D36" s="18"/>
      <c r="E36" s="18"/>
      <c r="F36" s="18"/>
      <c r="G36" s="22"/>
      <c r="H36" s="22"/>
      <c r="I36" s="22"/>
      <c r="J36" s="18"/>
    </row>
    <row r="37">
      <c r="A37" s="18"/>
      <c r="B37" s="24"/>
      <c r="C37" s="18"/>
      <c r="D37" s="18"/>
      <c r="E37" s="18"/>
      <c r="F37" s="18"/>
      <c r="G37" s="22"/>
      <c r="H37" s="22"/>
      <c r="I37" s="22"/>
      <c r="J37" s="18"/>
    </row>
    <row r="38">
      <c r="A38" s="18"/>
      <c r="B38" s="24"/>
      <c r="C38" s="18"/>
      <c r="D38" s="18"/>
      <c r="E38" s="18"/>
      <c r="F38" s="18"/>
      <c r="G38" s="22"/>
      <c r="H38" s="22"/>
      <c r="I38" s="22"/>
      <c r="J38" s="18"/>
    </row>
    <row r="39">
      <c r="A39" s="18"/>
      <c r="B39" s="24"/>
      <c r="C39" s="18"/>
      <c r="D39" s="18"/>
      <c r="E39" s="18"/>
      <c r="F39" s="18"/>
      <c r="G39" s="22"/>
      <c r="H39" s="22"/>
      <c r="I39" s="22"/>
      <c r="J39" s="18"/>
    </row>
    <row r="40">
      <c r="A40" s="18"/>
      <c r="B40" s="24"/>
      <c r="C40" s="18"/>
      <c r="D40" s="18"/>
      <c r="E40" s="18"/>
      <c r="F40" s="18"/>
      <c r="G40" s="22"/>
      <c r="H40" s="22"/>
      <c r="I40" s="22"/>
      <c r="J40" s="18"/>
    </row>
    <row r="41">
      <c r="A41" s="18"/>
      <c r="B41" s="24"/>
      <c r="C41" s="18"/>
      <c r="D41" s="18"/>
      <c r="E41" s="18"/>
      <c r="F41" s="18"/>
      <c r="G41" s="22"/>
      <c r="H41" s="22"/>
      <c r="I41" s="22"/>
      <c r="J41" s="18"/>
    </row>
    <row r="42">
      <c r="A42" s="18"/>
      <c r="B42" s="24"/>
      <c r="C42" s="18"/>
      <c r="D42" s="18"/>
      <c r="E42" s="18"/>
      <c r="F42" s="18"/>
      <c r="G42" s="22"/>
      <c r="H42" s="22"/>
      <c r="I42" s="22"/>
      <c r="J42" s="18"/>
    </row>
    <row r="43">
      <c r="A43" s="18"/>
      <c r="B43" s="24"/>
      <c r="C43" s="18"/>
      <c r="D43" s="18"/>
      <c r="E43" s="18"/>
      <c r="F43" s="18"/>
      <c r="G43" s="22"/>
      <c r="H43" s="22"/>
      <c r="I43" s="22"/>
      <c r="J43" s="18"/>
    </row>
    <row r="44">
      <c r="A44" s="18"/>
      <c r="B44" s="24"/>
      <c r="C44" s="18"/>
      <c r="D44" s="18"/>
      <c r="E44" s="18"/>
      <c r="F44" s="18"/>
      <c r="G44" s="22"/>
      <c r="H44" s="22"/>
      <c r="I44" s="22"/>
      <c r="J44" s="18"/>
    </row>
    <row r="45">
      <c r="A45" s="18"/>
      <c r="B45" s="24"/>
      <c r="C45" s="18"/>
      <c r="D45" s="18"/>
      <c r="E45" s="18"/>
      <c r="F45" s="18"/>
      <c r="G45" s="22"/>
      <c r="H45" s="22"/>
      <c r="I45" s="22"/>
      <c r="J45" s="18"/>
    </row>
    <row r="46">
      <c r="A46" s="18"/>
      <c r="B46" s="24"/>
      <c r="C46" s="18"/>
      <c r="D46" s="18"/>
      <c r="E46" s="18"/>
      <c r="F46" s="18"/>
      <c r="G46" s="22"/>
      <c r="H46" s="22"/>
      <c r="I46" s="22"/>
      <c r="J46" s="18"/>
    </row>
    <row r="47">
      <c r="A47" s="18"/>
      <c r="B47" s="24"/>
      <c r="C47" s="18"/>
      <c r="D47" s="18"/>
      <c r="E47" s="18"/>
      <c r="F47" s="18"/>
      <c r="G47" s="22"/>
      <c r="H47" s="22"/>
      <c r="I47" s="22"/>
      <c r="J47" s="18"/>
    </row>
    <row r="48">
      <c r="A48" s="18"/>
      <c r="B48" s="24"/>
      <c r="C48" s="18"/>
      <c r="D48" s="18"/>
      <c r="E48" s="18"/>
      <c r="F48" s="18"/>
      <c r="G48" s="22"/>
      <c r="H48" s="22"/>
      <c r="I48" s="22"/>
      <c r="J48" s="18"/>
    </row>
    <row r="49">
      <c r="A49" s="18"/>
      <c r="B49" s="24"/>
      <c r="C49" s="18"/>
      <c r="D49" s="18"/>
      <c r="E49" s="18"/>
      <c r="F49" s="18"/>
      <c r="G49" s="22"/>
      <c r="H49" s="22"/>
      <c r="I49" s="22"/>
      <c r="J49" s="18"/>
    </row>
    <row r="50">
      <c r="A50" s="18"/>
      <c r="B50" s="24"/>
      <c r="C50" s="18"/>
      <c r="D50" s="18"/>
      <c r="E50" s="18"/>
      <c r="F50" s="18"/>
      <c r="G50" s="22"/>
      <c r="H50" s="22"/>
      <c r="I50" s="22"/>
      <c r="J50" s="18"/>
    </row>
    <row r="51">
      <c r="A51" s="18"/>
      <c r="B51" s="24"/>
      <c r="C51" s="18"/>
      <c r="D51" s="18"/>
      <c r="E51" s="18"/>
      <c r="F51" s="18"/>
      <c r="G51" s="22"/>
      <c r="H51" s="22"/>
      <c r="I51" s="22"/>
      <c r="J51" s="18"/>
    </row>
    <row r="52">
      <c r="A52" s="18"/>
      <c r="B52" s="24"/>
      <c r="C52" s="18"/>
      <c r="D52" s="18"/>
      <c r="E52" s="18"/>
      <c r="F52" s="18"/>
      <c r="G52" s="22"/>
      <c r="H52" s="22"/>
      <c r="I52" s="22"/>
      <c r="J52" s="18"/>
    </row>
    <row r="53">
      <c r="A53" s="18"/>
      <c r="B53" s="24"/>
      <c r="C53" s="18"/>
      <c r="D53" s="18"/>
      <c r="E53" s="18"/>
      <c r="F53" s="18"/>
      <c r="G53" s="22"/>
      <c r="H53" s="22"/>
      <c r="I53" s="22"/>
      <c r="J53" s="18"/>
    </row>
    <row r="54">
      <c r="A54" s="18"/>
      <c r="B54" s="24"/>
      <c r="C54" s="18"/>
      <c r="D54" s="18"/>
      <c r="E54" s="18"/>
      <c r="F54" s="18"/>
      <c r="G54" s="22"/>
      <c r="H54" s="22"/>
      <c r="I54" s="22"/>
      <c r="J54" s="18"/>
    </row>
    <row r="55">
      <c r="A55" s="18"/>
      <c r="B55" s="24"/>
      <c r="C55" s="18"/>
      <c r="D55" s="18"/>
      <c r="E55" s="18"/>
      <c r="F55" s="18"/>
      <c r="G55" s="22"/>
      <c r="H55" s="22"/>
      <c r="I55" s="22"/>
      <c r="J55" s="18"/>
    </row>
    <row r="56">
      <c r="A56" s="18"/>
      <c r="B56" s="24"/>
      <c r="C56" s="18"/>
      <c r="D56" s="18"/>
      <c r="E56" s="18"/>
      <c r="F56" s="18"/>
      <c r="G56" s="22"/>
      <c r="H56" s="22"/>
      <c r="I56" s="22"/>
      <c r="J56" s="18"/>
    </row>
    <row r="57">
      <c r="A57" s="18"/>
      <c r="B57" s="24"/>
      <c r="C57" s="18"/>
      <c r="D57" s="18"/>
      <c r="E57" s="18"/>
      <c r="F57" s="18"/>
      <c r="G57" s="22"/>
      <c r="H57" s="22"/>
      <c r="I57" s="22"/>
      <c r="J57" s="18"/>
    </row>
    <row r="58">
      <c r="A58" s="18"/>
      <c r="B58" s="24"/>
      <c r="C58" s="18"/>
      <c r="D58" s="18"/>
      <c r="E58" s="18"/>
      <c r="F58" s="18"/>
      <c r="G58" s="22"/>
      <c r="H58" s="22"/>
      <c r="I58" s="22"/>
      <c r="J58" s="18"/>
    </row>
    <row r="59">
      <c r="A59" s="18"/>
      <c r="B59" s="24"/>
      <c r="C59" s="18"/>
      <c r="D59" s="18"/>
      <c r="E59" s="18"/>
      <c r="F59" s="18"/>
      <c r="G59" s="22"/>
      <c r="H59" s="22"/>
      <c r="I59" s="22"/>
      <c r="J59" s="18"/>
    </row>
    <row r="60">
      <c r="A60" s="18"/>
      <c r="B60" s="24"/>
      <c r="C60" s="18"/>
      <c r="D60" s="18"/>
      <c r="E60" s="18"/>
      <c r="F60" s="18"/>
      <c r="G60" s="22"/>
      <c r="H60" s="22"/>
      <c r="I60" s="22"/>
      <c r="J60" s="18"/>
    </row>
    <row r="61">
      <c r="A61" s="18"/>
      <c r="B61" s="24"/>
      <c r="C61" s="18"/>
      <c r="D61" s="18"/>
      <c r="E61" s="18"/>
      <c r="F61" s="18"/>
      <c r="G61" s="22"/>
      <c r="H61" s="22"/>
      <c r="I61" s="22"/>
      <c r="J61" s="18"/>
    </row>
    <row r="62">
      <c r="A62" s="18"/>
      <c r="B62" s="24"/>
      <c r="C62" s="18"/>
      <c r="D62" s="18"/>
      <c r="E62" s="18"/>
      <c r="F62" s="18"/>
      <c r="G62" s="22"/>
      <c r="H62" s="22"/>
      <c r="I62" s="22"/>
      <c r="J62" s="18"/>
    </row>
    <row r="63">
      <c r="A63" s="18"/>
      <c r="B63" s="24"/>
      <c r="C63" s="18"/>
      <c r="D63" s="18"/>
      <c r="E63" s="18"/>
      <c r="F63" s="18"/>
      <c r="G63" s="22"/>
      <c r="H63" s="22"/>
      <c r="I63" s="22"/>
      <c r="J63" s="18"/>
    </row>
    <row r="64">
      <c r="A64" s="18"/>
      <c r="B64" s="24"/>
      <c r="C64" s="18"/>
      <c r="D64" s="18"/>
      <c r="E64" s="18"/>
      <c r="F64" s="18"/>
      <c r="G64" s="22"/>
      <c r="H64" s="22"/>
      <c r="I64" s="22"/>
      <c r="J64" s="18"/>
    </row>
    <row r="65">
      <c r="A65" s="18"/>
      <c r="B65" s="24"/>
      <c r="C65" s="18"/>
      <c r="D65" s="18"/>
      <c r="E65" s="18"/>
      <c r="F65" s="18"/>
      <c r="G65" s="22"/>
      <c r="H65" s="22"/>
      <c r="I65" s="22"/>
      <c r="J65" s="18"/>
    </row>
    <row r="66">
      <c r="A66" s="18"/>
      <c r="B66" s="24"/>
      <c r="C66" s="18"/>
      <c r="D66" s="18"/>
      <c r="E66" s="18"/>
      <c r="F66" s="18"/>
      <c r="G66" s="22"/>
      <c r="H66" s="22"/>
      <c r="I66" s="22"/>
      <c r="J66" s="18"/>
    </row>
    <row r="67">
      <c r="A67" s="18"/>
      <c r="B67" s="24"/>
      <c r="C67" s="18"/>
      <c r="D67" s="18"/>
      <c r="E67" s="18"/>
      <c r="F67" s="18"/>
      <c r="G67" s="22"/>
      <c r="H67" s="22"/>
      <c r="I67" s="22"/>
      <c r="J67" s="18"/>
    </row>
    <row r="68">
      <c r="A68" s="18"/>
      <c r="B68" s="24"/>
      <c r="C68" s="18"/>
      <c r="D68" s="18"/>
      <c r="E68" s="18"/>
      <c r="F68" s="18"/>
      <c r="G68" s="22"/>
      <c r="H68" s="22"/>
      <c r="I68" s="22"/>
      <c r="J68" s="18"/>
    </row>
    <row r="69">
      <c r="A69" s="18"/>
      <c r="B69" s="24"/>
      <c r="C69" s="18"/>
      <c r="D69" s="18"/>
      <c r="E69" s="18"/>
      <c r="F69" s="18"/>
      <c r="G69" s="22"/>
      <c r="H69" s="22"/>
      <c r="I69" s="22"/>
      <c r="J69" s="18"/>
    </row>
    <row r="70">
      <c r="A70" s="18"/>
      <c r="B70" s="24"/>
      <c r="C70" s="18"/>
      <c r="D70" s="18"/>
      <c r="E70" s="18"/>
      <c r="F70" s="18"/>
      <c r="G70" s="22"/>
      <c r="H70" s="22"/>
      <c r="I70" s="22"/>
      <c r="J70" s="18"/>
    </row>
    <row r="71">
      <c r="A71" s="18"/>
      <c r="B71" s="24"/>
      <c r="C71" s="18"/>
      <c r="D71" s="18"/>
      <c r="E71" s="18"/>
      <c r="F71" s="18"/>
      <c r="G71" s="22"/>
      <c r="H71" s="22"/>
      <c r="I71" s="22"/>
      <c r="J71" s="18"/>
    </row>
    <row r="72">
      <c r="A72" s="18"/>
      <c r="B72" s="24"/>
      <c r="C72" s="18"/>
      <c r="D72" s="18"/>
      <c r="E72" s="18"/>
      <c r="F72" s="18"/>
      <c r="G72" s="22"/>
      <c r="H72" s="22"/>
      <c r="I72" s="22"/>
      <c r="J72" s="18"/>
    </row>
    <row r="73">
      <c r="A73" s="18"/>
      <c r="B73" s="24"/>
      <c r="C73" s="18"/>
      <c r="D73" s="18"/>
      <c r="E73" s="18"/>
      <c r="F73" s="18"/>
      <c r="G73" s="22"/>
      <c r="H73" s="22"/>
      <c r="I73" s="22"/>
      <c r="J73" s="18"/>
    </row>
    <row r="74">
      <c r="A74" s="18"/>
      <c r="B74" s="24"/>
      <c r="C74" s="18"/>
      <c r="D74" s="18"/>
      <c r="E74" s="18"/>
      <c r="F74" s="18"/>
      <c r="G74" s="22"/>
      <c r="H74" s="22"/>
      <c r="I74" s="22"/>
      <c r="J74" s="18"/>
    </row>
    <row r="75">
      <c r="A75" s="18"/>
      <c r="B75" s="24"/>
      <c r="C75" s="18"/>
      <c r="D75" s="18"/>
      <c r="E75" s="18"/>
      <c r="F75" s="18"/>
      <c r="G75" s="22"/>
      <c r="H75" s="22"/>
      <c r="I75" s="22"/>
      <c r="J75" s="18"/>
    </row>
    <row r="76">
      <c r="A76" s="18"/>
      <c r="B76" s="24"/>
      <c r="C76" s="18"/>
      <c r="D76" s="18"/>
      <c r="E76" s="18"/>
      <c r="F76" s="18"/>
      <c r="G76" s="22"/>
      <c r="H76" s="22"/>
      <c r="I76" s="22"/>
      <c r="J76" s="18"/>
    </row>
    <row r="77">
      <c r="A77" s="18"/>
      <c r="B77" s="24"/>
      <c r="C77" s="18"/>
      <c r="D77" s="18"/>
      <c r="E77" s="18"/>
      <c r="F77" s="18"/>
      <c r="G77" s="22"/>
      <c r="H77" s="22"/>
      <c r="I77" s="22"/>
      <c r="J77" s="18"/>
    </row>
    <row r="78">
      <c r="A78" s="18"/>
      <c r="B78" s="24"/>
      <c r="C78" s="18"/>
      <c r="D78" s="18"/>
      <c r="E78" s="18"/>
      <c r="F78" s="18"/>
      <c r="G78" s="22"/>
      <c r="H78" s="22"/>
      <c r="I78" s="22"/>
      <c r="J78" s="18"/>
    </row>
    <row r="79">
      <c r="A79" s="18"/>
      <c r="B79" s="24"/>
      <c r="C79" s="18"/>
      <c r="D79" s="18"/>
      <c r="E79" s="18"/>
      <c r="F79" s="18"/>
      <c r="G79" s="22"/>
      <c r="H79" s="22"/>
      <c r="I79" s="22"/>
      <c r="J79" s="18"/>
    </row>
    <row r="80">
      <c r="A80" s="18"/>
      <c r="B80" s="24"/>
      <c r="C80" s="18"/>
      <c r="D80" s="18"/>
      <c r="E80" s="18"/>
      <c r="F80" s="18"/>
      <c r="G80" s="22"/>
      <c r="H80" s="22"/>
      <c r="I80" s="22"/>
      <c r="J80" s="18"/>
    </row>
    <row r="81">
      <c r="A81" s="18"/>
      <c r="B81" s="24"/>
      <c r="C81" s="18"/>
      <c r="D81" s="18"/>
      <c r="E81" s="18"/>
      <c r="F81" s="18"/>
      <c r="G81" s="22"/>
      <c r="H81" s="22"/>
      <c r="I81" s="22"/>
      <c r="J81" s="18"/>
    </row>
    <row r="82">
      <c r="A82" s="18"/>
      <c r="B82" s="24"/>
      <c r="C82" s="18"/>
      <c r="D82" s="18"/>
      <c r="E82" s="18"/>
      <c r="F82" s="18"/>
      <c r="G82" s="22"/>
      <c r="H82" s="22"/>
      <c r="I82" s="22"/>
      <c r="J82" s="18"/>
    </row>
    <row r="83">
      <c r="A83" s="18"/>
      <c r="B83" s="24"/>
      <c r="C83" s="18"/>
      <c r="D83" s="18"/>
      <c r="E83" s="18"/>
      <c r="F83" s="18"/>
      <c r="G83" s="22"/>
      <c r="H83" s="22"/>
      <c r="I83" s="22"/>
      <c r="J83" s="18"/>
    </row>
    <row r="84">
      <c r="A84" s="18"/>
      <c r="B84" s="24"/>
      <c r="C84" s="18"/>
      <c r="D84" s="18"/>
      <c r="E84" s="18"/>
      <c r="F84" s="18"/>
      <c r="G84" s="22"/>
      <c r="H84" s="22"/>
      <c r="I84" s="22"/>
      <c r="J84" s="18"/>
    </row>
    <row r="85">
      <c r="A85" s="18"/>
      <c r="B85" s="24"/>
      <c r="C85" s="18"/>
      <c r="D85" s="18"/>
      <c r="E85" s="18"/>
      <c r="F85" s="18"/>
      <c r="G85" s="22"/>
      <c r="H85" s="22"/>
      <c r="I85" s="22"/>
      <c r="J85" s="18"/>
    </row>
    <row r="86">
      <c r="A86" s="18"/>
      <c r="B86" s="24"/>
      <c r="C86" s="18"/>
      <c r="D86" s="18"/>
      <c r="E86" s="18"/>
      <c r="F86" s="18"/>
      <c r="G86" s="22"/>
      <c r="H86" s="22"/>
      <c r="I86" s="22"/>
      <c r="J86" s="18"/>
    </row>
    <row r="87">
      <c r="A87" s="18"/>
      <c r="B87" s="24"/>
      <c r="C87" s="18"/>
      <c r="D87" s="18"/>
      <c r="E87" s="18"/>
      <c r="F87" s="18"/>
      <c r="G87" s="22"/>
      <c r="H87" s="22"/>
      <c r="I87" s="22"/>
      <c r="J87" s="18"/>
    </row>
    <row r="88">
      <c r="A88" s="18"/>
      <c r="B88" s="24"/>
      <c r="C88" s="18"/>
      <c r="D88" s="18"/>
      <c r="E88" s="18"/>
      <c r="F88" s="18"/>
      <c r="G88" s="22"/>
      <c r="H88" s="22"/>
      <c r="I88" s="22"/>
      <c r="J88" s="18"/>
    </row>
    <row r="89">
      <c r="A89" s="18"/>
      <c r="B89" s="24"/>
      <c r="C89" s="18"/>
      <c r="D89" s="18"/>
      <c r="E89" s="18"/>
      <c r="F89" s="18"/>
      <c r="G89" s="22"/>
      <c r="H89" s="22"/>
      <c r="I89" s="22"/>
      <c r="J89" s="18"/>
    </row>
    <row r="90">
      <c r="A90" s="18"/>
      <c r="B90" s="24"/>
      <c r="C90" s="18"/>
      <c r="D90" s="18"/>
      <c r="E90" s="18"/>
      <c r="F90" s="18"/>
      <c r="G90" s="22"/>
      <c r="H90" s="22"/>
      <c r="I90" s="22"/>
      <c r="J90" s="18"/>
    </row>
    <row r="91">
      <c r="A91" s="18"/>
      <c r="B91" s="24"/>
      <c r="C91" s="18"/>
      <c r="D91" s="18"/>
      <c r="E91" s="18"/>
      <c r="F91" s="18"/>
      <c r="G91" s="22"/>
      <c r="H91" s="22"/>
      <c r="I91" s="22"/>
      <c r="J91" s="18"/>
    </row>
    <row r="92">
      <c r="A92" s="18"/>
      <c r="B92" s="24"/>
      <c r="C92" s="18"/>
      <c r="D92" s="18"/>
      <c r="E92" s="18"/>
      <c r="F92" s="18"/>
      <c r="G92" s="22"/>
      <c r="H92" s="22"/>
      <c r="I92" s="22"/>
      <c r="J92" s="18"/>
    </row>
    <row r="93">
      <c r="A93" s="18"/>
      <c r="B93" s="24"/>
      <c r="C93" s="18"/>
      <c r="D93" s="18"/>
      <c r="E93" s="18"/>
      <c r="F93" s="18"/>
      <c r="G93" s="22"/>
      <c r="H93" s="22"/>
      <c r="I93" s="22"/>
      <c r="J93" s="18"/>
    </row>
    <row r="94">
      <c r="A94" s="18"/>
      <c r="B94" s="24"/>
      <c r="C94" s="18"/>
      <c r="D94" s="18"/>
      <c r="E94" s="18"/>
      <c r="F94" s="18"/>
      <c r="G94" s="22"/>
      <c r="H94" s="22"/>
      <c r="I94" s="22"/>
      <c r="J94" s="18"/>
    </row>
    <row r="95">
      <c r="A95" s="18"/>
      <c r="B95" s="24"/>
      <c r="C95" s="18"/>
      <c r="D95" s="18"/>
      <c r="E95" s="18"/>
      <c r="F95" s="18"/>
      <c r="G95" s="22"/>
      <c r="H95" s="22"/>
      <c r="I95" s="22"/>
      <c r="J95" s="18"/>
    </row>
    <row r="96">
      <c r="A96" s="18"/>
      <c r="B96" s="24"/>
      <c r="C96" s="18"/>
      <c r="D96" s="18"/>
      <c r="E96" s="18"/>
      <c r="F96" s="18"/>
      <c r="G96" s="22"/>
      <c r="H96" s="22"/>
      <c r="I96" s="22"/>
      <c r="J96" s="18"/>
    </row>
    <row r="97">
      <c r="A97" s="18"/>
      <c r="B97" s="24"/>
      <c r="C97" s="18"/>
      <c r="D97" s="18"/>
      <c r="E97" s="18"/>
      <c r="F97" s="18"/>
      <c r="G97" s="22"/>
      <c r="H97" s="22"/>
      <c r="I97" s="22"/>
      <c r="J97" s="18"/>
    </row>
    <row r="98">
      <c r="A98" s="18"/>
      <c r="B98" s="24"/>
      <c r="C98" s="18"/>
      <c r="D98" s="18"/>
      <c r="E98" s="18"/>
      <c r="F98" s="18"/>
      <c r="G98" s="22"/>
      <c r="H98" s="22"/>
      <c r="I98" s="22"/>
      <c r="J98" s="18"/>
    </row>
    <row r="99">
      <c r="A99" s="18"/>
      <c r="B99" s="24"/>
      <c r="C99" s="18"/>
      <c r="D99" s="18"/>
      <c r="E99" s="18"/>
      <c r="F99" s="18"/>
      <c r="G99" s="22"/>
      <c r="H99" s="22"/>
      <c r="I99" s="22"/>
      <c r="J99" s="18"/>
    </row>
    <row r="100">
      <c r="A100" s="18"/>
      <c r="B100" s="24"/>
      <c r="C100" s="18"/>
      <c r="D100" s="18"/>
      <c r="E100" s="18"/>
      <c r="F100" s="18"/>
      <c r="G100" s="22"/>
      <c r="H100" s="22"/>
      <c r="I100" s="22"/>
      <c r="J100" s="18"/>
    </row>
    <row r="101">
      <c r="A101" s="18"/>
      <c r="B101" s="24"/>
      <c r="C101" s="18"/>
      <c r="D101" s="18"/>
      <c r="E101" s="18"/>
      <c r="F101" s="18"/>
      <c r="G101" s="22"/>
      <c r="H101" s="22"/>
      <c r="I101" s="22"/>
      <c r="J101" s="18"/>
    </row>
    <row r="102">
      <c r="A102" s="18"/>
      <c r="B102" s="24"/>
      <c r="C102" s="18"/>
      <c r="D102" s="18"/>
      <c r="E102" s="18"/>
      <c r="F102" s="18"/>
      <c r="G102" s="22"/>
      <c r="H102" s="22"/>
      <c r="I102" s="22"/>
      <c r="J102" s="18"/>
    </row>
    <row r="103">
      <c r="A103" s="18"/>
      <c r="B103" s="24"/>
      <c r="C103" s="18"/>
      <c r="D103" s="18"/>
      <c r="E103" s="18"/>
      <c r="F103" s="18"/>
      <c r="G103" s="22"/>
      <c r="H103" s="22"/>
      <c r="I103" s="22"/>
      <c r="J103" s="18"/>
    </row>
    <row r="104">
      <c r="A104" s="18"/>
      <c r="B104" s="24"/>
      <c r="C104" s="18"/>
      <c r="D104" s="18"/>
      <c r="E104" s="18"/>
      <c r="F104" s="18"/>
      <c r="G104" s="22"/>
      <c r="H104" s="22"/>
      <c r="I104" s="22"/>
      <c r="J104" s="18"/>
    </row>
    <row r="105">
      <c r="A105" s="18"/>
      <c r="B105" s="24"/>
      <c r="C105" s="18"/>
      <c r="D105" s="18"/>
      <c r="E105" s="18"/>
      <c r="F105" s="18"/>
      <c r="G105" s="22"/>
      <c r="H105" s="22"/>
      <c r="I105" s="22"/>
      <c r="J105" s="18"/>
    </row>
    <row r="106">
      <c r="A106" s="18"/>
      <c r="B106" s="24"/>
      <c r="C106" s="18"/>
      <c r="D106" s="18"/>
      <c r="E106" s="18"/>
      <c r="F106" s="18"/>
      <c r="G106" s="22"/>
      <c r="H106" s="22"/>
      <c r="I106" s="22"/>
      <c r="J106" s="18"/>
    </row>
    <row r="107">
      <c r="A107" s="18"/>
      <c r="B107" s="24"/>
      <c r="C107" s="18"/>
      <c r="D107" s="18"/>
      <c r="E107" s="18"/>
      <c r="F107" s="18"/>
      <c r="G107" s="22"/>
      <c r="H107" s="22"/>
      <c r="I107" s="22"/>
      <c r="J107" s="18"/>
    </row>
    <row r="108">
      <c r="A108" s="18"/>
      <c r="B108" s="24"/>
      <c r="C108" s="18"/>
      <c r="D108" s="18"/>
      <c r="E108" s="18"/>
      <c r="F108" s="18"/>
      <c r="G108" s="22"/>
      <c r="H108" s="22"/>
      <c r="I108" s="22"/>
      <c r="J108" s="18"/>
    </row>
    <row r="109">
      <c r="A109" s="18"/>
      <c r="B109" s="24"/>
      <c r="C109" s="18"/>
      <c r="D109" s="18"/>
      <c r="E109" s="18"/>
      <c r="F109" s="18"/>
      <c r="G109" s="22"/>
      <c r="H109" s="22"/>
      <c r="I109" s="22"/>
      <c r="J109" s="18"/>
    </row>
    <row r="110">
      <c r="A110" s="18"/>
      <c r="B110" s="24"/>
      <c r="C110" s="18"/>
      <c r="D110" s="18"/>
      <c r="E110" s="18"/>
      <c r="F110" s="18"/>
      <c r="G110" s="22"/>
      <c r="H110" s="22"/>
      <c r="I110" s="22"/>
      <c r="J110" s="18"/>
    </row>
    <row r="111">
      <c r="A111" s="18"/>
      <c r="B111" s="24"/>
      <c r="C111" s="18"/>
      <c r="D111" s="18"/>
      <c r="E111" s="18"/>
      <c r="F111" s="18"/>
      <c r="G111" s="22"/>
      <c r="H111" s="22"/>
      <c r="I111" s="22"/>
      <c r="J111" s="18"/>
    </row>
    <row r="112">
      <c r="A112" s="18"/>
      <c r="B112" s="24"/>
      <c r="C112" s="18"/>
      <c r="D112" s="18"/>
      <c r="E112" s="18"/>
      <c r="F112" s="18"/>
      <c r="G112" s="22"/>
      <c r="H112" s="22"/>
      <c r="I112" s="22"/>
      <c r="J112" s="18"/>
    </row>
    <row r="113">
      <c r="A113" s="18"/>
      <c r="B113" s="24"/>
      <c r="C113" s="18"/>
      <c r="D113" s="18"/>
      <c r="E113" s="18"/>
      <c r="F113" s="18"/>
      <c r="G113" s="22"/>
      <c r="H113" s="22"/>
      <c r="I113" s="22"/>
      <c r="J113" s="18"/>
    </row>
    <row r="114">
      <c r="A114" s="18"/>
      <c r="B114" s="24"/>
      <c r="C114" s="18"/>
      <c r="D114" s="18"/>
      <c r="E114" s="18"/>
      <c r="F114" s="18"/>
      <c r="G114" s="22"/>
      <c r="H114" s="22"/>
      <c r="I114" s="22"/>
      <c r="J114" s="18"/>
    </row>
    <row r="115">
      <c r="A115" s="18"/>
      <c r="B115" s="24"/>
      <c r="C115" s="18"/>
      <c r="D115" s="18"/>
      <c r="E115" s="18"/>
      <c r="F115" s="18"/>
      <c r="G115" s="22"/>
      <c r="H115" s="22"/>
      <c r="I115" s="22"/>
      <c r="J115" s="18"/>
    </row>
    <row r="116">
      <c r="A116" s="18"/>
      <c r="B116" s="24"/>
      <c r="C116" s="18"/>
      <c r="D116" s="18"/>
      <c r="E116" s="18"/>
      <c r="F116" s="18"/>
      <c r="G116" s="22"/>
      <c r="H116" s="22"/>
      <c r="I116" s="22"/>
      <c r="J116" s="18"/>
    </row>
    <row r="117">
      <c r="A117" s="18"/>
      <c r="B117" s="24"/>
      <c r="C117" s="18"/>
      <c r="D117" s="18"/>
      <c r="E117" s="18"/>
      <c r="F117" s="18"/>
      <c r="G117" s="22"/>
      <c r="H117" s="22"/>
      <c r="I117" s="22"/>
      <c r="J117" s="18"/>
    </row>
    <row r="118">
      <c r="A118" s="18"/>
      <c r="B118" s="24"/>
      <c r="C118" s="18"/>
      <c r="D118" s="18"/>
      <c r="E118" s="18"/>
      <c r="F118" s="18"/>
      <c r="G118" s="22"/>
      <c r="H118" s="22"/>
      <c r="I118" s="22"/>
      <c r="J118" s="18"/>
    </row>
    <row r="119">
      <c r="A119" s="18"/>
      <c r="B119" s="24"/>
      <c r="C119" s="18"/>
      <c r="D119" s="18"/>
      <c r="E119" s="18"/>
      <c r="F119" s="18"/>
      <c r="G119" s="22"/>
      <c r="H119" s="22"/>
      <c r="I119" s="22"/>
      <c r="J119" s="18"/>
    </row>
    <row r="120">
      <c r="A120" s="18"/>
      <c r="B120" s="24"/>
      <c r="C120" s="18"/>
      <c r="D120" s="18"/>
      <c r="E120" s="18"/>
      <c r="F120" s="18"/>
      <c r="G120" s="22"/>
      <c r="H120" s="22"/>
      <c r="I120" s="22"/>
      <c r="J120" s="18"/>
    </row>
    <row r="121">
      <c r="A121" s="18"/>
      <c r="B121" s="24"/>
      <c r="C121" s="18"/>
      <c r="D121" s="18"/>
      <c r="E121" s="18"/>
      <c r="F121" s="18"/>
      <c r="G121" s="22"/>
      <c r="H121" s="22"/>
      <c r="I121" s="22"/>
      <c r="J121" s="18"/>
    </row>
    <row r="122">
      <c r="A122" s="18"/>
      <c r="B122" s="24"/>
      <c r="C122" s="18"/>
      <c r="D122" s="18"/>
      <c r="E122" s="18"/>
      <c r="F122" s="18"/>
      <c r="G122" s="22"/>
      <c r="H122" s="22"/>
      <c r="I122" s="22"/>
      <c r="J122" s="18"/>
    </row>
    <row r="123">
      <c r="A123" s="18"/>
      <c r="B123" s="24"/>
      <c r="C123" s="18"/>
      <c r="D123" s="18"/>
      <c r="E123" s="18"/>
      <c r="F123" s="18"/>
      <c r="G123" s="22"/>
      <c r="H123" s="22"/>
      <c r="I123" s="22"/>
      <c r="J123" s="18"/>
    </row>
    <row r="124">
      <c r="A124" s="18"/>
      <c r="B124" s="24"/>
      <c r="C124" s="18"/>
      <c r="D124" s="18"/>
      <c r="E124" s="18"/>
      <c r="F124" s="18"/>
      <c r="G124" s="22"/>
      <c r="H124" s="22"/>
      <c r="I124" s="22"/>
      <c r="J124" s="18"/>
    </row>
    <row r="125">
      <c r="A125" s="18"/>
      <c r="B125" s="24"/>
      <c r="C125" s="18"/>
      <c r="D125" s="18"/>
      <c r="E125" s="18"/>
      <c r="F125" s="18"/>
      <c r="G125" s="22"/>
      <c r="H125" s="22"/>
      <c r="I125" s="22"/>
      <c r="J125" s="18"/>
    </row>
    <row r="126">
      <c r="A126" s="18"/>
      <c r="B126" s="24"/>
      <c r="C126" s="18"/>
      <c r="D126" s="18"/>
      <c r="E126" s="18"/>
      <c r="F126" s="18"/>
      <c r="G126" s="22"/>
      <c r="H126" s="22"/>
      <c r="I126" s="22"/>
      <c r="J126" s="18"/>
    </row>
    <row r="127">
      <c r="A127" s="18"/>
      <c r="B127" s="24"/>
      <c r="C127" s="18"/>
      <c r="D127" s="18"/>
      <c r="E127" s="18"/>
      <c r="F127" s="18"/>
      <c r="G127" s="22"/>
      <c r="H127" s="22"/>
      <c r="I127" s="22"/>
      <c r="J127" s="18"/>
    </row>
    <row r="128">
      <c r="A128" s="18"/>
      <c r="B128" s="24"/>
      <c r="C128" s="18"/>
      <c r="D128" s="18"/>
      <c r="E128" s="18"/>
      <c r="F128" s="18"/>
      <c r="G128" s="22"/>
      <c r="H128" s="22"/>
      <c r="I128" s="22"/>
      <c r="J128" s="18"/>
    </row>
    <row r="129">
      <c r="A129" s="18"/>
      <c r="B129" s="24"/>
      <c r="C129" s="18"/>
      <c r="D129" s="18"/>
      <c r="E129" s="18"/>
      <c r="F129" s="18"/>
      <c r="G129" s="22"/>
      <c r="H129" s="22"/>
      <c r="I129" s="22"/>
      <c r="J129" s="18"/>
    </row>
    <row r="130">
      <c r="A130" s="18"/>
      <c r="B130" s="24"/>
      <c r="C130" s="18"/>
      <c r="D130" s="18"/>
      <c r="E130" s="18"/>
      <c r="F130" s="18"/>
      <c r="G130" s="22"/>
      <c r="H130" s="22"/>
      <c r="I130" s="22"/>
      <c r="J130" s="18"/>
    </row>
    <row r="131">
      <c r="A131" s="18"/>
      <c r="B131" s="24"/>
      <c r="C131" s="18"/>
      <c r="D131" s="18"/>
      <c r="E131" s="18"/>
      <c r="F131" s="18"/>
      <c r="G131" s="22"/>
      <c r="H131" s="22"/>
      <c r="I131" s="22"/>
      <c r="J131" s="18"/>
    </row>
    <row r="132">
      <c r="A132" s="18"/>
      <c r="B132" s="24"/>
      <c r="C132" s="18"/>
      <c r="D132" s="18"/>
      <c r="E132" s="18"/>
      <c r="F132" s="18"/>
      <c r="G132" s="22"/>
      <c r="H132" s="22"/>
      <c r="I132" s="22"/>
      <c r="J132" s="18"/>
    </row>
    <row r="133">
      <c r="A133" s="18"/>
      <c r="B133" s="24"/>
      <c r="C133" s="18"/>
      <c r="D133" s="18"/>
      <c r="E133" s="18"/>
      <c r="F133" s="18"/>
      <c r="G133" s="22"/>
      <c r="H133" s="22"/>
      <c r="I133" s="22"/>
      <c r="J133" s="18"/>
    </row>
    <row r="134">
      <c r="A134" s="18"/>
      <c r="B134" s="24"/>
      <c r="C134" s="18"/>
      <c r="D134" s="18"/>
      <c r="E134" s="18"/>
      <c r="F134" s="18"/>
      <c r="G134" s="22"/>
      <c r="H134" s="22"/>
      <c r="I134" s="22"/>
      <c r="J134" s="18"/>
    </row>
    <row r="135">
      <c r="A135" s="18"/>
      <c r="B135" s="24"/>
      <c r="C135" s="18"/>
      <c r="D135" s="18"/>
      <c r="E135" s="18"/>
      <c r="F135" s="18"/>
      <c r="G135" s="22"/>
      <c r="H135" s="22"/>
      <c r="I135" s="22"/>
      <c r="J135" s="18"/>
    </row>
    <row r="136">
      <c r="A136" s="18"/>
      <c r="B136" s="24"/>
      <c r="C136" s="18"/>
      <c r="D136" s="18"/>
      <c r="E136" s="18"/>
      <c r="F136" s="18"/>
      <c r="G136" s="22"/>
      <c r="H136" s="22"/>
      <c r="I136" s="22"/>
      <c r="J136" s="18"/>
    </row>
    <row r="137">
      <c r="A137" s="18"/>
      <c r="B137" s="24"/>
      <c r="C137" s="18"/>
      <c r="D137" s="18"/>
      <c r="E137" s="18"/>
      <c r="F137" s="18"/>
      <c r="G137" s="22"/>
      <c r="H137" s="22"/>
      <c r="I137" s="22"/>
      <c r="J137" s="18"/>
    </row>
    <row r="138">
      <c r="A138" s="18"/>
      <c r="B138" s="24"/>
      <c r="C138" s="18"/>
      <c r="D138" s="18"/>
      <c r="E138" s="18"/>
      <c r="F138" s="18"/>
      <c r="G138" s="22"/>
      <c r="H138" s="22"/>
      <c r="I138" s="22"/>
      <c r="J138" s="18"/>
    </row>
    <row r="139">
      <c r="A139" s="18"/>
      <c r="B139" s="24"/>
      <c r="C139" s="18"/>
      <c r="D139" s="18"/>
      <c r="E139" s="18"/>
      <c r="F139" s="18"/>
      <c r="G139" s="22"/>
      <c r="H139" s="22"/>
      <c r="I139" s="22"/>
      <c r="J139" s="18"/>
    </row>
    <row r="140">
      <c r="A140" s="18"/>
      <c r="B140" s="24"/>
      <c r="C140" s="18"/>
      <c r="D140" s="18"/>
      <c r="E140" s="18"/>
      <c r="F140" s="18"/>
      <c r="G140" s="22"/>
      <c r="H140" s="22"/>
      <c r="I140" s="22"/>
      <c r="J140" s="18"/>
    </row>
    <row r="141">
      <c r="A141" s="18"/>
      <c r="B141" s="24"/>
      <c r="C141" s="18"/>
      <c r="D141" s="18"/>
      <c r="E141" s="18"/>
      <c r="F141" s="18"/>
      <c r="G141" s="22"/>
      <c r="H141" s="22"/>
      <c r="I141" s="22"/>
      <c r="J141" s="18"/>
    </row>
    <row r="142">
      <c r="A142" s="18"/>
      <c r="B142" s="24"/>
      <c r="C142" s="18"/>
      <c r="D142" s="18"/>
      <c r="E142" s="18"/>
      <c r="F142" s="18"/>
      <c r="G142" s="22"/>
      <c r="H142" s="22"/>
      <c r="I142" s="22"/>
      <c r="J142" s="18"/>
    </row>
    <row r="143">
      <c r="A143" s="18"/>
      <c r="B143" s="24"/>
      <c r="C143" s="18"/>
      <c r="D143" s="18"/>
      <c r="E143" s="18"/>
      <c r="F143" s="18"/>
      <c r="G143" s="22"/>
      <c r="H143" s="22"/>
      <c r="I143" s="22"/>
      <c r="J143" s="18"/>
    </row>
    <row r="144">
      <c r="A144" s="18"/>
      <c r="B144" s="24"/>
      <c r="C144" s="18"/>
      <c r="D144" s="18"/>
      <c r="E144" s="18"/>
      <c r="F144" s="18"/>
      <c r="G144" s="22"/>
      <c r="H144" s="22"/>
      <c r="I144" s="22"/>
      <c r="J144" s="18"/>
    </row>
    <row r="145">
      <c r="A145" s="18"/>
      <c r="B145" s="24"/>
      <c r="C145" s="18"/>
      <c r="D145" s="18"/>
      <c r="E145" s="18"/>
      <c r="F145" s="18"/>
      <c r="G145" s="22"/>
      <c r="H145" s="22"/>
      <c r="I145" s="22"/>
      <c r="J145" s="18"/>
    </row>
    <row r="146">
      <c r="A146" s="18"/>
      <c r="B146" s="24"/>
      <c r="C146" s="18"/>
      <c r="D146" s="18"/>
      <c r="E146" s="18"/>
      <c r="F146" s="18"/>
      <c r="G146" s="22"/>
      <c r="H146" s="22"/>
      <c r="I146" s="22"/>
      <c r="J146" s="18"/>
    </row>
    <row r="147">
      <c r="A147" s="18"/>
      <c r="B147" s="24"/>
      <c r="C147" s="18"/>
      <c r="D147" s="18"/>
      <c r="E147" s="18"/>
      <c r="F147" s="18"/>
      <c r="G147" s="22"/>
      <c r="H147" s="22"/>
      <c r="I147" s="22"/>
      <c r="J147" s="18"/>
    </row>
    <row r="148">
      <c r="A148" s="18"/>
      <c r="B148" s="24"/>
      <c r="C148" s="18"/>
      <c r="D148" s="18"/>
      <c r="E148" s="18"/>
      <c r="F148" s="18"/>
      <c r="G148" s="22"/>
      <c r="H148" s="22"/>
      <c r="I148" s="22"/>
      <c r="J148" s="18"/>
    </row>
    <row r="149">
      <c r="A149" s="18"/>
      <c r="B149" s="24"/>
      <c r="C149" s="18"/>
      <c r="D149" s="18"/>
      <c r="E149" s="18"/>
      <c r="F149" s="18"/>
      <c r="G149" s="22"/>
      <c r="H149" s="22"/>
      <c r="I149" s="22"/>
      <c r="J149" s="18"/>
    </row>
    <row r="150">
      <c r="A150" s="18"/>
      <c r="B150" s="24"/>
      <c r="C150" s="18"/>
      <c r="D150" s="18"/>
      <c r="E150" s="18"/>
      <c r="F150" s="18"/>
      <c r="G150" s="22"/>
      <c r="H150" s="22"/>
      <c r="I150" s="22"/>
      <c r="J150" s="18"/>
    </row>
    <row r="151">
      <c r="A151" s="18"/>
      <c r="B151" s="24"/>
      <c r="C151" s="18"/>
      <c r="D151" s="18"/>
      <c r="E151" s="18"/>
      <c r="F151" s="18"/>
      <c r="G151" s="22"/>
      <c r="H151" s="22"/>
      <c r="I151" s="22"/>
      <c r="J151" s="18"/>
    </row>
    <row r="152">
      <c r="A152" s="18"/>
      <c r="B152" s="24"/>
      <c r="C152" s="18"/>
      <c r="D152" s="18"/>
      <c r="E152" s="18"/>
      <c r="F152" s="18"/>
      <c r="G152" s="22"/>
      <c r="H152" s="22"/>
      <c r="I152" s="22"/>
      <c r="J152" s="18"/>
    </row>
    <row r="153">
      <c r="A153" s="18"/>
      <c r="B153" s="24"/>
      <c r="C153" s="18"/>
      <c r="D153" s="18"/>
      <c r="E153" s="18"/>
      <c r="F153" s="18"/>
      <c r="G153" s="22"/>
      <c r="H153" s="22"/>
      <c r="I153" s="22"/>
      <c r="J153" s="18"/>
    </row>
    <row r="154">
      <c r="A154" s="18"/>
      <c r="B154" s="24"/>
      <c r="C154" s="18"/>
      <c r="D154" s="18"/>
      <c r="E154" s="18"/>
      <c r="F154" s="18"/>
      <c r="G154" s="22"/>
      <c r="H154" s="22"/>
      <c r="I154" s="22"/>
      <c r="J154" s="18"/>
    </row>
    <row r="155">
      <c r="A155" s="18"/>
      <c r="B155" s="24"/>
      <c r="C155" s="18"/>
      <c r="D155" s="18"/>
      <c r="E155" s="18"/>
      <c r="F155" s="18"/>
      <c r="G155" s="22"/>
      <c r="H155" s="22"/>
      <c r="I155" s="22"/>
      <c r="J155" s="18"/>
    </row>
    <row r="156">
      <c r="A156" s="18"/>
      <c r="B156" s="24"/>
      <c r="C156" s="18"/>
      <c r="D156" s="18"/>
      <c r="E156" s="18"/>
      <c r="F156" s="18"/>
      <c r="G156" s="22"/>
      <c r="H156" s="22"/>
      <c r="I156" s="22"/>
      <c r="J156" s="18"/>
    </row>
    <row r="157">
      <c r="A157" s="18"/>
      <c r="B157" s="24"/>
      <c r="C157" s="18"/>
      <c r="D157" s="18"/>
      <c r="E157" s="18"/>
      <c r="F157" s="18"/>
      <c r="G157" s="22"/>
      <c r="H157" s="22"/>
      <c r="I157" s="22"/>
      <c r="J157" s="18"/>
    </row>
    <row r="158">
      <c r="A158" s="18"/>
      <c r="B158" s="24"/>
      <c r="C158" s="18"/>
      <c r="D158" s="18"/>
      <c r="E158" s="18"/>
      <c r="F158" s="18"/>
      <c r="G158" s="22"/>
      <c r="H158" s="22"/>
      <c r="I158" s="22"/>
      <c r="J158" s="18"/>
    </row>
    <row r="159">
      <c r="A159" s="18"/>
      <c r="B159" s="24"/>
      <c r="C159" s="18"/>
      <c r="D159" s="18"/>
      <c r="E159" s="18"/>
      <c r="F159" s="18"/>
      <c r="G159" s="22"/>
      <c r="H159" s="22"/>
      <c r="I159" s="22"/>
      <c r="J159" s="18"/>
    </row>
    <row r="160">
      <c r="A160" s="18"/>
      <c r="B160" s="24"/>
      <c r="C160" s="18"/>
      <c r="D160" s="18"/>
      <c r="E160" s="18"/>
      <c r="F160" s="18"/>
      <c r="G160" s="22"/>
      <c r="H160" s="22"/>
      <c r="I160" s="22"/>
      <c r="J160" s="18"/>
    </row>
    <row r="161">
      <c r="A161" s="18"/>
      <c r="B161" s="24"/>
      <c r="C161" s="18"/>
      <c r="D161" s="18"/>
      <c r="E161" s="18"/>
      <c r="F161" s="18"/>
      <c r="G161" s="22"/>
      <c r="H161" s="22"/>
      <c r="I161" s="22"/>
      <c r="J161" s="18"/>
    </row>
    <row r="162">
      <c r="A162" s="18"/>
      <c r="B162" s="24"/>
      <c r="C162" s="18"/>
      <c r="D162" s="18"/>
      <c r="E162" s="18"/>
      <c r="F162" s="18"/>
      <c r="G162" s="22"/>
      <c r="H162" s="22"/>
      <c r="I162" s="22"/>
      <c r="J162" s="18"/>
    </row>
    <row r="163">
      <c r="A163" s="18"/>
      <c r="B163" s="24"/>
      <c r="C163" s="18"/>
      <c r="D163" s="18"/>
      <c r="E163" s="18"/>
      <c r="F163" s="18"/>
      <c r="G163" s="22"/>
      <c r="H163" s="22"/>
      <c r="I163" s="22"/>
      <c r="J163" s="18"/>
    </row>
    <row r="164">
      <c r="A164" s="18"/>
      <c r="B164" s="24"/>
      <c r="C164" s="18"/>
      <c r="D164" s="18"/>
      <c r="E164" s="18"/>
      <c r="F164" s="18"/>
      <c r="G164" s="22"/>
      <c r="H164" s="22"/>
      <c r="I164" s="22"/>
      <c r="J164" s="18"/>
    </row>
    <row r="165">
      <c r="A165" s="18"/>
      <c r="B165" s="24"/>
      <c r="C165" s="18"/>
      <c r="D165" s="18"/>
      <c r="E165" s="18"/>
      <c r="F165" s="18"/>
      <c r="G165" s="22"/>
      <c r="H165" s="22"/>
      <c r="I165" s="22"/>
      <c r="J165" s="18"/>
    </row>
    <row r="166">
      <c r="A166" s="18"/>
      <c r="B166" s="24"/>
      <c r="C166" s="18"/>
      <c r="D166" s="18"/>
      <c r="E166" s="18"/>
      <c r="F166" s="18"/>
      <c r="G166" s="22"/>
      <c r="H166" s="22"/>
      <c r="I166" s="22"/>
      <c r="J166" s="18"/>
    </row>
    <row r="167">
      <c r="A167" s="18"/>
      <c r="B167" s="24"/>
      <c r="C167" s="18"/>
      <c r="D167" s="18"/>
      <c r="E167" s="18"/>
      <c r="F167" s="18"/>
      <c r="G167" s="22"/>
      <c r="H167" s="22"/>
      <c r="I167" s="22"/>
      <c r="J167" s="18"/>
    </row>
    <row r="168">
      <c r="A168" s="18"/>
      <c r="B168" s="24"/>
      <c r="C168" s="18"/>
      <c r="D168" s="18"/>
      <c r="E168" s="18"/>
      <c r="F168" s="18"/>
      <c r="G168" s="22"/>
      <c r="H168" s="22"/>
      <c r="I168" s="22"/>
      <c r="J168" s="18"/>
    </row>
    <row r="169">
      <c r="A169" s="18"/>
      <c r="B169" s="24"/>
      <c r="C169" s="18"/>
      <c r="D169" s="18"/>
      <c r="E169" s="18"/>
      <c r="F169" s="18"/>
      <c r="G169" s="22"/>
      <c r="H169" s="22"/>
      <c r="I169" s="22"/>
      <c r="J169" s="18"/>
    </row>
    <row r="170">
      <c r="A170" s="18"/>
      <c r="B170" s="24"/>
      <c r="C170" s="18"/>
      <c r="D170" s="18"/>
      <c r="E170" s="18"/>
      <c r="F170" s="18"/>
      <c r="G170" s="22"/>
      <c r="H170" s="22"/>
      <c r="I170" s="22"/>
      <c r="J170" s="18"/>
    </row>
    <row r="171">
      <c r="A171" s="18"/>
      <c r="B171" s="24"/>
      <c r="C171" s="18"/>
      <c r="D171" s="18"/>
      <c r="E171" s="18"/>
      <c r="F171" s="18"/>
      <c r="G171" s="22"/>
      <c r="H171" s="22"/>
      <c r="I171" s="22"/>
      <c r="J171" s="18"/>
    </row>
    <row r="172">
      <c r="A172" s="18"/>
      <c r="B172" s="24"/>
      <c r="C172" s="18"/>
      <c r="D172" s="18"/>
      <c r="E172" s="18"/>
      <c r="F172" s="18"/>
      <c r="G172" s="22"/>
      <c r="H172" s="22"/>
      <c r="I172" s="22"/>
      <c r="J172" s="18"/>
    </row>
    <row r="173">
      <c r="A173" s="18"/>
      <c r="B173" s="24"/>
      <c r="C173" s="18"/>
      <c r="D173" s="18"/>
      <c r="E173" s="18"/>
      <c r="F173" s="18"/>
      <c r="G173" s="22"/>
      <c r="H173" s="22"/>
      <c r="I173" s="22"/>
      <c r="J173" s="18"/>
    </row>
    <row r="174">
      <c r="A174" s="18"/>
      <c r="B174" s="24"/>
      <c r="C174" s="18"/>
      <c r="D174" s="18"/>
      <c r="E174" s="18"/>
      <c r="F174" s="18"/>
      <c r="G174" s="22"/>
      <c r="H174" s="22"/>
      <c r="I174" s="22"/>
      <c r="J174" s="18"/>
    </row>
    <row r="175">
      <c r="A175" s="18"/>
      <c r="B175" s="24"/>
      <c r="C175" s="18"/>
      <c r="D175" s="18"/>
      <c r="E175" s="18"/>
      <c r="F175" s="18"/>
      <c r="G175" s="22"/>
      <c r="H175" s="22"/>
      <c r="I175" s="22"/>
      <c r="J175" s="18"/>
    </row>
    <row r="176">
      <c r="A176" s="18"/>
      <c r="B176" s="24"/>
      <c r="C176" s="18"/>
      <c r="D176" s="18"/>
      <c r="E176" s="18"/>
      <c r="F176" s="18"/>
      <c r="G176" s="22"/>
      <c r="H176" s="22"/>
      <c r="I176" s="22"/>
      <c r="J176" s="18"/>
    </row>
    <row r="177">
      <c r="A177" s="18"/>
      <c r="B177" s="24"/>
      <c r="C177" s="18"/>
      <c r="D177" s="18"/>
      <c r="E177" s="18"/>
      <c r="F177" s="18"/>
      <c r="G177" s="22"/>
      <c r="H177" s="22"/>
      <c r="I177" s="22"/>
      <c r="J177" s="18"/>
    </row>
    <row r="178">
      <c r="A178" s="18"/>
      <c r="B178" s="24"/>
      <c r="C178" s="18"/>
      <c r="D178" s="18"/>
      <c r="E178" s="18"/>
      <c r="F178" s="18"/>
      <c r="G178" s="22"/>
      <c r="H178" s="22"/>
      <c r="I178" s="22"/>
      <c r="J178" s="18"/>
    </row>
    <row r="179">
      <c r="A179" s="18"/>
      <c r="B179" s="24"/>
      <c r="C179" s="18"/>
      <c r="D179" s="18"/>
      <c r="E179" s="18"/>
      <c r="F179" s="18"/>
      <c r="G179" s="22"/>
      <c r="H179" s="22"/>
      <c r="I179" s="22"/>
      <c r="J179" s="18"/>
    </row>
    <row r="180">
      <c r="A180" s="18"/>
      <c r="B180" s="24"/>
      <c r="C180" s="18"/>
      <c r="D180" s="18"/>
      <c r="E180" s="18"/>
      <c r="F180" s="18"/>
      <c r="G180" s="22"/>
      <c r="H180" s="22"/>
      <c r="I180" s="22"/>
      <c r="J180" s="18"/>
    </row>
    <row r="181">
      <c r="A181" s="18"/>
      <c r="B181" s="24"/>
      <c r="C181" s="18"/>
      <c r="D181" s="18"/>
      <c r="E181" s="18"/>
      <c r="F181" s="18"/>
      <c r="G181" s="22"/>
      <c r="H181" s="22"/>
      <c r="I181" s="22"/>
      <c r="J181" s="18"/>
    </row>
    <row r="182">
      <c r="A182" s="18"/>
      <c r="B182" s="24"/>
      <c r="C182" s="18"/>
      <c r="D182" s="18"/>
      <c r="E182" s="18"/>
      <c r="F182" s="18"/>
      <c r="G182" s="22"/>
      <c r="H182" s="22"/>
      <c r="I182" s="22"/>
      <c r="J182" s="18"/>
    </row>
    <row r="183">
      <c r="A183" s="18"/>
      <c r="B183" s="24"/>
      <c r="C183" s="18"/>
      <c r="D183" s="18"/>
      <c r="E183" s="18"/>
      <c r="F183" s="18"/>
      <c r="G183" s="22"/>
      <c r="H183" s="22"/>
      <c r="I183" s="22"/>
      <c r="J183" s="18"/>
    </row>
    <row r="184">
      <c r="A184" s="18"/>
      <c r="B184" s="24"/>
      <c r="C184" s="18"/>
      <c r="D184" s="18"/>
      <c r="E184" s="18"/>
      <c r="F184" s="18"/>
      <c r="G184" s="22"/>
      <c r="H184" s="22"/>
      <c r="I184" s="22"/>
      <c r="J184" s="18"/>
    </row>
    <row r="185">
      <c r="A185" s="18"/>
      <c r="B185" s="24"/>
      <c r="C185" s="18"/>
      <c r="D185" s="18"/>
      <c r="E185" s="18"/>
      <c r="F185" s="18"/>
      <c r="G185" s="22"/>
      <c r="H185" s="22"/>
      <c r="I185" s="22"/>
      <c r="J185" s="18"/>
    </row>
    <row r="186">
      <c r="A186" s="18"/>
      <c r="B186" s="24"/>
      <c r="C186" s="18"/>
      <c r="D186" s="18"/>
      <c r="E186" s="18"/>
      <c r="F186" s="18"/>
      <c r="G186" s="22"/>
      <c r="H186" s="22"/>
      <c r="I186" s="22"/>
      <c r="J186" s="18"/>
    </row>
    <row r="187">
      <c r="A187" s="18"/>
      <c r="B187" s="24"/>
      <c r="C187" s="18"/>
      <c r="D187" s="18"/>
      <c r="E187" s="18"/>
      <c r="F187" s="18"/>
      <c r="G187" s="22"/>
      <c r="H187" s="22"/>
      <c r="I187" s="22"/>
      <c r="J187" s="18"/>
    </row>
    <row r="188">
      <c r="A188" s="18"/>
      <c r="B188" s="24"/>
      <c r="C188" s="18"/>
      <c r="D188" s="18"/>
      <c r="E188" s="18"/>
      <c r="F188" s="18"/>
      <c r="G188" s="22"/>
      <c r="H188" s="22"/>
      <c r="I188" s="22"/>
      <c r="J188" s="18"/>
    </row>
    <row r="189">
      <c r="A189" s="18"/>
      <c r="B189" s="24"/>
      <c r="C189" s="18"/>
      <c r="D189" s="18"/>
      <c r="E189" s="18"/>
      <c r="F189" s="18"/>
      <c r="G189" s="22"/>
      <c r="H189" s="22"/>
      <c r="I189" s="22"/>
      <c r="J189" s="18"/>
    </row>
    <row r="190">
      <c r="A190" s="18"/>
      <c r="B190" s="24"/>
      <c r="C190" s="18"/>
      <c r="D190" s="18"/>
      <c r="E190" s="18"/>
      <c r="F190" s="18"/>
      <c r="G190" s="22"/>
      <c r="H190" s="22"/>
      <c r="I190" s="22"/>
      <c r="J190" s="18"/>
    </row>
    <row r="191">
      <c r="A191" s="18"/>
      <c r="B191" s="24"/>
      <c r="C191" s="18"/>
      <c r="D191" s="18"/>
      <c r="E191" s="18"/>
      <c r="F191" s="18"/>
      <c r="G191" s="22"/>
      <c r="H191" s="22"/>
      <c r="I191" s="22"/>
      <c r="J191" s="18"/>
    </row>
    <row r="192">
      <c r="A192" s="18"/>
      <c r="B192" s="24"/>
      <c r="C192" s="18"/>
      <c r="D192" s="18"/>
      <c r="E192" s="18"/>
      <c r="F192" s="18"/>
      <c r="G192" s="22"/>
      <c r="H192" s="22"/>
      <c r="I192" s="22"/>
      <c r="J192" s="18"/>
    </row>
    <row r="193">
      <c r="A193" s="18"/>
      <c r="B193" s="24"/>
      <c r="C193" s="18"/>
      <c r="D193" s="18"/>
      <c r="E193" s="18"/>
      <c r="F193" s="18"/>
      <c r="G193" s="22"/>
      <c r="H193" s="22"/>
      <c r="I193" s="22"/>
      <c r="J193" s="18"/>
    </row>
    <row r="194">
      <c r="A194" s="18"/>
      <c r="B194" s="24"/>
      <c r="C194" s="18"/>
      <c r="D194" s="18"/>
      <c r="E194" s="18"/>
      <c r="F194" s="18"/>
      <c r="G194" s="22"/>
      <c r="H194" s="22"/>
      <c r="I194" s="22"/>
      <c r="J194" s="18"/>
    </row>
    <row r="195">
      <c r="A195" s="18"/>
      <c r="B195" s="24"/>
      <c r="C195" s="18"/>
      <c r="D195" s="18"/>
      <c r="E195" s="18"/>
      <c r="F195" s="18"/>
      <c r="G195" s="22"/>
      <c r="H195" s="22"/>
      <c r="I195" s="22"/>
      <c r="J195" s="18"/>
    </row>
    <row r="196">
      <c r="A196" s="18"/>
      <c r="B196" s="24"/>
      <c r="C196" s="18"/>
      <c r="D196" s="18"/>
      <c r="E196" s="18"/>
      <c r="F196" s="18"/>
      <c r="G196" s="22"/>
      <c r="H196" s="22"/>
      <c r="I196" s="22"/>
      <c r="J196" s="18"/>
    </row>
    <row r="197">
      <c r="A197" s="18"/>
      <c r="B197" s="24"/>
      <c r="C197" s="18"/>
      <c r="D197" s="18"/>
      <c r="E197" s="18"/>
      <c r="F197" s="18"/>
      <c r="G197" s="22"/>
      <c r="H197" s="22"/>
      <c r="I197" s="22"/>
      <c r="J197" s="18"/>
    </row>
    <row r="198">
      <c r="A198" s="18"/>
      <c r="B198" s="24"/>
      <c r="C198" s="18"/>
      <c r="D198" s="18"/>
      <c r="E198" s="18"/>
      <c r="F198" s="18"/>
      <c r="G198" s="22"/>
      <c r="H198" s="22"/>
      <c r="I198" s="22"/>
      <c r="J198" s="18"/>
    </row>
    <row r="199">
      <c r="A199" s="18"/>
      <c r="B199" s="24"/>
      <c r="C199" s="18"/>
      <c r="D199" s="18"/>
      <c r="E199" s="18"/>
      <c r="F199" s="18"/>
      <c r="G199" s="22"/>
      <c r="H199" s="22"/>
      <c r="I199" s="22"/>
      <c r="J199" s="18"/>
    </row>
    <row r="200">
      <c r="A200" s="18"/>
      <c r="B200" s="24"/>
      <c r="C200" s="18"/>
      <c r="D200" s="18"/>
      <c r="E200" s="18"/>
      <c r="F200" s="18"/>
      <c r="G200" s="22"/>
      <c r="H200" s="22"/>
      <c r="I200" s="22"/>
      <c r="J200" s="18"/>
    </row>
    <row r="201">
      <c r="A201" s="18"/>
      <c r="B201" s="24"/>
      <c r="C201" s="18"/>
      <c r="D201" s="18"/>
      <c r="E201" s="18"/>
      <c r="F201" s="18"/>
      <c r="G201" s="22"/>
      <c r="H201" s="22"/>
      <c r="I201" s="22"/>
      <c r="J201" s="18"/>
    </row>
    <row r="202">
      <c r="A202" s="18"/>
      <c r="B202" s="24"/>
      <c r="C202" s="18"/>
      <c r="D202" s="18"/>
      <c r="E202" s="18"/>
      <c r="F202" s="18"/>
      <c r="G202" s="22"/>
      <c r="H202" s="22"/>
      <c r="I202" s="22"/>
      <c r="J202" s="18"/>
    </row>
    <row r="203">
      <c r="A203" s="18"/>
      <c r="B203" s="24"/>
      <c r="C203" s="18"/>
      <c r="D203" s="18"/>
      <c r="E203" s="18"/>
      <c r="F203" s="18"/>
      <c r="G203" s="22"/>
      <c r="H203" s="22"/>
      <c r="I203" s="22"/>
      <c r="J203" s="18"/>
    </row>
    <row r="204">
      <c r="A204" s="18"/>
      <c r="B204" s="24"/>
      <c r="C204" s="18"/>
      <c r="D204" s="18"/>
      <c r="E204" s="18"/>
      <c r="F204" s="18"/>
      <c r="G204" s="22"/>
      <c r="H204" s="22"/>
      <c r="I204" s="22"/>
      <c r="J204" s="18"/>
    </row>
    <row r="205">
      <c r="A205" s="18"/>
      <c r="B205" s="24"/>
      <c r="C205" s="18"/>
      <c r="D205" s="18"/>
      <c r="E205" s="18"/>
      <c r="F205" s="18"/>
      <c r="G205" s="22"/>
      <c r="H205" s="22"/>
      <c r="I205" s="22"/>
      <c r="J205" s="18"/>
    </row>
    <row r="206">
      <c r="A206" s="18"/>
      <c r="B206" s="24"/>
      <c r="C206" s="18"/>
      <c r="D206" s="18"/>
      <c r="E206" s="18"/>
      <c r="F206" s="18"/>
      <c r="G206" s="22"/>
      <c r="H206" s="22"/>
      <c r="I206" s="22"/>
      <c r="J206" s="18"/>
    </row>
    <row r="207">
      <c r="A207" s="18"/>
      <c r="B207" s="24"/>
      <c r="C207" s="18"/>
      <c r="D207" s="18"/>
      <c r="E207" s="18"/>
      <c r="F207" s="18"/>
      <c r="G207" s="22"/>
      <c r="H207" s="22"/>
      <c r="I207" s="22"/>
      <c r="J207" s="18"/>
    </row>
    <row r="208">
      <c r="A208" s="18"/>
      <c r="B208" s="24"/>
      <c r="C208" s="18"/>
      <c r="D208" s="18"/>
      <c r="E208" s="18"/>
      <c r="F208" s="18"/>
      <c r="G208" s="22"/>
      <c r="H208" s="22"/>
      <c r="I208" s="22"/>
      <c r="J208" s="18"/>
    </row>
    <row r="209">
      <c r="A209" s="18"/>
      <c r="B209" s="24"/>
      <c r="C209" s="18"/>
      <c r="D209" s="18"/>
      <c r="E209" s="18"/>
      <c r="F209" s="18"/>
      <c r="G209" s="22"/>
      <c r="H209" s="22"/>
      <c r="I209" s="22"/>
      <c r="J209" s="18"/>
    </row>
    <row r="210">
      <c r="A210" s="18"/>
      <c r="B210" s="24"/>
      <c r="C210" s="18"/>
      <c r="D210" s="18"/>
      <c r="E210" s="18"/>
      <c r="F210" s="18"/>
      <c r="G210" s="22"/>
      <c r="H210" s="22"/>
      <c r="I210" s="22"/>
      <c r="J210" s="18"/>
    </row>
    <row r="211">
      <c r="A211" s="18"/>
      <c r="B211" s="24"/>
      <c r="C211" s="18"/>
      <c r="D211" s="18"/>
      <c r="E211" s="18"/>
      <c r="F211" s="18"/>
      <c r="G211" s="22"/>
      <c r="H211" s="22"/>
      <c r="I211" s="22"/>
      <c r="J211" s="18"/>
    </row>
    <row r="212">
      <c r="A212" s="18"/>
      <c r="B212" s="24"/>
      <c r="C212" s="18"/>
      <c r="D212" s="18"/>
      <c r="E212" s="18"/>
      <c r="F212" s="18"/>
      <c r="G212" s="22"/>
      <c r="H212" s="22"/>
      <c r="I212" s="22"/>
      <c r="J212" s="18"/>
    </row>
    <row r="213">
      <c r="A213" s="18"/>
      <c r="B213" s="24"/>
      <c r="C213" s="18"/>
      <c r="D213" s="18"/>
      <c r="E213" s="18"/>
      <c r="F213" s="18"/>
      <c r="G213" s="22"/>
      <c r="H213" s="22"/>
      <c r="I213" s="22"/>
      <c r="J213" s="18"/>
    </row>
    <row r="214">
      <c r="A214" s="18"/>
      <c r="B214" s="24"/>
      <c r="C214" s="18"/>
      <c r="D214" s="18"/>
      <c r="E214" s="18"/>
      <c r="F214" s="18"/>
      <c r="G214" s="22"/>
      <c r="H214" s="22"/>
      <c r="I214" s="22"/>
      <c r="J214" s="18"/>
    </row>
    <row r="215">
      <c r="A215" s="18"/>
      <c r="B215" s="24"/>
      <c r="C215" s="18"/>
      <c r="D215" s="18"/>
      <c r="E215" s="18"/>
      <c r="F215" s="18"/>
      <c r="G215" s="22"/>
      <c r="H215" s="22"/>
      <c r="I215" s="22"/>
      <c r="J215" s="18"/>
    </row>
    <row r="216">
      <c r="A216" s="18"/>
      <c r="B216" s="24"/>
      <c r="C216" s="18"/>
      <c r="D216" s="18"/>
      <c r="E216" s="18"/>
      <c r="F216" s="18"/>
      <c r="G216" s="22"/>
      <c r="H216" s="22"/>
      <c r="I216" s="22"/>
      <c r="J216" s="18"/>
    </row>
    <row r="217">
      <c r="A217" s="18"/>
      <c r="B217" s="24"/>
      <c r="C217" s="18"/>
      <c r="D217" s="18"/>
      <c r="E217" s="18"/>
      <c r="F217" s="18"/>
      <c r="G217" s="22"/>
      <c r="H217" s="22"/>
      <c r="I217" s="22"/>
      <c r="J217" s="18"/>
    </row>
    <row r="218">
      <c r="A218" s="18"/>
      <c r="B218" s="24"/>
      <c r="C218" s="18"/>
      <c r="D218" s="18"/>
      <c r="E218" s="18"/>
      <c r="F218" s="18"/>
      <c r="G218" s="22"/>
      <c r="H218" s="22"/>
      <c r="I218" s="22"/>
      <c r="J218" s="18"/>
    </row>
    <row r="219">
      <c r="A219" s="18"/>
      <c r="B219" s="24"/>
      <c r="C219" s="18"/>
      <c r="D219" s="18"/>
      <c r="E219" s="18"/>
      <c r="F219" s="18"/>
      <c r="G219" s="22"/>
      <c r="H219" s="22"/>
      <c r="I219" s="22"/>
      <c r="J219" s="18"/>
    </row>
    <row r="220">
      <c r="A220" s="18"/>
      <c r="B220" s="24"/>
      <c r="C220" s="18"/>
      <c r="D220" s="18"/>
      <c r="E220" s="18"/>
      <c r="F220" s="18"/>
      <c r="G220" s="22"/>
      <c r="H220" s="22"/>
      <c r="I220" s="22"/>
      <c r="J220" s="18"/>
    </row>
    <row r="221">
      <c r="A221" s="18"/>
      <c r="B221" s="24"/>
      <c r="C221" s="18"/>
      <c r="D221" s="18"/>
      <c r="E221" s="18"/>
      <c r="F221" s="18"/>
      <c r="G221" s="22"/>
      <c r="H221" s="22"/>
      <c r="I221" s="22"/>
      <c r="J221" s="18"/>
    </row>
    <row r="222">
      <c r="A222" s="18"/>
      <c r="B222" s="24"/>
      <c r="C222" s="18"/>
      <c r="D222" s="18"/>
      <c r="E222" s="18"/>
      <c r="F222" s="18"/>
      <c r="G222" s="22"/>
      <c r="H222" s="22"/>
      <c r="I222" s="22"/>
      <c r="J222" s="18"/>
    </row>
    <row r="223">
      <c r="A223" s="18"/>
      <c r="B223" s="24"/>
      <c r="C223" s="18"/>
      <c r="D223" s="18"/>
      <c r="E223" s="18"/>
      <c r="F223" s="18"/>
      <c r="G223" s="22"/>
      <c r="H223" s="22"/>
      <c r="I223" s="22"/>
      <c r="J223" s="18"/>
    </row>
    <row r="224">
      <c r="A224" s="18"/>
      <c r="B224" s="24"/>
      <c r="C224" s="18"/>
      <c r="D224" s="18"/>
      <c r="E224" s="18"/>
      <c r="F224" s="18"/>
      <c r="G224" s="22"/>
      <c r="H224" s="22"/>
      <c r="I224" s="22"/>
      <c r="J224" s="18"/>
    </row>
    <row r="225">
      <c r="A225" s="18"/>
      <c r="B225" s="24"/>
      <c r="C225" s="18"/>
      <c r="D225" s="18"/>
      <c r="E225" s="18"/>
      <c r="F225" s="18"/>
      <c r="G225" s="22"/>
      <c r="H225" s="22"/>
      <c r="I225" s="22"/>
      <c r="J225" s="18"/>
    </row>
    <row r="226">
      <c r="A226" s="18"/>
      <c r="B226" s="24"/>
      <c r="C226" s="18"/>
      <c r="D226" s="18"/>
      <c r="E226" s="18"/>
      <c r="F226" s="18"/>
      <c r="G226" s="22"/>
      <c r="H226" s="22"/>
      <c r="I226" s="22"/>
      <c r="J226" s="18"/>
    </row>
    <row r="227">
      <c r="A227" s="18"/>
      <c r="B227" s="24"/>
      <c r="C227" s="18"/>
      <c r="D227" s="18"/>
      <c r="E227" s="18"/>
      <c r="F227" s="18"/>
      <c r="G227" s="22"/>
      <c r="H227" s="22"/>
      <c r="I227" s="22"/>
      <c r="J227" s="18"/>
    </row>
    <row r="228">
      <c r="A228" s="18"/>
      <c r="B228" s="24"/>
      <c r="C228" s="18"/>
      <c r="D228" s="18"/>
      <c r="E228" s="18"/>
      <c r="F228" s="18"/>
      <c r="G228" s="22"/>
      <c r="H228" s="22"/>
      <c r="I228" s="22"/>
      <c r="J228" s="18"/>
    </row>
    <row r="229">
      <c r="A229" s="18"/>
      <c r="B229" s="24"/>
      <c r="C229" s="18"/>
      <c r="D229" s="18"/>
      <c r="E229" s="18"/>
      <c r="F229" s="18"/>
      <c r="G229" s="22"/>
      <c r="H229" s="22"/>
      <c r="I229" s="22"/>
      <c r="J229" s="18"/>
    </row>
    <row r="230">
      <c r="A230" s="18"/>
      <c r="B230" s="24"/>
      <c r="C230" s="18"/>
      <c r="D230" s="18"/>
      <c r="E230" s="18"/>
      <c r="F230" s="18"/>
      <c r="G230" s="22"/>
      <c r="H230" s="22"/>
      <c r="I230" s="22"/>
      <c r="J230" s="18"/>
    </row>
    <row r="231">
      <c r="A231" s="18"/>
      <c r="B231" s="24"/>
      <c r="C231" s="18"/>
      <c r="D231" s="18"/>
      <c r="E231" s="18"/>
      <c r="F231" s="18"/>
      <c r="G231" s="22"/>
      <c r="H231" s="22"/>
      <c r="I231" s="22"/>
      <c r="J231" s="18"/>
    </row>
    <row r="232">
      <c r="A232" s="18"/>
      <c r="B232" s="24"/>
      <c r="C232" s="18"/>
      <c r="D232" s="18"/>
      <c r="E232" s="18"/>
      <c r="F232" s="18"/>
      <c r="G232" s="22"/>
      <c r="H232" s="22"/>
      <c r="I232" s="22"/>
      <c r="J232" s="18"/>
    </row>
    <row r="233">
      <c r="A233" s="18"/>
      <c r="B233" s="24"/>
      <c r="C233" s="18"/>
      <c r="D233" s="18"/>
      <c r="E233" s="18"/>
      <c r="F233" s="18"/>
      <c r="G233" s="22"/>
      <c r="H233" s="22"/>
      <c r="I233" s="22"/>
      <c r="J233" s="18"/>
    </row>
    <row r="234">
      <c r="A234" s="18"/>
      <c r="B234" s="24"/>
      <c r="C234" s="18"/>
      <c r="D234" s="18"/>
      <c r="E234" s="18"/>
      <c r="F234" s="18"/>
      <c r="G234" s="22"/>
      <c r="H234" s="22"/>
      <c r="I234" s="22"/>
      <c r="J234" s="18"/>
    </row>
    <row r="235">
      <c r="A235" s="18"/>
      <c r="B235" s="24"/>
      <c r="C235" s="18"/>
      <c r="D235" s="18"/>
      <c r="E235" s="18"/>
      <c r="F235" s="18"/>
      <c r="G235" s="22"/>
      <c r="H235" s="22"/>
      <c r="I235" s="22"/>
      <c r="J235" s="18"/>
    </row>
    <row r="236">
      <c r="A236" s="18"/>
      <c r="B236" s="24"/>
      <c r="C236" s="18"/>
      <c r="D236" s="18"/>
      <c r="E236" s="18"/>
      <c r="F236" s="18"/>
      <c r="G236" s="22"/>
      <c r="H236" s="22"/>
      <c r="I236" s="22"/>
      <c r="J236" s="18"/>
    </row>
    <row r="237">
      <c r="A237" s="18"/>
      <c r="B237" s="24"/>
      <c r="C237" s="18"/>
      <c r="D237" s="18"/>
      <c r="E237" s="18"/>
      <c r="F237" s="18"/>
      <c r="G237" s="22"/>
      <c r="H237" s="22"/>
      <c r="I237" s="22"/>
      <c r="J237" s="18"/>
    </row>
    <row r="238">
      <c r="A238" s="18"/>
      <c r="B238" s="24"/>
      <c r="C238" s="18"/>
      <c r="D238" s="18"/>
      <c r="E238" s="18"/>
      <c r="F238" s="18"/>
      <c r="G238" s="22"/>
      <c r="H238" s="22"/>
      <c r="I238" s="22"/>
      <c r="J238" s="18"/>
    </row>
    <row r="239">
      <c r="A239" s="18"/>
      <c r="B239" s="24"/>
      <c r="C239" s="18"/>
      <c r="D239" s="18"/>
      <c r="E239" s="18"/>
      <c r="F239" s="18"/>
      <c r="G239" s="22"/>
      <c r="H239" s="22"/>
      <c r="I239" s="22"/>
      <c r="J239" s="18"/>
    </row>
    <row r="240">
      <c r="A240" s="18"/>
      <c r="B240" s="24"/>
      <c r="C240" s="18"/>
      <c r="D240" s="18"/>
      <c r="E240" s="18"/>
      <c r="F240" s="18"/>
      <c r="G240" s="22"/>
      <c r="H240" s="22"/>
      <c r="I240" s="22"/>
      <c r="J240" s="18"/>
    </row>
    <row r="241">
      <c r="A241" s="18"/>
      <c r="B241" s="24"/>
      <c r="C241" s="18"/>
      <c r="D241" s="18"/>
      <c r="E241" s="18"/>
      <c r="F241" s="18"/>
      <c r="G241" s="22"/>
      <c r="H241" s="22"/>
      <c r="I241" s="22"/>
      <c r="J241" s="18"/>
    </row>
    <row r="242">
      <c r="A242" s="18"/>
      <c r="B242" s="24"/>
      <c r="C242" s="18"/>
      <c r="D242" s="18"/>
      <c r="E242" s="18"/>
      <c r="F242" s="18"/>
      <c r="G242" s="22"/>
      <c r="H242" s="22"/>
      <c r="I242" s="22"/>
      <c r="J242" s="18"/>
    </row>
    <row r="243">
      <c r="A243" s="18"/>
      <c r="B243" s="24"/>
      <c r="C243" s="18"/>
      <c r="D243" s="18"/>
      <c r="E243" s="18"/>
      <c r="F243" s="18"/>
      <c r="G243" s="22"/>
      <c r="H243" s="22"/>
      <c r="I243" s="22"/>
      <c r="J243" s="18"/>
    </row>
    <row r="244">
      <c r="A244" s="18"/>
      <c r="B244" s="24"/>
      <c r="C244" s="18"/>
      <c r="D244" s="18"/>
      <c r="E244" s="18"/>
      <c r="F244" s="18"/>
      <c r="G244" s="22"/>
      <c r="H244" s="22"/>
      <c r="I244" s="22"/>
      <c r="J244" s="18"/>
    </row>
    <row r="245">
      <c r="A245" s="18"/>
      <c r="B245" s="24"/>
      <c r="C245" s="18"/>
      <c r="D245" s="18"/>
      <c r="E245" s="18"/>
      <c r="F245" s="18"/>
      <c r="G245" s="22"/>
      <c r="H245" s="22"/>
      <c r="I245" s="22"/>
      <c r="J245" s="18"/>
    </row>
    <row r="246">
      <c r="A246" s="18"/>
      <c r="B246" s="24"/>
      <c r="C246" s="18"/>
      <c r="D246" s="18"/>
      <c r="E246" s="18"/>
      <c r="F246" s="18"/>
      <c r="G246" s="22"/>
      <c r="H246" s="22"/>
      <c r="I246" s="22"/>
      <c r="J246" s="18"/>
    </row>
    <row r="247">
      <c r="A247" s="18"/>
      <c r="B247" s="24"/>
      <c r="C247" s="18"/>
      <c r="D247" s="18"/>
      <c r="E247" s="18"/>
      <c r="F247" s="18"/>
      <c r="G247" s="22"/>
      <c r="H247" s="22"/>
      <c r="I247" s="22"/>
      <c r="J247" s="18"/>
    </row>
    <row r="248">
      <c r="A248" s="18"/>
      <c r="B248" s="24"/>
      <c r="C248" s="18"/>
      <c r="D248" s="18"/>
      <c r="E248" s="18"/>
      <c r="F248" s="18"/>
      <c r="G248" s="22"/>
      <c r="H248" s="22"/>
      <c r="I248" s="22"/>
      <c r="J248" s="18"/>
    </row>
    <row r="249">
      <c r="A249" s="18"/>
      <c r="B249" s="24"/>
      <c r="C249" s="18"/>
      <c r="D249" s="18"/>
      <c r="E249" s="18"/>
      <c r="F249" s="18"/>
      <c r="G249" s="22"/>
      <c r="H249" s="22"/>
      <c r="I249" s="22"/>
      <c r="J249" s="18"/>
    </row>
    <row r="250">
      <c r="A250" s="18"/>
      <c r="B250" s="24"/>
      <c r="C250" s="18"/>
      <c r="D250" s="18"/>
      <c r="E250" s="18"/>
      <c r="F250" s="18"/>
      <c r="G250" s="22"/>
      <c r="H250" s="22"/>
      <c r="I250" s="22"/>
      <c r="J250" s="18"/>
    </row>
    <row r="251">
      <c r="A251" s="18"/>
      <c r="B251" s="24"/>
      <c r="C251" s="18"/>
      <c r="D251" s="18"/>
      <c r="E251" s="18"/>
      <c r="F251" s="18"/>
      <c r="G251" s="22"/>
      <c r="H251" s="22"/>
      <c r="I251" s="22"/>
      <c r="J251" s="18"/>
    </row>
    <row r="252">
      <c r="A252" s="18"/>
      <c r="B252" s="24"/>
      <c r="C252" s="18"/>
      <c r="D252" s="18"/>
      <c r="E252" s="18"/>
      <c r="F252" s="18"/>
      <c r="G252" s="22"/>
      <c r="H252" s="22"/>
      <c r="I252" s="22"/>
      <c r="J252" s="18"/>
    </row>
    <row r="253">
      <c r="A253" s="18"/>
      <c r="B253" s="24"/>
      <c r="C253" s="18"/>
      <c r="D253" s="18"/>
      <c r="E253" s="18"/>
      <c r="F253" s="18"/>
      <c r="G253" s="22"/>
      <c r="H253" s="22"/>
      <c r="I253" s="22"/>
      <c r="J253" s="18"/>
    </row>
    <row r="254">
      <c r="A254" s="18"/>
      <c r="B254" s="24"/>
      <c r="C254" s="18"/>
      <c r="D254" s="18"/>
      <c r="E254" s="18"/>
      <c r="F254" s="18"/>
      <c r="G254" s="22"/>
      <c r="H254" s="22"/>
      <c r="I254" s="22"/>
      <c r="J254" s="18"/>
    </row>
    <row r="255">
      <c r="A255" s="18"/>
      <c r="B255" s="24"/>
      <c r="C255" s="18"/>
      <c r="D255" s="18"/>
      <c r="E255" s="18"/>
      <c r="F255" s="18"/>
      <c r="G255" s="22"/>
      <c r="H255" s="22"/>
      <c r="I255" s="22"/>
      <c r="J255" s="18"/>
    </row>
    <row r="256">
      <c r="A256" s="18"/>
      <c r="B256" s="24"/>
      <c r="C256" s="18"/>
      <c r="D256" s="18"/>
      <c r="E256" s="18"/>
      <c r="F256" s="18"/>
      <c r="G256" s="22"/>
      <c r="H256" s="22"/>
      <c r="I256" s="22"/>
      <c r="J256" s="18"/>
    </row>
    <row r="257">
      <c r="A257" s="18"/>
      <c r="B257" s="24"/>
      <c r="C257" s="18"/>
      <c r="D257" s="18"/>
      <c r="E257" s="18"/>
      <c r="F257" s="18"/>
      <c r="G257" s="22"/>
      <c r="H257" s="22"/>
      <c r="I257" s="22"/>
      <c r="J257" s="18"/>
    </row>
    <row r="258">
      <c r="A258" s="18"/>
      <c r="B258" s="24"/>
      <c r="C258" s="18"/>
      <c r="D258" s="18"/>
      <c r="E258" s="18"/>
      <c r="F258" s="18"/>
      <c r="G258" s="22"/>
      <c r="H258" s="22"/>
      <c r="I258" s="22"/>
      <c r="J258" s="18"/>
    </row>
    <row r="259">
      <c r="A259" s="18"/>
      <c r="B259" s="24"/>
      <c r="C259" s="18"/>
      <c r="D259" s="18"/>
      <c r="E259" s="18"/>
      <c r="F259" s="18"/>
      <c r="G259" s="22"/>
      <c r="H259" s="22"/>
      <c r="I259" s="22"/>
      <c r="J259" s="18"/>
    </row>
    <row r="260">
      <c r="A260" s="18"/>
      <c r="B260" s="24"/>
      <c r="C260" s="18"/>
      <c r="D260" s="18"/>
      <c r="E260" s="18"/>
      <c r="F260" s="18"/>
      <c r="G260" s="22"/>
      <c r="H260" s="22"/>
      <c r="I260" s="22"/>
      <c r="J260" s="18"/>
    </row>
    <row r="261">
      <c r="A261" s="18"/>
      <c r="B261" s="24"/>
      <c r="C261" s="18"/>
      <c r="D261" s="18"/>
      <c r="E261" s="18"/>
      <c r="F261" s="18"/>
      <c r="G261" s="22"/>
      <c r="H261" s="22"/>
      <c r="I261" s="22"/>
      <c r="J261" s="18"/>
    </row>
    <row r="262">
      <c r="A262" s="18"/>
      <c r="B262" s="24"/>
      <c r="C262" s="18"/>
      <c r="D262" s="18"/>
      <c r="E262" s="18"/>
      <c r="F262" s="18"/>
      <c r="G262" s="22"/>
      <c r="H262" s="22"/>
      <c r="I262" s="22"/>
      <c r="J262" s="18"/>
    </row>
    <row r="263">
      <c r="A263" s="18"/>
      <c r="B263" s="24"/>
      <c r="C263" s="18"/>
      <c r="D263" s="18"/>
      <c r="E263" s="18"/>
      <c r="F263" s="18"/>
      <c r="G263" s="22"/>
      <c r="H263" s="22"/>
      <c r="I263" s="22"/>
      <c r="J263" s="18"/>
    </row>
    <row r="264">
      <c r="A264" s="18"/>
      <c r="B264" s="24"/>
      <c r="C264" s="18"/>
      <c r="D264" s="18"/>
      <c r="E264" s="18"/>
      <c r="F264" s="18"/>
      <c r="G264" s="22"/>
      <c r="H264" s="22"/>
      <c r="I264" s="22"/>
      <c r="J264" s="18"/>
    </row>
    <row r="265">
      <c r="A265" s="18"/>
      <c r="B265" s="24"/>
      <c r="C265" s="18"/>
      <c r="D265" s="18"/>
      <c r="E265" s="18"/>
      <c r="F265" s="18"/>
      <c r="G265" s="22"/>
      <c r="H265" s="22"/>
      <c r="I265" s="22"/>
      <c r="J265" s="18"/>
    </row>
    <row r="266">
      <c r="A266" s="18"/>
      <c r="B266" s="24"/>
      <c r="C266" s="18"/>
      <c r="D266" s="18"/>
      <c r="E266" s="18"/>
      <c r="F266" s="18"/>
      <c r="G266" s="22"/>
      <c r="H266" s="22"/>
      <c r="I266" s="22"/>
      <c r="J266" s="18"/>
    </row>
    <row r="267">
      <c r="A267" s="18"/>
      <c r="B267" s="24"/>
      <c r="C267" s="18"/>
      <c r="D267" s="18"/>
      <c r="E267" s="18"/>
      <c r="F267" s="18"/>
      <c r="G267" s="22"/>
      <c r="H267" s="22"/>
      <c r="I267" s="22"/>
      <c r="J267" s="18"/>
    </row>
    <row r="268">
      <c r="A268" s="18"/>
      <c r="B268" s="24"/>
      <c r="C268" s="18"/>
      <c r="D268" s="18"/>
      <c r="E268" s="18"/>
      <c r="F268" s="18"/>
      <c r="G268" s="22"/>
      <c r="H268" s="22"/>
      <c r="I268" s="22"/>
      <c r="J268" s="18"/>
    </row>
    <row r="269">
      <c r="A269" s="18"/>
      <c r="B269" s="24"/>
      <c r="C269" s="18"/>
      <c r="D269" s="18"/>
      <c r="E269" s="18"/>
      <c r="F269" s="18"/>
      <c r="G269" s="22"/>
      <c r="H269" s="22"/>
      <c r="I269" s="22"/>
      <c r="J269" s="18"/>
    </row>
    <row r="270">
      <c r="A270" s="18"/>
      <c r="B270" s="24"/>
      <c r="C270" s="18"/>
      <c r="D270" s="18"/>
      <c r="E270" s="18"/>
      <c r="F270" s="18"/>
      <c r="G270" s="22"/>
      <c r="H270" s="22"/>
      <c r="I270" s="22"/>
      <c r="J270" s="18"/>
    </row>
    <row r="271">
      <c r="A271" s="18"/>
      <c r="B271" s="24"/>
      <c r="C271" s="18"/>
      <c r="D271" s="18"/>
      <c r="E271" s="18"/>
      <c r="F271" s="18"/>
      <c r="G271" s="22"/>
      <c r="H271" s="22"/>
      <c r="I271" s="22"/>
      <c r="J271" s="18"/>
    </row>
    <row r="272">
      <c r="A272" s="18"/>
      <c r="B272" s="24"/>
      <c r="C272" s="18"/>
      <c r="D272" s="18"/>
      <c r="E272" s="18"/>
      <c r="F272" s="18"/>
      <c r="G272" s="22"/>
      <c r="H272" s="22"/>
      <c r="I272" s="22"/>
      <c r="J272" s="18"/>
    </row>
    <row r="273">
      <c r="A273" s="18"/>
      <c r="B273" s="24"/>
      <c r="C273" s="18"/>
      <c r="D273" s="18"/>
      <c r="E273" s="18"/>
      <c r="F273" s="18"/>
      <c r="G273" s="22"/>
      <c r="H273" s="22"/>
      <c r="I273" s="22"/>
      <c r="J273" s="18"/>
    </row>
    <row r="274">
      <c r="A274" s="18"/>
      <c r="B274" s="24"/>
      <c r="C274" s="18"/>
      <c r="D274" s="18"/>
      <c r="E274" s="18"/>
      <c r="F274" s="18"/>
      <c r="G274" s="22"/>
      <c r="H274" s="22"/>
      <c r="I274" s="22"/>
      <c r="J274" s="18"/>
    </row>
    <row r="275">
      <c r="A275" s="18"/>
      <c r="B275" s="24"/>
      <c r="C275" s="18"/>
      <c r="D275" s="18"/>
      <c r="E275" s="18"/>
      <c r="F275" s="18"/>
      <c r="G275" s="22"/>
      <c r="H275" s="22"/>
      <c r="I275" s="22"/>
      <c r="J275" s="18"/>
    </row>
    <row r="276">
      <c r="A276" s="18"/>
      <c r="B276" s="24"/>
      <c r="C276" s="18"/>
      <c r="D276" s="18"/>
      <c r="E276" s="18"/>
      <c r="F276" s="18"/>
      <c r="G276" s="22"/>
      <c r="H276" s="22"/>
      <c r="I276" s="22"/>
      <c r="J276" s="18"/>
    </row>
    <row r="277">
      <c r="A277" s="18"/>
      <c r="B277" s="24"/>
      <c r="C277" s="18"/>
      <c r="D277" s="18"/>
      <c r="E277" s="18"/>
      <c r="F277" s="18"/>
      <c r="G277" s="22"/>
      <c r="H277" s="22"/>
      <c r="I277" s="22"/>
      <c r="J277" s="18"/>
    </row>
    <row r="278">
      <c r="A278" s="18"/>
      <c r="B278" s="24"/>
      <c r="C278" s="18"/>
      <c r="D278" s="18"/>
      <c r="E278" s="18"/>
      <c r="F278" s="18"/>
      <c r="G278" s="22"/>
      <c r="H278" s="22"/>
      <c r="I278" s="22"/>
      <c r="J278" s="18"/>
    </row>
    <row r="279">
      <c r="A279" s="18"/>
      <c r="B279" s="24"/>
      <c r="C279" s="18"/>
      <c r="D279" s="18"/>
      <c r="E279" s="18"/>
      <c r="F279" s="18"/>
      <c r="G279" s="22"/>
      <c r="H279" s="22"/>
      <c r="I279" s="22"/>
      <c r="J279" s="18"/>
    </row>
    <row r="280">
      <c r="A280" s="18"/>
      <c r="B280" s="24"/>
      <c r="C280" s="18"/>
      <c r="D280" s="18"/>
      <c r="E280" s="18"/>
      <c r="F280" s="18"/>
      <c r="G280" s="22"/>
      <c r="H280" s="22"/>
      <c r="I280" s="22"/>
      <c r="J280" s="18"/>
    </row>
    <row r="281">
      <c r="A281" s="18"/>
      <c r="B281" s="24"/>
      <c r="C281" s="18"/>
      <c r="D281" s="18"/>
      <c r="E281" s="18"/>
      <c r="F281" s="18"/>
      <c r="G281" s="22"/>
      <c r="H281" s="22"/>
      <c r="I281" s="22"/>
      <c r="J281" s="18"/>
    </row>
    <row r="282">
      <c r="A282" s="18"/>
      <c r="B282" s="24"/>
      <c r="C282" s="18"/>
      <c r="D282" s="18"/>
      <c r="E282" s="18"/>
      <c r="F282" s="18"/>
      <c r="G282" s="22"/>
      <c r="H282" s="22"/>
      <c r="I282" s="22"/>
      <c r="J282" s="18"/>
    </row>
    <row r="283">
      <c r="A283" s="18"/>
      <c r="B283" s="24"/>
      <c r="C283" s="18"/>
      <c r="D283" s="18"/>
      <c r="E283" s="18"/>
      <c r="F283" s="18"/>
      <c r="G283" s="22"/>
      <c r="H283" s="22"/>
      <c r="I283" s="22"/>
      <c r="J283" s="18"/>
    </row>
    <row r="284">
      <c r="A284" s="18"/>
      <c r="B284" s="24"/>
      <c r="C284" s="18"/>
      <c r="D284" s="18"/>
      <c r="E284" s="18"/>
      <c r="F284" s="18"/>
      <c r="G284" s="22"/>
      <c r="H284" s="22"/>
      <c r="I284" s="22"/>
      <c r="J284" s="18"/>
    </row>
    <row r="285">
      <c r="A285" s="18"/>
      <c r="B285" s="24"/>
      <c r="C285" s="18"/>
      <c r="D285" s="18"/>
      <c r="E285" s="18"/>
      <c r="F285" s="18"/>
      <c r="G285" s="22"/>
      <c r="H285" s="22"/>
      <c r="I285" s="22"/>
      <c r="J285" s="18"/>
    </row>
    <row r="286">
      <c r="A286" s="18"/>
      <c r="B286" s="24"/>
      <c r="C286" s="18"/>
      <c r="D286" s="18"/>
      <c r="E286" s="18"/>
      <c r="F286" s="18"/>
      <c r="G286" s="22"/>
      <c r="H286" s="22"/>
      <c r="I286" s="22"/>
      <c r="J286" s="18"/>
    </row>
    <row r="287">
      <c r="A287" s="18"/>
      <c r="B287" s="24"/>
      <c r="C287" s="18"/>
      <c r="D287" s="18"/>
      <c r="E287" s="18"/>
      <c r="F287" s="18"/>
      <c r="G287" s="22"/>
      <c r="H287" s="22"/>
      <c r="I287" s="22"/>
      <c r="J287" s="18"/>
    </row>
    <row r="288">
      <c r="A288" s="18"/>
      <c r="B288" s="24"/>
      <c r="C288" s="18"/>
      <c r="D288" s="18"/>
      <c r="E288" s="18"/>
      <c r="F288" s="18"/>
      <c r="G288" s="22"/>
      <c r="H288" s="22"/>
      <c r="I288" s="22"/>
      <c r="J288" s="18"/>
    </row>
    <row r="289">
      <c r="A289" s="18"/>
      <c r="B289" s="24"/>
      <c r="C289" s="18"/>
      <c r="D289" s="18"/>
      <c r="E289" s="18"/>
      <c r="F289" s="18"/>
      <c r="G289" s="22"/>
      <c r="H289" s="22"/>
      <c r="I289" s="22"/>
      <c r="J289" s="18"/>
    </row>
    <row r="290">
      <c r="A290" s="18"/>
      <c r="B290" s="24"/>
      <c r="C290" s="18"/>
      <c r="D290" s="18"/>
      <c r="E290" s="18"/>
      <c r="F290" s="18"/>
      <c r="G290" s="22"/>
      <c r="H290" s="22"/>
      <c r="I290" s="22"/>
      <c r="J290" s="18"/>
    </row>
    <row r="291">
      <c r="A291" s="18"/>
      <c r="B291" s="24"/>
      <c r="C291" s="18"/>
      <c r="D291" s="18"/>
      <c r="E291" s="18"/>
      <c r="F291" s="18"/>
      <c r="G291" s="22"/>
      <c r="H291" s="22"/>
      <c r="I291" s="22"/>
      <c r="J291" s="18"/>
    </row>
    <row r="292">
      <c r="A292" s="18"/>
      <c r="B292" s="24"/>
      <c r="C292" s="18"/>
      <c r="D292" s="18"/>
      <c r="E292" s="18"/>
      <c r="F292" s="18"/>
      <c r="G292" s="22"/>
      <c r="H292" s="22"/>
      <c r="I292" s="22"/>
      <c r="J292" s="18"/>
    </row>
    <row r="293">
      <c r="A293" s="18"/>
      <c r="B293" s="24"/>
      <c r="C293" s="18"/>
      <c r="D293" s="18"/>
      <c r="E293" s="18"/>
      <c r="F293" s="18"/>
      <c r="G293" s="22"/>
      <c r="H293" s="22"/>
      <c r="I293" s="22"/>
      <c r="J293" s="18"/>
    </row>
    <row r="294">
      <c r="A294" s="18"/>
      <c r="B294" s="24"/>
      <c r="C294" s="18"/>
      <c r="D294" s="18"/>
      <c r="E294" s="18"/>
      <c r="F294" s="18"/>
      <c r="G294" s="22"/>
      <c r="H294" s="22"/>
      <c r="I294" s="22"/>
      <c r="J294" s="18"/>
    </row>
    <row r="295">
      <c r="A295" s="18"/>
      <c r="B295" s="24"/>
      <c r="C295" s="18"/>
      <c r="D295" s="18"/>
      <c r="E295" s="18"/>
      <c r="F295" s="18"/>
      <c r="G295" s="22"/>
      <c r="H295" s="22"/>
      <c r="I295" s="22"/>
      <c r="J295" s="18"/>
    </row>
    <row r="296">
      <c r="A296" s="18"/>
      <c r="B296" s="24"/>
      <c r="C296" s="18"/>
      <c r="D296" s="18"/>
      <c r="E296" s="18"/>
      <c r="F296" s="18"/>
      <c r="G296" s="22"/>
      <c r="H296" s="22"/>
      <c r="I296" s="22"/>
      <c r="J296" s="18"/>
    </row>
    <row r="297">
      <c r="A297" s="18"/>
      <c r="B297" s="24"/>
      <c r="C297" s="18"/>
      <c r="D297" s="18"/>
      <c r="E297" s="18"/>
      <c r="F297" s="18"/>
      <c r="G297" s="22"/>
      <c r="H297" s="22"/>
      <c r="I297" s="22"/>
      <c r="J297" s="18"/>
    </row>
    <row r="298">
      <c r="A298" s="18"/>
      <c r="B298" s="24"/>
      <c r="C298" s="18"/>
      <c r="D298" s="18"/>
      <c r="E298" s="18"/>
      <c r="F298" s="18"/>
      <c r="G298" s="22"/>
      <c r="H298" s="22"/>
      <c r="I298" s="22"/>
      <c r="J298" s="18"/>
    </row>
    <row r="299">
      <c r="A299" s="18"/>
      <c r="B299" s="24"/>
      <c r="C299" s="18"/>
      <c r="D299" s="18"/>
      <c r="E299" s="18"/>
      <c r="F299" s="18"/>
      <c r="G299" s="22"/>
      <c r="H299" s="22"/>
      <c r="I299" s="22"/>
      <c r="J299" s="18"/>
    </row>
    <row r="300">
      <c r="A300" s="18"/>
      <c r="B300" s="24"/>
      <c r="C300" s="18"/>
      <c r="D300" s="18"/>
      <c r="E300" s="18"/>
      <c r="F300" s="18"/>
      <c r="G300" s="22"/>
      <c r="H300" s="22"/>
      <c r="I300" s="22"/>
      <c r="J300" s="18"/>
    </row>
    <row r="301">
      <c r="A301" s="18"/>
      <c r="B301" s="24"/>
      <c r="C301" s="18"/>
      <c r="D301" s="18"/>
      <c r="E301" s="18"/>
      <c r="F301" s="18"/>
      <c r="G301" s="22"/>
      <c r="H301" s="22"/>
      <c r="I301" s="22"/>
      <c r="J301" s="18"/>
    </row>
    <row r="302">
      <c r="A302" s="18"/>
      <c r="B302" s="24"/>
      <c r="C302" s="18"/>
      <c r="D302" s="18"/>
      <c r="E302" s="18"/>
      <c r="F302" s="18"/>
      <c r="G302" s="22"/>
      <c r="H302" s="22"/>
      <c r="I302" s="22"/>
      <c r="J302" s="18"/>
    </row>
    <row r="303">
      <c r="A303" s="18"/>
      <c r="B303" s="24"/>
      <c r="C303" s="18"/>
      <c r="D303" s="18"/>
      <c r="E303" s="18"/>
      <c r="F303" s="18"/>
      <c r="G303" s="22"/>
      <c r="H303" s="22"/>
      <c r="I303" s="22"/>
      <c r="J303" s="18"/>
    </row>
    <row r="304">
      <c r="A304" s="18"/>
      <c r="B304" s="24"/>
      <c r="C304" s="18"/>
      <c r="D304" s="18"/>
      <c r="E304" s="18"/>
      <c r="F304" s="18"/>
      <c r="G304" s="22"/>
      <c r="H304" s="22"/>
      <c r="I304" s="22"/>
      <c r="J304" s="18"/>
    </row>
    <row r="305">
      <c r="A305" s="18"/>
      <c r="B305" s="24"/>
      <c r="C305" s="18"/>
      <c r="D305" s="18"/>
      <c r="E305" s="18"/>
      <c r="F305" s="18"/>
      <c r="G305" s="22"/>
      <c r="H305" s="22"/>
      <c r="I305" s="22"/>
      <c r="J305" s="18"/>
    </row>
    <row r="306">
      <c r="A306" s="18"/>
      <c r="B306" s="24"/>
      <c r="C306" s="18"/>
      <c r="D306" s="18"/>
      <c r="E306" s="18"/>
      <c r="F306" s="18"/>
      <c r="G306" s="22"/>
      <c r="H306" s="22"/>
      <c r="I306" s="22"/>
      <c r="J306" s="18"/>
    </row>
    <row r="307">
      <c r="A307" s="18"/>
      <c r="B307" s="24"/>
      <c r="C307" s="18"/>
      <c r="D307" s="18"/>
      <c r="E307" s="18"/>
      <c r="F307" s="18"/>
      <c r="G307" s="22"/>
      <c r="H307" s="22"/>
      <c r="I307" s="22"/>
      <c r="J307" s="18"/>
    </row>
    <row r="308">
      <c r="A308" s="18"/>
      <c r="B308" s="24"/>
      <c r="C308" s="18"/>
      <c r="D308" s="18"/>
      <c r="E308" s="18"/>
      <c r="F308" s="18"/>
      <c r="G308" s="22"/>
      <c r="H308" s="22"/>
      <c r="I308" s="22"/>
      <c r="J308" s="18"/>
    </row>
    <row r="309">
      <c r="A309" s="18"/>
      <c r="B309" s="24"/>
      <c r="C309" s="18"/>
      <c r="D309" s="18"/>
      <c r="E309" s="18"/>
      <c r="F309" s="18"/>
      <c r="G309" s="22"/>
      <c r="H309" s="22"/>
      <c r="I309" s="22"/>
      <c r="J309" s="18"/>
    </row>
    <row r="310">
      <c r="A310" s="18"/>
      <c r="B310" s="24"/>
      <c r="C310" s="18"/>
      <c r="D310" s="18"/>
      <c r="E310" s="18"/>
      <c r="F310" s="18"/>
      <c r="G310" s="22"/>
      <c r="H310" s="22"/>
      <c r="I310" s="22"/>
      <c r="J310" s="18"/>
    </row>
    <row r="311">
      <c r="A311" s="18"/>
      <c r="B311" s="24"/>
      <c r="C311" s="18"/>
      <c r="D311" s="18"/>
      <c r="E311" s="18"/>
      <c r="F311" s="18"/>
      <c r="G311" s="22"/>
      <c r="H311" s="22"/>
      <c r="I311" s="22"/>
      <c r="J311" s="18"/>
    </row>
    <row r="312">
      <c r="A312" s="18"/>
      <c r="B312" s="24"/>
      <c r="C312" s="18"/>
      <c r="D312" s="18"/>
      <c r="E312" s="18"/>
      <c r="F312" s="18"/>
      <c r="G312" s="22"/>
      <c r="H312" s="22"/>
      <c r="I312" s="22"/>
      <c r="J312" s="18"/>
    </row>
    <row r="313">
      <c r="A313" s="18"/>
      <c r="B313" s="24"/>
      <c r="C313" s="18"/>
      <c r="D313" s="18"/>
      <c r="E313" s="18"/>
      <c r="F313" s="18"/>
      <c r="G313" s="22"/>
      <c r="H313" s="22"/>
      <c r="I313" s="22"/>
      <c r="J313" s="18"/>
    </row>
    <row r="314">
      <c r="A314" s="18"/>
      <c r="B314" s="24"/>
      <c r="C314" s="18"/>
      <c r="D314" s="18"/>
      <c r="E314" s="18"/>
      <c r="F314" s="18"/>
      <c r="G314" s="22"/>
      <c r="H314" s="22"/>
      <c r="I314" s="22"/>
      <c r="J314" s="18"/>
    </row>
    <row r="315">
      <c r="A315" s="18"/>
      <c r="B315" s="24"/>
      <c r="C315" s="18"/>
      <c r="D315" s="18"/>
      <c r="E315" s="18"/>
      <c r="F315" s="18"/>
      <c r="G315" s="22"/>
      <c r="H315" s="22"/>
      <c r="I315" s="22"/>
      <c r="J315" s="18"/>
    </row>
    <row r="316">
      <c r="A316" s="18"/>
      <c r="B316" s="24"/>
      <c r="C316" s="18"/>
      <c r="D316" s="18"/>
      <c r="E316" s="18"/>
      <c r="F316" s="18"/>
      <c r="G316" s="22"/>
      <c r="H316" s="22"/>
      <c r="I316" s="22"/>
      <c r="J316" s="18"/>
    </row>
    <row r="317">
      <c r="A317" s="18"/>
      <c r="B317" s="24"/>
      <c r="C317" s="18"/>
      <c r="D317" s="18"/>
      <c r="E317" s="18"/>
      <c r="F317" s="18"/>
      <c r="G317" s="22"/>
      <c r="H317" s="22"/>
      <c r="I317" s="22"/>
      <c r="J317" s="18"/>
    </row>
    <row r="318">
      <c r="A318" s="18"/>
      <c r="B318" s="24"/>
      <c r="C318" s="18"/>
      <c r="D318" s="18"/>
      <c r="E318" s="18"/>
      <c r="F318" s="18"/>
      <c r="G318" s="22"/>
      <c r="H318" s="22"/>
      <c r="I318" s="22"/>
      <c r="J318" s="18"/>
    </row>
    <row r="319">
      <c r="A319" s="18"/>
      <c r="B319" s="24"/>
      <c r="C319" s="18"/>
      <c r="D319" s="18"/>
      <c r="E319" s="18"/>
      <c r="F319" s="18"/>
      <c r="G319" s="22"/>
      <c r="H319" s="22"/>
      <c r="I319" s="22"/>
      <c r="J319" s="18"/>
    </row>
    <row r="320">
      <c r="A320" s="18"/>
      <c r="B320" s="24"/>
      <c r="C320" s="18"/>
      <c r="D320" s="18"/>
      <c r="E320" s="18"/>
      <c r="F320" s="18"/>
      <c r="G320" s="22"/>
      <c r="H320" s="22"/>
      <c r="I320" s="22"/>
      <c r="J320" s="18"/>
    </row>
    <row r="321">
      <c r="A321" s="18"/>
      <c r="B321" s="24"/>
      <c r="C321" s="18"/>
      <c r="D321" s="18"/>
      <c r="E321" s="18"/>
      <c r="F321" s="18"/>
      <c r="G321" s="22"/>
      <c r="H321" s="22"/>
      <c r="I321" s="22"/>
      <c r="J321" s="18"/>
    </row>
    <row r="322">
      <c r="A322" s="18"/>
      <c r="B322" s="24"/>
      <c r="C322" s="18"/>
      <c r="D322" s="18"/>
      <c r="E322" s="18"/>
      <c r="F322" s="18"/>
      <c r="G322" s="22"/>
      <c r="H322" s="22"/>
      <c r="I322" s="22"/>
      <c r="J322" s="18"/>
    </row>
    <row r="323">
      <c r="A323" s="18"/>
      <c r="B323" s="24"/>
      <c r="C323" s="18"/>
      <c r="D323" s="18"/>
      <c r="E323" s="18"/>
      <c r="F323" s="18"/>
      <c r="G323" s="22"/>
      <c r="H323" s="22"/>
      <c r="I323" s="22"/>
      <c r="J323" s="18"/>
    </row>
    <row r="324">
      <c r="A324" s="18"/>
      <c r="B324" s="24"/>
      <c r="C324" s="18"/>
      <c r="D324" s="18"/>
      <c r="E324" s="18"/>
      <c r="F324" s="18"/>
      <c r="G324" s="22"/>
      <c r="H324" s="22"/>
      <c r="I324" s="22"/>
      <c r="J324" s="18"/>
    </row>
    <row r="325">
      <c r="A325" s="18"/>
      <c r="B325" s="24"/>
      <c r="C325" s="18"/>
      <c r="D325" s="18"/>
      <c r="E325" s="18"/>
      <c r="F325" s="18"/>
      <c r="G325" s="22"/>
      <c r="H325" s="22"/>
      <c r="I325" s="22"/>
      <c r="J325" s="18"/>
    </row>
    <row r="326">
      <c r="A326" s="18"/>
      <c r="B326" s="24"/>
      <c r="C326" s="18"/>
      <c r="D326" s="18"/>
      <c r="E326" s="18"/>
      <c r="F326" s="18"/>
      <c r="G326" s="22"/>
      <c r="H326" s="22"/>
      <c r="I326" s="22"/>
      <c r="J326" s="18"/>
    </row>
    <row r="327">
      <c r="A327" s="18"/>
      <c r="B327" s="24"/>
      <c r="C327" s="18"/>
      <c r="D327" s="18"/>
      <c r="E327" s="18"/>
      <c r="F327" s="18"/>
      <c r="G327" s="22"/>
      <c r="H327" s="22"/>
      <c r="I327" s="22"/>
      <c r="J327" s="18"/>
    </row>
    <row r="328">
      <c r="A328" s="18"/>
      <c r="B328" s="24"/>
      <c r="C328" s="18"/>
      <c r="D328" s="18"/>
      <c r="E328" s="18"/>
      <c r="F328" s="18"/>
      <c r="G328" s="22"/>
      <c r="H328" s="22"/>
      <c r="I328" s="22"/>
      <c r="J328" s="18"/>
    </row>
    <row r="329">
      <c r="A329" s="18"/>
      <c r="B329" s="24"/>
      <c r="C329" s="18"/>
      <c r="D329" s="18"/>
      <c r="E329" s="18"/>
      <c r="F329" s="18"/>
      <c r="G329" s="22"/>
      <c r="H329" s="22"/>
      <c r="I329" s="22"/>
      <c r="J329" s="18"/>
    </row>
    <row r="330">
      <c r="A330" s="18"/>
      <c r="B330" s="24"/>
      <c r="C330" s="18"/>
      <c r="D330" s="18"/>
      <c r="E330" s="18"/>
      <c r="F330" s="18"/>
      <c r="G330" s="22"/>
      <c r="H330" s="22"/>
      <c r="I330" s="22"/>
      <c r="J330" s="18"/>
    </row>
    <row r="331">
      <c r="A331" s="18"/>
      <c r="B331" s="24"/>
      <c r="C331" s="18"/>
      <c r="D331" s="18"/>
      <c r="E331" s="18"/>
      <c r="F331" s="18"/>
      <c r="G331" s="22"/>
      <c r="H331" s="22"/>
      <c r="I331" s="22"/>
      <c r="J331" s="18"/>
    </row>
    <row r="332">
      <c r="A332" s="18"/>
      <c r="B332" s="24"/>
      <c r="C332" s="18"/>
      <c r="D332" s="18"/>
      <c r="E332" s="18"/>
      <c r="F332" s="18"/>
      <c r="G332" s="22"/>
      <c r="H332" s="22"/>
      <c r="I332" s="22"/>
      <c r="J332" s="18"/>
    </row>
    <row r="333">
      <c r="A333" s="18"/>
      <c r="B333" s="24"/>
      <c r="C333" s="18"/>
      <c r="D333" s="18"/>
      <c r="E333" s="18"/>
      <c r="F333" s="18"/>
      <c r="G333" s="22"/>
      <c r="H333" s="22"/>
      <c r="I333" s="22"/>
      <c r="J333" s="18"/>
    </row>
    <row r="334">
      <c r="A334" s="18"/>
      <c r="B334" s="24"/>
      <c r="C334" s="18"/>
      <c r="D334" s="18"/>
      <c r="E334" s="18"/>
      <c r="F334" s="18"/>
      <c r="G334" s="22"/>
      <c r="H334" s="22"/>
      <c r="I334" s="22"/>
      <c r="J334" s="18"/>
    </row>
    <row r="335">
      <c r="A335" s="18"/>
      <c r="B335" s="24"/>
      <c r="C335" s="18"/>
      <c r="D335" s="18"/>
      <c r="E335" s="18"/>
      <c r="F335" s="18"/>
      <c r="G335" s="22"/>
      <c r="H335" s="22"/>
      <c r="I335" s="22"/>
      <c r="J335" s="18"/>
    </row>
    <row r="336">
      <c r="A336" s="18"/>
      <c r="B336" s="24"/>
      <c r="C336" s="18"/>
      <c r="D336" s="18"/>
      <c r="E336" s="18"/>
      <c r="F336" s="18"/>
      <c r="G336" s="22"/>
      <c r="H336" s="22"/>
      <c r="I336" s="22"/>
      <c r="J336" s="18"/>
    </row>
    <row r="337">
      <c r="A337" s="18"/>
      <c r="B337" s="24"/>
      <c r="C337" s="18"/>
      <c r="D337" s="18"/>
      <c r="E337" s="18"/>
      <c r="F337" s="18"/>
      <c r="G337" s="22"/>
      <c r="H337" s="22"/>
      <c r="I337" s="22"/>
      <c r="J337" s="18"/>
    </row>
    <row r="338">
      <c r="A338" s="18"/>
      <c r="B338" s="24"/>
      <c r="C338" s="18"/>
      <c r="D338" s="18"/>
      <c r="E338" s="18"/>
      <c r="F338" s="18"/>
      <c r="G338" s="22"/>
      <c r="H338" s="22"/>
      <c r="I338" s="22"/>
      <c r="J338" s="18"/>
    </row>
    <row r="339">
      <c r="A339" s="18"/>
      <c r="B339" s="24"/>
      <c r="C339" s="18"/>
      <c r="D339" s="18"/>
      <c r="E339" s="18"/>
      <c r="F339" s="18"/>
      <c r="G339" s="22"/>
      <c r="H339" s="22"/>
      <c r="I339" s="22"/>
      <c r="J339" s="18"/>
    </row>
    <row r="340">
      <c r="A340" s="18"/>
      <c r="B340" s="24"/>
      <c r="C340" s="18"/>
      <c r="D340" s="18"/>
      <c r="E340" s="18"/>
      <c r="F340" s="18"/>
      <c r="G340" s="22"/>
      <c r="H340" s="22"/>
      <c r="I340" s="22"/>
      <c r="J340" s="18"/>
    </row>
    <row r="341">
      <c r="A341" s="18"/>
      <c r="B341" s="24"/>
      <c r="C341" s="18"/>
      <c r="D341" s="18"/>
      <c r="E341" s="18"/>
      <c r="F341" s="18"/>
      <c r="G341" s="22"/>
      <c r="H341" s="22"/>
      <c r="I341" s="22"/>
      <c r="J341" s="18"/>
    </row>
    <row r="342">
      <c r="A342" s="18"/>
      <c r="B342" s="24"/>
      <c r="C342" s="18"/>
      <c r="D342" s="18"/>
      <c r="E342" s="18"/>
      <c r="F342" s="18"/>
      <c r="G342" s="22"/>
      <c r="H342" s="22"/>
      <c r="I342" s="22"/>
      <c r="J342" s="18"/>
    </row>
    <row r="343">
      <c r="A343" s="18"/>
      <c r="B343" s="24"/>
      <c r="C343" s="18"/>
      <c r="D343" s="18"/>
      <c r="E343" s="18"/>
      <c r="F343" s="18"/>
      <c r="G343" s="22"/>
      <c r="H343" s="22"/>
      <c r="I343" s="22"/>
      <c r="J343" s="18"/>
    </row>
    <row r="344">
      <c r="A344" s="18"/>
      <c r="B344" s="24"/>
      <c r="C344" s="18"/>
      <c r="D344" s="18"/>
      <c r="E344" s="18"/>
      <c r="F344" s="18"/>
      <c r="G344" s="22"/>
      <c r="H344" s="22"/>
      <c r="I344" s="22"/>
      <c r="J344" s="18"/>
    </row>
    <row r="345">
      <c r="A345" s="18"/>
      <c r="B345" s="24"/>
      <c r="C345" s="18"/>
      <c r="D345" s="18"/>
      <c r="E345" s="18"/>
      <c r="F345" s="18"/>
      <c r="G345" s="22"/>
      <c r="H345" s="22"/>
      <c r="I345" s="22"/>
      <c r="J345" s="18"/>
    </row>
    <row r="346">
      <c r="A346" s="18"/>
      <c r="B346" s="24"/>
      <c r="C346" s="18"/>
      <c r="D346" s="18"/>
      <c r="E346" s="18"/>
      <c r="F346" s="18"/>
      <c r="G346" s="22"/>
      <c r="H346" s="22"/>
      <c r="I346" s="22"/>
      <c r="J346" s="18"/>
    </row>
    <row r="347">
      <c r="A347" s="18"/>
      <c r="B347" s="24"/>
      <c r="C347" s="18"/>
      <c r="D347" s="18"/>
      <c r="E347" s="18"/>
      <c r="F347" s="18"/>
      <c r="G347" s="22"/>
      <c r="H347" s="22"/>
      <c r="I347" s="22"/>
      <c r="J347" s="18"/>
    </row>
    <row r="348">
      <c r="A348" s="18"/>
      <c r="B348" s="24"/>
      <c r="C348" s="18"/>
      <c r="D348" s="18"/>
      <c r="E348" s="18"/>
      <c r="F348" s="18"/>
      <c r="G348" s="22"/>
      <c r="H348" s="22"/>
      <c r="I348" s="22"/>
      <c r="J348" s="18"/>
    </row>
    <row r="349">
      <c r="A349" s="18"/>
      <c r="B349" s="24"/>
      <c r="C349" s="18"/>
      <c r="D349" s="18"/>
      <c r="E349" s="18"/>
      <c r="F349" s="18"/>
      <c r="G349" s="22"/>
      <c r="H349" s="22"/>
      <c r="I349" s="22"/>
      <c r="J349" s="18"/>
    </row>
    <row r="350">
      <c r="A350" s="18"/>
      <c r="B350" s="24"/>
      <c r="C350" s="18"/>
      <c r="D350" s="18"/>
      <c r="E350" s="18"/>
      <c r="F350" s="18"/>
      <c r="G350" s="22"/>
      <c r="H350" s="22"/>
      <c r="I350" s="22"/>
      <c r="J350" s="18"/>
    </row>
    <row r="351">
      <c r="A351" s="18"/>
      <c r="B351" s="24"/>
      <c r="C351" s="18"/>
      <c r="D351" s="18"/>
      <c r="E351" s="18"/>
      <c r="F351" s="18"/>
      <c r="G351" s="22"/>
      <c r="H351" s="22"/>
      <c r="I351" s="22"/>
      <c r="J351" s="18"/>
    </row>
    <row r="352">
      <c r="A352" s="18"/>
      <c r="B352" s="24"/>
      <c r="C352" s="18"/>
      <c r="D352" s="18"/>
      <c r="E352" s="18"/>
      <c r="F352" s="18"/>
      <c r="G352" s="22"/>
      <c r="H352" s="22"/>
      <c r="I352" s="22"/>
      <c r="J352" s="18"/>
    </row>
    <row r="353">
      <c r="A353" s="18"/>
      <c r="B353" s="24"/>
      <c r="C353" s="18"/>
      <c r="D353" s="18"/>
      <c r="E353" s="18"/>
      <c r="F353" s="18"/>
      <c r="G353" s="22"/>
      <c r="H353" s="22"/>
      <c r="I353" s="22"/>
      <c r="J353" s="18"/>
    </row>
    <row r="354">
      <c r="A354" s="18"/>
      <c r="B354" s="24"/>
      <c r="C354" s="18"/>
      <c r="D354" s="18"/>
      <c r="E354" s="18"/>
      <c r="F354" s="18"/>
      <c r="G354" s="22"/>
      <c r="H354" s="22"/>
      <c r="I354" s="22"/>
      <c r="J354" s="18"/>
    </row>
    <row r="355">
      <c r="A355" s="18"/>
      <c r="B355" s="24"/>
      <c r="C355" s="18"/>
      <c r="D355" s="18"/>
      <c r="E355" s="18"/>
      <c r="F355" s="18"/>
      <c r="G355" s="22"/>
      <c r="H355" s="22"/>
      <c r="I355" s="22"/>
      <c r="J355" s="18"/>
    </row>
    <row r="356">
      <c r="A356" s="18"/>
      <c r="B356" s="24"/>
      <c r="C356" s="18"/>
      <c r="D356" s="18"/>
      <c r="E356" s="18"/>
      <c r="F356" s="18"/>
      <c r="G356" s="22"/>
      <c r="H356" s="22"/>
      <c r="I356" s="22"/>
      <c r="J356" s="18"/>
    </row>
    <row r="357">
      <c r="A357" s="18"/>
      <c r="B357" s="24"/>
      <c r="C357" s="18"/>
      <c r="D357" s="18"/>
      <c r="E357" s="18"/>
      <c r="F357" s="18"/>
      <c r="G357" s="22"/>
      <c r="H357" s="22"/>
      <c r="I357" s="22"/>
      <c r="J357" s="18"/>
    </row>
    <row r="358">
      <c r="A358" s="18"/>
      <c r="B358" s="24"/>
      <c r="C358" s="18"/>
      <c r="D358" s="18"/>
      <c r="E358" s="18"/>
      <c r="F358" s="18"/>
      <c r="G358" s="22"/>
      <c r="H358" s="22"/>
      <c r="I358" s="22"/>
      <c r="J358" s="18"/>
    </row>
    <row r="359">
      <c r="A359" s="18"/>
      <c r="B359" s="24"/>
      <c r="C359" s="18"/>
      <c r="D359" s="18"/>
      <c r="E359" s="18"/>
      <c r="F359" s="18"/>
      <c r="G359" s="22"/>
      <c r="H359" s="22"/>
      <c r="I359" s="22"/>
      <c r="J359" s="18"/>
    </row>
    <row r="360">
      <c r="A360" s="18"/>
      <c r="B360" s="24"/>
      <c r="C360" s="18"/>
      <c r="D360" s="18"/>
      <c r="E360" s="18"/>
      <c r="F360" s="18"/>
      <c r="G360" s="22"/>
      <c r="H360" s="22"/>
      <c r="I360" s="22"/>
      <c r="J360" s="18"/>
    </row>
    <row r="361">
      <c r="A361" s="18"/>
      <c r="B361" s="24"/>
      <c r="C361" s="18"/>
      <c r="D361" s="18"/>
      <c r="E361" s="18"/>
      <c r="F361" s="18"/>
      <c r="G361" s="22"/>
      <c r="H361" s="22"/>
      <c r="I361" s="22"/>
      <c r="J361" s="18"/>
    </row>
    <row r="362">
      <c r="A362" s="18"/>
      <c r="B362" s="24"/>
      <c r="C362" s="18"/>
      <c r="D362" s="18"/>
      <c r="E362" s="18"/>
      <c r="F362" s="18"/>
      <c r="G362" s="22"/>
      <c r="H362" s="22"/>
      <c r="I362" s="22"/>
      <c r="J362" s="18"/>
    </row>
    <row r="363">
      <c r="A363" s="18"/>
      <c r="B363" s="24"/>
      <c r="C363" s="18"/>
      <c r="D363" s="18"/>
      <c r="E363" s="18"/>
      <c r="F363" s="18"/>
      <c r="G363" s="22"/>
      <c r="H363" s="22"/>
      <c r="I363" s="22"/>
      <c r="J363" s="18"/>
    </row>
    <row r="364">
      <c r="A364" s="18"/>
      <c r="B364" s="24"/>
      <c r="C364" s="18"/>
      <c r="D364" s="18"/>
      <c r="E364" s="18"/>
      <c r="F364" s="18"/>
      <c r="G364" s="22"/>
      <c r="H364" s="22"/>
      <c r="I364" s="22"/>
      <c r="J364" s="18"/>
    </row>
    <row r="365">
      <c r="A365" s="18"/>
      <c r="B365" s="24"/>
      <c r="C365" s="18"/>
      <c r="D365" s="18"/>
      <c r="E365" s="18"/>
      <c r="F365" s="18"/>
      <c r="G365" s="22"/>
      <c r="H365" s="22"/>
      <c r="I365" s="22"/>
      <c r="J365" s="18"/>
    </row>
    <row r="366">
      <c r="A366" s="18"/>
      <c r="B366" s="24"/>
      <c r="C366" s="18"/>
      <c r="D366" s="18"/>
      <c r="E366" s="18"/>
      <c r="F366" s="18"/>
      <c r="G366" s="22"/>
      <c r="H366" s="22"/>
      <c r="I366" s="22"/>
      <c r="J366" s="18"/>
    </row>
    <row r="367">
      <c r="A367" s="18"/>
      <c r="B367" s="24"/>
      <c r="C367" s="18"/>
      <c r="D367" s="18"/>
      <c r="E367" s="18"/>
      <c r="F367" s="18"/>
      <c r="G367" s="22"/>
      <c r="H367" s="22"/>
      <c r="I367" s="22"/>
      <c r="J367" s="18"/>
    </row>
    <row r="368">
      <c r="A368" s="18"/>
      <c r="B368" s="24"/>
      <c r="C368" s="18"/>
      <c r="D368" s="18"/>
      <c r="E368" s="18"/>
      <c r="F368" s="18"/>
      <c r="G368" s="22"/>
      <c r="H368" s="22"/>
      <c r="I368" s="22"/>
      <c r="J368" s="18"/>
    </row>
    <row r="369">
      <c r="A369" s="18"/>
      <c r="B369" s="24"/>
      <c r="C369" s="18"/>
      <c r="D369" s="18"/>
      <c r="E369" s="18"/>
      <c r="F369" s="18"/>
      <c r="G369" s="22"/>
      <c r="H369" s="22"/>
      <c r="I369" s="22"/>
      <c r="J369" s="18"/>
    </row>
    <row r="370">
      <c r="A370" s="18"/>
      <c r="B370" s="24"/>
      <c r="C370" s="18"/>
      <c r="D370" s="18"/>
      <c r="E370" s="18"/>
      <c r="F370" s="18"/>
      <c r="G370" s="22"/>
      <c r="H370" s="22"/>
      <c r="I370" s="22"/>
      <c r="J370" s="18"/>
    </row>
    <row r="371">
      <c r="A371" s="18"/>
      <c r="B371" s="24"/>
      <c r="C371" s="18"/>
      <c r="D371" s="18"/>
      <c r="E371" s="18"/>
      <c r="F371" s="18"/>
      <c r="G371" s="22"/>
      <c r="H371" s="22"/>
      <c r="I371" s="22"/>
      <c r="J371" s="18"/>
    </row>
    <row r="372">
      <c r="A372" s="18"/>
      <c r="B372" s="24"/>
      <c r="C372" s="18"/>
      <c r="D372" s="18"/>
      <c r="E372" s="18"/>
      <c r="F372" s="18"/>
      <c r="G372" s="22"/>
      <c r="H372" s="22"/>
      <c r="I372" s="22"/>
      <c r="J372" s="18"/>
    </row>
    <row r="373">
      <c r="A373" s="18"/>
      <c r="B373" s="24"/>
      <c r="C373" s="18"/>
      <c r="D373" s="18"/>
      <c r="E373" s="18"/>
      <c r="F373" s="18"/>
      <c r="G373" s="22"/>
      <c r="H373" s="22"/>
      <c r="I373" s="22"/>
      <c r="J373" s="18"/>
    </row>
    <row r="374">
      <c r="A374" s="18"/>
      <c r="B374" s="24"/>
      <c r="C374" s="18"/>
      <c r="D374" s="18"/>
      <c r="E374" s="18"/>
      <c r="F374" s="18"/>
      <c r="G374" s="22"/>
      <c r="H374" s="22"/>
      <c r="I374" s="22"/>
      <c r="J374" s="18"/>
    </row>
    <row r="375">
      <c r="A375" s="18"/>
      <c r="B375" s="24"/>
      <c r="C375" s="18"/>
      <c r="D375" s="18"/>
      <c r="E375" s="18"/>
      <c r="F375" s="18"/>
      <c r="G375" s="22"/>
      <c r="H375" s="22"/>
      <c r="I375" s="22"/>
      <c r="J375" s="18"/>
    </row>
    <row r="376">
      <c r="A376" s="18"/>
      <c r="B376" s="24"/>
      <c r="C376" s="18"/>
      <c r="D376" s="18"/>
      <c r="E376" s="18"/>
      <c r="F376" s="18"/>
      <c r="G376" s="22"/>
      <c r="H376" s="22"/>
      <c r="I376" s="22"/>
      <c r="J376" s="18"/>
    </row>
    <row r="377">
      <c r="A377" s="18"/>
      <c r="B377" s="24"/>
      <c r="C377" s="18"/>
      <c r="D377" s="18"/>
      <c r="E377" s="18"/>
      <c r="F377" s="18"/>
      <c r="G377" s="22"/>
      <c r="H377" s="22"/>
      <c r="I377" s="22"/>
      <c r="J377" s="18"/>
    </row>
    <row r="378">
      <c r="A378" s="18"/>
      <c r="B378" s="24"/>
      <c r="C378" s="18"/>
      <c r="D378" s="18"/>
      <c r="E378" s="18"/>
      <c r="F378" s="18"/>
      <c r="G378" s="22"/>
      <c r="H378" s="22"/>
      <c r="I378" s="22"/>
      <c r="J378" s="18"/>
    </row>
    <row r="379">
      <c r="A379" s="18"/>
      <c r="B379" s="24"/>
      <c r="C379" s="18"/>
      <c r="D379" s="18"/>
      <c r="E379" s="18"/>
      <c r="F379" s="18"/>
      <c r="G379" s="22"/>
      <c r="H379" s="22"/>
      <c r="I379" s="22"/>
      <c r="J379" s="18"/>
    </row>
    <row r="380">
      <c r="A380" s="18"/>
      <c r="B380" s="24"/>
      <c r="C380" s="18"/>
      <c r="D380" s="18"/>
      <c r="E380" s="18"/>
      <c r="F380" s="18"/>
      <c r="G380" s="22"/>
      <c r="H380" s="22"/>
      <c r="I380" s="22"/>
      <c r="J380" s="18"/>
    </row>
    <row r="381">
      <c r="A381" s="18"/>
      <c r="B381" s="24"/>
      <c r="C381" s="18"/>
      <c r="D381" s="18"/>
      <c r="E381" s="18"/>
      <c r="F381" s="18"/>
      <c r="G381" s="22"/>
      <c r="H381" s="22"/>
      <c r="I381" s="22"/>
      <c r="J381" s="18"/>
    </row>
    <row r="382">
      <c r="A382" s="18"/>
      <c r="B382" s="24"/>
      <c r="C382" s="18"/>
      <c r="D382" s="18"/>
      <c r="E382" s="18"/>
      <c r="F382" s="18"/>
      <c r="G382" s="22"/>
      <c r="H382" s="22"/>
      <c r="I382" s="22"/>
      <c r="J382" s="18"/>
    </row>
    <row r="383">
      <c r="A383" s="18"/>
      <c r="B383" s="24"/>
      <c r="C383" s="18"/>
      <c r="D383" s="18"/>
      <c r="E383" s="18"/>
      <c r="F383" s="18"/>
      <c r="G383" s="22"/>
      <c r="H383" s="22"/>
      <c r="I383" s="22"/>
      <c r="J383" s="18"/>
    </row>
    <row r="384">
      <c r="A384" s="18"/>
      <c r="B384" s="24"/>
      <c r="C384" s="18"/>
      <c r="D384" s="18"/>
      <c r="E384" s="18"/>
      <c r="F384" s="18"/>
      <c r="G384" s="22"/>
      <c r="H384" s="22"/>
      <c r="I384" s="22"/>
      <c r="J384" s="18"/>
    </row>
    <row r="385">
      <c r="A385" s="18"/>
      <c r="B385" s="24"/>
      <c r="C385" s="18"/>
      <c r="D385" s="18"/>
      <c r="E385" s="18"/>
      <c r="F385" s="18"/>
      <c r="G385" s="22"/>
      <c r="H385" s="22"/>
      <c r="I385" s="22"/>
      <c r="J385" s="18"/>
    </row>
    <row r="386">
      <c r="A386" s="18"/>
      <c r="B386" s="24"/>
      <c r="C386" s="18"/>
      <c r="D386" s="18"/>
      <c r="E386" s="18"/>
      <c r="F386" s="18"/>
      <c r="G386" s="22"/>
      <c r="H386" s="22"/>
      <c r="I386" s="22"/>
      <c r="J386" s="18"/>
    </row>
    <row r="387">
      <c r="A387" s="18"/>
      <c r="B387" s="24"/>
      <c r="C387" s="18"/>
      <c r="D387" s="18"/>
      <c r="E387" s="18"/>
      <c r="F387" s="18"/>
      <c r="G387" s="22"/>
      <c r="H387" s="22"/>
      <c r="I387" s="22"/>
      <c r="J387" s="18"/>
    </row>
    <row r="388">
      <c r="A388" s="18"/>
      <c r="B388" s="24"/>
      <c r="C388" s="18"/>
      <c r="D388" s="18"/>
      <c r="E388" s="18"/>
      <c r="F388" s="18"/>
      <c r="G388" s="22"/>
      <c r="H388" s="22"/>
      <c r="I388" s="22"/>
      <c r="J388" s="18"/>
    </row>
    <row r="389">
      <c r="A389" s="18"/>
      <c r="B389" s="24"/>
      <c r="C389" s="18"/>
      <c r="D389" s="18"/>
      <c r="E389" s="18"/>
      <c r="F389" s="18"/>
      <c r="G389" s="22"/>
      <c r="H389" s="22"/>
      <c r="I389" s="22"/>
      <c r="J389" s="18"/>
    </row>
    <row r="390">
      <c r="A390" s="18"/>
      <c r="B390" s="24"/>
      <c r="C390" s="18"/>
      <c r="D390" s="18"/>
      <c r="E390" s="18"/>
      <c r="F390" s="18"/>
      <c r="G390" s="22"/>
      <c r="H390" s="22"/>
      <c r="I390" s="22"/>
      <c r="J390" s="18"/>
    </row>
    <row r="391">
      <c r="A391" s="18"/>
      <c r="B391" s="24"/>
      <c r="C391" s="18"/>
      <c r="D391" s="18"/>
      <c r="E391" s="18"/>
      <c r="F391" s="18"/>
      <c r="G391" s="22"/>
      <c r="H391" s="22"/>
      <c r="I391" s="22"/>
      <c r="J391" s="18"/>
    </row>
    <row r="392">
      <c r="A392" s="18"/>
      <c r="B392" s="24"/>
      <c r="C392" s="18"/>
      <c r="D392" s="18"/>
      <c r="E392" s="18"/>
      <c r="F392" s="18"/>
      <c r="G392" s="22"/>
      <c r="H392" s="22"/>
      <c r="I392" s="22"/>
      <c r="J392" s="18"/>
    </row>
    <row r="393">
      <c r="A393" s="18"/>
      <c r="B393" s="24"/>
      <c r="C393" s="18"/>
      <c r="D393" s="18"/>
      <c r="E393" s="18"/>
      <c r="F393" s="18"/>
      <c r="G393" s="22"/>
      <c r="H393" s="22"/>
      <c r="I393" s="22"/>
      <c r="J393" s="18"/>
    </row>
    <row r="394">
      <c r="A394" s="18"/>
      <c r="B394" s="24"/>
      <c r="C394" s="18"/>
      <c r="D394" s="18"/>
      <c r="E394" s="18"/>
      <c r="F394" s="18"/>
      <c r="G394" s="22"/>
      <c r="H394" s="22"/>
      <c r="I394" s="22"/>
      <c r="J394" s="18"/>
    </row>
    <row r="395">
      <c r="A395" s="18"/>
      <c r="B395" s="24"/>
      <c r="C395" s="18"/>
      <c r="D395" s="18"/>
      <c r="E395" s="18"/>
      <c r="F395" s="18"/>
      <c r="G395" s="22"/>
      <c r="H395" s="22"/>
      <c r="I395" s="22"/>
      <c r="J395" s="18"/>
    </row>
    <row r="396">
      <c r="A396" s="18"/>
      <c r="B396" s="24"/>
      <c r="C396" s="18"/>
      <c r="D396" s="18"/>
      <c r="E396" s="18"/>
      <c r="F396" s="18"/>
      <c r="G396" s="22"/>
      <c r="H396" s="22"/>
      <c r="I396" s="22"/>
      <c r="J396" s="18"/>
    </row>
    <row r="397">
      <c r="A397" s="18"/>
      <c r="B397" s="24"/>
      <c r="C397" s="18"/>
      <c r="D397" s="18"/>
      <c r="E397" s="18"/>
      <c r="F397" s="18"/>
      <c r="G397" s="22"/>
      <c r="H397" s="22"/>
      <c r="I397" s="22"/>
      <c r="J397" s="18"/>
    </row>
    <row r="398">
      <c r="A398" s="18"/>
      <c r="B398" s="24"/>
      <c r="C398" s="18"/>
      <c r="D398" s="18"/>
      <c r="E398" s="18"/>
      <c r="F398" s="18"/>
      <c r="G398" s="22"/>
      <c r="H398" s="22"/>
      <c r="I398" s="22"/>
      <c r="J398" s="18"/>
    </row>
    <row r="399">
      <c r="A399" s="18"/>
      <c r="B399" s="24"/>
      <c r="C399" s="18"/>
      <c r="D399" s="18"/>
      <c r="E399" s="18"/>
      <c r="F399" s="18"/>
      <c r="G399" s="22"/>
      <c r="H399" s="22"/>
      <c r="I399" s="22"/>
      <c r="J399" s="18"/>
    </row>
    <row r="400">
      <c r="A400" s="18"/>
      <c r="B400" s="24"/>
      <c r="C400" s="18"/>
      <c r="D400" s="18"/>
      <c r="E400" s="18"/>
      <c r="F400" s="18"/>
      <c r="G400" s="22"/>
      <c r="H400" s="22"/>
      <c r="I400" s="22"/>
      <c r="J400" s="18"/>
    </row>
    <row r="401">
      <c r="A401" s="18"/>
      <c r="B401" s="24"/>
      <c r="C401" s="18"/>
      <c r="D401" s="18"/>
      <c r="E401" s="18"/>
      <c r="F401" s="18"/>
      <c r="G401" s="22"/>
      <c r="H401" s="22"/>
      <c r="I401" s="22"/>
      <c r="J401" s="18"/>
    </row>
    <row r="402">
      <c r="A402" s="18"/>
      <c r="B402" s="24"/>
      <c r="C402" s="18"/>
      <c r="D402" s="18"/>
      <c r="E402" s="18"/>
      <c r="F402" s="18"/>
      <c r="G402" s="22"/>
      <c r="H402" s="22"/>
      <c r="I402" s="22"/>
      <c r="J402" s="18"/>
    </row>
    <row r="403">
      <c r="A403" s="18"/>
      <c r="B403" s="24"/>
      <c r="C403" s="18"/>
      <c r="D403" s="18"/>
      <c r="E403" s="18"/>
      <c r="F403" s="18"/>
      <c r="G403" s="22"/>
      <c r="H403" s="22"/>
      <c r="I403" s="22"/>
      <c r="J403" s="18"/>
    </row>
    <row r="404">
      <c r="A404" s="18"/>
      <c r="B404" s="24"/>
      <c r="C404" s="18"/>
      <c r="D404" s="18"/>
      <c r="E404" s="18"/>
      <c r="F404" s="18"/>
      <c r="G404" s="22"/>
      <c r="H404" s="22"/>
      <c r="I404" s="22"/>
      <c r="J404" s="18"/>
    </row>
    <row r="405">
      <c r="A405" s="18"/>
      <c r="B405" s="24"/>
      <c r="C405" s="18"/>
      <c r="D405" s="18"/>
      <c r="E405" s="18"/>
      <c r="F405" s="18"/>
      <c r="G405" s="22"/>
      <c r="H405" s="22"/>
      <c r="I405" s="22"/>
      <c r="J405" s="18"/>
    </row>
    <row r="406">
      <c r="A406" s="18"/>
      <c r="B406" s="24"/>
      <c r="C406" s="18"/>
      <c r="D406" s="18"/>
      <c r="E406" s="18"/>
      <c r="F406" s="18"/>
      <c r="G406" s="22"/>
      <c r="H406" s="22"/>
      <c r="I406" s="22"/>
      <c r="J406" s="18"/>
    </row>
    <row r="407">
      <c r="A407" s="18"/>
      <c r="B407" s="24"/>
      <c r="C407" s="18"/>
      <c r="D407" s="18"/>
      <c r="E407" s="18"/>
      <c r="F407" s="18"/>
      <c r="G407" s="22"/>
      <c r="H407" s="22"/>
      <c r="I407" s="22"/>
      <c r="J407" s="18"/>
    </row>
    <row r="408">
      <c r="A408" s="18"/>
      <c r="B408" s="24"/>
      <c r="C408" s="18"/>
      <c r="D408" s="18"/>
      <c r="E408" s="18"/>
      <c r="F408" s="18"/>
      <c r="G408" s="22"/>
      <c r="H408" s="22"/>
      <c r="I408" s="22"/>
      <c r="J408" s="18"/>
    </row>
    <row r="409">
      <c r="A409" s="18"/>
      <c r="B409" s="24"/>
      <c r="C409" s="18"/>
      <c r="D409" s="18"/>
      <c r="E409" s="18"/>
      <c r="F409" s="18"/>
      <c r="G409" s="22"/>
      <c r="H409" s="22"/>
      <c r="I409" s="22"/>
      <c r="J409" s="18"/>
    </row>
    <row r="410">
      <c r="A410" s="18"/>
      <c r="B410" s="24"/>
      <c r="C410" s="18"/>
      <c r="D410" s="18"/>
      <c r="E410" s="18"/>
      <c r="F410" s="18"/>
      <c r="G410" s="22"/>
      <c r="H410" s="22"/>
      <c r="I410" s="22"/>
      <c r="J410" s="18"/>
    </row>
    <row r="411">
      <c r="A411" s="18"/>
      <c r="B411" s="24"/>
      <c r="C411" s="18"/>
      <c r="D411" s="18"/>
      <c r="E411" s="18"/>
      <c r="F411" s="18"/>
      <c r="G411" s="22"/>
      <c r="H411" s="22"/>
      <c r="I411" s="22"/>
      <c r="J411" s="18"/>
    </row>
    <row r="412">
      <c r="A412" s="18"/>
      <c r="B412" s="24"/>
      <c r="C412" s="18"/>
      <c r="D412" s="18"/>
      <c r="E412" s="18"/>
      <c r="F412" s="18"/>
      <c r="G412" s="22"/>
      <c r="H412" s="22"/>
      <c r="I412" s="22"/>
      <c r="J412" s="18"/>
    </row>
    <row r="413">
      <c r="A413" s="18"/>
      <c r="B413" s="24"/>
      <c r="C413" s="18"/>
      <c r="D413" s="18"/>
      <c r="E413" s="18"/>
      <c r="F413" s="18"/>
      <c r="G413" s="22"/>
      <c r="H413" s="22"/>
      <c r="I413" s="22"/>
      <c r="J413" s="18"/>
    </row>
    <row r="414">
      <c r="A414" s="18"/>
      <c r="B414" s="24"/>
      <c r="C414" s="18"/>
      <c r="D414" s="18"/>
      <c r="E414" s="18"/>
      <c r="F414" s="18"/>
      <c r="G414" s="22"/>
      <c r="H414" s="22"/>
      <c r="I414" s="22"/>
      <c r="J414" s="18"/>
    </row>
    <row r="415">
      <c r="A415" s="18"/>
      <c r="B415" s="24"/>
      <c r="C415" s="18"/>
      <c r="D415" s="18"/>
      <c r="E415" s="18"/>
      <c r="F415" s="18"/>
      <c r="G415" s="22"/>
      <c r="H415" s="22"/>
      <c r="I415" s="22"/>
      <c r="J415" s="18"/>
    </row>
    <row r="416">
      <c r="A416" s="18"/>
      <c r="B416" s="24"/>
      <c r="C416" s="18"/>
      <c r="D416" s="18"/>
      <c r="E416" s="18"/>
      <c r="F416" s="18"/>
      <c r="G416" s="22"/>
      <c r="H416" s="22"/>
      <c r="I416" s="22"/>
      <c r="J416" s="18"/>
    </row>
    <row r="417">
      <c r="A417" s="18"/>
      <c r="B417" s="24"/>
      <c r="C417" s="18"/>
      <c r="D417" s="18"/>
      <c r="E417" s="18"/>
      <c r="F417" s="18"/>
      <c r="G417" s="22"/>
      <c r="H417" s="22"/>
      <c r="I417" s="22"/>
      <c r="J417" s="18"/>
    </row>
    <row r="418">
      <c r="A418" s="18"/>
      <c r="B418" s="24"/>
      <c r="C418" s="18"/>
      <c r="D418" s="18"/>
      <c r="E418" s="18"/>
      <c r="F418" s="18"/>
      <c r="G418" s="22"/>
      <c r="H418" s="22"/>
      <c r="I418" s="22"/>
      <c r="J418" s="18"/>
    </row>
    <row r="419">
      <c r="A419" s="18"/>
      <c r="B419" s="24"/>
      <c r="C419" s="18"/>
      <c r="D419" s="18"/>
      <c r="E419" s="18"/>
      <c r="F419" s="18"/>
      <c r="G419" s="22"/>
      <c r="H419" s="22"/>
      <c r="I419" s="22"/>
      <c r="J419" s="18"/>
    </row>
    <row r="420">
      <c r="A420" s="18"/>
      <c r="B420" s="24"/>
      <c r="C420" s="18"/>
      <c r="D420" s="18"/>
      <c r="E420" s="18"/>
      <c r="F420" s="18"/>
      <c r="G420" s="22"/>
      <c r="H420" s="22"/>
      <c r="I420" s="22"/>
      <c r="J420" s="18"/>
    </row>
    <row r="421">
      <c r="A421" s="18"/>
      <c r="B421" s="24"/>
      <c r="C421" s="18"/>
      <c r="D421" s="18"/>
      <c r="E421" s="18"/>
      <c r="F421" s="18"/>
      <c r="G421" s="22"/>
      <c r="H421" s="22"/>
      <c r="I421" s="22"/>
      <c r="J421" s="18"/>
    </row>
    <row r="422">
      <c r="A422" s="18"/>
      <c r="B422" s="24"/>
      <c r="C422" s="18"/>
      <c r="D422" s="18"/>
      <c r="E422" s="18"/>
      <c r="F422" s="18"/>
      <c r="G422" s="22"/>
      <c r="H422" s="22"/>
      <c r="I422" s="22"/>
      <c r="J422" s="18"/>
    </row>
    <row r="423">
      <c r="A423" s="18"/>
      <c r="B423" s="24"/>
      <c r="C423" s="18"/>
      <c r="D423" s="18"/>
      <c r="E423" s="18"/>
      <c r="F423" s="18"/>
      <c r="G423" s="22"/>
      <c r="H423" s="22"/>
      <c r="I423" s="22"/>
      <c r="J423" s="18"/>
    </row>
    <row r="424">
      <c r="A424" s="18"/>
      <c r="B424" s="24"/>
      <c r="C424" s="18"/>
      <c r="D424" s="18"/>
      <c r="E424" s="18"/>
      <c r="F424" s="18"/>
      <c r="G424" s="22"/>
      <c r="H424" s="22"/>
      <c r="I424" s="22"/>
      <c r="J424" s="18"/>
    </row>
    <row r="425">
      <c r="A425" s="18"/>
      <c r="B425" s="24"/>
      <c r="C425" s="18"/>
      <c r="D425" s="18"/>
      <c r="E425" s="18"/>
      <c r="F425" s="18"/>
      <c r="G425" s="22"/>
      <c r="H425" s="22"/>
      <c r="I425" s="22"/>
      <c r="J425" s="18"/>
    </row>
    <row r="426">
      <c r="A426" s="18"/>
      <c r="B426" s="24"/>
      <c r="C426" s="18"/>
      <c r="D426" s="18"/>
      <c r="E426" s="18"/>
      <c r="F426" s="18"/>
      <c r="G426" s="22"/>
      <c r="H426" s="22"/>
      <c r="I426" s="22"/>
      <c r="J426" s="18"/>
    </row>
    <row r="427">
      <c r="A427" s="18"/>
      <c r="B427" s="24"/>
      <c r="C427" s="18"/>
      <c r="D427" s="18"/>
      <c r="E427" s="18"/>
      <c r="F427" s="18"/>
      <c r="G427" s="22"/>
      <c r="H427" s="22"/>
      <c r="I427" s="22"/>
      <c r="J427" s="18"/>
    </row>
    <row r="428">
      <c r="A428" s="18"/>
      <c r="B428" s="24"/>
      <c r="C428" s="18"/>
      <c r="D428" s="18"/>
      <c r="E428" s="18"/>
      <c r="F428" s="18"/>
      <c r="G428" s="22"/>
      <c r="H428" s="22"/>
      <c r="I428" s="22"/>
      <c r="J428" s="18"/>
    </row>
    <row r="429">
      <c r="A429" s="18"/>
      <c r="B429" s="24"/>
      <c r="C429" s="18"/>
      <c r="D429" s="18"/>
      <c r="E429" s="18"/>
      <c r="F429" s="18"/>
      <c r="G429" s="22"/>
      <c r="H429" s="22"/>
      <c r="I429" s="22"/>
      <c r="J429" s="18"/>
    </row>
    <row r="430">
      <c r="A430" s="18"/>
      <c r="B430" s="24"/>
      <c r="C430" s="18"/>
      <c r="D430" s="18"/>
      <c r="E430" s="18"/>
      <c r="F430" s="18"/>
      <c r="G430" s="22"/>
      <c r="H430" s="22"/>
      <c r="I430" s="22"/>
      <c r="J430" s="18"/>
    </row>
    <row r="431">
      <c r="A431" s="18"/>
      <c r="B431" s="24"/>
      <c r="C431" s="18"/>
      <c r="D431" s="18"/>
      <c r="E431" s="18"/>
      <c r="F431" s="18"/>
      <c r="G431" s="22"/>
      <c r="H431" s="22"/>
      <c r="I431" s="22"/>
      <c r="J431" s="18"/>
    </row>
    <row r="432">
      <c r="A432" s="18"/>
      <c r="B432" s="24"/>
      <c r="C432" s="18"/>
      <c r="D432" s="18"/>
      <c r="E432" s="18"/>
      <c r="F432" s="18"/>
      <c r="G432" s="22"/>
      <c r="H432" s="22"/>
      <c r="I432" s="22"/>
      <c r="J432" s="18"/>
    </row>
    <row r="433">
      <c r="A433" s="18"/>
      <c r="B433" s="24"/>
      <c r="C433" s="18"/>
      <c r="D433" s="18"/>
      <c r="E433" s="18"/>
      <c r="F433" s="18"/>
      <c r="G433" s="22"/>
      <c r="H433" s="22"/>
      <c r="I433" s="22"/>
      <c r="J433" s="18"/>
    </row>
    <row r="434">
      <c r="A434" s="18"/>
      <c r="B434" s="24"/>
      <c r="C434" s="18"/>
      <c r="D434" s="18"/>
      <c r="E434" s="18"/>
      <c r="F434" s="18"/>
      <c r="G434" s="22"/>
      <c r="H434" s="22"/>
      <c r="I434" s="22"/>
      <c r="J434" s="18"/>
    </row>
    <row r="435">
      <c r="A435" s="18"/>
      <c r="B435" s="24"/>
      <c r="C435" s="18"/>
      <c r="D435" s="18"/>
      <c r="E435" s="18"/>
      <c r="F435" s="18"/>
      <c r="G435" s="22"/>
      <c r="H435" s="22"/>
      <c r="I435" s="22"/>
      <c r="J435" s="18"/>
    </row>
    <row r="436">
      <c r="A436" s="18"/>
      <c r="B436" s="24"/>
      <c r="C436" s="18"/>
      <c r="D436" s="18"/>
      <c r="E436" s="18"/>
      <c r="F436" s="18"/>
      <c r="G436" s="22"/>
      <c r="H436" s="22"/>
      <c r="I436" s="22"/>
      <c r="J436" s="18"/>
    </row>
    <row r="437">
      <c r="A437" s="18"/>
      <c r="B437" s="24"/>
      <c r="C437" s="18"/>
      <c r="D437" s="18"/>
      <c r="E437" s="18"/>
      <c r="F437" s="18"/>
      <c r="G437" s="22"/>
      <c r="H437" s="22"/>
      <c r="I437" s="22"/>
      <c r="J437" s="18"/>
    </row>
    <row r="438">
      <c r="A438" s="18"/>
      <c r="B438" s="24"/>
      <c r="C438" s="18"/>
      <c r="D438" s="18"/>
      <c r="E438" s="18"/>
      <c r="F438" s="18"/>
      <c r="G438" s="22"/>
      <c r="H438" s="22"/>
      <c r="I438" s="22"/>
      <c r="J438" s="18"/>
    </row>
    <row r="439">
      <c r="A439" s="18"/>
      <c r="B439" s="24"/>
      <c r="C439" s="18"/>
      <c r="D439" s="18"/>
      <c r="E439" s="18"/>
      <c r="F439" s="18"/>
      <c r="G439" s="22"/>
      <c r="H439" s="22"/>
      <c r="I439" s="22"/>
      <c r="J439" s="18"/>
    </row>
    <row r="440">
      <c r="A440" s="18"/>
      <c r="B440" s="24"/>
      <c r="C440" s="18"/>
      <c r="D440" s="18"/>
      <c r="E440" s="18"/>
      <c r="F440" s="18"/>
      <c r="G440" s="22"/>
      <c r="H440" s="22"/>
      <c r="I440" s="22"/>
      <c r="J440" s="18"/>
    </row>
    <row r="441">
      <c r="A441" s="18"/>
      <c r="B441" s="24"/>
      <c r="C441" s="18"/>
      <c r="D441" s="18"/>
      <c r="E441" s="18"/>
      <c r="F441" s="18"/>
      <c r="G441" s="22"/>
      <c r="H441" s="22"/>
      <c r="I441" s="22"/>
      <c r="J441" s="18"/>
    </row>
    <row r="442">
      <c r="A442" s="18"/>
      <c r="B442" s="24"/>
      <c r="C442" s="18"/>
      <c r="D442" s="18"/>
      <c r="E442" s="18"/>
      <c r="F442" s="18"/>
      <c r="G442" s="22"/>
      <c r="H442" s="22"/>
      <c r="I442" s="22"/>
      <c r="J442" s="18"/>
    </row>
    <row r="443">
      <c r="A443" s="18"/>
      <c r="B443" s="24"/>
      <c r="C443" s="18"/>
      <c r="D443" s="18"/>
      <c r="E443" s="18"/>
      <c r="F443" s="18"/>
      <c r="G443" s="22"/>
      <c r="H443" s="22"/>
      <c r="I443" s="22"/>
      <c r="J443" s="18"/>
    </row>
    <row r="444">
      <c r="A444" s="18"/>
      <c r="B444" s="24"/>
      <c r="C444" s="18"/>
      <c r="D444" s="18"/>
      <c r="E444" s="18"/>
      <c r="F444" s="18"/>
      <c r="G444" s="22"/>
      <c r="H444" s="22"/>
      <c r="I444" s="22"/>
      <c r="J444" s="18"/>
    </row>
    <row r="445">
      <c r="A445" s="18"/>
      <c r="B445" s="24"/>
      <c r="C445" s="18"/>
      <c r="D445" s="18"/>
      <c r="E445" s="18"/>
      <c r="F445" s="18"/>
      <c r="G445" s="22"/>
      <c r="H445" s="22"/>
      <c r="I445" s="22"/>
      <c r="J445" s="18"/>
    </row>
    <row r="446">
      <c r="A446" s="18"/>
      <c r="B446" s="24"/>
      <c r="C446" s="18"/>
      <c r="D446" s="18"/>
      <c r="E446" s="18"/>
      <c r="F446" s="18"/>
      <c r="G446" s="22"/>
      <c r="H446" s="22"/>
      <c r="I446" s="22"/>
      <c r="J446" s="18"/>
    </row>
    <row r="447">
      <c r="A447" s="18"/>
      <c r="B447" s="24"/>
      <c r="C447" s="18"/>
      <c r="D447" s="18"/>
      <c r="E447" s="18"/>
      <c r="F447" s="18"/>
      <c r="G447" s="22"/>
      <c r="H447" s="22"/>
      <c r="I447" s="22"/>
      <c r="J447" s="18"/>
    </row>
    <row r="448">
      <c r="A448" s="18"/>
      <c r="B448" s="24"/>
      <c r="C448" s="18"/>
      <c r="D448" s="18"/>
      <c r="E448" s="18"/>
      <c r="F448" s="18"/>
      <c r="G448" s="22"/>
      <c r="H448" s="22"/>
      <c r="I448" s="22"/>
      <c r="J448" s="18"/>
    </row>
    <row r="449">
      <c r="A449" s="18"/>
      <c r="B449" s="24"/>
      <c r="C449" s="18"/>
      <c r="D449" s="18"/>
      <c r="E449" s="18"/>
      <c r="F449" s="18"/>
      <c r="G449" s="22"/>
      <c r="H449" s="22"/>
      <c r="I449" s="22"/>
      <c r="J449" s="18"/>
    </row>
    <row r="450">
      <c r="A450" s="18"/>
      <c r="B450" s="24"/>
      <c r="C450" s="18"/>
      <c r="D450" s="18"/>
      <c r="E450" s="18"/>
      <c r="F450" s="18"/>
      <c r="G450" s="22"/>
      <c r="H450" s="22"/>
      <c r="I450" s="22"/>
      <c r="J450" s="18"/>
    </row>
    <row r="451">
      <c r="A451" s="18"/>
      <c r="B451" s="24"/>
      <c r="C451" s="18"/>
      <c r="D451" s="18"/>
      <c r="E451" s="18"/>
      <c r="F451" s="18"/>
      <c r="G451" s="22"/>
      <c r="H451" s="22"/>
      <c r="I451" s="22"/>
      <c r="J451" s="18"/>
    </row>
    <row r="452">
      <c r="A452" s="18"/>
      <c r="B452" s="24"/>
      <c r="C452" s="18"/>
      <c r="D452" s="18"/>
      <c r="E452" s="18"/>
      <c r="F452" s="18"/>
      <c r="G452" s="22"/>
      <c r="H452" s="22"/>
      <c r="I452" s="22"/>
      <c r="J452" s="18"/>
    </row>
    <row r="453">
      <c r="A453" s="18"/>
      <c r="B453" s="24"/>
      <c r="C453" s="18"/>
      <c r="D453" s="18"/>
      <c r="E453" s="18"/>
      <c r="F453" s="18"/>
      <c r="G453" s="22"/>
      <c r="H453" s="22"/>
      <c r="I453" s="22"/>
      <c r="J453" s="18"/>
    </row>
    <row r="454">
      <c r="A454" s="18"/>
      <c r="B454" s="24"/>
      <c r="C454" s="18"/>
      <c r="D454" s="18"/>
      <c r="E454" s="18"/>
      <c r="F454" s="18"/>
      <c r="G454" s="22"/>
      <c r="H454" s="22"/>
      <c r="I454" s="22"/>
      <c r="J454" s="18"/>
    </row>
    <row r="455">
      <c r="A455" s="18"/>
      <c r="B455" s="24"/>
      <c r="C455" s="18"/>
      <c r="D455" s="18"/>
      <c r="E455" s="18"/>
      <c r="F455" s="18"/>
      <c r="G455" s="22"/>
      <c r="H455" s="22"/>
      <c r="I455" s="22"/>
      <c r="J455" s="18"/>
    </row>
    <row r="456">
      <c r="A456" s="18"/>
      <c r="B456" s="24"/>
      <c r="C456" s="18"/>
      <c r="D456" s="18"/>
      <c r="E456" s="18"/>
      <c r="F456" s="18"/>
      <c r="G456" s="22"/>
      <c r="H456" s="22"/>
      <c r="I456" s="22"/>
      <c r="J456" s="18"/>
    </row>
    <row r="457">
      <c r="A457" s="18"/>
      <c r="B457" s="24"/>
      <c r="C457" s="18"/>
      <c r="D457" s="18"/>
      <c r="E457" s="18"/>
      <c r="F457" s="18"/>
      <c r="G457" s="22"/>
      <c r="H457" s="22"/>
      <c r="I457" s="22"/>
      <c r="J457" s="18"/>
    </row>
    <row r="458">
      <c r="A458" s="18"/>
      <c r="B458" s="24"/>
      <c r="C458" s="18"/>
      <c r="D458" s="18"/>
      <c r="E458" s="18"/>
      <c r="F458" s="18"/>
      <c r="G458" s="22"/>
      <c r="H458" s="22"/>
      <c r="I458" s="22"/>
      <c r="J458" s="18"/>
    </row>
    <row r="459">
      <c r="A459" s="18"/>
      <c r="B459" s="24"/>
      <c r="C459" s="18"/>
      <c r="D459" s="18"/>
      <c r="E459" s="18"/>
      <c r="F459" s="18"/>
      <c r="G459" s="22"/>
      <c r="H459" s="22"/>
      <c r="I459" s="22"/>
      <c r="J459" s="18"/>
    </row>
    <row r="460">
      <c r="A460" s="18"/>
      <c r="B460" s="24"/>
      <c r="C460" s="18"/>
      <c r="D460" s="18"/>
      <c r="E460" s="18"/>
      <c r="F460" s="18"/>
      <c r="G460" s="22"/>
      <c r="H460" s="22"/>
      <c r="I460" s="22"/>
      <c r="J460" s="18"/>
    </row>
    <row r="461">
      <c r="A461" s="18"/>
      <c r="B461" s="24"/>
      <c r="C461" s="18"/>
      <c r="D461" s="18"/>
      <c r="E461" s="18"/>
      <c r="F461" s="18"/>
      <c r="G461" s="22"/>
      <c r="H461" s="22"/>
      <c r="I461" s="22"/>
      <c r="J461" s="18"/>
    </row>
    <row r="462">
      <c r="A462" s="18"/>
      <c r="B462" s="24"/>
      <c r="C462" s="18"/>
      <c r="D462" s="18"/>
      <c r="E462" s="18"/>
      <c r="F462" s="18"/>
      <c r="G462" s="22"/>
      <c r="H462" s="22"/>
      <c r="I462" s="22"/>
      <c r="J462" s="18"/>
    </row>
    <row r="463">
      <c r="A463" s="18"/>
      <c r="B463" s="24"/>
      <c r="C463" s="18"/>
      <c r="D463" s="18"/>
      <c r="E463" s="18"/>
      <c r="F463" s="18"/>
      <c r="G463" s="22"/>
      <c r="H463" s="22"/>
      <c r="I463" s="22"/>
      <c r="J463" s="18"/>
    </row>
    <row r="464">
      <c r="A464" s="18"/>
      <c r="B464" s="24"/>
      <c r="C464" s="18"/>
      <c r="D464" s="18"/>
      <c r="E464" s="18"/>
      <c r="F464" s="18"/>
      <c r="G464" s="22"/>
      <c r="H464" s="22"/>
      <c r="I464" s="22"/>
      <c r="J464" s="18"/>
    </row>
    <row r="465">
      <c r="A465" s="18"/>
      <c r="B465" s="24"/>
      <c r="C465" s="18"/>
      <c r="D465" s="18"/>
      <c r="E465" s="18"/>
      <c r="F465" s="18"/>
      <c r="G465" s="22"/>
      <c r="H465" s="22"/>
      <c r="I465" s="22"/>
      <c r="J465" s="18"/>
    </row>
    <row r="466">
      <c r="A466" s="18"/>
      <c r="B466" s="24"/>
      <c r="C466" s="18"/>
      <c r="D466" s="18"/>
      <c r="E466" s="18"/>
      <c r="F466" s="18"/>
      <c r="G466" s="22"/>
      <c r="H466" s="22"/>
      <c r="I466" s="22"/>
      <c r="J466" s="18"/>
    </row>
    <row r="467">
      <c r="A467" s="18"/>
      <c r="B467" s="24"/>
      <c r="C467" s="18"/>
      <c r="D467" s="18"/>
      <c r="E467" s="18"/>
      <c r="F467" s="18"/>
      <c r="G467" s="22"/>
      <c r="H467" s="22"/>
      <c r="I467" s="22"/>
      <c r="J467" s="18"/>
    </row>
    <row r="468">
      <c r="A468" s="18"/>
      <c r="B468" s="24"/>
      <c r="C468" s="18"/>
      <c r="D468" s="18"/>
      <c r="E468" s="18"/>
      <c r="F468" s="18"/>
      <c r="G468" s="22"/>
      <c r="H468" s="22"/>
      <c r="I468" s="22"/>
      <c r="J468" s="18"/>
    </row>
    <row r="469">
      <c r="A469" s="18"/>
      <c r="B469" s="24"/>
      <c r="C469" s="18"/>
      <c r="D469" s="18"/>
      <c r="E469" s="18"/>
      <c r="F469" s="18"/>
      <c r="G469" s="22"/>
      <c r="H469" s="22"/>
      <c r="I469" s="22"/>
      <c r="J469" s="18"/>
    </row>
    <row r="470">
      <c r="A470" s="18"/>
      <c r="B470" s="24"/>
      <c r="C470" s="18"/>
      <c r="D470" s="18"/>
      <c r="E470" s="18"/>
      <c r="F470" s="18"/>
      <c r="G470" s="22"/>
      <c r="H470" s="22"/>
      <c r="I470" s="22"/>
      <c r="J470" s="18"/>
    </row>
    <row r="471">
      <c r="A471" s="18"/>
      <c r="B471" s="24"/>
      <c r="C471" s="18"/>
      <c r="D471" s="18"/>
      <c r="E471" s="18"/>
      <c r="F471" s="18"/>
      <c r="G471" s="22"/>
      <c r="H471" s="22"/>
      <c r="I471" s="22"/>
      <c r="J471" s="18"/>
    </row>
    <row r="472">
      <c r="A472" s="18"/>
      <c r="B472" s="24"/>
      <c r="C472" s="18"/>
      <c r="D472" s="18"/>
      <c r="E472" s="18"/>
      <c r="F472" s="18"/>
      <c r="G472" s="22"/>
      <c r="H472" s="22"/>
      <c r="I472" s="22"/>
      <c r="J472" s="18"/>
    </row>
    <row r="473">
      <c r="A473" s="18"/>
      <c r="B473" s="24"/>
      <c r="C473" s="18"/>
      <c r="D473" s="18"/>
      <c r="E473" s="18"/>
      <c r="F473" s="18"/>
      <c r="G473" s="22"/>
      <c r="H473" s="22"/>
      <c r="I473" s="22"/>
      <c r="J473" s="18"/>
    </row>
    <row r="474">
      <c r="A474" s="18"/>
      <c r="B474" s="24"/>
      <c r="C474" s="18"/>
      <c r="D474" s="18"/>
      <c r="E474" s="18"/>
      <c r="F474" s="18"/>
      <c r="G474" s="22"/>
      <c r="H474" s="22"/>
      <c r="I474" s="22"/>
      <c r="J474" s="18"/>
    </row>
    <row r="475">
      <c r="A475" s="18"/>
      <c r="B475" s="24"/>
      <c r="C475" s="18"/>
      <c r="D475" s="18"/>
      <c r="E475" s="18"/>
      <c r="F475" s="18"/>
      <c r="G475" s="22"/>
      <c r="H475" s="22"/>
      <c r="I475" s="22"/>
      <c r="J475" s="18"/>
    </row>
    <row r="476">
      <c r="A476" s="18"/>
      <c r="B476" s="24"/>
      <c r="C476" s="18"/>
      <c r="D476" s="18"/>
      <c r="E476" s="18"/>
      <c r="F476" s="18"/>
      <c r="G476" s="22"/>
      <c r="H476" s="22"/>
      <c r="I476" s="22"/>
      <c r="J476" s="18"/>
    </row>
    <row r="477">
      <c r="A477" s="18"/>
      <c r="B477" s="24"/>
      <c r="C477" s="18"/>
      <c r="D477" s="18"/>
      <c r="E477" s="18"/>
      <c r="F477" s="18"/>
      <c r="G477" s="22"/>
      <c r="H477" s="22"/>
      <c r="I477" s="22"/>
      <c r="J477" s="18"/>
    </row>
    <row r="478">
      <c r="A478" s="18"/>
      <c r="B478" s="24"/>
      <c r="C478" s="18"/>
      <c r="D478" s="18"/>
      <c r="E478" s="18"/>
      <c r="F478" s="18"/>
      <c r="G478" s="22"/>
      <c r="H478" s="22"/>
      <c r="I478" s="22"/>
      <c r="J478" s="18"/>
    </row>
    <row r="479">
      <c r="A479" s="18"/>
      <c r="B479" s="24"/>
      <c r="C479" s="18"/>
      <c r="D479" s="18"/>
      <c r="E479" s="18"/>
      <c r="F479" s="18"/>
      <c r="G479" s="22"/>
      <c r="H479" s="22"/>
      <c r="I479" s="22"/>
      <c r="J479" s="18"/>
    </row>
    <row r="480">
      <c r="A480" s="18"/>
      <c r="B480" s="24"/>
      <c r="C480" s="18"/>
      <c r="D480" s="18"/>
      <c r="E480" s="18"/>
      <c r="F480" s="18"/>
      <c r="G480" s="22"/>
      <c r="H480" s="22"/>
      <c r="I480" s="22"/>
      <c r="J480" s="18"/>
    </row>
    <row r="481">
      <c r="A481" s="18"/>
      <c r="B481" s="24"/>
      <c r="C481" s="18"/>
      <c r="D481" s="18"/>
      <c r="E481" s="18"/>
      <c r="F481" s="18"/>
      <c r="G481" s="22"/>
      <c r="H481" s="22"/>
      <c r="I481" s="22"/>
      <c r="J481" s="18"/>
    </row>
    <row r="482">
      <c r="A482" s="18"/>
      <c r="B482" s="24"/>
      <c r="C482" s="18"/>
      <c r="D482" s="18"/>
      <c r="E482" s="18"/>
      <c r="F482" s="18"/>
      <c r="G482" s="22"/>
      <c r="H482" s="22"/>
      <c r="I482" s="22"/>
      <c r="J482" s="18"/>
    </row>
    <row r="483">
      <c r="A483" s="18"/>
      <c r="B483" s="24"/>
      <c r="C483" s="18"/>
      <c r="D483" s="18"/>
      <c r="E483" s="18"/>
      <c r="F483" s="18"/>
      <c r="G483" s="22"/>
      <c r="H483" s="22"/>
      <c r="I483" s="22"/>
      <c r="J483" s="18"/>
    </row>
    <row r="484">
      <c r="A484" s="18"/>
      <c r="B484" s="24"/>
      <c r="C484" s="18"/>
      <c r="D484" s="18"/>
      <c r="E484" s="18"/>
      <c r="F484" s="18"/>
      <c r="G484" s="22"/>
      <c r="H484" s="22"/>
      <c r="I484" s="22"/>
      <c r="J484" s="18"/>
    </row>
    <row r="485">
      <c r="A485" s="18"/>
      <c r="B485" s="24"/>
      <c r="C485" s="18"/>
      <c r="D485" s="18"/>
      <c r="E485" s="18"/>
      <c r="F485" s="18"/>
      <c r="G485" s="22"/>
      <c r="H485" s="22"/>
      <c r="I485" s="22"/>
      <c r="J485" s="18"/>
    </row>
    <row r="486">
      <c r="A486" s="18"/>
      <c r="B486" s="24"/>
      <c r="C486" s="18"/>
      <c r="D486" s="18"/>
      <c r="E486" s="18"/>
      <c r="F486" s="18"/>
      <c r="G486" s="22"/>
      <c r="H486" s="22"/>
      <c r="I486" s="22"/>
      <c r="J486" s="18"/>
    </row>
    <row r="487">
      <c r="A487" s="18"/>
      <c r="B487" s="24"/>
      <c r="C487" s="18"/>
      <c r="D487" s="18"/>
      <c r="E487" s="18"/>
      <c r="F487" s="18"/>
      <c r="G487" s="22"/>
      <c r="H487" s="22"/>
      <c r="I487" s="22"/>
      <c r="J487" s="18"/>
    </row>
    <row r="488">
      <c r="A488" s="18"/>
      <c r="B488" s="24"/>
      <c r="C488" s="18"/>
      <c r="D488" s="18"/>
      <c r="E488" s="18"/>
      <c r="F488" s="18"/>
      <c r="G488" s="22"/>
      <c r="H488" s="22"/>
      <c r="I488" s="22"/>
      <c r="J488" s="18"/>
    </row>
    <row r="489">
      <c r="A489" s="18"/>
      <c r="B489" s="24"/>
      <c r="C489" s="18"/>
      <c r="D489" s="18"/>
      <c r="E489" s="18"/>
      <c r="F489" s="18"/>
      <c r="G489" s="22"/>
      <c r="H489" s="22"/>
      <c r="I489" s="22"/>
      <c r="J489" s="18"/>
    </row>
    <row r="490">
      <c r="A490" s="18"/>
      <c r="B490" s="24"/>
      <c r="C490" s="18"/>
      <c r="D490" s="18"/>
      <c r="E490" s="18"/>
      <c r="F490" s="18"/>
      <c r="G490" s="22"/>
      <c r="H490" s="22"/>
      <c r="I490" s="22"/>
      <c r="J490" s="18"/>
    </row>
    <row r="491">
      <c r="A491" s="18"/>
      <c r="B491" s="24"/>
      <c r="C491" s="18"/>
      <c r="D491" s="18"/>
      <c r="E491" s="18"/>
      <c r="F491" s="18"/>
      <c r="G491" s="22"/>
      <c r="H491" s="22"/>
      <c r="I491" s="22"/>
      <c r="J491" s="18"/>
    </row>
    <row r="492">
      <c r="A492" s="18"/>
      <c r="B492" s="24"/>
      <c r="C492" s="18"/>
      <c r="D492" s="18"/>
      <c r="E492" s="18"/>
      <c r="F492" s="18"/>
      <c r="G492" s="22"/>
      <c r="H492" s="22"/>
      <c r="I492" s="22"/>
      <c r="J492" s="18"/>
    </row>
    <row r="493">
      <c r="A493" s="18"/>
      <c r="B493" s="24"/>
      <c r="C493" s="18"/>
      <c r="D493" s="18"/>
      <c r="E493" s="18"/>
      <c r="F493" s="18"/>
      <c r="G493" s="22"/>
      <c r="H493" s="22"/>
      <c r="I493" s="22"/>
      <c r="J493" s="18"/>
    </row>
    <row r="494">
      <c r="A494" s="18"/>
      <c r="B494" s="24"/>
      <c r="C494" s="18"/>
      <c r="D494" s="18"/>
      <c r="E494" s="18"/>
      <c r="F494" s="18"/>
      <c r="G494" s="22"/>
      <c r="H494" s="22"/>
      <c r="I494" s="22"/>
      <c r="J494" s="18"/>
    </row>
    <row r="495">
      <c r="A495" s="18"/>
      <c r="B495" s="24"/>
      <c r="C495" s="18"/>
      <c r="D495" s="18"/>
      <c r="E495" s="18"/>
      <c r="F495" s="18"/>
      <c r="G495" s="22"/>
      <c r="H495" s="22"/>
      <c r="I495" s="22"/>
      <c r="J495" s="18"/>
    </row>
    <row r="496">
      <c r="A496" s="18"/>
      <c r="B496" s="24"/>
      <c r="C496" s="18"/>
      <c r="D496" s="18"/>
      <c r="E496" s="18"/>
      <c r="F496" s="18"/>
      <c r="G496" s="22"/>
      <c r="H496" s="22"/>
      <c r="I496" s="22"/>
      <c r="J496" s="18"/>
    </row>
    <row r="497">
      <c r="A497" s="18"/>
      <c r="B497" s="24"/>
      <c r="C497" s="18"/>
      <c r="D497" s="18"/>
      <c r="E497" s="18"/>
      <c r="F497" s="18"/>
      <c r="G497" s="22"/>
      <c r="H497" s="22"/>
      <c r="I497" s="22"/>
      <c r="J497" s="18"/>
    </row>
    <row r="498">
      <c r="A498" s="18"/>
      <c r="B498" s="24"/>
      <c r="C498" s="18"/>
      <c r="D498" s="18"/>
      <c r="E498" s="18"/>
      <c r="F498" s="18"/>
      <c r="G498" s="22"/>
      <c r="H498" s="22"/>
      <c r="I498" s="22"/>
      <c r="J498" s="18"/>
    </row>
    <row r="499">
      <c r="A499" s="18"/>
      <c r="B499" s="24"/>
      <c r="C499" s="18"/>
      <c r="D499" s="18"/>
      <c r="E499" s="18"/>
      <c r="F499" s="18"/>
      <c r="G499" s="22"/>
      <c r="H499" s="22"/>
      <c r="I499" s="22"/>
      <c r="J499" s="18"/>
    </row>
    <row r="500">
      <c r="A500" s="18"/>
      <c r="B500" s="24"/>
      <c r="C500" s="18"/>
      <c r="D500" s="18"/>
      <c r="E500" s="18"/>
      <c r="F500" s="18"/>
      <c r="G500" s="22"/>
      <c r="H500" s="22"/>
      <c r="I500" s="22"/>
      <c r="J500" s="18"/>
    </row>
    <row r="501">
      <c r="A501" s="18"/>
      <c r="B501" s="24"/>
      <c r="C501" s="18"/>
      <c r="D501" s="18"/>
      <c r="E501" s="18"/>
      <c r="F501" s="18"/>
      <c r="G501" s="22"/>
      <c r="H501" s="22"/>
      <c r="I501" s="22"/>
      <c r="J501" s="18"/>
    </row>
    <row r="502">
      <c r="A502" s="18"/>
      <c r="B502" s="24"/>
      <c r="C502" s="18"/>
      <c r="D502" s="18"/>
      <c r="E502" s="18"/>
      <c r="F502" s="18"/>
      <c r="G502" s="22"/>
      <c r="H502" s="22"/>
      <c r="I502" s="22"/>
      <c r="J502" s="18"/>
    </row>
    <row r="503">
      <c r="A503" s="18"/>
      <c r="B503" s="24"/>
      <c r="C503" s="18"/>
      <c r="D503" s="18"/>
      <c r="E503" s="18"/>
      <c r="F503" s="18"/>
      <c r="G503" s="22"/>
      <c r="H503" s="22"/>
      <c r="I503" s="22"/>
      <c r="J503" s="18"/>
    </row>
    <row r="504">
      <c r="A504" s="18"/>
      <c r="B504" s="24"/>
      <c r="C504" s="18"/>
      <c r="D504" s="18"/>
      <c r="E504" s="18"/>
      <c r="F504" s="18"/>
      <c r="G504" s="22"/>
      <c r="H504" s="22"/>
      <c r="I504" s="22"/>
      <c r="J504" s="18"/>
    </row>
    <row r="505">
      <c r="A505" s="18"/>
      <c r="B505" s="24"/>
      <c r="C505" s="18"/>
      <c r="D505" s="18"/>
      <c r="E505" s="18"/>
      <c r="F505" s="18"/>
      <c r="G505" s="22"/>
      <c r="H505" s="22"/>
      <c r="I505" s="22"/>
      <c r="J505" s="18"/>
    </row>
    <row r="506">
      <c r="A506" s="18"/>
      <c r="B506" s="24"/>
      <c r="C506" s="18"/>
      <c r="D506" s="18"/>
      <c r="E506" s="18"/>
      <c r="F506" s="18"/>
      <c r="G506" s="22"/>
      <c r="H506" s="22"/>
      <c r="I506" s="22"/>
      <c r="J506" s="18"/>
    </row>
    <row r="507">
      <c r="A507" s="18"/>
      <c r="B507" s="24"/>
      <c r="C507" s="18"/>
      <c r="D507" s="18"/>
      <c r="E507" s="18"/>
      <c r="F507" s="18"/>
      <c r="G507" s="22"/>
      <c r="H507" s="22"/>
      <c r="I507" s="22"/>
      <c r="J507" s="18"/>
    </row>
    <row r="508">
      <c r="A508" s="18"/>
      <c r="B508" s="24"/>
      <c r="C508" s="18"/>
      <c r="D508" s="18"/>
      <c r="E508" s="18"/>
      <c r="F508" s="18"/>
      <c r="G508" s="22"/>
      <c r="H508" s="22"/>
      <c r="I508" s="22"/>
      <c r="J508" s="18"/>
    </row>
    <row r="509">
      <c r="A509" s="18"/>
      <c r="B509" s="24"/>
      <c r="C509" s="18"/>
      <c r="D509" s="18"/>
      <c r="E509" s="18"/>
      <c r="F509" s="18"/>
      <c r="G509" s="22"/>
      <c r="H509" s="22"/>
      <c r="I509" s="22"/>
      <c r="J509" s="18"/>
    </row>
    <row r="510">
      <c r="A510" s="18"/>
      <c r="B510" s="24"/>
      <c r="C510" s="18"/>
      <c r="D510" s="18"/>
      <c r="E510" s="18"/>
      <c r="F510" s="18"/>
      <c r="G510" s="22"/>
      <c r="H510" s="22"/>
      <c r="I510" s="22"/>
      <c r="J510" s="18"/>
    </row>
    <row r="511">
      <c r="A511" s="18"/>
      <c r="B511" s="24"/>
      <c r="C511" s="18"/>
      <c r="D511" s="18"/>
      <c r="E511" s="18"/>
      <c r="F511" s="18"/>
      <c r="G511" s="22"/>
      <c r="H511" s="22"/>
      <c r="I511" s="22"/>
      <c r="J511" s="18"/>
    </row>
    <row r="512">
      <c r="A512" s="18"/>
      <c r="B512" s="24"/>
      <c r="C512" s="18"/>
      <c r="D512" s="18"/>
      <c r="E512" s="18"/>
      <c r="F512" s="18"/>
      <c r="G512" s="22"/>
      <c r="H512" s="22"/>
      <c r="I512" s="22"/>
      <c r="J512" s="18"/>
    </row>
    <row r="513">
      <c r="A513" s="18"/>
      <c r="B513" s="24"/>
      <c r="C513" s="18"/>
      <c r="D513" s="18"/>
      <c r="E513" s="18"/>
      <c r="F513" s="18"/>
      <c r="G513" s="22"/>
      <c r="H513" s="22"/>
      <c r="I513" s="22"/>
      <c r="J513" s="18"/>
    </row>
    <row r="514">
      <c r="A514" s="18"/>
      <c r="B514" s="24"/>
      <c r="C514" s="18"/>
      <c r="D514" s="18"/>
      <c r="E514" s="18"/>
      <c r="F514" s="18"/>
      <c r="G514" s="22"/>
      <c r="H514" s="22"/>
      <c r="I514" s="22"/>
      <c r="J514" s="18"/>
    </row>
    <row r="515">
      <c r="A515" s="18"/>
      <c r="B515" s="24"/>
      <c r="C515" s="18"/>
      <c r="D515" s="18"/>
      <c r="E515" s="18"/>
      <c r="F515" s="18"/>
      <c r="G515" s="22"/>
      <c r="H515" s="22"/>
      <c r="I515" s="22"/>
      <c r="J515" s="18"/>
    </row>
    <row r="516">
      <c r="A516" s="18"/>
      <c r="B516" s="24"/>
      <c r="C516" s="18"/>
      <c r="D516" s="18"/>
      <c r="E516" s="18"/>
      <c r="F516" s="18"/>
      <c r="G516" s="22"/>
      <c r="H516" s="22"/>
      <c r="I516" s="22"/>
      <c r="J516" s="18"/>
    </row>
    <row r="517">
      <c r="A517" s="18"/>
      <c r="B517" s="24"/>
      <c r="C517" s="18"/>
      <c r="D517" s="18"/>
      <c r="E517" s="18"/>
      <c r="F517" s="18"/>
      <c r="G517" s="22"/>
      <c r="H517" s="22"/>
      <c r="I517" s="22"/>
      <c r="J517" s="18"/>
    </row>
    <row r="518">
      <c r="A518" s="18"/>
      <c r="B518" s="24"/>
      <c r="C518" s="18"/>
      <c r="D518" s="18"/>
      <c r="E518" s="18"/>
      <c r="F518" s="18"/>
      <c r="G518" s="22"/>
      <c r="H518" s="22"/>
      <c r="I518" s="22"/>
      <c r="J518" s="18"/>
    </row>
    <row r="519">
      <c r="A519" s="18"/>
      <c r="B519" s="24"/>
      <c r="C519" s="18"/>
      <c r="D519" s="18"/>
      <c r="E519" s="18"/>
      <c r="F519" s="18"/>
      <c r="G519" s="22"/>
      <c r="H519" s="22"/>
      <c r="I519" s="22"/>
      <c r="J519" s="18"/>
    </row>
    <row r="520">
      <c r="A520" s="18"/>
      <c r="B520" s="24"/>
      <c r="C520" s="18"/>
      <c r="D520" s="18"/>
      <c r="E520" s="18"/>
      <c r="F520" s="18"/>
      <c r="G520" s="22"/>
      <c r="H520" s="22"/>
      <c r="I520" s="22"/>
      <c r="J520" s="18"/>
    </row>
    <row r="521">
      <c r="A521" s="18"/>
      <c r="B521" s="24"/>
      <c r="C521" s="18"/>
      <c r="D521" s="18"/>
      <c r="E521" s="18"/>
      <c r="F521" s="18"/>
      <c r="G521" s="22"/>
      <c r="H521" s="22"/>
      <c r="I521" s="22"/>
      <c r="J521" s="18"/>
    </row>
    <row r="522">
      <c r="A522" s="18"/>
      <c r="B522" s="24"/>
      <c r="C522" s="18"/>
      <c r="D522" s="18"/>
      <c r="E522" s="18"/>
      <c r="F522" s="18"/>
      <c r="G522" s="22"/>
      <c r="H522" s="22"/>
      <c r="I522" s="22"/>
      <c r="J522" s="18"/>
    </row>
    <row r="523">
      <c r="A523" s="18"/>
      <c r="B523" s="24"/>
      <c r="C523" s="18"/>
      <c r="D523" s="18"/>
      <c r="E523" s="18"/>
      <c r="F523" s="18"/>
      <c r="G523" s="22"/>
      <c r="H523" s="22"/>
      <c r="I523" s="22"/>
      <c r="J523" s="18"/>
    </row>
    <row r="524">
      <c r="A524" s="18"/>
      <c r="B524" s="24"/>
      <c r="C524" s="18"/>
      <c r="D524" s="18"/>
      <c r="E524" s="18"/>
      <c r="F524" s="18"/>
      <c r="G524" s="22"/>
      <c r="H524" s="22"/>
      <c r="I524" s="22"/>
      <c r="J524" s="18"/>
    </row>
    <row r="525">
      <c r="A525" s="18"/>
      <c r="B525" s="24"/>
      <c r="C525" s="18"/>
      <c r="D525" s="18"/>
      <c r="E525" s="18"/>
      <c r="F525" s="18"/>
      <c r="G525" s="22"/>
      <c r="H525" s="22"/>
      <c r="I525" s="22"/>
      <c r="J525" s="18"/>
    </row>
    <row r="526">
      <c r="A526" s="18"/>
      <c r="B526" s="24"/>
      <c r="C526" s="18"/>
      <c r="D526" s="18"/>
      <c r="E526" s="18"/>
      <c r="F526" s="18"/>
      <c r="G526" s="22"/>
      <c r="H526" s="22"/>
      <c r="I526" s="22"/>
      <c r="J526" s="18"/>
    </row>
    <row r="527">
      <c r="A527" s="18"/>
      <c r="B527" s="24"/>
      <c r="C527" s="18"/>
      <c r="D527" s="18"/>
      <c r="E527" s="18"/>
      <c r="F527" s="18"/>
      <c r="G527" s="22"/>
      <c r="H527" s="22"/>
      <c r="I527" s="22"/>
      <c r="J527" s="18"/>
    </row>
    <row r="528">
      <c r="A528" s="18"/>
      <c r="B528" s="24"/>
      <c r="C528" s="18"/>
      <c r="D528" s="18"/>
      <c r="E528" s="18"/>
      <c r="F528" s="18"/>
      <c r="G528" s="22"/>
      <c r="H528" s="22"/>
      <c r="I528" s="22"/>
      <c r="J528" s="18"/>
    </row>
    <row r="529">
      <c r="A529" s="18"/>
      <c r="B529" s="24"/>
      <c r="C529" s="18"/>
      <c r="D529" s="18"/>
      <c r="E529" s="18"/>
      <c r="F529" s="18"/>
      <c r="G529" s="22"/>
      <c r="H529" s="22"/>
      <c r="I529" s="22"/>
      <c r="J529" s="18"/>
    </row>
    <row r="530">
      <c r="A530" s="18"/>
      <c r="B530" s="24"/>
      <c r="C530" s="18"/>
      <c r="D530" s="18"/>
      <c r="E530" s="18"/>
      <c r="F530" s="18"/>
      <c r="G530" s="22"/>
      <c r="H530" s="22"/>
      <c r="I530" s="22"/>
      <c r="J530" s="18"/>
    </row>
    <row r="531">
      <c r="A531" s="18"/>
      <c r="B531" s="24"/>
      <c r="C531" s="18"/>
      <c r="D531" s="18"/>
      <c r="E531" s="18"/>
      <c r="F531" s="18"/>
      <c r="G531" s="22"/>
      <c r="H531" s="22"/>
      <c r="I531" s="22"/>
      <c r="J531" s="18"/>
    </row>
    <row r="532">
      <c r="A532" s="18"/>
      <c r="B532" s="24"/>
      <c r="C532" s="18"/>
      <c r="D532" s="18"/>
      <c r="E532" s="18"/>
      <c r="F532" s="18"/>
      <c r="G532" s="22"/>
      <c r="H532" s="22"/>
      <c r="I532" s="22"/>
      <c r="J532" s="18"/>
    </row>
    <row r="533">
      <c r="A533" s="18"/>
      <c r="B533" s="24"/>
      <c r="C533" s="18"/>
      <c r="D533" s="18"/>
      <c r="E533" s="18"/>
      <c r="F533" s="18"/>
      <c r="G533" s="22"/>
      <c r="H533" s="22"/>
      <c r="I533" s="22"/>
      <c r="J533" s="18"/>
    </row>
    <row r="534">
      <c r="A534" s="18"/>
      <c r="B534" s="24"/>
      <c r="C534" s="18"/>
      <c r="D534" s="18"/>
      <c r="E534" s="18"/>
      <c r="F534" s="18"/>
      <c r="G534" s="22"/>
      <c r="H534" s="22"/>
      <c r="I534" s="22"/>
      <c r="J534" s="18"/>
    </row>
    <row r="535">
      <c r="A535" s="18"/>
      <c r="B535" s="24"/>
      <c r="C535" s="18"/>
      <c r="D535" s="18"/>
      <c r="E535" s="18"/>
      <c r="F535" s="18"/>
      <c r="G535" s="22"/>
      <c r="H535" s="22"/>
      <c r="I535" s="22"/>
      <c r="J535" s="18"/>
    </row>
    <row r="536">
      <c r="A536" s="18"/>
      <c r="B536" s="24"/>
      <c r="C536" s="18"/>
      <c r="D536" s="18"/>
      <c r="E536" s="18"/>
      <c r="F536" s="18"/>
      <c r="G536" s="22"/>
      <c r="H536" s="22"/>
      <c r="I536" s="22"/>
      <c r="J536" s="18"/>
    </row>
    <row r="537">
      <c r="A537" s="18"/>
      <c r="B537" s="24"/>
      <c r="C537" s="18"/>
      <c r="D537" s="18"/>
      <c r="E537" s="18"/>
      <c r="F537" s="18"/>
      <c r="G537" s="22"/>
      <c r="H537" s="22"/>
      <c r="I537" s="22"/>
      <c r="J537" s="18"/>
    </row>
    <row r="538">
      <c r="A538" s="18"/>
      <c r="B538" s="24"/>
      <c r="C538" s="18"/>
      <c r="D538" s="18"/>
      <c r="E538" s="18"/>
      <c r="F538" s="18"/>
      <c r="G538" s="22"/>
      <c r="H538" s="22"/>
      <c r="I538" s="22"/>
      <c r="J538" s="18"/>
    </row>
    <row r="539">
      <c r="A539" s="18"/>
      <c r="B539" s="24"/>
      <c r="C539" s="18"/>
      <c r="D539" s="18"/>
      <c r="E539" s="18"/>
      <c r="F539" s="18"/>
      <c r="G539" s="22"/>
      <c r="H539" s="22"/>
      <c r="I539" s="22"/>
      <c r="J539" s="18"/>
    </row>
    <row r="540">
      <c r="A540" s="18"/>
      <c r="B540" s="24"/>
      <c r="C540" s="18"/>
      <c r="D540" s="18"/>
      <c r="E540" s="18"/>
      <c r="F540" s="18"/>
      <c r="G540" s="22"/>
      <c r="H540" s="22"/>
      <c r="I540" s="22"/>
      <c r="J540" s="18"/>
    </row>
    <row r="541">
      <c r="A541" s="18"/>
      <c r="B541" s="24"/>
      <c r="C541" s="18"/>
      <c r="D541" s="18"/>
      <c r="E541" s="18"/>
      <c r="F541" s="18"/>
      <c r="G541" s="22"/>
      <c r="H541" s="22"/>
      <c r="I541" s="22"/>
      <c r="J541" s="18"/>
    </row>
    <row r="542">
      <c r="A542" s="18"/>
      <c r="B542" s="24"/>
      <c r="C542" s="18"/>
      <c r="D542" s="18"/>
      <c r="E542" s="18"/>
      <c r="F542" s="18"/>
      <c r="G542" s="22"/>
      <c r="H542" s="22"/>
      <c r="I542" s="22"/>
      <c r="J542" s="18"/>
    </row>
    <row r="543">
      <c r="A543" s="18"/>
      <c r="B543" s="24"/>
      <c r="C543" s="18"/>
      <c r="D543" s="18"/>
      <c r="E543" s="18"/>
      <c r="F543" s="18"/>
      <c r="G543" s="22"/>
      <c r="H543" s="22"/>
      <c r="I543" s="22"/>
      <c r="J543" s="18"/>
    </row>
    <row r="544">
      <c r="A544" s="18"/>
      <c r="B544" s="24"/>
      <c r="C544" s="18"/>
      <c r="D544" s="18"/>
      <c r="E544" s="18"/>
      <c r="F544" s="18"/>
      <c r="G544" s="22"/>
      <c r="H544" s="22"/>
      <c r="I544" s="22"/>
      <c r="J544" s="18"/>
    </row>
    <row r="545">
      <c r="A545" s="18"/>
      <c r="B545" s="24"/>
      <c r="C545" s="18"/>
      <c r="D545" s="18"/>
      <c r="E545" s="18"/>
      <c r="F545" s="18"/>
      <c r="G545" s="22"/>
      <c r="H545" s="22"/>
      <c r="I545" s="22"/>
      <c r="J545" s="18"/>
    </row>
    <row r="546">
      <c r="A546" s="18"/>
      <c r="B546" s="24"/>
      <c r="C546" s="18"/>
      <c r="D546" s="18"/>
      <c r="E546" s="18"/>
      <c r="F546" s="18"/>
      <c r="G546" s="22"/>
      <c r="H546" s="22"/>
      <c r="I546" s="22"/>
      <c r="J546" s="18"/>
    </row>
    <row r="547">
      <c r="A547" s="18"/>
      <c r="B547" s="24"/>
      <c r="C547" s="18"/>
      <c r="D547" s="18"/>
      <c r="E547" s="18"/>
      <c r="F547" s="18"/>
      <c r="G547" s="22"/>
      <c r="H547" s="22"/>
      <c r="I547" s="22"/>
      <c r="J547" s="18"/>
    </row>
    <row r="548">
      <c r="A548" s="18"/>
      <c r="B548" s="24"/>
      <c r="C548" s="18"/>
      <c r="D548" s="18"/>
      <c r="E548" s="18"/>
      <c r="F548" s="18"/>
      <c r="G548" s="22"/>
      <c r="H548" s="22"/>
      <c r="I548" s="22"/>
      <c r="J548" s="18"/>
    </row>
    <row r="549">
      <c r="A549" s="18"/>
      <c r="B549" s="24"/>
      <c r="C549" s="18"/>
      <c r="D549" s="18"/>
      <c r="E549" s="18"/>
      <c r="F549" s="18"/>
      <c r="G549" s="22"/>
      <c r="H549" s="22"/>
      <c r="I549" s="22"/>
      <c r="J549" s="18"/>
    </row>
    <row r="550">
      <c r="A550" s="18"/>
      <c r="B550" s="24"/>
      <c r="C550" s="18"/>
      <c r="D550" s="18"/>
      <c r="E550" s="18"/>
      <c r="F550" s="18"/>
      <c r="G550" s="22"/>
      <c r="H550" s="22"/>
      <c r="I550" s="22"/>
      <c r="J550" s="18"/>
    </row>
    <row r="551">
      <c r="A551" s="18"/>
      <c r="B551" s="24"/>
      <c r="C551" s="18"/>
      <c r="D551" s="18"/>
      <c r="E551" s="18"/>
      <c r="F551" s="18"/>
      <c r="G551" s="22"/>
      <c r="H551" s="22"/>
      <c r="I551" s="22"/>
      <c r="J551" s="18"/>
    </row>
    <row r="552">
      <c r="A552" s="18"/>
      <c r="B552" s="24"/>
      <c r="C552" s="18"/>
      <c r="D552" s="18"/>
      <c r="E552" s="18"/>
      <c r="F552" s="18"/>
      <c r="G552" s="22"/>
      <c r="H552" s="22"/>
      <c r="I552" s="22"/>
      <c r="J552" s="18"/>
    </row>
    <row r="553">
      <c r="A553" s="18"/>
      <c r="B553" s="24"/>
      <c r="C553" s="18"/>
      <c r="D553" s="18"/>
      <c r="E553" s="18"/>
      <c r="F553" s="18"/>
      <c r="G553" s="22"/>
      <c r="H553" s="22"/>
      <c r="I553" s="22"/>
      <c r="J553" s="18"/>
    </row>
    <row r="554">
      <c r="A554" s="18"/>
      <c r="B554" s="24"/>
      <c r="C554" s="18"/>
      <c r="D554" s="18"/>
      <c r="E554" s="18"/>
      <c r="F554" s="18"/>
      <c r="G554" s="22"/>
      <c r="H554" s="22"/>
      <c r="I554" s="22"/>
      <c r="J554" s="18"/>
    </row>
    <row r="555">
      <c r="A555" s="18"/>
      <c r="B555" s="24"/>
      <c r="C555" s="18"/>
      <c r="D555" s="18"/>
      <c r="E555" s="18"/>
      <c r="F555" s="18"/>
      <c r="G555" s="22"/>
      <c r="H555" s="22"/>
      <c r="I555" s="22"/>
      <c r="J555" s="18"/>
    </row>
    <row r="556">
      <c r="A556" s="18"/>
      <c r="B556" s="24"/>
      <c r="C556" s="18"/>
      <c r="D556" s="18"/>
      <c r="E556" s="18"/>
      <c r="F556" s="18"/>
      <c r="G556" s="22"/>
      <c r="H556" s="22"/>
      <c r="I556" s="22"/>
      <c r="J556" s="18"/>
    </row>
    <row r="557">
      <c r="A557" s="18"/>
      <c r="B557" s="24"/>
      <c r="C557" s="18"/>
      <c r="D557" s="18"/>
      <c r="E557" s="18"/>
      <c r="F557" s="18"/>
      <c r="G557" s="22"/>
      <c r="H557" s="22"/>
      <c r="I557" s="22"/>
      <c r="J557" s="18"/>
    </row>
    <row r="558">
      <c r="A558" s="18"/>
      <c r="B558" s="24"/>
      <c r="C558" s="18"/>
      <c r="D558" s="18"/>
      <c r="E558" s="18"/>
      <c r="F558" s="18"/>
      <c r="G558" s="22"/>
      <c r="H558" s="22"/>
      <c r="I558" s="22"/>
      <c r="J558" s="18"/>
    </row>
    <row r="559">
      <c r="A559" s="18"/>
      <c r="B559" s="24"/>
      <c r="C559" s="18"/>
      <c r="D559" s="18"/>
      <c r="E559" s="18"/>
      <c r="F559" s="18"/>
      <c r="G559" s="22"/>
      <c r="H559" s="22"/>
      <c r="I559" s="22"/>
      <c r="J559" s="18"/>
    </row>
    <row r="560">
      <c r="A560" s="18"/>
      <c r="B560" s="24"/>
      <c r="C560" s="18"/>
      <c r="D560" s="18"/>
      <c r="E560" s="18"/>
      <c r="F560" s="18"/>
      <c r="G560" s="22"/>
      <c r="H560" s="22"/>
      <c r="I560" s="22"/>
      <c r="J560" s="18"/>
    </row>
    <row r="561">
      <c r="A561" s="18"/>
      <c r="B561" s="24"/>
      <c r="C561" s="18"/>
      <c r="D561" s="18"/>
      <c r="E561" s="18"/>
      <c r="F561" s="18"/>
      <c r="G561" s="22"/>
      <c r="H561" s="22"/>
      <c r="I561" s="22"/>
      <c r="J561" s="18"/>
    </row>
    <row r="562">
      <c r="A562" s="18"/>
      <c r="B562" s="24"/>
      <c r="C562" s="18"/>
      <c r="D562" s="18"/>
      <c r="E562" s="18"/>
      <c r="F562" s="18"/>
      <c r="G562" s="22"/>
      <c r="H562" s="22"/>
      <c r="I562" s="22"/>
      <c r="J562" s="18"/>
    </row>
    <row r="563">
      <c r="A563" s="18"/>
      <c r="B563" s="24"/>
      <c r="C563" s="18"/>
      <c r="D563" s="18"/>
      <c r="E563" s="18"/>
      <c r="F563" s="18"/>
      <c r="G563" s="22"/>
      <c r="H563" s="22"/>
      <c r="I563" s="22"/>
      <c r="J563" s="18"/>
    </row>
    <row r="564">
      <c r="A564" s="18"/>
      <c r="B564" s="24"/>
      <c r="C564" s="18"/>
      <c r="D564" s="18"/>
      <c r="E564" s="18"/>
      <c r="F564" s="18"/>
      <c r="G564" s="22"/>
      <c r="H564" s="22"/>
      <c r="I564" s="22"/>
      <c r="J564" s="18"/>
    </row>
    <row r="565">
      <c r="A565" s="18"/>
      <c r="B565" s="24"/>
      <c r="C565" s="18"/>
      <c r="D565" s="18"/>
      <c r="E565" s="18"/>
      <c r="F565" s="18"/>
      <c r="G565" s="22"/>
      <c r="H565" s="22"/>
      <c r="I565" s="22"/>
      <c r="J565" s="18"/>
    </row>
    <row r="566">
      <c r="A566" s="18"/>
      <c r="B566" s="24"/>
      <c r="C566" s="18"/>
      <c r="D566" s="18"/>
      <c r="E566" s="18"/>
      <c r="F566" s="18"/>
      <c r="G566" s="22"/>
      <c r="H566" s="22"/>
      <c r="I566" s="22"/>
      <c r="J566" s="18"/>
    </row>
    <row r="567">
      <c r="A567" s="18"/>
      <c r="B567" s="24"/>
      <c r="C567" s="18"/>
      <c r="D567" s="18"/>
      <c r="E567" s="18"/>
      <c r="F567" s="18"/>
      <c r="G567" s="22"/>
      <c r="H567" s="22"/>
      <c r="I567" s="22"/>
      <c r="J567" s="18"/>
    </row>
    <row r="568">
      <c r="A568" s="18"/>
      <c r="B568" s="24"/>
      <c r="C568" s="18"/>
      <c r="D568" s="18"/>
      <c r="E568" s="18"/>
      <c r="F568" s="18"/>
      <c r="G568" s="22"/>
      <c r="H568" s="22"/>
      <c r="I568" s="22"/>
      <c r="J568" s="18"/>
    </row>
    <row r="569">
      <c r="A569" s="18"/>
      <c r="B569" s="24"/>
      <c r="C569" s="18"/>
      <c r="D569" s="18"/>
      <c r="E569" s="18"/>
      <c r="F569" s="18"/>
      <c r="G569" s="22"/>
      <c r="H569" s="22"/>
      <c r="I569" s="22"/>
      <c r="J569" s="18"/>
    </row>
    <row r="570">
      <c r="A570" s="18"/>
      <c r="B570" s="24"/>
      <c r="C570" s="18"/>
      <c r="D570" s="18"/>
      <c r="E570" s="18"/>
      <c r="F570" s="18"/>
      <c r="G570" s="22"/>
      <c r="H570" s="22"/>
      <c r="I570" s="22"/>
      <c r="J570" s="18"/>
    </row>
    <row r="571">
      <c r="A571" s="18"/>
      <c r="B571" s="24"/>
      <c r="C571" s="18"/>
      <c r="D571" s="18"/>
      <c r="E571" s="18"/>
      <c r="F571" s="18"/>
      <c r="G571" s="22"/>
      <c r="H571" s="22"/>
      <c r="I571" s="22"/>
      <c r="J571" s="18"/>
    </row>
    <row r="572">
      <c r="A572" s="18"/>
      <c r="B572" s="24"/>
      <c r="C572" s="18"/>
      <c r="D572" s="18"/>
      <c r="E572" s="18"/>
      <c r="F572" s="18"/>
      <c r="G572" s="22"/>
      <c r="H572" s="22"/>
      <c r="I572" s="22"/>
      <c r="J572" s="18"/>
    </row>
    <row r="573">
      <c r="A573" s="18"/>
      <c r="B573" s="24"/>
      <c r="C573" s="18"/>
      <c r="D573" s="18"/>
      <c r="E573" s="18"/>
      <c r="F573" s="18"/>
      <c r="G573" s="22"/>
      <c r="H573" s="22"/>
      <c r="I573" s="22"/>
      <c r="J573" s="18"/>
    </row>
    <row r="574">
      <c r="A574" s="18"/>
      <c r="B574" s="24"/>
      <c r="C574" s="18"/>
      <c r="D574" s="18"/>
      <c r="E574" s="18"/>
      <c r="F574" s="18"/>
      <c r="G574" s="22"/>
      <c r="H574" s="22"/>
      <c r="I574" s="22"/>
      <c r="J574" s="18"/>
    </row>
    <row r="575">
      <c r="A575" s="18"/>
      <c r="B575" s="24"/>
      <c r="C575" s="18"/>
      <c r="D575" s="18"/>
      <c r="E575" s="18"/>
      <c r="F575" s="18"/>
      <c r="G575" s="22"/>
      <c r="H575" s="22"/>
      <c r="I575" s="22"/>
      <c r="J575" s="18"/>
    </row>
    <row r="576">
      <c r="A576" s="18"/>
      <c r="B576" s="24"/>
      <c r="C576" s="18"/>
      <c r="D576" s="18"/>
      <c r="E576" s="18"/>
      <c r="F576" s="18"/>
      <c r="G576" s="22"/>
      <c r="H576" s="22"/>
      <c r="I576" s="22"/>
      <c r="J576" s="18"/>
    </row>
    <row r="577">
      <c r="A577" s="18"/>
      <c r="B577" s="24"/>
      <c r="C577" s="18"/>
      <c r="D577" s="18"/>
      <c r="E577" s="18"/>
      <c r="F577" s="18"/>
      <c r="G577" s="22"/>
      <c r="H577" s="22"/>
      <c r="I577" s="22"/>
      <c r="J577" s="18"/>
    </row>
    <row r="578">
      <c r="A578" s="18"/>
      <c r="B578" s="24"/>
      <c r="C578" s="18"/>
      <c r="D578" s="18"/>
      <c r="E578" s="18"/>
      <c r="F578" s="18"/>
      <c r="G578" s="22"/>
      <c r="H578" s="22"/>
      <c r="I578" s="22"/>
      <c r="J578" s="18"/>
    </row>
    <row r="579">
      <c r="A579" s="18"/>
      <c r="B579" s="24"/>
      <c r="C579" s="18"/>
      <c r="D579" s="18"/>
      <c r="E579" s="18"/>
      <c r="F579" s="18"/>
      <c r="G579" s="22"/>
      <c r="H579" s="22"/>
      <c r="I579" s="22"/>
      <c r="J579" s="18"/>
    </row>
    <row r="580">
      <c r="A580" s="18"/>
      <c r="B580" s="24"/>
      <c r="C580" s="18"/>
      <c r="D580" s="18"/>
      <c r="E580" s="18"/>
      <c r="F580" s="18"/>
      <c r="G580" s="22"/>
      <c r="H580" s="22"/>
      <c r="I580" s="22"/>
      <c r="J580" s="18"/>
    </row>
    <row r="581">
      <c r="A581" s="18"/>
      <c r="B581" s="24"/>
      <c r="C581" s="18"/>
      <c r="D581" s="18"/>
      <c r="E581" s="18"/>
      <c r="F581" s="18"/>
      <c r="G581" s="22"/>
      <c r="H581" s="22"/>
      <c r="I581" s="22"/>
      <c r="J581" s="18"/>
    </row>
    <row r="582">
      <c r="A582" s="18"/>
      <c r="B582" s="24"/>
      <c r="C582" s="18"/>
      <c r="D582" s="18"/>
      <c r="E582" s="18"/>
      <c r="F582" s="18"/>
      <c r="G582" s="22"/>
      <c r="H582" s="22"/>
      <c r="I582" s="22"/>
      <c r="J582" s="18"/>
    </row>
    <row r="583">
      <c r="A583" s="18"/>
      <c r="B583" s="24"/>
      <c r="C583" s="18"/>
      <c r="D583" s="18"/>
      <c r="E583" s="18"/>
      <c r="F583" s="18"/>
      <c r="G583" s="22"/>
      <c r="H583" s="22"/>
      <c r="I583" s="22"/>
      <c r="J583" s="18"/>
    </row>
    <row r="584">
      <c r="A584" s="18"/>
      <c r="B584" s="24"/>
      <c r="C584" s="18"/>
      <c r="D584" s="18"/>
      <c r="E584" s="18"/>
      <c r="F584" s="18"/>
      <c r="G584" s="22"/>
      <c r="H584" s="22"/>
      <c r="I584" s="22"/>
      <c r="J584" s="18"/>
    </row>
    <row r="585">
      <c r="A585" s="18"/>
      <c r="B585" s="24"/>
      <c r="C585" s="18"/>
      <c r="D585" s="18"/>
      <c r="E585" s="18"/>
      <c r="F585" s="18"/>
      <c r="G585" s="22"/>
      <c r="H585" s="22"/>
      <c r="I585" s="22"/>
      <c r="J585" s="18"/>
    </row>
    <row r="586">
      <c r="A586" s="18"/>
      <c r="B586" s="24"/>
      <c r="C586" s="18"/>
      <c r="D586" s="18"/>
      <c r="E586" s="18"/>
      <c r="F586" s="18"/>
      <c r="G586" s="22"/>
      <c r="H586" s="22"/>
      <c r="I586" s="22"/>
      <c r="J586" s="18"/>
    </row>
    <row r="587">
      <c r="A587" s="18"/>
      <c r="B587" s="24"/>
      <c r="C587" s="18"/>
      <c r="D587" s="18"/>
      <c r="E587" s="18"/>
      <c r="F587" s="18"/>
      <c r="G587" s="22"/>
      <c r="H587" s="22"/>
      <c r="I587" s="22"/>
      <c r="J587" s="18"/>
    </row>
    <row r="588">
      <c r="A588" s="18"/>
      <c r="B588" s="24"/>
      <c r="C588" s="18"/>
      <c r="D588" s="18"/>
      <c r="E588" s="18"/>
      <c r="F588" s="18"/>
      <c r="G588" s="22"/>
      <c r="H588" s="22"/>
      <c r="I588" s="22"/>
      <c r="J588" s="18"/>
    </row>
    <row r="589">
      <c r="A589" s="18"/>
      <c r="B589" s="24"/>
      <c r="C589" s="18"/>
      <c r="D589" s="18"/>
      <c r="E589" s="18"/>
      <c r="F589" s="18"/>
      <c r="G589" s="22"/>
      <c r="H589" s="22"/>
      <c r="I589" s="22"/>
      <c r="J589" s="18"/>
    </row>
    <row r="590">
      <c r="A590" s="18"/>
      <c r="B590" s="24"/>
      <c r="C590" s="18"/>
      <c r="D590" s="18"/>
      <c r="E590" s="18"/>
      <c r="F590" s="18"/>
      <c r="G590" s="22"/>
      <c r="H590" s="22"/>
      <c r="I590" s="22"/>
      <c r="J590" s="18"/>
    </row>
    <row r="591">
      <c r="A591" s="18"/>
      <c r="B591" s="24"/>
      <c r="C591" s="18"/>
      <c r="D591" s="18"/>
      <c r="E591" s="18"/>
      <c r="F591" s="18"/>
      <c r="G591" s="22"/>
      <c r="H591" s="22"/>
      <c r="I591" s="22"/>
      <c r="J591" s="18"/>
    </row>
    <row r="592">
      <c r="A592" s="18"/>
      <c r="B592" s="24"/>
      <c r="C592" s="18"/>
      <c r="D592" s="18"/>
      <c r="E592" s="18"/>
      <c r="F592" s="18"/>
      <c r="G592" s="22"/>
      <c r="H592" s="22"/>
      <c r="I592" s="22"/>
      <c r="J592" s="18"/>
    </row>
    <row r="593">
      <c r="A593" s="18"/>
      <c r="B593" s="24"/>
      <c r="C593" s="18"/>
      <c r="D593" s="18"/>
      <c r="E593" s="18"/>
      <c r="F593" s="18"/>
      <c r="G593" s="22"/>
      <c r="H593" s="22"/>
      <c r="I593" s="22"/>
      <c r="J593" s="18"/>
    </row>
    <row r="594">
      <c r="A594" s="18"/>
      <c r="B594" s="24"/>
      <c r="C594" s="18"/>
      <c r="D594" s="18"/>
      <c r="E594" s="18"/>
      <c r="F594" s="18"/>
      <c r="G594" s="22"/>
      <c r="H594" s="22"/>
      <c r="I594" s="22"/>
      <c r="J594" s="18"/>
    </row>
    <row r="595">
      <c r="A595" s="18"/>
      <c r="B595" s="24"/>
      <c r="C595" s="18"/>
      <c r="D595" s="18"/>
      <c r="E595" s="18"/>
      <c r="F595" s="18"/>
      <c r="G595" s="22"/>
      <c r="H595" s="22"/>
      <c r="I595" s="22"/>
      <c r="J595" s="18"/>
    </row>
    <row r="596">
      <c r="A596" s="18"/>
      <c r="B596" s="24"/>
      <c r="C596" s="18"/>
      <c r="D596" s="18"/>
      <c r="E596" s="18"/>
      <c r="F596" s="18"/>
      <c r="G596" s="22"/>
      <c r="H596" s="22"/>
      <c r="I596" s="22"/>
      <c r="J596" s="18"/>
    </row>
    <row r="597">
      <c r="A597" s="18"/>
      <c r="B597" s="24"/>
      <c r="C597" s="18"/>
      <c r="D597" s="18"/>
      <c r="E597" s="18"/>
      <c r="F597" s="18"/>
      <c r="G597" s="22"/>
      <c r="H597" s="22"/>
      <c r="I597" s="22"/>
      <c r="J597" s="18"/>
    </row>
    <row r="598">
      <c r="A598" s="18"/>
      <c r="B598" s="24"/>
      <c r="C598" s="18"/>
      <c r="D598" s="18"/>
      <c r="E598" s="18"/>
      <c r="F598" s="18"/>
      <c r="G598" s="22"/>
      <c r="H598" s="22"/>
      <c r="I598" s="22"/>
      <c r="J598" s="18"/>
    </row>
    <row r="599">
      <c r="A599" s="18"/>
      <c r="B599" s="24"/>
      <c r="C599" s="18"/>
      <c r="D599" s="18"/>
      <c r="E599" s="18"/>
      <c r="F599" s="18"/>
      <c r="G599" s="22"/>
      <c r="H599" s="22"/>
      <c r="I599" s="22"/>
      <c r="J599" s="18"/>
    </row>
    <row r="600">
      <c r="A600" s="18"/>
      <c r="B600" s="24"/>
      <c r="C600" s="18"/>
      <c r="D600" s="18"/>
      <c r="E600" s="18"/>
      <c r="F600" s="18"/>
      <c r="G600" s="22"/>
      <c r="H600" s="22"/>
      <c r="I600" s="22"/>
      <c r="J600" s="18"/>
    </row>
    <row r="601">
      <c r="A601" s="18"/>
      <c r="B601" s="24"/>
      <c r="C601" s="18"/>
      <c r="D601" s="18"/>
      <c r="E601" s="18"/>
      <c r="F601" s="18"/>
      <c r="G601" s="22"/>
      <c r="H601" s="22"/>
      <c r="I601" s="22"/>
      <c r="J601" s="18"/>
    </row>
    <row r="602">
      <c r="A602" s="18"/>
      <c r="B602" s="24"/>
      <c r="C602" s="18"/>
      <c r="D602" s="18"/>
      <c r="E602" s="18"/>
      <c r="F602" s="18"/>
      <c r="G602" s="22"/>
      <c r="H602" s="22"/>
      <c r="I602" s="22"/>
      <c r="J602" s="18"/>
    </row>
    <row r="603">
      <c r="A603" s="18"/>
      <c r="B603" s="24"/>
      <c r="C603" s="18"/>
      <c r="D603" s="18"/>
      <c r="E603" s="18"/>
      <c r="F603" s="18"/>
      <c r="G603" s="22"/>
      <c r="H603" s="22"/>
      <c r="I603" s="22"/>
      <c r="J603" s="18"/>
    </row>
    <row r="604">
      <c r="A604" s="18"/>
      <c r="B604" s="24"/>
      <c r="C604" s="18"/>
      <c r="D604" s="18"/>
      <c r="E604" s="18"/>
      <c r="F604" s="18"/>
      <c r="G604" s="22"/>
      <c r="H604" s="22"/>
      <c r="I604" s="22"/>
      <c r="J604" s="18"/>
    </row>
    <row r="605">
      <c r="A605" s="18"/>
      <c r="B605" s="24"/>
      <c r="C605" s="18"/>
      <c r="D605" s="18"/>
      <c r="E605" s="18"/>
      <c r="F605" s="18"/>
      <c r="G605" s="22"/>
      <c r="H605" s="22"/>
      <c r="I605" s="22"/>
      <c r="J605" s="18"/>
    </row>
    <row r="606">
      <c r="A606" s="18"/>
      <c r="B606" s="24"/>
      <c r="C606" s="18"/>
      <c r="D606" s="18"/>
      <c r="E606" s="18"/>
      <c r="F606" s="18"/>
      <c r="G606" s="22"/>
      <c r="H606" s="22"/>
      <c r="I606" s="22"/>
      <c r="J606" s="18"/>
    </row>
    <row r="607">
      <c r="A607" s="18"/>
      <c r="B607" s="24"/>
      <c r="C607" s="18"/>
      <c r="D607" s="18"/>
      <c r="E607" s="18"/>
      <c r="F607" s="18"/>
      <c r="G607" s="22"/>
      <c r="H607" s="22"/>
      <c r="I607" s="22"/>
      <c r="J607" s="18"/>
    </row>
    <row r="608">
      <c r="A608" s="18"/>
      <c r="B608" s="24"/>
      <c r="C608" s="18"/>
      <c r="D608" s="18"/>
      <c r="E608" s="18"/>
      <c r="F608" s="18"/>
      <c r="G608" s="22"/>
      <c r="H608" s="22"/>
      <c r="I608" s="22"/>
      <c r="J608" s="18"/>
    </row>
    <row r="609">
      <c r="A609" s="18"/>
      <c r="B609" s="24"/>
      <c r="C609" s="18"/>
      <c r="D609" s="18"/>
      <c r="E609" s="18"/>
      <c r="F609" s="18"/>
      <c r="G609" s="22"/>
      <c r="H609" s="22"/>
      <c r="I609" s="22"/>
      <c r="J609" s="18"/>
    </row>
    <row r="610">
      <c r="A610" s="18"/>
      <c r="B610" s="24"/>
      <c r="C610" s="18"/>
      <c r="D610" s="18"/>
      <c r="E610" s="18"/>
      <c r="F610" s="18"/>
      <c r="G610" s="22"/>
      <c r="H610" s="22"/>
      <c r="I610" s="22"/>
      <c r="J610" s="18"/>
    </row>
    <row r="611">
      <c r="A611" s="18"/>
      <c r="B611" s="24"/>
      <c r="C611" s="18"/>
      <c r="D611" s="18"/>
      <c r="E611" s="18"/>
      <c r="F611" s="18"/>
      <c r="G611" s="22"/>
      <c r="H611" s="22"/>
      <c r="I611" s="22"/>
      <c r="J611" s="18"/>
    </row>
    <row r="612">
      <c r="A612" s="18"/>
      <c r="B612" s="24"/>
      <c r="C612" s="18"/>
      <c r="D612" s="18"/>
      <c r="E612" s="18"/>
      <c r="F612" s="18"/>
      <c r="G612" s="22"/>
      <c r="H612" s="22"/>
      <c r="I612" s="22"/>
      <c r="J612" s="18"/>
    </row>
    <row r="613">
      <c r="A613" s="18"/>
      <c r="B613" s="24"/>
      <c r="C613" s="18"/>
      <c r="D613" s="18"/>
      <c r="E613" s="18"/>
      <c r="F613" s="18"/>
      <c r="G613" s="22"/>
      <c r="H613" s="22"/>
      <c r="I613" s="22"/>
      <c r="J613" s="18"/>
    </row>
    <row r="614">
      <c r="A614" s="18"/>
      <c r="B614" s="24"/>
      <c r="C614" s="18"/>
      <c r="D614" s="18"/>
      <c r="E614" s="18"/>
      <c r="F614" s="18"/>
      <c r="G614" s="22"/>
      <c r="H614" s="22"/>
      <c r="I614" s="22"/>
      <c r="J614" s="18"/>
    </row>
    <row r="615">
      <c r="A615" s="18"/>
      <c r="B615" s="24"/>
      <c r="C615" s="18"/>
      <c r="D615" s="18"/>
      <c r="E615" s="18"/>
      <c r="F615" s="18"/>
      <c r="G615" s="22"/>
      <c r="H615" s="22"/>
      <c r="I615" s="22"/>
      <c r="J615" s="18"/>
    </row>
    <row r="616">
      <c r="A616" s="18"/>
      <c r="B616" s="24"/>
      <c r="C616" s="18"/>
      <c r="D616" s="18"/>
      <c r="E616" s="18"/>
      <c r="F616" s="18"/>
      <c r="G616" s="22"/>
      <c r="H616" s="22"/>
      <c r="I616" s="22"/>
      <c r="J616" s="18"/>
    </row>
    <row r="617">
      <c r="A617" s="18"/>
      <c r="B617" s="24"/>
      <c r="C617" s="18"/>
      <c r="D617" s="18"/>
      <c r="E617" s="18"/>
      <c r="F617" s="18"/>
      <c r="G617" s="22"/>
      <c r="H617" s="22"/>
      <c r="I617" s="22"/>
      <c r="J617" s="18"/>
    </row>
    <row r="618">
      <c r="A618" s="18"/>
      <c r="B618" s="24"/>
      <c r="C618" s="18"/>
      <c r="D618" s="18"/>
      <c r="E618" s="18"/>
      <c r="F618" s="18"/>
      <c r="G618" s="22"/>
      <c r="H618" s="22"/>
      <c r="I618" s="22"/>
      <c r="J618" s="18"/>
    </row>
    <row r="619">
      <c r="A619" s="18"/>
      <c r="B619" s="24"/>
      <c r="C619" s="18"/>
      <c r="D619" s="18"/>
      <c r="E619" s="18"/>
      <c r="F619" s="18"/>
      <c r="G619" s="22"/>
      <c r="H619" s="22"/>
      <c r="I619" s="22"/>
      <c r="J619" s="18"/>
    </row>
    <row r="620">
      <c r="A620" s="18"/>
      <c r="B620" s="24"/>
      <c r="C620" s="18"/>
      <c r="D620" s="18"/>
      <c r="E620" s="18"/>
      <c r="F620" s="18"/>
      <c r="G620" s="22"/>
      <c r="H620" s="22"/>
      <c r="I620" s="22"/>
      <c r="J620" s="18"/>
    </row>
    <row r="621">
      <c r="A621" s="18"/>
      <c r="B621" s="24"/>
      <c r="C621" s="18"/>
      <c r="D621" s="18"/>
      <c r="E621" s="18"/>
      <c r="F621" s="18"/>
      <c r="G621" s="22"/>
      <c r="H621" s="22"/>
      <c r="I621" s="22"/>
      <c r="J621" s="18"/>
    </row>
    <row r="622">
      <c r="A622" s="18"/>
      <c r="B622" s="24"/>
      <c r="C622" s="18"/>
      <c r="D622" s="18"/>
      <c r="E622" s="18"/>
      <c r="F622" s="18"/>
      <c r="G622" s="22"/>
      <c r="H622" s="22"/>
      <c r="I622" s="22"/>
      <c r="J622" s="18"/>
    </row>
    <row r="623">
      <c r="A623" s="18"/>
      <c r="B623" s="24"/>
      <c r="C623" s="18"/>
      <c r="D623" s="18"/>
      <c r="E623" s="18"/>
      <c r="F623" s="18"/>
      <c r="G623" s="22"/>
      <c r="H623" s="22"/>
      <c r="I623" s="22"/>
      <c r="J623" s="18"/>
    </row>
    <row r="624">
      <c r="A624" s="18"/>
      <c r="B624" s="24"/>
      <c r="C624" s="18"/>
      <c r="D624" s="18"/>
      <c r="E624" s="18"/>
      <c r="F624" s="18"/>
      <c r="G624" s="22"/>
      <c r="H624" s="22"/>
      <c r="I624" s="22"/>
      <c r="J624" s="18"/>
    </row>
    <row r="625">
      <c r="A625" s="18"/>
      <c r="B625" s="24"/>
      <c r="C625" s="18"/>
      <c r="D625" s="18"/>
      <c r="E625" s="18"/>
      <c r="F625" s="18"/>
      <c r="G625" s="22"/>
      <c r="H625" s="22"/>
      <c r="I625" s="22"/>
      <c r="J625" s="18"/>
    </row>
    <row r="626">
      <c r="A626" s="18"/>
      <c r="B626" s="24"/>
      <c r="C626" s="18"/>
      <c r="D626" s="18"/>
      <c r="E626" s="18"/>
      <c r="F626" s="18"/>
      <c r="G626" s="22"/>
      <c r="H626" s="22"/>
      <c r="I626" s="22"/>
      <c r="J626" s="18"/>
    </row>
    <row r="627">
      <c r="A627" s="18"/>
      <c r="B627" s="24"/>
      <c r="C627" s="18"/>
      <c r="D627" s="18"/>
      <c r="E627" s="18"/>
      <c r="F627" s="18"/>
      <c r="G627" s="22"/>
      <c r="H627" s="22"/>
      <c r="I627" s="22"/>
      <c r="J627" s="18"/>
    </row>
    <row r="628">
      <c r="A628" s="18"/>
      <c r="B628" s="24"/>
      <c r="C628" s="18"/>
      <c r="D628" s="18"/>
      <c r="E628" s="18"/>
      <c r="F628" s="18"/>
      <c r="G628" s="22"/>
      <c r="H628" s="22"/>
      <c r="I628" s="22"/>
      <c r="J628" s="18"/>
    </row>
    <row r="629">
      <c r="A629" s="18"/>
      <c r="B629" s="24"/>
      <c r="C629" s="18"/>
      <c r="D629" s="18"/>
      <c r="E629" s="18"/>
      <c r="F629" s="18"/>
      <c r="G629" s="22"/>
      <c r="H629" s="22"/>
      <c r="I629" s="22"/>
      <c r="J629" s="18"/>
    </row>
    <row r="630">
      <c r="A630" s="18"/>
      <c r="B630" s="24"/>
      <c r="C630" s="18"/>
      <c r="D630" s="18"/>
      <c r="E630" s="18"/>
      <c r="F630" s="18"/>
      <c r="G630" s="22"/>
      <c r="H630" s="22"/>
      <c r="I630" s="22"/>
      <c r="J630" s="18"/>
    </row>
    <row r="631">
      <c r="A631" s="18"/>
      <c r="B631" s="24"/>
      <c r="C631" s="18"/>
      <c r="D631" s="18"/>
      <c r="E631" s="18"/>
      <c r="F631" s="18"/>
      <c r="G631" s="22"/>
      <c r="H631" s="22"/>
      <c r="I631" s="22"/>
      <c r="J631" s="18"/>
    </row>
    <row r="632">
      <c r="A632" s="18"/>
      <c r="B632" s="24"/>
      <c r="C632" s="18"/>
      <c r="D632" s="18"/>
      <c r="E632" s="18"/>
      <c r="F632" s="18"/>
      <c r="G632" s="22"/>
      <c r="H632" s="22"/>
      <c r="I632" s="22"/>
      <c r="J632" s="18"/>
    </row>
    <row r="633">
      <c r="A633" s="18"/>
      <c r="B633" s="24"/>
      <c r="C633" s="18"/>
      <c r="D633" s="18"/>
      <c r="E633" s="18"/>
      <c r="F633" s="18"/>
      <c r="G633" s="22"/>
      <c r="H633" s="22"/>
      <c r="I633" s="22"/>
      <c r="J633" s="18"/>
    </row>
    <row r="634">
      <c r="A634" s="18"/>
      <c r="B634" s="24"/>
      <c r="C634" s="18"/>
      <c r="D634" s="18"/>
      <c r="E634" s="18"/>
      <c r="F634" s="18"/>
      <c r="G634" s="22"/>
      <c r="H634" s="22"/>
      <c r="I634" s="22"/>
      <c r="J634" s="18"/>
    </row>
    <row r="635">
      <c r="A635" s="18"/>
      <c r="B635" s="24"/>
      <c r="C635" s="18"/>
      <c r="D635" s="18"/>
      <c r="E635" s="18"/>
      <c r="F635" s="18"/>
      <c r="G635" s="22"/>
      <c r="H635" s="22"/>
      <c r="I635" s="22"/>
      <c r="J635" s="18"/>
    </row>
    <row r="636">
      <c r="A636" s="18"/>
      <c r="B636" s="24"/>
      <c r="C636" s="18"/>
      <c r="D636" s="18"/>
      <c r="E636" s="18"/>
      <c r="F636" s="18"/>
      <c r="G636" s="22"/>
      <c r="H636" s="22"/>
      <c r="I636" s="22"/>
      <c r="J636" s="18"/>
    </row>
    <row r="637">
      <c r="A637" s="18"/>
      <c r="B637" s="24"/>
      <c r="C637" s="18"/>
      <c r="D637" s="18"/>
      <c r="E637" s="18"/>
      <c r="F637" s="18"/>
      <c r="G637" s="22"/>
      <c r="H637" s="22"/>
      <c r="I637" s="22"/>
      <c r="J637" s="18"/>
    </row>
    <row r="638">
      <c r="A638" s="18"/>
      <c r="B638" s="24"/>
      <c r="C638" s="18"/>
      <c r="D638" s="18"/>
      <c r="E638" s="18"/>
      <c r="F638" s="18"/>
      <c r="G638" s="22"/>
      <c r="H638" s="22"/>
      <c r="I638" s="22"/>
      <c r="J638" s="18"/>
    </row>
    <row r="639">
      <c r="A639" s="18"/>
      <c r="B639" s="24"/>
      <c r="C639" s="18"/>
      <c r="D639" s="18"/>
      <c r="E639" s="18"/>
      <c r="F639" s="18"/>
      <c r="G639" s="22"/>
      <c r="H639" s="22"/>
      <c r="I639" s="22"/>
      <c r="J639" s="18"/>
    </row>
    <row r="640">
      <c r="A640" s="18"/>
      <c r="B640" s="24"/>
      <c r="C640" s="18"/>
      <c r="D640" s="18"/>
      <c r="E640" s="18"/>
      <c r="F640" s="18"/>
      <c r="G640" s="22"/>
      <c r="H640" s="22"/>
      <c r="I640" s="22"/>
      <c r="J640" s="18"/>
    </row>
    <row r="641">
      <c r="A641" s="18"/>
      <c r="B641" s="24"/>
      <c r="C641" s="18"/>
      <c r="D641" s="18"/>
      <c r="E641" s="18"/>
      <c r="F641" s="18"/>
      <c r="G641" s="22"/>
      <c r="H641" s="22"/>
      <c r="I641" s="22"/>
      <c r="J641" s="18"/>
    </row>
    <row r="642">
      <c r="A642" s="18"/>
      <c r="B642" s="24"/>
      <c r="C642" s="18"/>
      <c r="D642" s="18"/>
      <c r="E642" s="18"/>
      <c r="F642" s="18"/>
      <c r="G642" s="22"/>
      <c r="H642" s="22"/>
      <c r="I642" s="22"/>
      <c r="J642" s="18"/>
    </row>
    <row r="643">
      <c r="A643" s="18"/>
      <c r="B643" s="24"/>
      <c r="C643" s="18"/>
      <c r="D643" s="18"/>
      <c r="E643" s="18"/>
      <c r="F643" s="18"/>
      <c r="G643" s="22"/>
      <c r="H643" s="22"/>
      <c r="I643" s="22"/>
      <c r="J643" s="18"/>
    </row>
    <row r="644">
      <c r="A644" s="18"/>
      <c r="B644" s="24"/>
      <c r="C644" s="18"/>
      <c r="D644" s="18"/>
      <c r="E644" s="18"/>
      <c r="F644" s="18"/>
      <c r="G644" s="22"/>
      <c r="H644" s="22"/>
      <c r="I644" s="22"/>
      <c r="J644" s="18"/>
    </row>
    <row r="645">
      <c r="A645" s="18"/>
      <c r="B645" s="24"/>
      <c r="C645" s="18"/>
      <c r="D645" s="18"/>
      <c r="E645" s="18"/>
      <c r="F645" s="18"/>
      <c r="G645" s="22"/>
      <c r="H645" s="22"/>
      <c r="I645" s="22"/>
      <c r="J645" s="18"/>
    </row>
    <row r="646">
      <c r="A646" s="18"/>
      <c r="B646" s="24"/>
      <c r="C646" s="18"/>
      <c r="D646" s="18"/>
      <c r="E646" s="18"/>
      <c r="F646" s="18"/>
      <c r="G646" s="22"/>
      <c r="H646" s="22"/>
      <c r="I646" s="22"/>
      <c r="J646" s="18"/>
    </row>
    <row r="647">
      <c r="A647" s="18"/>
      <c r="B647" s="24"/>
      <c r="C647" s="18"/>
      <c r="D647" s="18"/>
      <c r="E647" s="18"/>
      <c r="F647" s="18"/>
      <c r="G647" s="22"/>
      <c r="H647" s="22"/>
      <c r="I647" s="22"/>
      <c r="J647" s="18"/>
    </row>
    <row r="648">
      <c r="A648" s="18"/>
      <c r="B648" s="24"/>
      <c r="C648" s="18"/>
      <c r="D648" s="18"/>
      <c r="E648" s="18"/>
      <c r="F648" s="18"/>
      <c r="G648" s="22"/>
      <c r="H648" s="22"/>
      <c r="I648" s="22"/>
      <c r="J648" s="18"/>
    </row>
    <row r="649">
      <c r="A649" s="18"/>
      <c r="B649" s="24"/>
      <c r="C649" s="18"/>
      <c r="D649" s="18"/>
      <c r="E649" s="18"/>
      <c r="F649" s="18"/>
      <c r="G649" s="22"/>
      <c r="H649" s="22"/>
      <c r="I649" s="22"/>
      <c r="J649" s="18"/>
    </row>
    <row r="650">
      <c r="A650" s="18"/>
      <c r="B650" s="24"/>
      <c r="C650" s="18"/>
      <c r="D650" s="18"/>
      <c r="E650" s="18"/>
      <c r="F650" s="18"/>
      <c r="G650" s="22"/>
      <c r="H650" s="22"/>
      <c r="I650" s="22"/>
      <c r="J650" s="18"/>
    </row>
    <row r="651">
      <c r="A651" s="18"/>
      <c r="B651" s="24"/>
      <c r="C651" s="18"/>
      <c r="D651" s="18"/>
      <c r="E651" s="18"/>
      <c r="F651" s="18"/>
      <c r="G651" s="22"/>
      <c r="H651" s="22"/>
      <c r="I651" s="22"/>
      <c r="J651" s="18"/>
    </row>
    <row r="652">
      <c r="A652" s="18"/>
      <c r="B652" s="24"/>
      <c r="C652" s="18"/>
      <c r="D652" s="18"/>
      <c r="E652" s="18"/>
      <c r="F652" s="18"/>
      <c r="G652" s="22"/>
      <c r="H652" s="22"/>
      <c r="I652" s="22"/>
      <c r="J652" s="18"/>
    </row>
    <row r="653">
      <c r="A653" s="18"/>
      <c r="B653" s="24"/>
      <c r="C653" s="18"/>
      <c r="D653" s="18"/>
      <c r="E653" s="18"/>
      <c r="F653" s="18"/>
      <c r="G653" s="22"/>
      <c r="H653" s="22"/>
      <c r="I653" s="22"/>
      <c r="J653" s="18"/>
    </row>
    <row r="654">
      <c r="A654" s="18"/>
      <c r="B654" s="24"/>
      <c r="C654" s="18"/>
      <c r="D654" s="18"/>
      <c r="E654" s="18"/>
      <c r="F654" s="18"/>
      <c r="G654" s="22"/>
      <c r="H654" s="22"/>
      <c r="I654" s="22"/>
      <c r="J654" s="18"/>
    </row>
    <row r="655">
      <c r="A655" s="18"/>
      <c r="B655" s="24"/>
      <c r="C655" s="18"/>
      <c r="D655" s="18"/>
      <c r="E655" s="18"/>
      <c r="F655" s="18"/>
      <c r="G655" s="22"/>
      <c r="H655" s="22"/>
      <c r="I655" s="22"/>
      <c r="J655" s="18"/>
    </row>
    <row r="656">
      <c r="A656" s="18"/>
      <c r="B656" s="24"/>
      <c r="C656" s="18"/>
      <c r="D656" s="18"/>
      <c r="E656" s="18"/>
      <c r="F656" s="18"/>
      <c r="G656" s="22"/>
      <c r="H656" s="22"/>
      <c r="I656" s="22"/>
      <c r="J656" s="18"/>
    </row>
    <row r="657">
      <c r="A657" s="18"/>
      <c r="B657" s="24"/>
      <c r="C657" s="18"/>
      <c r="D657" s="18"/>
      <c r="E657" s="18"/>
      <c r="F657" s="18"/>
      <c r="G657" s="22"/>
      <c r="H657" s="22"/>
      <c r="I657" s="22"/>
      <c r="J657" s="18"/>
    </row>
    <row r="658">
      <c r="A658" s="18"/>
      <c r="B658" s="24"/>
      <c r="C658" s="18"/>
      <c r="D658" s="18"/>
      <c r="E658" s="18"/>
      <c r="F658" s="18"/>
      <c r="G658" s="22"/>
      <c r="H658" s="22"/>
      <c r="I658" s="22"/>
      <c r="J658" s="18"/>
    </row>
    <row r="659">
      <c r="A659" s="18"/>
      <c r="B659" s="24"/>
      <c r="C659" s="18"/>
      <c r="D659" s="18"/>
      <c r="E659" s="18"/>
      <c r="F659" s="18"/>
      <c r="G659" s="22"/>
      <c r="H659" s="22"/>
      <c r="I659" s="22"/>
      <c r="J659" s="18"/>
    </row>
    <row r="660">
      <c r="A660" s="18"/>
      <c r="B660" s="24"/>
      <c r="C660" s="18"/>
      <c r="D660" s="18"/>
      <c r="E660" s="18"/>
      <c r="F660" s="18"/>
      <c r="G660" s="22"/>
      <c r="H660" s="22"/>
      <c r="I660" s="22"/>
      <c r="J660" s="18"/>
    </row>
    <row r="661">
      <c r="A661" s="18"/>
      <c r="B661" s="24"/>
      <c r="C661" s="18"/>
      <c r="D661" s="18"/>
      <c r="E661" s="18"/>
      <c r="F661" s="18"/>
      <c r="G661" s="22"/>
      <c r="H661" s="22"/>
      <c r="I661" s="22"/>
      <c r="J661" s="18"/>
    </row>
    <row r="662">
      <c r="A662" s="18"/>
      <c r="B662" s="24"/>
      <c r="C662" s="18"/>
      <c r="D662" s="18"/>
      <c r="E662" s="18"/>
      <c r="F662" s="18"/>
      <c r="G662" s="22"/>
      <c r="H662" s="22"/>
      <c r="I662" s="22"/>
      <c r="J662" s="18"/>
    </row>
    <row r="663">
      <c r="A663" s="18"/>
      <c r="B663" s="24"/>
      <c r="C663" s="18"/>
      <c r="D663" s="18"/>
      <c r="E663" s="18"/>
      <c r="F663" s="18"/>
      <c r="G663" s="22"/>
      <c r="H663" s="22"/>
      <c r="I663" s="22"/>
      <c r="J663" s="18"/>
    </row>
    <row r="664">
      <c r="A664" s="18"/>
      <c r="B664" s="24"/>
      <c r="C664" s="18"/>
      <c r="D664" s="18"/>
      <c r="E664" s="18"/>
      <c r="F664" s="18"/>
      <c r="G664" s="22"/>
      <c r="H664" s="22"/>
      <c r="I664" s="22"/>
      <c r="J664" s="18"/>
    </row>
    <row r="665">
      <c r="A665" s="18"/>
      <c r="B665" s="24"/>
      <c r="C665" s="18"/>
      <c r="D665" s="18"/>
      <c r="E665" s="18"/>
      <c r="F665" s="18"/>
      <c r="G665" s="22"/>
      <c r="H665" s="22"/>
      <c r="I665" s="22"/>
      <c r="J665" s="18"/>
    </row>
    <row r="666">
      <c r="A666" s="18"/>
      <c r="B666" s="24"/>
      <c r="C666" s="18"/>
      <c r="D666" s="18"/>
      <c r="E666" s="18"/>
      <c r="F666" s="18"/>
      <c r="G666" s="22"/>
      <c r="H666" s="22"/>
      <c r="I666" s="22"/>
      <c r="J666" s="18"/>
    </row>
    <row r="667">
      <c r="A667" s="18"/>
      <c r="B667" s="24"/>
      <c r="C667" s="18"/>
      <c r="D667" s="18"/>
      <c r="E667" s="18"/>
      <c r="F667" s="18"/>
      <c r="G667" s="22"/>
      <c r="H667" s="22"/>
      <c r="I667" s="22"/>
      <c r="J667" s="18"/>
    </row>
    <row r="668">
      <c r="A668" s="18"/>
      <c r="B668" s="24"/>
      <c r="C668" s="18"/>
      <c r="D668" s="18"/>
      <c r="E668" s="18"/>
      <c r="F668" s="18"/>
      <c r="G668" s="22"/>
      <c r="H668" s="22"/>
      <c r="I668" s="22"/>
      <c r="J668" s="18"/>
    </row>
    <row r="669">
      <c r="A669" s="18"/>
      <c r="B669" s="24"/>
      <c r="C669" s="18"/>
      <c r="D669" s="18"/>
      <c r="E669" s="18"/>
      <c r="F669" s="18"/>
      <c r="G669" s="22"/>
      <c r="H669" s="22"/>
      <c r="I669" s="22"/>
      <c r="J669" s="18"/>
    </row>
    <row r="670">
      <c r="A670" s="18"/>
      <c r="B670" s="24"/>
      <c r="C670" s="18"/>
      <c r="D670" s="18"/>
      <c r="E670" s="18"/>
      <c r="F670" s="18"/>
      <c r="G670" s="22"/>
      <c r="H670" s="22"/>
      <c r="I670" s="22"/>
      <c r="J670" s="18"/>
    </row>
    <row r="671">
      <c r="A671" s="18"/>
      <c r="B671" s="24"/>
      <c r="C671" s="18"/>
      <c r="D671" s="18"/>
      <c r="E671" s="18"/>
      <c r="F671" s="18"/>
      <c r="G671" s="22"/>
      <c r="H671" s="22"/>
      <c r="I671" s="22"/>
      <c r="J671" s="18"/>
    </row>
    <row r="672">
      <c r="A672" s="18"/>
      <c r="B672" s="24"/>
      <c r="C672" s="18"/>
      <c r="D672" s="18"/>
      <c r="E672" s="18"/>
      <c r="F672" s="18"/>
      <c r="G672" s="22"/>
      <c r="H672" s="22"/>
      <c r="I672" s="22"/>
      <c r="J672" s="18"/>
    </row>
    <row r="673">
      <c r="A673" s="18"/>
      <c r="B673" s="24"/>
      <c r="C673" s="18"/>
      <c r="D673" s="18"/>
      <c r="E673" s="18"/>
      <c r="F673" s="18"/>
      <c r="G673" s="22"/>
      <c r="H673" s="22"/>
      <c r="I673" s="22"/>
      <c r="J673" s="18"/>
    </row>
    <row r="674">
      <c r="A674" s="18"/>
      <c r="B674" s="24"/>
      <c r="C674" s="18"/>
      <c r="D674" s="18"/>
      <c r="E674" s="18"/>
      <c r="F674" s="18"/>
      <c r="G674" s="22"/>
      <c r="H674" s="22"/>
      <c r="I674" s="22"/>
      <c r="J674" s="18"/>
    </row>
    <row r="675">
      <c r="A675" s="18"/>
      <c r="B675" s="24"/>
      <c r="C675" s="18"/>
      <c r="D675" s="18"/>
      <c r="E675" s="18"/>
      <c r="F675" s="18"/>
      <c r="G675" s="22"/>
      <c r="H675" s="22"/>
      <c r="I675" s="22"/>
      <c r="J675" s="18"/>
    </row>
    <row r="676">
      <c r="A676" s="18"/>
      <c r="B676" s="24"/>
      <c r="C676" s="18"/>
      <c r="D676" s="18"/>
      <c r="E676" s="18"/>
      <c r="F676" s="18"/>
      <c r="G676" s="22"/>
      <c r="H676" s="22"/>
      <c r="I676" s="22"/>
      <c r="J676" s="18"/>
    </row>
    <row r="677">
      <c r="A677" s="18"/>
      <c r="B677" s="24"/>
      <c r="C677" s="18"/>
      <c r="D677" s="18"/>
      <c r="E677" s="18"/>
      <c r="F677" s="18"/>
      <c r="G677" s="22"/>
      <c r="H677" s="22"/>
      <c r="I677" s="22"/>
      <c r="J677" s="18"/>
    </row>
    <row r="678">
      <c r="A678" s="18"/>
      <c r="B678" s="24"/>
      <c r="C678" s="18"/>
      <c r="D678" s="18"/>
      <c r="E678" s="18"/>
      <c r="F678" s="18"/>
      <c r="G678" s="22"/>
      <c r="H678" s="22"/>
      <c r="I678" s="22"/>
      <c r="J678" s="18"/>
    </row>
    <row r="679">
      <c r="A679" s="18"/>
      <c r="B679" s="24"/>
      <c r="C679" s="18"/>
      <c r="D679" s="18"/>
      <c r="E679" s="18"/>
      <c r="F679" s="18"/>
      <c r="G679" s="22"/>
      <c r="H679" s="22"/>
      <c r="I679" s="22"/>
      <c r="J679" s="18"/>
    </row>
    <row r="680">
      <c r="A680" s="18"/>
      <c r="B680" s="24"/>
      <c r="C680" s="18"/>
      <c r="D680" s="18"/>
      <c r="E680" s="18"/>
      <c r="F680" s="18"/>
      <c r="G680" s="22"/>
      <c r="H680" s="22"/>
      <c r="I680" s="22"/>
      <c r="J680" s="18"/>
    </row>
    <row r="681">
      <c r="A681" s="18"/>
      <c r="B681" s="24"/>
      <c r="C681" s="18"/>
      <c r="D681" s="18"/>
      <c r="E681" s="18"/>
      <c r="F681" s="18"/>
      <c r="G681" s="22"/>
      <c r="H681" s="22"/>
      <c r="I681" s="22"/>
      <c r="J681" s="18"/>
    </row>
    <row r="682">
      <c r="A682" s="18"/>
      <c r="B682" s="24"/>
      <c r="C682" s="18"/>
      <c r="D682" s="18"/>
      <c r="E682" s="18"/>
      <c r="F682" s="18"/>
      <c r="G682" s="22"/>
      <c r="H682" s="22"/>
      <c r="I682" s="22"/>
      <c r="J682" s="18"/>
    </row>
    <row r="683">
      <c r="A683" s="18"/>
      <c r="B683" s="24"/>
      <c r="C683" s="18"/>
      <c r="D683" s="18"/>
      <c r="E683" s="18"/>
      <c r="F683" s="18"/>
      <c r="G683" s="22"/>
      <c r="H683" s="22"/>
      <c r="I683" s="22"/>
      <c r="J683" s="18"/>
    </row>
    <row r="684">
      <c r="A684" s="18"/>
      <c r="B684" s="24"/>
      <c r="C684" s="18"/>
      <c r="D684" s="18"/>
      <c r="E684" s="18"/>
      <c r="F684" s="18"/>
      <c r="G684" s="22"/>
      <c r="H684" s="22"/>
      <c r="I684" s="22"/>
      <c r="J684" s="18"/>
    </row>
    <row r="685">
      <c r="A685" s="18"/>
      <c r="B685" s="24"/>
      <c r="C685" s="18"/>
      <c r="D685" s="18"/>
      <c r="E685" s="18"/>
      <c r="F685" s="18"/>
      <c r="G685" s="22"/>
      <c r="H685" s="22"/>
      <c r="I685" s="22"/>
      <c r="J685" s="18"/>
    </row>
    <row r="686">
      <c r="A686" s="18"/>
      <c r="B686" s="24"/>
      <c r="C686" s="18"/>
      <c r="D686" s="18"/>
      <c r="E686" s="18"/>
      <c r="F686" s="18"/>
      <c r="G686" s="22"/>
      <c r="H686" s="22"/>
      <c r="I686" s="22"/>
      <c r="J686" s="18"/>
    </row>
    <row r="687">
      <c r="A687" s="18"/>
      <c r="B687" s="24"/>
      <c r="C687" s="18"/>
      <c r="D687" s="18"/>
      <c r="E687" s="18"/>
      <c r="F687" s="18"/>
      <c r="G687" s="22"/>
      <c r="H687" s="22"/>
      <c r="I687" s="22"/>
      <c r="J687" s="18"/>
    </row>
    <row r="688">
      <c r="A688" s="18"/>
      <c r="B688" s="24"/>
      <c r="C688" s="18"/>
      <c r="D688" s="18"/>
      <c r="E688" s="18"/>
      <c r="F688" s="18"/>
      <c r="G688" s="22"/>
      <c r="H688" s="22"/>
      <c r="I688" s="22"/>
      <c r="J688" s="18"/>
    </row>
    <row r="689">
      <c r="A689" s="18"/>
      <c r="B689" s="24"/>
      <c r="C689" s="18"/>
      <c r="D689" s="18"/>
      <c r="E689" s="18"/>
      <c r="F689" s="18"/>
      <c r="G689" s="22"/>
      <c r="H689" s="22"/>
      <c r="I689" s="22"/>
      <c r="J689" s="18"/>
    </row>
    <row r="690">
      <c r="A690" s="18"/>
      <c r="B690" s="24"/>
      <c r="C690" s="18"/>
      <c r="D690" s="18"/>
      <c r="E690" s="18"/>
      <c r="F690" s="18"/>
      <c r="G690" s="22"/>
      <c r="H690" s="22"/>
      <c r="I690" s="22"/>
      <c r="J690" s="18"/>
    </row>
    <row r="691">
      <c r="A691" s="18"/>
      <c r="B691" s="24"/>
      <c r="C691" s="18"/>
      <c r="D691" s="18"/>
      <c r="E691" s="18"/>
      <c r="F691" s="18"/>
      <c r="G691" s="22"/>
      <c r="H691" s="22"/>
      <c r="I691" s="22"/>
      <c r="J691" s="18"/>
    </row>
    <row r="692">
      <c r="A692" s="18"/>
      <c r="B692" s="24"/>
      <c r="C692" s="18"/>
      <c r="D692" s="18"/>
      <c r="E692" s="18"/>
      <c r="F692" s="18"/>
      <c r="G692" s="22"/>
      <c r="H692" s="22"/>
      <c r="I692" s="22"/>
      <c r="J692" s="18"/>
    </row>
    <row r="693">
      <c r="A693" s="18"/>
      <c r="B693" s="24"/>
      <c r="C693" s="18"/>
      <c r="D693" s="18"/>
      <c r="E693" s="18"/>
      <c r="F693" s="18"/>
      <c r="G693" s="22"/>
      <c r="H693" s="22"/>
      <c r="I693" s="22"/>
      <c r="J693" s="18"/>
    </row>
    <row r="694">
      <c r="A694" s="18"/>
      <c r="B694" s="24"/>
      <c r="C694" s="18"/>
      <c r="D694" s="18"/>
      <c r="E694" s="18"/>
      <c r="F694" s="18"/>
      <c r="G694" s="22"/>
      <c r="H694" s="22"/>
      <c r="I694" s="22"/>
      <c r="J694" s="18"/>
    </row>
    <row r="695">
      <c r="A695" s="18"/>
      <c r="B695" s="24"/>
      <c r="C695" s="18"/>
      <c r="D695" s="18"/>
      <c r="E695" s="18"/>
      <c r="F695" s="18"/>
      <c r="G695" s="22"/>
      <c r="H695" s="22"/>
      <c r="I695" s="22"/>
      <c r="J695" s="18"/>
    </row>
    <row r="696">
      <c r="A696" s="18"/>
      <c r="B696" s="24"/>
      <c r="C696" s="18"/>
      <c r="D696" s="18"/>
      <c r="E696" s="18"/>
      <c r="F696" s="18"/>
      <c r="G696" s="22"/>
      <c r="H696" s="22"/>
      <c r="I696" s="22"/>
      <c r="J696" s="18"/>
    </row>
    <row r="697">
      <c r="A697" s="18"/>
      <c r="B697" s="24"/>
      <c r="C697" s="18"/>
      <c r="D697" s="18"/>
      <c r="E697" s="18"/>
      <c r="F697" s="18"/>
      <c r="G697" s="22"/>
      <c r="H697" s="22"/>
      <c r="I697" s="22"/>
      <c r="J697" s="18"/>
    </row>
    <row r="698">
      <c r="A698" s="18"/>
      <c r="B698" s="24"/>
      <c r="C698" s="18"/>
      <c r="D698" s="18"/>
      <c r="E698" s="18"/>
      <c r="F698" s="18"/>
      <c r="G698" s="22"/>
      <c r="H698" s="22"/>
      <c r="I698" s="22"/>
      <c r="J698" s="18"/>
    </row>
    <row r="699">
      <c r="A699" s="18"/>
      <c r="B699" s="24"/>
      <c r="C699" s="18"/>
      <c r="D699" s="18"/>
      <c r="E699" s="18"/>
      <c r="F699" s="18"/>
      <c r="G699" s="22"/>
      <c r="H699" s="22"/>
      <c r="I699" s="22"/>
      <c r="J699" s="18"/>
    </row>
    <row r="700">
      <c r="A700" s="18"/>
      <c r="B700" s="24"/>
      <c r="C700" s="18"/>
      <c r="D700" s="18"/>
      <c r="E700" s="18"/>
      <c r="F700" s="18"/>
      <c r="G700" s="22"/>
      <c r="H700" s="22"/>
      <c r="I700" s="22"/>
      <c r="J700" s="18"/>
    </row>
    <row r="701">
      <c r="A701" s="18"/>
      <c r="B701" s="24"/>
      <c r="C701" s="18"/>
      <c r="D701" s="18"/>
      <c r="E701" s="18"/>
      <c r="F701" s="18"/>
      <c r="G701" s="22"/>
      <c r="H701" s="22"/>
      <c r="I701" s="22"/>
      <c r="J701" s="18"/>
    </row>
    <row r="702">
      <c r="A702" s="18"/>
      <c r="B702" s="24"/>
      <c r="C702" s="18"/>
      <c r="D702" s="18"/>
      <c r="E702" s="18"/>
      <c r="F702" s="18"/>
      <c r="G702" s="22"/>
      <c r="H702" s="22"/>
      <c r="I702" s="22"/>
      <c r="J702" s="18"/>
    </row>
    <row r="703">
      <c r="A703" s="18"/>
      <c r="B703" s="24"/>
      <c r="C703" s="18"/>
      <c r="D703" s="18"/>
      <c r="E703" s="18"/>
      <c r="F703" s="18"/>
      <c r="G703" s="22"/>
      <c r="H703" s="22"/>
      <c r="I703" s="22"/>
      <c r="J703" s="18"/>
    </row>
    <row r="704">
      <c r="A704" s="18"/>
      <c r="B704" s="24"/>
      <c r="C704" s="18"/>
      <c r="D704" s="18"/>
      <c r="E704" s="18"/>
      <c r="F704" s="18"/>
      <c r="G704" s="22"/>
      <c r="H704" s="22"/>
      <c r="I704" s="22"/>
      <c r="J704" s="18"/>
    </row>
    <row r="705">
      <c r="A705" s="18"/>
      <c r="B705" s="24"/>
      <c r="C705" s="18"/>
      <c r="D705" s="18"/>
      <c r="E705" s="18"/>
      <c r="F705" s="18"/>
      <c r="G705" s="22"/>
      <c r="H705" s="22"/>
      <c r="I705" s="22"/>
      <c r="J705" s="18"/>
    </row>
    <row r="706">
      <c r="A706" s="18"/>
      <c r="B706" s="24"/>
      <c r="C706" s="18"/>
      <c r="D706" s="18"/>
      <c r="E706" s="18"/>
      <c r="F706" s="18"/>
      <c r="G706" s="22"/>
      <c r="H706" s="22"/>
      <c r="I706" s="22"/>
      <c r="J706" s="18"/>
    </row>
    <row r="707">
      <c r="A707" s="18"/>
      <c r="B707" s="24"/>
      <c r="C707" s="18"/>
      <c r="D707" s="18"/>
      <c r="E707" s="18"/>
      <c r="F707" s="18"/>
      <c r="G707" s="22"/>
      <c r="H707" s="22"/>
      <c r="I707" s="22"/>
      <c r="J707" s="18"/>
    </row>
    <row r="708">
      <c r="A708" s="18"/>
      <c r="B708" s="24"/>
      <c r="C708" s="18"/>
      <c r="D708" s="18"/>
      <c r="E708" s="18"/>
      <c r="F708" s="18"/>
      <c r="G708" s="22"/>
      <c r="H708" s="22"/>
      <c r="I708" s="22"/>
      <c r="J708" s="18"/>
    </row>
    <row r="709">
      <c r="A709" s="18"/>
      <c r="B709" s="24"/>
      <c r="C709" s="18"/>
      <c r="D709" s="18"/>
      <c r="E709" s="18"/>
      <c r="F709" s="18"/>
      <c r="G709" s="22"/>
      <c r="H709" s="22"/>
      <c r="I709" s="22"/>
      <c r="J709" s="18"/>
    </row>
    <row r="710">
      <c r="A710" s="18"/>
      <c r="B710" s="24"/>
      <c r="C710" s="18"/>
      <c r="D710" s="18"/>
      <c r="E710" s="18"/>
      <c r="F710" s="18"/>
      <c r="G710" s="22"/>
      <c r="H710" s="22"/>
      <c r="I710" s="22"/>
      <c r="J710" s="18"/>
    </row>
    <row r="711">
      <c r="A711" s="18"/>
      <c r="B711" s="24"/>
      <c r="C711" s="18"/>
      <c r="D711" s="18"/>
      <c r="E711" s="18"/>
      <c r="F711" s="18"/>
      <c r="G711" s="22"/>
      <c r="H711" s="22"/>
      <c r="I711" s="22"/>
      <c r="J711" s="18"/>
    </row>
    <row r="712">
      <c r="A712" s="18"/>
      <c r="B712" s="24"/>
      <c r="C712" s="18"/>
      <c r="D712" s="18"/>
      <c r="E712" s="18"/>
      <c r="F712" s="18"/>
      <c r="G712" s="22"/>
      <c r="H712" s="22"/>
      <c r="I712" s="22"/>
      <c r="J712" s="18"/>
    </row>
    <row r="713">
      <c r="A713" s="18"/>
      <c r="B713" s="24"/>
      <c r="C713" s="18"/>
      <c r="D713" s="18"/>
      <c r="E713" s="18"/>
      <c r="F713" s="18"/>
      <c r="G713" s="22"/>
      <c r="H713" s="22"/>
      <c r="I713" s="22"/>
      <c r="J713" s="18"/>
    </row>
    <row r="714">
      <c r="A714" s="18"/>
      <c r="B714" s="24"/>
      <c r="C714" s="18"/>
      <c r="D714" s="18"/>
      <c r="E714" s="18"/>
      <c r="F714" s="18"/>
      <c r="G714" s="22"/>
      <c r="H714" s="22"/>
      <c r="I714" s="22"/>
      <c r="J714" s="18"/>
    </row>
    <row r="715">
      <c r="A715" s="18"/>
      <c r="B715" s="24"/>
      <c r="C715" s="18"/>
      <c r="D715" s="18"/>
      <c r="E715" s="18"/>
      <c r="F715" s="18"/>
      <c r="G715" s="22"/>
      <c r="H715" s="22"/>
      <c r="I715" s="22"/>
      <c r="J715" s="18"/>
    </row>
    <row r="716">
      <c r="A716" s="18"/>
      <c r="B716" s="24"/>
      <c r="C716" s="18"/>
      <c r="D716" s="18"/>
      <c r="E716" s="18"/>
      <c r="F716" s="18"/>
      <c r="G716" s="22"/>
      <c r="H716" s="22"/>
      <c r="I716" s="22"/>
      <c r="J716" s="18"/>
    </row>
    <row r="717">
      <c r="A717" s="18"/>
      <c r="B717" s="24"/>
      <c r="C717" s="18"/>
      <c r="D717" s="18"/>
      <c r="E717" s="18"/>
      <c r="F717" s="18"/>
      <c r="G717" s="22"/>
      <c r="H717" s="22"/>
      <c r="I717" s="22"/>
      <c r="J717" s="18"/>
    </row>
    <row r="718">
      <c r="A718" s="18"/>
      <c r="B718" s="24"/>
      <c r="C718" s="18"/>
      <c r="D718" s="18"/>
      <c r="E718" s="18"/>
      <c r="F718" s="18"/>
      <c r="G718" s="22"/>
      <c r="H718" s="22"/>
      <c r="I718" s="22"/>
      <c r="J718" s="18"/>
    </row>
    <row r="719">
      <c r="A719" s="18"/>
      <c r="B719" s="24"/>
      <c r="C719" s="18"/>
      <c r="D719" s="18"/>
      <c r="E719" s="18"/>
      <c r="F719" s="18"/>
      <c r="G719" s="22"/>
      <c r="H719" s="22"/>
      <c r="I719" s="22"/>
      <c r="J719" s="18"/>
    </row>
    <row r="720">
      <c r="A720" s="18"/>
      <c r="B720" s="24"/>
      <c r="C720" s="18"/>
      <c r="D720" s="18"/>
      <c r="E720" s="18"/>
      <c r="F720" s="18"/>
      <c r="G720" s="22"/>
      <c r="H720" s="22"/>
      <c r="I720" s="22"/>
      <c r="J720" s="18"/>
    </row>
    <row r="721">
      <c r="A721" s="18"/>
      <c r="B721" s="24"/>
      <c r="C721" s="18"/>
      <c r="D721" s="18"/>
      <c r="E721" s="18"/>
      <c r="F721" s="18"/>
      <c r="G721" s="22"/>
      <c r="H721" s="22"/>
      <c r="I721" s="22"/>
      <c r="J721" s="18"/>
    </row>
    <row r="722">
      <c r="A722" s="18"/>
      <c r="B722" s="24"/>
      <c r="C722" s="18"/>
      <c r="D722" s="18"/>
      <c r="E722" s="18"/>
      <c r="F722" s="18"/>
      <c r="G722" s="22"/>
      <c r="H722" s="22"/>
      <c r="I722" s="22"/>
      <c r="J722" s="18"/>
    </row>
    <row r="723">
      <c r="A723" s="18"/>
      <c r="B723" s="24"/>
      <c r="C723" s="18"/>
      <c r="D723" s="18"/>
      <c r="E723" s="18"/>
      <c r="F723" s="18"/>
      <c r="G723" s="22"/>
      <c r="H723" s="22"/>
      <c r="I723" s="22"/>
      <c r="J723" s="18"/>
    </row>
    <row r="724">
      <c r="A724" s="18"/>
      <c r="B724" s="24"/>
      <c r="C724" s="18"/>
      <c r="D724" s="18"/>
      <c r="E724" s="18"/>
      <c r="F724" s="18"/>
      <c r="G724" s="22"/>
      <c r="H724" s="22"/>
      <c r="I724" s="22"/>
      <c r="J724" s="18"/>
    </row>
    <row r="725">
      <c r="A725" s="18"/>
      <c r="B725" s="24"/>
      <c r="C725" s="18"/>
      <c r="D725" s="18"/>
      <c r="E725" s="18"/>
      <c r="F725" s="18"/>
      <c r="G725" s="22"/>
      <c r="H725" s="22"/>
      <c r="I725" s="22"/>
      <c r="J725" s="18"/>
    </row>
    <row r="726">
      <c r="A726" s="18"/>
      <c r="B726" s="24"/>
      <c r="C726" s="18"/>
      <c r="D726" s="18"/>
      <c r="E726" s="18"/>
      <c r="F726" s="18"/>
      <c r="G726" s="22"/>
      <c r="H726" s="22"/>
      <c r="I726" s="22"/>
      <c r="J726" s="18"/>
    </row>
    <row r="727">
      <c r="A727" s="18"/>
      <c r="B727" s="24"/>
      <c r="C727" s="18"/>
      <c r="D727" s="18"/>
      <c r="E727" s="18"/>
      <c r="F727" s="18"/>
      <c r="G727" s="22"/>
      <c r="H727" s="22"/>
      <c r="I727" s="22"/>
      <c r="J727" s="18"/>
    </row>
    <row r="728">
      <c r="A728" s="18"/>
      <c r="B728" s="24"/>
      <c r="C728" s="18"/>
      <c r="D728" s="18"/>
      <c r="E728" s="18"/>
      <c r="F728" s="18"/>
      <c r="G728" s="22"/>
      <c r="H728" s="22"/>
      <c r="I728" s="22"/>
      <c r="J728" s="18"/>
    </row>
    <row r="729">
      <c r="A729" s="18"/>
      <c r="B729" s="24"/>
      <c r="C729" s="18"/>
      <c r="D729" s="18"/>
      <c r="E729" s="18"/>
      <c r="F729" s="18"/>
      <c r="G729" s="22"/>
      <c r="H729" s="22"/>
      <c r="I729" s="22"/>
      <c r="J729" s="18"/>
    </row>
    <row r="730">
      <c r="A730" s="18"/>
      <c r="B730" s="24"/>
      <c r="C730" s="18"/>
      <c r="D730" s="18"/>
      <c r="E730" s="18"/>
      <c r="F730" s="18"/>
      <c r="G730" s="22"/>
      <c r="H730" s="22"/>
      <c r="I730" s="22"/>
      <c r="J730" s="18"/>
    </row>
    <row r="731">
      <c r="A731" s="18"/>
      <c r="B731" s="24"/>
      <c r="C731" s="18"/>
      <c r="D731" s="18"/>
      <c r="E731" s="18"/>
      <c r="F731" s="18"/>
      <c r="G731" s="22"/>
      <c r="H731" s="22"/>
      <c r="I731" s="22"/>
      <c r="J731" s="18"/>
    </row>
    <row r="732">
      <c r="A732" s="18"/>
      <c r="B732" s="24"/>
      <c r="C732" s="18"/>
      <c r="D732" s="18"/>
      <c r="E732" s="18"/>
      <c r="F732" s="18"/>
      <c r="G732" s="22"/>
      <c r="H732" s="22"/>
      <c r="I732" s="22"/>
      <c r="J732" s="18"/>
    </row>
    <row r="733">
      <c r="A733" s="18"/>
      <c r="B733" s="24"/>
      <c r="C733" s="18"/>
      <c r="D733" s="18"/>
      <c r="E733" s="18"/>
      <c r="F733" s="18"/>
      <c r="G733" s="22"/>
      <c r="H733" s="22"/>
      <c r="I733" s="22"/>
      <c r="J733" s="18"/>
    </row>
    <row r="734">
      <c r="A734" s="18"/>
      <c r="B734" s="24"/>
      <c r="C734" s="18"/>
      <c r="D734" s="18"/>
      <c r="E734" s="18"/>
      <c r="F734" s="18"/>
      <c r="G734" s="22"/>
      <c r="H734" s="22"/>
      <c r="I734" s="22"/>
      <c r="J734" s="18"/>
    </row>
    <row r="735">
      <c r="A735" s="18"/>
      <c r="B735" s="24"/>
      <c r="C735" s="18"/>
      <c r="D735" s="18"/>
      <c r="E735" s="18"/>
      <c r="F735" s="18"/>
      <c r="G735" s="22"/>
      <c r="H735" s="22"/>
      <c r="I735" s="22"/>
      <c r="J735" s="18"/>
    </row>
    <row r="736">
      <c r="A736" s="18"/>
      <c r="B736" s="24"/>
      <c r="C736" s="18"/>
      <c r="D736" s="18"/>
      <c r="E736" s="18"/>
      <c r="F736" s="18"/>
      <c r="G736" s="22"/>
      <c r="H736" s="22"/>
      <c r="I736" s="22"/>
      <c r="J736" s="18"/>
    </row>
    <row r="737">
      <c r="A737" s="18"/>
      <c r="B737" s="24"/>
      <c r="C737" s="18"/>
      <c r="D737" s="18"/>
      <c r="E737" s="18"/>
      <c r="F737" s="18"/>
      <c r="G737" s="22"/>
      <c r="H737" s="22"/>
      <c r="I737" s="22"/>
      <c r="J737" s="18"/>
    </row>
    <row r="738">
      <c r="A738" s="18"/>
      <c r="B738" s="24"/>
      <c r="C738" s="18"/>
      <c r="D738" s="18"/>
      <c r="E738" s="18"/>
      <c r="F738" s="18"/>
      <c r="G738" s="22"/>
      <c r="H738" s="22"/>
      <c r="I738" s="22"/>
      <c r="J738" s="18"/>
    </row>
    <row r="739">
      <c r="A739" s="18"/>
      <c r="B739" s="24"/>
      <c r="C739" s="18"/>
      <c r="D739" s="18"/>
      <c r="E739" s="18"/>
      <c r="F739" s="18"/>
      <c r="G739" s="22"/>
      <c r="H739" s="22"/>
      <c r="I739" s="22"/>
      <c r="J739" s="18"/>
    </row>
    <row r="740">
      <c r="A740" s="18"/>
      <c r="B740" s="24"/>
      <c r="C740" s="18"/>
      <c r="D740" s="18"/>
      <c r="E740" s="18"/>
      <c r="F740" s="18"/>
      <c r="G740" s="22"/>
      <c r="H740" s="22"/>
      <c r="I740" s="22"/>
      <c r="J740" s="18"/>
    </row>
    <row r="741">
      <c r="A741" s="18"/>
      <c r="B741" s="24"/>
      <c r="C741" s="18"/>
      <c r="D741" s="18"/>
      <c r="E741" s="18"/>
      <c r="F741" s="18"/>
      <c r="G741" s="22"/>
      <c r="H741" s="22"/>
      <c r="I741" s="22"/>
      <c r="J741" s="18"/>
    </row>
    <row r="742">
      <c r="A742" s="18"/>
      <c r="B742" s="24"/>
      <c r="C742" s="18"/>
      <c r="D742" s="18"/>
      <c r="E742" s="18"/>
      <c r="F742" s="18"/>
      <c r="G742" s="22"/>
      <c r="H742" s="22"/>
      <c r="I742" s="22"/>
      <c r="J742" s="18"/>
    </row>
    <row r="743">
      <c r="A743" s="18"/>
      <c r="B743" s="24"/>
      <c r="C743" s="18"/>
      <c r="D743" s="18"/>
      <c r="E743" s="18"/>
      <c r="F743" s="18"/>
      <c r="G743" s="22"/>
      <c r="H743" s="22"/>
      <c r="I743" s="22"/>
      <c r="J743" s="18"/>
    </row>
    <row r="744">
      <c r="A744" s="18"/>
      <c r="B744" s="24"/>
      <c r="C744" s="18"/>
      <c r="D744" s="18"/>
      <c r="E744" s="18"/>
      <c r="F744" s="18"/>
      <c r="G744" s="22"/>
      <c r="H744" s="22"/>
      <c r="I744" s="22"/>
      <c r="J744" s="18"/>
    </row>
    <row r="745">
      <c r="A745" s="18"/>
      <c r="B745" s="24"/>
      <c r="C745" s="18"/>
      <c r="D745" s="18"/>
      <c r="E745" s="18"/>
      <c r="F745" s="18"/>
      <c r="G745" s="22"/>
      <c r="H745" s="22"/>
      <c r="I745" s="22"/>
      <c r="J745" s="18"/>
    </row>
    <row r="746">
      <c r="A746" s="18"/>
      <c r="B746" s="24"/>
      <c r="C746" s="18"/>
      <c r="D746" s="18"/>
      <c r="E746" s="18"/>
      <c r="F746" s="18"/>
      <c r="G746" s="22"/>
      <c r="H746" s="22"/>
      <c r="I746" s="22"/>
      <c r="J746" s="18"/>
    </row>
    <row r="747">
      <c r="A747" s="18"/>
      <c r="B747" s="24"/>
      <c r="C747" s="18"/>
      <c r="D747" s="18"/>
      <c r="E747" s="18"/>
      <c r="F747" s="18"/>
      <c r="G747" s="22"/>
      <c r="H747" s="22"/>
      <c r="I747" s="22"/>
      <c r="J747" s="18"/>
    </row>
    <row r="748">
      <c r="A748" s="18"/>
      <c r="B748" s="24"/>
      <c r="C748" s="18"/>
      <c r="D748" s="18"/>
      <c r="E748" s="18"/>
      <c r="F748" s="18"/>
      <c r="G748" s="22"/>
      <c r="H748" s="22"/>
      <c r="I748" s="22"/>
      <c r="J748" s="18"/>
    </row>
    <row r="749">
      <c r="A749" s="18"/>
      <c r="B749" s="24"/>
      <c r="C749" s="18"/>
      <c r="D749" s="18"/>
      <c r="E749" s="18"/>
      <c r="F749" s="18"/>
      <c r="G749" s="22"/>
      <c r="H749" s="22"/>
      <c r="I749" s="22"/>
      <c r="J749" s="18"/>
    </row>
    <row r="750">
      <c r="A750" s="18"/>
      <c r="B750" s="24"/>
      <c r="C750" s="18"/>
      <c r="D750" s="18"/>
      <c r="E750" s="18"/>
      <c r="F750" s="18"/>
      <c r="G750" s="22"/>
      <c r="H750" s="22"/>
      <c r="I750" s="22"/>
      <c r="J750" s="18"/>
    </row>
    <row r="751">
      <c r="A751" s="18"/>
      <c r="B751" s="24"/>
      <c r="C751" s="18"/>
      <c r="D751" s="18"/>
      <c r="E751" s="18"/>
      <c r="F751" s="18"/>
      <c r="G751" s="22"/>
      <c r="H751" s="22"/>
      <c r="I751" s="22"/>
      <c r="J751" s="18"/>
    </row>
    <row r="752">
      <c r="A752" s="18"/>
      <c r="B752" s="24"/>
      <c r="C752" s="18"/>
      <c r="D752" s="18"/>
      <c r="E752" s="18"/>
      <c r="F752" s="18"/>
      <c r="G752" s="22"/>
      <c r="H752" s="22"/>
      <c r="I752" s="22"/>
      <c r="J752" s="18"/>
    </row>
    <row r="753">
      <c r="A753" s="18"/>
      <c r="B753" s="24"/>
      <c r="C753" s="18"/>
      <c r="D753" s="18"/>
      <c r="E753" s="18"/>
      <c r="F753" s="18"/>
      <c r="G753" s="22"/>
      <c r="H753" s="22"/>
      <c r="I753" s="22"/>
      <c r="J753" s="18"/>
    </row>
    <row r="754">
      <c r="A754" s="18"/>
      <c r="B754" s="24"/>
      <c r="C754" s="18"/>
      <c r="D754" s="18"/>
      <c r="E754" s="18"/>
      <c r="F754" s="18"/>
      <c r="G754" s="22"/>
      <c r="H754" s="22"/>
      <c r="I754" s="22"/>
      <c r="J754" s="18"/>
    </row>
    <row r="755">
      <c r="A755" s="18"/>
      <c r="B755" s="24"/>
      <c r="C755" s="18"/>
      <c r="D755" s="18"/>
      <c r="E755" s="18"/>
      <c r="F755" s="18"/>
      <c r="G755" s="22"/>
      <c r="H755" s="22"/>
      <c r="I755" s="22"/>
      <c r="J755" s="18"/>
    </row>
    <row r="756">
      <c r="A756" s="18"/>
      <c r="B756" s="24"/>
      <c r="C756" s="18"/>
      <c r="D756" s="18"/>
      <c r="E756" s="18"/>
      <c r="F756" s="18"/>
      <c r="G756" s="22"/>
      <c r="H756" s="22"/>
      <c r="I756" s="22"/>
      <c r="J756" s="18"/>
    </row>
    <row r="757">
      <c r="A757" s="18"/>
      <c r="B757" s="24"/>
      <c r="C757" s="18"/>
      <c r="D757" s="18"/>
      <c r="E757" s="18"/>
      <c r="F757" s="18"/>
      <c r="G757" s="22"/>
      <c r="H757" s="22"/>
      <c r="I757" s="22"/>
      <c r="J757" s="18"/>
    </row>
    <row r="758">
      <c r="A758" s="18"/>
      <c r="B758" s="24"/>
      <c r="C758" s="18"/>
      <c r="D758" s="18"/>
      <c r="E758" s="18"/>
      <c r="F758" s="18"/>
      <c r="G758" s="22"/>
      <c r="H758" s="22"/>
      <c r="I758" s="22"/>
      <c r="J758" s="18"/>
    </row>
    <row r="759">
      <c r="A759" s="18"/>
      <c r="B759" s="24"/>
      <c r="C759" s="18"/>
      <c r="D759" s="18"/>
      <c r="E759" s="18"/>
      <c r="F759" s="18"/>
      <c r="G759" s="22"/>
      <c r="H759" s="22"/>
      <c r="I759" s="22"/>
      <c r="J759" s="18"/>
    </row>
    <row r="760">
      <c r="A760" s="18"/>
      <c r="B760" s="24"/>
      <c r="C760" s="18"/>
      <c r="D760" s="18"/>
      <c r="E760" s="18"/>
      <c r="F760" s="18"/>
      <c r="G760" s="22"/>
      <c r="H760" s="22"/>
      <c r="I760" s="22"/>
      <c r="J760" s="18"/>
    </row>
    <row r="761">
      <c r="A761" s="18"/>
      <c r="B761" s="24"/>
      <c r="C761" s="18"/>
      <c r="D761" s="18"/>
      <c r="E761" s="18"/>
      <c r="F761" s="18"/>
      <c r="G761" s="22"/>
      <c r="H761" s="22"/>
      <c r="I761" s="22"/>
      <c r="J761" s="18"/>
    </row>
    <row r="762">
      <c r="A762" s="18"/>
      <c r="B762" s="24"/>
      <c r="C762" s="18"/>
      <c r="D762" s="18"/>
      <c r="E762" s="18"/>
      <c r="F762" s="18"/>
      <c r="G762" s="22"/>
      <c r="H762" s="22"/>
      <c r="I762" s="22"/>
      <c r="J762" s="18"/>
    </row>
    <row r="763">
      <c r="A763" s="18"/>
      <c r="B763" s="24"/>
      <c r="C763" s="18"/>
      <c r="D763" s="18"/>
      <c r="E763" s="18"/>
      <c r="F763" s="18"/>
      <c r="G763" s="22"/>
      <c r="H763" s="22"/>
      <c r="I763" s="22"/>
      <c r="J763" s="18"/>
    </row>
    <row r="764">
      <c r="A764" s="18"/>
      <c r="B764" s="24"/>
      <c r="C764" s="18"/>
      <c r="D764" s="18"/>
      <c r="E764" s="18"/>
      <c r="F764" s="18"/>
      <c r="G764" s="22"/>
      <c r="H764" s="22"/>
      <c r="I764" s="22"/>
      <c r="J764" s="18"/>
    </row>
    <row r="765">
      <c r="A765" s="18"/>
      <c r="B765" s="24"/>
      <c r="C765" s="18"/>
      <c r="D765" s="18"/>
      <c r="E765" s="18"/>
      <c r="F765" s="18"/>
      <c r="G765" s="22"/>
      <c r="H765" s="22"/>
      <c r="I765" s="22"/>
      <c r="J765" s="18"/>
    </row>
    <row r="766">
      <c r="A766" s="18"/>
      <c r="B766" s="24"/>
      <c r="C766" s="18"/>
      <c r="D766" s="18"/>
      <c r="E766" s="18"/>
      <c r="F766" s="18"/>
      <c r="G766" s="22"/>
      <c r="H766" s="22"/>
      <c r="I766" s="22"/>
      <c r="J766" s="18"/>
    </row>
    <row r="767">
      <c r="A767" s="18"/>
      <c r="B767" s="24"/>
      <c r="C767" s="18"/>
      <c r="D767" s="18"/>
      <c r="E767" s="18"/>
      <c r="F767" s="18"/>
      <c r="G767" s="22"/>
      <c r="H767" s="22"/>
      <c r="I767" s="22"/>
      <c r="J767" s="18"/>
    </row>
    <row r="768">
      <c r="A768" s="18"/>
      <c r="B768" s="24"/>
      <c r="C768" s="18"/>
      <c r="D768" s="18"/>
      <c r="E768" s="18"/>
      <c r="F768" s="18"/>
      <c r="G768" s="22"/>
      <c r="H768" s="22"/>
      <c r="I768" s="22"/>
      <c r="J768" s="18"/>
    </row>
    <row r="769">
      <c r="A769" s="18"/>
      <c r="B769" s="24"/>
      <c r="C769" s="18"/>
      <c r="D769" s="18"/>
      <c r="E769" s="18"/>
      <c r="F769" s="18"/>
      <c r="G769" s="22"/>
      <c r="H769" s="22"/>
      <c r="I769" s="22"/>
      <c r="J769" s="18"/>
    </row>
    <row r="770">
      <c r="A770" s="18"/>
      <c r="B770" s="24"/>
      <c r="C770" s="18"/>
      <c r="D770" s="18"/>
      <c r="E770" s="18"/>
      <c r="F770" s="18"/>
      <c r="G770" s="22"/>
      <c r="H770" s="22"/>
      <c r="I770" s="22"/>
      <c r="J770" s="18"/>
    </row>
    <row r="771">
      <c r="A771" s="18"/>
      <c r="B771" s="24"/>
      <c r="C771" s="18"/>
      <c r="D771" s="18"/>
      <c r="E771" s="18"/>
      <c r="F771" s="18"/>
      <c r="G771" s="22"/>
      <c r="H771" s="22"/>
      <c r="I771" s="22"/>
      <c r="J771" s="18"/>
    </row>
    <row r="772">
      <c r="A772" s="18"/>
      <c r="B772" s="24"/>
      <c r="C772" s="18"/>
      <c r="D772" s="18"/>
      <c r="E772" s="18"/>
      <c r="F772" s="18"/>
      <c r="G772" s="22"/>
      <c r="H772" s="22"/>
      <c r="I772" s="22"/>
      <c r="J772" s="18"/>
    </row>
    <row r="773">
      <c r="A773" s="18"/>
      <c r="B773" s="24"/>
      <c r="C773" s="18"/>
      <c r="D773" s="18"/>
      <c r="E773" s="18"/>
      <c r="F773" s="18"/>
      <c r="G773" s="22"/>
      <c r="H773" s="22"/>
      <c r="I773" s="22"/>
      <c r="J773" s="18"/>
    </row>
    <row r="774">
      <c r="A774" s="18"/>
      <c r="B774" s="24"/>
      <c r="C774" s="18"/>
      <c r="D774" s="18"/>
      <c r="E774" s="18"/>
      <c r="F774" s="18"/>
      <c r="G774" s="22"/>
      <c r="H774" s="22"/>
      <c r="I774" s="22"/>
      <c r="J774" s="18"/>
    </row>
    <row r="775">
      <c r="A775" s="18"/>
      <c r="B775" s="24"/>
      <c r="C775" s="18"/>
      <c r="D775" s="18"/>
      <c r="E775" s="18"/>
      <c r="F775" s="18"/>
      <c r="G775" s="22"/>
      <c r="H775" s="22"/>
      <c r="I775" s="22"/>
      <c r="J775" s="18"/>
    </row>
    <row r="776">
      <c r="A776" s="18"/>
      <c r="B776" s="24"/>
      <c r="C776" s="18"/>
      <c r="D776" s="18"/>
      <c r="E776" s="18"/>
      <c r="F776" s="18"/>
      <c r="G776" s="22"/>
      <c r="H776" s="22"/>
      <c r="I776" s="22"/>
      <c r="J776" s="18"/>
    </row>
    <row r="777">
      <c r="A777" s="18"/>
      <c r="B777" s="24"/>
      <c r="C777" s="18"/>
      <c r="D777" s="18"/>
      <c r="E777" s="18"/>
      <c r="F777" s="18"/>
      <c r="G777" s="22"/>
      <c r="H777" s="22"/>
      <c r="I777" s="22"/>
      <c r="J777" s="18"/>
    </row>
    <row r="778">
      <c r="A778" s="18"/>
      <c r="B778" s="24"/>
      <c r="C778" s="18"/>
      <c r="D778" s="18"/>
      <c r="E778" s="18"/>
      <c r="F778" s="18"/>
      <c r="G778" s="22"/>
      <c r="H778" s="22"/>
      <c r="I778" s="22"/>
      <c r="J778" s="18"/>
    </row>
    <row r="779">
      <c r="A779" s="18"/>
      <c r="B779" s="24"/>
      <c r="C779" s="18"/>
      <c r="D779" s="18"/>
      <c r="E779" s="18"/>
      <c r="F779" s="18"/>
      <c r="G779" s="22"/>
      <c r="H779" s="22"/>
      <c r="I779" s="22"/>
      <c r="J779" s="18"/>
    </row>
    <row r="780">
      <c r="A780" s="18"/>
      <c r="B780" s="24"/>
      <c r="C780" s="18"/>
      <c r="D780" s="18"/>
      <c r="E780" s="18"/>
      <c r="F780" s="18"/>
      <c r="G780" s="22"/>
      <c r="H780" s="22"/>
      <c r="I780" s="22"/>
      <c r="J780" s="18"/>
    </row>
    <row r="781">
      <c r="A781" s="18"/>
      <c r="B781" s="24"/>
      <c r="C781" s="18"/>
      <c r="D781" s="18"/>
      <c r="E781" s="18"/>
      <c r="F781" s="18"/>
      <c r="G781" s="22"/>
      <c r="H781" s="22"/>
      <c r="I781" s="22"/>
      <c r="J781" s="18"/>
    </row>
    <row r="782">
      <c r="A782" s="18"/>
      <c r="B782" s="24"/>
      <c r="C782" s="18"/>
      <c r="D782" s="18"/>
      <c r="E782" s="18"/>
      <c r="F782" s="18"/>
      <c r="G782" s="22"/>
      <c r="H782" s="22"/>
      <c r="I782" s="22"/>
      <c r="J782" s="18"/>
    </row>
    <row r="783">
      <c r="A783" s="18"/>
      <c r="B783" s="24"/>
      <c r="C783" s="18"/>
      <c r="D783" s="18"/>
      <c r="E783" s="18"/>
      <c r="F783" s="18"/>
      <c r="G783" s="22"/>
      <c r="H783" s="22"/>
      <c r="I783" s="22"/>
      <c r="J783" s="18"/>
    </row>
    <row r="784">
      <c r="A784" s="18"/>
      <c r="B784" s="24"/>
      <c r="C784" s="18"/>
      <c r="D784" s="18"/>
      <c r="E784" s="18"/>
      <c r="F784" s="18"/>
      <c r="G784" s="22"/>
      <c r="H784" s="22"/>
      <c r="I784" s="22"/>
      <c r="J784" s="18"/>
    </row>
    <row r="785">
      <c r="A785" s="18"/>
      <c r="B785" s="24"/>
      <c r="C785" s="18"/>
      <c r="D785" s="18"/>
      <c r="E785" s="18"/>
      <c r="F785" s="18"/>
      <c r="G785" s="22"/>
      <c r="H785" s="22"/>
      <c r="I785" s="22"/>
      <c r="J785" s="18"/>
    </row>
    <row r="786">
      <c r="A786" s="18"/>
      <c r="B786" s="24"/>
      <c r="C786" s="18"/>
      <c r="D786" s="18"/>
      <c r="E786" s="18"/>
      <c r="F786" s="18"/>
      <c r="G786" s="22"/>
      <c r="H786" s="22"/>
      <c r="I786" s="22"/>
      <c r="J786" s="18"/>
    </row>
    <row r="787">
      <c r="A787" s="18"/>
      <c r="B787" s="24"/>
      <c r="C787" s="18"/>
      <c r="D787" s="18"/>
      <c r="E787" s="18"/>
      <c r="F787" s="18"/>
      <c r="G787" s="22"/>
      <c r="H787" s="22"/>
      <c r="I787" s="22"/>
      <c r="J787" s="18"/>
    </row>
    <row r="788">
      <c r="A788" s="18"/>
      <c r="B788" s="24"/>
      <c r="C788" s="18"/>
      <c r="D788" s="18"/>
      <c r="E788" s="18"/>
      <c r="F788" s="18"/>
      <c r="G788" s="22"/>
      <c r="H788" s="22"/>
      <c r="I788" s="22"/>
      <c r="J788" s="18"/>
    </row>
    <row r="789">
      <c r="A789" s="18"/>
      <c r="B789" s="24"/>
      <c r="C789" s="18"/>
      <c r="D789" s="18"/>
      <c r="E789" s="18"/>
      <c r="F789" s="18"/>
      <c r="G789" s="22"/>
      <c r="H789" s="22"/>
      <c r="I789" s="22"/>
      <c r="J789" s="18"/>
    </row>
    <row r="790">
      <c r="A790" s="18"/>
      <c r="B790" s="24"/>
      <c r="C790" s="18"/>
      <c r="D790" s="18"/>
      <c r="E790" s="18"/>
      <c r="F790" s="18"/>
      <c r="G790" s="22"/>
      <c r="H790" s="22"/>
      <c r="I790" s="22"/>
      <c r="J790" s="18"/>
    </row>
    <row r="791">
      <c r="A791" s="18"/>
      <c r="B791" s="24"/>
      <c r="C791" s="18"/>
      <c r="D791" s="18"/>
      <c r="E791" s="18"/>
      <c r="F791" s="18"/>
      <c r="G791" s="22"/>
      <c r="H791" s="22"/>
      <c r="I791" s="22"/>
      <c r="J791" s="18"/>
    </row>
    <row r="792">
      <c r="A792" s="18"/>
      <c r="B792" s="24"/>
      <c r="C792" s="18"/>
      <c r="D792" s="18"/>
      <c r="E792" s="18"/>
      <c r="F792" s="18"/>
      <c r="G792" s="22"/>
      <c r="H792" s="22"/>
      <c r="I792" s="22"/>
      <c r="J792" s="18"/>
    </row>
    <row r="793">
      <c r="A793" s="18"/>
      <c r="B793" s="24"/>
      <c r="C793" s="18"/>
      <c r="D793" s="18"/>
      <c r="E793" s="18"/>
      <c r="F793" s="18"/>
      <c r="G793" s="22"/>
      <c r="H793" s="22"/>
      <c r="I793" s="22"/>
      <c r="J793" s="18"/>
    </row>
    <row r="794">
      <c r="A794" s="18"/>
      <c r="B794" s="24"/>
      <c r="C794" s="18"/>
      <c r="D794" s="18"/>
      <c r="E794" s="18"/>
      <c r="F794" s="18"/>
      <c r="G794" s="22"/>
      <c r="H794" s="22"/>
      <c r="I794" s="22"/>
      <c r="J794" s="18"/>
    </row>
    <row r="795">
      <c r="A795" s="18"/>
      <c r="B795" s="24"/>
      <c r="C795" s="18"/>
      <c r="D795" s="18"/>
      <c r="E795" s="18"/>
      <c r="F795" s="18"/>
      <c r="G795" s="22"/>
      <c r="H795" s="22"/>
      <c r="I795" s="22"/>
      <c r="J795" s="18"/>
    </row>
    <row r="796">
      <c r="A796" s="18"/>
      <c r="B796" s="24"/>
      <c r="C796" s="18"/>
      <c r="D796" s="18"/>
      <c r="E796" s="18"/>
      <c r="F796" s="18"/>
      <c r="G796" s="22"/>
      <c r="H796" s="22"/>
      <c r="I796" s="22"/>
      <c r="J796" s="18"/>
    </row>
    <row r="797">
      <c r="A797" s="18"/>
      <c r="B797" s="24"/>
      <c r="C797" s="18"/>
      <c r="D797" s="18"/>
      <c r="E797" s="18"/>
      <c r="F797" s="18"/>
      <c r="G797" s="22"/>
      <c r="H797" s="22"/>
      <c r="I797" s="22"/>
      <c r="J797" s="18"/>
    </row>
    <row r="798">
      <c r="A798" s="18"/>
      <c r="B798" s="24"/>
      <c r="C798" s="18"/>
      <c r="D798" s="18"/>
      <c r="E798" s="18"/>
      <c r="F798" s="18"/>
      <c r="G798" s="22"/>
      <c r="H798" s="22"/>
      <c r="I798" s="22"/>
      <c r="J798" s="18"/>
    </row>
    <row r="799">
      <c r="A799" s="18"/>
      <c r="B799" s="24"/>
      <c r="C799" s="18"/>
      <c r="D799" s="18"/>
      <c r="E799" s="18"/>
      <c r="F799" s="18"/>
      <c r="G799" s="22"/>
      <c r="H799" s="22"/>
      <c r="I799" s="22"/>
      <c r="J799" s="18"/>
    </row>
    <row r="800">
      <c r="A800" s="18"/>
      <c r="B800" s="24"/>
      <c r="C800" s="18"/>
      <c r="D800" s="18"/>
      <c r="E800" s="18"/>
      <c r="F800" s="18"/>
      <c r="G800" s="22"/>
      <c r="H800" s="22"/>
      <c r="I800" s="22"/>
      <c r="J800" s="18"/>
    </row>
    <row r="801">
      <c r="A801" s="18"/>
      <c r="B801" s="24"/>
      <c r="C801" s="18"/>
      <c r="D801" s="18"/>
      <c r="E801" s="18"/>
      <c r="F801" s="18"/>
      <c r="G801" s="22"/>
      <c r="H801" s="22"/>
      <c r="I801" s="22"/>
      <c r="J801" s="18"/>
    </row>
    <row r="802">
      <c r="A802" s="18"/>
      <c r="B802" s="24"/>
      <c r="C802" s="18"/>
      <c r="D802" s="18"/>
      <c r="E802" s="18"/>
      <c r="F802" s="18"/>
      <c r="G802" s="22"/>
      <c r="H802" s="22"/>
      <c r="I802" s="22"/>
      <c r="J802" s="18"/>
    </row>
    <row r="803">
      <c r="A803" s="18"/>
      <c r="B803" s="24"/>
      <c r="C803" s="18"/>
      <c r="D803" s="18"/>
      <c r="E803" s="18"/>
      <c r="F803" s="18"/>
      <c r="G803" s="22"/>
      <c r="H803" s="22"/>
      <c r="I803" s="22"/>
      <c r="J803" s="18"/>
    </row>
    <row r="804">
      <c r="A804" s="18"/>
      <c r="B804" s="24"/>
      <c r="C804" s="18"/>
      <c r="D804" s="18"/>
      <c r="E804" s="18"/>
      <c r="F804" s="18"/>
      <c r="G804" s="22"/>
      <c r="H804" s="22"/>
      <c r="I804" s="22"/>
      <c r="J804" s="18"/>
    </row>
    <row r="805">
      <c r="A805" s="18"/>
      <c r="B805" s="24"/>
      <c r="C805" s="18"/>
      <c r="D805" s="18"/>
      <c r="E805" s="18"/>
      <c r="F805" s="18"/>
      <c r="G805" s="22"/>
      <c r="H805" s="22"/>
      <c r="I805" s="22"/>
      <c r="J805" s="18"/>
    </row>
    <row r="806">
      <c r="A806" s="18"/>
      <c r="B806" s="24"/>
      <c r="C806" s="18"/>
      <c r="D806" s="18"/>
      <c r="E806" s="18"/>
      <c r="F806" s="18"/>
      <c r="G806" s="22"/>
      <c r="H806" s="22"/>
      <c r="I806" s="22"/>
      <c r="J806" s="18"/>
    </row>
    <row r="807">
      <c r="A807" s="18"/>
      <c r="B807" s="24"/>
      <c r="C807" s="18"/>
      <c r="D807" s="18"/>
      <c r="E807" s="18"/>
      <c r="F807" s="18"/>
      <c r="G807" s="22"/>
      <c r="H807" s="22"/>
      <c r="I807" s="22"/>
      <c r="J807" s="18"/>
    </row>
    <row r="808">
      <c r="A808" s="18"/>
      <c r="B808" s="24"/>
      <c r="C808" s="18"/>
      <c r="D808" s="18"/>
      <c r="E808" s="18"/>
      <c r="F808" s="18"/>
      <c r="G808" s="22"/>
      <c r="H808" s="22"/>
      <c r="I808" s="22"/>
      <c r="J808" s="18"/>
    </row>
    <row r="809">
      <c r="A809" s="18"/>
      <c r="B809" s="24"/>
      <c r="C809" s="18"/>
      <c r="D809" s="18"/>
      <c r="E809" s="18"/>
      <c r="F809" s="18"/>
      <c r="G809" s="22"/>
      <c r="H809" s="22"/>
      <c r="I809" s="22"/>
      <c r="J809" s="18"/>
    </row>
    <row r="810">
      <c r="A810" s="18"/>
      <c r="B810" s="24"/>
      <c r="C810" s="18"/>
      <c r="D810" s="18"/>
      <c r="E810" s="18"/>
      <c r="F810" s="18"/>
      <c r="G810" s="22"/>
      <c r="H810" s="22"/>
      <c r="I810" s="22"/>
      <c r="J810" s="18"/>
    </row>
    <row r="811">
      <c r="A811" s="18"/>
      <c r="B811" s="24"/>
      <c r="C811" s="18"/>
      <c r="D811" s="18"/>
      <c r="E811" s="18"/>
      <c r="F811" s="18"/>
      <c r="G811" s="22"/>
      <c r="H811" s="22"/>
      <c r="I811" s="22"/>
      <c r="J811" s="18"/>
    </row>
    <row r="812">
      <c r="A812" s="18"/>
      <c r="B812" s="24"/>
      <c r="C812" s="18"/>
      <c r="D812" s="18"/>
      <c r="E812" s="18"/>
      <c r="F812" s="18"/>
      <c r="G812" s="22"/>
      <c r="H812" s="22"/>
      <c r="I812" s="22"/>
      <c r="J812" s="18"/>
    </row>
    <row r="813">
      <c r="A813" s="18"/>
      <c r="B813" s="24"/>
      <c r="C813" s="18"/>
      <c r="D813" s="18"/>
      <c r="E813" s="18"/>
      <c r="F813" s="18"/>
      <c r="G813" s="22"/>
      <c r="H813" s="22"/>
      <c r="I813" s="22"/>
      <c r="J813" s="18"/>
    </row>
    <row r="814">
      <c r="A814" s="18"/>
      <c r="B814" s="24"/>
      <c r="C814" s="18"/>
      <c r="D814" s="18"/>
      <c r="E814" s="18"/>
      <c r="F814" s="18"/>
      <c r="G814" s="22"/>
      <c r="H814" s="22"/>
      <c r="I814" s="22"/>
      <c r="J814" s="18"/>
    </row>
    <row r="815">
      <c r="A815" s="18"/>
      <c r="B815" s="24"/>
      <c r="C815" s="18"/>
      <c r="D815" s="18"/>
      <c r="E815" s="18"/>
      <c r="F815" s="18"/>
      <c r="G815" s="22"/>
      <c r="H815" s="22"/>
      <c r="I815" s="22"/>
      <c r="J815" s="18"/>
    </row>
    <row r="816">
      <c r="A816" s="18"/>
      <c r="B816" s="24"/>
      <c r="C816" s="18"/>
      <c r="D816" s="18"/>
      <c r="E816" s="18"/>
      <c r="F816" s="18"/>
      <c r="G816" s="22"/>
      <c r="H816" s="22"/>
      <c r="I816" s="22"/>
      <c r="J816" s="18"/>
    </row>
    <row r="817">
      <c r="A817" s="18"/>
      <c r="B817" s="24"/>
      <c r="C817" s="18"/>
      <c r="D817" s="18"/>
      <c r="E817" s="18"/>
      <c r="F817" s="18"/>
      <c r="G817" s="22"/>
      <c r="H817" s="22"/>
      <c r="I817" s="22"/>
      <c r="J817" s="18"/>
    </row>
    <row r="818">
      <c r="A818" s="18"/>
      <c r="B818" s="24"/>
      <c r="C818" s="18"/>
      <c r="D818" s="18"/>
      <c r="E818" s="18"/>
      <c r="F818" s="18"/>
      <c r="G818" s="22"/>
      <c r="H818" s="22"/>
      <c r="I818" s="22"/>
      <c r="J818" s="18"/>
    </row>
    <row r="819">
      <c r="A819" s="18"/>
      <c r="B819" s="24"/>
      <c r="C819" s="18"/>
      <c r="D819" s="18"/>
      <c r="E819" s="18"/>
      <c r="F819" s="18"/>
      <c r="G819" s="22"/>
      <c r="H819" s="22"/>
      <c r="I819" s="22"/>
      <c r="J819" s="18"/>
    </row>
    <row r="820">
      <c r="A820" s="18"/>
      <c r="B820" s="24"/>
      <c r="C820" s="18"/>
      <c r="D820" s="18"/>
      <c r="E820" s="18"/>
      <c r="F820" s="18"/>
      <c r="G820" s="22"/>
      <c r="H820" s="22"/>
      <c r="I820" s="22"/>
      <c r="J820" s="18"/>
    </row>
    <row r="821">
      <c r="A821" s="18"/>
      <c r="B821" s="24"/>
      <c r="C821" s="18"/>
      <c r="D821" s="18"/>
      <c r="E821" s="18"/>
      <c r="F821" s="18"/>
      <c r="G821" s="22"/>
      <c r="H821" s="22"/>
      <c r="I821" s="22"/>
      <c r="J821" s="18"/>
    </row>
    <row r="822">
      <c r="A822" s="18"/>
      <c r="B822" s="24"/>
      <c r="C822" s="18"/>
      <c r="D822" s="18"/>
      <c r="E822" s="18"/>
      <c r="F822" s="18"/>
      <c r="G822" s="22"/>
      <c r="H822" s="22"/>
      <c r="I822" s="22"/>
      <c r="J822" s="18"/>
    </row>
    <row r="823">
      <c r="A823" s="18"/>
      <c r="B823" s="24"/>
      <c r="C823" s="18"/>
      <c r="D823" s="18"/>
      <c r="E823" s="18"/>
      <c r="F823" s="18"/>
      <c r="G823" s="22"/>
      <c r="H823" s="22"/>
      <c r="I823" s="22"/>
      <c r="J823" s="18"/>
    </row>
    <row r="824">
      <c r="A824" s="18"/>
      <c r="B824" s="24"/>
      <c r="C824" s="18"/>
      <c r="D824" s="18"/>
      <c r="E824" s="18"/>
      <c r="F824" s="18"/>
      <c r="G824" s="22"/>
      <c r="H824" s="22"/>
      <c r="I824" s="22"/>
      <c r="J824" s="18"/>
    </row>
    <row r="825">
      <c r="A825" s="18"/>
      <c r="B825" s="24"/>
      <c r="C825" s="18"/>
      <c r="D825" s="18"/>
      <c r="E825" s="18"/>
      <c r="F825" s="18"/>
      <c r="G825" s="22"/>
      <c r="H825" s="22"/>
      <c r="I825" s="22"/>
      <c r="J825" s="18"/>
    </row>
    <row r="826">
      <c r="A826" s="18"/>
      <c r="B826" s="24"/>
      <c r="C826" s="18"/>
      <c r="D826" s="18"/>
      <c r="E826" s="18"/>
      <c r="F826" s="18"/>
      <c r="G826" s="22"/>
      <c r="H826" s="22"/>
      <c r="I826" s="22"/>
      <c r="J826" s="18"/>
    </row>
    <row r="827">
      <c r="A827" s="18"/>
      <c r="B827" s="24"/>
      <c r="C827" s="18"/>
      <c r="D827" s="18"/>
      <c r="E827" s="18"/>
      <c r="F827" s="18"/>
      <c r="G827" s="22"/>
      <c r="H827" s="22"/>
      <c r="I827" s="22"/>
      <c r="J827" s="18"/>
    </row>
    <row r="828">
      <c r="A828" s="18"/>
      <c r="B828" s="24"/>
      <c r="C828" s="18"/>
      <c r="D828" s="18"/>
      <c r="E828" s="18"/>
      <c r="F828" s="18"/>
      <c r="G828" s="22"/>
      <c r="H828" s="22"/>
      <c r="I828" s="22"/>
      <c r="J828" s="18"/>
    </row>
    <row r="829">
      <c r="A829" s="18"/>
      <c r="B829" s="24"/>
      <c r="C829" s="18"/>
      <c r="D829" s="18"/>
      <c r="E829" s="18"/>
      <c r="F829" s="18"/>
      <c r="G829" s="22"/>
      <c r="H829" s="22"/>
      <c r="I829" s="22"/>
      <c r="J829" s="18"/>
    </row>
    <row r="830">
      <c r="A830" s="18"/>
      <c r="B830" s="24"/>
      <c r="C830" s="18"/>
      <c r="D830" s="18"/>
      <c r="E830" s="18"/>
      <c r="F830" s="18"/>
      <c r="G830" s="22"/>
      <c r="H830" s="22"/>
      <c r="I830" s="22"/>
      <c r="J830" s="18"/>
    </row>
    <row r="831">
      <c r="A831" s="18"/>
      <c r="B831" s="24"/>
      <c r="C831" s="18"/>
      <c r="D831" s="18"/>
      <c r="E831" s="18"/>
      <c r="F831" s="18"/>
      <c r="G831" s="22"/>
      <c r="H831" s="22"/>
      <c r="I831" s="22"/>
      <c r="J831" s="18"/>
    </row>
    <row r="832">
      <c r="A832" s="18"/>
      <c r="B832" s="24"/>
      <c r="C832" s="18"/>
      <c r="D832" s="18"/>
      <c r="E832" s="18"/>
      <c r="F832" s="18"/>
      <c r="G832" s="22"/>
      <c r="H832" s="22"/>
      <c r="I832" s="22"/>
      <c r="J832" s="18"/>
    </row>
    <row r="833">
      <c r="A833" s="18"/>
      <c r="B833" s="24"/>
      <c r="C833" s="18"/>
      <c r="D833" s="18"/>
      <c r="E833" s="18"/>
      <c r="F833" s="18"/>
      <c r="G833" s="22"/>
      <c r="H833" s="22"/>
      <c r="I833" s="22"/>
      <c r="J833" s="18"/>
    </row>
    <row r="834">
      <c r="A834" s="18"/>
      <c r="B834" s="24"/>
      <c r="C834" s="18"/>
      <c r="D834" s="18"/>
      <c r="E834" s="18"/>
      <c r="F834" s="18"/>
      <c r="G834" s="22"/>
      <c r="H834" s="22"/>
      <c r="I834" s="22"/>
      <c r="J834" s="18"/>
    </row>
    <row r="835">
      <c r="A835" s="18"/>
      <c r="B835" s="24"/>
      <c r="C835" s="18"/>
      <c r="D835" s="18"/>
      <c r="E835" s="18"/>
      <c r="F835" s="18"/>
      <c r="G835" s="22"/>
      <c r="H835" s="22"/>
      <c r="I835" s="22"/>
      <c r="J835" s="18"/>
    </row>
    <row r="836">
      <c r="A836" s="18"/>
      <c r="B836" s="24"/>
      <c r="C836" s="18"/>
      <c r="D836" s="18"/>
      <c r="E836" s="18"/>
      <c r="F836" s="18"/>
      <c r="G836" s="22"/>
      <c r="H836" s="22"/>
      <c r="I836" s="22"/>
      <c r="J836" s="18"/>
    </row>
    <row r="837">
      <c r="A837" s="18"/>
      <c r="B837" s="24"/>
      <c r="C837" s="18"/>
      <c r="D837" s="18"/>
      <c r="E837" s="18"/>
      <c r="F837" s="18"/>
      <c r="G837" s="22"/>
      <c r="H837" s="22"/>
      <c r="I837" s="22"/>
      <c r="J837" s="18"/>
    </row>
    <row r="838">
      <c r="A838" s="18"/>
      <c r="B838" s="24"/>
      <c r="C838" s="18"/>
      <c r="D838" s="18"/>
      <c r="E838" s="18"/>
      <c r="F838" s="18"/>
      <c r="G838" s="22"/>
      <c r="H838" s="22"/>
      <c r="I838" s="22"/>
      <c r="J838" s="18"/>
    </row>
    <row r="839">
      <c r="A839" s="18"/>
      <c r="B839" s="24"/>
      <c r="C839" s="18"/>
      <c r="D839" s="18"/>
      <c r="E839" s="18"/>
      <c r="F839" s="18"/>
      <c r="G839" s="22"/>
      <c r="H839" s="22"/>
      <c r="I839" s="22"/>
      <c r="J839" s="18"/>
    </row>
    <row r="840">
      <c r="A840" s="18"/>
      <c r="B840" s="24"/>
      <c r="C840" s="18"/>
      <c r="D840" s="18"/>
      <c r="E840" s="18"/>
      <c r="F840" s="18"/>
      <c r="G840" s="22"/>
      <c r="H840" s="22"/>
      <c r="I840" s="22"/>
      <c r="J840" s="18"/>
    </row>
    <row r="841">
      <c r="A841" s="18"/>
      <c r="B841" s="24"/>
      <c r="C841" s="18"/>
      <c r="D841" s="18"/>
      <c r="E841" s="18"/>
      <c r="F841" s="18"/>
      <c r="G841" s="22"/>
      <c r="H841" s="22"/>
      <c r="I841" s="22"/>
      <c r="J841" s="18"/>
    </row>
    <row r="842">
      <c r="A842" s="18"/>
      <c r="B842" s="24"/>
      <c r="C842" s="18"/>
      <c r="D842" s="18"/>
      <c r="E842" s="18"/>
      <c r="F842" s="18"/>
      <c r="G842" s="22"/>
      <c r="H842" s="22"/>
      <c r="I842" s="22"/>
      <c r="J842" s="18"/>
    </row>
    <row r="843">
      <c r="A843" s="18"/>
      <c r="B843" s="24"/>
      <c r="C843" s="18"/>
      <c r="D843" s="18"/>
      <c r="E843" s="18"/>
      <c r="F843" s="18"/>
      <c r="G843" s="22"/>
      <c r="H843" s="22"/>
      <c r="I843" s="22"/>
      <c r="J843" s="18"/>
    </row>
    <row r="844">
      <c r="A844" s="18"/>
      <c r="B844" s="24"/>
      <c r="C844" s="18"/>
      <c r="D844" s="18"/>
      <c r="E844" s="18"/>
      <c r="F844" s="18"/>
      <c r="G844" s="22"/>
      <c r="H844" s="22"/>
      <c r="I844" s="22"/>
      <c r="J844" s="18"/>
    </row>
    <row r="845">
      <c r="A845" s="18"/>
      <c r="B845" s="24"/>
      <c r="C845" s="18"/>
      <c r="D845" s="18"/>
      <c r="E845" s="18"/>
      <c r="F845" s="18"/>
      <c r="G845" s="22"/>
      <c r="H845" s="22"/>
      <c r="I845" s="22"/>
      <c r="J845" s="18"/>
    </row>
    <row r="846">
      <c r="A846" s="18"/>
      <c r="B846" s="24"/>
      <c r="C846" s="18"/>
      <c r="D846" s="18"/>
      <c r="E846" s="18"/>
      <c r="F846" s="18"/>
      <c r="G846" s="22"/>
      <c r="H846" s="22"/>
      <c r="I846" s="22"/>
      <c r="J846" s="18"/>
    </row>
    <row r="847">
      <c r="A847" s="18"/>
      <c r="B847" s="24"/>
      <c r="C847" s="18"/>
      <c r="D847" s="18"/>
      <c r="E847" s="18"/>
      <c r="F847" s="18"/>
      <c r="G847" s="22"/>
      <c r="H847" s="22"/>
      <c r="I847" s="22"/>
      <c r="J847" s="18"/>
    </row>
    <row r="848">
      <c r="A848" s="18"/>
      <c r="B848" s="24"/>
      <c r="C848" s="18"/>
      <c r="D848" s="18"/>
      <c r="E848" s="18"/>
      <c r="F848" s="18"/>
      <c r="G848" s="22"/>
      <c r="H848" s="22"/>
      <c r="I848" s="22"/>
      <c r="J848" s="18"/>
    </row>
    <row r="849">
      <c r="A849" s="18"/>
      <c r="B849" s="24"/>
      <c r="C849" s="18"/>
      <c r="D849" s="18"/>
      <c r="E849" s="18"/>
      <c r="F849" s="18"/>
      <c r="G849" s="22"/>
      <c r="H849" s="22"/>
      <c r="I849" s="22"/>
      <c r="J849" s="18"/>
    </row>
    <row r="850">
      <c r="A850" s="18"/>
      <c r="B850" s="24"/>
      <c r="C850" s="18"/>
      <c r="D850" s="18"/>
      <c r="E850" s="18"/>
      <c r="F850" s="18"/>
      <c r="G850" s="22"/>
      <c r="H850" s="22"/>
      <c r="I850" s="22"/>
      <c r="J850" s="18"/>
    </row>
    <row r="851">
      <c r="A851" s="18"/>
      <c r="B851" s="24"/>
      <c r="C851" s="18"/>
      <c r="D851" s="18"/>
      <c r="E851" s="18"/>
      <c r="F851" s="18"/>
      <c r="G851" s="22"/>
      <c r="H851" s="22"/>
      <c r="I851" s="22"/>
      <c r="J851" s="18"/>
    </row>
    <row r="852">
      <c r="A852" s="18"/>
      <c r="B852" s="24"/>
      <c r="C852" s="18"/>
      <c r="D852" s="18"/>
      <c r="E852" s="18"/>
      <c r="F852" s="18"/>
      <c r="G852" s="22"/>
      <c r="H852" s="22"/>
      <c r="I852" s="22"/>
      <c r="J852" s="18"/>
    </row>
    <row r="853">
      <c r="A853" s="18"/>
      <c r="B853" s="24"/>
      <c r="C853" s="18"/>
      <c r="D853" s="18"/>
      <c r="E853" s="18"/>
      <c r="F853" s="18"/>
      <c r="G853" s="22"/>
      <c r="H853" s="22"/>
      <c r="I853" s="22"/>
      <c r="J853" s="18"/>
    </row>
    <row r="854">
      <c r="A854" s="18"/>
      <c r="B854" s="24"/>
      <c r="C854" s="18"/>
      <c r="D854" s="18"/>
      <c r="E854" s="18"/>
      <c r="F854" s="18"/>
      <c r="G854" s="22"/>
      <c r="H854" s="22"/>
      <c r="I854" s="22"/>
      <c r="J854" s="18"/>
    </row>
    <row r="855">
      <c r="A855" s="18"/>
      <c r="B855" s="24"/>
      <c r="C855" s="18"/>
      <c r="D855" s="18"/>
      <c r="E855" s="18"/>
      <c r="F855" s="18"/>
      <c r="G855" s="22"/>
      <c r="H855" s="22"/>
      <c r="I855" s="22"/>
      <c r="J855" s="18"/>
    </row>
    <row r="856">
      <c r="A856" s="18"/>
      <c r="B856" s="24"/>
      <c r="C856" s="18"/>
      <c r="D856" s="18"/>
      <c r="E856" s="18"/>
      <c r="F856" s="18"/>
      <c r="G856" s="22"/>
      <c r="H856" s="22"/>
      <c r="I856" s="22"/>
      <c r="J856" s="18"/>
    </row>
    <row r="857">
      <c r="A857" s="18"/>
      <c r="B857" s="24"/>
      <c r="C857" s="18"/>
      <c r="D857" s="18"/>
      <c r="E857" s="18"/>
      <c r="F857" s="18"/>
      <c r="G857" s="22"/>
      <c r="H857" s="22"/>
      <c r="I857" s="22"/>
      <c r="J857" s="18"/>
    </row>
    <row r="858">
      <c r="A858" s="18"/>
      <c r="B858" s="24"/>
      <c r="C858" s="18"/>
      <c r="D858" s="18"/>
      <c r="E858" s="18"/>
      <c r="F858" s="18"/>
      <c r="G858" s="22"/>
      <c r="H858" s="22"/>
      <c r="I858" s="22"/>
      <c r="J858" s="18"/>
    </row>
    <row r="859">
      <c r="A859" s="18"/>
      <c r="B859" s="24"/>
      <c r="C859" s="18"/>
      <c r="D859" s="18"/>
      <c r="E859" s="18"/>
      <c r="F859" s="18"/>
      <c r="G859" s="22"/>
      <c r="H859" s="22"/>
      <c r="I859" s="22"/>
      <c r="J859" s="18"/>
    </row>
    <row r="860">
      <c r="A860" s="18"/>
      <c r="B860" s="24"/>
      <c r="C860" s="18"/>
      <c r="D860" s="18"/>
      <c r="E860" s="18"/>
      <c r="F860" s="18"/>
      <c r="G860" s="22"/>
      <c r="H860" s="22"/>
      <c r="I860" s="22"/>
      <c r="J860" s="18"/>
    </row>
    <row r="861">
      <c r="A861" s="18"/>
      <c r="B861" s="24"/>
      <c r="C861" s="18"/>
      <c r="D861" s="18"/>
      <c r="E861" s="18"/>
      <c r="F861" s="18"/>
      <c r="G861" s="22"/>
      <c r="H861" s="22"/>
      <c r="I861" s="22"/>
      <c r="J861" s="18"/>
    </row>
    <row r="862">
      <c r="A862" s="18"/>
      <c r="B862" s="24"/>
      <c r="C862" s="18"/>
      <c r="D862" s="18"/>
      <c r="E862" s="18"/>
      <c r="F862" s="18"/>
      <c r="G862" s="22"/>
      <c r="H862" s="22"/>
      <c r="I862" s="22"/>
      <c r="J862" s="18"/>
    </row>
    <row r="863">
      <c r="A863" s="18"/>
      <c r="B863" s="24"/>
      <c r="C863" s="18"/>
      <c r="D863" s="18"/>
      <c r="E863" s="18"/>
      <c r="F863" s="18"/>
      <c r="G863" s="22"/>
      <c r="H863" s="22"/>
      <c r="I863" s="22"/>
      <c r="J863" s="18"/>
    </row>
    <row r="864">
      <c r="A864" s="18"/>
      <c r="B864" s="24"/>
      <c r="C864" s="18"/>
      <c r="D864" s="18"/>
      <c r="E864" s="18"/>
      <c r="F864" s="18"/>
      <c r="G864" s="22"/>
      <c r="H864" s="22"/>
      <c r="I864" s="22"/>
      <c r="J864" s="18"/>
    </row>
    <row r="865">
      <c r="A865" s="18"/>
      <c r="B865" s="24"/>
      <c r="C865" s="18"/>
      <c r="D865" s="18"/>
      <c r="E865" s="18"/>
      <c r="F865" s="18"/>
      <c r="G865" s="22"/>
      <c r="H865" s="22"/>
      <c r="I865" s="22"/>
      <c r="J865" s="18"/>
    </row>
    <row r="866">
      <c r="A866" s="18"/>
      <c r="B866" s="24"/>
      <c r="C866" s="18"/>
      <c r="D866" s="18"/>
      <c r="E866" s="18"/>
      <c r="F866" s="18"/>
      <c r="G866" s="22"/>
      <c r="H866" s="22"/>
      <c r="I866" s="22"/>
      <c r="J866" s="18"/>
    </row>
    <row r="867">
      <c r="A867" s="18"/>
      <c r="B867" s="24"/>
      <c r="C867" s="18"/>
      <c r="D867" s="18"/>
      <c r="E867" s="18"/>
      <c r="F867" s="18"/>
      <c r="G867" s="22"/>
      <c r="H867" s="22"/>
      <c r="I867" s="22"/>
      <c r="J867" s="18"/>
    </row>
    <row r="868">
      <c r="A868" s="18"/>
      <c r="B868" s="24"/>
      <c r="C868" s="18"/>
      <c r="D868" s="18"/>
      <c r="E868" s="18"/>
      <c r="F868" s="18"/>
      <c r="G868" s="22"/>
      <c r="H868" s="22"/>
      <c r="I868" s="22"/>
      <c r="J868" s="18"/>
    </row>
    <row r="869">
      <c r="A869" s="18"/>
      <c r="B869" s="24"/>
      <c r="C869" s="18"/>
      <c r="D869" s="18"/>
      <c r="E869" s="18"/>
      <c r="F869" s="18"/>
      <c r="G869" s="22"/>
      <c r="H869" s="22"/>
      <c r="I869" s="22"/>
      <c r="J869" s="18"/>
    </row>
    <row r="870">
      <c r="A870" s="18"/>
      <c r="B870" s="24"/>
      <c r="C870" s="18"/>
      <c r="D870" s="18"/>
      <c r="E870" s="18"/>
      <c r="F870" s="18"/>
      <c r="G870" s="22"/>
      <c r="H870" s="22"/>
      <c r="I870" s="22"/>
      <c r="J870" s="18"/>
    </row>
    <row r="871">
      <c r="A871" s="18"/>
      <c r="B871" s="24"/>
      <c r="C871" s="18"/>
      <c r="D871" s="18"/>
      <c r="E871" s="18"/>
      <c r="F871" s="18"/>
      <c r="G871" s="22"/>
      <c r="H871" s="22"/>
      <c r="I871" s="22"/>
      <c r="J871" s="18"/>
    </row>
    <row r="872">
      <c r="A872" s="18"/>
      <c r="B872" s="24"/>
      <c r="C872" s="18"/>
      <c r="D872" s="18"/>
      <c r="E872" s="18"/>
      <c r="F872" s="18"/>
      <c r="G872" s="22"/>
      <c r="H872" s="22"/>
      <c r="I872" s="22"/>
      <c r="J872" s="18"/>
    </row>
    <row r="873">
      <c r="A873" s="18"/>
      <c r="B873" s="24"/>
      <c r="C873" s="18"/>
      <c r="D873" s="18"/>
      <c r="E873" s="18"/>
      <c r="F873" s="18"/>
      <c r="G873" s="22"/>
      <c r="H873" s="22"/>
      <c r="I873" s="22"/>
      <c r="J873" s="18"/>
    </row>
    <row r="874">
      <c r="A874" s="18"/>
      <c r="B874" s="24"/>
      <c r="C874" s="18"/>
      <c r="D874" s="18"/>
      <c r="E874" s="18"/>
      <c r="F874" s="18"/>
      <c r="G874" s="22"/>
      <c r="H874" s="22"/>
      <c r="I874" s="22"/>
      <c r="J874" s="18"/>
    </row>
    <row r="875">
      <c r="A875" s="18"/>
      <c r="B875" s="24"/>
      <c r="C875" s="18"/>
      <c r="D875" s="18"/>
      <c r="E875" s="18"/>
      <c r="F875" s="18"/>
      <c r="G875" s="22"/>
      <c r="H875" s="22"/>
      <c r="I875" s="22"/>
      <c r="J875" s="18"/>
    </row>
    <row r="876">
      <c r="A876" s="18"/>
      <c r="B876" s="24"/>
      <c r="C876" s="18"/>
      <c r="D876" s="18"/>
      <c r="E876" s="18"/>
      <c r="F876" s="18"/>
      <c r="G876" s="22"/>
      <c r="H876" s="22"/>
      <c r="I876" s="22"/>
      <c r="J876" s="18"/>
    </row>
    <row r="877">
      <c r="A877" s="18"/>
      <c r="B877" s="24"/>
      <c r="C877" s="18"/>
      <c r="D877" s="18"/>
      <c r="E877" s="18"/>
      <c r="F877" s="18"/>
      <c r="G877" s="22"/>
      <c r="H877" s="22"/>
      <c r="I877" s="22"/>
      <c r="J877" s="18"/>
    </row>
    <row r="878">
      <c r="A878" s="18"/>
      <c r="B878" s="24"/>
      <c r="C878" s="18"/>
      <c r="D878" s="18"/>
      <c r="E878" s="18"/>
      <c r="F878" s="18"/>
      <c r="G878" s="22"/>
      <c r="H878" s="22"/>
      <c r="I878" s="22"/>
      <c r="J878" s="18"/>
    </row>
    <row r="879">
      <c r="A879" s="18"/>
      <c r="B879" s="24"/>
      <c r="C879" s="18"/>
      <c r="D879" s="18"/>
      <c r="E879" s="18"/>
      <c r="F879" s="18"/>
      <c r="G879" s="22"/>
      <c r="H879" s="22"/>
      <c r="I879" s="22"/>
      <c r="J879" s="18"/>
    </row>
    <row r="880">
      <c r="A880" s="18"/>
      <c r="B880" s="24"/>
      <c r="C880" s="18"/>
      <c r="D880" s="18"/>
      <c r="E880" s="18"/>
      <c r="F880" s="18"/>
      <c r="G880" s="22"/>
      <c r="H880" s="22"/>
      <c r="I880" s="22"/>
      <c r="J880" s="18"/>
    </row>
    <row r="881">
      <c r="A881" s="18"/>
      <c r="B881" s="24"/>
      <c r="C881" s="18"/>
      <c r="D881" s="18"/>
      <c r="E881" s="18"/>
      <c r="F881" s="18"/>
      <c r="G881" s="22"/>
      <c r="H881" s="22"/>
      <c r="I881" s="22"/>
      <c r="J881" s="18"/>
    </row>
    <row r="882">
      <c r="A882" s="18"/>
      <c r="B882" s="24"/>
      <c r="C882" s="18"/>
      <c r="D882" s="18"/>
      <c r="E882" s="18"/>
      <c r="F882" s="18"/>
      <c r="G882" s="22"/>
      <c r="H882" s="22"/>
      <c r="I882" s="22"/>
      <c r="J882" s="18"/>
    </row>
    <row r="883">
      <c r="A883" s="18"/>
      <c r="B883" s="24"/>
      <c r="C883" s="18"/>
      <c r="D883" s="18"/>
      <c r="E883" s="18"/>
      <c r="F883" s="18"/>
      <c r="G883" s="22"/>
      <c r="H883" s="22"/>
      <c r="I883" s="22"/>
      <c r="J883" s="18"/>
    </row>
    <row r="884">
      <c r="A884" s="18"/>
      <c r="B884" s="24"/>
      <c r="C884" s="18"/>
      <c r="D884" s="18"/>
      <c r="E884" s="18"/>
      <c r="F884" s="18"/>
      <c r="G884" s="22"/>
      <c r="H884" s="22"/>
      <c r="I884" s="22"/>
      <c r="J884" s="18"/>
    </row>
    <row r="885">
      <c r="A885" s="18"/>
      <c r="B885" s="24"/>
      <c r="C885" s="18"/>
      <c r="D885" s="18"/>
      <c r="E885" s="18"/>
      <c r="F885" s="18"/>
      <c r="G885" s="22"/>
      <c r="H885" s="22"/>
      <c r="I885" s="22"/>
      <c r="J885" s="18"/>
    </row>
    <row r="886">
      <c r="A886" s="18"/>
      <c r="B886" s="24"/>
      <c r="C886" s="18"/>
      <c r="D886" s="18"/>
      <c r="E886" s="18"/>
      <c r="F886" s="18"/>
      <c r="G886" s="22"/>
      <c r="H886" s="22"/>
      <c r="I886" s="22"/>
      <c r="J886" s="18"/>
    </row>
    <row r="887">
      <c r="A887" s="18"/>
      <c r="B887" s="24"/>
      <c r="C887" s="18"/>
      <c r="D887" s="18"/>
      <c r="E887" s="18"/>
      <c r="F887" s="18"/>
      <c r="G887" s="22"/>
      <c r="H887" s="22"/>
      <c r="I887" s="22"/>
      <c r="J887" s="18"/>
    </row>
    <row r="888">
      <c r="A888" s="18"/>
      <c r="B888" s="24"/>
      <c r="C888" s="18"/>
      <c r="D888" s="18"/>
      <c r="E888" s="18"/>
      <c r="F888" s="18"/>
      <c r="G888" s="22"/>
      <c r="H888" s="22"/>
      <c r="I888" s="22"/>
      <c r="J888" s="18"/>
    </row>
    <row r="889">
      <c r="A889" s="18"/>
      <c r="B889" s="24"/>
      <c r="C889" s="18"/>
      <c r="D889" s="18"/>
      <c r="E889" s="18"/>
      <c r="F889" s="18"/>
      <c r="G889" s="22"/>
      <c r="H889" s="22"/>
      <c r="I889" s="22"/>
      <c r="J889" s="18"/>
    </row>
    <row r="890">
      <c r="A890" s="18"/>
      <c r="B890" s="24"/>
      <c r="C890" s="18"/>
      <c r="D890" s="18"/>
      <c r="E890" s="18"/>
      <c r="F890" s="18"/>
      <c r="G890" s="22"/>
      <c r="H890" s="22"/>
      <c r="I890" s="22"/>
      <c r="J890" s="18"/>
    </row>
    <row r="891">
      <c r="A891" s="18"/>
      <c r="B891" s="24"/>
      <c r="C891" s="18"/>
      <c r="D891" s="18"/>
      <c r="E891" s="18"/>
      <c r="F891" s="18"/>
      <c r="G891" s="22"/>
      <c r="H891" s="22"/>
      <c r="I891" s="22"/>
      <c r="J891" s="18"/>
    </row>
    <row r="892">
      <c r="A892" s="18"/>
      <c r="B892" s="24"/>
      <c r="C892" s="18"/>
      <c r="D892" s="18"/>
      <c r="E892" s="18"/>
      <c r="F892" s="18"/>
      <c r="G892" s="22"/>
      <c r="H892" s="22"/>
      <c r="I892" s="22"/>
      <c r="J892" s="18"/>
    </row>
    <row r="893">
      <c r="A893" s="18"/>
      <c r="B893" s="24"/>
      <c r="C893" s="18"/>
      <c r="D893" s="18"/>
      <c r="E893" s="18"/>
      <c r="F893" s="18"/>
      <c r="G893" s="22"/>
      <c r="H893" s="22"/>
      <c r="I893" s="22"/>
      <c r="J893" s="18"/>
    </row>
    <row r="894">
      <c r="A894" s="18"/>
      <c r="B894" s="24"/>
      <c r="C894" s="18"/>
      <c r="D894" s="18"/>
      <c r="E894" s="18"/>
      <c r="F894" s="18"/>
      <c r="G894" s="22"/>
      <c r="H894" s="22"/>
      <c r="I894" s="22"/>
      <c r="J894" s="18"/>
    </row>
    <row r="895">
      <c r="A895" s="18"/>
      <c r="B895" s="24"/>
      <c r="C895" s="18"/>
      <c r="D895" s="18"/>
      <c r="E895" s="18"/>
      <c r="F895" s="18"/>
      <c r="G895" s="22"/>
      <c r="H895" s="22"/>
      <c r="I895" s="22"/>
      <c r="J895" s="18"/>
    </row>
    <row r="896">
      <c r="A896" s="18"/>
      <c r="B896" s="24"/>
      <c r="C896" s="18"/>
      <c r="D896" s="18"/>
      <c r="E896" s="18"/>
      <c r="F896" s="18"/>
      <c r="G896" s="22"/>
      <c r="H896" s="22"/>
      <c r="I896" s="22"/>
      <c r="J896" s="18"/>
    </row>
    <row r="897">
      <c r="A897" s="18"/>
      <c r="B897" s="24"/>
      <c r="C897" s="18"/>
      <c r="D897" s="18"/>
      <c r="E897" s="18"/>
      <c r="F897" s="18"/>
      <c r="G897" s="22"/>
      <c r="H897" s="22"/>
      <c r="I897" s="22"/>
      <c r="J897" s="18"/>
    </row>
    <row r="898">
      <c r="A898" s="18"/>
      <c r="B898" s="24"/>
      <c r="C898" s="18"/>
      <c r="D898" s="18"/>
      <c r="E898" s="18"/>
      <c r="F898" s="18"/>
      <c r="G898" s="22"/>
      <c r="H898" s="22"/>
      <c r="I898" s="22"/>
      <c r="J898" s="18"/>
    </row>
    <row r="899">
      <c r="A899" s="18"/>
      <c r="B899" s="24"/>
      <c r="C899" s="18"/>
      <c r="D899" s="18"/>
      <c r="E899" s="18"/>
      <c r="F899" s="18"/>
      <c r="G899" s="22"/>
      <c r="H899" s="22"/>
      <c r="I899" s="22"/>
      <c r="J899" s="18"/>
    </row>
    <row r="900">
      <c r="A900" s="18"/>
      <c r="B900" s="24"/>
      <c r="C900" s="18"/>
      <c r="D900" s="18"/>
      <c r="E900" s="18"/>
      <c r="F900" s="18"/>
      <c r="G900" s="22"/>
      <c r="H900" s="22"/>
      <c r="I900" s="22"/>
      <c r="J900" s="18"/>
    </row>
    <row r="901">
      <c r="A901" s="18"/>
      <c r="B901" s="24"/>
      <c r="C901" s="18"/>
      <c r="D901" s="18"/>
      <c r="E901" s="18"/>
      <c r="F901" s="18"/>
      <c r="G901" s="22"/>
      <c r="H901" s="22"/>
      <c r="I901" s="22"/>
      <c r="J901" s="18"/>
    </row>
    <row r="902">
      <c r="A902" s="18"/>
      <c r="B902" s="24"/>
      <c r="C902" s="18"/>
      <c r="D902" s="18"/>
      <c r="E902" s="18"/>
      <c r="F902" s="18"/>
      <c r="G902" s="22"/>
      <c r="H902" s="22"/>
      <c r="I902" s="22"/>
      <c r="J902" s="18"/>
    </row>
    <row r="903">
      <c r="A903" s="18"/>
      <c r="B903" s="24"/>
      <c r="C903" s="18"/>
      <c r="D903" s="18"/>
      <c r="E903" s="18"/>
      <c r="F903" s="18"/>
      <c r="G903" s="22"/>
      <c r="H903" s="22"/>
      <c r="I903" s="22"/>
      <c r="J903" s="18"/>
    </row>
    <row r="904">
      <c r="A904" s="18"/>
      <c r="B904" s="24"/>
      <c r="C904" s="18"/>
      <c r="D904" s="18"/>
      <c r="E904" s="18"/>
      <c r="F904" s="18"/>
      <c r="G904" s="22"/>
      <c r="H904" s="22"/>
      <c r="I904" s="22"/>
      <c r="J904" s="18"/>
    </row>
    <row r="905">
      <c r="A905" s="18"/>
      <c r="B905" s="24"/>
      <c r="C905" s="18"/>
      <c r="D905" s="18"/>
      <c r="E905" s="18"/>
      <c r="F905" s="18"/>
      <c r="G905" s="22"/>
      <c r="H905" s="22"/>
      <c r="I905" s="22"/>
      <c r="J905" s="18"/>
    </row>
    <row r="906">
      <c r="A906" s="18"/>
      <c r="B906" s="24"/>
      <c r="C906" s="18"/>
      <c r="D906" s="18"/>
      <c r="E906" s="18"/>
      <c r="F906" s="18"/>
      <c r="G906" s="22"/>
      <c r="H906" s="22"/>
      <c r="I906" s="22"/>
      <c r="J906" s="18"/>
    </row>
    <row r="907">
      <c r="A907" s="18"/>
      <c r="B907" s="24"/>
      <c r="C907" s="18"/>
      <c r="D907" s="18"/>
      <c r="E907" s="18"/>
      <c r="F907" s="18"/>
      <c r="G907" s="22"/>
      <c r="H907" s="22"/>
      <c r="I907" s="22"/>
      <c r="J907" s="18"/>
    </row>
    <row r="908">
      <c r="A908" s="18"/>
      <c r="B908" s="24"/>
      <c r="C908" s="18"/>
      <c r="D908" s="18"/>
      <c r="E908" s="18"/>
      <c r="F908" s="18"/>
      <c r="G908" s="22"/>
      <c r="H908" s="22"/>
      <c r="I908" s="22"/>
      <c r="J908" s="18"/>
    </row>
    <row r="909">
      <c r="A909" s="18"/>
      <c r="B909" s="24"/>
      <c r="C909" s="18"/>
      <c r="D909" s="18"/>
      <c r="E909" s="18"/>
      <c r="F909" s="18"/>
      <c r="G909" s="22"/>
      <c r="H909" s="22"/>
      <c r="I909" s="22"/>
      <c r="J909" s="18"/>
    </row>
    <row r="910">
      <c r="A910" s="18"/>
      <c r="B910" s="24"/>
      <c r="C910" s="18"/>
      <c r="D910" s="18"/>
      <c r="E910" s="18"/>
      <c r="F910" s="18"/>
      <c r="G910" s="22"/>
      <c r="H910" s="22"/>
      <c r="I910" s="22"/>
      <c r="J910" s="18"/>
    </row>
    <row r="911">
      <c r="A911" s="18"/>
      <c r="B911" s="24"/>
      <c r="C911" s="18"/>
      <c r="D911" s="18"/>
      <c r="E911" s="18"/>
      <c r="F911" s="18"/>
      <c r="G911" s="22"/>
      <c r="H911" s="22"/>
      <c r="I911" s="22"/>
      <c r="J911" s="18"/>
    </row>
    <row r="912">
      <c r="A912" s="18"/>
      <c r="B912" s="24"/>
      <c r="C912" s="18"/>
      <c r="D912" s="18"/>
      <c r="E912" s="18"/>
      <c r="F912" s="18"/>
      <c r="G912" s="22"/>
      <c r="H912" s="22"/>
      <c r="I912" s="22"/>
      <c r="J912" s="18"/>
    </row>
    <row r="913">
      <c r="A913" s="18"/>
      <c r="B913" s="24"/>
      <c r="C913" s="18"/>
      <c r="D913" s="18"/>
      <c r="E913" s="18"/>
      <c r="F913" s="18"/>
      <c r="G913" s="22"/>
      <c r="H913" s="22"/>
      <c r="I913" s="22"/>
      <c r="J913" s="18"/>
    </row>
    <row r="914">
      <c r="A914" s="18"/>
      <c r="B914" s="24"/>
      <c r="C914" s="18"/>
      <c r="D914" s="18"/>
      <c r="E914" s="18"/>
      <c r="F914" s="18"/>
      <c r="G914" s="22"/>
      <c r="H914" s="22"/>
      <c r="I914" s="22"/>
      <c r="J914" s="18"/>
    </row>
    <row r="915">
      <c r="A915" s="18"/>
      <c r="B915" s="24"/>
      <c r="C915" s="18"/>
      <c r="D915" s="18"/>
      <c r="E915" s="18"/>
      <c r="F915" s="18"/>
      <c r="G915" s="22"/>
      <c r="H915" s="22"/>
      <c r="I915" s="22"/>
      <c r="J915" s="18"/>
    </row>
    <row r="916">
      <c r="A916" s="18"/>
      <c r="B916" s="24"/>
      <c r="C916" s="18"/>
      <c r="D916" s="18"/>
      <c r="E916" s="18"/>
      <c r="F916" s="18"/>
      <c r="G916" s="22"/>
      <c r="H916" s="22"/>
      <c r="I916" s="22"/>
      <c r="J916" s="18"/>
    </row>
    <row r="917">
      <c r="A917" s="18"/>
      <c r="B917" s="24"/>
      <c r="C917" s="18"/>
      <c r="D917" s="18"/>
      <c r="E917" s="18"/>
      <c r="F917" s="18"/>
      <c r="G917" s="22"/>
      <c r="H917" s="22"/>
      <c r="I917" s="22"/>
      <c r="J917" s="18"/>
    </row>
    <row r="918">
      <c r="A918" s="18"/>
      <c r="B918" s="24"/>
      <c r="C918" s="18"/>
      <c r="D918" s="18"/>
      <c r="E918" s="18"/>
      <c r="F918" s="18"/>
      <c r="G918" s="22"/>
      <c r="H918" s="22"/>
      <c r="I918" s="22"/>
      <c r="J918" s="18"/>
    </row>
    <row r="919">
      <c r="A919" s="18"/>
      <c r="B919" s="24"/>
      <c r="C919" s="18"/>
      <c r="D919" s="18"/>
      <c r="E919" s="18"/>
      <c r="F919" s="18"/>
      <c r="G919" s="22"/>
      <c r="H919" s="22"/>
      <c r="I919" s="22"/>
      <c r="J919" s="18"/>
    </row>
    <row r="920">
      <c r="A920" s="18"/>
      <c r="B920" s="24"/>
      <c r="C920" s="18"/>
      <c r="D920" s="18"/>
      <c r="E920" s="18"/>
      <c r="F920" s="18"/>
      <c r="G920" s="22"/>
      <c r="H920" s="22"/>
      <c r="I920" s="22"/>
      <c r="J920" s="18"/>
    </row>
    <row r="921">
      <c r="A921" s="18"/>
      <c r="B921" s="24"/>
      <c r="C921" s="18"/>
      <c r="D921" s="18"/>
      <c r="E921" s="18"/>
      <c r="F921" s="18"/>
      <c r="G921" s="22"/>
      <c r="H921" s="22"/>
      <c r="I921" s="22"/>
      <c r="J921" s="18"/>
    </row>
    <row r="922">
      <c r="A922" s="18"/>
      <c r="B922" s="24"/>
      <c r="C922" s="18"/>
      <c r="D922" s="18"/>
      <c r="E922" s="18"/>
      <c r="F922" s="18"/>
      <c r="G922" s="22"/>
      <c r="H922" s="22"/>
      <c r="I922" s="22"/>
      <c r="J922" s="18"/>
    </row>
    <row r="923">
      <c r="A923" s="18"/>
      <c r="B923" s="24"/>
      <c r="C923" s="18"/>
      <c r="D923" s="18"/>
      <c r="E923" s="18"/>
      <c r="F923" s="18"/>
      <c r="G923" s="22"/>
      <c r="H923" s="22"/>
      <c r="I923" s="22"/>
      <c r="J923" s="18"/>
    </row>
    <row r="924">
      <c r="A924" s="18"/>
      <c r="B924" s="24"/>
      <c r="C924" s="18"/>
      <c r="D924" s="18"/>
      <c r="E924" s="18"/>
      <c r="F924" s="18"/>
      <c r="G924" s="22"/>
      <c r="H924" s="22"/>
      <c r="I924" s="22"/>
      <c r="J924" s="18"/>
    </row>
    <row r="925">
      <c r="A925" s="18"/>
      <c r="B925" s="24"/>
      <c r="C925" s="18"/>
      <c r="D925" s="18"/>
      <c r="E925" s="18"/>
      <c r="F925" s="18"/>
      <c r="G925" s="22"/>
      <c r="H925" s="22"/>
      <c r="I925" s="22"/>
      <c r="J925" s="18"/>
    </row>
    <row r="926">
      <c r="A926" s="18"/>
      <c r="B926" s="24"/>
      <c r="C926" s="18"/>
      <c r="D926" s="18"/>
      <c r="E926" s="18"/>
      <c r="F926" s="18"/>
      <c r="G926" s="22"/>
      <c r="H926" s="22"/>
      <c r="I926" s="22"/>
      <c r="J926" s="18"/>
    </row>
    <row r="927">
      <c r="A927" s="18"/>
      <c r="B927" s="24"/>
      <c r="C927" s="18"/>
      <c r="D927" s="18"/>
      <c r="E927" s="18"/>
      <c r="F927" s="18"/>
      <c r="G927" s="22"/>
      <c r="H927" s="22"/>
      <c r="I927" s="22"/>
      <c r="J927" s="18"/>
    </row>
    <row r="928">
      <c r="A928" s="18"/>
      <c r="B928" s="24"/>
      <c r="C928" s="18"/>
      <c r="D928" s="18"/>
      <c r="E928" s="18"/>
      <c r="F928" s="18"/>
      <c r="G928" s="22"/>
      <c r="H928" s="22"/>
      <c r="I928" s="22"/>
      <c r="J928" s="18"/>
    </row>
    <row r="929">
      <c r="A929" s="18"/>
      <c r="B929" s="24"/>
      <c r="C929" s="18"/>
      <c r="D929" s="18"/>
      <c r="E929" s="18"/>
      <c r="F929" s="18"/>
      <c r="G929" s="22"/>
      <c r="H929" s="22"/>
      <c r="I929" s="22"/>
      <c r="J929" s="18"/>
    </row>
    <row r="930">
      <c r="A930" s="18"/>
      <c r="B930" s="24"/>
      <c r="C930" s="18"/>
      <c r="D930" s="18"/>
      <c r="E930" s="18"/>
      <c r="F930" s="18"/>
      <c r="G930" s="22"/>
      <c r="H930" s="22"/>
      <c r="I930" s="22"/>
      <c r="J930" s="18"/>
    </row>
    <row r="931">
      <c r="A931" s="18"/>
      <c r="B931" s="24"/>
      <c r="C931" s="18"/>
      <c r="D931" s="18"/>
      <c r="E931" s="18"/>
      <c r="F931" s="18"/>
      <c r="G931" s="22"/>
      <c r="H931" s="22"/>
      <c r="I931" s="22"/>
      <c r="J931" s="18"/>
    </row>
    <row r="932">
      <c r="A932" s="18"/>
      <c r="B932" s="24"/>
      <c r="C932" s="18"/>
      <c r="D932" s="18"/>
      <c r="E932" s="18"/>
      <c r="F932" s="18"/>
      <c r="G932" s="22"/>
      <c r="H932" s="22"/>
      <c r="I932" s="22"/>
      <c r="J932" s="18"/>
    </row>
    <row r="933">
      <c r="A933" s="18"/>
      <c r="B933" s="24"/>
      <c r="C933" s="18"/>
      <c r="D933" s="18"/>
      <c r="E933" s="18"/>
      <c r="F933" s="18"/>
      <c r="G933" s="22"/>
      <c r="H933" s="22"/>
      <c r="I933" s="22"/>
      <c r="J933" s="18"/>
    </row>
    <row r="934">
      <c r="A934" s="18"/>
      <c r="B934" s="24"/>
      <c r="C934" s="18"/>
      <c r="D934" s="18"/>
      <c r="E934" s="18"/>
      <c r="F934" s="18"/>
      <c r="G934" s="22"/>
      <c r="H934" s="22"/>
      <c r="I934" s="22"/>
      <c r="J934" s="18"/>
    </row>
    <row r="935">
      <c r="A935" s="18"/>
      <c r="B935" s="24"/>
      <c r="C935" s="18"/>
      <c r="D935" s="18"/>
      <c r="E935" s="18"/>
      <c r="F935" s="18"/>
      <c r="G935" s="22"/>
      <c r="H935" s="22"/>
      <c r="I935" s="22"/>
      <c r="J935" s="18"/>
    </row>
    <row r="936">
      <c r="A936" s="18"/>
      <c r="B936" s="24"/>
      <c r="C936" s="18"/>
      <c r="D936" s="18"/>
      <c r="E936" s="18"/>
      <c r="F936" s="18"/>
      <c r="G936" s="22"/>
      <c r="H936" s="22"/>
      <c r="I936" s="22"/>
      <c r="J936" s="18"/>
    </row>
    <row r="937">
      <c r="A937" s="18"/>
      <c r="B937" s="24"/>
      <c r="C937" s="18"/>
      <c r="D937" s="18"/>
      <c r="E937" s="18"/>
      <c r="F937" s="18"/>
      <c r="G937" s="22"/>
      <c r="H937" s="22"/>
      <c r="I937" s="22"/>
      <c r="J937" s="18"/>
    </row>
    <row r="938">
      <c r="A938" s="18"/>
      <c r="B938" s="24"/>
      <c r="C938" s="18"/>
      <c r="D938" s="18"/>
      <c r="E938" s="18"/>
      <c r="F938" s="18"/>
      <c r="G938" s="22"/>
      <c r="H938" s="22"/>
      <c r="I938" s="22"/>
      <c r="J938" s="18"/>
    </row>
    <row r="939">
      <c r="A939" s="18"/>
      <c r="B939" s="24"/>
      <c r="C939" s="18"/>
      <c r="D939" s="18"/>
      <c r="E939" s="18"/>
      <c r="F939" s="18"/>
      <c r="G939" s="22"/>
      <c r="H939" s="22"/>
      <c r="I939" s="22"/>
      <c r="J939" s="18"/>
    </row>
    <row r="940">
      <c r="A940" s="18"/>
      <c r="B940" s="24"/>
      <c r="C940" s="18"/>
      <c r="D940" s="18"/>
      <c r="E940" s="18"/>
      <c r="F940" s="18"/>
      <c r="G940" s="22"/>
      <c r="H940" s="22"/>
      <c r="I940" s="22"/>
      <c r="J940" s="18"/>
    </row>
    <row r="941">
      <c r="A941" s="18"/>
      <c r="B941" s="24"/>
      <c r="C941" s="18"/>
      <c r="D941" s="18"/>
      <c r="E941" s="18"/>
      <c r="F941" s="18"/>
      <c r="G941" s="22"/>
      <c r="H941" s="22"/>
      <c r="I941" s="22"/>
      <c r="J941" s="18"/>
    </row>
    <row r="942">
      <c r="A942" s="18"/>
      <c r="B942" s="24"/>
      <c r="C942" s="18"/>
      <c r="D942" s="18"/>
      <c r="E942" s="18"/>
      <c r="F942" s="18"/>
      <c r="G942" s="22"/>
      <c r="H942" s="22"/>
      <c r="I942" s="22"/>
      <c r="J942" s="18"/>
    </row>
    <row r="943">
      <c r="A943" s="18"/>
      <c r="B943" s="24"/>
      <c r="C943" s="18"/>
      <c r="D943" s="18"/>
      <c r="E943" s="18"/>
      <c r="F943" s="18"/>
      <c r="G943" s="22"/>
      <c r="H943" s="22"/>
      <c r="I943" s="22"/>
      <c r="J943" s="18"/>
    </row>
    <row r="944">
      <c r="A944" s="18"/>
      <c r="B944" s="24"/>
      <c r="C944" s="18"/>
      <c r="D944" s="18"/>
      <c r="E944" s="18"/>
      <c r="F944" s="18"/>
      <c r="G944" s="22"/>
      <c r="H944" s="22"/>
      <c r="I944" s="22"/>
      <c r="J944" s="18"/>
    </row>
    <row r="945">
      <c r="A945" s="18"/>
      <c r="B945" s="24"/>
      <c r="C945" s="18"/>
      <c r="D945" s="18"/>
      <c r="E945" s="18"/>
      <c r="F945" s="18"/>
      <c r="G945" s="22"/>
      <c r="H945" s="22"/>
      <c r="I945" s="22"/>
      <c r="J945" s="18"/>
    </row>
    <row r="946">
      <c r="A946" s="18"/>
      <c r="B946" s="24"/>
      <c r="C946" s="18"/>
      <c r="D946" s="18"/>
      <c r="E946" s="18"/>
      <c r="F946" s="18"/>
      <c r="G946" s="22"/>
      <c r="H946" s="22"/>
      <c r="I946" s="22"/>
      <c r="J946" s="18"/>
    </row>
    <row r="947">
      <c r="A947" s="18"/>
      <c r="B947" s="24"/>
      <c r="C947" s="18"/>
      <c r="D947" s="18"/>
      <c r="E947" s="18"/>
      <c r="F947" s="18"/>
      <c r="G947" s="22"/>
      <c r="H947" s="22"/>
      <c r="I947" s="22"/>
      <c r="J947" s="18"/>
    </row>
    <row r="948">
      <c r="A948" s="18"/>
      <c r="B948" s="24"/>
      <c r="C948" s="18"/>
      <c r="D948" s="18"/>
      <c r="E948" s="18"/>
      <c r="F948" s="18"/>
      <c r="G948" s="22"/>
      <c r="H948" s="22"/>
      <c r="I948" s="22"/>
      <c r="J948" s="18"/>
    </row>
    <row r="949">
      <c r="A949" s="18"/>
      <c r="B949" s="24"/>
      <c r="C949" s="18"/>
      <c r="D949" s="18"/>
      <c r="E949" s="18"/>
      <c r="F949" s="18"/>
      <c r="G949" s="22"/>
      <c r="H949" s="22"/>
      <c r="I949" s="22"/>
      <c r="J949" s="18"/>
    </row>
    <row r="950">
      <c r="A950" s="18"/>
      <c r="B950" s="24"/>
      <c r="C950" s="18"/>
      <c r="D950" s="18"/>
      <c r="E950" s="18"/>
      <c r="F950" s="18"/>
      <c r="G950" s="22"/>
      <c r="H950" s="22"/>
      <c r="I950" s="22"/>
      <c r="J950" s="18"/>
    </row>
    <row r="951">
      <c r="A951" s="18"/>
      <c r="B951" s="24"/>
      <c r="C951" s="18"/>
      <c r="D951" s="18"/>
      <c r="E951" s="18"/>
      <c r="F951" s="18"/>
      <c r="G951" s="22"/>
      <c r="H951" s="22"/>
      <c r="I951" s="22"/>
      <c r="J951" s="18"/>
    </row>
    <row r="952">
      <c r="A952" s="18"/>
      <c r="B952" s="24"/>
      <c r="C952" s="18"/>
      <c r="D952" s="18"/>
      <c r="E952" s="18"/>
      <c r="F952" s="18"/>
      <c r="G952" s="22"/>
      <c r="H952" s="22"/>
      <c r="I952" s="22"/>
      <c r="J952" s="18"/>
    </row>
    <row r="953">
      <c r="A953" s="18"/>
      <c r="B953" s="24"/>
      <c r="C953" s="18"/>
      <c r="D953" s="18"/>
      <c r="E953" s="18"/>
      <c r="F953" s="18"/>
      <c r="G953" s="22"/>
      <c r="H953" s="22"/>
      <c r="I953" s="22"/>
      <c r="J953" s="18"/>
    </row>
    <row r="954">
      <c r="A954" s="18"/>
      <c r="B954" s="24"/>
      <c r="C954" s="18"/>
      <c r="D954" s="18"/>
      <c r="E954" s="18"/>
      <c r="F954" s="18"/>
      <c r="G954" s="22"/>
      <c r="H954" s="22"/>
      <c r="I954" s="22"/>
      <c r="J954" s="18"/>
    </row>
    <row r="955">
      <c r="A955" s="18"/>
      <c r="B955" s="24"/>
      <c r="C955" s="18"/>
      <c r="D955" s="18"/>
      <c r="E955" s="18"/>
      <c r="F955" s="18"/>
      <c r="G955" s="22"/>
      <c r="H955" s="22"/>
      <c r="I955" s="22"/>
      <c r="J955" s="18"/>
    </row>
    <row r="956">
      <c r="A956" s="18"/>
      <c r="B956" s="24"/>
      <c r="C956" s="18"/>
      <c r="D956" s="18"/>
      <c r="E956" s="18"/>
      <c r="F956" s="18"/>
      <c r="G956" s="22"/>
      <c r="H956" s="22"/>
      <c r="I956" s="22"/>
      <c r="J956" s="18"/>
    </row>
    <row r="957">
      <c r="A957" s="18"/>
      <c r="B957" s="24"/>
      <c r="C957" s="18"/>
      <c r="D957" s="18"/>
      <c r="E957" s="18"/>
      <c r="F957" s="18"/>
      <c r="G957" s="22"/>
      <c r="H957" s="22"/>
      <c r="I957" s="22"/>
      <c r="J957" s="18"/>
    </row>
    <row r="958">
      <c r="A958" s="18"/>
      <c r="B958" s="24"/>
      <c r="C958" s="18"/>
      <c r="D958" s="18"/>
      <c r="E958" s="18"/>
      <c r="F958" s="18"/>
      <c r="G958" s="22"/>
      <c r="H958" s="22"/>
      <c r="I958" s="22"/>
      <c r="J958" s="18"/>
    </row>
    <row r="959">
      <c r="A959" s="18"/>
      <c r="B959" s="24"/>
      <c r="C959" s="18"/>
      <c r="D959" s="18"/>
      <c r="E959" s="18"/>
      <c r="F959" s="18"/>
      <c r="G959" s="22"/>
      <c r="H959" s="22"/>
      <c r="I959" s="22"/>
      <c r="J959" s="18"/>
    </row>
    <row r="960">
      <c r="A960" s="18"/>
      <c r="B960" s="24"/>
      <c r="C960" s="18"/>
      <c r="D960" s="18"/>
      <c r="E960" s="18"/>
      <c r="F960" s="18"/>
      <c r="G960" s="22"/>
      <c r="H960" s="22"/>
      <c r="I960" s="22"/>
      <c r="J960" s="18"/>
    </row>
    <row r="961">
      <c r="A961" s="18"/>
      <c r="B961" s="24"/>
      <c r="C961" s="18"/>
      <c r="D961" s="18"/>
      <c r="E961" s="18"/>
      <c r="F961" s="18"/>
      <c r="G961" s="22"/>
      <c r="H961" s="22"/>
      <c r="I961" s="22"/>
      <c r="J961" s="18"/>
    </row>
    <row r="962">
      <c r="A962" s="18"/>
      <c r="B962" s="24"/>
      <c r="C962" s="18"/>
      <c r="D962" s="18"/>
      <c r="E962" s="18"/>
      <c r="F962" s="18"/>
      <c r="G962" s="22"/>
      <c r="H962" s="22"/>
      <c r="I962" s="22"/>
      <c r="J962" s="18"/>
    </row>
    <row r="963">
      <c r="A963" s="18"/>
      <c r="B963" s="24"/>
      <c r="C963" s="18"/>
      <c r="D963" s="18"/>
      <c r="E963" s="18"/>
      <c r="F963" s="18"/>
      <c r="G963" s="22"/>
      <c r="H963" s="22"/>
      <c r="I963" s="22"/>
      <c r="J963" s="18"/>
    </row>
    <row r="964">
      <c r="A964" s="18"/>
      <c r="B964" s="24"/>
      <c r="C964" s="18"/>
      <c r="D964" s="18"/>
      <c r="E964" s="18"/>
      <c r="F964" s="18"/>
      <c r="G964" s="22"/>
      <c r="H964" s="22"/>
      <c r="I964" s="22"/>
      <c r="J964" s="18"/>
    </row>
    <row r="965">
      <c r="A965" s="18"/>
      <c r="B965" s="24"/>
      <c r="C965" s="18"/>
      <c r="D965" s="18"/>
      <c r="E965" s="18"/>
      <c r="F965" s="18"/>
      <c r="G965" s="22"/>
      <c r="H965" s="22"/>
      <c r="I965" s="22"/>
      <c r="J965" s="18"/>
    </row>
    <row r="966">
      <c r="A966" s="18"/>
      <c r="B966" s="24"/>
      <c r="C966" s="18"/>
      <c r="D966" s="18"/>
      <c r="E966" s="18"/>
      <c r="F966" s="18"/>
      <c r="G966" s="22"/>
      <c r="H966" s="22"/>
      <c r="I966" s="22"/>
      <c r="J966" s="18"/>
    </row>
    <row r="967">
      <c r="A967" s="18"/>
      <c r="B967" s="24"/>
      <c r="C967" s="18"/>
      <c r="D967" s="18"/>
      <c r="E967" s="18"/>
      <c r="F967" s="18"/>
      <c r="G967" s="22"/>
      <c r="H967" s="22"/>
      <c r="I967" s="22"/>
      <c r="J967" s="18"/>
    </row>
    <row r="968">
      <c r="A968" s="18"/>
      <c r="B968" s="24"/>
      <c r="C968" s="18"/>
      <c r="D968" s="18"/>
      <c r="E968" s="18"/>
      <c r="F968" s="18"/>
      <c r="G968" s="22"/>
      <c r="H968" s="22"/>
      <c r="I968" s="22"/>
      <c r="J968" s="18"/>
    </row>
    <row r="969">
      <c r="A969" s="18"/>
      <c r="B969" s="24"/>
      <c r="C969" s="18"/>
      <c r="D969" s="18"/>
      <c r="E969" s="18"/>
      <c r="F969" s="18"/>
      <c r="G969" s="22"/>
      <c r="H969" s="22"/>
      <c r="I969" s="22"/>
      <c r="J969" s="18"/>
    </row>
    <row r="970">
      <c r="A970" s="18"/>
      <c r="B970" s="24"/>
      <c r="C970" s="18"/>
      <c r="D970" s="18"/>
      <c r="E970" s="18"/>
      <c r="F970" s="18"/>
      <c r="G970" s="22"/>
      <c r="H970" s="22"/>
      <c r="I970" s="22"/>
      <c r="J970" s="18"/>
    </row>
    <row r="971">
      <c r="A971" s="18"/>
      <c r="B971" s="24"/>
      <c r="C971" s="18"/>
      <c r="D971" s="18"/>
      <c r="E971" s="18"/>
      <c r="F971" s="18"/>
      <c r="G971" s="22"/>
      <c r="H971" s="22"/>
      <c r="I971" s="22"/>
      <c r="J971" s="18"/>
    </row>
    <row r="972">
      <c r="A972" s="18"/>
      <c r="B972" s="24"/>
      <c r="C972" s="18"/>
      <c r="D972" s="18"/>
      <c r="E972" s="18"/>
      <c r="F972" s="18"/>
      <c r="G972" s="22"/>
      <c r="H972" s="22"/>
      <c r="I972" s="22"/>
      <c r="J972" s="18"/>
    </row>
    <row r="973">
      <c r="A973" s="18"/>
      <c r="B973" s="24"/>
      <c r="C973" s="18"/>
      <c r="D973" s="18"/>
      <c r="E973" s="18"/>
      <c r="F973" s="18"/>
      <c r="G973" s="22"/>
      <c r="H973" s="22"/>
      <c r="I973" s="22"/>
      <c r="J973" s="18"/>
    </row>
    <row r="974">
      <c r="A974" s="18"/>
      <c r="B974" s="24"/>
      <c r="C974" s="18"/>
      <c r="D974" s="18"/>
      <c r="E974" s="18"/>
      <c r="F974" s="18"/>
      <c r="G974" s="22"/>
      <c r="H974" s="22"/>
      <c r="I974" s="22"/>
      <c r="J974" s="18"/>
    </row>
    <row r="975">
      <c r="A975" s="18"/>
      <c r="B975" s="24"/>
      <c r="C975" s="18"/>
      <c r="D975" s="18"/>
      <c r="E975" s="18"/>
      <c r="F975" s="18"/>
      <c r="G975" s="22"/>
      <c r="H975" s="22"/>
      <c r="I975" s="22"/>
      <c r="J975" s="18"/>
    </row>
    <row r="976">
      <c r="A976" s="18"/>
      <c r="B976" s="24"/>
      <c r="C976" s="18"/>
      <c r="D976" s="18"/>
      <c r="E976" s="18"/>
      <c r="F976" s="18"/>
      <c r="G976" s="22"/>
      <c r="H976" s="22"/>
      <c r="I976" s="22"/>
      <c r="J976" s="18"/>
    </row>
    <row r="977">
      <c r="A977" s="18"/>
      <c r="B977" s="24"/>
      <c r="C977" s="18"/>
      <c r="D977" s="18"/>
      <c r="E977" s="18"/>
      <c r="F977" s="18"/>
      <c r="G977" s="22"/>
      <c r="H977" s="22"/>
      <c r="I977" s="22"/>
      <c r="J977" s="18"/>
    </row>
    <row r="978">
      <c r="A978" s="18"/>
      <c r="B978" s="24"/>
      <c r="C978" s="18"/>
      <c r="D978" s="18"/>
      <c r="E978" s="18"/>
      <c r="F978" s="18"/>
      <c r="G978" s="22"/>
      <c r="H978" s="22"/>
      <c r="I978" s="22"/>
      <c r="J978" s="18"/>
    </row>
    <row r="979">
      <c r="A979" s="18"/>
      <c r="B979" s="24"/>
      <c r="C979" s="18"/>
      <c r="D979" s="18"/>
      <c r="E979" s="18"/>
      <c r="F979" s="18"/>
      <c r="G979" s="22"/>
      <c r="H979" s="22"/>
      <c r="I979" s="22"/>
      <c r="J979" s="18"/>
    </row>
    <row r="980">
      <c r="A980" s="18"/>
      <c r="B980" s="24"/>
      <c r="C980" s="18"/>
      <c r="D980" s="18"/>
      <c r="E980" s="18"/>
      <c r="F980" s="18"/>
      <c r="G980" s="22"/>
      <c r="H980" s="22"/>
      <c r="I980" s="22"/>
      <c r="J980" s="18"/>
    </row>
    <row r="981">
      <c r="A981" s="18"/>
      <c r="B981" s="24"/>
      <c r="C981" s="18"/>
      <c r="D981" s="18"/>
      <c r="E981" s="18"/>
      <c r="F981" s="18"/>
      <c r="G981" s="22"/>
      <c r="H981" s="22"/>
      <c r="I981" s="22"/>
      <c r="J981" s="18"/>
    </row>
    <row r="982">
      <c r="A982" s="18"/>
      <c r="B982" s="24"/>
      <c r="C982" s="18"/>
      <c r="D982" s="18"/>
      <c r="E982" s="18"/>
      <c r="F982" s="18"/>
      <c r="G982" s="22"/>
      <c r="H982" s="22"/>
      <c r="I982" s="22"/>
      <c r="J982" s="18"/>
    </row>
    <row r="983">
      <c r="A983" s="18"/>
      <c r="B983" s="24"/>
      <c r="C983" s="18"/>
      <c r="D983" s="18"/>
      <c r="E983" s="18"/>
      <c r="F983" s="18"/>
      <c r="G983" s="22"/>
      <c r="H983" s="22"/>
      <c r="I983" s="22"/>
      <c r="J983" s="18"/>
    </row>
    <row r="984">
      <c r="A984" s="18"/>
      <c r="B984" s="24"/>
      <c r="C984" s="18"/>
      <c r="D984" s="18"/>
      <c r="E984" s="18"/>
      <c r="F984" s="18"/>
      <c r="G984" s="22"/>
      <c r="H984" s="22"/>
      <c r="I984" s="22"/>
      <c r="J984" s="18"/>
    </row>
    <row r="985">
      <c r="A985" s="18"/>
      <c r="B985" s="24"/>
      <c r="C985" s="18"/>
      <c r="D985" s="18"/>
      <c r="E985" s="18"/>
      <c r="F985" s="18"/>
      <c r="G985" s="22"/>
      <c r="H985" s="22"/>
      <c r="I985" s="22"/>
      <c r="J985" s="18"/>
    </row>
    <row r="986">
      <c r="A986" s="18"/>
      <c r="B986" s="24"/>
      <c r="C986" s="18"/>
      <c r="D986" s="18"/>
      <c r="E986" s="18"/>
      <c r="F986" s="18"/>
      <c r="G986" s="22"/>
      <c r="H986" s="22"/>
      <c r="I986" s="22"/>
      <c r="J986" s="18"/>
    </row>
    <row r="987">
      <c r="A987" s="18"/>
      <c r="B987" s="24"/>
      <c r="C987" s="18"/>
      <c r="D987" s="18"/>
      <c r="E987" s="18"/>
      <c r="F987" s="18"/>
      <c r="G987" s="22"/>
      <c r="H987" s="22"/>
      <c r="I987" s="22"/>
      <c r="J987" s="18"/>
    </row>
    <row r="988">
      <c r="A988" s="18"/>
      <c r="B988" s="24"/>
      <c r="C988" s="18"/>
      <c r="D988" s="18"/>
      <c r="E988" s="18"/>
      <c r="F988" s="18"/>
      <c r="G988" s="22"/>
      <c r="H988" s="22"/>
      <c r="I988" s="22"/>
      <c r="J988" s="18"/>
    </row>
    <row r="989">
      <c r="A989" s="18"/>
      <c r="B989" s="24"/>
      <c r="C989" s="18"/>
      <c r="D989" s="18"/>
      <c r="E989" s="18"/>
      <c r="F989" s="18"/>
      <c r="G989" s="22"/>
      <c r="H989" s="22"/>
      <c r="I989" s="22"/>
      <c r="J989" s="18"/>
    </row>
    <row r="990">
      <c r="A990" s="18"/>
      <c r="B990" s="24"/>
      <c r="C990" s="18"/>
      <c r="D990" s="18"/>
      <c r="E990" s="18"/>
      <c r="F990" s="18"/>
      <c r="G990" s="22"/>
      <c r="H990" s="22"/>
      <c r="I990" s="22"/>
      <c r="J990" s="18"/>
    </row>
    <row r="991">
      <c r="A991" s="18"/>
      <c r="B991" s="24"/>
      <c r="C991" s="18"/>
      <c r="D991" s="18"/>
      <c r="E991" s="18"/>
      <c r="F991" s="18"/>
      <c r="G991" s="22"/>
      <c r="H991" s="22"/>
      <c r="I991" s="22"/>
      <c r="J991" s="18"/>
    </row>
    <row r="992">
      <c r="A992" s="18"/>
      <c r="B992" s="24"/>
      <c r="C992" s="18"/>
      <c r="D992" s="18"/>
      <c r="E992" s="18"/>
      <c r="F992" s="18"/>
      <c r="G992" s="22"/>
      <c r="H992" s="22"/>
      <c r="I992" s="22"/>
      <c r="J992" s="18"/>
    </row>
    <row r="993">
      <c r="A993" s="18"/>
      <c r="B993" s="24"/>
      <c r="C993" s="18"/>
      <c r="D993" s="18"/>
      <c r="E993" s="18"/>
      <c r="F993" s="18"/>
      <c r="G993" s="22"/>
      <c r="H993" s="22"/>
      <c r="I993" s="22"/>
      <c r="J993" s="18"/>
    </row>
    <row r="994">
      <c r="A994" s="18"/>
      <c r="B994" s="24"/>
      <c r="C994" s="18"/>
      <c r="D994" s="18"/>
      <c r="E994" s="18"/>
      <c r="F994" s="18"/>
      <c r="G994" s="22"/>
      <c r="H994" s="22"/>
      <c r="I994" s="22"/>
      <c r="J994" s="18"/>
    </row>
    <row r="995">
      <c r="A995" s="18"/>
      <c r="B995" s="24"/>
      <c r="C995" s="18"/>
      <c r="D995" s="18"/>
      <c r="E995" s="18"/>
      <c r="F995" s="18"/>
      <c r="G995" s="22"/>
      <c r="H995" s="22"/>
      <c r="I995" s="22"/>
      <c r="J995" s="18"/>
    </row>
    <row r="996">
      <c r="A996" s="18"/>
      <c r="B996" s="24"/>
      <c r="C996" s="18"/>
      <c r="D996" s="18"/>
      <c r="E996" s="18"/>
      <c r="F996" s="18"/>
      <c r="G996" s="22"/>
      <c r="H996" s="22"/>
      <c r="I996" s="22"/>
      <c r="J996" s="18"/>
    </row>
    <row r="997">
      <c r="A997" s="18"/>
      <c r="B997" s="24"/>
      <c r="C997" s="18"/>
      <c r="D997" s="18"/>
      <c r="E997" s="18"/>
      <c r="F997" s="18"/>
      <c r="G997" s="22"/>
      <c r="H997" s="22"/>
      <c r="I997" s="22"/>
      <c r="J997" s="18"/>
    </row>
    <row r="998">
      <c r="A998" s="18"/>
      <c r="B998" s="24"/>
      <c r="C998" s="18"/>
      <c r="D998" s="18"/>
      <c r="E998" s="18"/>
      <c r="F998" s="18"/>
      <c r="G998" s="22"/>
      <c r="H998" s="22"/>
      <c r="I998" s="22"/>
      <c r="J998" s="18"/>
    </row>
    <row r="999">
      <c r="A999" s="18"/>
      <c r="B999" s="24"/>
      <c r="C999" s="18"/>
      <c r="D999" s="18"/>
      <c r="E999" s="18"/>
      <c r="F999" s="18"/>
      <c r="G999" s="22"/>
      <c r="H999" s="22"/>
      <c r="I999" s="22"/>
      <c r="J999" s="18"/>
    </row>
    <row r="1000">
      <c r="A1000" s="18"/>
      <c r="B1000" s="24"/>
      <c r="C1000" s="18"/>
      <c r="D1000" s="18"/>
      <c r="E1000" s="18"/>
      <c r="F1000" s="18"/>
      <c r="G1000" s="22"/>
      <c r="H1000" s="22"/>
      <c r="I1000" s="22"/>
      <c r="J1000" s="18"/>
    </row>
    <row r="1001">
      <c r="A1001" s="18"/>
      <c r="B1001" s="24"/>
      <c r="C1001" s="18"/>
      <c r="D1001" s="18"/>
      <c r="E1001" s="18"/>
      <c r="F1001" s="18"/>
      <c r="G1001" s="22"/>
      <c r="H1001" s="22"/>
      <c r="I1001" s="22"/>
      <c r="J1001" s="18"/>
    </row>
    <row r="1002">
      <c r="A1002" s="18"/>
      <c r="B1002" s="24"/>
      <c r="C1002" s="18"/>
      <c r="D1002" s="18"/>
      <c r="E1002" s="18"/>
      <c r="F1002" s="18"/>
      <c r="G1002" s="22"/>
      <c r="H1002" s="22"/>
      <c r="I1002" s="22"/>
      <c r="J1002" s="18"/>
    </row>
  </sheetData>
  <hyperlinks>
    <hyperlink r:id="rId1" ref="J8"/>
    <hyperlink r:id="rId2" ref="J9"/>
    <hyperlink r:id="rId3" ref="J10"/>
    <hyperlink r:id="rId4" ref="J11"/>
    <hyperlink r:id="rId5" ref="J12"/>
    <hyperlink r:id="rId6" ref="J13"/>
    <hyperlink r:id="rId7" ref="J15"/>
    <hyperlink r:id="rId8" ref="J16"/>
    <hyperlink r:id="rId9" ref="J17"/>
    <hyperlink r:id="rId10" ref="J18"/>
    <hyperlink r:id="rId11" location="gid=681765774" ref="J19"/>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outlineLevelCol="1"/>
  <cols>
    <col customWidth="1" min="1" max="1" width="10.57"/>
    <col customWidth="1" min="2" max="3" width="10.0" outlineLevel="1"/>
    <col customWidth="1" min="4" max="4" width="11.43"/>
    <col customWidth="1" min="5" max="5" width="38.86"/>
    <col customWidth="1" min="6" max="6" width="19.57"/>
    <col customWidth="1" min="7" max="7" width="30.0"/>
    <col customWidth="1" min="8" max="8" width="7.86" outlineLevel="1"/>
    <col customWidth="1" min="9" max="9" width="8.86" outlineLevel="1"/>
    <col customWidth="1" min="10" max="10" width="18.29"/>
    <col min="11" max="15" width="14.43" outlineLevel="1"/>
    <col customWidth="1" min="16" max="16" width="11.0" outlineLevel="1"/>
    <col customWidth="1" min="17" max="17" width="17.29"/>
    <col customWidth="1" min="18" max="20" width="19.29" outlineLevel="1"/>
    <col customWidth="1" min="21" max="21" width="19.29"/>
    <col customWidth="1" min="22" max="22" width="19.29" outlineLevel="1"/>
    <col customWidth="1" min="24" max="24" width="19.29" outlineLevel="1"/>
    <col customWidth="1" min="26" max="26" width="19.29" outlineLevel="1"/>
    <col customWidth="1" min="27" max="27" width="11.29"/>
    <col customWidth="1" min="28" max="28" width="19.29" outlineLevel="1"/>
    <col customWidth="1" min="29" max="29" width="10.0"/>
    <col customWidth="1" min="30" max="30" width="16.29"/>
    <col customWidth="1" min="32" max="32" width="16.29"/>
    <col customWidth="1" min="33" max="33" width="19.86"/>
    <col customWidth="1" min="35" max="35" width="36.43"/>
    <col customWidth="1" min="36" max="38" width="10.71"/>
    <col customWidth="1" min="39" max="39" width="22.0"/>
    <col customWidth="1" min="40" max="40" width="10.71"/>
    <col customWidth="1" min="41" max="41" width="18.43"/>
    <col customWidth="1" min="42" max="46" width="10.71"/>
  </cols>
  <sheetData>
    <row r="1" ht="38.25" customHeight="1">
      <c r="A1" s="25" t="s">
        <v>105</v>
      </c>
      <c r="B1" s="26"/>
      <c r="C1" s="26"/>
      <c r="D1" s="27" t="s">
        <v>106</v>
      </c>
      <c r="E1" s="25" t="s">
        <v>105</v>
      </c>
      <c r="F1" s="27" t="s">
        <v>106</v>
      </c>
      <c r="G1" s="27" t="s">
        <v>106</v>
      </c>
      <c r="H1" s="28" t="s">
        <v>107</v>
      </c>
      <c r="I1" s="3"/>
      <c r="J1" s="25" t="s">
        <v>105</v>
      </c>
      <c r="K1" s="29" t="s">
        <v>106</v>
      </c>
      <c r="L1" s="30" t="s">
        <v>108</v>
      </c>
      <c r="M1" s="29" t="s">
        <v>106</v>
      </c>
      <c r="N1" s="30" t="s">
        <v>109</v>
      </c>
      <c r="O1" s="28" t="s">
        <v>107</v>
      </c>
      <c r="P1" s="3"/>
      <c r="Q1" s="27" t="s">
        <v>106</v>
      </c>
      <c r="R1" s="28" t="s">
        <v>107</v>
      </c>
      <c r="S1" s="27" t="s">
        <v>106</v>
      </c>
      <c r="T1" s="30" t="s">
        <v>110</v>
      </c>
      <c r="U1" s="27" t="s">
        <v>106</v>
      </c>
      <c r="V1" s="30" t="s">
        <v>111</v>
      </c>
      <c r="W1" s="27" t="s">
        <v>106</v>
      </c>
      <c r="X1" s="30" t="s">
        <v>112</v>
      </c>
      <c r="Y1" s="27" t="s">
        <v>106</v>
      </c>
      <c r="Z1" s="30" t="s">
        <v>113</v>
      </c>
      <c r="AA1" s="27" t="s">
        <v>106</v>
      </c>
      <c r="AB1" s="30" t="s">
        <v>114</v>
      </c>
      <c r="AC1" s="27" t="s">
        <v>106</v>
      </c>
      <c r="AD1" s="30" t="s">
        <v>115</v>
      </c>
      <c r="AE1" s="27" t="s">
        <v>106</v>
      </c>
      <c r="AF1" s="30" t="s">
        <v>116</v>
      </c>
      <c r="AG1" s="25" t="s">
        <v>105</v>
      </c>
      <c r="AH1" s="25" t="s">
        <v>105</v>
      </c>
      <c r="AI1" s="25" t="s">
        <v>105</v>
      </c>
      <c r="AJ1" s="25" t="s">
        <v>105</v>
      </c>
      <c r="AK1" s="25" t="s">
        <v>105</v>
      </c>
      <c r="AL1" s="25" t="s">
        <v>106</v>
      </c>
      <c r="AM1" s="25" t="s">
        <v>106</v>
      </c>
      <c r="AN1" s="25" t="s">
        <v>106</v>
      </c>
      <c r="AO1" s="25" t="s">
        <v>105</v>
      </c>
      <c r="AP1" s="25" t="s">
        <v>105</v>
      </c>
      <c r="AQ1" s="25" t="s">
        <v>105</v>
      </c>
      <c r="AR1" s="25" t="s">
        <v>106</v>
      </c>
      <c r="AS1" s="25" t="s">
        <v>106</v>
      </c>
      <c r="AT1" s="25" t="s">
        <v>106</v>
      </c>
    </row>
    <row r="2">
      <c r="A2" s="31" t="s">
        <v>117</v>
      </c>
      <c r="B2" s="32" t="s">
        <v>118</v>
      </c>
      <c r="C2" s="32" t="s">
        <v>119</v>
      </c>
      <c r="D2" s="32" t="s">
        <v>120</v>
      </c>
      <c r="E2" s="32" t="s">
        <v>121</v>
      </c>
      <c r="F2" s="33" t="s">
        <v>122</v>
      </c>
      <c r="G2" s="32" t="s">
        <v>123</v>
      </c>
      <c r="H2" s="32" t="s">
        <v>124</v>
      </c>
      <c r="I2" s="32" t="s">
        <v>125</v>
      </c>
      <c r="J2" s="34" t="s">
        <v>126</v>
      </c>
      <c r="K2" s="35" t="s">
        <v>127</v>
      </c>
      <c r="L2" s="36" t="s">
        <v>128</v>
      </c>
      <c r="M2" s="37" t="s">
        <v>129</v>
      </c>
      <c r="N2" s="38" t="s">
        <v>130</v>
      </c>
      <c r="O2" s="39" t="s">
        <v>131</v>
      </c>
      <c r="P2" s="39" t="s">
        <v>132</v>
      </c>
      <c r="Q2" s="32" t="s">
        <v>133</v>
      </c>
      <c r="R2" s="39" t="s">
        <v>134</v>
      </c>
      <c r="S2" s="40" t="s">
        <v>135</v>
      </c>
      <c r="T2" s="39" t="s">
        <v>136</v>
      </c>
      <c r="U2" s="41" t="s">
        <v>137</v>
      </c>
      <c r="V2" s="39" t="s">
        <v>138</v>
      </c>
      <c r="W2" s="41" t="s">
        <v>139</v>
      </c>
      <c r="X2" s="39" t="s">
        <v>140</v>
      </c>
      <c r="Y2" s="42" t="s">
        <v>141</v>
      </c>
      <c r="Z2" s="39" t="s">
        <v>142</v>
      </c>
      <c r="AA2" s="42" t="s">
        <v>143</v>
      </c>
      <c r="AB2" s="39" t="s">
        <v>144</v>
      </c>
      <c r="AC2" s="42" t="s">
        <v>145</v>
      </c>
      <c r="AD2" s="39" t="s">
        <v>146</v>
      </c>
      <c r="AE2" s="42" t="s">
        <v>147</v>
      </c>
      <c r="AF2" s="39" t="s">
        <v>148</v>
      </c>
      <c r="AG2" s="32" t="s">
        <v>149</v>
      </c>
      <c r="AH2" s="32" t="s">
        <v>150</v>
      </c>
      <c r="AI2" s="32" t="s">
        <v>151</v>
      </c>
      <c r="AJ2" s="43" t="s">
        <v>152</v>
      </c>
      <c r="AK2" s="43" t="s">
        <v>153</v>
      </c>
      <c r="AL2" s="44" t="s">
        <v>120</v>
      </c>
      <c r="AM2" s="45" t="s">
        <v>154</v>
      </c>
      <c r="AN2" s="46" t="s">
        <v>155</v>
      </c>
      <c r="AO2" s="47" t="s">
        <v>156</v>
      </c>
      <c r="AP2" s="48" t="s">
        <v>157</v>
      </c>
      <c r="AQ2" s="48" t="s">
        <v>158</v>
      </c>
      <c r="AR2" s="48" t="s">
        <v>159</v>
      </c>
      <c r="AS2" s="49" t="s">
        <v>160</v>
      </c>
      <c r="AT2" s="50" t="s">
        <v>161</v>
      </c>
    </row>
    <row r="3">
      <c r="A3" s="51"/>
      <c r="B3" s="52" t="str">
        <f>IF(D3="","",VLOOKUP(D3,'THAM CHIẾU'!$A:$B,2,0))</f>
        <v>#N/A</v>
      </c>
      <c r="C3" s="53" t="str">
        <f t="shared" ref="C3:C152" si="1">if(D3&lt;&gt;0,TEXT(D3,"mm/yyyy"),"")</f>
        <v>01/2022</v>
      </c>
      <c r="D3" s="54">
        <v>44563.0</v>
      </c>
      <c r="E3" s="55" t="s">
        <v>162</v>
      </c>
      <c r="F3" s="56"/>
      <c r="G3" s="57" t="s">
        <v>163</v>
      </c>
      <c r="H3" s="58" t="str">
        <f>IF(G3="","",VLOOKUP($G3,'Quy chuẩn hạch toán'!$B:$E,2,0))</f>
        <v>1531</v>
      </c>
      <c r="I3" s="58" t="str">
        <f>IF(H3="","",VLOOKUP($G3,'Quy chuẩn hạch toán'!$B:$E,3,0))</f>
        <v>4111</v>
      </c>
      <c r="J3" s="59">
        <v>1.35E9</v>
      </c>
      <c r="K3" s="60"/>
      <c r="L3" s="61"/>
      <c r="M3" s="62"/>
      <c r="N3" s="63"/>
      <c r="O3" s="64"/>
      <c r="P3" s="64"/>
      <c r="Q3" s="65"/>
      <c r="R3" s="64"/>
      <c r="S3" s="66"/>
      <c r="T3" s="64"/>
      <c r="U3" s="67"/>
      <c r="V3" s="64"/>
      <c r="W3" s="68"/>
      <c r="X3" s="64"/>
      <c r="Y3" s="69"/>
      <c r="Z3" s="64"/>
      <c r="AA3" s="70"/>
      <c r="AB3" s="64"/>
      <c r="AC3" s="70"/>
      <c r="AD3" s="64"/>
      <c r="AE3" s="68"/>
      <c r="AF3" s="64"/>
      <c r="AG3" s="71"/>
      <c r="AH3" s="72"/>
      <c r="AI3" s="72"/>
      <c r="AJ3" s="73"/>
      <c r="AK3" s="73"/>
      <c r="AL3" s="73"/>
      <c r="AM3" s="74"/>
      <c r="AN3" s="75"/>
      <c r="AO3" s="74"/>
      <c r="AP3" s="75"/>
      <c r="AQ3" s="75"/>
      <c r="AR3" s="75"/>
      <c r="AS3" s="76"/>
      <c r="AT3" s="77" t="s">
        <v>164</v>
      </c>
    </row>
    <row r="4">
      <c r="A4" s="78" t="s">
        <v>165</v>
      </c>
      <c r="B4" s="52" t="str">
        <f>IF(D4="","",VLOOKUP(D4,'THAM CHIẾU'!$A:$B,2,0))</f>
        <v>#N/A</v>
      </c>
      <c r="C4" s="53" t="str">
        <f t="shared" si="1"/>
        <v>01/2022</v>
      </c>
      <c r="D4" s="54">
        <v>44563.0</v>
      </c>
      <c r="E4" s="79" t="s">
        <v>166</v>
      </c>
      <c r="F4" s="80"/>
      <c r="G4" s="57" t="s">
        <v>167</v>
      </c>
      <c r="H4" s="58" t="str">
        <f>IF(G4="","",VLOOKUP($G4,'Quy chuẩn hạch toán'!$B:$E,2,0))</f>
        <v>1385</v>
      </c>
      <c r="I4" s="58" t="str">
        <f>IF(H4="","",VLOOKUP($G4,'Quy chuẩn hạch toán'!$B:$E,3,0))</f>
        <v>4111</v>
      </c>
      <c r="J4" s="59">
        <v>5.0E8</v>
      </c>
      <c r="K4" s="81" t="s">
        <v>168</v>
      </c>
      <c r="L4" s="82"/>
      <c r="M4" s="62"/>
      <c r="N4" s="63"/>
      <c r="O4" s="64"/>
      <c r="P4" s="64"/>
      <c r="Q4" s="65" t="s">
        <v>169</v>
      </c>
      <c r="R4" s="64"/>
      <c r="S4" s="66"/>
      <c r="T4" s="64"/>
      <c r="U4" s="67"/>
      <c r="V4" s="64"/>
      <c r="W4" s="83"/>
      <c r="X4" s="64"/>
      <c r="Y4" s="84"/>
      <c r="Z4" s="64"/>
      <c r="AA4" s="70"/>
      <c r="AB4" s="64"/>
      <c r="AC4" s="85"/>
      <c r="AD4" s="64"/>
      <c r="AE4" s="68"/>
      <c r="AF4" s="64"/>
      <c r="AG4" s="86"/>
      <c r="AH4" s="72"/>
      <c r="AI4" s="72"/>
      <c r="AJ4" s="73"/>
      <c r="AK4" s="73"/>
      <c r="AL4" s="73"/>
      <c r="AM4" s="74"/>
      <c r="AN4" s="75"/>
      <c r="AO4" s="74"/>
      <c r="AP4" s="75"/>
      <c r="AQ4" s="75"/>
      <c r="AR4" s="75"/>
      <c r="AS4" s="76"/>
      <c r="AT4" s="77" t="s">
        <v>170</v>
      </c>
    </row>
    <row r="5">
      <c r="A5" s="51"/>
      <c r="B5" s="52" t="str">
        <f>IF(D5="","",VLOOKUP(D5,'THAM CHIẾU'!$A:$B,2,0))</f>
        <v>#N/A</v>
      </c>
      <c r="C5" s="53" t="str">
        <f t="shared" si="1"/>
        <v>01/2022</v>
      </c>
      <c r="D5" s="54">
        <v>44563.0</v>
      </c>
      <c r="E5" s="55"/>
      <c r="F5" s="56"/>
      <c r="G5" s="57"/>
      <c r="H5" s="58" t="str">
        <f>IF(G5="","",VLOOKUP($G5,'Quy chuẩn hạch toán'!$B:$E,2,0))</f>
        <v/>
      </c>
      <c r="I5" s="58" t="str">
        <f>IF(H5="","",VLOOKUP($G5,'Quy chuẩn hạch toán'!$B:$E,3,0))</f>
        <v/>
      </c>
      <c r="J5" s="59"/>
      <c r="K5" s="60"/>
      <c r="L5" s="61"/>
      <c r="M5" s="62"/>
      <c r="N5" s="63"/>
      <c r="O5" s="64"/>
      <c r="P5" s="64"/>
      <c r="Q5" s="65"/>
      <c r="R5" s="64"/>
      <c r="S5" s="66"/>
      <c r="T5" s="64"/>
      <c r="U5" s="67"/>
      <c r="V5" s="64"/>
      <c r="W5" s="83"/>
      <c r="X5" s="64"/>
      <c r="Y5" s="69"/>
      <c r="Z5" s="64"/>
      <c r="AA5" s="70"/>
      <c r="AB5" s="64"/>
      <c r="AC5" s="85"/>
      <c r="AD5" s="64"/>
      <c r="AE5" s="68"/>
      <c r="AF5" s="64"/>
      <c r="AG5" s="71"/>
      <c r="AH5" s="72"/>
      <c r="AI5" s="72"/>
      <c r="AJ5" s="87"/>
      <c r="AK5" s="87"/>
      <c r="AL5" s="87"/>
      <c r="AM5" s="87"/>
      <c r="AN5" s="87"/>
      <c r="AO5" s="87"/>
      <c r="AP5" s="87"/>
      <c r="AQ5" s="87"/>
      <c r="AR5" s="87"/>
      <c r="AS5" s="87"/>
      <c r="AT5" s="87"/>
    </row>
    <row r="6">
      <c r="A6" s="51"/>
      <c r="B6" s="52" t="str">
        <f>IF(D6="","",VLOOKUP(D6,'THAM CHIẾU'!$A:$B,2,0))</f>
        <v>#N/A</v>
      </c>
      <c r="C6" s="53" t="str">
        <f t="shared" si="1"/>
        <v>01/2022</v>
      </c>
      <c r="D6" s="54">
        <v>44563.0</v>
      </c>
      <c r="E6" s="79"/>
      <c r="F6" s="80"/>
      <c r="G6" s="57" t="s">
        <v>171</v>
      </c>
      <c r="H6" s="88">
        <v>112.0</v>
      </c>
      <c r="I6" s="58" t="str">
        <f>IF(H6="","",VLOOKUP($G6,'Quy chuẩn hạch toán'!$B:$E,3,0))</f>
        <v>131</v>
      </c>
      <c r="J6" s="59">
        <v>783565.0</v>
      </c>
      <c r="K6" s="60"/>
      <c r="L6" s="61"/>
      <c r="M6" s="62"/>
      <c r="N6" s="63"/>
      <c r="O6" s="64"/>
      <c r="P6" s="64"/>
      <c r="Q6" s="89"/>
      <c r="R6" s="64"/>
      <c r="S6" s="66"/>
      <c r="T6" s="64"/>
      <c r="U6" s="67"/>
      <c r="V6" s="64"/>
      <c r="W6" s="83"/>
      <c r="X6" s="64"/>
      <c r="Y6" s="69"/>
      <c r="Z6" s="64"/>
      <c r="AA6" s="70"/>
      <c r="AB6" s="64"/>
      <c r="AC6" s="70"/>
      <c r="AD6" s="64"/>
      <c r="AE6" s="68"/>
      <c r="AF6" s="64"/>
      <c r="AG6" s="71"/>
      <c r="AH6" s="72"/>
      <c r="AI6" s="72"/>
      <c r="AJ6" s="87"/>
      <c r="AK6" s="87"/>
      <c r="AL6" s="87"/>
      <c r="AM6" s="87"/>
      <c r="AN6" s="87"/>
      <c r="AO6" s="87"/>
      <c r="AP6" s="87"/>
      <c r="AQ6" s="87"/>
      <c r="AR6" s="87"/>
      <c r="AS6" s="87"/>
      <c r="AT6" s="87"/>
    </row>
    <row r="7">
      <c r="A7" s="51"/>
      <c r="B7" s="52" t="str">
        <f>IF(D7="","",VLOOKUP(D7,'THAM CHIẾU'!$A:$B,2,0))</f>
        <v>#N/A</v>
      </c>
      <c r="C7" s="53" t="str">
        <f t="shared" si="1"/>
        <v>01/2022</v>
      </c>
      <c r="D7" s="54">
        <v>44563.0</v>
      </c>
      <c r="E7" s="79"/>
      <c r="F7" s="80"/>
      <c r="G7" s="57" t="s">
        <v>171</v>
      </c>
      <c r="H7" s="58" t="str">
        <f>IF(G7="","",VLOOKUP($G7,'Quy chuẩn hạch toán'!$B:$E,2,0))</f>
        <v>1111</v>
      </c>
      <c r="I7" s="58" t="str">
        <f>IF(H7="","",VLOOKUP($G7,'Quy chuẩn hạch toán'!$B:$E,3,0))</f>
        <v>131</v>
      </c>
      <c r="J7" s="59"/>
      <c r="K7" s="60"/>
      <c r="L7" s="61"/>
      <c r="M7" s="62"/>
      <c r="N7" s="63"/>
      <c r="O7" s="64"/>
      <c r="P7" s="64"/>
      <c r="Q7" s="65"/>
      <c r="R7" s="64"/>
      <c r="S7" s="66"/>
      <c r="T7" s="64"/>
      <c r="U7" s="67"/>
      <c r="V7" s="64"/>
      <c r="W7" s="83"/>
      <c r="X7" s="64"/>
      <c r="Y7" s="69"/>
      <c r="Z7" s="64"/>
      <c r="AA7" s="70"/>
      <c r="AB7" s="64"/>
      <c r="AC7" s="70"/>
      <c r="AD7" s="64"/>
      <c r="AE7" s="68"/>
      <c r="AF7" s="64"/>
      <c r="AG7" s="71"/>
      <c r="AH7" s="72"/>
      <c r="AI7" s="72"/>
      <c r="AJ7" s="87"/>
      <c r="AK7" s="87"/>
      <c r="AL7" s="87"/>
      <c r="AM7" s="87"/>
      <c r="AN7" s="87"/>
      <c r="AO7" s="87"/>
      <c r="AP7" s="87"/>
      <c r="AQ7" s="87"/>
      <c r="AR7" s="87"/>
      <c r="AS7" s="87"/>
      <c r="AT7" s="87"/>
    </row>
    <row r="8">
      <c r="A8" s="51"/>
      <c r="B8" s="52" t="str">
        <f>IF(D8="","",VLOOKUP(D8,'THAM CHIẾU'!$A:$B,2,0))</f>
        <v>#N/A</v>
      </c>
      <c r="C8" s="53" t="str">
        <f t="shared" si="1"/>
        <v>01/2022</v>
      </c>
      <c r="D8" s="54">
        <v>44563.0</v>
      </c>
      <c r="E8" s="55"/>
      <c r="F8" s="56"/>
      <c r="G8" s="57"/>
      <c r="H8" s="58" t="str">
        <f>IF(G8="","",VLOOKUP($G8,'Quy chuẩn hạch toán'!$B:$E,2,0))</f>
        <v/>
      </c>
      <c r="I8" s="58" t="str">
        <f>IF(H8="","",VLOOKUP($G8,'Quy chuẩn hạch toán'!$B:$E,3,0))</f>
        <v/>
      </c>
      <c r="J8" s="59"/>
      <c r="K8" s="60"/>
      <c r="L8" s="61"/>
      <c r="M8" s="62"/>
      <c r="N8" s="63"/>
      <c r="O8" s="64"/>
      <c r="P8" s="64"/>
      <c r="Q8" s="65"/>
      <c r="R8" s="64"/>
      <c r="S8" s="66"/>
      <c r="T8" s="64"/>
      <c r="U8" s="67"/>
      <c r="V8" s="64"/>
      <c r="W8" s="83"/>
      <c r="X8" s="64"/>
      <c r="Y8" s="69"/>
      <c r="Z8" s="64"/>
      <c r="AA8" s="70"/>
      <c r="AB8" s="64"/>
      <c r="AC8" s="70"/>
      <c r="AD8" s="64"/>
      <c r="AE8" s="68"/>
      <c r="AF8" s="64"/>
      <c r="AG8" s="86"/>
      <c r="AH8" s="72"/>
      <c r="AI8" s="72"/>
      <c r="AJ8" s="87"/>
      <c r="AK8" s="87"/>
      <c r="AL8" s="87"/>
      <c r="AM8" s="87"/>
      <c r="AN8" s="87"/>
      <c r="AO8" s="87"/>
      <c r="AP8" s="87"/>
      <c r="AQ8" s="87"/>
      <c r="AR8" s="87"/>
      <c r="AS8" s="87"/>
      <c r="AT8" s="87"/>
    </row>
    <row r="9">
      <c r="A9" s="51"/>
      <c r="B9" s="52" t="str">
        <f>IF(D9="","",VLOOKUP(D9,'THAM CHIẾU'!$A:$B,2,0))</f>
        <v>#N/A</v>
      </c>
      <c r="C9" s="53" t="str">
        <f t="shared" si="1"/>
        <v>01/2022</v>
      </c>
      <c r="D9" s="54">
        <v>44563.0</v>
      </c>
      <c r="E9" s="79"/>
      <c r="F9" s="80"/>
      <c r="G9" s="57"/>
      <c r="H9" s="58" t="str">
        <f>IF(G9="","",VLOOKUP($G9,'Quy chuẩn hạch toán'!$B:$E,2,0))</f>
        <v/>
      </c>
      <c r="I9" s="58" t="str">
        <f>IF(H9="","",VLOOKUP($G9,'Quy chuẩn hạch toán'!$B:$E,3,0))</f>
        <v/>
      </c>
      <c r="J9" s="59"/>
      <c r="K9" s="60"/>
      <c r="L9" s="61"/>
      <c r="M9" s="62"/>
      <c r="N9" s="63"/>
      <c r="O9" s="64"/>
      <c r="P9" s="64"/>
      <c r="Q9" s="65"/>
      <c r="R9" s="64"/>
      <c r="S9" s="66"/>
      <c r="T9" s="64"/>
      <c r="U9" s="67"/>
      <c r="V9" s="64"/>
      <c r="W9" s="83"/>
      <c r="X9" s="64"/>
      <c r="Y9" s="69"/>
      <c r="Z9" s="64"/>
      <c r="AA9" s="70"/>
      <c r="AB9" s="64"/>
      <c r="AC9" s="85"/>
      <c r="AD9" s="64"/>
      <c r="AE9" s="68"/>
      <c r="AF9" s="64"/>
      <c r="AG9" s="71"/>
      <c r="AH9" s="72"/>
      <c r="AI9" s="72"/>
      <c r="AJ9" s="87"/>
      <c r="AK9" s="87"/>
      <c r="AL9" s="87"/>
      <c r="AM9" s="87"/>
      <c r="AN9" s="87"/>
      <c r="AO9" s="87"/>
      <c r="AP9" s="87"/>
      <c r="AQ9" s="87"/>
      <c r="AR9" s="87"/>
      <c r="AS9" s="87"/>
      <c r="AT9" s="87"/>
    </row>
    <row r="10">
      <c r="A10" s="51"/>
      <c r="B10" s="52" t="str">
        <f>IF(D10="","",VLOOKUP(D10,'THAM CHIẾU'!$A:$B,2,0))</f>
        <v>#N/A</v>
      </c>
      <c r="C10" s="53" t="str">
        <f t="shared" si="1"/>
        <v>01/2022</v>
      </c>
      <c r="D10" s="54">
        <v>44563.0</v>
      </c>
      <c r="E10" s="79"/>
      <c r="F10" s="80"/>
      <c r="G10" s="90"/>
      <c r="H10" s="58" t="str">
        <f>IF(G10="","",VLOOKUP($G10,'Quy chuẩn hạch toán'!$B:$E,2,0))</f>
        <v/>
      </c>
      <c r="I10" s="58" t="str">
        <f>IF(H10="","",VLOOKUP($G10,'Quy chuẩn hạch toán'!$B:$E,3,0))</f>
        <v/>
      </c>
      <c r="J10" s="59"/>
      <c r="K10" s="60"/>
      <c r="L10" s="61"/>
      <c r="M10" s="62"/>
      <c r="N10" s="63"/>
      <c r="O10" s="64"/>
      <c r="P10" s="64"/>
      <c r="Q10" s="65"/>
      <c r="R10" s="64"/>
      <c r="S10" s="66"/>
      <c r="T10" s="64"/>
      <c r="U10" s="67"/>
      <c r="V10" s="64"/>
      <c r="W10" s="83"/>
      <c r="X10" s="64"/>
      <c r="Y10" s="84"/>
      <c r="Z10" s="64"/>
      <c r="AA10" s="70"/>
      <c r="AB10" s="64"/>
      <c r="AC10" s="85"/>
      <c r="AD10" s="64"/>
      <c r="AE10" s="68"/>
      <c r="AF10" s="64"/>
      <c r="AG10" s="71"/>
      <c r="AH10" s="72"/>
      <c r="AI10" s="72"/>
      <c r="AJ10" s="87"/>
      <c r="AK10" s="87"/>
      <c r="AL10" s="87"/>
      <c r="AM10" s="87"/>
      <c r="AN10" s="87"/>
      <c r="AO10" s="87"/>
      <c r="AP10" s="87"/>
      <c r="AQ10" s="87"/>
      <c r="AR10" s="87"/>
      <c r="AS10" s="87"/>
      <c r="AT10" s="87"/>
    </row>
    <row r="11">
      <c r="A11" s="51"/>
      <c r="B11" s="52" t="str">
        <f>IF(D11="","",VLOOKUP(D11,'THAM CHIẾU'!$A:$B,2,0))</f>
        <v>#N/A</v>
      </c>
      <c r="C11" s="53" t="str">
        <f t="shared" si="1"/>
        <v>01/2022</v>
      </c>
      <c r="D11" s="54">
        <v>44563.0</v>
      </c>
      <c r="E11" s="91"/>
      <c r="F11" s="92"/>
      <c r="G11" s="57"/>
      <c r="H11" s="58" t="str">
        <f>IF(G11="","",VLOOKUP($G11,'Quy chuẩn hạch toán'!$B:$E,2,0))</f>
        <v/>
      </c>
      <c r="I11" s="58" t="str">
        <f>IF(H11="","",VLOOKUP($G11,'Quy chuẩn hạch toán'!$B:$E,3,0))</f>
        <v/>
      </c>
      <c r="J11" s="59"/>
      <c r="K11" s="60"/>
      <c r="L11" s="61"/>
      <c r="M11" s="62"/>
      <c r="N11" s="63"/>
      <c r="O11" s="64"/>
      <c r="P11" s="64"/>
      <c r="Q11" s="65"/>
      <c r="R11" s="64"/>
      <c r="S11" s="66"/>
      <c r="T11" s="64"/>
      <c r="U11" s="93"/>
      <c r="V11" s="64"/>
      <c r="W11" s="68"/>
      <c r="X11" s="64"/>
      <c r="Y11" s="69"/>
      <c r="Z11" s="64"/>
      <c r="AA11" s="70"/>
      <c r="AB11" s="64"/>
      <c r="AC11" s="94"/>
      <c r="AD11" s="64"/>
      <c r="AE11" s="83"/>
      <c r="AF11" s="64"/>
    </row>
    <row r="12">
      <c r="A12" s="51"/>
      <c r="B12" s="52" t="str">
        <f>IF(D12="","",VLOOKUP(D12,'THAM CHIẾU'!$A:$B,2,0))</f>
        <v>#N/A</v>
      </c>
      <c r="C12" s="53" t="str">
        <f t="shared" si="1"/>
        <v>01/2022</v>
      </c>
      <c r="D12" s="54">
        <v>44563.0</v>
      </c>
      <c r="E12" s="91"/>
      <c r="F12" s="92"/>
      <c r="G12" s="57"/>
      <c r="H12" s="58" t="str">
        <f>IF(G12="","",VLOOKUP($G12,'Quy chuẩn hạch toán'!$B:$E,2,0))</f>
        <v/>
      </c>
      <c r="I12" s="58" t="str">
        <f>IF(H12="","",VLOOKUP($G12,'Quy chuẩn hạch toán'!$B:$E,3,0))</f>
        <v/>
      </c>
      <c r="J12" s="59"/>
      <c r="K12" s="60"/>
      <c r="L12" s="61"/>
      <c r="M12" s="62"/>
      <c r="N12" s="63"/>
      <c r="O12" s="64"/>
      <c r="P12" s="64"/>
      <c r="Q12" s="65"/>
      <c r="R12" s="64"/>
      <c r="S12" s="66"/>
      <c r="T12" s="64"/>
      <c r="U12" s="93"/>
      <c r="V12" s="64"/>
      <c r="W12" s="68"/>
      <c r="X12" s="64"/>
      <c r="Y12" s="69"/>
      <c r="Z12" s="64"/>
      <c r="AA12" s="70"/>
      <c r="AB12" s="64"/>
      <c r="AC12" s="70"/>
      <c r="AD12" s="64"/>
      <c r="AE12" s="83"/>
      <c r="AF12" s="64"/>
    </row>
    <row r="13">
      <c r="A13" s="51"/>
      <c r="B13" s="52" t="str">
        <f>IF(D13="","",VLOOKUP(D13,'THAM CHIẾU'!$A:$B,2,0))</f>
        <v>#N/A</v>
      </c>
      <c r="C13" s="53" t="str">
        <f t="shared" si="1"/>
        <v>01/2022</v>
      </c>
      <c r="D13" s="54">
        <v>44563.0</v>
      </c>
      <c r="E13" s="91" t="s">
        <v>172</v>
      </c>
      <c r="F13" s="92"/>
      <c r="G13" s="57" t="s">
        <v>173</v>
      </c>
      <c r="H13" s="58" t="str">
        <f>IF(G13="","",VLOOKUP($G13,'Quy chuẩn hạch toán'!$B:$E,2,0))</f>
        <v>641</v>
      </c>
      <c r="I13" s="58" t="str">
        <f>IF(H13="","",VLOOKUP($G13,'Quy chuẩn hạch toán'!$B:$E,3,0))</f>
        <v>331</v>
      </c>
      <c r="J13" s="95">
        <v>2500000.0</v>
      </c>
      <c r="K13" s="60"/>
      <c r="L13" s="61"/>
      <c r="M13" s="62"/>
      <c r="N13" s="63"/>
      <c r="O13" s="64" t="str">
        <f>IF($Q13&lt;&gt;0,VLOOKUP($Q13,DM_KM,3,0),"")</f>
        <v>#N/A</v>
      </c>
      <c r="P13" s="64" t="str">
        <f>IF($Q13&lt;&gt;0,VLOOKUP($Q13,DM_KM,5,0),"")</f>
        <v>#N/A</v>
      </c>
      <c r="Q13" s="65" t="s">
        <v>174</v>
      </c>
      <c r="R13" s="64" t="str">
        <f>IF(S13&lt;&gt;0,VLOOKUP(S13,DM_DUAN,3,0),"")</f>
        <v>#N/A</v>
      </c>
      <c r="S13" s="66" t="str">
        <f>IF(U13&lt;&gt;0,VLOOKUP(U13,DM_DUAN,3,0),"")</f>
        <v>THANHNAM</v>
      </c>
      <c r="T13" s="64"/>
      <c r="U13" s="67" t="s">
        <v>175</v>
      </c>
      <c r="V13" s="64" t="str">
        <f>IF(W13&lt;&gt;0,VLOOKUP(W13,DM_DUAN,3,0),"")</f>
        <v/>
      </c>
      <c r="W13" s="68"/>
      <c r="X13" s="64" t="str">
        <f>IF(Y13&lt;&gt;0,VLOOKUP(Y13,DM_DUAN,3,0),"")</f>
        <v>#N/A</v>
      </c>
      <c r="Y13" s="69" t="s">
        <v>176</v>
      </c>
      <c r="Z13" s="64" t="str">
        <f>IF(AA13&lt;&gt;0,VLOOKUP(AA13,DM_DUAN,3,0),"")</f>
        <v>#N/A</v>
      </c>
      <c r="AA13" s="70" t="s">
        <v>177</v>
      </c>
      <c r="AB13" s="64" t="str">
        <f>IF(AC13&lt;&gt;0,VLOOKUP(AC13,DM_DUAN,3,0),"")</f>
        <v>#N/A</v>
      </c>
      <c r="AC13" s="70" t="s">
        <v>178</v>
      </c>
      <c r="AD13" s="64" t="str">
        <f>IF(AC13&lt;&gt;0,VLOOKUP(AC13,DM_NV,2,0),"")</f>
        <v>Lê Hoàng Quân</v>
      </c>
      <c r="AE13" s="68"/>
      <c r="AF13" s="64" t="str">
        <f>IF(AE13&lt;&gt;0,VLOOKUP(AE13,DM_NV,2,0),"")</f>
        <v/>
      </c>
      <c r="AG13" s="71"/>
      <c r="AH13" s="72"/>
      <c r="AI13" s="72"/>
      <c r="AJ13" s="87"/>
      <c r="AK13" s="87"/>
      <c r="AL13" s="87"/>
      <c r="AM13" s="87"/>
      <c r="AN13" s="87"/>
      <c r="AO13" s="87"/>
      <c r="AP13" s="87"/>
      <c r="AQ13" s="87"/>
      <c r="AR13" s="87"/>
      <c r="AS13" s="87"/>
      <c r="AT13" s="87"/>
    </row>
    <row r="14">
      <c r="A14" s="51"/>
      <c r="B14" s="52" t="str">
        <f>IF(D14="","",VLOOKUP(D14,'THAM CHIẾU'!$A:$B,2,0))</f>
        <v>#N/A</v>
      </c>
      <c r="C14" s="53" t="str">
        <f t="shared" si="1"/>
        <v>01/2022</v>
      </c>
      <c r="D14" s="96">
        <v>44563.0</v>
      </c>
      <c r="E14" s="79" t="s">
        <v>179</v>
      </c>
      <c r="F14" s="80"/>
      <c r="G14" s="57" t="s">
        <v>180</v>
      </c>
      <c r="H14" s="58" t="str">
        <f>IF(G14="","",VLOOKUP($G14,'Quy chuẩn hạch toán'!$B:$E,2,0))</f>
        <v>521</v>
      </c>
      <c r="I14" s="58" t="str">
        <f>IF(H14="","",VLOOKUP($G14,'Quy chuẩn hạch toán'!$B:$E,3,0))</f>
        <v>131</v>
      </c>
      <c r="J14" s="59">
        <v>8000000.0</v>
      </c>
      <c r="K14" s="60"/>
      <c r="L14" s="61"/>
      <c r="M14" s="62"/>
      <c r="N14" s="63"/>
      <c r="O14" s="64" t="str">
        <f>IF($Q14&lt;&gt;0,VLOOKUP($Q14,DM_KM,3,0),"")</f>
        <v>#N/A</v>
      </c>
      <c r="P14" s="64" t="str">
        <f>IF($Q14&lt;&gt;0,VLOOKUP($Q14,DM_KM,5,0),"")</f>
        <v>#N/A</v>
      </c>
      <c r="Q14" s="65" t="s">
        <v>181</v>
      </c>
      <c r="R14" s="64"/>
      <c r="S14" s="66"/>
      <c r="T14" s="64"/>
      <c r="U14" s="67" t="s">
        <v>175</v>
      </c>
      <c r="V14" s="64"/>
      <c r="W14" s="83" t="s">
        <v>182</v>
      </c>
      <c r="X14" s="64"/>
      <c r="Y14" s="84" t="s">
        <v>176</v>
      </c>
      <c r="Z14" s="64"/>
      <c r="AA14" s="70" t="s">
        <v>183</v>
      </c>
      <c r="AB14" s="64"/>
      <c r="AC14" s="85"/>
      <c r="AD14" s="64" t="str">
        <f>IF(AC14&lt;&gt;0,VLOOKUP(AC14,DM_NV,2,0),"")</f>
        <v/>
      </c>
      <c r="AE14" s="68"/>
      <c r="AF14" s="64" t="str">
        <f>IF(AE14&lt;&gt;0,VLOOKUP(AE14,DM_NV,2,0),"")</f>
        <v/>
      </c>
      <c r="AG14" s="86" t="s">
        <v>184</v>
      </c>
      <c r="AH14" s="72"/>
      <c r="AI14" s="72"/>
      <c r="AJ14" s="87"/>
      <c r="AK14" s="87"/>
      <c r="AL14" s="87"/>
      <c r="AM14" s="87"/>
      <c r="AN14" s="87"/>
      <c r="AO14" s="87"/>
      <c r="AP14" s="87"/>
      <c r="AQ14" s="87"/>
      <c r="AR14" s="87"/>
      <c r="AS14" s="87"/>
      <c r="AT14" s="87"/>
    </row>
    <row r="15">
      <c r="A15" s="51"/>
      <c r="B15" s="52" t="str">
        <f>IF(D15="","",VLOOKUP(D15,'THAM CHIẾU'!$A:$B,2,0))</f>
        <v>#N/A</v>
      </c>
      <c r="C15" s="53" t="str">
        <f t="shared" si="1"/>
        <v>01/2022</v>
      </c>
      <c r="D15" s="96">
        <v>44563.0</v>
      </c>
      <c r="E15" s="55" t="s">
        <v>185</v>
      </c>
      <c r="F15" s="56"/>
      <c r="G15" s="57" t="s">
        <v>186</v>
      </c>
      <c r="H15" s="58" t="str">
        <f>IF(G15="","",VLOOKUP($G15,'Quy chuẩn hạch toán'!$B:$E,2,0))</f>
        <v>131</v>
      </c>
      <c r="I15" s="58" t="str">
        <f>IF(H15="","",VLOOKUP($G15,'Quy chuẩn hạch toán'!$B:$E,3,0))</f>
        <v>5113</v>
      </c>
      <c r="J15" s="59">
        <v>1.6E8</v>
      </c>
      <c r="K15" s="60"/>
      <c r="L15" s="61"/>
      <c r="M15" s="62"/>
      <c r="N15" s="63"/>
      <c r="O15" s="64" t="str">
        <f>IF($Q15&lt;&gt;0,VLOOKUP($Q15,DM_KM,3,0),"")</f>
        <v>511_TK</v>
      </c>
      <c r="P15" s="64">
        <f>IF($Q15&lt;&gt;0,VLOOKUP($Q15,DM_KM,5,0),"")</f>
        <v>511</v>
      </c>
      <c r="Q15" s="65" t="s">
        <v>187</v>
      </c>
      <c r="R15" s="64" t="str">
        <f>IF(S15&lt;&gt;0,VLOOKUP(S15,DM_DUAN,3,0),"")</f>
        <v>#N/A</v>
      </c>
      <c r="S15" s="66" t="str">
        <f>IF(U15&lt;&gt;0,VLOOKUP(U15,DM_DUAN,3,0),"")</f>
        <v>THANHNAM</v>
      </c>
      <c r="T15" s="64"/>
      <c r="U15" s="67" t="s">
        <v>175</v>
      </c>
      <c r="V15" s="64" t="str">
        <f>IF(W15&lt;&gt;0,VLOOKUP(W15,DM_DUAN,3,0),"")</f>
        <v>#N/A</v>
      </c>
      <c r="W15" s="83" t="s">
        <v>182</v>
      </c>
      <c r="X15" s="64" t="str">
        <f>IF(Y15&lt;&gt;0,VLOOKUP(Y15,DM_DUAN,3,0),"")</f>
        <v/>
      </c>
      <c r="Y15" s="69"/>
      <c r="Z15" s="64" t="str">
        <f>IF(AA15&lt;&gt;0,VLOOKUP(AA15,DM_DUAN,3,0),"")</f>
        <v>#N/A</v>
      </c>
      <c r="AA15" s="70" t="s">
        <v>183</v>
      </c>
      <c r="AB15" s="64" t="str">
        <f>IF(AC15&lt;&gt;0,VLOOKUP(AC15,DM_DUAN,3,0),"")</f>
        <v/>
      </c>
      <c r="AC15" s="85"/>
      <c r="AD15" s="64" t="str">
        <f>IF(AC15&lt;&gt;0,VLOOKUP(AC15,DM_NV,2,0),"")</f>
        <v/>
      </c>
      <c r="AE15" s="68"/>
      <c r="AF15" s="64" t="str">
        <f>IF(AE15&lt;&gt;0,VLOOKUP(AE15,DM_NV,2,0),"")</f>
        <v/>
      </c>
      <c r="AG15" s="71"/>
      <c r="AH15" s="72"/>
      <c r="AI15" s="72"/>
      <c r="AJ15" s="87"/>
      <c r="AK15" s="87"/>
      <c r="AL15" s="87"/>
      <c r="AM15" s="87"/>
      <c r="AN15" s="87"/>
      <c r="AO15" s="87"/>
      <c r="AP15" s="87"/>
      <c r="AQ15" s="87"/>
      <c r="AR15" s="87"/>
      <c r="AS15" s="87"/>
      <c r="AT15" s="87"/>
    </row>
    <row r="16">
      <c r="A16" s="51"/>
      <c r="B16" s="52" t="str">
        <f>IF(D16="","",VLOOKUP(D16,'THAM CHIẾU'!$A:$B,2,0))</f>
        <v>#N/A</v>
      </c>
      <c r="C16" s="53" t="str">
        <f t="shared" si="1"/>
        <v>01/2022</v>
      </c>
      <c r="D16" s="96">
        <v>44563.0</v>
      </c>
      <c r="E16" s="79" t="s">
        <v>188</v>
      </c>
      <c r="F16" s="80"/>
      <c r="G16" s="57" t="s">
        <v>189</v>
      </c>
      <c r="H16" s="58" t="str">
        <f>IF(G16="","",VLOOKUP($G16,'Quy chuẩn hạch toán'!$B:$E,2,0))</f>
        <v>154</v>
      </c>
      <c r="I16" s="58" t="str">
        <f>IF(H16="","",VLOOKUP($G16,'Quy chuẩn hạch toán'!$B:$E,3,0))</f>
        <v>3345</v>
      </c>
      <c r="J16" s="59">
        <v>6.2E7</v>
      </c>
      <c r="K16" s="60"/>
      <c r="L16" s="61"/>
      <c r="M16" s="62"/>
      <c r="N16" s="63"/>
      <c r="O16" s="64" t="str">
        <f>IF($Q16&lt;&gt;0,VLOOKUP($Q16,DM_KM,3,0),"")</f>
        <v>#N/A</v>
      </c>
      <c r="P16" s="64" t="str">
        <f>IF($Q16&lt;&gt;0,VLOOKUP($Q16,DM_KM,5,0),"")</f>
        <v>#N/A</v>
      </c>
      <c r="Q16" s="89" t="s">
        <v>190</v>
      </c>
      <c r="R16" s="64" t="str">
        <f>IF(S16&lt;&gt;0,VLOOKUP(S16,DM_DUAN,3,0),"")</f>
        <v>#N/A</v>
      </c>
      <c r="S16" s="66" t="str">
        <f>IF(U16&lt;&gt;0,VLOOKUP(U16,DM_DUAN,3,0),"")</f>
        <v>THANHNAM</v>
      </c>
      <c r="T16" s="64"/>
      <c r="U16" s="67" t="s">
        <v>175</v>
      </c>
      <c r="V16" s="64" t="str">
        <f>IF(W16&lt;&gt;0,VLOOKUP(W16,DM_DUAN,3,0),"")</f>
        <v>#N/A</v>
      </c>
      <c r="W16" s="83" t="s">
        <v>182</v>
      </c>
      <c r="X16" s="64" t="str">
        <f>IF(Y16&lt;&gt;0,VLOOKUP(Y16,DM_DUAN,3,0),"")</f>
        <v>#N/A</v>
      </c>
      <c r="Y16" s="69" t="s">
        <v>176</v>
      </c>
      <c r="Z16" s="64" t="str">
        <f>IF(AA16&lt;&gt;0,VLOOKUP(AA16,DM_DUAN,3,0),"")</f>
        <v>#N/A</v>
      </c>
      <c r="AA16" s="70" t="s">
        <v>183</v>
      </c>
      <c r="AB16" s="64" t="str">
        <f>IF(AC16&lt;&gt;0,VLOOKUP(AC16,DM_DUAN,3,0),"")</f>
        <v>#N/A</v>
      </c>
      <c r="AC16" s="70" t="s">
        <v>191</v>
      </c>
      <c r="AD16" s="64" t="str">
        <f>IF(AC16&lt;&gt;0,VLOOKUP(AC16,DM_NV,2,0),"")</f>
        <v>Nguyễn Anh Vy</v>
      </c>
      <c r="AE16" s="68"/>
      <c r="AF16" s="64" t="str">
        <f>IF(AE16&lt;&gt;0,VLOOKUP(AE16,DM_NV,2,0),"")</f>
        <v/>
      </c>
      <c r="AG16" s="71"/>
      <c r="AH16" s="72"/>
      <c r="AI16" s="72"/>
      <c r="AJ16" s="87"/>
      <c r="AK16" s="87"/>
      <c r="AL16" s="87"/>
      <c r="AM16" s="87"/>
      <c r="AN16" s="87"/>
      <c r="AO16" s="87"/>
      <c r="AP16" s="87"/>
      <c r="AQ16" s="87"/>
      <c r="AR16" s="87"/>
      <c r="AS16" s="87"/>
      <c r="AT16" s="87"/>
    </row>
    <row r="17">
      <c r="A17" s="51"/>
      <c r="B17" s="52" t="str">
        <f>IF(D17="","",VLOOKUP(D17,'THAM CHIẾU'!$A:$B,2,0))</f>
        <v>#N/A</v>
      </c>
      <c r="C17" s="53" t="str">
        <f t="shared" si="1"/>
        <v>01/2022</v>
      </c>
      <c r="D17" s="96">
        <v>44563.0</v>
      </c>
      <c r="E17" s="79" t="s">
        <v>192</v>
      </c>
      <c r="F17" s="80"/>
      <c r="G17" s="57" t="s">
        <v>193</v>
      </c>
      <c r="H17" s="58" t="str">
        <f>IF(G17="","",VLOOKUP($G17,'Quy chuẩn hạch toán'!$B:$E,2,0))</f>
        <v>154</v>
      </c>
      <c r="I17" s="58" t="str">
        <f>IF(H17="","",VLOOKUP($G17,'Quy chuẩn hạch toán'!$B:$E,3,0))</f>
        <v>3344</v>
      </c>
      <c r="J17" s="59">
        <v>4500000.0</v>
      </c>
      <c r="K17" s="60"/>
      <c r="L17" s="61"/>
      <c r="M17" s="62"/>
      <c r="N17" s="63"/>
      <c r="O17" s="64" t="str">
        <f>IF($Q17&lt;&gt;0,VLOOKUP($Q17,DM_KM,3,0),"")</f>
        <v>#N/A</v>
      </c>
      <c r="P17" s="64" t="str">
        <f>IF($Q17&lt;&gt;0,VLOOKUP($Q17,DM_KM,5,0),"")</f>
        <v>#N/A</v>
      </c>
      <c r="Q17" s="65" t="s">
        <v>194</v>
      </c>
      <c r="R17" s="64" t="str">
        <f>IF(S17&lt;&gt;0,VLOOKUP(S17,DM_DUAN,3,0),"")</f>
        <v>#N/A</v>
      </c>
      <c r="S17" s="66" t="str">
        <f>IF(U17&lt;&gt;0,VLOOKUP(U17,DM_DUAN,3,0),"")</f>
        <v>THANHNAM</v>
      </c>
      <c r="T17" s="64"/>
      <c r="U17" s="67" t="s">
        <v>175</v>
      </c>
      <c r="V17" s="64" t="str">
        <f>IF(W17&lt;&gt;0,VLOOKUP(W17,DM_DUAN,3,0),"")</f>
        <v>#N/A</v>
      </c>
      <c r="W17" s="83" t="s">
        <v>182</v>
      </c>
      <c r="X17" s="64" t="str">
        <f>IF(Y17&lt;&gt;0,VLOOKUP(Y17,DM_DUAN,3,0),"")</f>
        <v>#N/A</v>
      </c>
      <c r="Y17" s="69" t="s">
        <v>176</v>
      </c>
      <c r="Z17" s="64" t="str">
        <f>IF(AA17&lt;&gt;0,VLOOKUP(AA17,DM_DUAN,3,0),"")</f>
        <v>#N/A</v>
      </c>
      <c r="AA17" s="70" t="s">
        <v>183</v>
      </c>
      <c r="AB17" s="64" t="str">
        <f>IF(AC17&lt;&gt;0,VLOOKUP(AC17,DM_DUAN,3,0),"")</f>
        <v>#N/A</v>
      </c>
      <c r="AC17" s="70" t="s">
        <v>195</v>
      </c>
      <c r="AD17" s="64" t="str">
        <f>IF(AC17&lt;&gt;0,VLOOKUP(AC17,DM_NV,2,0),"")</f>
        <v>Phan Thị Thùy Mai</v>
      </c>
      <c r="AE17" s="68"/>
      <c r="AF17" s="64" t="str">
        <f>IF(AE17&lt;&gt;0,VLOOKUP(AE17,DM_NV,2,0),"")</f>
        <v/>
      </c>
      <c r="AG17" s="71"/>
      <c r="AH17" s="72"/>
      <c r="AI17" s="72"/>
      <c r="AJ17" s="87"/>
      <c r="AK17" s="87"/>
      <c r="AL17" s="87"/>
      <c r="AM17" s="87"/>
      <c r="AN17" s="87"/>
      <c r="AO17" s="87"/>
      <c r="AP17" s="87"/>
      <c r="AQ17" s="87"/>
      <c r="AR17" s="87"/>
      <c r="AS17" s="87"/>
      <c r="AT17" s="87"/>
    </row>
    <row r="18">
      <c r="A18" s="51"/>
      <c r="B18" s="52" t="str">
        <f>IF(D18="","",VLOOKUP(D18,'THAM CHIẾU'!$A:$B,2,0))</f>
        <v>#N/A</v>
      </c>
      <c r="C18" s="53" t="str">
        <f t="shared" si="1"/>
        <v>01/2022</v>
      </c>
      <c r="D18" s="96">
        <v>44563.0</v>
      </c>
      <c r="E18" s="55" t="s">
        <v>196</v>
      </c>
      <c r="F18" s="56"/>
      <c r="G18" s="57" t="s">
        <v>197</v>
      </c>
      <c r="H18" s="58" t="str">
        <f>IF(G18="","",VLOOKUP($G18,'Quy chuẩn hạch toán'!$B:$E,2,0))</f>
        <v>#N/A</v>
      </c>
      <c r="I18" s="58" t="str">
        <f>IF(H18="","",VLOOKUP($G18,'Quy chuẩn hạch toán'!$B:$E,3,0))</f>
        <v>#N/A</v>
      </c>
      <c r="J18" s="59">
        <v>1.75E9</v>
      </c>
      <c r="K18" s="60"/>
      <c r="L18" s="61"/>
      <c r="M18" s="62"/>
      <c r="N18" s="63"/>
      <c r="O18" s="64" t="str">
        <f>IF($Q18&lt;&gt;0,VLOOKUP($Q18,DM_KM,3,0),"")</f>
        <v>#N/A</v>
      </c>
      <c r="P18" s="64" t="str">
        <f>IF($Q18&lt;&gt;0,VLOOKUP($Q18,DM_KM,5,0),"")</f>
        <v>#N/A</v>
      </c>
      <c r="Q18" s="65" t="s">
        <v>198</v>
      </c>
      <c r="R18" s="64" t="str">
        <f>IF(S18&lt;&gt;0,VLOOKUP(S18,DM_DUAN,3,0),"")</f>
        <v>#N/A</v>
      </c>
      <c r="S18" s="66" t="str">
        <f>IF(U18&lt;&gt;0,VLOOKUP(U18,DM_DUAN,3,0),"")</f>
        <v>THANHNAM</v>
      </c>
      <c r="T18" s="64"/>
      <c r="U18" s="67" t="s">
        <v>175</v>
      </c>
      <c r="V18" s="64" t="str">
        <f>IF(W18&lt;&gt;0,VLOOKUP(W18,DM_DUAN,3,0),"")</f>
        <v>#N/A</v>
      </c>
      <c r="W18" s="83" t="s">
        <v>182</v>
      </c>
      <c r="X18" s="64" t="str">
        <f>IF(Y18&lt;&gt;0,VLOOKUP(Y18,DM_DUAN,3,0),"")</f>
        <v>#N/A</v>
      </c>
      <c r="Y18" s="69" t="s">
        <v>176</v>
      </c>
      <c r="Z18" s="64" t="str">
        <f>IF(AA18&lt;&gt;0,VLOOKUP(AA18,DM_DUAN,3,0),"")</f>
        <v>#N/A</v>
      </c>
      <c r="AA18" s="70" t="s">
        <v>183</v>
      </c>
      <c r="AB18" s="64" t="str">
        <f>IF(AC18&lt;&gt;0,VLOOKUP(AC18,DM_DUAN,3,0),"")</f>
        <v>#N/A</v>
      </c>
      <c r="AC18" s="70" t="s">
        <v>191</v>
      </c>
      <c r="AD18" s="64" t="str">
        <f>IF(AC18&lt;&gt;0,VLOOKUP(AC18,DM_NV,2,0),"")</f>
        <v>Nguyễn Anh Vy</v>
      </c>
      <c r="AE18" s="68"/>
      <c r="AF18" s="64" t="str">
        <f>IF(AE18&lt;&gt;0,VLOOKUP(AE18,DM_NV,2,0),"")</f>
        <v/>
      </c>
      <c r="AG18" s="86" t="s">
        <v>184</v>
      </c>
      <c r="AH18" s="72"/>
      <c r="AI18" s="72"/>
      <c r="AJ18" s="87"/>
      <c r="AK18" s="87"/>
      <c r="AL18" s="87"/>
      <c r="AM18" s="87"/>
      <c r="AN18" s="87"/>
      <c r="AO18" s="87"/>
      <c r="AP18" s="87"/>
      <c r="AQ18" s="87"/>
      <c r="AR18" s="87"/>
      <c r="AS18" s="87"/>
      <c r="AT18" s="87"/>
    </row>
    <row r="19">
      <c r="A19" s="51"/>
      <c r="B19" s="52" t="str">
        <f>IF(D19="","",VLOOKUP(D19,'THAM CHIẾU'!$A:$B,2,0))</f>
        <v>#N/A</v>
      </c>
      <c r="C19" s="53" t="str">
        <f t="shared" si="1"/>
        <v>01/2022</v>
      </c>
      <c r="D19" s="96">
        <v>44563.0</v>
      </c>
      <c r="E19" s="79" t="s">
        <v>199</v>
      </c>
      <c r="F19" s="80"/>
      <c r="G19" s="57" t="s">
        <v>200</v>
      </c>
      <c r="H19" s="58" t="str">
        <f>IF(G19="","",VLOOKUP($G19,'Quy chuẩn hạch toán'!$B:$E,2,0))</f>
        <v>154</v>
      </c>
      <c r="I19" s="58" t="str">
        <f>IF(H19="","",VLOOKUP($G19,'Quy chuẩn hạch toán'!$B:$E,3,0))</f>
        <v>3343</v>
      </c>
      <c r="J19" s="59">
        <v>1000000.0</v>
      </c>
      <c r="K19" s="60"/>
      <c r="L19" s="61"/>
      <c r="M19" s="62"/>
      <c r="N19" s="63"/>
      <c r="O19" s="64" t="str">
        <f>IF($Q19&lt;&gt;0,VLOOKUP($Q19,DM_KM,3,0),"")</f>
        <v>#N/A</v>
      </c>
      <c r="P19" s="64" t="str">
        <f>IF($Q19&lt;&gt;0,VLOOKUP($Q19,DM_KM,5,0),"")</f>
        <v>#N/A</v>
      </c>
      <c r="Q19" s="65" t="s">
        <v>201</v>
      </c>
      <c r="R19" s="64"/>
      <c r="S19" s="66"/>
      <c r="T19" s="64"/>
      <c r="U19" s="67" t="s">
        <v>175</v>
      </c>
      <c r="V19" s="64"/>
      <c r="W19" s="83" t="s">
        <v>182</v>
      </c>
      <c r="X19" s="64"/>
      <c r="Y19" s="69"/>
      <c r="Z19" s="64"/>
      <c r="AA19" s="70" t="s">
        <v>183</v>
      </c>
      <c r="AB19" s="64"/>
      <c r="AC19" s="85"/>
      <c r="AD19" s="64" t="str">
        <f>IF(AC19&lt;&gt;0,VLOOKUP(AC19,DM_NV,2,0),"")</f>
        <v/>
      </c>
      <c r="AE19" s="68"/>
      <c r="AF19" s="64" t="str">
        <f>IF(AE19&lt;&gt;0,VLOOKUP(AE19,DM_NV,2,0),"")</f>
        <v/>
      </c>
      <c r="AG19" s="71"/>
      <c r="AH19" s="72"/>
      <c r="AI19" s="72"/>
      <c r="AJ19" s="87"/>
      <c r="AK19" s="87"/>
      <c r="AL19" s="87"/>
      <c r="AM19" s="87"/>
      <c r="AN19" s="87"/>
      <c r="AO19" s="87"/>
      <c r="AP19" s="87"/>
      <c r="AQ19" s="87"/>
      <c r="AR19" s="87"/>
      <c r="AS19" s="87"/>
      <c r="AT19" s="87"/>
    </row>
    <row r="20">
      <c r="A20" s="51"/>
      <c r="B20" s="52" t="str">
        <f>IF(D20="","",VLOOKUP(D20,'THAM CHIẾU'!$A:$B,2,0))</f>
        <v>#N/A</v>
      </c>
      <c r="C20" s="53" t="str">
        <f t="shared" si="1"/>
        <v>01/2022</v>
      </c>
      <c r="D20" s="96">
        <v>44563.0</v>
      </c>
      <c r="E20" s="79" t="s">
        <v>202</v>
      </c>
      <c r="F20" s="80"/>
      <c r="G20" s="90"/>
      <c r="H20" s="58" t="str">
        <f>IF(G20="","",VLOOKUP($G20,'Quy chuẩn hạch toán'!$B:$E,2,0))</f>
        <v/>
      </c>
      <c r="I20" s="58" t="str">
        <f>IF(H20="","",VLOOKUP($G20,'Quy chuẩn hạch toán'!$B:$E,3,0))</f>
        <v/>
      </c>
      <c r="J20" s="59">
        <v>1.2E7</v>
      </c>
      <c r="K20" s="60"/>
      <c r="L20" s="61"/>
      <c r="M20" s="62"/>
      <c r="N20" s="63"/>
      <c r="O20" s="64" t="str">
        <f>IF($Q20&lt;&gt;0,VLOOKUP($Q20,DM_KM,3,0),"")</f>
        <v>#N/A</v>
      </c>
      <c r="P20" s="64" t="str">
        <f>IF($Q20&lt;&gt;0,VLOOKUP($Q20,DM_KM,5,0),"")</f>
        <v>#N/A</v>
      </c>
      <c r="Q20" s="65" t="s">
        <v>203</v>
      </c>
      <c r="R20" s="64" t="str">
        <f>IF(S20&lt;&gt;0,VLOOKUP(S20,DM_DUAN,3,0),"")</f>
        <v>#N/A</v>
      </c>
      <c r="S20" s="66" t="str">
        <f>IF(U20&lt;&gt;0,VLOOKUP(U20,DM_DUAN,3,0),"")</f>
        <v>THANHNAM</v>
      </c>
      <c r="T20" s="64"/>
      <c r="U20" s="67" t="s">
        <v>175</v>
      </c>
      <c r="V20" s="64" t="str">
        <f>IF(W20&lt;&gt;0,VLOOKUP(W20,DM_DUAN,3,0),"")</f>
        <v>#N/A</v>
      </c>
      <c r="W20" s="83" t="s">
        <v>182</v>
      </c>
      <c r="X20" s="64" t="str">
        <f>IF(Y20&lt;&gt;0,VLOOKUP(Y20,DM_DUAN,3,0),"")</f>
        <v/>
      </c>
      <c r="Y20" s="84"/>
      <c r="Z20" s="64" t="str">
        <f>IF(AA20&lt;&gt;0,VLOOKUP(AA20,DM_DUAN,3,0),"")</f>
        <v>#N/A</v>
      </c>
      <c r="AA20" s="70" t="s">
        <v>183</v>
      </c>
      <c r="AB20" s="64" t="str">
        <f>IF(AC20&lt;&gt;0,VLOOKUP(AC20,DM_DUAN,3,0),"")</f>
        <v/>
      </c>
      <c r="AC20" s="85"/>
      <c r="AD20" s="64" t="str">
        <f>IF(AC20&lt;&gt;0,VLOOKUP(AC20,DM_NV,2,0),"")</f>
        <v/>
      </c>
      <c r="AE20" s="68"/>
      <c r="AF20" s="64" t="str">
        <f>IF(AE20&lt;&gt;0,VLOOKUP(AE20,DM_NV,2,0),"")</f>
        <v/>
      </c>
      <c r="AG20" s="71"/>
      <c r="AH20" s="72"/>
      <c r="AI20" s="72"/>
      <c r="AJ20" s="87"/>
      <c r="AK20" s="87"/>
      <c r="AL20" s="87"/>
      <c r="AM20" s="87"/>
      <c r="AN20" s="87"/>
      <c r="AO20" s="87"/>
      <c r="AP20" s="87"/>
      <c r="AQ20" s="87"/>
      <c r="AR20" s="87"/>
      <c r="AS20" s="87"/>
      <c r="AT20" s="87"/>
    </row>
    <row r="21">
      <c r="A21" s="51"/>
      <c r="B21" s="52" t="str">
        <f>IF(D21="","",VLOOKUP(D21,'THAM CHIẾU'!$A:$B,2,0))</f>
        <v>#N/A</v>
      </c>
      <c r="C21" s="53" t="str">
        <f t="shared" si="1"/>
        <v>01/2022</v>
      </c>
      <c r="D21" s="54">
        <v>44563.0</v>
      </c>
      <c r="E21" s="91" t="s">
        <v>204</v>
      </c>
      <c r="F21" s="92"/>
      <c r="G21" s="57" t="s">
        <v>205</v>
      </c>
      <c r="H21" s="58" t="str">
        <f>IF(G21="","",VLOOKUP($G21,'Quy chuẩn hạch toán'!$B:$E,2,0))</f>
        <v>642</v>
      </c>
      <c r="I21" s="58" t="str">
        <f>IF(H21="","",VLOOKUP($G21,'Quy chuẩn hạch toán'!$B:$E,3,0))</f>
        <v>1111</v>
      </c>
      <c r="J21" s="59">
        <v>57143.0</v>
      </c>
      <c r="K21" s="60"/>
      <c r="L21" s="61"/>
      <c r="M21" s="62"/>
      <c r="N21" s="63"/>
      <c r="O21" s="64" t="str">
        <f>IF($Q21&lt;&gt;0,VLOOKUP($Q21,DM_KM,3,0),"")</f>
        <v>#N/A</v>
      </c>
      <c r="P21" s="64" t="str">
        <f>IF($Q21&lt;&gt;0,VLOOKUP($Q21,DM_KM,5,0),"")</f>
        <v>#N/A</v>
      </c>
      <c r="Q21" s="65" t="s">
        <v>206</v>
      </c>
      <c r="R21" s="64" t="str">
        <f>IF(S21&lt;&gt;0,VLOOKUP(S21,DM_DUAN,3,0),"")</f>
        <v>#N/A</v>
      </c>
      <c r="S21" s="66" t="str">
        <f>IF(U21&lt;&gt;0,VLOOKUP(U21,DM_DUAN,3,0),"")</f>
        <v/>
      </c>
      <c r="T21" s="64"/>
      <c r="U21" s="93"/>
      <c r="V21" s="64" t="str">
        <f>IF(W21&lt;&gt;0,VLOOKUP(W21,DM_DUAN,3,0),"")</f>
        <v/>
      </c>
      <c r="W21" s="68"/>
      <c r="X21" s="64" t="str">
        <f>IF(Y21&lt;&gt;0,VLOOKUP(Y21,DM_DUAN,3,0),"")</f>
        <v>#N/A</v>
      </c>
      <c r="Y21" s="69" t="s">
        <v>207</v>
      </c>
      <c r="Z21" s="64" t="str">
        <f>IF(AA21&lt;&gt;0,VLOOKUP(AA21,DM_DUAN,3,0),"")</f>
        <v>#N/A</v>
      </c>
      <c r="AA21" s="70" t="s">
        <v>208</v>
      </c>
      <c r="AB21" s="64" t="str">
        <f>IF(AC21&lt;&gt;0,VLOOKUP(AC21,DM_DUAN,3,0),"")</f>
        <v/>
      </c>
      <c r="AC21" s="94"/>
      <c r="AD21" s="64" t="str">
        <f>IF(AC21&lt;&gt;0,VLOOKUP(AC21,DM_NV,2,0),"")</f>
        <v/>
      </c>
      <c r="AE21" s="83" t="s">
        <v>209</v>
      </c>
      <c r="AF21" s="64" t="str">
        <f>IF(AE21&lt;&gt;0,VLOOKUP(AE21,DM_NV,2,0),"")</f>
        <v>#N/A</v>
      </c>
    </row>
    <row r="22">
      <c r="A22" s="51"/>
      <c r="B22" s="52" t="str">
        <f>IF(D22="","",VLOOKUP(D22,'THAM CHIẾU'!$A:$B,2,0))</f>
        <v>#N/A</v>
      </c>
      <c r="C22" s="53" t="str">
        <f t="shared" si="1"/>
        <v>01/2022</v>
      </c>
      <c r="D22" s="54">
        <v>44563.0</v>
      </c>
      <c r="E22" s="91" t="s">
        <v>204</v>
      </c>
      <c r="F22" s="92"/>
      <c r="G22" s="57" t="s">
        <v>205</v>
      </c>
      <c r="H22" s="58" t="str">
        <f>IF(G22="","",VLOOKUP($G22,'Quy chuẩn hạch toán'!$B:$E,2,0))</f>
        <v>642</v>
      </c>
      <c r="I22" s="58" t="str">
        <f>IF(H22="","",VLOOKUP($G22,'Quy chuẩn hạch toán'!$B:$E,3,0))</f>
        <v>1111</v>
      </c>
      <c r="J22" s="59">
        <v>38095.0</v>
      </c>
      <c r="K22" s="60"/>
      <c r="L22" s="61"/>
      <c r="M22" s="62"/>
      <c r="N22" s="63"/>
      <c r="O22" s="64" t="str">
        <f>IF($Q22&lt;&gt;0,VLOOKUP($Q22,DM_KM,3,0),"")</f>
        <v>#N/A</v>
      </c>
      <c r="P22" s="64" t="str">
        <f>IF($Q22&lt;&gt;0,VLOOKUP($Q22,DM_KM,5,0),"")</f>
        <v>#N/A</v>
      </c>
      <c r="Q22" s="65" t="s">
        <v>206</v>
      </c>
      <c r="R22" s="64" t="str">
        <f>IF(S22&lt;&gt;0,VLOOKUP(S22,DM_DUAN,3,0),"")</f>
        <v>#N/A</v>
      </c>
      <c r="S22" s="66" t="str">
        <f>IF(U22&lt;&gt;0,VLOOKUP(U22,DM_DUAN,3,0),"")</f>
        <v/>
      </c>
      <c r="T22" s="64"/>
      <c r="U22" s="93"/>
      <c r="V22" s="64" t="str">
        <f>IF(W22&lt;&gt;0,VLOOKUP(W22,DM_DUAN,3,0),"")</f>
        <v/>
      </c>
      <c r="W22" s="68"/>
      <c r="X22" s="64" t="str">
        <f>IF(Y22&lt;&gt;0,VLOOKUP(Y22,DM_DUAN,3,0),"")</f>
        <v>#N/A</v>
      </c>
      <c r="Y22" s="69" t="s">
        <v>207</v>
      </c>
      <c r="Z22" s="64" t="str">
        <f>IF(AA22&lt;&gt;0,VLOOKUP(AA22,DM_DUAN,3,0),"")</f>
        <v>#N/A</v>
      </c>
      <c r="AA22" s="70" t="s">
        <v>210</v>
      </c>
      <c r="AB22" s="64" t="str">
        <f>IF(AC22&lt;&gt;0,VLOOKUP(AC22,DM_DUAN,3,0),"")</f>
        <v/>
      </c>
      <c r="AC22" s="70"/>
      <c r="AD22" s="64" t="str">
        <f>IF(AC22&lt;&gt;0,VLOOKUP(AC22,DM_NV,2,0),"")</f>
        <v/>
      </c>
      <c r="AE22" s="83" t="s">
        <v>209</v>
      </c>
      <c r="AF22" s="64" t="str">
        <f>IF(AE22&lt;&gt;0,VLOOKUP(AE22,DM_NV,2,0),"")</f>
        <v>#N/A</v>
      </c>
    </row>
    <row r="23">
      <c r="A23" s="51"/>
      <c r="B23" s="52" t="str">
        <f>IF(D23="","",VLOOKUP(D23,'THAM CHIẾU'!$A:$B,2,0))</f>
        <v>#N/A</v>
      </c>
      <c r="C23" s="53" t="str">
        <f t="shared" si="1"/>
        <v>01/2022</v>
      </c>
      <c r="D23" s="54">
        <v>44563.0</v>
      </c>
      <c r="E23" s="91" t="s">
        <v>204</v>
      </c>
      <c r="F23" s="92"/>
      <c r="G23" s="57" t="s">
        <v>205</v>
      </c>
      <c r="H23" s="58" t="str">
        <f>IF(G23="","",VLOOKUP($G23,'Quy chuẩn hạch toán'!$B:$E,2,0))</f>
        <v>642</v>
      </c>
      <c r="I23" s="58" t="str">
        <f>IF(H23="","",VLOOKUP($G23,'Quy chuẩn hạch toán'!$B:$E,3,0))</f>
        <v>1111</v>
      </c>
      <c r="J23" s="59">
        <v>76190.0</v>
      </c>
      <c r="K23" s="60"/>
      <c r="L23" s="61"/>
      <c r="M23" s="62"/>
      <c r="N23" s="63"/>
      <c r="O23" s="64" t="str">
        <f>IF($Q23&lt;&gt;0,VLOOKUP($Q23,DM_KM,3,0),"")</f>
        <v>#N/A</v>
      </c>
      <c r="P23" s="64" t="str">
        <f>IF($Q23&lt;&gt;0,VLOOKUP($Q23,DM_KM,5,0),"")</f>
        <v>#N/A</v>
      </c>
      <c r="Q23" s="65" t="s">
        <v>206</v>
      </c>
      <c r="R23" s="64" t="str">
        <f>IF(S23&lt;&gt;0,VLOOKUP(S23,DM_DUAN,3,0),"")</f>
        <v>#N/A</v>
      </c>
      <c r="S23" s="66" t="str">
        <f>IF(U23&lt;&gt;0,VLOOKUP(U23,DM_DUAN,3,0),"")</f>
        <v/>
      </c>
      <c r="T23" s="64"/>
      <c r="U23" s="93"/>
      <c r="V23" s="64" t="str">
        <f>IF(W23&lt;&gt;0,VLOOKUP(W23,DM_DUAN,3,0),"")</f>
        <v/>
      </c>
      <c r="W23" s="68"/>
      <c r="X23" s="64" t="str">
        <f>IF(Y23&lt;&gt;0,VLOOKUP(Y23,DM_DUAN,3,0),"")</f>
        <v>#N/A</v>
      </c>
      <c r="Y23" s="69" t="s">
        <v>207</v>
      </c>
      <c r="Z23" s="64" t="str">
        <f>IF(AA23&lt;&gt;0,VLOOKUP(AA23,DM_DUAN,3,0),"")</f>
        <v>#N/A</v>
      </c>
      <c r="AA23" s="70" t="s">
        <v>183</v>
      </c>
      <c r="AB23" s="64" t="str">
        <f>IF(AC23&lt;&gt;0,VLOOKUP(AC23,DM_DUAN,3,0),"")</f>
        <v/>
      </c>
      <c r="AC23" s="70"/>
      <c r="AD23" s="64" t="str">
        <f>IF(AC23&lt;&gt;0,VLOOKUP(AC23,DM_NV,2,0),"")</f>
        <v/>
      </c>
      <c r="AE23" s="83" t="s">
        <v>209</v>
      </c>
      <c r="AF23" s="64" t="str">
        <f>IF(AE23&lt;&gt;0,VLOOKUP(AE23,DM_NV,2,0),"")</f>
        <v>#N/A</v>
      </c>
    </row>
    <row r="24">
      <c r="A24" s="51"/>
      <c r="B24" s="52" t="str">
        <f>IF(D24="","",VLOOKUP(D24,'THAM CHIẾU'!$A:$B,2,0))</f>
        <v>#N/A</v>
      </c>
      <c r="C24" s="53" t="str">
        <f t="shared" si="1"/>
        <v>01/2022</v>
      </c>
      <c r="D24" s="54">
        <v>44563.0</v>
      </c>
      <c r="E24" s="91" t="s">
        <v>204</v>
      </c>
      <c r="F24" s="92"/>
      <c r="G24" s="57" t="s">
        <v>205</v>
      </c>
      <c r="H24" s="58" t="str">
        <f>IF(G24="","",VLOOKUP($G24,'Quy chuẩn hạch toán'!$B:$E,2,0))</f>
        <v>642</v>
      </c>
      <c r="I24" s="58" t="str">
        <f>IF(H24="","",VLOOKUP($G24,'Quy chuẩn hạch toán'!$B:$E,3,0))</f>
        <v>1111</v>
      </c>
      <c r="J24" s="59">
        <v>28571.0</v>
      </c>
      <c r="K24" s="60"/>
      <c r="L24" s="61"/>
      <c r="M24" s="62"/>
      <c r="N24" s="63"/>
      <c r="O24" s="64" t="str">
        <f>IF($Q24&lt;&gt;0,VLOOKUP($Q24,DM_KM,3,0),"")</f>
        <v>#N/A</v>
      </c>
      <c r="P24" s="64" t="str">
        <f>IF($Q24&lt;&gt;0,VLOOKUP($Q24,DM_KM,5,0),"")</f>
        <v>#N/A</v>
      </c>
      <c r="Q24" s="65" t="s">
        <v>206</v>
      </c>
      <c r="R24" s="64" t="str">
        <f>IF(S24&lt;&gt;0,VLOOKUP(S24,DM_DUAN,3,0),"")</f>
        <v>#N/A</v>
      </c>
      <c r="S24" s="66" t="str">
        <f>IF(U24&lt;&gt;0,VLOOKUP(U24,DM_DUAN,3,0),"")</f>
        <v/>
      </c>
      <c r="T24" s="64"/>
      <c r="U24" s="93"/>
      <c r="V24" s="64" t="str">
        <f>IF(W24&lt;&gt;0,VLOOKUP(W24,DM_DUAN,3,0),"")</f>
        <v/>
      </c>
      <c r="W24" s="68"/>
      <c r="X24" s="64" t="str">
        <f>IF(Y24&lt;&gt;0,VLOOKUP(Y24,DM_DUAN,3,0),"")</f>
        <v>#N/A</v>
      </c>
      <c r="Y24" s="69" t="s">
        <v>207</v>
      </c>
      <c r="Z24" s="64" t="str">
        <f>IF(AA24&lt;&gt;0,VLOOKUP(AA24,DM_DUAN,3,0),"")</f>
        <v>#N/A</v>
      </c>
      <c r="AA24" s="70" t="s">
        <v>177</v>
      </c>
      <c r="AB24" s="64" t="str">
        <f>IF(AC24&lt;&gt;0,VLOOKUP(AC24,DM_DUAN,3,0),"")</f>
        <v/>
      </c>
      <c r="AC24" s="70"/>
      <c r="AD24" s="64" t="str">
        <f>IF(AC24&lt;&gt;0,VLOOKUP(AC24,DM_NV,2,0),"")</f>
        <v/>
      </c>
      <c r="AE24" s="83" t="s">
        <v>209</v>
      </c>
      <c r="AF24" s="64" t="str">
        <f>IF(AE24&lt;&gt;0,VLOOKUP(AE24,DM_NV,2,0),"")</f>
        <v>#N/A</v>
      </c>
      <c r="AG24" s="97" t="s">
        <v>211</v>
      </c>
    </row>
    <row r="25">
      <c r="A25" s="51"/>
      <c r="B25" s="52" t="str">
        <f>IF(D25="","",VLOOKUP(D25,'THAM CHIẾU'!$A:$B,2,0))</f>
        <v>#N/A</v>
      </c>
      <c r="C25" s="53" t="str">
        <f t="shared" si="1"/>
        <v>01/2022</v>
      </c>
      <c r="D25" s="54">
        <v>44563.0</v>
      </c>
      <c r="E25" s="91" t="s">
        <v>212</v>
      </c>
      <c r="F25" s="92"/>
      <c r="G25" s="57" t="s">
        <v>205</v>
      </c>
      <c r="H25" s="58" t="str">
        <f>IF(G25="","",VLOOKUP($G25,'Quy chuẩn hạch toán'!$B:$E,2,0))</f>
        <v>642</v>
      </c>
      <c r="I25" s="58" t="str">
        <f>IF(H25="","",VLOOKUP($G25,'Quy chuẩn hạch toán'!$B:$E,3,0))</f>
        <v>1111</v>
      </c>
      <c r="J25" s="59">
        <v>251429.0</v>
      </c>
      <c r="K25" s="60"/>
      <c r="L25" s="61"/>
      <c r="M25" s="62"/>
      <c r="N25" s="63"/>
      <c r="O25" s="64" t="str">
        <f>IF($Q25&lt;&gt;0,VLOOKUP($Q25,DM_KM,3,0),"")</f>
        <v>#N/A</v>
      </c>
      <c r="P25" s="64" t="str">
        <f>IF($Q25&lt;&gt;0,VLOOKUP($Q25,DM_KM,5,0),"")</f>
        <v>#N/A</v>
      </c>
      <c r="Q25" s="65" t="s">
        <v>206</v>
      </c>
      <c r="R25" s="64" t="str">
        <f>IF(S25&lt;&gt;0,VLOOKUP(S25,DM_DUAN,3,0),"")</f>
        <v>#N/A</v>
      </c>
      <c r="S25" s="66" t="str">
        <f>IF(U25&lt;&gt;0,VLOOKUP(U25,DM_DUAN,3,0),"")</f>
        <v/>
      </c>
      <c r="T25" s="64"/>
      <c r="U25" s="93"/>
      <c r="V25" s="64" t="str">
        <f>IF(W25&lt;&gt;0,VLOOKUP(W25,DM_DUAN,3,0),"")</f>
        <v/>
      </c>
      <c r="W25" s="68"/>
      <c r="X25" s="64" t="str">
        <f>IF(Y25&lt;&gt;0,VLOOKUP(Y25,DM_DUAN,3,0),"")</f>
        <v>#N/A</v>
      </c>
      <c r="Y25" s="69" t="s">
        <v>207</v>
      </c>
      <c r="Z25" s="64" t="str">
        <f>IF(AA25&lt;&gt;0,VLOOKUP(AA25,DM_DUAN,3,0),"")</f>
        <v>#N/A</v>
      </c>
      <c r="AA25" s="70" t="s">
        <v>208</v>
      </c>
      <c r="AB25" s="64" t="str">
        <f>IF(AC25&lt;&gt;0,VLOOKUP(AC25,DM_DUAN,3,0),"")</f>
        <v/>
      </c>
      <c r="AC25" s="85"/>
      <c r="AD25" s="64" t="str">
        <f>IF(AC25&lt;&gt;0,VLOOKUP(AC25,DM_NV,2,0),"")</f>
        <v/>
      </c>
      <c r="AE25" s="83" t="s">
        <v>209</v>
      </c>
      <c r="AF25" s="64" t="str">
        <f>IF(AE25&lt;&gt;0,VLOOKUP(AE25,DM_NV,2,0),"")</f>
        <v>#N/A</v>
      </c>
    </row>
    <row r="26">
      <c r="A26" s="51"/>
      <c r="B26" s="52" t="str">
        <f>IF(D26="","",VLOOKUP(D26,'THAM CHIẾU'!$A:$B,2,0))</f>
        <v>#N/A</v>
      </c>
      <c r="C26" s="53" t="str">
        <f t="shared" si="1"/>
        <v>01/2022</v>
      </c>
      <c r="D26" s="54">
        <v>44563.0</v>
      </c>
      <c r="E26" s="91" t="s">
        <v>212</v>
      </c>
      <c r="F26" s="92"/>
      <c r="G26" s="57" t="s">
        <v>205</v>
      </c>
      <c r="H26" s="58" t="str">
        <f>IF(G26="","",VLOOKUP($G26,'Quy chuẩn hạch toán'!$B:$E,2,0))</f>
        <v>642</v>
      </c>
      <c r="I26" s="58" t="str">
        <f>IF(H26="","",VLOOKUP($G26,'Quy chuẩn hạch toán'!$B:$E,3,0))</f>
        <v>1111</v>
      </c>
      <c r="J26" s="59">
        <v>167619.0</v>
      </c>
      <c r="K26" s="60"/>
      <c r="L26" s="61"/>
      <c r="M26" s="62"/>
      <c r="N26" s="63"/>
      <c r="O26" s="64" t="str">
        <f>IF($Q26&lt;&gt;0,VLOOKUP($Q26,DM_KM,3,0),"")</f>
        <v>#N/A</v>
      </c>
      <c r="P26" s="64" t="str">
        <f>IF($Q26&lt;&gt;0,VLOOKUP($Q26,DM_KM,5,0),"")</f>
        <v>#N/A</v>
      </c>
      <c r="Q26" s="65" t="s">
        <v>206</v>
      </c>
      <c r="R26" s="64" t="str">
        <f>IF(S26&lt;&gt;0,VLOOKUP(S26,DM_DUAN,3,0),"")</f>
        <v>#N/A</v>
      </c>
      <c r="S26" s="66" t="str">
        <f>IF(U26&lt;&gt;0,VLOOKUP(U26,DM_DUAN,3,0),"")</f>
        <v/>
      </c>
      <c r="T26" s="64"/>
      <c r="U26" s="93"/>
      <c r="V26" s="64" t="str">
        <f>IF(W26&lt;&gt;0,VLOOKUP(W26,DM_DUAN,3,0),"")</f>
        <v/>
      </c>
      <c r="W26" s="68"/>
      <c r="X26" s="64" t="str">
        <f>IF(Y26&lt;&gt;0,VLOOKUP(Y26,DM_DUAN,3,0),"")</f>
        <v>#N/A</v>
      </c>
      <c r="Y26" s="69" t="s">
        <v>207</v>
      </c>
      <c r="Z26" s="64" t="str">
        <f>IF(AA26&lt;&gt;0,VLOOKUP(AA26,DM_DUAN,3,0),"")</f>
        <v>#N/A</v>
      </c>
      <c r="AA26" s="70" t="s">
        <v>210</v>
      </c>
      <c r="AB26" s="64" t="str">
        <f>IF(AC26&lt;&gt;0,VLOOKUP(AC26,DM_DUAN,3,0),"")</f>
        <v/>
      </c>
      <c r="AC26" s="70"/>
      <c r="AD26" s="64" t="str">
        <f>IF(AC26&lt;&gt;0,VLOOKUP(AC26,DM_NV,2,0),"")</f>
        <v/>
      </c>
      <c r="AE26" s="83" t="s">
        <v>209</v>
      </c>
      <c r="AF26" s="64" t="str">
        <f>IF(AE26&lt;&gt;0,VLOOKUP(AE26,DM_NV,2,0),"")</f>
        <v>#N/A</v>
      </c>
    </row>
    <row r="27">
      <c r="A27" s="51"/>
      <c r="B27" s="52" t="str">
        <f>IF(D27="","",VLOOKUP(D27,'THAM CHIẾU'!$A:$B,2,0))</f>
        <v>#N/A</v>
      </c>
      <c r="C27" s="53" t="str">
        <f t="shared" si="1"/>
        <v>01/2022</v>
      </c>
      <c r="D27" s="54">
        <v>44563.0</v>
      </c>
      <c r="E27" s="91" t="s">
        <v>212</v>
      </c>
      <c r="F27" s="92"/>
      <c r="G27" s="57" t="s">
        <v>205</v>
      </c>
      <c r="H27" s="58" t="str">
        <f>IF(G27="","",VLOOKUP($G27,'Quy chuẩn hạch toán'!$B:$E,2,0))</f>
        <v>642</v>
      </c>
      <c r="I27" s="58" t="str">
        <f>IF(H27="","",VLOOKUP($G27,'Quy chuẩn hạch toán'!$B:$E,3,0))</f>
        <v>1111</v>
      </c>
      <c r="J27" s="59">
        <v>335238.0</v>
      </c>
      <c r="K27" s="60"/>
      <c r="L27" s="61"/>
      <c r="M27" s="62"/>
      <c r="N27" s="63"/>
      <c r="O27" s="64" t="str">
        <f>IF($Q27&lt;&gt;0,VLOOKUP($Q27,DM_KM,3,0),"")</f>
        <v>#N/A</v>
      </c>
      <c r="P27" s="64" t="str">
        <f>IF($Q27&lt;&gt;0,VLOOKUP($Q27,DM_KM,5,0),"")</f>
        <v>#N/A</v>
      </c>
      <c r="Q27" s="65" t="s">
        <v>206</v>
      </c>
      <c r="R27" s="64" t="str">
        <f>IF(S27&lt;&gt;0,VLOOKUP(S27,DM_DUAN,3,0),"")</f>
        <v>#N/A</v>
      </c>
      <c r="S27" s="66" t="str">
        <f>IF(U27&lt;&gt;0,VLOOKUP(U27,DM_DUAN,3,0),"")</f>
        <v/>
      </c>
      <c r="T27" s="64"/>
      <c r="U27" s="93"/>
      <c r="V27" s="64" t="str">
        <f>IF(W27&lt;&gt;0,VLOOKUP(W27,DM_DUAN,3,0),"")</f>
        <v/>
      </c>
      <c r="W27" s="68"/>
      <c r="X27" s="64" t="str">
        <f>IF(Y27&lt;&gt;0,VLOOKUP(Y27,DM_DUAN,3,0),"")</f>
        <v>#N/A</v>
      </c>
      <c r="Y27" s="69" t="s">
        <v>207</v>
      </c>
      <c r="Z27" s="64" t="str">
        <f>IF(AA27&lt;&gt;0,VLOOKUP(AA27,DM_DUAN,3,0),"")</f>
        <v>#N/A</v>
      </c>
      <c r="AA27" s="70" t="s">
        <v>183</v>
      </c>
      <c r="AB27" s="64" t="str">
        <f>IF(AC27&lt;&gt;0,VLOOKUP(AC27,DM_DUAN,3,0),"")</f>
        <v/>
      </c>
      <c r="AC27" s="70"/>
      <c r="AD27" s="64" t="str">
        <f>IF(AC27&lt;&gt;0,VLOOKUP(AC27,DM_NV,2,0),"")</f>
        <v/>
      </c>
      <c r="AE27" s="83" t="s">
        <v>209</v>
      </c>
      <c r="AF27" s="64" t="str">
        <f>IF(AE27&lt;&gt;0,VLOOKUP(AE27,DM_NV,2,0),"")</f>
        <v>#N/A</v>
      </c>
    </row>
    <row r="28">
      <c r="A28" s="51"/>
      <c r="B28" s="52" t="str">
        <f>IF(D28="","",VLOOKUP(D28,'THAM CHIẾU'!$A:$B,2,0))</f>
        <v>#N/A</v>
      </c>
      <c r="C28" s="53" t="str">
        <f t="shared" si="1"/>
        <v>01/2022</v>
      </c>
      <c r="D28" s="54">
        <v>44563.0</v>
      </c>
      <c r="E28" s="91" t="s">
        <v>212</v>
      </c>
      <c r="F28" s="92"/>
      <c r="G28" s="57" t="s">
        <v>205</v>
      </c>
      <c r="H28" s="58" t="str">
        <f>IF(G28="","",VLOOKUP($G28,'Quy chuẩn hạch toán'!$B:$E,2,0))</f>
        <v>642</v>
      </c>
      <c r="I28" s="58" t="str">
        <f>IF(H28="","",VLOOKUP($G28,'Quy chuẩn hạch toán'!$B:$E,3,0))</f>
        <v>1111</v>
      </c>
      <c r="J28" s="59">
        <v>125714.0</v>
      </c>
      <c r="K28" s="60"/>
      <c r="L28" s="61"/>
      <c r="M28" s="62"/>
      <c r="N28" s="63"/>
      <c r="O28" s="64" t="str">
        <f>IF($Q28&lt;&gt;0,VLOOKUP($Q28,DM_KM,3,0),"")</f>
        <v>#N/A</v>
      </c>
      <c r="P28" s="64" t="str">
        <f>IF($Q28&lt;&gt;0,VLOOKUP($Q28,DM_KM,5,0),"")</f>
        <v>#N/A</v>
      </c>
      <c r="Q28" s="65" t="s">
        <v>206</v>
      </c>
      <c r="R28" s="64" t="str">
        <f>IF(S28&lt;&gt;0,VLOOKUP(S28,DM_DUAN,3,0),"")</f>
        <v>#N/A</v>
      </c>
      <c r="S28" s="66" t="str">
        <f>IF(U28&lt;&gt;0,VLOOKUP(U28,DM_DUAN,3,0),"")</f>
        <v/>
      </c>
      <c r="T28" s="64"/>
      <c r="U28" s="93"/>
      <c r="V28" s="64" t="str">
        <f>IF(W28&lt;&gt;0,VLOOKUP(W28,DM_DUAN,3,0),"")</f>
        <v/>
      </c>
      <c r="W28" s="68"/>
      <c r="X28" s="64" t="str">
        <f>IF(Y28&lt;&gt;0,VLOOKUP(Y28,DM_DUAN,3,0),"")</f>
        <v>#N/A</v>
      </c>
      <c r="Y28" s="69" t="s">
        <v>207</v>
      </c>
      <c r="Z28" s="64" t="str">
        <f>IF(AA28&lt;&gt;0,VLOOKUP(AA28,DM_DUAN,3,0),"")</f>
        <v>#N/A</v>
      </c>
      <c r="AA28" s="70" t="s">
        <v>177</v>
      </c>
      <c r="AB28" s="64" t="str">
        <f>IF(AC28&lt;&gt;0,VLOOKUP(AC28,DM_DUAN,3,0),"")</f>
        <v/>
      </c>
      <c r="AC28" s="70"/>
      <c r="AD28" s="64" t="str">
        <f>IF(AC28&lt;&gt;0,VLOOKUP(AC28,DM_NV,2,0),"")</f>
        <v/>
      </c>
      <c r="AE28" s="83" t="s">
        <v>209</v>
      </c>
      <c r="AF28" s="64" t="str">
        <f>IF(AE28&lt;&gt;0,VLOOKUP(AE28,DM_NV,2,0),"")</f>
        <v>#N/A</v>
      </c>
      <c r="AG28" s="97" t="s">
        <v>213</v>
      </c>
    </row>
    <row r="29">
      <c r="A29" s="51"/>
      <c r="B29" s="52" t="str">
        <f>IF(D29="","",VLOOKUP(D29,'THAM CHIẾU'!$A:$B,2,0))</f>
        <v>#N/A</v>
      </c>
      <c r="C29" s="53" t="str">
        <f t="shared" si="1"/>
        <v>01/2022</v>
      </c>
      <c r="D29" s="54">
        <v>44563.0</v>
      </c>
      <c r="E29" s="91" t="s">
        <v>214</v>
      </c>
      <c r="F29" s="92"/>
      <c r="G29" s="57" t="s">
        <v>173</v>
      </c>
      <c r="H29" s="58" t="str">
        <f>IF(G29="","",VLOOKUP($G29,'Quy chuẩn hạch toán'!$B:$E,2,0))</f>
        <v>641</v>
      </c>
      <c r="I29" s="58" t="str">
        <f>IF(H29="","",VLOOKUP($G29,'Quy chuẩn hạch toán'!$B:$E,3,0))</f>
        <v>331</v>
      </c>
      <c r="J29" s="95">
        <v>1540000.0</v>
      </c>
      <c r="K29" s="60"/>
      <c r="L29" s="61"/>
      <c r="M29" s="62"/>
      <c r="N29" s="63"/>
      <c r="O29" s="64" t="str">
        <f>IF($Q29&lt;&gt;0,VLOOKUP($Q29,DM_KM,3,0),"")</f>
        <v>#N/A</v>
      </c>
      <c r="P29" s="64" t="str">
        <f>IF($Q29&lt;&gt;0,VLOOKUP($Q29,DM_KM,5,0),"")</f>
        <v>#N/A</v>
      </c>
      <c r="Q29" s="65" t="s">
        <v>174</v>
      </c>
      <c r="R29" s="64" t="str">
        <f>IF(S29&lt;&gt;0,VLOOKUP(S29,DM_DUAN,3,0),"")</f>
        <v>#N/A</v>
      </c>
      <c r="S29" s="66" t="str">
        <f>IF(U29&lt;&gt;0,VLOOKUP(U29,DM_DUAN,3,0),"")</f>
        <v>NAMSAIGON</v>
      </c>
      <c r="T29" s="64"/>
      <c r="U29" s="67" t="s">
        <v>215</v>
      </c>
      <c r="V29" s="64" t="str">
        <f>IF(W29&lt;&gt;0,VLOOKUP(W29,DM_DUAN,3,0),"")</f>
        <v/>
      </c>
      <c r="W29" s="68"/>
      <c r="X29" s="64" t="str">
        <f>IF(Y29&lt;&gt;0,VLOOKUP(Y29,DM_DUAN,3,0),"")</f>
        <v>#N/A</v>
      </c>
      <c r="Y29" s="69" t="s">
        <v>176</v>
      </c>
      <c r="Z29" s="64" t="str">
        <f>IF(AA29&lt;&gt;0,VLOOKUP(AA29,DM_DUAN,3,0),"")</f>
        <v>#N/A</v>
      </c>
      <c r="AA29" s="70" t="s">
        <v>177</v>
      </c>
      <c r="AB29" s="64" t="str">
        <f>IF(AC29&lt;&gt;0,VLOOKUP(AC29,DM_DUAN,3,0),"")</f>
        <v>#N/A</v>
      </c>
      <c r="AC29" s="70" t="s">
        <v>178</v>
      </c>
      <c r="AD29" s="64" t="str">
        <f>IF(AC29&lt;&gt;0,VLOOKUP(AC29,DM_NV,2,0),"")</f>
        <v>Lê Hoàng Quân</v>
      </c>
      <c r="AE29" s="68"/>
      <c r="AF29" s="64" t="str">
        <f>IF(AE29&lt;&gt;0,VLOOKUP(AE29,DM_NV,2,0),"")</f>
        <v/>
      </c>
    </row>
    <row r="30">
      <c r="A30" s="51"/>
      <c r="B30" s="52" t="str">
        <f>IF(D30="","",VLOOKUP(D30,'THAM CHIẾU'!$A:$B,2,0))</f>
        <v>#N/A</v>
      </c>
      <c r="C30" s="53" t="str">
        <f t="shared" si="1"/>
        <v>01/2022</v>
      </c>
      <c r="D30" s="54">
        <v>44563.0</v>
      </c>
      <c r="E30" s="91" t="s">
        <v>216</v>
      </c>
      <c r="F30" s="92"/>
      <c r="G30" s="57" t="s">
        <v>173</v>
      </c>
      <c r="H30" s="58" t="str">
        <f>IF(G30="","",VLOOKUP($G30,'Quy chuẩn hạch toán'!$B:$E,2,0))</f>
        <v>641</v>
      </c>
      <c r="I30" s="58" t="str">
        <f>IF(H30="","",VLOOKUP($G30,'Quy chuẩn hạch toán'!$B:$E,3,0))</f>
        <v>331</v>
      </c>
      <c r="J30" s="95">
        <v>1380000.0</v>
      </c>
      <c r="K30" s="60"/>
      <c r="L30" s="61"/>
      <c r="M30" s="62"/>
      <c r="N30" s="63"/>
      <c r="O30" s="64" t="str">
        <f>IF($Q30&lt;&gt;0,VLOOKUP($Q30,DM_KM,3,0),"")</f>
        <v>#N/A</v>
      </c>
      <c r="P30" s="64" t="str">
        <f>IF($Q30&lt;&gt;0,VLOOKUP($Q30,DM_KM,5,0),"")</f>
        <v>#N/A</v>
      </c>
      <c r="Q30" s="65" t="s">
        <v>174</v>
      </c>
      <c r="R30" s="64" t="str">
        <f>IF(S30&lt;&gt;0,VLOOKUP(S30,DM_DUAN,3,0),"")</f>
        <v>#N/A</v>
      </c>
      <c r="S30" s="66" t="str">
        <f>IF(U30&lt;&gt;0,VLOOKUP(U30,DM_DUAN,3,0),"")</f>
        <v>NAMSAIGON</v>
      </c>
      <c r="T30" s="64"/>
      <c r="U30" s="67" t="s">
        <v>215</v>
      </c>
      <c r="V30" s="64" t="str">
        <f>IF(W30&lt;&gt;0,VLOOKUP(W30,DM_DUAN,3,0),"")</f>
        <v/>
      </c>
      <c r="W30" s="68"/>
      <c r="X30" s="64" t="str">
        <f>IF(Y30&lt;&gt;0,VLOOKUP(Y30,DM_DUAN,3,0),"")</f>
        <v>#N/A</v>
      </c>
      <c r="Y30" s="69" t="s">
        <v>176</v>
      </c>
      <c r="Z30" s="64" t="str">
        <f>IF(AA30&lt;&gt;0,VLOOKUP(AA30,DM_DUAN,3,0),"")</f>
        <v>#N/A</v>
      </c>
      <c r="AA30" s="70" t="s">
        <v>208</v>
      </c>
      <c r="AB30" s="64" t="str">
        <f>IF(AC30&lt;&gt;0,VLOOKUP(AC30,DM_DUAN,3,0),"")</f>
        <v>#N/A</v>
      </c>
      <c r="AC30" s="70" t="s">
        <v>217</v>
      </c>
      <c r="AD30" s="64" t="str">
        <f>IF(AC30&lt;&gt;0,VLOOKUP(AC30,DM_NV,2,0),"")</f>
        <v>Nguyễn Thị Mai Thu</v>
      </c>
      <c r="AE30" s="68"/>
      <c r="AF30" s="64" t="str">
        <f>IF(AE30&lt;&gt;0,VLOOKUP(AE30,DM_NV,2,0),"")</f>
        <v/>
      </c>
    </row>
    <row r="31">
      <c r="A31" s="51"/>
      <c r="B31" s="52" t="str">
        <f>IF(D31="","",VLOOKUP(D31,'THAM CHIẾU'!$A:$B,2,0))</f>
        <v>#N/A</v>
      </c>
      <c r="C31" s="53" t="str">
        <f t="shared" si="1"/>
        <v>01/2022</v>
      </c>
      <c r="D31" s="54">
        <v>44564.0</v>
      </c>
      <c r="E31" s="91" t="s">
        <v>218</v>
      </c>
      <c r="F31" s="92"/>
      <c r="G31" s="57" t="s">
        <v>205</v>
      </c>
      <c r="H31" s="58" t="str">
        <f>IF(G31="","",VLOOKUP($G31,'Quy chuẩn hạch toán'!$B:$E,2,0))</f>
        <v>642</v>
      </c>
      <c r="I31" s="58" t="str">
        <f>IF(H31="","",VLOOKUP($G31,'Quy chuẩn hạch toán'!$B:$E,3,0))</f>
        <v>1111</v>
      </c>
      <c r="J31" s="59">
        <v>57143.0</v>
      </c>
      <c r="K31" s="60"/>
      <c r="L31" s="61"/>
      <c r="M31" s="62"/>
      <c r="N31" s="63"/>
      <c r="O31" s="64" t="str">
        <f>IF($Q31&lt;&gt;0,VLOOKUP($Q31,DM_KM,3,0),"")</f>
        <v>#N/A</v>
      </c>
      <c r="P31" s="64" t="str">
        <f>IF($Q31&lt;&gt;0,VLOOKUP($Q31,DM_KM,5,0),"")</f>
        <v>#N/A</v>
      </c>
      <c r="Q31" s="65" t="s">
        <v>219</v>
      </c>
      <c r="R31" s="64" t="str">
        <f>IF(S31&lt;&gt;0,VLOOKUP(S31,DM_DUAN,3,0),"")</f>
        <v>#N/A</v>
      </c>
      <c r="S31" s="66" t="str">
        <f>IF(U31&lt;&gt;0,VLOOKUP(U31,DM_DUAN,3,0),"")</f>
        <v/>
      </c>
      <c r="T31" s="64"/>
      <c r="U31" s="93"/>
      <c r="V31" s="64" t="str">
        <f>IF(W31&lt;&gt;0,VLOOKUP(W31,DM_DUAN,3,0),"")</f>
        <v/>
      </c>
      <c r="W31" s="68"/>
      <c r="X31" s="64" t="str">
        <f>IF(Y31&lt;&gt;0,VLOOKUP(Y31,DM_DUAN,3,0),"")</f>
        <v>#N/A</v>
      </c>
      <c r="Y31" s="69" t="s">
        <v>207</v>
      </c>
      <c r="Z31" s="64" t="str">
        <f>IF(AA31&lt;&gt;0,VLOOKUP(AA31,DM_DUAN,3,0),"")</f>
        <v>#N/A</v>
      </c>
      <c r="AA31" s="70" t="s">
        <v>208</v>
      </c>
      <c r="AB31" s="64" t="str">
        <f>IF(AC31&lt;&gt;0,VLOOKUP(AC31,DM_DUAN,3,0),"")</f>
        <v/>
      </c>
      <c r="AC31" s="85"/>
      <c r="AD31" s="64" t="str">
        <f>IF(AC31&lt;&gt;0,VLOOKUP(AC31,DM_NV,2,0),"")</f>
        <v/>
      </c>
      <c r="AE31" s="83" t="s">
        <v>220</v>
      </c>
      <c r="AF31" s="64" t="str">
        <f>IF(AE31&lt;&gt;0,VLOOKUP(AE31,DM_NV,2,0),"")</f>
        <v>#N/A</v>
      </c>
    </row>
    <row r="32">
      <c r="A32" s="51"/>
      <c r="B32" s="52" t="str">
        <f>IF(D32="","",VLOOKUP(D32,'THAM CHIẾU'!$A:$B,2,0))</f>
        <v>#N/A</v>
      </c>
      <c r="C32" s="53" t="str">
        <f t="shared" si="1"/>
        <v>01/2022</v>
      </c>
      <c r="D32" s="54">
        <v>44564.0</v>
      </c>
      <c r="E32" s="91" t="s">
        <v>218</v>
      </c>
      <c r="F32" s="92"/>
      <c r="G32" s="57" t="s">
        <v>205</v>
      </c>
      <c r="H32" s="58" t="str">
        <f>IF(G32="","",VLOOKUP($G32,'Quy chuẩn hạch toán'!$B:$E,2,0))</f>
        <v>642</v>
      </c>
      <c r="I32" s="58" t="str">
        <f>IF(H32="","",VLOOKUP($G32,'Quy chuẩn hạch toán'!$B:$E,3,0))</f>
        <v>1111</v>
      </c>
      <c r="J32" s="59">
        <v>38095.0</v>
      </c>
      <c r="K32" s="60"/>
      <c r="L32" s="61"/>
      <c r="M32" s="62"/>
      <c r="N32" s="63"/>
      <c r="O32" s="64" t="str">
        <f>IF($Q32&lt;&gt;0,VLOOKUP($Q32,DM_KM,3,0),"")</f>
        <v>#N/A</v>
      </c>
      <c r="P32" s="64" t="str">
        <f>IF($Q32&lt;&gt;0,VLOOKUP($Q32,DM_KM,5,0),"")</f>
        <v>#N/A</v>
      </c>
      <c r="Q32" s="65" t="s">
        <v>219</v>
      </c>
      <c r="R32" s="64" t="str">
        <f>IF(S32&lt;&gt;0,VLOOKUP(S32,DM_DUAN,3,0),"")</f>
        <v>#N/A</v>
      </c>
      <c r="S32" s="66" t="str">
        <f>IF(U32&lt;&gt;0,VLOOKUP(U32,DM_DUAN,3,0),"")</f>
        <v/>
      </c>
      <c r="T32" s="64"/>
      <c r="U32" s="93"/>
      <c r="V32" s="64" t="str">
        <f>IF(W32&lt;&gt;0,VLOOKUP(W32,DM_DUAN,3,0),"")</f>
        <v/>
      </c>
      <c r="W32" s="68"/>
      <c r="X32" s="64" t="str">
        <f>IF(Y32&lt;&gt;0,VLOOKUP(Y32,DM_DUAN,3,0),"")</f>
        <v>#N/A</v>
      </c>
      <c r="Y32" s="69" t="s">
        <v>207</v>
      </c>
      <c r="Z32" s="64" t="str">
        <f>IF(AA32&lt;&gt;0,VLOOKUP(AA32,DM_DUAN,3,0),"")</f>
        <v>#N/A</v>
      </c>
      <c r="AA32" s="70" t="s">
        <v>210</v>
      </c>
      <c r="AB32" s="64" t="str">
        <f>IF(AC32&lt;&gt;0,VLOOKUP(AC32,DM_DUAN,3,0),"")</f>
        <v/>
      </c>
      <c r="AC32" s="70"/>
      <c r="AD32" s="64" t="str">
        <f>IF(AC32&lt;&gt;0,VLOOKUP(AC32,DM_NV,2,0),"")</f>
        <v/>
      </c>
      <c r="AE32" s="83" t="s">
        <v>220</v>
      </c>
      <c r="AF32" s="64" t="str">
        <f>IF(AE32&lt;&gt;0,VLOOKUP(AE32,DM_NV,2,0),"")</f>
        <v>#N/A</v>
      </c>
    </row>
    <row r="33">
      <c r="A33" s="51"/>
      <c r="B33" s="52" t="str">
        <f>IF(D33="","",VLOOKUP(D33,'THAM CHIẾU'!$A:$B,2,0))</f>
        <v>#N/A</v>
      </c>
      <c r="C33" s="53" t="str">
        <f t="shared" si="1"/>
        <v>01/2022</v>
      </c>
      <c r="D33" s="54">
        <v>44564.0</v>
      </c>
      <c r="E33" s="91" t="s">
        <v>218</v>
      </c>
      <c r="F33" s="92"/>
      <c r="G33" s="57" t="s">
        <v>205</v>
      </c>
      <c r="H33" s="58" t="str">
        <f>IF(G33="","",VLOOKUP($G33,'Quy chuẩn hạch toán'!$B:$E,2,0))</f>
        <v>642</v>
      </c>
      <c r="I33" s="58" t="str">
        <f>IF(H33="","",VLOOKUP($G33,'Quy chuẩn hạch toán'!$B:$E,3,0))</f>
        <v>1111</v>
      </c>
      <c r="J33" s="59">
        <v>76190.0</v>
      </c>
      <c r="K33" s="60"/>
      <c r="L33" s="61"/>
      <c r="M33" s="62"/>
      <c r="N33" s="63"/>
      <c r="O33" s="64" t="str">
        <f>IF($Q33&lt;&gt;0,VLOOKUP($Q33,DM_KM,3,0),"")</f>
        <v>#N/A</v>
      </c>
      <c r="P33" s="64" t="str">
        <f>IF($Q33&lt;&gt;0,VLOOKUP($Q33,DM_KM,5,0),"")</f>
        <v>#N/A</v>
      </c>
      <c r="Q33" s="65" t="s">
        <v>219</v>
      </c>
      <c r="R33" s="64" t="str">
        <f>IF(S33&lt;&gt;0,VLOOKUP(S33,DM_DUAN,3,0),"")</f>
        <v>#N/A</v>
      </c>
      <c r="S33" s="66" t="str">
        <f>IF(U33&lt;&gt;0,VLOOKUP(U33,DM_DUAN,3,0),"")</f>
        <v/>
      </c>
      <c r="T33" s="64"/>
      <c r="U33" s="93"/>
      <c r="V33" s="64" t="str">
        <f>IF(W33&lt;&gt;0,VLOOKUP(W33,DM_DUAN,3,0),"")</f>
        <v/>
      </c>
      <c r="W33" s="68"/>
      <c r="X33" s="64" t="str">
        <f>IF(Y33&lt;&gt;0,VLOOKUP(Y33,DM_DUAN,3,0),"")</f>
        <v>#N/A</v>
      </c>
      <c r="Y33" s="69" t="s">
        <v>207</v>
      </c>
      <c r="Z33" s="64" t="str">
        <f>IF(AA33&lt;&gt;0,VLOOKUP(AA33,DM_DUAN,3,0),"")</f>
        <v>#N/A</v>
      </c>
      <c r="AA33" s="70" t="s">
        <v>183</v>
      </c>
      <c r="AB33" s="64" t="str">
        <f>IF(AC33&lt;&gt;0,VLOOKUP(AC33,DM_DUAN,3,0),"")</f>
        <v/>
      </c>
      <c r="AC33" s="70"/>
      <c r="AD33" s="64" t="str">
        <f>IF(AC33&lt;&gt;0,VLOOKUP(AC33,DM_NV,2,0),"")</f>
        <v/>
      </c>
      <c r="AE33" s="83" t="s">
        <v>220</v>
      </c>
      <c r="AF33" s="64" t="str">
        <f>IF(AE33&lt;&gt;0,VLOOKUP(AE33,DM_NV,2,0),"")</f>
        <v>#N/A</v>
      </c>
    </row>
    <row r="34">
      <c r="A34" s="51"/>
      <c r="B34" s="52" t="str">
        <f>IF(D34="","",VLOOKUP(D34,'THAM CHIẾU'!$A:$B,2,0))</f>
        <v>#N/A</v>
      </c>
      <c r="C34" s="53" t="str">
        <f t="shared" si="1"/>
        <v>01/2022</v>
      </c>
      <c r="D34" s="54">
        <v>44564.0</v>
      </c>
      <c r="E34" s="91" t="s">
        <v>218</v>
      </c>
      <c r="F34" s="92"/>
      <c r="G34" s="57" t="s">
        <v>205</v>
      </c>
      <c r="H34" s="58" t="str">
        <f>IF(G34="","",VLOOKUP($G34,'Quy chuẩn hạch toán'!$B:$E,2,0))</f>
        <v>642</v>
      </c>
      <c r="I34" s="58" t="str">
        <f>IF(H34="","",VLOOKUP($G34,'Quy chuẩn hạch toán'!$B:$E,3,0))</f>
        <v>1111</v>
      </c>
      <c r="J34" s="59">
        <v>28571.0</v>
      </c>
      <c r="K34" s="60"/>
      <c r="L34" s="61"/>
      <c r="M34" s="62"/>
      <c r="N34" s="63"/>
      <c r="O34" s="64" t="str">
        <f>IF($Q34&lt;&gt;0,VLOOKUP($Q34,DM_KM,3,0),"")</f>
        <v>#N/A</v>
      </c>
      <c r="P34" s="64" t="str">
        <f>IF($Q34&lt;&gt;0,VLOOKUP($Q34,DM_KM,5,0),"")</f>
        <v>#N/A</v>
      </c>
      <c r="Q34" s="65" t="s">
        <v>219</v>
      </c>
      <c r="R34" s="64" t="str">
        <f>IF(S34&lt;&gt;0,VLOOKUP(S34,DM_DUAN,3,0),"")</f>
        <v>#N/A</v>
      </c>
      <c r="S34" s="66" t="str">
        <f>IF(U34&lt;&gt;0,VLOOKUP(U34,DM_DUAN,3,0),"")</f>
        <v/>
      </c>
      <c r="T34" s="64"/>
      <c r="U34" s="93"/>
      <c r="V34" s="64" t="str">
        <f>IF(W34&lt;&gt;0,VLOOKUP(W34,DM_DUAN,3,0),"")</f>
        <v/>
      </c>
      <c r="W34" s="68"/>
      <c r="X34" s="64" t="str">
        <f>IF(Y34&lt;&gt;0,VLOOKUP(Y34,DM_DUAN,3,0),"")</f>
        <v>#N/A</v>
      </c>
      <c r="Y34" s="69" t="s">
        <v>207</v>
      </c>
      <c r="Z34" s="64" t="str">
        <f>IF(AA34&lt;&gt;0,VLOOKUP(AA34,DM_DUAN,3,0),"")</f>
        <v>#N/A</v>
      </c>
      <c r="AA34" s="70" t="s">
        <v>177</v>
      </c>
      <c r="AB34" s="64" t="str">
        <f>IF(AC34&lt;&gt;0,VLOOKUP(AC34,DM_DUAN,3,0),"")</f>
        <v/>
      </c>
      <c r="AC34" s="70"/>
      <c r="AD34" s="64" t="str">
        <f>IF(AC34&lt;&gt;0,VLOOKUP(AC34,DM_NV,2,0),"")</f>
        <v/>
      </c>
      <c r="AE34" s="83" t="s">
        <v>220</v>
      </c>
      <c r="AF34" s="64" t="str">
        <f>IF(AE34&lt;&gt;0,VLOOKUP(AE34,DM_NV,2,0),"")</f>
        <v>#N/A</v>
      </c>
    </row>
    <row r="35">
      <c r="A35" s="51"/>
      <c r="B35" s="52" t="str">
        <f>IF(D35="","",VLOOKUP(D35,'THAM CHIẾU'!$A:$B,2,0))</f>
        <v>#N/A</v>
      </c>
      <c r="C35" s="53" t="str">
        <f t="shared" si="1"/>
        <v>01/2022</v>
      </c>
      <c r="D35" s="54">
        <v>44565.0</v>
      </c>
      <c r="E35" s="91" t="s">
        <v>221</v>
      </c>
      <c r="F35" s="92"/>
      <c r="G35" s="57" t="s">
        <v>205</v>
      </c>
      <c r="H35" s="58" t="str">
        <f>IF(G35="","",VLOOKUP($G35,'Quy chuẩn hạch toán'!$B:$E,2,0))</f>
        <v>642</v>
      </c>
      <c r="I35" s="58" t="str">
        <f>IF(H35="","",VLOOKUP($G35,'Quy chuẩn hạch toán'!$B:$E,3,0))</f>
        <v>1111</v>
      </c>
      <c r="J35" s="59">
        <v>75714.0</v>
      </c>
      <c r="K35" s="60"/>
      <c r="L35" s="61"/>
      <c r="M35" s="62"/>
      <c r="N35" s="63"/>
      <c r="O35" s="64" t="str">
        <f>IF($Q35&lt;&gt;0,VLOOKUP($Q35,DM_KM,3,0),"")</f>
        <v>#N/A</v>
      </c>
      <c r="P35" s="64" t="str">
        <f>IF($Q35&lt;&gt;0,VLOOKUP($Q35,DM_KM,5,0),"")</f>
        <v>#N/A</v>
      </c>
      <c r="Q35" s="65" t="s">
        <v>222</v>
      </c>
      <c r="R35" s="64" t="str">
        <f>IF(S35&lt;&gt;0,VLOOKUP(S35,DM_DUAN,3,0),"")</f>
        <v>#N/A</v>
      </c>
      <c r="S35" s="66" t="str">
        <f>IF(U35&lt;&gt;0,VLOOKUP(U35,DM_DUAN,3,0),"")</f>
        <v/>
      </c>
      <c r="T35" s="64"/>
      <c r="U35" s="93"/>
      <c r="V35" s="64" t="str">
        <f>IF(W35&lt;&gt;0,VLOOKUP(W35,DM_DUAN,3,0),"")</f>
        <v/>
      </c>
      <c r="W35" s="68"/>
      <c r="X35" s="64" t="str">
        <f>IF(Y35&lt;&gt;0,VLOOKUP(Y35,DM_DUAN,3,0),"")</f>
        <v>#N/A</v>
      </c>
      <c r="Y35" s="69" t="s">
        <v>207</v>
      </c>
      <c r="Z35" s="64" t="str">
        <f>IF(AA35&lt;&gt;0,VLOOKUP(AA35,DM_DUAN,3,0),"")</f>
        <v>#N/A</v>
      </c>
      <c r="AA35" s="70" t="s">
        <v>208</v>
      </c>
      <c r="AB35" s="64" t="str">
        <f>IF(AC35&lt;&gt;0,VLOOKUP(AC35,DM_DUAN,3,0),"")</f>
        <v/>
      </c>
      <c r="AC35" s="85"/>
      <c r="AD35" s="64" t="str">
        <f>IF(AC35&lt;&gt;0,VLOOKUP(AC35,DM_NV,2,0),"")</f>
        <v/>
      </c>
      <c r="AE35" s="83" t="s">
        <v>223</v>
      </c>
      <c r="AF35" s="64" t="str">
        <f>IF(AE35&lt;&gt;0,VLOOKUP(AE35,DM_NV,2,0),"")</f>
        <v>#N/A</v>
      </c>
    </row>
    <row r="36">
      <c r="A36" s="51"/>
      <c r="B36" s="52" t="str">
        <f>IF(D36="","",VLOOKUP(D36,'THAM CHIẾU'!$A:$B,2,0))</f>
        <v>#N/A</v>
      </c>
      <c r="C36" s="53" t="str">
        <f t="shared" si="1"/>
        <v>01/2022</v>
      </c>
      <c r="D36" s="54">
        <v>44565.0</v>
      </c>
      <c r="E36" s="91" t="s">
        <v>221</v>
      </c>
      <c r="F36" s="92"/>
      <c r="G36" s="57" t="s">
        <v>205</v>
      </c>
      <c r="H36" s="58" t="str">
        <f>IF(G36="","",VLOOKUP($G36,'Quy chuẩn hạch toán'!$B:$E,2,0))</f>
        <v>642</v>
      </c>
      <c r="I36" s="58" t="str">
        <f>IF(H36="","",VLOOKUP($G36,'Quy chuẩn hạch toán'!$B:$E,3,0))</f>
        <v>1111</v>
      </c>
      <c r="J36" s="59">
        <v>50476.0</v>
      </c>
      <c r="K36" s="60"/>
      <c r="L36" s="61"/>
      <c r="M36" s="62"/>
      <c r="N36" s="63"/>
      <c r="O36" s="64" t="str">
        <f>IF($Q36&lt;&gt;0,VLOOKUP($Q36,DM_KM,3,0),"")</f>
        <v>#N/A</v>
      </c>
      <c r="P36" s="64" t="str">
        <f>IF($Q36&lt;&gt;0,VLOOKUP($Q36,DM_KM,5,0),"")</f>
        <v>#N/A</v>
      </c>
      <c r="Q36" s="65" t="s">
        <v>222</v>
      </c>
      <c r="R36" s="64" t="str">
        <f>IF(S36&lt;&gt;0,VLOOKUP(S36,DM_DUAN,3,0),"")</f>
        <v>#N/A</v>
      </c>
      <c r="S36" s="66" t="str">
        <f>IF(U36&lt;&gt;0,VLOOKUP(U36,DM_DUAN,3,0),"")</f>
        <v/>
      </c>
      <c r="T36" s="64"/>
      <c r="U36" s="93"/>
      <c r="V36" s="64" t="str">
        <f>IF(W36&lt;&gt;0,VLOOKUP(W36,DM_DUAN,3,0),"")</f>
        <v/>
      </c>
      <c r="W36" s="68"/>
      <c r="X36" s="64" t="str">
        <f>IF(Y36&lt;&gt;0,VLOOKUP(Y36,DM_DUAN,3,0),"")</f>
        <v>#N/A</v>
      </c>
      <c r="Y36" s="69" t="s">
        <v>207</v>
      </c>
      <c r="Z36" s="64" t="str">
        <f>IF(AA36&lt;&gt;0,VLOOKUP(AA36,DM_DUAN,3,0),"")</f>
        <v>#N/A</v>
      </c>
      <c r="AA36" s="70" t="s">
        <v>210</v>
      </c>
      <c r="AB36" s="64" t="str">
        <f>IF(AC36&lt;&gt;0,VLOOKUP(AC36,DM_DUAN,3,0),"")</f>
        <v/>
      </c>
      <c r="AC36" s="70"/>
      <c r="AD36" s="64" t="str">
        <f>IF(AC36&lt;&gt;0,VLOOKUP(AC36,DM_NV,2,0),"")</f>
        <v/>
      </c>
      <c r="AE36" s="83" t="s">
        <v>223</v>
      </c>
      <c r="AF36" s="64" t="str">
        <f>IF(AE36&lt;&gt;0,VLOOKUP(AE36,DM_NV,2,0),"")</f>
        <v>#N/A</v>
      </c>
    </row>
    <row r="37">
      <c r="A37" s="51"/>
      <c r="B37" s="52" t="str">
        <f>IF(D37="","",VLOOKUP(D37,'THAM CHIẾU'!$A:$B,2,0))</f>
        <v>#N/A</v>
      </c>
      <c r="C37" s="53" t="str">
        <f t="shared" si="1"/>
        <v>01/2022</v>
      </c>
      <c r="D37" s="54">
        <v>44565.0</v>
      </c>
      <c r="E37" s="91" t="s">
        <v>221</v>
      </c>
      <c r="F37" s="92"/>
      <c r="G37" s="57" t="s">
        <v>205</v>
      </c>
      <c r="H37" s="58" t="str">
        <f>IF(G37="","",VLOOKUP($G37,'Quy chuẩn hạch toán'!$B:$E,2,0))</f>
        <v>642</v>
      </c>
      <c r="I37" s="58" t="str">
        <f>IF(H37="","",VLOOKUP($G37,'Quy chuẩn hạch toán'!$B:$E,3,0))</f>
        <v>1111</v>
      </c>
      <c r="J37" s="59">
        <v>100952.0</v>
      </c>
      <c r="K37" s="60"/>
      <c r="L37" s="61"/>
      <c r="M37" s="62"/>
      <c r="N37" s="63"/>
      <c r="O37" s="64" t="str">
        <f>IF($Q37&lt;&gt;0,VLOOKUP($Q37,DM_KM,3,0),"")</f>
        <v>#N/A</v>
      </c>
      <c r="P37" s="64" t="str">
        <f>IF($Q37&lt;&gt;0,VLOOKUP($Q37,DM_KM,5,0),"")</f>
        <v>#N/A</v>
      </c>
      <c r="Q37" s="65" t="s">
        <v>222</v>
      </c>
      <c r="R37" s="64" t="str">
        <f>IF(S37&lt;&gt;0,VLOOKUP(S37,DM_DUAN,3,0),"")</f>
        <v>#N/A</v>
      </c>
      <c r="S37" s="66" t="str">
        <f>IF(U37&lt;&gt;0,VLOOKUP(U37,DM_DUAN,3,0),"")</f>
        <v/>
      </c>
      <c r="T37" s="64"/>
      <c r="U37" s="93"/>
      <c r="V37" s="64" t="str">
        <f>IF(W37&lt;&gt;0,VLOOKUP(W37,DM_DUAN,3,0),"")</f>
        <v/>
      </c>
      <c r="W37" s="68"/>
      <c r="X37" s="64" t="str">
        <f>IF(Y37&lt;&gt;0,VLOOKUP(Y37,DM_DUAN,3,0),"")</f>
        <v>#N/A</v>
      </c>
      <c r="Y37" s="69" t="s">
        <v>207</v>
      </c>
      <c r="Z37" s="64" t="str">
        <f>IF(AA37&lt;&gt;0,VLOOKUP(AA37,DM_DUAN,3,0),"")</f>
        <v>#N/A</v>
      </c>
      <c r="AA37" s="70" t="s">
        <v>183</v>
      </c>
      <c r="AB37" s="64" t="str">
        <f>IF(AC37&lt;&gt;0,VLOOKUP(AC37,DM_DUAN,3,0),"")</f>
        <v/>
      </c>
      <c r="AC37" s="70"/>
      <c r="AD37" s="64" t="str">
        <f>IF(AC37&lt;&gt;0,VLOOKUP(AC37,DM_NV,2,0),"")</f>
        <v/>
      </c>
      <c r="AE37" s="83" t="s">
        <v>223</v>
      </c>
      <c r="AF37" s="64" t="str">
        <f>IF(AE37&lt;&gt;0,VLOOKUP(AE37,DM_NV,2,0),"")</f>
        <v>#N/A</v>
      </c>
    </row>
    <row r="38">
      <c r="A38" s="51"/>
      <c r="B38" s="52" t="str">
        <f>IF(D38="","",VLOOKUP(D38,'THAM CHIẾU'!$A:$B,2,0))</f>
        <v>#N/A</v>
      </c>
      <c r="C38" s="53" t="str">
        <f t="shared" si="1"/>
        <v>01/2022</v>
      </c>
      <c r="D38" s="54">
        <v>44565.0</v>
      </c>
      <c r="E38" s="91" t="s">
        <v>221</v>
      </c>
      <c r="F38" s="92"/>
      <c r="G38" s="57" t="s">
        <v>205</v>
      </c>
      <c r="H38" s="58" t="str">
        <f>IF(G38="","",VLOOKUP($G38,'Quy chuẩn hạch toán'!$B:$E,2,0))</f>
        <v>642</v>
      </c>
      <c r="I38" s="58" t="str">
        <f>IF(H38="","",VLOOKUP($G38,'Quy chuẩn hạch toán'!$B:$E,3,0))</f>
        <v>1111</v>
      </c>
      <c r="J38" s="59">
        <v>37857.0</v>
      </c>
      <c r="K38" s="60"/>
      <c r="L38" s="61"/>
      <c r="M38" s="62"/>
      <c r="N38" s="63"/>
      <c r="O38" s="64" t="str">
        <f>IF($Q38&lt;&gt;0,VLOOKUP($Q38,DM_KM,3,0),"")</f>
        <v>#N/A</v>
      </c>
      <c r="P38" s="64" t="str">
        <f>IF($Q38&lt;&gt;0,VLOOKUP($Q38,DM_KM,5,0),"")</f>
        <v>#N/A</v>
      </c>
      <c r="Q38" s="65" t="s">
        <v>222</v>
      </c>
      <c r="R38" s="64" t="str">
        <f>IF(S38&lt;&gt;0,VLOOKUP(S38,DM_DUAN,3,0),"")</f>
        <v>#N/A</v>
      </c>
      <c r="S38" s="66" t="str">
        <f>IF(U38&lt;&gt;0,VLOOKUP(U38,DM_DUAN,3,0),"")</f>
        <v/>
      </c>
      <c r="T38" s="64"/>
      <c r="U38" s="93"/>
      <c r="V38" s="64" t="str">
        <f>IF(W38&lt;&gt;0,VLOOKUP(W38,DM_DUAN,3,0),"")</f>
        <v/>
      </c>
      <c r="W38" s="68"/>
      <c r="X38" s="64" t="str">
        <f>IF(Y38&lt;&gt;0,VLOOKUP(Y38,DM_DUAN,3,0),"")</f>
        <v>#N/A</v>
      </c>
      <c r="Y38" s="69" t="s">
        <v>207</v>
      </c>
      <c r="Z38" s="64" t="str">
        <f>IF(AA38&lt;&gt;0,VLOOKUP(AA38,DM_DUAN,3,0),"")</f>
        <v>#N/A</v>
      </c>
      <c r="AA38" s="70" t="s">
        <v>177</v>
      </c>
      <c r="AB38" s="64" t="str">
        <f>IF(AC38&lt;&gt;0,VLOOKUP(AC38,DM_DUAN,3,0),"")</f>
        <v/>
      </c>
      <c r="AC38" s="70"/>
      <c r="AD38" s="64" t="str">
        <f>IF(AC38&lt;&gt;0,VLOOKUP(AC38,DM_NV,2,0),"")</f>
        <v/>
      </c>
      <c r="AE38" s="83" t="s">
        <v>223</v>
      </c>
      <c r="AF38" s="64" t="str">
        <f>IF(AE38&lt;&gt;0,VLOOKUP(AE38,DM_NV,2,0),"")</f>
        <v>#N/A</v>
      </c>
    </row>
    <row r="39">
      <c r="A39" s="51"/>
      <c r="B39" s="52" t="str">
        <f>IF(D39="","",VLOOKUP(D39,'THAM CHIẾU'!$A:$B,2,0))</f>
        <v>#N/A</v>
      </c>
      <c r="C39" s="53" t="str">
        <f t="shared" si="1"/>
        <v>01/2022</v>
      </c>
      <c r="D39" s="54">
        <v>44565.0</v>
      </c>
      <c r="E39" s="91" t="s">
        <v>224</v>
      </c>
      <c r="F39" s="92"/>
      <c r="G39" s="57" t="s">
        <v>225</v>
      </c>
      <c r="H39" s="58" t="str">
        <f>IF(G39="","",VLOOKUP($G39,'Quy chuẩn hạch toán'!$B:$E,2,0))</f>
        <v>154</v>
      </c>
      <c r="I39" s="58" t="str">
        <f>IF(H39="","",VLOOKUP($G39,'Quy chuẩn hạch toán'!$B:$E,3,0))</f>
        <v>1111</v>
      </c>
      <c r="J39" s="59">
        <v>87698.0</v>
      </c>
      <c r="K39" s="60"/>
      <c r="L39" s="61"/>
      <c r="M39" s="62"/>
      <c r="N39" s="63"/>
      <c r="O39" s="64" t="str">
        <f>IF($Q39&lt;&gt;0,VLOOKUP($Q39,DM_KM,3,0),"")</f>
        <v>#N/A</v>
      </c>
      <c r="P39" s="64" t="str">
        <f>IF($Q39&lt;&gt;0,VLOOKUP($Q39,DM_KM,5,0),"")</f>
        <v>#N/A</v>
      </c>
      <c r="Q39" s="65" t="s">
        <v>226</v>
      </c>
      <c r="R39" s="64" t="str">
        <f>IF(S39&lt;&gt;0,VLOOKUP(S39,DM_DUAN,3,0),"")</f>
        <v>#N/A</v>
      </c>
      <c r="S39" s="66" t="str">
        <f>IF(U39&lt;&gt;0,VLOOKUP(U39,DM_DUAN,3,0),"")</f>
        <v/>
      </c>
      <c r="T39" s="64"/>
      <c r="U39" s="93"/>
      <c r="V39" s="64" t="str">
        <f>IF(W39&lt;&gt;0,VLOOKUP(W39,DM_DUAN,3,0),"")</f>
        <v/>
      </c>
      <c r="W39" s="68"/>
      <c r="X39" s="64" t="str">
        <f>IF(Y39&lt;&gt;0,VLOOKUP(Y39,DM_DUAN,3,0),"")</f>
        <v>#N/A</v>
      </c>
      <c r="Y39" s="69" t="s">
        <v>176</v>
      </c>
      <c r="Z39" s="64" t="str">
        <f>IF(AA39&lt;&gt;0,VLOOKUP(AA39,DM_DUAN,3,0),"")</f>
        <v>#N/A</v>
      </c>
      <c r="AA39" s="70" t="s">
        <v>208</v>
      </c>
      <c r="AB39" s="64" t="str">
        <f>IF(AC39&lt;&gt;0,VLOOKUP(AC39,DM_DUAN,3,0),"")</f>
        <v/>
      </c>
      <c r="AC39" s="85"/>
      <c r="AD39" s="64" t="str">
        <f>IF(AC39&lt;&gt;0,VLOOKUP(AC39,DM_NV,2,0),"")</f>
        <v/>
      </c>
      <c r="AE39" s="83" t="s">
        <v>227</v>
      </c>
      <c r="AF39" s="64" t="str">
        <f>IF(AE39&lt;&gt;0,VLOOKUP(AE39,DM_NV,2,0),"")</f>
        <v>#N/A</v>
      </c>
    </row>
    <row r="40">
      <c r="A40" s="51"/>
      <c r="B40" s="52" t="str">
        <f>IF(D40="","",VLOOKUP(D40,'THAM CHIẾU'!$A:$B,2,0))</f>
        <v>#N/A</v>
      </c>
      <c r="C40" s="53" t="str">
        <f t="shared" si="1"/>
        <v>01/2022</v>
      </c>
      <c r="D40" s="54">
        <v>44565.0</v>
      </c>
      <c r="E40" s="91" t="s">
        <v>224</v>
      </c>
      <c r="F40" s="92"/>
      <c r="G40" s="57" t="s">
        <v>225</v>
      </c>
      <c r="H40" s="58" t="str">
        <f>IF(G40="","",VLOOKUP($G40,'Quy chuẩn hạch toán'!$B:$E,2,0))</f>
        <v>154</v>
      </c>
      <c r="I40" s="58" t="str">
        <f>IF(H40="","",VLOOKUP($G40,'Quy chuẩn hạch toán'!$B:$E,3,0))</f>
        <v>1111</v>
      </c>
      <c r="J40" s="59">
        <v>58466.0</v>
      </c>
      <c r="K40" s="60"/>
      <c r="L40" s="61"/>
      <c r="M40" s="62"/>
      <c r="N40" s="63"/>
      <c r="O40" s="64" t="str">
        <f>IF($Q40&lt;&gt;0,VLOOKUP($Q40,DM_KM,3,0),"")</f>
        <v>#N/A</v>
      </c>
      <c r="P40" s="64" t="str">
        <f>IF($Q40&lt;&gt;0,VLOOKUP($Q40,DM_KM,5,0),"")</f>
        <v>#N/A</v>
      </c>
      <c r="Q40" s="65" t="s">
        <v>226</v>
      </c>
      <c r="R40" s="64" t="str">
        <f>IF(S40&lt;&gt;0,VLOOKUP(S40,DM_DUAN,3,0),"")</f>
        <v>#N/A</v>
      </c>
      <c r="S40" s="66" t="str">
        <f>IF(U40&lt;&gt;0,VLOOKUP(U40,DM_DUAN,3,0),"")</f>
        <v/>
      </c>
      <c r="T40" s="64"/>
      <c r="U40" s="93"/>
      <c r="V40" s="64" t="str">
        <f>IF(W40&lt;&gt;0,VLOOKUP(W40,DM_DUAN,3,0),"")</f>
        <v/>
      </c>
      <c r="W40" s="68"/>
      <c r="X40" s="64" t="str">
        <f>IF(Y40&lt;&gt;0,VLOOKUP(Y40,DM_DUAN,3,0),"")</f>
        <v>#N/A</v>
      </c>
      <c r="Y40" s="69" t="s">
        <v>176</v>
      </c>
      <c r="Z40" s="64" t="str">
        <f>IF(AA40&lt;&gt;0,VLOOKUP(AA40,DM_DUAN,3,0),"")</f>
        <v>#N/A</v>
      </c>
      <c r="AA40" s="70" t="s">
        <v>210</v>
      </c>
      <c r="AB40" s="64" t="str">
        <f>IF(AC40&lt;&gt;0,VLOOKUP(AC40,DM_DUAN,3,0),"")</f>
        <v/>
      </c>
      <c r="AC40" s="70"/>
      <c r="AD40" s="64" t="str">
        <f>IF(AC40&lt;&gt;0,VLOOKUP(AC40,DM_NV,2,0),"")</f>
        <v/>
      </c>
      <c r="AE40" s="83" t="s">
        <v>227</v>
      </c>
      <c r="AF40" s="64" t="str">
        <f>IF(AE40&lt;&gt;0,VLOOKUP(AE40,DM_NV,2,0),"")</f>
        <v>#N/A</v>
      </c>
    </row>
    <row r="41">
      <c r="A41" s="51"/>
      <c r="B41" s="52" t="str">
        <f>IF(D41="","",VLOOKUP(D41,'THAM CHIẾU'!$A:$B,2,0))</f>
        <v>#N/A</v>
      </c>
      <c r="C41" s="53" t="str">
        <f t="shared" si="1"/>
        <v>01/2022</v>
      </c>
      <c r="D41" s="54">
        <v>44565.0</v>
      </c>
      <c r="E41" s="91" t="s">
        <v>224</v>
      </c>
      <c r="F41" s="92"/>
      <c r="G41" s="57" t="s">
        <v>225</v>
      </c>
      <c r="H41" s="58" t="str">
        <f>IF(G41="","",VLOOKUP($G41,'Quy chuẩn hạch toán'!$B:$E,2,0))</f>
        <v>154</v>
      </c>
      <c r="I41" s="58" t="str">
        <f>IF(H41="","",VLOOKUP($G41,'Quy chuẩn hạch toán'!$B:$E,3,0))</f>
        <v>1111</v>
      </c>
      <c r="J41" s="59">
        <v>116931.0</v>
      </c>
      <c r="K41" s="60"/>
      <c r="L41" s="61"/>
      <c r="M41" s="62"/>
      <c r="N41" s="63"/>
      <c r="O41" s="64" t="str">
        <f>IF($Q41&lt;&gt;0,VLOOKUP($Q41,DM_KM,3,0),"")</f>
        <v>#N/A</v>
      </c>
      <c r="P41" s="64" t="str">
        <f>IF($Q41&lt;&gt;0,VLOOKUP($Q41,DM_KM,5,0),"")</f>
        <v>#N/A</v>
      </c>
      <c r="Q41" s="65" t="s">
        <v>226</v>
      </c>
      <c r="R41" s="64" t="str">
        <f>IF(S41&lt;&gt;0,VLOOKUP(S41,DM_DUAN,3,0),"")</f>
        <v>#N/A</v>
      </c>
      <c r="S41" s="66" t="str">
        <f>IF(U41&lt;&gt;0,VLOOKUP(U41,DM_DUAN,3,0),"")</f>
        <v/>
      </c>
      <c r="T41" s="64"/>
      <c r="U41" s="93"/>
      <c r="V41" s="64" t="str">
        <f>IF(W41&lt;&gt;0,VLOOKUP(W41,DM_DUAN,3,0),"")</f>
        <v/>
      </c>
      <c r="W41" s="68"/>
      <c r="X41" s="64" t="str">
        <f>IF(Y41&lt;&gt;0,VLOOKUP(Y41,DM_DUAN,3,0),"")</f>
        <v>#N/A</v>
      </c>
      <c r="Y41" s="69" t="s">
        <v>176</v>
      </c>
      <c r="Z41" s="64" t="str">
        <f>IF(AA41&lt;&gt;0,VLOOKUP(AA41,DM_DUAN,3,0),"")</f>
        <v>#N/A</v>
      </c>
      <c r="AA41" s="70" t="s">
        <v>183</v>
      </c>
      <c r="AB41" s="64" t="str">
        <f>IF(AC41&lt;&gt;0,VLOOKUP(AC41,DM_DUAN,3,0),"")</f>
        <v/>
      </c>
      <c r="AC41" s="70"/>
      <c r="AD41" s="64" t="str">
        <f>IF(AC41&lt;&gt;0,VLOOKUP(AC41,DM_NV,2,0),"")</f>
        <v/>
      </c>
      <c r="AE41" s="83" t="s">
        <v>227</v>
      </c>
      <c r="AF41" s="64" t="str">
        <f>IF(AE41&lt;&gt;0,VLOOKUP(AE41,DM_NV,2,0),"")</f>
        <v>#N/A</v>
      </c>
    </row>
    <row r="42">
      <c r="A42" s="51"/>
      <c r="B42" s="52" t="str">
        <f>IF(D42="","",VLOOKUP(D42,'THAM CHIẾU'!$A:$B,2,0))</f>
        <v>#N/A</v>
      </c>
      <c r="C42" s="53" t="str">
        <f t="shared" si="1"/>
        <v>01/2022</v>
      </c>
      <c r="D42" s="54">
        <v>44565.0</v>
      </c>
      <c r="E42" s="91" t="s">
        <v>224</v>
      </c>
      <c r="F42" s="92"/>
      <c r="G42" s="57" t="s">
        <v>225</v>
      </c>
      <c r="H42" s="58" t="str">
        <f>IF(G42="","",VLOOKUP($G42,'Quy chuẩn hạch toán'!$B:$E,2,0))</f>
        <v>154</v>
      </c>
      <c r="I42" s="58" t="str">
        <f>IF(H42="","",VLOOKUP($G42,'Quy chuẩn hạch toán'!$B:$E,3,0))</f>
        <v>1111</v>
      </c>
      <c r="J42" s="59">
        <v>43849.0</v>
      </c>
      <c r="K42" s="60"/>
      <c r="L42" s="61"/>
      <c r="M42" s="62"/>
      <c r="N42" s="63"/>
      <c r="O42" s="64" t="str">
        <f>IF($Q42&lt;&gt;0,VLOOKUP($Q42,DM_KM,3,0),"")</f>
        <v>#N/A</v>
      </c>
      <c r="P42" s="64" t="str">
        <f>IF($Q42&lt;&gt;0,VLOOKUP($Q42,DM_KM,5,0),"")</f>
        <v>#N/A</v>
      </c>
      <c r="Q42" s="65" t="s">
        <v>226</v>
      </c>
      <c r="R42" s="64" t="str">
        <f>IF(S42&lt;&gt;0,VLOOKUP(S42,DM_DUAN,3,0),"")</f>
        <v>#N/A</v>
      </c>
      <c r="S42" s="66" t="str">
        <f>IF(U42&lt;&gt;0,VLOOKUP(U42,DM_DUAN,3,0),"")</f>
        <v/>
      </c>
      <c r="T42" s="64"/>
      <c r="U42" s="93"/>
      <c r="V42" s="64" t="str">
        <f>IF(W42&lt;&gt;0,VLOOKUP(W42,DM_DUAN,3,0),"")</f>
        <v/>
      </c>
      <c r="W42" s="68"/>
      <c r="X42" s="64" t="str">
        <f>IF(Y42&lt;&gt;0,VLOOKUP(Y42,DM_DUAN,3,0),"")</f>
        <v>#N/A</v>
      </c>
      <c r="Y42" s="69" t="s">
        <v>176</v>
      </c>
      <c r="Z42" s="64" t="str">
        <f>IF(AA42&lt;&gt;0,VLOOKUP(AA42,DM_DUAN,3,0),"")</f>
        <v>#N/A</v>
      </c>
      <c r="AA42" s="70" t="s">
        <v>177</v>
      </c>
      <c r="AB42" s="64" t="str">
        <f>IF(AC42&lt;&gt;0,VLOOKUP(AC42,DM_DUAN,3,0),"")</f>
        <v/>
      </c>
      <c r="AC42" s="70"/>
      <c r="AD42" s="64" t="str">
        <f>IF(AC42&lt;&gt;0,VLOOKUP(AC42,DM_NV,2,0),"")</f>
        <v/>
      </c>
      <c r="AE42" s="83" t="s">
        <v>227</v>
      </c>
      <c r="AF42" s="64" t="str">
        <f>IF(AE42&lt;&gt;0,VLOOKUP(AE42,DM_NV,2,0),"")</f>
        <v>#N/A</v>
      </c>
      <c r="AG42" s="97" t="s">
        <v>211</v>
      </c>
    </row>
    <row r="43">
      <c r="A43" s="51"/>
      <c r="B43" s="52" t="str">
        <f>IF(D43="","",VLOOKUP(D43,'THAM CHIẾU'!$A:$B,2,0))</f>
        <v>#N/A</v>
      </c>
      <c r="C43" s="53" t="str">
        <f t="shared" si="1"/>
        <v>01/2022</v>
      </c>
      <c r="D43" s="54">
        <v>44565.0</v>
      </c>
      <c r="E43" s="91" t="s">
        <v>228</v>
      </c>
      <c r="F43" s="92"/>
      <c r="G43" s="57" t="s">
        <v>173</v>
      </c>
      <c r="H43" s="58" t="str">
        <f>IF(G43="","",VLOOKUP($G43,'Quy chuẩn hạch toán'!$B:$E,2,0))</f>
        <v>641</v>
      </c>
      <c r="I43" s="58" t="str">
        <f>IF(H43="","",VLOOKUP($G43,'Quy chuẩn hạch toán'!$B:$E,3,0))</f>
        <v>331</v>
      </c>
      <c r="J43" s="95">
        <v>737000.0</v>
      </c>
      <c r="K43" s="60"/>
      <c r="L43" s="61"/>
      <c r="M43" s="62"/>
      <c r="N43" s="63"/>
      <c r="O43" s="64" t="str">
        <f>IF($Q43&lt;&gt;0,VLOOKUP($Q43,DM_KM,3,0),"")</f>
        <v>#N/A</v>
      </c>
      <c r="P43" s="64" t="str">
        <f>IF($Q43&lt;&gt;0,VLOOKUP($Q43,DM_KM,5,0),"")</f>
        <v>#N/A</v>
      </c>
      <c r="Q43" s="65" t="s">
        <v>174</v>
      </c>
      <c r="R43" s="64" t="str">
        <f>IF(S43&lt;&gt;0,VLOOKUP(S43,DM_DUAN,3,0),"")</f>
        <v>#N/A</v>
      </c>
      <c r="S43" s="66" t="str">
        <f>IF(U43&lt;&gt;0,VLOOKUP(U43,DM_DUAN,3,0),"")</f>
        <v>NAMSAIGON</v>
      </c>
      <c r="T43" s="64"/>
      <c r="U43" s="67" t="s">
        <v>215</v>
      </c>
      <c r="V43" s="64" t="str">
        <f>IF(W43&lt;&gt;0,VLOOKUP(W43,DM_DUAN,3,0),"")</f>
        <v/>
      </c>
      <c r="W43" s="68"/>
      <c r="X43" s="64" t="str">
        <f>IF(Y43&lt;&gt;0,VLOOKUP(Y43,DM_DUAN,3,0),"")</f>
        <v>#N/A</v>
      </c>
      <c r="Y43" s="69" t="s">
        <v>176</v>
      </c>
      <c r="Z43" s="64" t="str">
        <f>IF(AA43&lt;&gt;0,VLOOKUP(AA43,DM_DUAN,3,0),"")</f>
        <v>#N/A</v>
      </c>
      <c r="AA43" s="70" t="s">
        <v>177</v>
      </c>
      <c r="AB43" s="64" t="str">
        <f>IF(AC43&lt;&gt;0,VLOOKUP(AC43,DM_DUAN,3,0),"")</f>
        <v>#N/A</v>
      </c>
      <c r="AC43" s="70" t="s">
        <v>229</v>
      </c>
      <c r="AD43" s="64" t="str">
        <f>IF(AC43&lt;&gt;0,VLOOKUP(AC43,DM_NV,2,0),"")</f>
        <v>Dương Hải Lộc</v>
      </c>
      <c r="AE43" s="68"/>
      <c r="AF43" s="64" t="str">
        <f>IF(AE43&lt;&gt;0,VLOOKUP(AE43,DM_NV,2,0),"")</f>
        <v/>
      </c>
    </row>
    <row r="44">
      <c r="A44" s="51"/>
      <c r="B44" s="52" t="str">
        <f>IF(D44="","",VLOOKUP(D44,'THAM CHIẾU'!$A:$B,2,0))</f>
        <v>#N/A</v>
      </c>
      <c r="C44" s="53" t="str">
        <f t="shared" si="1"/>
        <v>01/2022</v>
      </c>
      <c r="D44" s="54">
        <v>44566.0</v>
      </c>
      <c r="E44" s="91" t="s">
        <v>230</v>
      </c>
      <c r="F44" s="92"/>
      <c r="G44" s="57" t="s">
        <v>173</v>
      </c>
      <c r="H44" s="58" t="str">
        <f>IF(G44="","",VLOOKUP($G44,'Quy chuẩn hạch toán'!$B:$E,2,0))</f>
        <v>641</v>
      </c>
      <c r="I44" s="58" t="str">
        <f>IF(H44="","",VLOOKUP($G44,'Quy chuẩn hạch toán'!$B:$E,3,0))</f>
        <v>331</v>
      </c>
      <c r="J44" s="95">
        <v>2760000.0</v>
      </c>
      <c r="K44" s="60"/>
      <c r="L44" s="61"/>
      <c r="M44" s="62"/>
      <c r="N44" s="63"/>
      <c r="O44" s="64" t="str">
        <f>IF($Q44&lt;&gt;0,VLOOKUP($Q44,DM_KM,3,0),"")</f>
        <v>#N/A</v>
      </c>
      <c r="P44" s="64" t="str">
        <f>IF($Q44&lt;&gt;0,VLOOKUP($Q44,DM_KM,5,0),"")</f>
        <v>#N/A</v>
      </c>
      <c r="Q44" s="65" t="s">
        <v>174</v>
      </c>
      <c r="R44" s="64" t="str">
        <f>IF(S44&lt;&gt;0,VLOOKUP(S44,DM_DUAN,3,0),"")</f>
        <v>#N/A</v>
      </c>
      <c r="S44" s="66" t="str">
        <f>IF(U44&lt;&gt;0,VLOOKUP(U44,DM_DUAN,3,0),"")</f>
        <v>THANHNAM</v>
      </c>
      <c r="T44" s="64"/>
      <c r="U44" s="67" t="s">
        <v>175</v>
      </c>
      <c r="V44" s="64" t="str">
        <f>IF(W44&lt;&gt;0,VLOOKUP(W44,DM_DUAN,3,0),"")</f>
        <v/>
      </c>
      <c r="W44" s="68"/>
      <c r="X44" s="64" t="str">
        <f>IF(Y44&lt;&gt;0,VLOOKUP(Y44,DM_DUAN,3,0),"")</f>
        <v>#N/A</v>
      </c>
      <c r="Y44" s="69" t="s">
        <v>176</v>
      </c>
      <c r="Z44" s="64" t="str">
        <f>IF(AA44&lt;&gt;0,VLOOKUP(AA44,DM_DUAN,3,0),"")</f>
        <v>#N/A</v>
      </c>
      <c r="AA44" s="70" t="s">
        <v>208</v>
      </c>
      <c r="AB44" s="64" t="str">
        <f>IF(AC44&lt;&gt;0,VLOOKUP(AC44,DM_DUAN,3,0),"")</f>
        <v>#N/A</v>
      </c>
      <c r="AC44" s="70" t="s">
        <v>217</v>
      </c>
      <c r="AD44" s="64" t="str">
        <f>IF(AC44&lt;&gt;0,VLOOKUP(AC44,DM_NV,2,0),"")</f>
        <v>Nguyễn Thị Mai Thu</v>
      </c>
      <c r="AE44" s="68"/>
      <c r="AF44" s="64" t="str">
        <f>IF(AE44&lt;&gt;0,VLOOKUP(AE44,DM_NV,2,0),"")</f>
        <v/>
      </c>
    </row>
    <row r="45">
      <c r="A45" s="51"/>
      <c r="B45" s="52" t="str">
        <f>IF(D45="","",VLOOKUP(D45,'THAM CHIẾU'!$A:$B,2,0))</f>
        <v>#N/A</v>
      </c>
      <c r="C45" s="53" t="str">
        <f t="shared" si="1"/>
        <v>01/2022</v>
      </c>
      <c r="D45" s="54">
        <v>44570.0</v>
      </c>
      <c r="E45" s="91" t="s">
        <v>231</v>
      </c>
      <c r="F45" s="92"/>
      <c r="G45" s="57" t="s">
        <v>173</v>
      </c>
      <c r="H45" s="58" t="str">
        <f>IF(G45="","",VLOOKUP($G45,'Quy chuẩn hạch toán'!$B:$E,2,0))</f>
        <v>641</v>
      </c>
      <c r="I45" s="58" t="str">
        <f>IF(H45="","",VLOOKUP($G45,'Quy chuẩn hạch toán'!$B:$E,3,0))</f>
        <v>331</v>
      </c>
      <c r="J45" s="95">
        <v>504000.0</v>
      </c>
      <c r="K45" s="60"/>
      <c r="L45" s="61"/>
      <c r="M45" s="62"/>
      <c r="N45" s="63"/>
      <c r="O45" s="64" t="str">
        <f>IF($Q45&lt;&gt;0,VLOOKUP($Q45,DM_KM,3,0),"")</f>
        <v>#N/A</v>
      </c>
      <c r="P45" s="64" t="str">
        <f>IF($Q45&lt;&gt;0,VLOOKUP($Q45,DM_KM,5,0),"")</f>
        <v>#N/A</v>
      </c>
      <c r="Q45" s="65" t="s">
        <v>174</v>
      </c>
      <c r="R45" s="64" t="str">
        <f>IF(S45&lt;&gt;0,VLOOKUP(S45,DM_DUAN,3,0),"")</f>
        <v>#N/A</v>
      </c>
      <c r="S45" s="66" t="str">
        <f>IF(U45&lt;&gt;0,VLOOKUP(U45,DM_DUAN,3,0),"")</f>
        <v>THANHNAM</v>
      </c>
      <c r="T45" s="64"/>
      <c r="U45" s="67" t="s">
        <v>175</v>
      </c>
      <c r="V45" s="64" t="str">
        <f>IF(W45&lt;&gt;0,VLOOKUP(W45,DM_DUAN,3,0),"")</f>
        <v/>
      </c>
      <c r="W45" s="68"/>
      <c r="X45" s="64" t="str">
        <f>IF(Y45&lt;&gt;0,VLOOKUP(Y45,DM_DUAN,3,0),"")</f>
        <v>#N/A</v>
      </c>
      <c r="Y45" s="69" t="s">
        <v>176</v>
      </c>
      <c r="Z45" s="64" t="str">
        <f>IF(AA45&lt;&gt;0,VLOOKUP(AA45,DM_DUAN,3,0),"")</f>
        <v>#N/A</v>
      </c>
      <c r="AA45" s="70" t="s">
        <v>183</v>
      </c>
      <c r="AB45" s="64" t="str">
        <f>IF(AC45&lt;&gt;0,VLOOKUP(AC45,DM_DUAN,3,0),"")</f>
        <v>#N/A</v>
      </c>
      <c r="AC45" s="70" t="s">
        <v>232</v>
      </c>
      <c r="AD45" s="64" t="str">
        <f>IF(AC45&lt;&gt;0,VLOOKUP(AC45,DM_NV,2,0),"")</f>
        <v>Lê Quốc Tuấn</v>
      </c>
      <c r="AE45" s="68"/>
      <c r="AF45" s="64" t="str">
        <f>IF(AE45&lt;&gt;0,VLOOKUP(AE45,DM_NV,2,0),"")</f>
        <v/>
      </c>
    </row>
    <row r="46">
      <c r="A46" s="51"/>
      <c r="B46" s="52" t="str">
        <f>IF(D46="","",VLOOKUP(D46,'THAM CHIẾU'!$A:$B,2,0))</f>
        <v>#N/A</v>
      </c>
      <c r="C46" s="53" t="str">
        <f t="shared" si="1"/>
        <v>01/2022</v>
      </c>
      <c r="D46" s="54">
        <v>44570.0</v>
      </c>
      <c r="E46" s="91" t="s">
        <v>233</v>
      </c>
      <c r="F46" s="92"/>
      <c r="G46" s="57" t="s">
        <v>173</v>
      </c>
      <c r="H46" s="58" t="str">
        <f>IF(G46="","",VLOOKUP($G46,'Quy chuẩn hạch toán'!$B:$E,2,0))</f>
        <v>641</v>
      </c>
      <c r="I46" s="58" t="str">
        <f>IF(H46="","",VLOOKUP($G46,'Quy chuẩn hạch toán'!$B:$E,3,0))</f>
        <v>331</v>
      </c>
      <c r="J46" s="95">
        <v>689000.0</v>
      </c>
      <c r="K46" s="60"/>
      <c r="L46" s="61"/>
      <c r="M46" s="62"/>
      <c r="N46" s="63"/>
      <c r="O46" s="64" t="str">
        <f>IF($Q46&lt;&gt;0,VLOOKUP($Q46,DM_KM,3,0),"")</f>
        <v>#N/A</v>
      </c>
      <c r="P46" s="64" t="str">
        <f>IF($Q46&lt;&gt;0,VLOOKUP($Q46,DM_KM,5,0),"")</f>
        <v>#N/A</v>
      </c>
      <c r="Q46" s="65" t="s">
        <v>174</v>
      </c>
      <c r="R46" s="64" t="str">
        <f>IF(S46&lt;&gt;0,VLOOKUP(S46,DM_DUAN,3,0),"")</f>
        <v>#N/A</v>
      </c>
      <c r="S46" s="66" t="str">
        <f>IF(U46&lt;&gt;0,VLOOKUP(U46,DM_DUAN,3,0),"")</f>
        <v>NAMSAIGON</v>
      </c>
      <c r="T46" s="64"/>
      <c r="U46" s="67" t="s">
        <v>215</v>
      </c>
      <c r="V46" s="64" t="str">
        <f>IF(W46&lt;&gt;0,VLOOKUP(W46,DM_DUAN,3,0),"")</f>
        <v/>
      </c>
      <c r="W46" s="68"/>
      <c r="X46" s="64" t="str">
        <f>IF(Y46&lt;&gt;0,VLOOKUP(Y46,DM_DUAN,3,0),"")</f>
        <v>#N/A</v>
      </c>
      <c r="Y46" s="69" t="s">
        <v>176</v>
      </c>
      <c r="Z46" s="64" t="str">
        <f>IF(AA46&lt;&gt;0,VLOOKUP(AA46,DM_DUAN,3,0),"")</f>
        <v>#N/A</v>
      </c>
      <c r="AA46" s="70" t="s">
        <v>208</v>
      </c>
      <c r="AB46" s="64" t="str">
        <f>IF(AC46&lt;&gt;0,VLOOKUP(AC46,DM_DUAN,3,0),"")</f>
        <v>#N/A</v>
      </c>
      <c r="AC46" s="70" t="s">
        <v>217</v>
      </c>
      <c r="AD46" s="64" t="str">
        <f>IF(AC46&lt;&gt;0,VLOOKUP(AC46,DM_NV,2,0),"")</f>
        <v>Nguyễn Thị Mai Thu</v>
      </c>
      <c r="AE46" s="68"/>
      <c r="AF46" s="64" t="str">
        <f>IF(AE46&lt;&gt;0,VLOOKUP(AE46,DM_NV,2,0),"")</f>
        <v/>
      </c>
      <c r="AG46" s="97" t="s">
        <v>213</v>
      </c>
    </row>
    <row r="47">
      <c r="A47" s="51"/>
      <c r="B47" s="52" t="str">
        <f>IF(D47="","",VLOOKUP(D47,'THAM CHIẾU'!$A:$B,2,0))</f>
        <v>#N/A</v>
      </c>
      <c r="C47" s="53" t="str">
        <f t="shared" si="1"/>
        <v>01/2022</v>
      </c>
      <c r="D47" s="54">
        <v>44570.0</v>
      </c>
      <c r="E47" s="91" t="s">
        <v>233</v>
      </c>
      <c r="F47" s="92"/>
      <c r="G47" s="57" t="s">
        <v>173</v>
      </c>
      <c r="H47" s="58" t="str">
        <f>IF(G47="","",VLOOKUP($G47,'Quy chuẩn hạch toán'!$B:$E,2,0))</f>
        <v>641</v>
      </c>
      <c r="I47" s="58" t="str">
        <f>IF(H47="","",VLOOKUP($G47,'Quy chuẩn hạch toán'!$B:$E,3,0))</f>
        <v>331</v>
      </c>
      <c r="J47" s="95">
        <v>689000.0</v>
      </c>
      <c r="K47" s="60"/>
      <c r="L47" s="61"/>
      <c r="M47" s="62"/>
      <c r="N47" s="63"/>
      <c r="O47" s="64" t="str">
        <f>IF($Q47&lt;&gt;0,VLOOKUP($Q47,DM_KM,3,0),"")</f>
        <v>#N/A</v>
      </c>
      <c r="P47" s="64" t="str">
        <f>IF($Q47&lt;&gt;0,VLOOKUP($Q47,DM_KM,5,0),"")</f>
        <v>#N/A</v>
      </c>
      <c r="Q47" s="65" t="s">
        <v>174</v>
      </c>
      <c r="R47" s="64" t="str">
        <f>IF(S47&lt;&gt;0,VLOOKUP(S47,DM_DUAN,3,0),"")</f>
        <v>#N/A</v>
      </c>
      <c r="S47" s="66" t="str">
        <f>IF(U47&lt;&gt;0,VLOOKUP(U47,DM_DUAN,3,0),"")</f>
        <v>NAMSAIGON</v>
      </c>
      <c r="T47" s="64"/>
      <c r="U47" s="67" t="s">
        <v>215</v>
      </c>
      <c r="V47" s="64" t="str">
        <f>IF(W47&lt;&gt;0,VLOOKUP(W47,DM_DUAN,3,0),"")</f>
        <v/>
      </c>
      <c r="W47" s="68"/>
      <c r="X47" s="64" t="str">
        <f>IF(Y47&lt;&gt;0,VLOOKUP(Y47,DM_DUAN,3,0),"")</f>
        <v>#N/A</v>
      </c>
      <c r="Y47" s="69" t="s">
        <v>176</v>
      </c>
      <c r="Z47" s="64" t="str">
        <f>IF(AA47&lt;&gt;0,VLOOKUP(AA47,DM_DUAN,3,0),"")</f>
        <v>#N/A</v>
      </c>
      <c r="AA47" s="70" t="s">
        <v>208</v>
      </c>
      <c r="AB47" s="64" t="str">
        <f>IF(AC47&lt;&gt;0,VLOOKUP(AC47,DM_DUAN,3,0),"")</f>
        <v>#N/A</v>
      </c>
      <c r="AC47" s="70" t="s">
        <v>217</v>
      </c>
      <c r="AD47" s="64" t="str">
        <f>IF(AC47&lt;&gt;0,VLOOKUP(AC47,DM_NV,2,0),"")</f>
        <v>Nguyễn Thị Mai Thu</v>
      </c>
      <c r="AE47" s="68"/>
      <c r="AF47" s="64" t="str">
        <f>IF(AE47&lt;&gt;0,VLOOKUP(AE47,DM_NV,2,0),"")</f>
        <v/>
      </c>
    </row>
    <row r="48">
      <c r="A48" s="51"/>
      <c r="B48" s="52" t="str">
        <f>IF(D48="","",VLOOKUP(D48,'THAM CHIẾU'!$A:$B,2,0))</f>
        <v>#N/A</v>
      </c>
      <c r="C48" s="53" t="str">
        <f t="shared" si="1"/>
        <v>01/2022</v>
      </c>
      <c r="D48" s="96">
        <v>44571.0</v>
      </c>
      <c r="E48" s="79" t="s">
        <v>234</v>
      </c>
      <c r="F48" s="80"/>
      <c r="G48" s="57" t="s">
        <v>180</v>
      </c>
      <c r="H48" s="58" t="str">
        <f>IF(G48="","",VLOOKUP($G48,'Quy chuẩn hạch toán'!$B:$E,2,0))</f>
        <v>521</v>
      </c>
      <c r="I48" s="58" t="str">
        <f>IF(H48="","",VLOOKUP($G48,'Quy chuẩn hạch toán'!$B:$E,3,0))</f>
        <v>131</v>
      </c>
      <c r="J48" s="59">
        <v>1.888E7</v>
      </c>
      <c r="K48" s="60"/>
      <c r="L48" s="61"/>
      <c r="M48" s="62"/>
      <c r="N48" s="63"/>
      <c r="O48" s="64" t="str">
        <f>IF($Q48&lt;&gt;0,VLOOKUP($Q48,DM_KM,3,0),"")</f>
        <v>#N/A</v>
      </c>
      <c r="P48" s="64" t="str">
        <f>IF($Q48&lt;&gt;0,VLOOKUP($Q48,DM_KM,5,0),"")</f>
        <v>#N/A</v>
      </c>
      <c r="Q48" s="65" t="s">
        <v>181</v>
      </c>
      <c r="R48" s="64"/>
      <c r="S48" s="66"/>
      <c r="T48" s="64"/>
      <c r="U48" s="67" t="s">
        <v>175</v>
      </c>
      <c r="V48" s="64"/>
      <c r="W48" s="83" t="s">
        <v>235</v>
      </c>
      <c r="X48" s="64"/>
      <c r="Y48" s="84" t="s">
        <v>176</v>
      </c>
      <c r="Z48" s="64"/>
      <c r="AA48" s="70" t="s">
        <v>208</v>
      </c>
      <c r="AB48" s="64"/>
      <c r="AC48" s="85"/>
      <c r="AD48" s="64" t="str">
        <f>IF(AC48&lt;&gt;0,VLOOKUP(AC48,DM_NV,2,0),"")</f>
        <v/>
      </c>
      <c r="AE48" s="68"/>
      <c r="AF48" s="64" t="str">
        <f>IF(AE48&lt;&gt;0,VLOOKUP(AE48,DM_NV,2,0),"")</f>
        <v/>
      </c>
    </row>
    <row r="49">
      <c r="A49" s="51"/>
      <c r="B49" s="52" t="str">
        <f>IF(D49="","",VLOOKUP(D49,'THAM CHIẾU'!$A:$B,2,0))</f>
        <v>#N/A</v>
      </c>
      <c r="C49" s="53" t="str">
        <f t="shared" si="1"/>
        <v>01/2022</v>
      </c>
      <c r="D49" s="96">
        <v>44571.0</v>
      </c>
      <c r="E49" s="55" t="s">
        <v>236</v>
      </c>
      <c r="F49" s="56"/>
      <c r="G49" s="57" t="s">
        <v>186</v>
      </c>
      <c r="H49" s="58" t="str">
        <f>IF(G49="","",VLOOKUP($G49,'Quy chuẩn hạch toán'!$B:$E,2,0))</f>
        <v>131</v>
      </c>
      <c r="I49" s="58" t="str">
        <f>IF(H49="","",VLOOKUP($G49,'Quy chuẩn hạch toán'!$B:$E,3,0))</f>
        <v>5113</v>
      </c>
      <c r="J49" s="59">
        <v>1.8E8</v>
      </c>
      <c r="K49" s="60"/>
      <c r="L49" s="61"/>
      <c r="M49" s="62"/>
      <c r="N49" s="63"/>
      <c r="O49" s="64" t="str">
        <f>IF($Q49&lt;&gt;0,VLOOKUP($Q49,DM_KM,3,0),"")</f>
        <v>511_TK</v>
      </c>
      <c r="P49" s="64">
        <f>IF($Q49&lt;&gt;0,VLOOKUP($Q49,DM_KM,5,0),"")</f>
        <v>511</v>
      </c>
      <c r="Q49" s="65" t="s">
        <v>187</v>
      </c>
      <c r="R49" s="64" t="str">
        <f>IF(S49&lt;&gt;0,VLOOKUP(S49,DM_DUAN,3,0),"")</f>
        <v>#N/A</v>
      </c>
      <c r="S49" s="66" t="str">
        <f>IF(U49&lt;&gt;0,VLOOKUP(U49,DM_DUAN,3,0),"")</f>
        <v>THANHNAM</v>
      </c>
      <c r="T49" s="64"/>
      <c r="U49" s="67" t="s">
        <v>175</v>
      </c>
      <c r="V49" s="64" t="str">
        <f>IF(W49&lt;&gt;0,VLOOKUP(W49,DM_DUAN,3,0),"")</f>
        <v>#N/A</v>
      </c>
      <c r="W49" s="83" t="s">
        <v>235</v>
      </c>
      <c r="X49" s="64" t="str">
        <f>IF(Y49&lt;&gt;0,VLOOKUP(Y49,DM_DUAN,3,0),"")</f>
        <v/>
      </c>
      <c r="Y49" s="84"/>
      <c r="Z49" s="64" t="str">
        <f>IF(AA49&lt;&gt;0,VLOOKUP(AA49,DM_DUAN,3,0),"")</f>
        <v>#N/A</v>
      </c>
      <c r="AA49" s="70" t="s">
        <v>208</v>
      </c>
      <c r="AB49" s="64" t="str">
        <f>IF(AC49&lt;&gt;0,VLOOKUP(AC49,DM_DUAN,3,0),"")</f>
        <v/>
      </c>
      <c r="AC49" s="85"/>
      <c r="AD49" s="64" t="str">
        <f>IF(AC49&lt;&gt;0,VLOOKUP(AC49,DM_NV,2,0),"")</f>
        <v/>
      </c>
      <c r="AE49" s="68"/>
      <c r="AF49" s="64" t="str">
        <f>IF(AE49&lt;&gt;0,VLOOKUP(AE49,DM_NV,2,0),"")</f>
        <v/>
      </c>
    </row>
    <row r="50">
      <c r="A50" s="51"/>
      <c r="B50" s="52" t="str">
        <f>IF(D50="","",VLOOKUP(D50,'THAM CHIẾU'!$A:$B,2,0))</f>
        <v>#N/A</v>
      </c>
      <c r="C50" s="53" t="str">
        <f t="shared" si="1"/>
        <v>01/2022</v>
      </c>
      <c r="D50" s="96">
        <v>44571.0</v>
      </c>
      <c r="E50" s="79" t="s">
        <v>237</v>
      </c>
      <c r="F50" s="80"/>
      <c r="G50" s="57" t="s">
        <v>189</v>
      </c>
      <c r="H50" s="58" t="str">
        <f>IF(G50="","",VLOOKUP($G50,'Quy chuẩn hạch toán'!$B:$E,2,0))</f>
        <v>154</v>
      </c>
      <c r="I50" s="58" t="str">
        <f>IF(H50="","",VLOOKUP($G50,'Quy chuẩn hạch toán'!$B:$E,3,0))</f>
        <v>3345</v>
      </c>
      <c r="J50" s="59">
        <v>4.556E7</v>
      </c>
      <c r="K50" s="60"/>
      <c r="L50" s="61"/>
      <c r="M50" s="62"/>
      <c r="N50" s="63"/>
      <c r="O50" s="64" t="str">
        <f>IF($Q50&lt;&gt;0,VLOOKUP($Q50,DM_KM,3,0),"")</f>
        <v>#N/A</v>
      </c>
      <c r="P50" s="64" t="str">
        <f>IF($Q50&lt;&gt;0,VLOOKUP($Q50,DM_KM,5,0),"")</f>
        <v>#N/A</v>
      </c>
      <c r="Q50" s="89" t="s">
        <v>190</v>
      </c>
      <c r="R50" s="64" t="str">
        <f>IF(S50&lt;&gt;0,VLOOKUP(S50,DM_DUAN,3,0),"")</f>
        <v>#N/A</v>
      </c>
      <c r="S50" s="66" t="str">
        <f>IF(U50&lt;&gt;0,VLOOKUP(U50,DM_DUAN,3,0),"")</f>
        <v>THANHNAM</v>
      </c>
      <c r="T50" s="64"/>
      <c r="U50" s="67" t="s">
        <v>175</v>
      </c>
      <c r="V50" s="64" t="str">
        <f>IF(W50&lt;&gt;0,VLOOKUP(W50,DM_DUAN,3,0),"")</f>
        <v>#N/A</v>
      </c>
      <c r="W50" s="83" t="s">
        <v>235</v>
      </c>
      <c r="X50" s="64" t="str">
        <f>IF(Y50&lt;&gt;0,VLOOKUP(Y50,DM_DUAN,3,0),"")</f>
        <v>#N/A</v>
      </c>
      <c r="Y50" s="69" t="s">
        <v>176</v>
      </c>
      <c r="Z50" s="64" t="str">
        <f>IF(AA50&lt;&gt;0,VLOOKUP(AA50,DM_DUAN,3,0),"")</f>
        <v>#N/A</v>
      </c>
      <c r="AA50" s="70" t="s">
        <v>208</v>
      </c>
      <c r="AB50" s="64" t="str">
        <f>IF(AC50&lt;&gt;0,VLOOKUP(AC50,DM_DUAN,3,0),"")</f>
        <v>#N/A</v>
      </c>
      <c r="AC50" s="70" t="s">
        <v>217</v>
      </c>
      <c r="AD50" s="64" t="str">
        <f>IF(AC50&lt;&gt;0,VLOOKUP(AC50,DM_NV,2,0),"")</f>
        <v>Nguyễn Thị Mai Thu</v>
      </c>
      <c r="AE50" s="68"/>
      <c r="AF50" s="64" t="str">
        <f>IF(AE50&lt;&gt;0,VLOOKUP(AE50,DM_NV,2,0),"")</f>
        <v/>
      </c>
      <c r="AI50" s="98" t="s">
        <v>238</v>
      </c>
      <c r="AJ50" s="98"/>
      <c r="AK50" s="98"/>
      <c r="AL50" s="98"/>
      <c r="AM50" s="98"/>
      <c r="AN50" s="98"/>
      <c r="AO50" s="98"/>
      <c r="AP50" s="98"/>
      <c r="AQ50" s="98"/>
      <c r="AR50" s="98"/>
      <c r="AS50" s="98"/>
      <c r="AT50" s="98"/>
    </row>
    <row r="51">
      <c r="A51" s="51"/>
      <c r="B51" s="52" t="str">
        <f>IF(D51="","",VLOOKUP(D51,'THAM CHIẾU'!$A:$B,2,0))</f>
        <v>#N/A</v>
      </c>
      <c r="C51" s="53" t="str">
        <f t="shared" si="1"/>
        <v>01/2022</v>
      </c>
      <c r="D51" s="96">
        <v>44571.0</v>
      </c>
      <c r="E51" s="55" t="s">
        <v>239</v>
      </c>
      <c r="F51" s="56"/>
      <c r="G51" s="57" t="s">
        <v>197</v>
      </c>
      <c r="H51" s="58" t="str">
        <f>IF(G51="","",VLOOKUP($G51,'Quy chuẩn hạch toán'!$B:$E,2,0))</f>
        <v>#N/A</v>
      </c>
      <c r="I51" s="58" t="str">
        <f>IF(H51="","",VLOOKUP($G51,'Quy chuẩn hạch toán'!$B:$E,3,0))</f>
        <v>#N/A</v>
      </c>
      <c r="J51" s="59">
        <v>1.66846E9</v>
      </c>
      <c r="K51" s="60"/>
      <c r="L51" s="61"/>
      <c r="M51" s="62"/>
      <c r="N51" s="63"/>
      <c r="O51" s="64" t="str">
        <f>IF($Q51&lt;&gt;0,VLOOKUP($Q51,DM_KM,3,0),"")</f>
        <v>#N/A</v>
      </c>
      <c r="P51" s="64" t="str">
        <f>IF($Q51&lt;&gt;0,VLOOKUP($Q51,DM_KM,5,0),"")</f>
        <v>#N/A</v>
      </c>
      <c r="Q51" s="65" t="s">
        <v>198</v>
      </c>
      <c r="R51" s="64" t="str">
        <f>IF(S51&lt;&gt;0,VLOOKUP(S51,DM_DUAN,3,0),"")</f>
        <v>#N/A</v>
      </c>
      <c r="S51" s="66" t="str">
        <f>IF(U51&lt;&gt;0,VLOOKUP(U51,DM_DUAN,3,0),"")</f>
        <v>THANHNAM</v>
      </c>
      <c r="T51" s="64"/>
      <c r="U51" s="67" t="s">
        <v>175</v>
      </c>
      <c r="V51" s="64" t="str">
        <f>IF(W51&lt;&gt;0,VLOOKUP(W51,DM_DUAN,3,0),"")</f>
        <v>#N/A</v>
      </c>
      <c r="W51" s="83" t="s">
        <v>235</v>
      </c>
      <c r="X51" s="64" t="str">
        <f>IF(Y51&lt;&gt;0,VLOOKUP(Y51,DM_DUAN,3,0),"")</f>
        <v>#N/A</v>
      </c>
      <c r="Y51" s="69" t="s">
        <v>176</v>
      </c>
      <c r="Z51" s="64" t="str">
        <f>IF(AA51&lt;&gt;0,VLOOKUP(AA51,DM_DUAN,3,0),"")</f>
        <v>#N/A</v>
      </c>
      <c r="AA51" s="70" t="s">
        <v>208</v>
      </c>
      <c r="AB51" s="64" t="str">
        <f>IF(AC51&lt;&gt;0,VLOOKUP(AC51,DM_DUAN,3,0),"")</f>
        <v>#N/A</v>
      </c>
      <c r="AC51" s="70" t="s">
        <v>217</v>
      </c>
      <c r="AD51" s="64" t="str">
        <f>IF(AC51&lt;&gt;0,VLOOKUP(AC51,DM_NV,2,0),"")</f>
        <v>Nguyễn Thị Mai Thu</v>
      </c>
      <c r="AE51" s="68"/>
      <c r="AF51" s="64" t="str">
        <f>IF(AE51&lt;&gt;0,VLOOKUP(AE51,DM_NV,2,0),"")</f>
        <v/>
      </c>
    </row>
    <row r="52">
      <c r="A52" s="51"/>
      <c r="B52" s="52" t="str">
        <f>IF(D52="","",VLOOKUP(D52,'THAM CHIẾU'!$A:$B,2,0))</f>
        <v>#N/A</v>
      </c>
      <c r="C52" s="53" t="str">
        <f t="shared" si="1"/>
        <v>01/2022</v>
      </c>
      <c r="D52" s="96">
        <v>44571.0</v>
      </c>
      <c r="E52" s="79" t="s">
        <v>240</v>
      </c>
      <c r="F52" s="80"/>
      <c r="G52" s="57" t="s">
        <v>200</v>
      </c>
      <c r="H52" s="58" t="str">
        <f>IF(G52="","",VLOOKUP($G52,'Quy chuẩn hạch toán'!$B:$E,2,0))</f>
        <v>154</v>
      </c>
      <c r="I52" s="58" t="str">
        <f>IF(H52="","",VLOOKUP($G52,'Quy chuẩn hạch toán'!$B:$E,3,0))</f>
        <v>3343</v>
      </c>
      <c r="J52" s="59">
        <v>1000000.0</v>
      </c>
      <c r="K52" s="60"/>
      <c r="L52" s="61"/>
      <c r="M52" s="62"/>
      <c r="N52" s="63"/>
      <c r="O52" s="64" t="str">
        <f>IF($Q52&lt;&gt;0,VLOOKUP($Q52,DM_KM,3,0),"")</f>
        <v>#N/A</v>
      </c>
      <c r="P52" s="64" t="str">
        <f>IF($Q52&lt;&gt;0,VLOOKUP($Q52,DM_KM,5,0),"")</f>
        <v>#N/A</v>
      </c>
      <c r="Q52" s="65" t="s">
        <v>201</v>
      </c>
      <c r="R52" s="64"/>
      <c r="S52" s="66"/>
      <c r="T52" s="64"/>
      <c r="U52" s="67" t="s">
        <v>175</v>
      </c>
      <c r="V52" s="64"/>
      <c r="W52" s="83" t="s">
        <v>235</v>
      </c>
      <c r="X52" s="64"/>
      <c r="Y52" s="69"/>
      <c r="Z52" s="64"/>
      <c r="AA52" s="70" t="s">
        <v>208</v>
      </c>
      <c r="AB52" s="64"/>
      <c r="AC52" s="85"/>
      <c r="AD52" s="64" t="str">
        <f>IF(AC52&lt;&gt;0,VLOOKUP(AC52,DM_NV,2,0),"")</f>
        <v/>
      </c>
      <c r="AE52" s="68"/>
      <c r="AF52" s="64" t="str">
        <f>IF(AE52&lt;&gt;0,VLOOKUP(AE52,DM_NV,2,0),"")</f>
        <v/>
      </c>
    </row>
    <row r="53">
      <c r="A53" s="51"/>
      <c r="B53" s="52" t="str">
        <f>IF(D53="","",VLOOKUP(D53,'THAM CHIẾU'!$A:$B,2,0))</f>
        <v>#N/A</v>
      </c>
      <c r="C53" s="53" t="str">
        <f t="shared" si="1"/>
        <v>01/2022</v>
      </c>
      <c r="D53" s="96">
        <v>44571.0</v>
      </c>
      <c r="E53" s="79" t="s">
        <v>241</v>
      </c>
      <c r="F53" s="80"/>
      <c r="G53" s="90"/>
      <c r="H53" s="58" t="str">
        <f>IF(G53="","",VLOOKUP($G53,'Quy chuẩn hạch toán'!$B:$E,2,0))</f>
        <v/>
      </c>
      <c r="I53" s="58" t="str">
        <f>IF(H53="","",VLOOKUP($G53,'Quy chuẩn hạch toán'!$B:$E,3,0))</f>
        <v/>
      </c>
      <c r="J53" s="59">
        <v>1.2E7</v>
      </c>
      <c r="K53" s="60"/>
      <c r="L53" s="61"/>
      <c r="M53" s="62"/>
      <c r="N53" s="63"/>
      <c r="O53" s="64" t="str">
        <f>IF($Q53&lt;&gt;0,VLOOKUP($Q53,DM_KM,3,0),"")</f>
        <v>#N/A</v>
      </c>
      <c r="P53" s="64" t="str">
        <f>IF($Q53&lt;&gt;0,VLOOKUP($Q53,DM_KM,5,0),"")</f>
        <v>#N/A</v>
      </c>
      <c r="Q53" s="65" t="s">
        <v>203</v>
      </c>
      <c r="R53" s="64" t="str">
        <f>IF(S53&lt;&gt;0,VLOOKUP(S53,DM_DUAN,3,0),"")</f>
        <v>#N/A</v>
      </c>
      <c r="S53" s="66" t="str">
        <f>IF(U53&lt;&gt;0,VLOOKUP(U53,DM_DUAN,3,0),"")</f>
        <v>THANHNAM</v>
      </c>
      <c r="T53" s="64"/>
      <c r="U53" s="67" t="s">
        <v>175</v>
      </c>
      <c r="V53" s="64" t="str">
        <f>IF(W53&lt;&gt;0,VLOOKUP(W53,DM_DUAN,3,0),"")</f>
        <v>#N/A</v>
      </c>
      <c r="W53" s="83" t="s">
        <v>235</v>
      </c>
      <c r="X53" s="64" t="str">
        <f>IF(Y53&lt;&gt;0,VLOOKUP(Y53,DM_DUAN,3,0),"")</f>
        <v/>
      </c>
      <c r="Y53" s="84"/>
      <c r="Z53" s="64" t="str">
        <f>IF(AA53&lt;&gt;0,VLOOKUP(AA53,DM_DUAN,3,0),"")</f>
        <v>#N/A</v>
      </c>
      <c r="AA53" s="70" t="s">
        <v>208</v>
      </c>
      <c r="AB53" s="64" t="str">
        <f>IF(AC53&lt;&gt;0,VLOOKUP(AC53,DM_DUAN,3,0),"")</f>
        <v/>
      </c>
      <c r="AC53" s="85"/>
      <c r="AD53" s="64" t="str">
        <f>IF(AC53&lt;&gt;0,VLOOKUP(AC53,DM_NV,2,0),"")</f>
        <v/>
      </c>
      <c r="AE53" s="68"/>
      <c r="AF53" s="64" t="str">
        <f>IF(AE53&lt;&gt;0,VLOOKUP(AE53,DM_NV,2,0),"")</f>
        <v/>
      </c>
    </row>
    <row r="54">
      <c r="A54" s="51"/>
      <c r="B54" s="52" t="str">
        <f>IF(D54="","",VLOOKUP(D54,'THAM CHIẾU'!$A:$B,2,0))</f>
        <v>#N/A</v>
      </c>
      <c r="C54" s="53" t="str">
        <f t="shared" si="1"/>
        <v>01/2022</v>
      </c>
      <c r="D54" s="54">
        <v>44572.0</v>
      </c>
      <c r="E54" s="91" t="s">
        <v>242</v>
      </c>
      <c r="F54" s="92"/>
      <c r="G54" s="57" t="s">
        <v>173</v>
      </c>
      <c r="H54" s="58" t="str">
        <f>IF(G54="","",VLOOKUP($G54,'Quy chuẩn hạch toán'!$B:$E,2,0))</f>
        <v>641</v>
      </c>
      <c r="I54" s="58" t="str">
        <f>IF(H54="","",VLOOKUP($G54,'Quy chuẩn hạch toán'!$B:$E,3,0))</f>
        <v>331</v>
      </c>
      <c r="J54" s="95">
        <v>252000.0</v>
      </c>
      <c r="K54" s="60"/>
      <c r="L54" s="61"/>
      <c r="M54" s="62"/>
      <c r="N54" s="63"/>
      <c r="O54" s="64" t="str">
        <f>IF($Q54&lt;&gt;0,VLOOKUP($Q54,DM_KM,3,0),"")</f>
        <v>#N/A</v>
      </c>
      <c r="P54" s="64" t="str">
        <f>IF($Q54&lt;&gt;0,VLOOKUP($Q54,DM_KM,5,0),"")</f>
        <v>#N/A</v>
      </c>
      <c r="Q54" s="65" t="s">
        <v>174</v>
      </c>
      <c r="R54" s="64" t="str">
        <f>IF(S54&lt;&gt;0,VLOOKUP(S54,DM_DUAN,3,0),"")</f>
        <v>#N/A</v>
      </c>
      <c r="S54" s="66" t="str">
        <f>IF(U54&lt;&gt;0,VLOOKUP(U54,DM_DUAN,3,0),"")</f>
        <v>THANHNAM</v>
      </c>
      <c r="T54" s="64"/>
      <c r="U54" s="67" t="s">
        <v>175</v>
      </c>
      <c r="V54" s="64" t="str">
        <f>IF(W54&lt;&gt;0,VLOOKUP(W54,DM_DUAN,3,0),"")</f>
        <v/>
      </c>
      <c r="W54" s="68"/>
      <c r="X54" s="64" t="str">
        <f>IF(Y54&lt;&gt;0,VLOOKUP(Y54,DM_DUAN,3,0),"")</f>
        <v>#N/A</v>
      </c>
      <c r="Y54" s="69" t="s">
        <v>176</v>
      </c>
      <c r="Z54" s="64" t="str">
        <f>IF(AA54&lt;&gt;0,VLOOKUP(AA54,DM_DUAN,3,0),"")</f>
        <v>#N/A</v>
      </c>
      <c r="AA54" s="70" t="s">
        <v>183</v>
      </c>
      <c r="AB54" s="64" t="str">
        <f>IF(AC54&lt;&gt;0,VLOOKUP(AC54,DM_DUAN,3,0),"")</f>
        <v>#N/A</v>
      </c>
      <c r="AC54" s="70" t="s">
        <v>195</v>
      </c>
      <c r="AD54" s="64" t="str">
        <f>IF(AC54&lt;&gt;0,VLOOKUP(AC54,DM_NV,2,0),"")</f>
        <v>Phan Thị Thùy Mai</v>
      </c>
      <c r="AE54" s="68"/>
      <c r="AF54" s="64" t="str">
        <f>IF(AE54&lt;&gt;0,VLOOKUP(AE54,DM_NV,2,0),"")</f>
        <v/>
      </c>
      <c r="AG54" s="97" t="s">
        <v>211</v>
      </c>
    </row>
    <row r="55">
      <c r="A55" s="51"/>
      <c r="B55" s="52" t="str">
        <f>IF(D55="","",VLOOKUP(D55,'THAM CHIẾU'!$A:$B,2,0))</f>
        <v>#N/A</v>
      </c>
      <c r="C55" s="53" t="str">
        <f t="shared" si="1"/>
        <v>01/2022</v>
      </c>
      <c r="D55" s="54">
        <v>44573.0</v>
      </c>
      <c r="E55" s="91" t="s">
        <v>243</v>
      </c>
      <c r="F55" s="92"/>
      <c r="G55" s="57" t="s">
        <v>205</v>
      </c>
      <c r="H55" s="58" t="str">
        <f>IF(G55="","",VLOOKUP($G55,'Quy chuẩn hạch toán'!$B:$E,2,0))</f>
        <v>642</v>
      </c>
      <c r="I55" s="58" t="str">
        <f>IF(H55="","",VLOOKUP($G55,'Quy chuẩn hạch toán'!$B:$E,3,0))</f>
        <v>1111</v>
      </c>
      <c r="J55" s="59">
        <v>88571.0</v>
      </c>
      <c r="K55" s="60"/>
      <c r="L55" s="61"/>
      <c r="M55" s="62"/>
      <c r="N55" s="63"/>
      <c r="O55" s="64" t="str">
        <f>IF($Q55&lt;&gt;0,VLOOKUP($Q55,DM_KM,3,0),"")</f>
        <v>#N/A</v>
      </c>
      <c r="P55" s="64" t="str">
        <f>IF($Q55&lt;&gt;0,VLOOKUP($Q55,DM_KM,5,0),"")</f>
        <v>#N/A</v>
      </c>
      <c r="Q55" s="65" t="s">
        <v>219</v>
      </c>
      <c r="R55" s="64" t="str">
        <f>IF(S55&lt;&gt;0,VLOOKUP(S55,DM_DUAN,3,0),"")</f>
        <v>#N/A</v>
      </c>
      <c r="S55" s="66" t="str">
        <f>IF(U55&lt;&gt;0,VLOOKUP(U55,DM_DUAN,3,0),"")</f>
        <v/>
      </c>
      <c r="T55" s="64"/>
      <c r="U55" s="93"/>
      <c r="V55" s="64" t="str">
        <f>IF(W55&lt;&gt;0,VLOOKUP(W55,DM_DUAN,3,0),"")</f>
        <v/>
      </c>
      <c r="W55" s="68"/>
      <c r="X55" s="64" t="str">
        <f>IF(Y55&lt;&gt;0,VLOOKUP(Y55,DM_DUAN,3,0),"")</f>
        <v>#N/A</v>
      </c>
      <c r="Y55" s="69" t="s">
        <v>207</v>
      </c>
      <c r="Z55" s="64" t="str">
        <f>IF(AA55&lt;&gt;0,VLOOKUP(AA55,DM_DUAN,3,0),"")</f>
        <v>#N/A</v>
      </c>
      <c r="AA55" s="70" t="s">
        <v>208</v>
      </c>
      <c r="AB55" s="64" t="str">
        <f>IF(AC55&lt;&gt;0,VLOOKUP(AC55,DM_DUAN,3,0),"")</f>
        <v/>
      </c>
      <c r="AC55" s="85"/>
      <c r="AD55" s="64" t="str">
        <f>IF(AC55&lt;&gt;0,VLOOKUP(AC55,DM_NV,2,0),"")</f>
        <v/>
      </c>
      <c r="AE55" s="83" t="s">
        <v>220</v>
      </c>
      <c r="AF55" s="64" t="str">
        <f>IF(AE55&lt;&gt;0,VLOOKUP(AE55,DM_NV,2,0),"")</f>
        <v>#N/A</v>
      </c>
      <c r="AG55" s="97" t="s">
        <v>244</v>
      </c>
    </row>
    <row r="56">
      <c r="A56" s="51"/>
      <c r="B56" s="52" t="str">
        <f>IF(D56="","",VLOOKUP(D56,'THAM CHIẾU'!$A:$B,2,0))</f>
        <v>#N/A</v>
      </c>
      <c r="C56" s="53" t="str">
        <f t="shared" si="1"/>
        <v>01/2022</v>
      </c>
      <c r="D56" s="54">
        <v>44573.0</v>
      </c>
      <c r="E56" s="91" t="s">
        <v>243</v>
      </c>
      <c r="F56" s="92"/>
      <c r="G56" s="57" t="s">
        <v>205</v>
      </c>
      <c r="H56" s="58" t="str">
        <f>IF(G56="","",VLOOKUP($G56,'Quy chuẩn hạch toán'!$B:$E,2,0))</f>
        <v>642</v>
      </c>
      <c r="I56" s="58" t="str">
        <f>IF(H56="","",VLOOKUP($G56,'Quy chuẩn hạch toán'!$B:$E,3,0))</f>
        <v>1111</v>
      </c>
      <c r="J56" s="59">
        <v>59048.0</v>
      </c>
      <c r="K56" s="60"/>
      <c r="L56" s="61"/>
      <c r="M56" s="62"/>
      <c r="N56" s="63"/>
      <c r="O56" s="64" t="str">
        <f>IF($Q56&lt;&gt;0,VLOOKUP($Q56,DM_KM,3,0),"")</f>
        <v>#N/A</v>
      </c>
      <c r="P56" s="64" t="str">
        <f>IF($Q56&lt;&gt;0,VLOOKUP($Q56,DM_KM,5,0),"")</f>
        <v>#N/A</v>
      </c>
      <c r="Q56" s="65" t="s">
        <v>219</v>
      </c>
      <c r="R56" s="64" t="str">
        <f>IF(S56&lt;&gt;0,VLOOKUP(S56,DM_DUAN,3,0),"")</f>
        <v>#N/A</v>
      </c>
      <c r="S56" s="66" t="str">
        <f>IF(U56&lt;&gt;0,VLOOKUP(U56,DM_DUAN,3,0),"")</f>
        <v/>
      </c>
      <c r="T56" s="64"/>
      <c r="U56" s="93"/>
      <c r="V56" s="64" t="str">
        <f>IF(W56&lt;&gt;0,VLOOKUP(W56,DM_DUAN,3,0),"")</f>
        <v/>
      </c>
      <c r="W56" s="68"/>
      <c r="X56" s="64" t="str">
        <f>IF(Y56&lt;&gt;0,VLOOKUP(Y56,DM_DUAN,3,0),"")</f>
        <v>#N/A</v>
      </c>
      <c r="Y56" s="69" t="s">
        <v>207</v>
      </c>
      <c r="Z56" s="64" t="str">
        <f>IF(AA56&lt;&gt;0,VLOOKUP(AA56,DM_DUAN,3,0),"")</f>
        <v>#N/A</v>
      </c>
      <c r="AA56" s="70" t="s">
        <v>210</v>
      </c>
      <c r="AB56" s="64" t="str">
        <f>IF(AC56&lt;&gt;0,VLOOKUP(AC56,DM_DUAN,3,0),"")</f>
        <v/>
      </c>
      <c r="AC56" s="70"/>
      <c r="AD56" s="64" t="str">
        <f>IF(AC56&lt;&gt;0,VLOOKUP(AC56,DM_NV,2,0),"")</f>
        <v/>
      </c>
      <c r="AE56" s="83" t="s">
        <v>220</v>
      </c>
      <c r="AF56" s="64" t="str">
        <f>IF(AE56&lt;&gt;0,VLOOKUP(AE56,DM_NV,2,0),"")</f>
        <v>#N/A</v>
      </c>
    </row>
    <row r="57">
      <c r="A57" s="51"/>
      <c r="B57" s="52" t="str">
        <f>IF(D57="","",VLOOKUP(D57,'THAM CHIẾU'!$A:$B,2,0))</f>
        <v>#N/A</v>
      </c>
      <c r="C57" s="53" t="str">
        <f t="shared" si="1"/>
        <v>01/2022</v>
      </c>
      <c r="D57" s="54">
        <v>44573.0</v>
      </c>
      <c r="E57" s="91" t="s">
        <v>243</v>
      </c>
      <c r="F57" s="92"/>
      <c r="G57" s="57" t="s">
        <v>205</v>
      </c>
      <c r="H57" s="58" t="str">
        <f>IF(G57="","",VLOOKUP($G57,'Quy chuẩn hạch toán'!$B:$E,2,0))</f>
        <v>642</v>
      </c>
      <c r="I57" s="58" t="str">
        <f>IF(H57="","",VLOOKUP($G57,'Quy chuẩn hạch toán'!$B:$E,3,0))</f>
        <v>1111</v>
      </c>
      <c r="J57" s="59">
        <v>118095.0</v>
      </c>
      <c r="K57" s="60"/>
      <c r="L57" s="61"/>
      <c r="M57" s="62"/>
      <c r="N57" s="63"/>
      <c r="O57" s="64" t="str">
        <f>IF($Q57&lt;&gt;0,VLOOKUP($Q57,DM_KM,3,0),"")</f>
        <v>#N/A</v>
      </c>
      <c r="P57" s="64" t="str">
        <f>IF($Q57&lt;&gt;0,VLOOKUP($Q57,DM_KM,5,0),"")</f>
        <v>#N/A</v>
      </c>
      <c r="Q57" s="65" t="s">
        <v>219</v>
      </c>
      <c r="R57" s="64" t="str">
        <f>IF(S57&lt;&gt;0,VLOOKUP(S57,DM_DUAN,3,0),"")</f>
        <v>#N/A</v>
      </c>
      <c r="S57" s="66" t="str">
        <f>IF(U57&lt;&gt;0,VLOOKUP(U57,DM_DUAN,3,0),"")</f>
        <v/>
      </c>
      <c r="T57" s="64"/>
      <c r="U57" s="93"/>
      <c r="V57" s="64" t="str">
        <f>IF(W57&lt;&gt;0,VLOOKUP(W57,DM_DUAN,3,0),"")</f>
        <v/>
      </c>
      <c r="W57" s="68"/>
      <c r="X57" s="64" t="str">
        <f>IF(Y57&lt;&gt;0,VLOOKUP(Y57,DM_DUAN,3,0),"")</f>
        <v>#N/A</v>
      </c>
      <c r="Y57" s="69" t="s">
        <v>207</v>
      </c>
      <c r="Z57" s="64" t="str">
        <f>IF(AA57&lt;&gt;0,VLOOKUP(AA57,DM_DUAN,3,0),"")</f>
        <v>#N/A</v>
      </c>
      <c r="AA57" s="70" t="s">
        <v>183</v>
      </c>
      <c r="AB57" s="64" t="str">
        <f>IF(AC57&lt;&gt;0,VLOOKUP(AC57,DM_DUAN,3,0),"")</f>
        <v/>
      </c>
      <c r="AC57" s="70"/>
      <c r="AD57" s="64" t="str">
        <f>IF(AC57&lt;&gt;0,VLOOKUP(AC57,DM_NV,2,0),"")</f>
        <v/>
      </c>
      <c r="AE57" s="83" t="s">
        <v>220</v>
      </c>
      <c r="AF57" s="64" t="str">
        <f>IF(AE57&lt;&gt;0,VLOOKUP(AE57,DM_NV,2,0),"")</f>
        <v>#N/A</v>
      </c>
      <c r="AG57" s="98" t="s">
        <v>245</v>
      </c>
    </row>
    <row r="58">
      <c r="A58" s="51"/>
      <c r="B58" s="52" t="str">
        <f>IF(D58="","",VLOOKUP(D58,'THAM CHIẾU'!$A:$B,2,0))</f>
        <v>#N/A</v>
      </c>
      <c r="C58" s="53" t="str">
        <f t="shared" si="1"/>
        <v>01/2022</v>
      </c>
      <c r="D58" s="54">
        <v>44573.0</v>
      </c>
      <c r="E58" s="91" t="s">
        <v>243</v>
      </c>
      <c r="F58" s="92"/>
      <c r="G58" s="57" t="s">
        <v>205</v>
      </c>
      <c r="H58" s="58" t="str">
        <f>IF(G58="","",VLOOKUP($G58,'Quy chuẩn hạch toán'!$B:$E,2,0))</f>
        <v>642</v>
      </c>
      <c r="I58" s="58" t="str">
        <f>IF(H58="","",VLOOKUP($G58,'Quy chuẩn hạch toán'!$B:$E,3,0))</f>
        <v>1111</v>
      </c>
      <c r="J58" s="59">
        <v>44286.0</v>
      </c>
      <c r="K58" s="60"/>
      <c r="L58" s="61"/>
      <c r="M58" s="62"/>
      <c r="N58" s="63"/>
      <c r="O58" s="64" t="str">
        <f>IF($Q58&lt;&gt;0,VLOOKUP($Q58,DM_KM,3,0),"")</f>
        <v>#N/A</v>
      </c>
      <c r="P58" s="64" t="str">
        <f>IF($Q58&lt;&gt;0,VLOOKUP($Q58,DM_KM,5,0),"")</f>
        <v>#N/A</v>
      </c>
      <c r="Q58" s="65" t="s">
        <v>219</v>
      </c>
      <c r="R58" s="64" t="str">
        <f>IF(S58&lt;&gt;0,VLOOKUP(S58,DM_DUAN,3,0),"")</f>
        <v>#N/A</v>
      </c>
      <c r="S58" s="66" t="str">
        <f>IF(U58&lt;&gt;0,VLOOKUP(U58,DM_DUAN,3,0),"")</f>
        <v/>
      </c>
      <c r="T58" s="64"/>
      <c r="U58" s="93"/>
      <c r="V58" s="64" t="str">
        <f>IF(W58&lt;&gt;0,VLOOKUP(W58,DM_DUAN,3,0),"")</f>
        <v/>
      </c>
      <c r="W58" s="68"/>
      <c r="X58" s="64" t="str">
        <f>IF(Y58&lt;&gt;0,VLOOKUP(Y58,DM_DUAN,3,0),"")</f>
        <v>#N/A</v>
      </c>
      <c r="Y58" s="69" t="s">
        <v>207</v>
      </c>
      <c r="Z58" s="64" t="str">
        <f>IF(AA58&lt;&gt;0,VLOOKUP(AA58,DM_DUAN,3,0),"")</f>
        <v>#N/A</v>
      </c>
      <c r="AA58" s="70" t="s">
        <v>177</v>
      </c>
      <c r="AB58" s="64" t="str">
        <f>IF(AC58&lt;&gt;0,VLOOKUP(AC58,DM_DUAN,3,0),"")</f>
        <v/>
      </c>
      <c r="AC58" s="70"/>
      <c r="AD58" s="64" t="str">
        <f>IF(AC58&lt;&gt;0,VLOOKUP(AC58,DM_NV,2,0),"")</f>
        <v/>
      </c>
      <c r="AE58" s="83" t="s">
        <v>220</v>
      </c>
      <c r="AF58" s="64" t="str">
        <f>IF(AE58&lt;&gt;0,VLOOKUP(AE58,DM_NV,2,0),"")</f>
        <v>#N/A</v>
      </c>
    </row>
    <row r="59">
      <c r="A59" s="51"/>
      <c r="B59" s="52" t="str">
        <f>IF(D59="","",VLOOKUP(D59,'THAM CHIẾU'!$A:$B,2,0))</f>
        <v>#N/A</v>
      </c>
      <c r="C59" s="53" t="str">
        <f t="shared" si="1"/>
        <v>01/2022</v>
      </c>
      <c r="D59" s="54">
        <v>44573.0</v>
      </c>
      <c r="E59" s="91" t="s">
        <v>246</v>
      </c>
      <c r="F59" s="92"/>
      <c r="G59" s="57" t="s">
        <v>205</v>
      </c>
      <c r="H59" s="58" t="str">
        <f>IF(G59="","",VLOOKUP($G59,'Quy chuẩn hạch toán'!$B:$E,2,0))</f>
        <v>642</v>
      </c>
      <c r="I59" s="58" t="str">
        <f>IF(H59="","",VLOOKUP($G59,'Quy chuẩn hạch toán'!$B:$E,3,0))</f>
        <v>1111</v>
      </c>
      <c r="J59" s="59">
        <v>57143.0</v>
      </c>
      <c r="K59" s="60"/>
      <c r="L59" s="61"/>
      <c r="M59" s="62"/>
      <c r="N59" s="63"/>
      <c r="O59" s="64" t="str">
        <f>IF($Q59&lt;&gt;0,VLOOKUP($Q59,DM_KM,3,0),"")</f>
        <v>#N/A</v>
      </c>
      <c r="P59" s="64" t="str">
        <f>IF($Q59&lt;&gt;0,VLOOKUP($Q59,DM_KM,5,0),"")</f>
        <v>#N/A</v>
      </c>
      <c r="Q59" s="65" t="s">
        <v>222</v>
      </c>
      <c r="R59" s="64" t="str">
        <f>IF(S59&lt;&gt;0,VLOOKUP(S59,DM_DUAN,3,0),"")</f>
        <v>#N/A</v>
      </c>
      <c r="S59" s="66" t="str">
        <f>IF(U59&lt;&gt;0,VLOOKUP(U59,DM_DUAN,3,0),"")</f>
        <v/>
      </c>
      <c r="T59" s="64"/>
      <c r="U59" s="93"/>
      <c r="V59" s="64" t="str">
        <f>IF(W59&lt;&gt;0,VLOOKUP(W59,DM_DUAN,3,0),"")</f>
        <v/>
      </c>
      <c r="W59" s="68"/>
      <c r="X59" s="64" t="str">
        <f>IF(Y59&lt;&gt;0,VLOOKUP(Y59,DM_DUAN,3,0),"")</f>
        <v>#N/A</v>
      </c>
      <c r="Y59" s="69" t="s">
        <v>207</v>
      </c>
      <c r="Z59" s="64" t="str">
        <f>IF(AA59&lt;&gt;0,VLOOKUP(AA59,DM_DUAN,3,0),"")</f>
        <v>#N/A</v>
      </c>
      <c r="AA59" s="70" t="s">
        <v>208</v>
      </c>
      <c r="AB59" s="64" t="str">
        <f>IF(AC59&lt;&gt;0,VLOOKUP(AC59,DM_DUAN,3,0),"")</f>
        <v/>
      </c>
      <c r="AC59" s="85"/>
      <c r="AD59" s="64" t="str">
        <f>IF(AC59&lt;&gt;0,VLOOKUP(AC59,DM_NV,2,0),"")</f>
        <v/>
      </c>
      <c r="AE59" s="83" t="s">
        <v>223</v>
      </c>
      <c r="AF59" s="64" t="str">
        <f>IF(AE59&lt;&gt;0,VLOOKUP(AE59,DM_NV,2,0),"")</f>
        <v>#N/A</v>
      </c>
    </row>
    <row r="60">
      <c r="A60" s="51"/>
      <c r="B60" s="52" t="str">
        <f>IF(D60="","",VLOOKUP(D60,'THAM CHIẾU'!$A:$B,2,0))</f>
        <v>#N/A</v>
      </c>
      <c r="C60" s="53" t="str">
        <f t="shared" si="1"/>
        <v>01/2022</v>
      </c>
      <c r="D60" s="54">
        <v>44573.0</v>
      </c>
      <c r="E60" s="91" t="s">
        <v>246</v>
      </c>
      <c r="F60" s="92"/>
      <c r="G60" s="57" t="s">
        <v>205</v>
      </c>
      <c r="H60" s="58" t="str">
        <f>IF(G60="","",VLOOKUP($G60,'Quy chuẩn hạch toán'!$B:$E,2,0))</f>
        <v>642</v>
      </c>
      <c r="I60" s="58" t="str">
        <f>IF(H60="","",VLOOKUP($G60,'Quy chuẩn hạch toán'!$B:$E,3,0))</f>
        <v>1111</v>
      </c>
      <c r="J60" s="59">
        <v>38095.0</v>
      </c>
      <c r="K60" s="60"/>
      <c r="L60" s="61"/>
      <c r="M60" s="62"/>
      <c r="N60" s="63"/>
      <c r="O60" s="64" t="str">
        <f>IF($Q60&lt;&gt;0,VLOOKUP($Q60,DM_KM,3,0),"")</f>
        <v>#N/A</v>
      </c>
      <c r="P60" s="64" t="str">
        <f>IF($Q60&lt;&gt;0,VLOOKUP($Q60,DM_KM,5,0),"")</f>
        <v>#N/A</v>
      </c>
      <c r="Q60" s="65" t="s">
        <v>222</v>
      </c>
      <c r="R60" s="64" t="str">
        <f>IF(S60&lt;&gt;0,VLOOKUP(S60,DM_DUAN,3,0),"")</f>
        <v>#N/A</v>
      </c>
      <c r="S60" s="66" t="str">
        <f>IF(U60&lt;&gt;0,VLOOKUP(U60,DM_DUAN,3,0),"")</f>
        <v/>
      </c>
      <c r="T60" s="64"/>
      <c r="U60" s="93"/>
      <c r="V60" s="64" t="str">
        <f>IF(W60&lt;&gt;0,VLOOKUP(W60,DM_DUAN,3,0),"")</f>
        <v/>
      </c>
      <c r="W60" s="68"/>
      <c r="X60" s="64" t="str">
        <f>IF(Y60&lt;&gt;0,VLOOKUP(Y60,DM_DUAN,3,0),"")</f>
        <v>#N/A</v>
      </c>
      <c r="Y60" s="69" t="s">
        <v>207</v>
      </c>
      <c r="Z60" s="64" t="str">
        <f>IF(AA60&lt;&gt;0,VLOOKUP(AA60,DM_DUAN,3,0),"")</f>
        <v>#N/A</v>
      </c>
      <c r="AA60" s="70" t="s">
        <v>210</v>
      </c>
      <c r="AB60" s="64" t="str">
        <f>IF(AC60&lt;&gt;0,VLOOKUP(AC60,DM_DUAN,3,0),"")</f>
        <v/>
      </c>
      <c r="AC60" s="70"/>
      <c r="AD60" s="64" t="str">
        <f>IF(AC60&lt;&gt;0,VLOOKUP(AC60,DM_NV,2,0),"")</f>
        <v/>
      </c>
      <c r="AE60" s="83" t="s">
        <v>223</v>
      </c>
      <c r="AF60" s="64" t="str">
        <f>IF(AE60&lt;&gt;0,VLOOKUP(AE60,DM_NV,2,0),"")</f>
        <v>#N/A</v>
      </c>
      <c r="AG60" s="98" t="s">
        <v>247</v>
      </c>
    </row>
    <row r="61">
      <c r="A61" s="51"/>
      <c r="B61" s="52" t="str">
        <f>IF(D61="","",VLOOKUP(D61,'THAM CHIẾU'!$A:$B,2,0))</f>
        <v>#N/A</v>
      </c>
      <c r="C61" s="53" t="str">
        <f t="shared" si="1"/>
        <v>01/2022</v>
      </c>
      <c r="D61" s="54">
        <v>44573.0</v>
      </c>
      <c r="E61" s="91" t="s">
        <v>246</v>
      </c>
      <c r="F61" s="92"/>
      <c r="G61" s="57" t="s">
        <v>205</v>
      </c>
      <c r="H61" s="58" t="str">
        <f>IF(G61="","",VLOOKUP($G61,'Quy chuẩn hạch toán'!$B:$E,2,0))</f>
        <v>642</v>
      </c>
      <c r="I61" s="58" t="str">
        <f>IF(H61="","",VLOOKUP($G61,'Quy chuẩn hạch toán'!$B:$E,3,0))</f>
        <v>1111</v>
      </c>
      <c r="J61" s="59">
        <v>76190.0</v>
      </c>
      <c r="K61" s="60"/>
      <c r="L61" s="61"/>
      <c r="M61" s="62"/>
      <c r="N61" s="63"/>
      <c r="O61" s="64" t="str">
        <f>IF($Q61&lt;&gt;0,VLOOKUP($Q61,DM_KM,3,0),"")</f>
        <v>#N/A</v>
      </c>
      <c r="P61" s="64" t="str">
        <f>IF($Q61&lt;&gt;0,VLOOKUP($Q61,DM_KM,5,0),"")</f>
        <v>#N/A</v>
      </c>
      <c r="Q61" s="65" t="s">
        <v>222</v>
      </c>
      <c r="R61" s="64" t="str">
        <f>IF(S61&lt;&gt;0,VLOOKUP(S61,DM_DUAN,3,0),"")</f>
        <v>#N/A</v>
      </c>
      <c r="S61" s="66" t="str">
        <f>IF(U61&lt;&gt;0,VLOOKUP(U61,DM_DUAN,3,0),"")</f>
        <v/>
      </c>
      <c r="T61" s="64"/>
      <c r="U61" s="93"/>
      <c r="V61" s="64" t="str">
        <f>IF(W61&lt;&gt;0,VLOOKUP(W61,DM_DUAN,3,0),"")</f>
        <v/>
      </c>
      <c r="W61" s="68"/>
      <c r="X61" s="64" t="str">
        <f>IF(Y61&lt;&gt;0,VLOOKUP(Y61,DM_DUAN,3,0),"")</f>
        <v>#N/A</v>
      </c>
      <c r="Y61" s="69" t="s">
        <v>207</v>
      </c>
      <c r="Z61" s="64" t="str">
        <f>IF(AA61&lt;&gt;0,VLOOKUP(AA61,DM_DUAN,3,0),"")</f>
        <v>#N/A</v>
      </c>
      <c r="AA61" s="70" t="s">
        <v>183</v>
      </c>
      <c r="AB61" s="64" t="str">
        <f>IF(AC61&lt;&gt;0,VLOOKUP(AC61,DM_DUAN,3,0),"")</f>
        <v/>
      </c>
      <c r="AC61" s="70"/>
      <c r="AD61" s="64" t="str">
        <f>IF(AC61&lt;&gt;0,VLOOKUP(AC61,DM_NV,2,0),"")</f>
        <v/>
      </c>
      <c r="AE61" s="83" t="s">
        <v>223</v>
      </c>
      <c r="AF61" s="64" t="str">
        <f>IF(AE61&lt;&gt;0,VLOOKUP(AE61,DM_NV,2,0),"")</f>
        <v>#N/A</v>
      </c>
    </row>
    <row r="62">
      <c r="A62" s="51"/>
      <c r="B62" s="52"/>
      <c r="C62" s="53" t="str">
        <f t="shared" si="1"/>
        <v>01/2022</v>
      </c>
      <c r="D62" s="54">
        <v>44573.0</v>
      </c>
      <c r="E62" s="91" t="s">
        <v>246</v>
      </c>
      <c r="F62" s="92"/>
      <c r="G62" s="57" t="s">
        <v>205</v>
      </c>
      <c r="H62" s="58" t="str">
        <f>IF(G62="","",VLOOKUP($G62,'Quy chuẩn hạch toán'!$B:$E,2,0))</f>
        <v>642</v>
      </c>
      <c r="I62" s="58" t="str">
        <f>IF(H62="","",VLOOKUP($G62,'Quy chuẩn hạch toán'!$B:$E,3,0))</f>
        <v>1111</v>
      </c>
      <c r="J62" s="59">
        <v>28571.0</v>
      </c>
      <c r="K62" s="60"/>
      <c r="L62" s="61"/>
      <c r="M62" s="62"/>
      <c r="N62" s="63"/>
      <c r="O62" s="64" t="str">
        <f>IF($Q62&lt;&gt;0,VLOOKUP($Q62,DM_KM,3,0),"")</f>
        <v>#N/A</v>
      </c>
      <c r="P62" s="64" t="str">
        <f>IF($Q62&lt;&gt;0,VLOOKUP($Q62,DM_KM,5,0),"")</f>
        <v>#N/A</v>
      </c>
      <c r="Q62" s="65" t="s">
        <v>222</v>
      </c>
      <c r="R62" s="64" t="str">
        <f>IF(S62&lt;&gt;0,VLOOKUP(S62,DM_DUAN,3,0),"")</f>
        <v>#N/A</v>
      </c>
      <c r="S62" s="66" t="str">
        <f>IF(U62&lt;&gt;0,VLOOKUP(U62,DM_DUAN,3,0),"")</f>
        <v/>
      </c>
      <c r="T62" s="64"/>
      <c r="U62" s="93"/>
      <c r="V62" s="64" t="str">
        <f>IF(W62&lt;&gt;0,VLOOKUP(W62,DM_DUAN,3,0),"")</f>
        <v/>
      </c>
      <c r="W62" s="68"/>
      <c r="X62" s="64" t="str">
        <f>IF(Y62&lt;&gt;0,VLOOKUP(Y62,DM_DUAN,3,0),"")</f>
        <v>#N/A</v>
      </c>
      <c r="Y62" s="69" t="s">
        <v>207</v>
      </c>
      <c r="Z62" s="64" t="str">
        <f>IF(AA62&lt;&gt;0,VLOOKUP(AA62,DM_DUAN,3,0),"")</f>
        <v>#N/A</v>
      </c>
      <c r="AA62" s="70" t="s">
        <v>177</v>
      </c>
      <c r="AB62" s="64" t="str">
        <f>IF(AC62&lt;&gt;0,VLOOKUP(AC62,DM_DUAN,3,0),"")</f>
        <v/>
      </c>
      <c r="AC62" s="70"/>
      <c r="AD62" s="64" t="str">
        <f>IF(AC62&lt;&gt;0,VLOOKUP(AC62,DM_NV,2,0),"")</f>
        <v/>
      </c>
      <c r="AE62" s="83" t="s">
        <v>223</v>
      </c>
      <c r="AF62" s="64" t="str">
        <f>IF(AE62&lt;&gt;0,VLOOKUP(AE62,DM_NV,2,0),"")</f>
        <v>#N/A</v>
      </c>
    </row>
    <row r="63">
      <c r="A63" s="51"/>
      <c r="B63" s="52"/>
      <c r="C63" s="53" t="str">
        <f t="shared" si="1"/>
        <v>01/2022</v>
      </c>
      <c r="D63" s="54">
        <v>44573.0</v>
      </c>
      <c r="E63" s="91" t="s">
        <v>248</v>
      </c>
      <c r="F63" s="92"/>
      <c r="G63" s="57" t="s">
        <v>249</v>
      </c>
      <c r="H63" s="58" t="str">
        <f>IF(G63="","",VLOOKUP($G63,'Quy chuẩn hạch toán'!$B:$E,2,0))</f>
        <v>642</v>
      </c>
      <c r="I63" s="58" t="str">
        <f>IF(H63="","",VLOOKUP($G63,'Quy chuẩn hạch toán'!$B:$E,3,0))</f>
        <v>331</v>
      </c>
      <c r="J63" s="59">
        <v>83778.0</v>
      </c>
      <c r="K63" s="60"/>
      <c r="L63" s="61"/>
      <c r="M63" s="62"/>
      <c r="N63" s="63"/>
      <c r="O63" s="64" t="str">
        <f>IF($Q63&lt;&gt;0,VLOOKUP($Q63,DM_KM,3,0),"")</f>
        <v>#N/A</v>
      </c>
      <c r="P63" s="64" t="str">
        <f>IF($Q63&lt;&gt;0,VLOOKUP($Q63,DM_KM,5,0),"")</f>
        <v>#N/A</v>
      </c>
      <c r="Q63" s="65" t="s">
        <v>174</v>
      </c>
      <c r="R63" s="64" t="str">
        <f>IF(S63&lt;&gt;0,VLOOKUP(S63,DM_DUAN,3,0),"")</f>
        <v>#N/A</v>
      </c>
      <c r="S63" s="66" t="str">
        <f>IF(U63&lt;&gt;0,VLOOKUP(U63,DM_DUAN,3,0),"")</f>
        <v/>
      </c>
      <c r="T63" s="64"/>
      <c r="U63" s="93"/>
      <c r="V63" s="64" t="str">
        <f>IF(W63&lt;&gt;0,VLOOKUP(W63,DM_DUAN,3,0),"")</f>
        <v/>
      </c>
      <c r="W63" s="68"/>
      <c r="X63" s="64" t="str">
        <f>IF(Y63&lt;&gt;0,VLOOKUP(Y63,DM_DUAN,3,0),"")</f>
        <v>#N/A</v>
      </c>
      <c r="Y63" s="69" t="s">
        <v>207</v>
      </c>
      <c r="Z63" s="64" t="str">
        <f>IF(AA63&lt;&gt;0,VLOOKUP(AA63,DM_DUAN,3,0),"")</f>
        <v>#N/A</v>
      </c>
      <c r="AA63" s="70" t="s">
        <v>208</v>
      </c>
      <c r="AB63" s="64" t="str">
        <f>IF(AC63&lt;&gt;0,VLOOKUP(AC63,DM_DUAN,3,0),"")</f>
        <v/>
      </c>
      <c r="AC63" s="85"/>
      <c r="AD63" s="64" t="str">
        <f>IF(AC63&lt;&gt;0,VLOOKUP(AC63,DM_NV,2,0),"")</f>
        <v/>
      </c>
      <c r="AE63" s="68"/>
      <c r="AF63" s="64" t="str">
        <f>IF(AE63&lt;&gt;0,VLOOKUP(AE63,DM_NV,2,0),"")</f>
        <v/>
      </c>
    </row>
    <row r="64">
      <c r="A64" s="51"/>
      <c r="B64" s="52"/>
      <c r="C64" s="53" t="str">
        <f t="shared" si="1"/>
        <v>01/2022</v>
      </c>
      <c r="D64" s="54">
        <v>44573.0</v>
      </c>
      <c r="E64" s="91" t="s">
        <v>248</v>
      </c>
      <c r="F64" s="92"/>
      <c r="G64" s="57" t="s">
        <v>249</v>
      </c>
      <c r="H64" s="58" t="str">
        <f>IF(G64="","",VLOOKUP($G64,'Quy chuẩn hạch toán'!$B:$E,2,0))</f>
        <v>642</v>
      </c>
      <c r="I64" s="58" t="str">
        <f>IF(H64="","",VLOOKUP($G64,'Quy chuẩn hạch toán'!$B:$E,3,0))</f>
        <v>331</v>
      </c>
      <c r="J64" s="59">
        <v>55852.0</v>
      </c>
      <c r="K64" s="60"/>
      <c r="L64" s="61"/>
      <c r="M64" s="62"/>
      <c r="N64" s="63"/>
      <c r="O64" s="64" t="str">
        <f>IF($Q64&lt;&gt;0,VLOOKUP($Q64,DM_KM,3,0),"")</f>
        <v>#N/A</v>
      </c>
      <c r="P64" s="64" t="str">
        <f>IF($Q64&lt;&gt;0,VLOOKUP($Q64,DM_KM,5,0),"")</f>
        <v>#N/A</v>
      </c>
      <c r="Q64" s="65" t="s">
        <v>174</v>
      </c>
      <c r="R64" s="64" t="str">
        <f>IF(S64&lt;&gt;0,VLOOKUP(S64,DM_DUAN,3,0),"")</f>
        <v>#N/A</v>
      </c>
      <c r="S64" s="66" t="str">
        <f>IF(U64&lt;&gt;0,VLOOKUP(U64,DM_DUAN,3,0),"")</f>
        <v/>
      </c>
      <c r="T64" s="64"/>
      <c r="U64" s="93"/>
      <c r="V64" s="64" t="str">
        <f>IF(W64&lt;&gt;0,VLOOKUP(W64,DM_DUAN,3,0),"")</f>
        <v/>
      </c>
      <c r="W64" s="68"/>
      <c r="X64" s="64" t="str">
        <f>IF(Y64&lt;&gt;0,VLOOKUP(Y64,DM_DUAN,3,0),"")</f>
        <v>#N/A</v>
      </c>
      <c r="Y64" s="69" t="s">
        <v>207</v>
      </c>
      <c r="Z64" s="64" t="str">
        <f>IF(AA64&lt;&gt;0,VLOOKUP(AA64,DM_DUAN,3,0),"")</f>
        <v>#N/A</v>
      </c>
      <c r="AA64" s="70" t="s">
        <v>210</v>
      </c>
      <c r="AB64" s="64" t="str">
        <f>IF(AC64&lt;&gt;0,VLOOKUP(AC64,DM_DUAN,3,0),"")</f>
        <v/>
      </c>
      <c r="AC64" s="70"/>
      <c r="AD64" s="64" t="str">
        <f>IF(AC64&lt;&gt;0,VLOOKUP(AC64,DM_NV,2,0),"")</f>
        <v/>
      </c>
      <c r="AE64" s="68"/>
      <c r="AF64" s="64" t="str">
        <f>IF(AE64&lt;&gt;0,VLOOKUP(AE64,DM_NV,2,0),"")</f>
        <v/>
      </c>
    </row>
    <row r="65">
      <c r="A65" s="51"/>
      <c r="B65" s="52"/>
      <c r="C65" s="53" t="str">
        <f t="shared" si="1"/>
        <v>01/2022</v>
      </c>
      <c r="D65" s="54">
        <v>44573.0</v>
      </c>
      <c r="E65" s="91" t="s">
        <v>248</v>
      </c>
      <c r="F65" s="92"/>
      <c r="G65" s="57" t="s">
        <v>249</v>
      </c>
      <c r="H65" s="58" t="str">
        <f>IF(G65="","",VLOOKUP($G65,'Quy chuẩn hạch toán'!$B:$E,2,0))</f>
        <v>642</v>
      </c>
      <c r="I65" s="58" t="str">
        <f>IF(H65="","",VLOOKUP($G65,'Quy chuẩn hạch toán'!$B:$E,3,0))</f>
        <v>331</v>
      </c>
      <c r="J65" s="59">
        <v>111704.0</v>
      </c>
      <c r="K65" s="60"/>
      <c r="L65" s="61"/>
      <c r="M65" s="62"/>
      <c r="N65" s="63"/>
      <c r="O65" s="64" t="str">
        <f>IF($Q65&lt;&gt;0,VLOOKUP($Q65,DM_KM,3,0),"")</f>
        <v>#N/A</v>
      </c>
      <c r="P65" s="64" t="str">
        <f>IF($Q65&lt;&gt;0,VLOOKUP($Q65,DM_KM,5,0),"")</f>
        <v>#N/A</v>
      </c>
      <c r="Q65" s="65" t="s">
        <v>174</v>
      </c>
      <c r="R65" s="64" t="str">
        <f>IF(S65&lt;&gt;0,VLOOKUP(S65,DM_DUAN,3,0),"")</f>
        <v>#N/A</v>
      </c>
      <c r="S65" s="66" t="str">
        <f>IF(U65&lt;&gt;0,VLOOKUP(U65,DM_DUAN,3,0),"")</f>
        <v/>
      </c>
      <c r="T65" s="64"/>
      <c r="U65" s="93"/>
      <c r="V65" s="64" t="str">
        <f>IF(W65&lt;&gt;0,VLOOKUP(W65,DM_DUAN,3,0),"")</f>
        <v/>
      </c>
      <c r="W65" s="68"/>
      <c r="X65" s="64" t="str">
        <f>IF(Y65&lt;&gt;0,VLOOKUP(Y65,DM_DUAN,3,0),"")</f>
        <v>#N/A</v>
      </c>
      <c r="Y65" s="69" t="s">
        <v>207</v>
      </c>
      <c r="Z65" s="64" t="str">
        <f>IF(AA65&lt;&gt;0,VLOOKUP(AA65,DM_DUAN,3,0),"")</f>
        <v>#N/A</v>
      </c>
      <c r="AA65" s="70" t="s">
        <v>183</v>
      </c>
      <c r="AB65" s="64" t="str">
        <f>IF(AC65&lt;&gt;0,VLOOKUP(AC65,DM_DUAN,3,0),"")</f>
        <v/>
      </c>
      <c r="AC65" s="70"/>
      <c r="AD65" s="64" t="str">
        <f>IF(AC65&lt;&gt;0,VLOOKUP(AC65,DM_NV,2,0),"")</f>
        <v/>
      </c>
      <c r="AE65" s="68"/>
      <c r="AF65" s="64" t="str">
        <f>IF(AE65&lt;&gt;0,VLOOKUP(AE65,DM_NV,2,0),"")</f>
        <v/>
      </c>
    </row>
    <row r="66">
      <c r="A66" s="51"/>
      <c r="B66" s="52"/>
      <c r="C66" s="53" t="str">
        <f t="shared" si="1"/>
        <v>01/2022</v>
      </c>
      <c r="D66" s="54">
        <v>44573.0</v>
      </c>
      <c r="E66" s="91" t="s">
        <v>248</v>
      </c>
      <c r="F66" s="92"/>
      <c r="G66" s="57" t="s">
        <v>249</v>
      </c>
      <c r="H66" s="58" t="str">
        <f>IF(G66="","",VLOOKUP($G66,'Quy chuẩn hạch toán'!$B:$E,2,0))</f>
        <v>642</v>
      </c>
      <c r="I66" s="58" t="str">
        <f>IF(H66="","",VLOOKUP($G66,'Quy chuẩn hạch toán'!$B:$E,3,0))</f>
        <v>331</v>
      </c>
      <c r="J66" s="59">
        <v>41889.0</v>
      </c>
      <c r="K66" s="60"/>
      <c r="L66" s="61"/>
      <c r="M66" s="62"/>
      <c r="N66" s="63"/>
      <c r="O66" s="64" t="str">
        <f>IF($Q66&lt;&gt;0,VLOOKUP($Q66,DM_KM,3,0),"")</f>
        <v>#N/A</v>
      </c>
      <c r="P66" s="64" t="str">
        <f>IF($Q66&lt;&gt;0,VLOOKUP($Q66,DM_KM,5,0),"")</f>
        <v>#N/A</v>
      </c>
      <c r="Q66" s="65" t="s">
        <v>174</v>
      </c>
      <c r="R66" s="64" t="str">
        <f>IF(S66&lt;&gt;0,VLOOKUP(S66,DM_DUAN,3,0),"")</f>
        <v>#N/A</v>
      </c>
      <c r="S66" s="66" t="str">
        <f>IF(U66&lt;&gt;0,VLOOKUP(U66,DM_DUAN,3,0),"")</f>
        <v/>
      </c>
      <c r="T66" s="64"/>
      <c r="U66" s="93"/>
      <c r="V66" s="64" t="str">
        <f>IF(W66&lt;&gt;0,VLOOKUP(W66,DM_DUAN,3,0),"")</f>
        <v/>
      </c>
      <c r="W66" s="68"/>
      <c r="X66" s="64" t="str">
        <f>IF(Y66&lt;&gt;0,VLOOKUP(Y66,DM_DUAN,3,0),"")</f>
        <v>#N/A</v>
      </c>
      <c r="Y66" s="69" t="s">
        <v>207</v>
      </c>
      <c r="Z66" s="64" t="str">
        <f>IF(AA66&lt;&gt;0,VLOOKUP(AA66,DM_DUAN,3,0),"")</f>
        <v>#N/A</v>
      </c>
      <c r="AA66" s="70" t="s">
        <v>177</v>
      </c>
      <c r="AB66" s="64" t="str">
        <f>IF(AC66&lt;&gt;0,VLOOKUP(AC66,DM_DUAN,3,0),"")</f>
        <v/>
      </c>
      <c r="AC66" s="70"/>
      <c r="AD66" s="64" t="str">
        <f>IF(AC66&lt;&gt;0,VLOOKUP(AC66,DM_NV,2,0),"")</f>
        <v/>
      </c>
      <c r="AE66" s="68"/>
      <c r="AF66" s="64" t="str">
        <f>IF(AE66&lt;&gt;0,VLOOKUP(AE66,DM_NV,2,0),"")</f>
        <v/>
      </c>
    </row>
    <row r="67">
      <c r="A67" s="51"/>
      <c r="B67" s="52"/>
      <c r="C67" s="53" t="str">
        <f t="shared" si="1"/>
        <v>01/2022</v>
      </c>
      <c r="D67" s="54">
        <v>44574.0</v>
      </c>
      <c r="E67" s="91" t="s">
        <v>250</v>
      </c>
      <c r="F67" s="92"/>
      <c r="G67" s="57" t="s">
        <v>251</v>
      </c>
      <c r="H67" s="58" t="str">
        <f>IF(G67="","",VLOOKUP($G67,'Quy chuẩn hạch toán'!$B:$E,2,0))</f>
        <v>641</v>
      </c>
      <c r="I67" s="58" t="str">
        <f>IF(H67="","",VLOOKUP($G67,'Quy chuẩn hạch toán'!$B:$E,3,0))</f>
        <v>1111</v>
      </c>
      <c r="J67" s="59">
        <v>1000000.0</v>
      </c>
      <c r="K67" s="60"/>
      <c r="L67" s="61"/>
      <c r="M67" s="62"/>
      <c r="N67" s="63"/>
      <c r="O67" s="64" t="str">
        <f>IF($Q67&lt;&gt;0,VLOOKUP($Q67,DM_KM,3,0),"")</f>
        <v>#N/A</v>
      </c>
      <c r="P67" s="64" t="str">
        <f>IF($Q67&lt;&gt;0,VLOOKUP($Q67,DM_KM,5,0),"")</f>
        <v>#N/A</v>
      </c>
      <c r="Q67" s="65" t="s">
        <v>252</v>
      </c>
      <c r="R67" s="64" t="str">
        <f>IF(S67&lt;&gt;0,VLOOKUP(S67,DM_DUAN,3,0),"")</f>
        <v>#N/A</v>
      </c>
      <c r="S67" s="66" t="str">
        <f>IF(U67&lt;&gt;0,VLOOKUP(U67,DM_DUAN,3,0),"")</f>
        <v/>
      </c>
      <c r="T67" s="64"/>
      <c r="U67" s="93"/>
      <c r="V67" s="64" t="str">
        <f>IF(W67&lt;&gt;0,VLOOKUP(W67,DM_DUAN,3,0),"")</f>
        <v/>
      </c>
      <c r="W67" s="68"/>
      <c r="X67" s="64" t="str">
        <f>IF(Y67&lt;&gt;0,VLOOKUP(Y67,DM_DUAN,3,0),"")</f>
        <v>#N/A</v>
      </c>
      <c r="Y67" s="69" t="s">
        <v>207</v>
      </c>
      <c r="Z67" s="64" t="str">
        <f>IF(AA67&lt;&gt;0,VLOOKUP(AA67,DM_DUAN,3,0),"")</f>
        <v/>
      </c>
      <c r="AA67" s="70"/>
      <c r="AB67" s="64" t="str">
        <f>IF(AC67&lt;&gt;0,VLOOKUP(AC67,DM_DUAN,3,0),"")</f>
        <v/>
      </c>
      <c r="AC67" s="85"/>
      <c r="AD67" s="64" t="str">
        <f>IF(AC67&lt;&gt;0,VLOOKUP(AC67,DM_NV,2,0),"")</f>
        <v/>
      </c>
      <c r="AE67" s="68"/>
      <c r="AF67" s="64" t="str">
        <f>IF(AE67&lt;&gt;0,VLOOKUP(AE67,DM_NV,2,0),"")</f>
        <v/>
      </c>
    </row>
    <row r="68">
      <c r="A68" s="51"/>
      <c r="B68" s="52"/>
      <c r="C68" s="53" t="str">
        <f t="shared" si="1"/>
        <v>01/2022</v>
      </c>
      <c r="D68" s="54">
        <v>44575.0</v>
      </c>
      <c r="E68" s="91" t="s">
        <v>253</v>
      </c>
      <c r="F68" s="92"/>
      <c r="G68" s="57" t="s">
        <v>254</v>
      </c>
      <c r="H68" s="58" t="str">
        <f>IF(G68="","",VLOOKUP($G68,'Quy chuẩn hạch toán'!$B:$E,2,0))</f>
        <v>3341</v>
      </c>
      <c r="I68" s="58" t="str">
        <f>IF(H68="","",VLOOKUP($G68,'Quy chuẩn hạch toán'!$B:$E,3,0))</f>
        <v>1111</v>
      </c>
      <c r="J68" s="95">
        <v>1185000.0</v>
      </c>
      <c r="K68" s="60"/>
      <c r="L68" s="61"/>
      <c r="M68" s="62"/>
      <c r="N68" s="63"/>
      <c r="O68" s="64" t="str">
        <f>IF($Q68&lt;&gt;0,VLOOKUP($Q68,DM_KM,3,0),"")</f>
        <v>#N/A</v>
      </c>
      <c r="P68" s="64" t="str">
        <f>IF($Q68&lt;&gt;0,VLOOKUP($Q68,DM_KM,5,0),"")</f>
        <v>#N/A</v>
      </c>
      <c r="Q68" s="65" t="s">
        <v>255</v>
      </c>
      <c r="R68" s="64" t="str">
        <f>IF(S68&lt;&gt;0,VLOOKUP(S68,DM_DUAN,3,0),"")</f>
        <v>#N/A</v>
      </c>
      <c r="S68" s="66" t="str">
        <f>IF(U68&lt;&gt;0,VLOOKUP(U68,DM_DUAN,3,0),"")</f>
        <v/>
      </c>
      <c r="T68" s="64"/>
      <c r="U68" s="93"/>
      <c r="V68" s="64" t="str">
        <f>IF(W68&lt;&gt;0,VLOOKUP(W68,DM_DUAN,3,0),"")</f>
        <v/>
      </c>
      <c r="W68" s="68"/>
      <c r="X68" s="64" t="str">
        <f>IF(Y68&lt;&gt;0,VLOOKUP(Y68,DM_DUAN,3,0),"")</f>
        <v>#N/A</v>
      </c>
      <c r="Y68" s="69" t="s">
        <v>176</v>
      </c>
      <c r="Z68" s="64" t="str">
        <f>IF(AA68&lt;&gt;0,VLOOKUP(AA68,DM_DUAN,3,0),"")</f>
        <v>#N/A</v>
      </c>
      <c r="AA68" s="70" t="s">
        <v>208</v>
      </c>
      <c r="AB68" s="64" t="str">
        <f>IF(AC68&lt;&gt;0,VLOOKUP(AC68,DM_DUAN,3,0),"")</f>
        <v/>
      </c>
      <c r="AC68" s="70"/>
      <c r="AD68" s="64" t="str">
        <f>IF(AC68&lt;&gt;0,VLOOKUP(AC68,DM_NV,2,0),"")</f>
        <v/>
      </c>
      <c r="AE68" s="83" t="s">
        <v>256</v>
      </c>
      <c r="AF68" s="64" t="str">
        <f>IF(AE68&lt;&gt;0,VLOOKUP(AE68,DM_NV,2,0),"")</f>
        <v>#N/A</v>
      </c>
    </row>
    <row r="69">
      <c r="A69" s="51"/>
      <c r="B69" s="52"/>
      <c r="C69" s="53" t="str">
        <f t="shared" si="1"/>
        <v>01/2022</v>
      </c>
      <c r="D69" s="54">
        <v>44575.0</v>
      </c>
      <c r="E69" s="91" t="s">
        <v>257</v>
      </c>
      <c r="F69" s="92"/>
      <c r="G69" s="57" t="s">
        <v>173</v>
      </c>
      <c r="H69" s="58" t="str">
        <f>IF(G69="","",VLOOKUP($G69,'Quy chuẩn hạch toán'!$B:$E,2,0))</f>
        <v>641</v>
      </c>
      <c r="I69" s="58" t="str">
        <f>IF(H69="","",VLOOKUP($G69,'Quy chuẩn hạch toán'!$B:$E,3,0))</f>
        <v>331</v>
      </c>
      <c r="J69" s="95">
        <v>2736000.0</v>
      </c>
      <c r="K69" s="60"/>
      <c r="L69" s="61"/>
      <c r="M69" s="62"/>
      <c r="N69" s="63"/>
      <c r="O69" s="64" t="str">
        <f>IF($Q69&lt;&gt;0,VLOOKUP($Q69,DM_KM,3,0),"")</f>
        <v>#N/A</v>
      </c>
      <c r="P69" s="64" t="str">
        <f>IF($Q69&lt;&gt;0,VLOOKUP($Q69,DM_KM,5,0),"")</f>
        <v>#N/A</v>
      </c>
      <c r="Q69" s="65" t="s">
        <v>174</v>
      </c>
      <c r="R69" s="64" t="str">
        <f>IF(S69&lt;&gt;0,VLOOKUP(S69,DM_DUAN,3,0),"")</f>
        <v>#N/A</v>
      </c>
      <c r="S69" s="66" t="str">
        <f>IF(U69&lt;&gt;0,VLOOKUP(U69,DM_DUAN,3,0),"")</f>
        <v>THANHNAM</v>
      </c>
      <c r="T69" s="64"/>
      <c r="U69" s="67" t="s">
        <v>175</v>
      </c>
      <c r="V69" s="64" t="str">
        <f>IF(W69&lt;&gt;0,VLOOKUP(W69,DM_DUAN,3,0),"")</f>
        <v/>
      </c>
      <c r="W69" s="68"/>
      <c r="X69" s="64" t="str">
        <f>IF(Y69&lt;&gt;0,VLOOKUP(Y69,DM_DUAN,3,0),"")</f>
        <v>#N/A</v>
      </c>
      <c r="Y69" s="69" t="s">
        <v>176</v>
      </c>
      <c r="Z69" s="64" t="str">
        <f>IF(AA69&lt;&gt;0,VLOOKUP(AA69,DM_DUAN,3,0),"")</f>
        <v>#N/A</v>
      </c>
      <c r="AA69" s="70" t="s">
        <v>183</v>
      </c>
      <c r="AB69" s="64" t="str">
        <f>IF(AC69&lt;&gt;0,VLOOKUP(AC69,DM_DUAN,3,0),"")</f>
        <v/>
      </c>
      <c r="AC69" s="85"/>
      <c r="AD69" s="64" t="str">
        <f>IF(AC69&lt;&gt;0,VLOOKUP(AC69,DM_NV,2,0),"")</f>
        <v/>
      </c>
      <c r="AE69" s="68"/>
      <c r="AF69" s="64" t="str">
        <f>IF(AE69&lt;&gt;0,VLOOKUP(AE69,DM_NV,2,0),"")</f>
        <v/>
      </c>
    </row>
    <row r="70">
      <c r="A70" s="51"/>
      <c r="B70" s="52"/>
      <c r="C70" s="53" t="str">
        <f t="shared" si="1"/>
        <v/>
      </c>
      <c r="D70" s="54"/>
      <c r="E70" s="91"/>
      <c r="F70" s="92"/>
      <c r="G70" s="57"/>
      <c r="H70" s="58" t="str">
        <f>IF(G70="","",VLOOKUP($G70,'Quy chuẩn hạch toán'!$B:$E,2,0))</f>
        <v/>
      </c>
      <c r="I70" s="58" t="str">
        <f>IF(H70="","",VLOOKUP($G70,'Quy chuẩn hạch toán'!$B:$E,3,0))</f>
        <v/>
      </c>
      <c r="J70" s="95"/>
      <c r="K70" s="60"/>
      <c r="L70" s="61"/>
      <c r="M70" s="62"/>
      <c r="N70" s="63"/>
      <c r="O70" s="64" t="str">
        <f>IF($Q70&lt;&gt;0,VLOOKUP($Q70,DM_KM,3,0),"")</f>
        <v/>
      </c>
      <c r="P70" s="64" t="str">
        <f>IF($Q70&lt;&gt;0,VLOOKUP($Q70,DM_KM,5,0),"")</f>
        <v/>
      </c>
      <c r="Q70" s="65"/>
      <c r="R70" s="64" t="str">
        <f>IF(S70&lt;&gt;0,VLOOKUP(S70,DM_DUAN,3,0),"")</f>
        <v>#N/A</v>
      </c>
      <c r="S70" s="66" t="str">
        <f>IF(U70&lt;&gt;0,VLOOKUP(U70,DM_DUAN,3,0),"")</f>
        <v/>
      </c>
      <c r="T70" s="64"/>
      <c r="U70" s="93"/>
      <c r="V70" s="64" t="str">
        <f>IF(W70&lt;&gt;0,VLOOKUP(W70,DM_DUAN,3,0),"")</f>
        <v/>
      </c>
      <c r="W70" s="68"/>
      <c r="X70" s="64" t="str">
        <f>IF(Y70&lt;&gt;0,VLOOKUP(Y70,DM_DUAN,3,0),"")</f>
        <v/>
      </c>
      <c r="Y70" s="69"/>
      <c r="Z70" s="64" t="str">
        <f>IF(AA70&lt;&gt;0,VLOOKUP(AA70,DM_DUAN,3,0),"")</f>
        <v/>
      </c>
      <c r="AA70" s="70"/>
      <c r="AB70" s="64" t="str">
        <f>IF(AC70&lt;&gt;0,VLOOKUP(AC70,DM_DUAN,3,0),"")</f>
        <v/>
      </c>
      <c r="AC70" s="85"/>
      <c r="AD70" s="64" t="str">
        <f>IF(AC70&lt;&gt;0,VLOOKUP(AC70,DM_NV,2,0),"")</f>
        <v/>
      </c>
      <c r="AE70" s="83" t="s">
        <v>258</v>
      </c>
      <c r="AF70" s="64" t="str">
        <f>IF(AE70&lt;&gt;0,VLOOKUP(AE70,DM_NV,2,0),"")</f>
        <v>#N/A</v>
      </c>
    </row>
    <row r="71">
      <c r="A71" s="51"/>
      <c r="B71" s="52"/>
      <c r="C71" s="53" t="str">
        <f t="shared" si="1"/>
        <v>01/2022</v>
      </c>
      <c r="D71" s="54">
        <v>44577.0</v>
      </c>
      <c r="E71" s="91" t="s">
        <v>259</v>
      </c>
      <c r="F71" s="92"/>
      <c r="G71" s="57" t="s">
        <v>173</v>
      </c>
      <c r="H71" s="58" t="str">
        <f>IF(G71="","",VLOOKUP($G71,'Quy chuẩn hạch toán'!$B:$E,2,0))</f>
        <v>641</v>
      </c>
      <c r="I71" s="58" t="str">
        <f>IF(H71="","",VLOOKUP($G71,'Quy chuẩn hạch toán'!$B:$E,3,0))</f>
        <v>331</v>
      </c>
      <c r="J71" s="95">
        <v>2736000.0</v>
      </c>
      <c r="K71" s="60"/>
      <c r="L71" s="61"/>
      <c r="M71" s="62"/>
      <c r="N71" s="63"/>
      <c r="O71" s="64" t="str">
        <f>IF($Q71&lt;&gt;0,VLOOKUP($Q71,DM_KM,3,0),"")</f>
        <v>#N/A</v>
      </c>
      <c r="P71" s="64" t="str">
        <f>IF($Q71&lt;&gt;0,VLOOKUP($Q71,DM_KM,5,0),"")</f>
        <v>#N/A</v>
      </c>
      <c r="Q71" s="65" t="s">
        <v>174</v>
      </c>
      <c r="R71" s="64" t="str">
        <f>IF(S71&lt;&gt;0,VLOOKUP(S71,DM_DUAN,3,0),"")</f>
        <v>#N/A</v>
      </c>
      <c r="S71" s="66" t="str">
        <f>IF(U71&lt;&gt;0,VLOOKUP(U71,DM_DUAN,3,0),"")</f>
        <v>THANHNAM</v>
      </c>
      <c r="T71" s="64"/>
      <c r="U71" s="67" t="s">
        <v>175</v>
      </c>
      <c r="V71" s="64" t="str">
        <f>IF(W71&lt;&gt;0,VLOOKUP(W71,DM_DUAN,3,0),"")</f>
        <v/>
      </c>
      <c r="W71" s="68"/>
      <c r="X71" s="64" t="str">
        <f>IF(Y71&lt;&gt;0,VLOOKUP(Y71,DM_DUAN,3,0),"")</f>
        <v>#N/A</v>
      </c>
      <c r="Y71" s="69" t="s">
        <v>176</v>
      </c>
      <c r="Z71" s="64" t="str">
        <f>IF(AA71&lt;&gt;0,VLOOKUP(AA71,DM_DUAN,3,0),"")</f>
        <v>#N/A</v>
      </c>
      <c r="AA71" s="70" t="s">
        <v>208</v>
      </c>
      <c r="AB71" s="64" t="str">
        <f>IF(AC71&lt;&gt;0,VLOOKUP(AC71,DM_DUAN,3,0),"")</f>
        <v>#N/A</v>
      </c>
      <c r="AC71" s="70" t="s">
        <v>217</v>
      </c>
      <c r="AD71" s="64" t="str">
        <f>IF(AC71&lt;&gt;0,VLOOKUP(AC71,DM_NV,2,0),"")</f>
        <v>Nguyễn Thị Mai Thu</v>
      </c>
      <c r="AE71" s="68"/>
      <c r="AF71" s="64" t="str">
        <f>IF(AE71&lt;&gt;0,VLOOKUP(AE71,DM_NV,2,0),"")</f>
        <v/>
      </c>
    </row>
    <row r="72">
      <c r="A72" s="51"/>
      <c r="B72" s="52"/>
      <c r="C72" s="53" t="str">
        <f t="shared" si="1"/>
        <v>01/2022</v>
      </c>
      <c r="D72" s="54">
        <v>44577.0</v>
      </c>
      <c r="E72" s="91" t="s">
        <v>260</v>
      </c>
      <c r="F72" s="92"/>
      <c r="G72" s="57" t="s">
        <v>173</v>
      </c>
      <c r="H72" s="58" t="str">
        <f>IF(G72="","",VLOOKUP($G72,'Quy chuẩn hạch toán'!$B:$E,2,0))</f>
        <v>641</v>
      </c>
      <c r="I72" s="58" t="str">
        <f>IF(H72="","",VLOOKUP($G72,'Quy chuẩn hạch toán'!$B:$E,3,0))</f>
        <v>331</v>
      </c>
      <c r="J72" s="95">
        <v>2680000.0</v>
      </c>
      <c r="K72" s="60"/>
      <c r="L72" s="61"/>
      <c r="M72" s="62"/>
      <c r="N72" s="63"/>
      <c r="O72" s="64" t="str">
        <f>IF($Q72&lt;&gt;0,VLOOKUP($Q72,DM_KM,3,0),"")</f>
        <v>#N/A</v>
      </c>
      <c r="P72" s="64" t="str">
        <f>IF($Q72&lt;&gt;0,VLOOKUP($Q72,DM_KM,5,0),"")</f>
        <v>#N/A</v>
      </c>
      <c r="Q72" s="65" t="s">
        <v>174</v>
      </c>
      <c r="R72" s="64" t="str">
        <f>IF(S72&lt;&gt;0,VLOOKUP(S72,DM_DUAN,3,0),"")</f>
        <v>#N/A</v>
      </c>
      <c r="S72" s="66" t="str">
        <f>IF(U72&lt;&gt;0,VLOOKUP(U72,DM_DUAN,3,0),"")</f>
        <v>THANHNAM</v>
      </c>
      <c r="T72" s="64"/>
      <c r="U72" s="67" t="s">
        <v>175</v>
      </c>
      <c r="V72" s="64" t="str">
        <f>IF(W72&lt;&gt;0,VLOOKUP(W72,DM_DUAN,3,0),"")</f>
        <v/>
      </c>
      <c r="W72" s="68"/>
      <c r="X72" s="64" t="str">
        <f>IF(Y72&lt;&gt;0,VLOOKUP(Y72,DM_DUAN,3,0),"")</f>
        <v>#N/A</v>
      </c>
      <c r="Y72" s="69" t="s">
        <v>176</v>
      </c>
      <c r="Z72" s="64" t="str">
        <f>IF(AA72&lt;&gt;0,VLOOKUP(AA72,DM_DUAN,3,0),"")</f>
        <v>#N/A</v>
      </c>
      <c r="AA72" s="70" t="s">
        <v>177</v>
      </c>
      <c r="AB72" s="64" t="str">
        <f>IF(AC72&lt;&gt;0,VLOOKUP(AC72,DM_DUAN,3,0),"")</f>
        <v>#N/A</v>
      </c>
      <c r="AC72" s="70" t="s">
        <v>178</v>
      </c>
      <c r="AD72" s="64" t="str">
        <f>IF(AC72&lt;&gt;0,VLOOKUP(AC72,DM_NV,2,0),"")</f>
        <v>Lê Hoàng Quân</v>
      </c>
      <c r="AE72" s="68"/>
      <c r="AF72" s="64" t="str">
        <f>IF(AE72&lt;&gt;0,VLOOKUP(AE72,DM_NV,2,0),"")</f>
        <v/>
      </c>
      <c r="AG72" s="98" t="s">
        <v>211</v>
      </c>
    </row>
    <row r="73">
      <c r="A73" s="51"/>
      <c r="B73" s="52"/>
      <c r="C73" s="53" t="str">
        <f t="shared" si="1"/>
        <v>01/2022</v>
      </c>
      <c r="D73" s="54">
        <v>44578.0</v>
      </c>
      <c r="E73" s="91" t="s">
        <v>261</v>
      </c>
      <c r="F73" s="92"/>
      <c r="G73" s="57" t="s">
        <v>205</v>
      </c>
      <c r="H73" s="58" t="str">
        <f>IF(G73="","",VLOOKUP($G73,'Quy chuẩn hạch toán'!$B:$E,2,0))</f>
        <v>642</v>
      </c>
      <c r="I73" s="58" t="str">
        <f>IF(H73="","",VLOOKUP($G73,'Quy chuẩn hạch toán'!$B:$E,3,0))</f>
        <v>1111</v>
      </c>
      <c r="J73" s="59">
        <v>314286.0</v>
      </c>
      <c r="K73" s="60"/>
      <c r="L73" s="61"/>
      <c r="M73" s="62"/>
      <c r="N73" s="63"/>
      <c r="O73" s="64" t="str">
        <f>IF($Q73&lt;&gt;0,VLOOKUP($Q73,DM_KM,3,0),"")</f>
        <v>#N/A</v>
      </c>
      <c r="P73" s="64" t="str">
        <f>IF($Q73&lt;&gt;0,VLOOKUP($Q73,DM_KM,5,0),"")</f>
        <v>#N/A</v>
      </c>
      <c r="Q73" s="65" t="s">
        <v>262</v>
      </c>
      <c r="R73" s="64" t="str">
        <f>IF(S73&lt;&gt;0,VLOOKUP(S73,DM_DUAN,3,0),"")</f>
        <v>#N/A</v>
      </c>
      <c r="S73" s="66" t="str">
        <f>IF(U73&lt;&gt;0,VLOOKUP(U73,DM_DUAN,3,0),"")</f>
        <v/>
      </c>
      <c r="T73" s="64"/>
      <c r="U73" s="93"/>
      <c r="V73" s="64" t="str">
        <f>IF(W73&lt;&gt;0,VLOOKUP(W73,DM_DUAN,3,0),"")</f>
        <v/>
      </c>
      <c r="W73" s="68"/>
      <c r="X73" s="64" t="str">
        <f>IF(Y73&lt;&gt;0,VLOOKUP(Y73,DM_DUAN,3,0),"")</f>
        <v>#N/A</v>
      </c>
      <c r="Y73" s="69" t="s">
        <v>207</v>
      </c>
      <c r="Z73" s="64" t="str">
        <f>IF(AA73&lt;&gt;0,VLOOKUP(AA73,DM_DUAN,3,0),"")</f>
        <v>#N/A</v>
      </c>
      <c r="AA73" s="70" t="s">
        <v>208</v>
      </c>
      <c r="AB73" s="64" t="str">
        <f>IF(AC73&lt;&gt;0,VLOOKUP(AC73,DM_DUAN,3,0),"")</f>
        <v/>
      </c>
      <c r="AC73" s="85"/>
      <c r="AD73" s="64" t="str">
        <f>IF(AC73&lt;&gt;0,VLOOKUP(AC73,DM_NV,2,0),"")</f>
        <v/>
      </c>
      <c r="AE73" s="83" t="s">
        <v>263</v>
      </c>
      <c r="AF73" s="64" t="str">
        <f>IF(AE73&lt;&gt;0,VLOOKUP(AE73,DM_NV,2,0),"")</f>
        <v>#N/A</v>
      </c>
    </row>
    <row r="74">
      <c r="A74" s="51"/>
      <c r="B74" s="52"/>
      <c r="C74" s="53" t="str">
        <f t="shared" si="1"/>
        <v>01/2022</v>
      </c>
      <c r="D74" s="54">
        <v>44578.0</v>
      </c>
      <c r="E74" s="91" t="s">
        <v>261</v>
      </c>
      <c r="F74" s="92"/>
      <c r="G74" s="57" t="s">
        <v>205</v>
      </c>
      <c r="H74" s="58" t="str">
        <f>IF(G74="","",VLOOKUP($G74,'Quy chuẩn hạch toán'!$B:$E,2,0))</f>
        <v>642</v>
      </c>
      <c r="I74" s="58" t="str">
        <f>IF(H74="","",VLOOKUP($G74,'Quy chuẩn hạch toán'!$B:$E,3,0))</f>
        <v>1111</v>
      </c>
      <c r="J74" s="59">
        <v>209524.0</v>
      </c>
      <c r="K74" s="60"/>
      <c r="L74" s="61"/>
      <c r="M74" s="62"/>
      <c r="N74" s="63"/>
      <c r="O74" s="64" t="str">
        <f>IF($Q74&lt;&gt;0,VLOOKUP($Q74,DM_KM,3,0),"")</f>
        <v>#N/A</v>
      </c>
      <c r="P74" s="64" t="str">
        <f>IF($Q74&lt;&gt;0,VLOOKUP($Q74,DM_KM,5,0),"")</f>
        <v>#N/A</v>
      </c>
      <c r="Q74" s="65" t="s">
        <v>262</v>
      </c>
      <c r="R74" s="64" t="str">
        <f>IF(S74&lt;&gt;0,VLOOKUP(S74,DM_DUAN,3,0),"")</f>
        <v>#N/A</v>
      </c>
      <c r="S74" s="66" t="str">
        <f>IF(U74&lt;&gt;0,VLOOKUP(U74,DM_DUAN,3,0),"")</f>
        <v/>
      </c>
      <c r="T74" s="64"/>
      <c r="U74" s="93"/>
      <c r="V74" s="64" t="str">
        <f>IF(W74&lt;&gt;0,VLOOKUP(W74,DM_DUAN,3,0),"")</f>
        <v/>
      </c>
      <c r="W74" s="68"/>
      <c r="X74" s="64" t="str">
        <f>IF(Y74&lt;&gt;0,VLOOKUP(Y74,DM_DUAN,3,0),"")</f>
        <v>#N/A</v>
      </c>
      <c r="Y74" s="69" t="s">
        <v>207</v>
      </c>
      <c r="Z74" s="64" t="str">
        <f>IF(AA74&lt;&gt;0,VLOOKUP(AA74,DM_DUAN,3,0),"")</f>
        <v>#N/A</v>
      </c>
      <c r="AA74" s="70" t="s">
        <v>210</v>
      </c>
      <c r="AB74" s="64" t="str">
        <f>IF(AC74&lt;&gt;0,VLOOKUP(AC74,DM_DUAN,3,0),"")</f>
        <v/>
      </c>
      <c r="AC74" s="70"/>
      <c r="AD74" s="64" t="str">
        <f>IF(AC74&lt;&gt;0,VLOOKUP(AC74,DM_NV,2,0),"")</f>
        <v/>
      </c>
      <c r="AE74" s="83" t="s">
        <v>263</v>
      </c>
      <c r="AF74" s="64" t="str">
        <f>IF(AE74&lt;&gt;0,VLOOKUP(AE74,DM_NV,2,0),"")</f>
        <v>#N/A</v>
      </c>
    </row>
    <row r="75">
      <c r="A75" s="51"/>
      <c r="B75" s="52"/>
      <c r="C75" s="53" t="str">
        <f t="shared" si="1"/>
        <v>01/2022</v>
      </c>
      <c r="D75" s="54">
        <v>44578.0</v>
      </c>
      <c r="E75" s="91" t="s">
        <v>261</v>
      </c>
      <c r="F75" s="92"/>
      <c r="G75" s="57" t="s">
        <v>205</v>
      </c>
      <c r="H75" s="58" t="str">
        <f>IF(G75="","",VLOOKUP($G75,'Quy chuẩn hạch toán'!$B:$E,2,0))</f>
        <v>642</v>
      </c>
      <c r="I75" s="58" t="str">
        <f>IF(H75="","",VLOOKUP($G75,'Quy chuẩn hạch toán'!$B:$E,3,0))</f>
        <v>1111</v>
      </c>
      <c r="J75" s="59">
        <v>419048.0</v>
      </c>
      <c r="K75" s="60"/>
      <c r="L75" s="61"/>
      <c r="M75" s="62"/>
      <c r="N75" s="63"/>
      <c r="O75" s="64" t="str">
        <f>IF($Q75&lt;&gt;0,VLOOKUP($Q75,DM_KM,3,0),"")</f>
        <v>#N/A</v>
      </c>
      <c r="P75" s="64" t="str">
        <f>IF($Q75&lt;&gt;0,VLOOKUP($Q75,DM_KM,5,0),"")</f>
        <v>#N/A</v>
      </c>
      <c r="Q75" s="65" t="s">
        <v>262</v>
      </c>
      <c r="R75" s="64" t="str">
        <f>IF(S75&lt;&gt;0,VLOOKUP(S75,DM_DUAN,3,0),"")</f>
        <v>#N/A</v>
      </c>
      <c r="S75" s="66" t="str">
        <f>IF(U75&lt;&gt;0,VLOOKUP(U75,DM_DUAN,3,0),"")</f>
        <v/>
      </c>
      <c r="T75" s="64"/>
      <c r="U75" s="93"/>
      <c r="V75" s="64" t="str">
        <f>IF(W75&lt;&gt;0,VLOOKUP(W75,DM_DUAN,3,0),"")</f>
        <v/>
      </c>
      <c r="W75" s="68"/>
      <c r="X75" s="64" t="str">
        <f>IF(Y75&lt;&gt;0,VLOOKUP(Y75,DM_DUAN,3,0),"")</f>
        <v>#N/A</v>
      </c>
      <c r="Y75" s="69" t="s">
        <v>207</v>
      </c>
      <c r="Z75" s="64" t="str">
        <f>IF(AA75&lt;&gt;0,VLOOKUP(AA75,DM_DUAN,3,0),"")</f>
        <v>#N/A</v>
      </c>
      <c r="AA75" s="70" t="s">
        <v>183</v>
      </c>
      <c r="AB75" s="64" t="str">
        <f>IF(AC75&lt;&gt;0,VLOOKUP(AC75,DM_DUAN,3,0),"")</f>
        <v/>
      </c>
      <c r="AC75" s="70"/>
      <c r="AD75" s="64" t="str">
        <f>IF(AC75&lt;&gt;0,VLOOKUP(AC75,DM_NV,2,0),"")</f>
        <v/>
      </c>
      <c r="AE75" s="83" t="s">
        <v>263</v>
      </c>
      <c r="AF75" s="64" t="str">
        <f>IF(AE75&lt;&gt;0,VLOOKUP(AE75,DM_NV,2,0),"")</f>
        <v>#N/A</v>
      </c>
    </row>
    <row r="76">
      <c r="A76" s="51"/>
      <c r="B76" s="52"/>
      <c r="C76" s="53" t="str">
        <f t="shared" si="1"/>
        <v>01/2022</v>
      </c>
      <c r="D76" s="54">
        <v>44578.0</v>
      </c>
      <c r="E76" s="91" t="s">
        <v>261</v>
      </c>
      <c r="F76" s="92"/>
      <c r="G76" s="57" t="s">
        <v>205</v>
      </c>
      <c r="H76" s="58" t="str">
        <f>IF(G76="","",VLOOKUP($G76,'Quy chuẩn hạch toán'!$B:$E,2,0))</f>
        <v>642</v>
      </c>
      <c r="I76" s="58" t="str">
        <f>IF(H76="","",VLOOKUP($G76,'Quy chuẩn hạch toán'!$B:$E,3,0))</f>
        <v>1111</v>
      </c>
      <c r="J76" s="59">
        <v>157143.0</v>
      </c>
      <c r="K76" s="60"/>
      <c r="L76" s="61"/>
      <c r="M76" s="62"/>
      <c r="N76" s="63"/>
      <c r="O76" s="64" t="str">
        <f>IF($Q76&lt;&gt;0,VLOOKUP($Q76,DM_KM,3,0),"")</f>
        <v>#N/A</v>
      </c>
      <c r="P76" s="64" t="str">
        <f>IF($Q76&lt;&gt;0,VLOOKUP($Q76,DM_KM,5,0),"")</f>
        <v>#N/A</v>
      </c>
      <c r="Q76" s="65" t="s">
        <v>262</v>
      </c>
      <c r="R76" s="64" t="str">
        <f>IF(S76&lt;&gt;0,VLOOKUP(S76,DM_DUAN,3,0),"")</f>
        <v>#N/A</v>
      </c>
      <c r="S76" s="66" t="str">
        <f>IF(U76&lt;&gt;0,VLOOKUP(U76,DM_DUAN,3,0),"")</f>
        <v/>
      </c>
      <c r="T76" s="64"/>
      <c r="U76" s="93"/>
      <c r="V76" s="64" t="str">
        <f>IF(W76&lt;&gt;0,VLOOKUP(W76,DM_DUAN,3,0),"")</f>
        <v/>
      </c>
      <c r="W76" s="68"/>
      <c r="X76" s="64" t="str">
        <f>IF(Y76&lt;&gt;0,VLOOKUP(Y76,DM_DUAN,3,0),"")</f>
        <v>#N/A</v>
      </c>
      <c r="Y76" s="69" t="s">
        <v>207</v>
      </c>
      <c r="Z76" s="64" t="str">
        <f>IF(AA76&lt;&gt;0,VLOOKUP(AA76,DM_DUAN,3,0),"")</f>
        <v>#N/A</v>
      </c>
      <c r="AA76" s="70" t="s">
        <v>177</v>
      </c>
      <c r="AB76" s="64" t="str">
        <f>IF(AC76&lt;&gt;0,VLOOKUP(AC76,DM_DUAN,3,0),"")</f>
        <v/>
      </c>
      <c r="AC76" s="70"/>
      <c r="AD76" s="64" t="str">
        <f>IF(AC76&lt;&gt;0,VLOOKUP(AC76,DM_NV,2,0),"")</f>
        <v/>
      </c>
      <c r="AE76" s="83" t="s">
        <v>263</v>
      </c>
      <c r="AF76" s="64" t="str">
        <f>IF(AE76&lt;&gt;0,VLOOKUP(AE76,DM_NV,2,0),"")</f>
        <v>#N/A</v>
      </c>
    </row>
    <row r="77">
      <c r="A77" s="51"/>
      <c r="B77" s="52"/>
      <c r="C77" s="53" t="str">
        <f t="shared" si="1"/>
        <v>01/2022</v>
      </c>
      <c r="D77" s="54">
        <v>44578.0</v>
      </c>
      <c r="E77" s="91" t="s">
        <v>264</v>
      </c>
      <c r="F77" s="92"/>
      <c r="G77" s="57" t="s">
        <v>205</v>
      </c>
      <c r="H77" s="58" t="str">
        <f>IF(G77="","",VLOOKUP($G77,'Quy chuẩn hạch toán'!$B:$E,2,0))</f>
        <v>642</v>
      </c>
      <c r="I77" s="58" t="str">
        <f>IF(H77="","",VLOOKUP($G77,'Quy chuẩn hạch toán'!$B:$E,3,0))</f>
        <v>1111</v>
      </c>
      <c r="J77" s="59">
        <v>62857.0</v>
      </c>
      <c r="K77" s="60"/>
      <c r="L77" s="61"/>
      <c r="M77" s="62"/>
      <c r="N77" s="63"/>
      <c r="O77" s="64" t="str">
        <f>IF($Q77&lt;&gt;0,VLOOKUP($Q77,DM_KM,3,0),"")</f>
        <v>#N/A</v>
      </c>
      <c r="P77" s="64" t="str">
        <f>IF($Q77&lt;&gt;0,VLOOKUP($Q77,DM_KM,5,0),"")</f>
        <v>#N/A</v>
      </c>
      <c r="Q77" s="65" t="s">
        <v>206</v>
      </c>
      <c r="R77" s="64" t="str">
        <f>IF(S77&lt;&gt;0,VLOOKUP(S77,DM_DUAN,3,0),"")</f>
        <v>#N/A</v>
      </c>
      <c r="S77" s="66" t="str">
        <f>IF(U77&lt;&gt;0,VLOOKUP(U77,DM_DUAN,3,0),"")</f>
        <v/>
      </c>
      <c r="T77" s="64"/>
      <c r="U77" s="93"/>
      <c r="V77" s="64" t="str">
        <f>IF(W77&lt;&gt;0,VLOOKUP(W77,DM_DUAN,3,0),"")</f>
        <v/>
      </c>
      <c r="W77" s="68"/>
      <c r="X77" s="64" t="str">
        <f>IF(Y77&lt;&gt;0,VLOOKUP(Y77,DM_DUAN,3,0),"")</f>
        <v>#N/A</v>
      </c>
      <c r="Y77" s="69" t="s">
        <v>207</v>
      </c>
      <c r="Z77" s="64" t="str">
        <f>IF(AA77&lt;&gt;0,VLOOKUP(AA77,DM_DUAN,3,0),"")</f>
        <v>#N/A</v>
      </c>
      <c r="AA77" s="70" t="s">
        <v>208</v>
      </c>
      <c r="AB77" s="64" t="str">
        <f>IF(AC77&lt;&gt;0,VLOOKUP(AC77,DM_DUAN,3,0),"")</f>
        <v/>
      </c>
      <c r="AC77" s="85"/>
      <c r="AD77" s="64" t="str">
        <f>IF(AC77&lt;&gt;0,VLOOKUP(AC77,DM_NV,2,0),"")</f>
        <v/>
      </c>
      <c r="AE77" s="83" t="s">
        <v>263</v>
      </c>
      <c r="AF77" s="64" t="str">
        <f>IF(AE77&lt;&gt;0,VLOOKUP(AE77,DM_NV,2,0),"")</f>
        <v>#N/A</v>
      </c>
    </row>
    <row r="78">
      <c r="A78" s="51"/>
      <c r="B78" s="52"/>
      <c r="C78" s="53" t="str">
        <f t="shared" si="1"/>
        <v>01/2022</v>
      </c>
      <c r="D78" s="54">
        <v>44578.0</v>
      </c>
      <c r="E78" s="91" t="s">
        <v>264</v>
      </c>
      <c r="F78" s="92"/>
      <c r="G78" s="57" t="s">
        <v>205</v>
      </c>
      <c r="H78" s="58" t="str">
        <f>IF(G78="","",VLOOKUP($G78,'Quy chuẩn hạch toán'!$B:$E,2,0))</f>
        <v>642</v>
      </c>
      <c r="I78" s="58" t="str">
        <f>IF(H78="","",VLOOKUP($G78,'Quy chuẩn hạch toán'!$B:$E,3,0))</f>
        <v>1111</v>
      </c>
      <c r="J78" s="59">
        <v>41905.0</v>
      </c>
      <c r="K78" s="60"/>
      <c r="L78" s="61"/>
      <c r="M78" s="62"/>
      <c r="N78" s="63"/>
      <c r="O78" s="64" t="str">
        <f>IF($Q78&lt;&gt;0,VLOOKUP($Q78,DM_KM,3,0),"")</f>
        <v>#N/A</v>
      </c>
      <c r="P78" s="64" t="str">
        <f>IF($Q78&lt;&gt;0,VLOOKUP($Q78,DM_KM,5,0),"")</f>
        <v>#N/A</v>
      </c>
      <c r="Q78" s="65" t="s">
        <v>206</v>
      </c>
      <c r="R78" s="64" t="str">
        <f>IF(S78&lt;&gt;0,VLOOKUP(S78,DM_DUAN,3,0),"")</f>
        <v>#N/A</v>
      </c>
      <c r="S78" s="66" t="str">
        <f>IF(U78&lt;&gt;0,VLOOKUP(U78,DM_DUAN,3,0),"")</f>
        <v/>
      </c>
      <c r="T78" s="64"/>
      <c r="U78" s="93"/>
      <c r="V78" s="64" t="str">
        <f>IF(W78&lt;&gt;0,VLOOKUP(W78,DM_DUAN,3,0),"")</f>
        <v/>
      </c>
      <c r="W78" s="68"/>
      <c r="X78" s="64" t="str">
        <f>IF(Y78&lt;&gt;0,VLOOKUP(Y78,DM_DUAN,3,0),"")</f>
        <v>#N/A</v>
      </c>
      <c r="Y78" s="69" t="s">
        <v>207</v>
      </c>
      <c r="Z78" s="64" t="str">
        <f>IF(AA78&lt;&gt;0,VLOOKUP(AA78,DM_DUAN,3,0),"")</f>
        <v>#N/A</v>
      </c>
      <c r="AA78" s="70" t="s">
        <v>210</v>
      </c>
      <c r="AB78" s="64" t="str">
        <f>IF(AC78&lt;&gt;0,VLOOKUP(AC78,DM_DUAN,3,0),"")</f>
        <v/>
      </c>
      <c r="AC78" s="70"/>
      <c r="AD78" s="64" t="str">
        <f>IF(AC78&lt;&gt;0,VLOOKUP(AC78,DM_NV,2,0),"")</f>
        <v/>
      </c>
      <c r="AE78" s="83" t="s">
        <v>263</v>
      </c>
      <c r="AF78" s="64" t="str">
        <f>IF(AE78&lt;&gt;0,VLOOKUP(AE78,DM_NV,2,0),"")</f>
        <v>#N/A</v>
      </c>
    </row>
    <row r="79">
      <c r="A79" s="51"/>
      <c r="B79" s="52"/>
      <c r="C79" s="53" t="str">
        <f t="shared" si="1"/>
        <v>01/2022</v>
      </c>
      <c r="D79" s="54">
        <v>44578.0</v>
      </c>
      <c r="E79" s="91" t="s">
        <v>264</v>
      </c>
      <c r="F79" s="92"/>
      <c r="G79" s="57" t="s">
        <v>205</v>
      </c>
      <c r="H79" s="58" t="str">
        <f>IF(G79="","",VLOOKUP($G79,'Quy chuẩn hạch toán'!$B:$E,2,0))</f>
        <v>642</v>
      </c>
      <c r="I79" s="58" t="str">
        <f>IF(H79="","",VLOOKUP($G79,'Quy chuẩn hạch toán'!$B:$E,3,0))</f>
        <v>1111</v>
      </c>
      <c r="J79" s="59">
        <v>83810.0</v>
      </c>
      <c r="K79" s="60"/>
      <c r="L79" s="61"/>
      <c r="M79" s="62"/>
      <c r="N79" s="63"/>
      <c r="O79" s="64" t="str">
        <f>IF($Q79&lt;&gt;0,VLOOKUP($Q79,DM_KM,3,0),"")</f>
        <v>#N/A</v>
      </c>
      <c r="P79" s="64" t="str">
        <f>IF($Q79&lt;&gt;0,VLOOKUP($Q79,DM_KM,5,0),"")</f>
        <v>#N/A</v>
      </c>
      <c r="Q79" s="65" t="s">
        <v>206</v>
      </c>
      <c r="R79" s="64" t="str">
        <f>IF(S79&lt;&gt;0,VLOOKUP(S79,DM_DUAN,3,0),"")</f>
        <v>#N/A</v>
      </c>
      <c r="S79" s="66" t="str">
        <f>IF(U79&lt;&gt;0,VLOOKUP(U79,DM_DUAN,3,0),"")</f>
        <v/>
      </c>
      <c r="T79" s="64"/>
      <c r="U79" s="93"/>
      <c r="V79" s="64" t="str">
        <f>IF(W79&lt;&gt;0,VLOOKUP(W79,DM_DUAN,3,0),"")</f>
        <v/>
      </c>
      <c r="W79" s="68"/>
      <c r="X79" s="64" t="str">
        <f>IF(Y79&lt;&gt;0,VLOOKUP(Y79,DM_DUAN,3,0),"")</f>
        <v>#N/A</v>
      </c>
      <c r="Y79" s="69" t="s">
        <v>207</v>
      </c>
      <c r="Z79" s="64" t="str">
        <f>IF(AA79&lt;&gt;0,VLOOKUP(AA79,DM_DUAN,3,0),"")</f>
        <v>#N/A</v>
      </c>
      <c r="AA79" s="70" t="s">
        <v>183</v>
      </c>
      <c r="AB79" s="64" t="str">
        <f>IF(AC79&lt;&gt;0,VLOOKUP(AC79,DM_DUAN,3,0),"")</f>
        <v/>
      </c>
      <c r="AC79" s="70"/>
      <c r="AD79" s="64" t="str">
        <f>IF(AC79&lt;&gt;0,VLOOKUP(AC79,DM_NV,2,0),"")</f>
        <v/>
      </c>
      <c r="AE79" s="83" t="s">
        <v>263</v>
      </c>
      <c r="AF79" s="64" t="str">
        <f>IF(AE79&lt;&gt;0,VLOOKUP(AE79,DM_NV,2,0),"")</f>
        <v>#N/A</v>
      </c>
    </row>
    <row r="80">
      <c r="A80" s="51"/>
      <c r="B80" s="52"/>
      <c r="C80" s="53" t="str">
        <f t="shared" si="1"/>
        <v>01/2022</v>
      </c>
      <c r="D80" s="54">
        <v>44578.0</v>
      </c>
      <c r="E80" s="91" t="s">
        <v>264</v>
      </c>
      <c r="F80" s="92"/>
      <c r="G80" s="57" t="s">
        <v>205</v>
      </c>
      <c r="H80" s="58" t="str">
        <f>IF(G80="","",VLOOKUP($G80,'Quy chuẩn hạch toán'!$B:$E,2,0))</f>
        <v>642</v>
      </c>
      <c r="I80" s="58" t="str">
        <f>IF(H80="","",VLOOKUP($G80,'Quy chuẩn hạch toán'!$B:$E,3,0))</f>
        <v>1111</v>
      </c>
      <c r="J80" s="59">
        <v>31429.0</v>
      </c>
      <c r="K80" s="60"/>
      <c r="L80" s="61"/>
      <c r="M80" s="62"/>
      <c r="N80" s="63"/>
      <c r="O80" s="64" t="str">
        <f>IF($Q80&lt;&gt;0,VLOOKUP($Q80,DM_KM,3,0),"")</f>
        <v>#N/A</v>
      </c>
      <c r="P80" s="64" t="str">
        <f>IF($Q80&lt;&gt;0,VLOOKUP($Q80,DM_KM,5,0),"")</f>
        <v>#N/A</v>
      </c>
      <c r="Q80" s="65" t="s">
        <v>206</v>
      </c>
      <c r="R80" s="64" t="str">
        <f>IF(S80&lt;&gt;0,VLOOKUP(S80,DM_DUAN,3,0),"")</f>
        <v>#N/A</v>
      </c>
      <c r="S80" s="66" t="str">
        <f>IF(U80&lt;&gt;0,VLOOKUP(U80,DM_DUAN,3,0),"")</f>
        <v/>
      </c>
      <c r="T80" s="64"/>
      <c r="U80" s="93"/>
      <c r="V80" s="64" t="str">
        <f>IF(W80&lt;&gt;0,VLOOKUP(W80,DM_DUAN,3,0),"")</f>
        <v/>
      </c>
      <c r="W80" s="68"/>
      <c r="X80" s="64" t="str">
        <f>IF(Y80&lt;&gt;0,VLOOKUP(Y80,DM_DUAN,3,0),"")</f>
        <v>#N/A</v>
      </c>
      <c r="Y80" s="69" t="s">
        <v>207</v>
      </c>
      <c r="Z80" s="64" t="str">
        <f>IF(AA80&lt;&gt;0,VLOOKUP(AA80,DM_DUAN,3,0),"")</f>
        <v>#N/A</v>
      </c>
      <c r="AA80" s="70" t="s">
        <v>177</v>
      </c>
      <c r="AB80" s="64" t="str">
        <f>IF(AC80&lt;&gt;0,VLOOKUP(AC80,DM_DUAN,3,0),"")</f>
        <v/>
      </c>
      <c r="AC80" s="70"/>
      <c r="AD80" s="64" t="str">
        <f>IF(AC80&lt;&gt;0,VLOOKUP(AC80,DM_NV,2,0),"")</f>
        <v/>
      </c>
      <c r="AE80" s="83" t="s">
        <v>263</v>
      </c>
      <c r="AF80" s="64" t="str">
        <f>IF(AE80&lt;&gt;0,VLOOKUP(AE80,DM_NV,2,0),"")</f>
        <v>#N/A</v>
      </c>
      <c r="AG80" s="98" t="s">
        <v>247</v>
      </c>
    </row>
    <row r="81">
      <c r="A81" s="51"/>
      <c r="B81" s="52"/>
      <c r="C81" s="53" t="str">
        <f t="shared" si="1"/>
        <v>01/2022</v>
      </c>
      <c r="D81" s="54">
        <v>44578.0</v>
      </c>
      <c r="E81" s="91" t="s">
        <v>265</v>
      </c>
      <c r="F81" s="92"/>
      <c r="G81" s="57" t="s">
        <v>266</v>
      </c>
      <c r="H81" s="58" t="str">
        <f>IF(G81="","",VLOOKUP($G81,'Quy chuẩn hạch toán'!$B:$E,2,0))</f>
        <v>642</v>
      </c>
      <c r="I81" s="58" t="str">
        <f>IF(H81="","",VLOOKUP($G81,'Quy chuẩn hạch toán'!$B:$E,3,0))</f>
        <v>3341</v>
      </c>
      <c r="J81" s="59">
        <v>3418587.0</v>
      </c>
      <c r="K81" s="60"/>
      <c r="L81" s="61"/>
      <c r="M81" s="62"/>
      <c r="N81" s="63"/>
      <c r="O81" s="64" t="str">
        <f>IF($Q81&lt;&gt;0,VLOOKUP($Q81,DM_KM,3,0),"")</f>
        <v>#N/A</v>
      </c>
      <c r="P81" s="64" t="str">
        <f>IF($Q81&lt;&gt;0,VLOOKUP($Q81,DM_KM,5,0),"")</f>
        <v>#N/A</v>
      </c>
      <c r="Q81" s="65" t="s">
        <v>267</v>
      </c>
      <c r="R81" s="64" t="str">
        <f>IF(S81&lt;&gt;0,VLOOKUP(S81,DM_DUAN,3,0),"")</f>
        <v>#N/A</v>
      </c>
      <c r="S81" s="66" t="str">
        <f>IF(U81&lt;&gt;0,VLOOKUP(U81,DM_DUAN,3,0),"")</f>
        <v/>
      </c>
      <c r="T81" s="64"/>
      <c r="U81" s="93"/>
      <c r="V81" s="64" t="str">
        <f>IF(W81&lt;&gt;0,VLOOKUP(W81,DM_DUAN,3,0),"")</f>
        <v/>
      </c>
      <c r="W81" s="68"/>
      <c r="X81" s="64" t="str">
        <f>IF(Y81&lt;&gt;0,VLOOKUP(Y81,DM_DUAN,3,0),"")</f>
        <v>#N/A</v>
      </c>
      <c r="Y81" s="69" t="s">
        <v>207</v>
      </c>
      <c r="Z81" s="64" t="str">
        <f>IF(AA81&lt;&gt;0,VLOOKUP(AA81,DM_DUAN,3,0),"")</f>
        <v>#N/A</v>
      </c>
      <c r="AA81" s="70" t="s">
        <v>208</v>
      </c>
      <c r="AB81" s="64" t="str">
        <f>IF(AC81&lt;&gt;0,VLOOKUP(AC81,DM_DUAN,3,0),"")</f>
        <v/>
      </c>
      <c r="AC81" s="85"/>
      <c r="AD81" s="64" t="str">
        <f>IF(AC81&lt;&gt;0,VLOOKUP(AC81,DM_NV,2,0),"")</f>
        <v/>
      </c>
      <c r="AE81" s="68"/>
      <c r="AF81" s="64" t="str">
        <f>IF(AE81&lt;&gt;0,VLOOKUP(AE81,DM_NV,2,0),"")</f>
        <v/>
      </c>
    </row>
    <row r="82">
      <c r="A82" s="51"/>
      <c r="B82" s="52"/>
      <c r="C82" s="53" t="str">
        <f t="shared" si="1"/>
        <v>01/2022</v>
      </c>
      <c r="D82" s="54">
        <v>44578.0</v>
      </c>
      <c r="E82" s="91" t="s">
        <v>265</v>
      </c>
      <c r="F82" s="92"/>
      <c r="G82" s="57" t="s">
        <v>266</v>
      </c>
      <c r="H82" s="58" t="str">
        <f>IF(G82="","",VLOOKUP($G82,'Quy chuẩn hạch toán'!$B:$E,2,0))</f>
        <v>642</v>
      </c>
      <c r="I82" s="58" t="str">
        <f>IF(H82="","",VLOOKUP($G82,'Quy chuẩn hạch toán'!$B:$E,3,0))</f>
        <v>3341</v>
      </c>
      <c r="J82" s="59">
        <v>2279058.0</v>
      </c>
      <c r="K82" s="60"/>
      <c r="L82" s="61"/>
      <c r="M82" s="62"/>
      <c r="N82" s="63"/>
      <c r="O82" s="64" t="str">
        <f>IF($Q82&lt;&gt;0,VLOOKUP($Q82,DM_KM,3,0),"")</f>
        <v>#N/A</v>
      </c>
      <c r="P82" s="64" t="str">
        <f>IF($Q82&lt;&gt;0,VLOOKUP($Q82,DM_KM,5,0),"")</f>
        <v>#N/A</v>
      </c>
      <c r="Q82" s="65" t="s">
        <v>267</v>
      </c>
      <c r="R82" s="64" t="str">
        <f>IF(S82&lt;&gt;0,VLOOKUP(S82,DM_DUAN,3,0),"")</f>
        <v>#N/A</v>
      </c>
      <c r="S82" s="66" t="str">
        <f>IF(U82&lt;&gt;0,VLOOKUP(U82,DM_DUAN,3,0),"")</f>
        <v/>
      </c>
      <c r="T82" s="64"/>
      <c r="U82" s="93"/>
      <c r="V82" s="64" t="str">
        <f>IF(W82&lt;&gt;0,VLOOKUP(W82,DM_DUAN,3,0),"")</f>
        <v/>
      </c>
      <c r="W82" s="68"/>
      <c r="X82" s="64" t="str">
        <f>IF(Y82&lt;&gt;0,VLOOKUP(Y82,DM_DUAN,3,0),"")</f>
        <v>#N/A</v>
      </c>
      <c r="Y82" s="69" t="s">
        <v>207</v>
      </c>
      <c r="Z82" s="64" t="str">
        <f>IF(AA82&lt;&gt;0,VLOOKUP(AA82,DM_DUAN,3,0),"")</f>
        <v>#N/A</v>
      </c>
      <c r="AA82" s="70" t="s">
        <v>210</v>
      </c>
      <c r="AB82" s="64" t="str">
        <f>IF(AC82&lt;&gt;0,VLOOKUP(AC82,DM_DUAN,3,0),"")</f>
        <v/>
      </c>
      <c r="AC82" s="70"/>
      <c r="AD82" s="64" t="str">
        <f>IF(AC82&lt;&gt;0,VLOOKUP(AC82,DM_NV,2,0),"")</f>
        <v/>
      </c>
      <c r="AE82" s="68"/>
      <c r="AF82" s="64" t="str">
        <f>IF(AE82&lt;&gt;0,VLOOKUP(AE82,DM_NV,2,0),"")</f>
        <v/>
      </c>
    </row>
    <row r="83">
      <c r="A83" s="51"/>
      <c r="B83" s="52"/>
      <c r="C83" s="53" t="str">
        <f t="shared" si="1"/>
        <v>01/2022</v>
      </c>
      <c r="D83" s="54">
        <v>44578.0</v>
      </c>
      <c r="E83" s="91" t="s">
        <v>265</v>
      </c>
      <c r="F83" s="92"/>
      <c r="G83" s="57" t="s">
        <v>266</v>
      </c>
      <c r="H83" s="58" t="str">
        <f>IF(G83="","",VLOOKUP($G83,'Quy chuẩn hạch toán'!$B:$E,2,0))</f>
        <v>642</v>
      </c>
      <c r="I83" s="58" t="str">
        <f>IF(H83="","",VLOOKUP($G83,'Quy chuẩn hạch toán'!$B:$E,3,0))</f>
        <v>3341</v>
      </c>
      <c r="J83" s="59">
        <v>4558117.0</v>
      </c>
      <c r="K83" s="60"/>
      <c r="L83" s="61"/>
      <c r="M83" s="62"/>
      <c r="N83" s="63"/>
      <c r="O83" s="64" t="str">
        <f>IF($Q83&lt;&gt;0,VLOOKUP($Q83,DM_KM,3,0),"")</f>
        <v>#N/A</v>
      </c>
      <c r="P83" s="64" t="str">
        <f>IF($Q83&lt;&gt;0,VLOOKUP($Q83,DM_KM,5,0),"")</f>
        <v>#N/A</v>
      </c>
      <c r="Q83" s="65" t="s">
        <v>267</v>
      </c>
      <c r="R83" s="64" t="str">
        <f>IF(S83&lt;&gt;0,VLOOKUP(S83,DM_DUAN,3,0),"")</f>
        <v>#N/A</v>
      </c>
      <c r="S83" s="66" t="str">
        <f>IF(U83&lt;&gt;0,VLOOKUP(U83,DM_DUAN,3,0),"")</f>
        <v/>
      </c>
      <c r="T83" s="64"/>
      <c r="U83" s="93"/>
      <c r="V83" s="64" t="str">
        <f>IF(W83&lt;&gt;0,VLOOKUP(W83,DM_DUAN,3,0),"")</f>
        <v/>
      </c>
      <c r="W83" s="68"/>
      <c r="X83" s="64" t="str">
        <f>IF(Y83&lt;&gt;0,VLOOKUP(Y83,DM_DUAN,3,0),"")</f>
        <v>#N/A</v>
      </c>
      <c r="Y83" s="69" t="s">
        <v>207</v>
      </c>
      <c r="Z83" s="64" t="str">
        <f>IF(AA83&lt;&gt;0,VLOOKUP(AA83,DM_DUAN,3,0),"")</f>
        <v>#N/A</v>
      </c>
      <c r="AA83" s="70" t="s">
        <v>183</v>
      </c>
      <c r="AB83" s="64" t="str">
        <f>IF(AC83&lt;&gt;0,VLOOKUP(AC83,DM_DUAN,3,0),"")</f>
        <v/>
      </c>
      <c r="AC83" s="70"/>
      <c r="AD83" s="64" t="str">
        <f>IF(AC83&lt;&gt;0,VLOOKUP(AC83,DM_NV,2,0),"")</f>
        <v/>
      </c>
      <c r="AE83" s="68"/>
      <c r="AF83" s="64" t="str">
        <f>IF(AE83&lt;&gt;0,VLOOKUP(AE83,DM_NV,2,0),"")</f>
        <v/>
      </c>
    </row>
    <row r="84">
      <c r="A84" s="51"/>
      <c r="B84" s="52"/>
      <c r="C84" s="53" t="str">
        <f t="shared" si="1"/>
        <v>01/2022</v>
      </c>
      <c r="D84" s="54">
        <v>44578.0</v>
      </c>
      <c r="E84" s="91" t="s">
        <v>265</v>
      </c>
      <c r="F84" s="92"/>
      <c r="G84" s="57" t="s">
        <v>266</v>
      </c>
      <c r="H84" s="58" t="str">
        <f>IF(G84="","",VLOOKUP($G84,'Quy chuẩn hạch toán'!$B:$E,2,0))</f>
        <v>642</v>
      </c>
      <c r="I84" s="58" t="str">
        <f>IF(H84="","",VLOOKUP($G84,'Quy chuẩn hạch toán'!$B:$E,3,0))</f>
        <v>3341</v>
      </c>
      <c r="J84" s="59">
        <v>1709294.0</v>
      </c>
      <c r="K84" s="60"/>
      <c r="L84" s="61"/>
      <c r="M84" s="62"/>
      <c r="N84" s="63"/>
      <c r="O84" s="64" t="str">
        <f>IF($Q84&lt;&gt;0,VLOOKUP($Q84,DM_KM,3,0),"")</f>
        <v>#N/A</v>
      </c>
      <c r="P84" s="64" t="str">
        <f>IF($Q84&lt;&gt;0,VLOOKUP($Q84,DM_KM,5,0),"")</f>
        <v>#N/A</v>
      </c>
      <c r="Q84" s="65" t="s">
        <v>267</v>
      </c>
      <c r="R84" s="64" t="str">
        <f>IF(S84&lt;&gt;0,VLOOKUP(S84,DM_DUAN,3,0),"")</f>
        <v>#N/A</v>
      </c>
      <c r="S84" s="66" t="str">
        <f>IF(U84&lt;&gt;0,VLOOKUP(U84,DM_DUAN,3,0),"")</f>
        <v/>
      </c>
      <c r="T84" s="64"/>
      <c r="U84" s="93"/>
      <c r="V84" s="64" t="str">
        <f>IF(W84&lt;&gt;0,VLOOKUP(W84,DM_DUAN,3,0),"")</f>
        <v/>
      </c>
      <c r="W84" s="68"/>
      <c r="X84" s="64" t="str">
        <f>IF(Y84&lt;&gt;0,VLOOKUP(Y84,DM_DUAN,3,0),"")</f>
        <v>#N/A</v>
      </c>
      <c r="Y84" s="69" t="s">
        <v>207</v>
      </c>
      <c r="Z84" s="64" t="str">
        <f>IF(AA84&lt;&gt;0,VLOOKUP(AA84,DM_DUAN,3,0),"")</f>
        <v>#N/A</v>
      </c>
      <c r="AA84" s="70" t="s">
        <v>177</v>
      </c>
      <c r="AB84" s="64" t="str">
        <f>IF(AC84&lt;&gt;0,VLOOKUP(AC84,DM_DUAN,3,0),"")</f>
        <v/>
      </c>
      <c r="AC84" s="70"/>
      <c r="AD84" s="64" t="str">
        <f>IF(AC84&lt;&gt;0,VLOOKUP(AC84,DM_NV,2,0),"")</f>
        <v/>
      </c>
      <c r="AE84" s="68"/>
      <c r="AF84" s="64" t="str">
        <f>IF(AE84&lt;&gt;0,VLOOKUP(AE84,DM_NV,2,0),"")</f>
        <v/>
      </c>
    </row>
    <row r="85">
      <c r="A85" s="51"/>
      <c r="B85" s="52"/>
      <c r="C85" s="53" t="str">
        <f t="shared" si="1"/>
        <v>01/2022</v>
      </c>
      <c r="D85" s="54">
        <v>44578.0</v>
      </c>
      <c r="E85" s="91" t="s">
        <v>268</v>
      </c>
      <c r="F85" s="92"/>
      <c r="G85" s="57" t="s">
        <v>205</v>
      </c>
      <c r="H85" s="58" t="str">
        <f>IF(G85="","",VLOOKUP($G85,'Quy chuẩn hạch toán'!$B:$E,2,0))</f>
        <v>642</v>
      </c>
      <c r="I85" s="58" t="str">
        <f>IF(H85="","",VLOOKUP($G85,'Quy chuẩn hạch toán'!$B:$E,3,0))</f>
        <v>1111</v>
      </c>
      <c r="J85" s="59">
        <v>41143.0</v>
      </c>
      <c r="K85" s="60"/>
      <c r="L85" s="61"/>
      <c r="M85" s="62"/>
      <c r="N85" s="63"/>
      <c r="O85" s="64" t="str">
        <f>IF($Q85&lt;&gt;0,VLOOKUP($Q85,DM_KM,3,0),"")</f>
        <v>#N/A</v>
      </c>
      <c r="P85" s="64" t="str">
        <f>IF($Q85&lt;&gt;0,VLOOKUP($Q85,DM_KM,5,0),"")</f>
        <v>#N/A</v>
      </c>
      <c r="Q85" s="65" t="s">
        <v>219</v>
      </c>
      <c r="R85" s="64" t="str">
        <f>IF(S85&lt;&gt;0,VLOOKUP(S85,DM_DUAN,3,0),"")</f>
        <v>#N/A</v>
      </c>
      <c r="S85" s="66" t="str">
        <f>IF(U85&lt;&gt;0,VLOOKUP(U85,DM_DUAN,3,0),"")</f>
        <v/>
      </c>
      <c r="T85" s="64"/>
      <c r="U85" s="93"/>
      <c r="V85" s="64" t="str">
        <f>IF(W85&lt;&gt;0,VLOOKUP(W85,DM_DUAN,3,0),"")</f>
        <v/>
      </c>
      <c r="W85" s="68"/>
      <c r="X85" s="64" t="str">
        <f>IF(Y85&lt;&gt;0,VLOOKUP(Y85,DM_DUAN,3,0),"")</f>
        <v>#N/A</v>
      </c>
      <c r="Y85" s="69" t="s">
        <v>207</v>
      </c>
      <c r="Z85" s="64" t="str">
        <f>IF(AA85&lt;&gt;0,VLOOKUP(AA85,DM_DUAN,3,0),"")</f>
        <v>#N/A</v>
      </c>
      <c r="AA85" s="70" t="s">
        <v>208</v>
      </c>
      <c r="AB85" s="64" t="str">
        <f>IF(AC85&lt;&gt;0,VLOOKUP(AC85,DM_DUAN,3,0),"")</f>
        <v/>
      </c>
      <c r="AC85" s="85"/>
      <c r="AD85" s="64" t="str">
        <f>IF(AC85&lt;&gt;0,VLOOKUP(AC85,DM_NV,2,0),"")</f>
        <v/>
      </c>
      <c r="AE85" s="83" t="s">
        <v>220</v>
      </c>
      <c r="AF85" s="64" t="str">
        <f>IF(AE85&lt;&gt;0,VLOOKUP(AE85,DM_NV,2,0),"")</f>
        <v>#N/A</v>
      </c>
    </row>
    <row r="86">
      <c r="A86" s="51"/>
      <c r="B86" s="52"/>
      <c r="C86" s="53" t="str">
        <f t="shared" si="1"/>
        <v>01/2022</v>
      </c>
      <c r="D86" s="54">
        <v>44578.0</v>
      </c>
      <c r="E86" s="91" t="s">
        <v>268</v>
      </c>
      <c r="F86" s="92"/>
      <c r="G86" s="57" t="s">
        <v>205</v>
      </c>
      <c r="H86" s="58" t="str">
        <f>IF(G86="","",VLOOKUP($G86,'Quy chuẩn hạch toán'!$B:$E,2,0))</f>
        <v>642</v>
      </c>
      <c r="I86" s="58" t="str">
        <f>IF(H86="","",VLOOKUP($G86,'Quy chuẩn hạch toán'!$B:$E,3,0))</f>
        <v>1111</v>
      </c>
      <c r="J86" s="59">
        <v>27429.0</v>
      </c>
      <c r="K86" s="60"/>
      <c r="L86" s="61"/>
      <c r="M86" s="62"/>
      <c r="N86" s="63"/>
      <c r="O86" s="64" t="str">
        <f>IF($Q86&lt;&gt;0,VLOOKUP($Q86,DM_KM,3,0),"")</f>
        <v>#N/A</v>
      </c>
      <c r="P86" s="64" t="str">
        <f>IF($Q86&lt;&gt;0,VLOOKUP($Q86,DM_KM,5,0),"")</f>
        <v>#N/A</v>
      </c>
      <c r="Q86" s="65" t="s">
        <v>219</v>
      </c>
      <c r="R86" s="64" t="str">
        <f>IF(S86&lt;&gt;0,VLOOKUP(S86,DM_DUAN,3,0),"")</f>
        <v>#N/A</v>
      </c>
      <c r="S86" s="66" t="str">
        <f>IF(U86&lt;&gt;0,VLOOKUP(U86,DM_DUAN,3,0),"")</f>
        <v/>
      </c>
      <c r="T86" s="64"/>
      <c r="U86" s="93"/>
      <c r="V86" s="64" t="str">
        <f>IF(W86&lt;&gt;0,VLOOKUP(W86,DM_DUAN,3,0),"")</f>
        <v/>
      </c>
      <c r="W86" s="68"/>
      <c r="X86" s="64" t="str">
        <f>IF(Y86&lt;&gt;0,VLOOKUP(Y86,DM_DUAN,3,0),"")</f>
        <v>#N/A</v>
      </c>
      <c r="Y86" s="69" t="s">
        <v>207</v>
      </c>
      <c r="Z86" s="64" t="str">
        <f>IF(AA86&lt;&gt;0,VLOOKUP(AA86,DM_DUAN,3,0),"")</f>
        <v>#N/A</v>
      </c>
      <c r="AA86" s="70" t="s">
        <v>210</v>
      </c>
      <c r="AB86" s="64" t="str">
        <f>IF(AC86&lt;&gt;0,VLOOKUP(AC86,DM_DUAN,3,0),"")</f>
        <v/>
      </c>
      <c r="AC86" s="70"/>
      <c r="AD86" s="64" t="str">
        <f>IF(AC86&lt;&gt;0,VLOOKUP(AC86,DM_NV,2,0),"")</f>
        <v/>
      </c>
      <c r="AE86" s="83" t="s">
        <v>220</v>
      </c>
      <c r="AF86" s="64" t="str">
        <f>IF(AE86&lt;&gt;0,VLOOKUP(AE86,DM_NV,2,0),"")</f>
        <v>#N/A</v>
      </c>
    </row>
    <row r="87">
      <c r="A87" s="51"/>
      <c r="B87" s="52"/>
      <c r="C87" s="53" t="str">
        <f t="shared" si="1"/>
        <v>01/2022</v>
      </c>
      <c r="D87" s="54">
        <v>44578.0</v>
      </c>
      <c r="E87" s="91" t="s">
        <v>268</v>
      </c>
      <c r="F87" s="92"/>
      <c r="G87" s="57" t="s">
        <v>205</v>
      </c>
      <c r="H87" s="58" t="str">
        <f>IF(G87="","",VLOOKUP($G87,'Quy chuẩn hạch toán'!$B:$E,2,0))</f>
        <v>642</v>
      </c>
      <c r="I87" s="58" t="str">
        <f>IF(H87="","",VLOOKUP($G87,'Quy chuẩn hạch toán'!$B:$E,3,0))</f>
        <v>1111</v>
      </c>
      <c r="J87" s="59">
        <v>54857.0</v>
      </c>
      <c r="K87" s="60"/>
      <c r="L87" s="61"/>
      <c r="M87" s="62"/>
      <c r="N87" s="63"/>
      <c r="O87" s="64" t="str">
        <f>IF($Q87&lt;&gt;0,VLOOKUP($Q87,DM_KM,3,0),"")</f>
        <v>#N/A</v>
      </c>
      <c r="P87" s="64" t="str">
        <f>IF($Q87&lt;&gt;0,VLOOKUP($Q87,DM_KM,5,0),"")</f>
        <v>#N/A</v>
      </c>
      <c r="Q87" s="65" t="s">
        <v>219</v>
      </c>
      <c r="R87" s="64" t="str">
        <f>IF(S87&lt;&gt;0,VLOOKUP(S87,DM_DUAN,3,0),"")</f>
        <v>#N/A</v>
      </c>
      <c r="S87" s="66" t="str">
        <f>IF(U87&lt;&gt;0,VLOOKUP(U87,DM_DUAN,3,0),"")</f>
        <v/>
      </c>
      <c r="T87" s="64"/>
      <c r="U87" s="93"/>
      <c r="V87" s="64" t="str">
        <f>IF(W87&lt;&gt;0,VLOOKUP(W87,DM_DUAN,3,0),"")</f>
        <v/>
      </c>
      <c r="W87" s="68"/>
      <c r="X87" s="64" t="str">
        <f>IF(Y87&lt;&gt;0,VLOOKUP(Y87,DM_DUAN,3,0),"")</f>
        <v>#N/A</v>
      </c>
      <c r="Y87" s="69" t="s">
        <v>207</v>
      </c>
      <c r="Z87" s="64" t="str">
        <f>IF(AA87&lt;&gt;0,VLOOKUP(AA87,DM_DUAN,3,0),"")</f>
        <v>#N/A</v>
      </c>
      <c r="AA87" s="70" t="s">
        <v>183</v>
      </c>
      <c r="AB87" s="64" t="str">
        <f>IF(AC87&lt;&gt;0,VLOOKUP(AC87,DM_DUAN,3,0),"")</f>
        <v/>
      </c>
      <c r="AC87" s="70"/>
      <c r="AD87" s="64" t="str">
        <f>IF(AC87&lt;&gt;0,VLOOKUP(AC87,DM_NV,2,0),"")</f>
        <v/>
      </c>
      <c r="AE87" s="83" t="s">
        <v>220</v>
      </c>
      <c r="AF87" s="64" t="str">
        <f>IF(AE87&lt;&gt;0,VLOOKUP(AE87,DM_NV,2,0),"")</f>
        <v>#N/A</v>
      </c>
    </row>
    <row r="88">
      <c r="A88" s="51"/>
      <c r="B88" s="52"/>
      <c r="C88" s="53" t="str">
        <f t="shared" si="1"/>
        <v>01/2022</v>
      </c>
      <c r="D88" s="54">
        <v>44578.0</v>
      </c>
      <c r="E88" s="91" t="s">
        <v>268</v>
      </c>
      <c r="F88" s="92"/>
      <c r="G88" s="57" t="s">
        <v>205</v>
      </c>
      <c r="H88" s="58" t="str">
        <f>IF(G88="","",VLOOKUP($G88,'Quy chuẩn hạch toán'!$B:$E,2,0))</f>
        <v>642</v>
      </c>
      <c r="I88" s="58" t="str">
        <f>IF(H88="","",VLOOKUP($G88,'Quy chuẩn hạch toán'!$B:$E,3,0))</f>
        <v>1111</v>
      </c>
      <c r="J88" s="59">
        <v>20571.0</v>
      </c>
      <c r="K88" s="60"/>
      <c r="L88" s="61"/>
      <c r="M88" s="62"/>
      <c r="N88" s="63"/>
      <c r="O88" s="64" t="str">
        <f>IF($Q88&lt;&gt;0,VLOOKUP($Q88,DM_KM,3,0),"")</f>
        <v>#N/A</v>
      </c>
      <c r="P88" s="64" t="str">
        <f>IF($Q88&lt;&gt;0,VLOOKUP($Q88,DM_KM,5,0),"")</f>
        <v>#N/A</v>
      </c>
      <c r="Q88" s="65" t="s">
        <v>219</v>
      </c>
      <c r="R88" s="64" t="str">
        <f>IF(S88&lt;&gt;0,VLOOKUP(S88,DM_DUAN,3,0),"")</f>
        <v>#N/A</v>
      </c>
      <c r="S88" s="66" t="str">
        <f>IF(U88&lt;&gt;0,VLOOKUP(U88,DM_DUAN,3,0),"")</f>
        <v/>
      </c>
      <c r="T88" s="64"/>
      <c r="U88" s="93"/>
      <c r="V88" s="64" t="str">
        <f>IF(W88&lt;&gt;0,VLOOKUP(W88,DM_DUAN,3,0),"")</f>
        <v/>
      </c>
      <c r="W88" s="68"/>
      <c r="X88" s="64" t="str">
        <f>IF(Y88&lt;&gt;0,VLOOKUP(Y88,DM_DUAN,3,0),"")</f>
        <v>#N/A</v>
      </c>
      <c r="Y88" s="69" t="s">
        <v>207</v>
      </c>
      <c r="Z88" s="64" t="str">
        <f>IF(AA88&lt;&gt;0,VLOOKUP(AA88,DM_DUAN,3,0),"")</f>
        <v>#N/A</v>
      </c>
      <c r="AA88" s="70" t="s">
        <v>177</v>
      </c>
      <c r="AB88" s="64" t="str">
        <f>IF(AC88&lt;&gt;0,VLOOKUP(AC88,DM_DUAN,3,0),"")</f>
        <v/>
      </c>
      <c r="AC88" s="70"/>
      <c r="AD88" s="64" t="str">
        <f>IF(AC88&lt;&gt;0,VLOOKUP(AC88,DM_NV,2,0),"")</f>
        <v/>
      </c>
      <c r="AE88" s="83" t="s">
        <v>220</v>
      </c>
      <c r="AF88" s="64" t="str">
        <f>IF(AE88&lt;&gt;0,VLOOKUP(AE88,DM_NV,2,0),"")</f>
        <v>#N/A</v>
      </c>
    </row>
    <row r="89">
      <c r="A89" s="51"/>
      <c r="B89" s="52"/>
      <c r="C89" s="53" t="str">
        <f t="shared" si="1"/>
        <v>01/2022</v>
      </c>
      <c r="D89" s="54">
        <v>44578.0</v>
      </c>
      <c r="E89" s="91" t="s">
        <v>269</v>
      </c>
      <c r="F89" s="92"/>
      <c r="G89" s="57" t="s">
        <v>249</v>
      </c>
      <c r="H89" s="58" t="str">
        <f>IF(G89="","",VLOOKUP($G89,'Quy chuẩn hạch toán'!$B:$E,2,0))</f>
        <v>642</v>
      </c>
      <c r="I89" s="58" t="str">
        <f>IF(H89="","",VLOOKUP($G89,'Quy chuẩn hạch toán'!$B:$E,3,0))</f>
        <v>331</v>
      </c>
      <c r="J89" s="59">
        <v>1142857.0</v>
      </c>
      <c r="K89" s="60"/>
      <c r="L89" s="61"/>
      <c r="M89" s="62"/>
      <c r="N89" s="63"/>
      <c r="O89" s="64" t="str">
        <f>IF($Q89&lt;&gt;0,VLOOKUP($Q89,DM_KM,3,0),"")</f>
        <v>THUEVP</v>
      </c>
      <c r="P89" s="64">
        <f>IF($Q89&lt;&gt;0,VLOOKUP($Q89,DM_KM,5,0),"")</f>
        <v>642</v>
      </c>
      <c r="Q89" s="65" t="s">
        <v>270</v>
      </c>
      <c r="R89" s="64" t="str">
        <f>IF(S89&lt;&gt;0,VLOOKUP(S89,DM_DUAN,3,0),"")</f>
        <v>#N/A</v>
      </c>
      <c r="S89" s="66" t="str">
        <f>IF(U89&lt;&gt;0,VLOOKUP(U89,DM_DUAN,3,0),"")</f>
        <v/>
      </c>
      <c r="T89" s="64"/>
      <c r="U89" s="93"/>
      <c r="V89" s="64" t="str">
        <f>IF(W89&lt;&gt;0,VLOOKUP(W89,DM_DUAN,3,0),"")</f>
        <v/>
      </c>
      <c r="W89" s="68"/>
      <c r="X89" s="64" t="str">
        <f>IF(Y89&lt;&gt;0,VLOOKUP(Y89,DM_DUAN,3,0),"")</f>
        <v>#N/A</v>
      </c>
      <c r="Y89" s="69" t="s">
        <v>176</v>
      </c>
      <c r="Z89" s="64" t="str">
        <f>IF(AA89&lt;&gt;0,VLOOKUP(AA89,DM_DUAN,3,0),"")</f>
        <v>#N/A</v>
      </c>
      <c r="AA89" s="70" t="s">
        <v>208</v>
      </c>
      <c r="AB89" s="64" t="str">
        <f>IF(AC89&lt;&gt;0,VLOOKUP(AC89,DM_DUAN,3,0),"")</f>
        <v/>
      </c>
      <c r="AC89" s="85"/>
      <c r="AD89" s="64" t="str">
        <f>IF(AC89&lt;&gt;0,VLOOKUP(AC89,DM_NV,2,0),"")</f>
        <v/>
      </c>
      <c r="AE89" s="68"/>
      <c r="AF89" s="64" t="str">
        <f>IF(AE89&lt;&gt;0,VLOOKUP(AE89,DM_NV,2,0),"")</f>
        <v/>
      </c>
    </row>
    <row r="90">
      <c r="A90" s="51"/>
      <c r="B90" s="52"/>
      <c r="C90" s="53" t="str">
        <f t="shared" si="1"/>
        <v>01/2022</v>
      </c>
      <c r="D90" s="54">
        <v>44578.0</v>
      </c>
      <c r="E90" s="91" t="s">
        <v>269</v>
      </c>
      <c r="F90" s="92"/>
      <c r="G90" s="57" t="s">
        <v>249</v>
      </c>
      <c r="H90" s="58" t="str">
        <f>IF(G90="","",VLOOKUP($G90,'Quy chuẩn hạch toán'!$B:$E,2,0))</f>
        <v>642</v>
      </c>
      <c r="I90" s="58" t="str">
        <f>IF(H90="","",VLOOKUP($G90,'Quy chuẩn hạch toán'!$B:$E,3,0))</f>
        <v>331</v>
      </c>
      <c r="J90" s="59">
        <v>761905.0</v>
      </c>
      <c r="K90" s="60"/>
      <c r="L90" s="61"/>
      <c r="M90" s="62"/>
      <c r="N90" s="63"/>
      <c r="O90" s="64" t="str">
        <f>IF($Q90&lt;&gt;0,VLOOKUP($Q90,DM_KM,3,0),"")</f>
        <v>THUEVP</v>
      </c>
      <c r="P90" s="64">
        <f>IF($Q90&lt;&gt;0,VLOOKUP($Q90,DM_KM,5,0),"")</f>
        <v>642</v>
      </c>
      <c r="Q90" s="65" t="s">
        <v>270</v>
      </c>
      <c r="R90" s="64" t="str">
        <f>IF(S90&lt;&gt;0,VLOOKUP(S90,DM_DUAN,3,0),"")</f>
        <v>#N/A</v>
      </c>
      <c r="S90" s="66" t="str">
        <f>IF(U90&lt;&gt;0,VLOOKUP(U90,DM_DUAN,3,0),"")</f>
        <v/>
      </c>
      <c r="T90" s="64"/>
      <c r="U90" s="93"/>
      <c r="V90" s="64" t="str">
        <f>IF(W90&lt;&gt;0,VLOOKUP(W90,DM_DUAN,3,0),"")</f>
        <v/>
      </c>
      <c r="W90" s="68"/>
      <c r="X90" s="64" t="str">
        <f>IF(Y90&lt;&gt;0,VLOOKUP(Y90,DM_DUAN,3,0),"")</f>
        <v>#N/A</v>
      </c>
      <c r="Y90" s="69" t="s">
        <v>176</v>
      </c>
      <c r="Z90" s="64" t="str">
        <f>IF(AA90&lt;&gt;0,VLOOKUP(AA90,DM_DUAN,3,0),"")</f>
        <v>#N/A</v>
      </c>
      <c r="AA90" s="70" t="s">
        <v>210</v>
      </c>
      <c r="AB90" s="64" t="str">
        <f>IF(AC90&lt;&gt;0,VLOOKUP(AC90,DM_DUAN,3,0),"")</f>
        <v/>
      </c>
      <c r="AC90" s="70"/>
      <c r="AD90" s="64" t="str">
        <f>IF(AC90&lt;&gt;0,VLOOKUP(AC90,DM_NV,2,0),"")</f>
        <v/>
      </c>
      <c r="AE90" s="68"/>
      <c r="AF90" s="64" t="str">
        <f>IF(AE90&lt;&gt;0,VLOOKUP(AE90,DM_NV,2,0),"")</f>
        <v/>
      </c>
    </row>
    <row r="91">
      <c r="A91" s="51"/>
      <c r="B91" s="52"/>
      <c r="C91" s="53" t="str">
        <f t="shared" si="1"/>
        <v>01/2022</v>
      </c>
      <c r="D91" s="54">
        <v>44578.0</v>
      </c>
      <c r="E91" s="91" t="s">
        <v>269</v>
      </c>
      <c r="F91" s="92"/>
      <c r="G91" s="57" t="s">
        <v>249</v>
      </c>
      <c r="H91" s="58" t="str">
        <f>IF(G91="","",VLOOKUP($G91,'Quy chuẩn hạch toán'!$B:$E,2,0))</f>
        <v>642</v>
      </c>
      <c r="I91" s="58" t="str">
        <f>IF(H91="","",VLOOKUP($G91,'Quy chuẩn hạch toán'!$B:$E,3,0))</f>
        <v>331</v>
      </c>
      <c r="J91" s="59">
        <v>1523810.0</v>
      </c>
      <c r="K91" s="60"/>
      <c r="L91" s="61"/>
      <c r="M91" s="62"/>
      <c r="N91" s="63"/>
      <c r="O91" s="64" t="str">
        <f>IF($Q91&lt;&gt;0,VLOOKUP($Q91,DM_KM,3,0),"")</f>
        <v>THUEVP</v>
      </c>
      <c r="P91" s="64">
        <f>IF($Q91&lt;&gt;0,VLOOKUP($Q91,DM_KM,5,0),"")</f>
        <v>642</v>
      </c>
      <c r="Q91" s="65" t="s">
        <v>270</v>
      </c>
      <c r="R91" s="64" t="str">
        <f>IF(S91&lt;&gt;0,VLOOKUP(S91,DM_DUAN,3,0),"")</f>
        <v>#N/A</v>
      </c>
      <c r="S91" s="66" t="str">
        <f>IF(U91&lt;&gt;0,VLOOKUP(U91,DM_DUAN,3,0),"")</f>
        <v/>
      </c>
      <c r="T91" s="64"/>
      <c r="U91" s="93"/>
      <c r="V91" s="64" t="str">
        <f>IF(W91&lt;&gt;0,VLOOKUP(W91,DM_DUAN,3,0),"")</f>
        <v/>
      </c>
      <c r="W91" s="68"/>
      <c r="X91" s="64" t="str">
        <f>IF(Y91&lt;&gt;0,VLOOKUP(Y91,DM_DUAN,3,0),"")</f>
        <v>#N/A</v>
      </c>
      <c r="Y91" s="69" t="s">
        <v>176</v>
      </c>
      <c r="Z91" s="64" t="str">
        <f>IF(AA91&lt;&gt;0,VLOOKUP(AA91,DM_DUAN,3,0),"")</f>
        <v>#N/A</v>
      </c>
      <c r="AA91" s="70" t="s">
        <v>183</v>
      </c>
      <c r="AB91" s="64" t="str">
        <f>IF(AC91&lt;&gt;0,VLOOKUP(AC91,DM_DUAN,3,0),"")</f>
        <v/>
      </c>
      <c r="AC91" s="70"/>
      <c r="AD91" s="64" t="str">
        <f>IF(AC91&lt;&gt;0,VLOOKUP(AC91,DM_NV,2,0),"")</f>
        <v/>
      </c>
      <c r="AE91" s="68"/>
      <c r="AF91" s="64" t="str">
        <f>IF(AE91&lt;&gt;0,VLOOKUP(AE91,DM_NV,2,0),"")</f>
        <v/>
      </c>
    </row>
    <row r="92">
      <c r="A92" s="51"/>
      <c r="B92" s="52"/>
      <c r="C92" s="53" t="str">
        <f t="shared" si="1"/>
        <v>01/2022</v>
      </c>
      <c r="D92" s="54">
        <v>44578.0</v>
      </c>
      <c r="E92" s="91" t="s">
        <v>269</v>
      </c>
      <c r="F92" s="92"/>
      <c r="G92" s="57" t="s">
        <v>249</v>
      </c>
      <c r="H92" s="58" t="str">
        <f>IF(G92="","",VLOOKUP($G92,'Quy chuẩn hạch toán'!$B:$E,2,0))</f>
        <v>642</v>
      </c>
      <c r="I92" s="58" t="str">
        <f>IF(H92="","",VLOOKUP($G92,'Quy chuẩn hạch toán'!$B:$E,3,0))</f>
        <v>331</v>
      </c>
      <c r="J92" s="59">
        <v>571429.0</v>
      </c>
      <c r="K92" s="60"/>
      <c r="L92" s="61"/>
      <c r="M92" s="62"/>
      <c r="N92" s="63"/>
      <c r="O92" s="64" t="str">
        <f>IF($Q92&lt;&gt;0,VLOOKUP($Q92,DM_KM,3,0),"")</f>
        <v>THUEVP</v>
      </c>
      <c r="P92" s="64">
        <f>IF($Q92&lt;&gt;0,VLOOKUP($Q92,DM_KM,5,0),"")</f>
        <v>642</v>
      </c>
      <c r="Q92" s="65" t="s">
        <v>270</v>
      </c>
      <c r="R92" s="64" t="str">
        <f>IF(S92&lt;&gt;0,VLOOKUP(S92,DM_DUAN,3,0),"")</f>
        <v>#N/A</v>
      </c>
      <c r="S92" s="66" t="str">
        <f>IF(U92&lt;&gt;0,VLOOKUP(U92,DM_DUAN,3,0),"")</f>
        <v/>
      </c>
      <c r="T92" s="64"/>
      <c r="U92" s="93"/>
      <c r="V92" s="64" t="str">
        <f>IF(W92&lt;&gt;0,VLOOKUP(W92,DM_DUAN,3,0),"")</f>
        <v/>
      </c>
      <c r="W92" s="68"/>
      <c r="X92" s="64" t="str">
        <f>IF(Y92&lt;&gt;0,VLOOKUP(Y92,DM_DUAN,3,0),"")</f>
        <v>#N/A</v>
      </c>
      <c r="Y92" s="69" t="s">
        <v>176</v>
      </c>
      <c r="Z92" s="64" t="str">
        <f>IF(AA92&lt;&gt;0,VLOOKUP(AA92,DM_DUAN,3,0),"")</f>
        <v>#N/A</v>
      </c>
      <c r="AA92" s="70" t="s">
        <v>177</v>
      </c>
      <c r="AB92" s="64" t="str">
        <f>IF(AC92&lt;&gt;0,VLOOKUP(AC92,DM_DUAN,3,0),"")</f>
        <v/>
      </c>
      <c r="AC92" s="70"/>
      <c r="AD92" s="64" t="str">
        <f>IF(AC92&lt;&gt;0,VLOOKUP(AC92,DM_NV,2,0),"")</f>
        <v/>
      </c>
      <c r="AE92" s="68"/>
      <c r="AF92" s="64" t="str">
        <f>IF(AE92&lt;&gt;0,VLOOKUP(AE92,DM_NV,2,0),"")</f>
        <v/>
      </c>
    </row>
    <row r="93">
      <c r="A93" s="51"/>
      <c r="B93" s="52"/>
      <c r="C93" s="53" t="str">
        <f t="shared" si="1"/>
        <v>01/2022</v>
      </c>
      <c r="D93" s="54">
        <v>44579.0</v>
      </c>
      <c r="E93" s="91" t="s">
        <v>271</v>
      </c>
      <c r="F93" s="92"/>
      <c r="G93" s="57" t="s">
        <v>205</v>
      </c>
      <c r="H93" s="58" t="str">
        <f>IF(G93="","",VLOOKUP($G93,'Quy chuẩn hạch toán'!$B:$E,2,0))</f>
        <v>642</v>
      </c>
      <c r="I93" s="58" t="str">
        <f>IF(H93="","",VLOOKUP($G93,'Quy chuẩn hạch toán'!$B:$E,3,0))</f>
        <v>1111</v>
      </c>
      <c r="J93" s="59">
        <v>1158857.0</v>
      </c>
      <c r="K93" s="60"/>
      <c r="L93" s="61"/>
      <c r="M93" s="62"/>
      <c r="N93" s="63"/>
      <c r="O93" s="64" t="str">
        <f>IF($Q93&lt;&gt;0,VLOOKUP($Q93,DM_KM,3,0),"")</f>
        <v>#N/A</v>
      </c>
      <c r="P93" s="64" t="str">
        <f>IF($Q93&lt;&gt;0,VLOOKUP($Q93,DM_KM,5,0),"")</f>
        <v>#N/A</v>
      </c>
      <c r="Q93" s="65" t="s">
        <v>272</v>
      </c>
      <c r="R93" s="64" t="str">
        <f>IF(S93&lt;&gt;0,VLOOKUP(S93,DM_DUAN,3,0),"")</f>
        <v>#N/A</v>
      </c>
      <c r="S93" s="66" t="str">
        <f>IF(U93&lt;&gt;0,VLOOKUP(U93,DM_DUAN,3,0),"")</f>
        <v/>
      </c>
      <c r="T93" s="64"/>
      <c r="U93" s="93"/>
      <c r="V93" s="64" t="str">
        <f>IF(W93&lt;&gt;0,VLOOKUP(W93,DM_DUAN,3,0),"")</f>
        <v/>
      </c>
      <c r="W93" s="68"/>
      <c r="X93" s="64" t="str">
        <f>IF(Y93&lt;&gt;0,VLOOKUP(Y93,DM_DUAN,3,0),"")</f>
        <v>#N/A</v>
      </c>
      <c r="Y93" s="69" t="s">
        <v>207</v>
      </c>
      <c r="Z93" s="64" t="str">
        <f>IF(AA93&lt;&gt;0,VLOOKUP(AA93,DM_DUAN,3,0),"")</f>
        <v>#N/A</v>
      </c>
      <c r="AA93" s="70" t="s">
        <v>208</v>
      </c>
      <c r="AB93" s="64" t="str">
        <f>IF(AC93&lt;&gt;0,VLOOKUP(AC93,DM_DUAN,3,0),"")</f>
        <v/>
      </c>
      <c r="AC93" s="85"/>
      <c r="AD93" s="64" t="str">
        <f>IF(AC93&lt;&gt;0,VLOOKUP(AC93,DM_NV,2,0),"")</f>
        <v/>
      </c>
      <c r="AE93" s="83" t="s">
        <v>227</v>
      </c>
      <c r="AF93" s="64" t="str">
        <f>IF(AE93&lt;&gt;0,VLOOKUP(AE93,DM_NV,2,0),"")</f>
        <v>#N/A</v>
      </c>
    </row>
    <row r="94">
      <c r="A94" s="51"/>
      <c r="B94" s="52"/>
      <c r="C94" s="53" t="str">
        <f t="shared" si="1"/>
        <v>01/2022</v>
      </c>
      <c r="D94" s="54">
        <v>44579.0</v>
      </c>
      <c r="E94" s="91" t="s">
        <v>271</v>
      </c>
      <c r="F94" s="92"/>
      <c r="G94" s="57" t="s">
        <v>205</v>
      </c>
      <c r="H94" s="58" t="str">
        <f>IF(G94="","",VLOOKUP($G94,'Quy chuẩn hạch toán'!$B:$E,2,0))</f>
        <v>642</v>
      </c>
      <c r="I94" s="58" t="str">
        <f>IF(H94="","",VLOOKUP($G94,'Quy chuẩn hạch toán'!$B:$E,3,0))</f>
        <v>1111</v>
      </c>
      <c r="J94" s="59">
        <v>772571.0</v>
      </c>
      <c r="K94" s="60"/>
      <c r="L94" s="61"/>
      <c r="M94" s="62"/>
      <c r="N94" s="63"/>
      <c r="O94" s="64" t="str">
        <f>IF($Q94&lt;&gt;0,VLOOKUP($Q94,DM_KM,3,0),"")</f>
        <v>#N/A</v>
      </c>
      <c r="P94" s="64" t="str">
        <f>IF($Q94&lt;&gt;0,VLOOKUP($Q94,DM_KM,5,0),"")</f>
        <v>#N/A</v>
      </c>
      <c r="Q94" s="65" t="s">
        <v>272</v>
      </c>
      <c r="R94" s="64" t="str">
        <f>IF(S94&lt;&gt;0,VLOOKUP(S94,DM_DUAN,3,0),"")</f>
        <v>#N/A</v>
      </c>
      <c r="S94" s="66" t="str">
        <f>IF(U94&lt;&gt;0,VLOOKUP(U94,DM_DUAN,3,0),"")</f>
        <v/>
      </c>
      <c r="T94" s="64"/>
      <c r="U94" s="93"/>
      <c r="V94" s="64" t="str">
        <f>IF(W94&lt;&gt;0,VLOOKUP(W94,DM_DUAN,3,0),"")</f>
        <v/>
      </c>
      <c r="W94" s="68"/>
      <c r="X94" s="64" t="str">
        <f>IF(Y94&lt;&gt;0,VLOOKUP(Y94,DM_DUAN,3,0),"")</f>
        <v>#N/A</v>
      </c>
      <c r="Y94" s="69" t="s">
        <v>207</v>
      </c>
      <c r="Z94" s="64" t="str">
        <f>IF(AA94&lt;&gt;0,VLOOKUP(AA94,DM_DUAN,3,0),"")</f>
        <v>#N/A</v>
      </c>
      <c r="AA94" s="70" t="s">
        <v>210</v>
      </c>
      <c r="AB94" s="64" t="str">
        <f>IF(AC94&lt;&gt;0,VLOOKUP(AC94,DM_DUAN,3,0),"")</f>
        <v/>
      </c>
      <c r="AC94" s="70"/>
      <c r="AD94" s="64" t="str">
        <f>IF(AC94&lt;&gt;0,VLOOKUP(AC94,DM_NV,2,0),"")</f>
        <v/>
      </c>
      <c r="AE94" s="83" t="s">
        <v>227</v>
      </c>
      <c r="AF94" s="64" t="str">
        <f>IF(AE94&lt;&gt;0,VLOOKUP(AE94,DM_NV,2,0),"")</f>
        <v>#N/A</v>
      </c>
    </row>
    <row r="95">
      <c r="A95" s="51"/>
      <c r="B95" s="52"/>
      <c r="C95" s="53" t="str">
        <f t="shared" si="1"/>
        <v>01/2022</v>
      </c>
      <c r="D95" s="54">
        <v>44579.0</v>
      </c>
      <c r="E95" s="91" t="s">
        <v>271</v>
      </c>
      <c r="F95" s="92"/>
      <c r="G95" s="57" t="s">
        <v>205</v>
      </c>
      <c r="H95" s="58" t="str">
        <f>IF(G95="","",VLOOKUP($G95,'Quy chuẩn hạch toán'!$B:$E,2,0))</f>
        <v>642</v>
      </c>
      <c r="I95" s="58" t="str">
        <f>IF(H95="","",VLOOKUP($G95,'Quy chuẩn hạch toán'!$B:$E,3,0))</f>
        <v>1111</v>
      </c>
      <c r="J95" s="59">
        <v>1545143.0</v>
      </c>
      <c r="K95" s="60"/>
      <c r="L95" s="61"/>
      <c r="M95" s="62"/>
      <c r="N95" s="63"/>
      <c r="O95" s="64" t="str">
        <f>IF($Q95&lt;&gt;0,VLOOKUP($Q95,DM_KM,3,0),"")</f>
        <v>#N/A</v>
      </c>
      <c r="P95" s="64" t="str">
        <f>IF($Q95&lt;&gt;0,VLOOKUP($Q95,DM_KM,5,0),"")</f>
        <v>#N/A</v>
      </c>
      <c r="Q95" s="65" t="s">
        <v>272</v>
      </c>
      <c r="R95" s="64" t="str">
        <f>IF(S95&lt;&gt;0,VLOOKUP(S95,DM_DUAN,3,0),"")</f>
        <v>#N/A</v>
      </c>
      <c r="S95" s="66" t="str">
        <f>IF(U95&lt;&gt;0,VLOOKUP(U95,DM_DUAN,3,0),"")</f>
        <v/>
      </c>
      <c r="T95" s="64"/>
      <c r="U95" s="93"/>
      <c r="V95" s="64" t="str">
        <f>IF(W95&lt;&gt;0,VLOOKUP(W95,DM_DUAN,3,0),"")</f>
        <v/>
      </c>
      <c r="W95" s="68"/>
      <c r="X95" s="64" t="str">
        <f>IF(Y95&lt;&gt;0,VLOOKUP(Y95,DM_DUAN,3,0),"")</f>
        <v>#N/A</v>
      </c>
      <c r="Y95" s="69" t="s">
        <v>207</v>
      </c>
      <c r="Z95" s="64" t="str">
        <f>IF(AA95&lt;&gt;0,VLOOKUP(AA95,DM_DUAN,3,0),"")</f>
        <v>#N/A</v>
      </c>
      <c r="AA95" s="70" t="s">
        <v>183</v>
      </c>
      <c r="AB95" s="64" t="str">
        <f>IF(AC95&lt;&gt;0,VLOOKUP(AC95,DM_DUAN,3,0),"")</f>
        <v/>
      </c>
      <c r="AC95" s="70"/>
      <c r="AD95" s="64" t="str">
        <f>IF(AC95&lt;&gt;0,VLOOKUP(AC95,DM_NV,2,0),"")</f>
        <v/>
      </c>
      <c r="AE95" s="83" t="s">
        <v>227</v>
      </c>
      <c r="AF95" s="64" t="str">
        <f>IF(AE95&lt;&gt;0,VLOOKUP(AE95,DM_NV,2,0),"")</f>
        <v>#N/A</v>
      </c>
    </row>
    <row r="96">
      <c r="A96" s="51"/>
      <c r="B96" s="52"/>
      <c r="C96" s="53" t="str">
        <f t="shared" si="1"/>
        <v>01/2022</v>
      </c>
      <c r="D96" s="54">
        <v>44579.0</v>
      </c>
      <c r="E96" s="91" t="s">
        <v>271</v>
      </c>
      <c r="F96" s="92"/>
      <c r="G96" s="57" t="s">
        <v>205</v>
      </c>
      <c r="H96" s="58" t="str">
        <f>IF(G96="","",VLOOKUP($G96,'Quy chuẩn hạch toán'!$B:$E,2,0))</f>
        <v>642</v>
      </c>
      <c r="I96" s="58" t="str">
        <f>IF(H96="","",VLOOKUP($G96,'Quy chuẩn hạch toán'!$B:$E,3,0))</f>
        <v>1111</v>
      </c>
      <c r="J96" s="59">
        <v>579429.0</v>
      </c>
      <c r="K96" s="60"/>
      <c r="L96" s="61"/>
      <c r="M96" s="62"/>
      <c r="N96" s="63"/>
      <c r="O96" s="64" t="str">
        <f>IF($Q96&lt;&gt;0,VLOOKUP($Q96,DM_KM,3,0),"")</f>
        <v>#N/A</v>
      </c>
      <c r="P96" s="64" t="str">
        <f>IF($Q96&lt;&gt;0,VLOOKUP($Q96,DM_KM,5,0),"")</f>
        <v>#N/A</v>
      </c>
      <c r="Q96" s="65" t="s">
        <v>272</v>
      </c>
      <c r="R96" s="64" t="str">
        <f>IF(S96&lt;&gt;0,VLOOKUP(S96,DM_DUAN,3,0),"")</f>
        <v>#N/A</v>
      </c>
      <c r="S96" s="66" t="str">
        <f>IF(U96&lt;&gt;0,VLOOKUP(U96,DM_DUAN,3,0),"")</f>
        <v/>
      </c>
      <c r="T96" s="64"/>
      <c r="U96" s="93"/>
      <c r="V96" s="64" t="str">
        <f>IF(W96&lt;&gt;0,VLOOKUP(W96,DM_DUAN,3,0),"")</f>
        <v/>
      </c>
      <c r="W96" s="68"/>
      <c r="X96" s="64" t="str">
        <f>IF(Y96&lt;&gt;0,VLOOKUP(Y96,DM_DUAN,3,0),"")</f>
        <v>#N/A</v>
      </c>
      <c r="Y96" s="69" t="s">
        <v>207</v>
      </c>
      <c r="Z96" s="64" t="str">
        <f>IF(AA96&lt;&gt;0,VLOOKUP(AA96,DM_DUAN,3,0),"")</f>
        <v>#N/A</v>
      </c>
      <c r="AA96" s="70" t="s">
        <v>177</v>
      </c>
      <c r="AB96" s="64" t="str">
        <f>IF(AC96&lt;&gt;0,VLOOKUP(AC96,DM_DUAN,3,0),"")</f>
        <v/>
      </c>
      <c r="AC96" s="70"/>
      <c r="AD96" s="64" t="str">
        <f>IF(AC96&lt;&gt;0,VLOOKUP(AC96,DM_NV,2,0),"")</f>
        <v/>
      </c>
      <c r="AE96" s="83" t="s">
        <v>227</v>
      </c>
      <c r="AF96" s="64" t="str">
        <f>IF(AE96&lt;&gt;0,VLOOKUP(AE96,DM_NV,2,0),"")</f>
        <v>#N/A</v>
      </c>
    </row>
    <row r="97">
      <c r="A97" s="51"/>
      <c r="B97" s="52"/>
      <c r="C97" s="53" t="str">
        <f t="shared" si="1"/>
        <v>01/2022</v>
      </c>
      <c r="D97" s="54">
        <v>44579.0</v>
      </c>
      <c r="E97" s="55" t="s">
        <v>273</v>
      </c>
      <c r="F97" s="56"/>
      <c r="G97" s="57" t="s">
        <v>173</v>
      </c>
      <c r="H97" s="58" t="str">
        <f>IF(G97="","",VLOOKUP($G97,'Quy chuẩn hạch toán'!$B:$E,2,0))</f>
        <v>641</v>
      </c>
      <c r="I97" s="58" t="str">
        <f>IF(H97="","",VLOOKUP($G97,'Quy chuẩn hạch toán'!$B:$E,3,0))</f>
        <v>331</v>
      </c>
      <c r="J97" s="95">
        <v>8000000.0</v>
      </c>
      <c r="K97" s="60"/>
      <c r="L97" s="61"/>
      <c r="M97" s="62"/>
      <c r="N97" s="63"/>
      <c r="O97" s="64" t="str">
        <f>IF($Q97&lt;&gt;0,VLOOKUP($Q97,DM_KM,3,0),"")</f>
        <v>#N/A</v>
      </c>
      <c r="P97" s="64" t="str">
        <f>IF($Q97&lt;&gt;0,VLOOKUP($Q97,DM_KM,5,0),"")</f>
        <v>#N/A</v>
      </c>
      <c r="Q97" s="65" t="s">
        <v>169</v>
      </c>
      <c r="R97" s="64" t="str">
        <f>IF(S97&lt;&gt;0,VLOOKUP(S97,DM_DUAN,3,0),"")</f>
        <v>#N/A</v>
      </c>
      <c r="S97" s="66" t="str">
        <f>IF(U97&lt;&gt;0,VLOOKUP(U97,DM_DUAN,3,0),"")</f>
        <v/>
      </c>
      <c r="T97" s="64"/>
      <c r="U97" s="93"/>
      <c r="V97" s="64" t="str">
        <f>IF(W97&lt;&gt;0,VLOOKUP(W97,DM_DUAN,3,0),"")</f>
        <v/>
      </c>
      <c r="W97" s="68"/>
      <c r="X97" s="64" t="str">
        <f>IF(Y97&lt;&gt;0,VLOOKUP(Y97,DM_DUAN,3,0),"")</f>
        <v>#N/A</v>
      </c>
      <c r="Y97" s="69" t="s">
        <v>176</v>
      </c>
      <c r="Z97" s="64" t="str">
        <f>IF(AA97&lt;&gt;0,VLOOKUP(AA97,DM_DUAN,3,0),"")</f>
        <v>#N/A</v>
      </c>
      <c r="AA97" s="70" t="s">
        <v>183</v>
      </c>
      <c r="AB97" s="64" t="str">
        <f>IF(AC97&lt;&gt;0,VLOOKUP(AC97,DM_DUAN,3,0),"")</f>
        <v/>
      </c>
      <c r="AC97" s="85"/>
      <c r="AD97" s="64" t="str">
        <f>IF(AC97&lt;&gt;0,VLOOKUP(AC97,DM_NV,2,0),"")</f>
        <v/>
      </c>
      <c r="AE97" s="68"/>
      <c r="AF97" s="64" t="str">
        <f>IF(AE97&lt;&gt;0,VLOOKUP(AE97,DM_NV,2,0),"")</f>
        <v/>
      </c>
    </row>
    <row r="98">
      <c r="A98" s="51"/>
      <c r="B98" s="52"/>
      <c r="C98" s="53" t="str">
        <f t="shared" si="1"/>
        <v>01/2022</v>
      </c>
      <c r="D98" s="99">
        <v>44585.0</v>
      </c>
      <c r="E98" s="79" t="s">
        <v>274</v>
      </c>
      <c r="F98" s="80"/>
      <c r="G98" s="100" t="s">
        <v>275</v>
      </c>
      <c r="H98" s="58" t="str">
        <f>IF(G98="","",VLOOKUP($G98,'Quy chuẩn hạch toán'!$B:$E,2,0))</f>
        <v>3341</v>
      </c>
      <c r="I98" s="58" t="str">
        <f>IF(H98="","",VLOOKUP($G98,'Quy chuẩn hạch toán'!$B:$E,3,0))</f>
        <v>1111</v>
      </c>
      <c r="J98" s="101">
        <v>4.556E7</v>
      </c>
      <c r="K98" s="60"/>
      <c r="L98" s="61"/>
      <c r="M98" s="62"/>
      <c r="N98" s="63"/>
      <c r="O98" s="64" t="str">
        <f>IF($Q98&lt;&gt;0,VLOOKUP($Q98,DM_KM,3,0),"")</f>
        <v/>
      </c>
      <c r="P98" s="64" t="str">
        <f>IF($Q98&lt;&gt;0,VLOOKUP($Q98,DM_KM,5,0),"")</f>
        <v/>
      </c>
      <c r="Q98" s="65"/>
      <c r="R98" s="64" t="str">
        <f>IF(S98&lt;&gt;0,VLOOKUP(S98,DM_DUAN,3,0),"")</f>
        <v>#N/A</v>
      </c>
      <c r="S98" s="66" t="str">
        <f>IF(U98&lt;&gt;0,VLOOKUP(U98,DM_DUAN,3,0),"")</f>
        <v>THANHNAM</v>
      </c>
      <c r="T98" s="64"/>
      <c r="U98" s="67" t="s">
        <v>175</v>
      </c>
      <c r="V98" s="64" t="str">
        <f>IF(W98&lt;&gt;0,VLOOKUP(W98,DM_DUAN,3,0),"")</f>
        <v>#N/A</v>
      </c>
      <c r="W98" s="83" t="s">
        <v>235</v>
      </c>
      <c r="X98" s="64" t="str">
        <f>IF(Y98&lt;&gt;0,VLOOKUP(Y98,DM_DUAN,3,0),"")</f>
        <v>#N/A</v>
      </c>
      <c r="Y98" s="69" t="s">
        <v>176</v>
      </c>
      <c r="Z98" s="64" t="str">
        <f>IF(AA98&lt;&gt;0,VLOOKUP(AA98,DM_DUAN,3,0),"")</f>
        <v>#N/A</v>
      </c>
      <c r="AA98" s="70" t="s">
        <v>208</v>
      </c>
      <c r="AB98" s="64" t="str">
        <f>IF(AC98&lt;&gt;0,VLOOKUP(AC98,DM_DUAN,3,0),"")</f>
        <v/>
      </c>
      <c r="AC98" s="70"/>
      <c r="AD98" s="64" t="str">
        <f>IF(AC98&lt;&gt;0,VLOOKUP(AC98,DM_NV,2,0),"")</f>
        <v/>
      </c>
      <c r="AE98" s="83" t="s">
        <v>276</v>
      </c>
      <c r="AF98" s="64" t="str">
        <f>IF(AE98&lt;&gt;0,VLOOKUP(AE98,DM_NV,2,0),"")</f>
        <v>#N/A</v>
      </c>
    </row>
    <row r="99">
      <c r="A99" s="51"/>
      <c r="B99" s="52"/>
      <c r="C99" s="53" t="str">
        <f t="shared" si="1"/>
        <v>01/2022</v>
      </c>
      <c r="D99" s="99">
        <v>44585.0</v>
      </c>
      <c r="E99" s="79" t="s">
        <v>277</v>
      </c>
      <c r="F99" s="80"/>
      <c r="G99" s="57" t="s">
        <v>278</v>
      </c>
      <c r="H99" s="58" t="str">
        <f>IF(G99="","",VLOOKUP($G99,'Quy chuẩn hạch toán'!$B:$E,2,0))</f>
        <v>154</v>
      </c>
      <c r="I99" s="58" t="str">
        <f>IF(H99="","",VLOOKUP($G99,'Quy chuẩn hạch toán'!$B:$E,3,0))</f>
        <v>1111</v>
      </c>
      <c r="J99" s="59">
        <v>1000000.0</v>
      </c>
      <c r="K99" s="60"/>
      <c r="L99" s="61"/>
      <c r="M99" s="62"/>
      <c r="N99" s="63"/>
      <c r="O99" s="64"/>
      <c r="P99" s="64"/>
      <c r="Q99" s="65"/>
      <c r="R99" s="64"/>
      <c r="S99" s="66"/>
      <c r="T99" s="64"/>
      <c r="U99" s="67" t="s">
        <v>175</v>
      </c>
      <c r="V99" s="64"/>
      <c r="W99" s="83" t="s">
        <v>235</v>
      </c>
      <c r="X99" s="64"/>
      <c r="Y99" s="69" t="s">
        <v>176</v>
      </c>
      <c r="Z99" s="64"/>
      <c r="AA99" s="70" t="s">
        <v>208</v>
      </c>
      <c r="AB99" s="64"/>
      <c r="AC99" s="70"/>
      <c r="AD99" s="64" t="str">
        <f>IF(AC99&lt;&gt;0,VLOOKUP(AC99,DM_NV,2,0),"")</f>
        <v/>
      </c>
      <c r="AE99" s="83" t="s">
        <v>263</v>
      </c>
      <c r="AF99" s="64" t="str">
        <f>IF(AE99&lt;&gt;0,VLOOKUP(AE99,DM_NV,2,0),"")</f>
        <v>#N/A</v>
      </c>
    </row>
    <row r="100">
      <c r="A100" s="51"/>
      <c r="B100" s="52"/>
      <c r="C100" s="53" t="str">
        <f t="shared" si="1"/>
        <v>01/2022</v>
      </c>
      <c r="D100" s="99">
        <v>44585.0</v>
      </c>
      <c r="E100" s="79" t="s">
        <v>279</v>
      </c>
      <c r="F100" s="80"/>
      <c r="G100" s="57" t="s">
        <v>280</v>
      </c>
      <c r="H100" s="58" t="str">
        <f>IF(G100="","",VLOOKUP($G100,'Quy chuẩn hạch toán'!$B:$E,2,0))</f>
        <v>521</v>
      </c>
      <c r="I100" s="58" t="str">
        <f>IF(H100="","",VLOOKUP($G100,'Quy chuẩn hạch toán'!$B:$E,3,0))</f>
        <v>1111</v>
      </c>
      <c r="J100" s="59">
        <v>1.888E7</v>
      </c>
      <c r="K100" s="60"/>
      <c r="L100" s="61"/>
      <c r="M100" s="62"/>
      <c r="N100" s="63"/>
      <c r="O100" s="64"/>
      <c r="P100" s="64"/>
      <c r="Q100" s="65"/>
      <c r="R100" s="64"/>
      <c r="S100" s="66"/>
      <c r="T100" s="64"/>
      <c r="U100" s="67" t="s">
        <v>175</v>
      </c>
      <c r="V100" s="64"/>
      <c r="W100" s="83" t="s">
        <v>235</v>
      </c>
      <c r="X100" s="64"/>
      <c r="Y100" s="69" t="s">
        <v>176</v>
      </c>
      <c r="Z100" s="64"/>
      <c r="AA100" s="70" t="s">
        <v>208</v>
      </c>
      <c r="AB100" s="64"/>
      <c r="AC100" s="70"/>
      <c r="AD100" s="64" t="str">
        <f>IF(AC100&lt;&gt;0,VLOOKUP(AC100,DM_NV,2,0),"")</f>
        <v/>
      </c>
      <c r="AE100" s="83" t="s">
        <v>181</v>
      </c>
      <c r="AF100" s="64" t="str">
        <f>IF(AE100&lt;&gt;0,VLOOKUP(AE100,DM_NV,2,0),"")</f>
        <v>#N/A</v>
      </c>
    </row>
    <row r="101">
      <c r="A101" s="51"/>
      <c r="B101" s="52"/>
      <c r="C101" s="53" t="str">
        <f t="shared" si="1"/>
        <v>01/2022</v>
      </c>
      <c r="D101" s="99">
        <v>44585.0</v>
      </c>
      <c r="E101" s="79" t="s">
        <v>281</v>
      </c>
      <c r="F101" s="80"/>
      <c r="G101" s="100" t="s">
        <v>282</v>
      </c>
      <c r="H101" s="58" t="str">
        <f>IF(G101="","",VLOOKUP($G101,'Quy chuẩn hạch toán'!$B:$E,2,0))</f>
        <v>1111</v>
      </c>
      <c r="I101" s="58" t="str">
        <f>IF(H101="","",VLOOKUP($G101,'Quy chuẩn hạch toán'!$B:$E,3,0))</f>
        <v>131</v>
      </c>
      <c r="J101" s="101">
        <v>1.8E8</v>
      </c>
      <c r="K101" s="60"/>
      <c r="L101" s="61"/>
      <c r="M101" s="62"/>
      <c r="N101" s="63"/>
      <c r="O101" s="64" t="str">
        <f>IF($Q101&lt;&gt;0,VLOOKUP($Q101,DM_KM,3,0),"")</f>
        <v/>
      </c>
      <c r="P101" s="64" t="str">
        <f>IF($Q101&lt;&gt;0,VLOOKUP($Q101,DM_KM,5,0),"")</f>
        <v/>
      </c>
      <c r="Q101" s="65"/>
      <c r="R101" s="64" t="str">
        <f>IF(S101&lt;&gt;0,VLOOKUP(S101,DM_DUAN,3,0),"")</f>
        <v>#N/A</v>
      </c>
      <c r="S101" s="66" t="str">
        <f>IF(U101&lt;&gt;0,VLOOKUP(U101,DM_DUAN,3,0),"")</f>
        <v>THANHNAM</v>
      </c>
      <c r="T101" s="64"/>
      <c r="U101" s="67" t="s">
        <v>175</v>
      </c>
      <c r="V101" s="64" t="str">
        <f>IF(W101&lt;&gt;0,VLOOKUP(W101,DM_DUAN,3,0),"")</f>
        <v>#N/A</v>
      </c>
      <c r="W101" s="83" t="s">
        <v>235</v>
      </c>
      <c r="X101" s="64" t="str">
        <f>IF(Y101&lt;&gt;0,VLOOKUP(Y101,DM_DUAN,3,0),"")</f>
        <v>#N/A</v>
      </c>
      <c r="Y101" s="69" t="s">
        <v>176</v>
      </c>
      <c r="Z101" s="64" t="str">
        <f>IF(AA101&lt;&gt;0,VLOOKUP(AA101,DM_DUAN,3,0),"")</f>
        <v>#N/A</v>
      </c>
      <c r="AA101" s="70" t="s">
        <v>208</v>
      </c>
      <c r="AB101" s="64" t="str">
        <f>IF(AC101&lt;&gt;0,VLOOKUP(AC101,DM_DUAN,3,0),"")</f>
        <v/>
      </c>
      <c r="AC101" s="70"/>
      <c r="AD101" s="64" t="str">
        <f>IF(AC101&lt;&gt;0,VLOOKUP(AC101,DM_NV,2,0),"")</f>
        <v/>
      </c>
      <c r="AE101" s="83" t="s">
        <v>283</v>
      </c>
      <c r="AF101" s="64" t="str">
        <f>IF(AE101&lt;&gt;0,VLOOKUP(AE101,DM_NV,2,0),"")</f>
        <v>#N/A</v>
      </c>
    </row>
    <row r="102">
      <c r="A102" s="51"/>
      <c r="B102" s="52"/>
      <c r="C102" s="53" t="str">
        <f t="shared" si="1"/>
        <v>01/2022</v>
      </c>
      <c r="D102" s="99">
        <v>44585.0</v>
      </c>
      <c r="E102" s="79" t="s">
        <v>284</v>
      </c>
      <c r="F102" s="80"/>
      <c r="G102" s="100" t="s">
        <v>275</v>
      </c>
      <c r="H102" s="58" t="str">
        <f>IF(G102="","",VLOOKUP($G102,'Quy chuẩn hạch toán'!$B:$E,2,0))</f>
        <v>3341</v>
      </c>
      <c r="I102" s="58" t="str">
        <f>IF(H102="","",VLOOKUP($G102,'Quy chuẩn hạch toán'!$B:$E,3,0))</f>
        <v>1111</v>
      </c>
      <c r="J102" s="101">
        <v>6.2E7</v>
      </c>
      <c r="K102" s="60"/>
      <c r="L102" s="61"/>
      <c r="M102" s="62"/>
      <c r="N102" s="63"/>
      <c r="O102" s="64" t="str">
        <f>IF($Q102&lt;&gt;0,VLOOKUP($Q102,DM_KM,3,0),"")</f>
        <v/>
      </c>
      <c r="P102" s="64" t="str">
        <f>IF($Q102&lt;&gt;0,VLOOKUP($Q102,DM_KM,5,0),"")</f>
        <v/>
      </c>
      <c r="Q102" s="65"/>
      <c r="R102" s="64" t="str">
        <f>IF(S102&lt;&gt;0,VLOOKUP(S102,DM_DUAN,3,0),"")</f>
        <v>#N/A</v>
      </c>
      <c r="S102" s="66" t="str">
        <f>IF(U102&lt;&gt;0,VLOOKUP(U102,DM_DUAN,3,0),"")</f>
        <v>THANHNAM</v>
      </c>
      <c r="T102" s="64"/>
      <c r="U102" s="67" t="s">
        <v>175</v>
      </c>
      <c r="V102" s="64" t="str">
        <f>IF(W102&lt;&gt;0,VLOOKUP(W102,DM_DUAN,3,0),"")</f>
        <v>#N/A</v>
      </c>
      <c r="W102" s="83" t="s">
        <v>182</v>
      </c>
      <c r="X102" s="64" t="str">
        <f>IF(Y102&lt;&gt;0,VLOOKUP(Y102,DM_DUAN,3,0),"")</f>
        <v>#N/A</v>
      </c>
      <c r="Y102" s="69" t="s">
        <v>176</v>
      </c>
      <c r="Z102" s="64" t="str">
        <f>IF(AA102&lt;&gt;0,VLOOKUP(AA102,DM_DUAN,3,0),"")</f>
        <v>#N/A</v>
      </c>
      <c r="AA102" s="70" t="s">
        <v>183</v>
      </c>
      <c r="AB102" s="64" t="str">
        <f>IF(AC102&lt;&gt;0,VLOOKUP(AC102,DM_DUAN,3,0),"")</f>
        <v/>
      </c>
      <c r="AC102" s="70"/>
      <c r="AD102" s="64" t="str">
        <f>IF(AC102&lt;&gt;0,VLOOKUP(AC102,DM_NV,2,0),"")</f>
        <v/>
      </c>
      <c r="AE102" s="83" t="s">
        <v>276</v>
      </c>
      <c r="AF102" s="64" t="str">
        <f>IF(AE102&lt;&gt;0,VLOOKUP(AE102,DM_NV,2,0),"")</f>
        <v>#N/A</v>
      </c>
    </row>
    <row r="103">
      <c r="A103" s="51"/>
      <c r="B103" s="52"/>
      <c r="C103" s="53" t="str">
        <f t="shared" si="1"/>
        <v>01/2022</v>
      </c>
      <c r="D103" s="99">
        <v>44585.0</v>
      </c>
      <c r="E103" s="79" t="s">
        <v>285</v>
      </c>
      <c r="F103" s="80"/>
      <c r="G103" s="100" t="s">
        <v>275</v>
      </c>
      <c r="H103" s="58" t="str">
        <f>IF(G103="","",VLOOKUP($G103,'Quy chuẩn hạch toán'!$B:$E,2,0))</f>
        <v>3341</v>
      </c>
      <c r="I103" s="58" t="str">
        <f>IF(H103="","",VLOOKUP($G103,'Quy chuẩn hạch toán'!$B:$E,3,0))</f>
        <v>1111</v>
      </c>
      <c r="J103" s="101">
        <v>4500000.0</v>
      </c>
      <c r="K103" s="60"/>
      <c r="L103" s="61"/>
      <c r="M103" s="62"/>
      <c r="N103" s="63"/>
      <c r="O103" s="64" t="str">
        <f>IF($Q103&lt;&gt;0,VLOOKUP($Q103,DM_KM,3,0),"")</f>
        <v/>
      </c>
      <c r="P103" s="64" t="str">
        <f>IF($Q103&lt;&gt;0,VLOOKUP($Q103,DM_KM,5,0),"")</f>
        <v/>
      </c>
      <c r="Q103" s="65"/>
      <c r="R103" s="64" t="str">
        <f>IF(S103&lt;&gt;0,VLOOKUP(S103,DM_DUAN,3,0),"")</f>
        <v>#N/A</v>
      </c>
      <c r="S103" s="66" t="str">
        <f>IF(U103&lt;&gt;0,VLOOKUP(U103,DM_DUAN,3,0),"")</f>
        <v>THANHNAM</v>
      </c>
      <c r="T103" s="64"/>
      <c r="U103" s="67" t="s">
        <v>175</v>
      </c>
      <c r="V103" s="64" t="str">
        <f>IF(W103&lt;&gt;0,VLOOKUP(W103,DM_DUAN,3,0),"")</f>
        <v>#N/A</v>
      </c>
      <c r="W103" s="83" t="s">
        <v>182</v>
      </c>
      <c r="X103" s="64" t="str">
        <f>IF(Y103&lt;&gt;0,VLOOKUP(Y103,DM_DUAN,3,0),"")</f>
        <v>#N/A</v>
      </c>
      <c r="Y103" s="69" t="s">
        <v>176</v>
      </c>
      <c r="Z103" s="64" t="str">
        <f>IF(AA103&lt;&gt;0,VLOOKUP(AA103,DM_DUAN,3,0),"")</f>
        <v>#N/A</v>
      </c>
      <c r="AA103" s="70" t="s">
        <v>183</v>
      </c>
      <c r="AB103" s="64" t="str">
        <f>IF(AC103&lt;&gt;0,VLOOKUP(AC103,DM_DUAN,3,0),"")</f>
        <v/>
      </c>
      <c r="AC103" s="70"/>
      <c r="AD103" s="64" t="str">
        <f>IF(AC103&lt;&gt;0,VLOOKUP(AC103,DM_NV,2,0),"")</f>
        <v/>
      </c>
      <c r="AE103" s="83" t="s">
        <v>276</v>
      </c>
      <c r="AF103" s="64" t="str">
        <f>IF(AE103&lt;&gt;0,VLOOKUP(AE103,DM_NV,2,0),"")</f>
        <v>#N/A</v>
      </c>
    </row>
    <row r="104">
      <c r="A104" s="51"/>
      <c r="B104" s="52"/>
      <c r="C104" s="53" t="str">
        <f t="shared" si="1"/>
        <v>01/2022</v>
      </c>
      <c r="D104" s="99">
        <v>44585.0</v>
      </c>
      <c r="E104" s="79" t="s">
        <v>286</v>
      </c>
      <c r="F104" s="80"/>
      <c r="G104" s="57" t="s">
        <v>278</v>
      </c>
      <c r="H104" s="58" t="str">
        <f>IF(G104="","",VLOOKUP($G104,'Quy chuẩn hạch toán'!$B:$E,2,0))</f>
        <v>154</v>
      </c>
      <c r="I104" s="58" t="str">
        <f>IF(H104="","",VLOOKUP($G104,'Quy chuẩn hạch toán'!$B:$E,3,0))</f>
        <v>1111</v>
      </c>
      <c r="J104" s="59">
        <v>1000000.0</v>
      </c>
      <c r="K104" s="60"/>
      <c r="L104" s="61"/>
      <c r="M104" s="62"/>
      <c r="N104" s="63"/>
      <c r="O104" s="64"/>
      <c r="P104" s="64"/>
      <c r="Q104" s="65"/>
      <c r="R104" s="64"/>
      <c r="S104" s="66"/>
      <c r="T104" s="64"/>
      <c r="U104" s="67" t="s">
        <v>175</v>
      </c>
      <c r="V104" s="64"/>
      <c r="W104" s="83" t="s">
        <v>182</v>
      </c>
      <c r="X104" s="64"/>
      <c r="Y104" s="69" t="s">
        <v>176</v>
      </c>
      <c r="Z104" s="64"/>
      <c r="AA104" s="70" t="s">
        <v>183</v>
      </c>
      <c r="AB104" s="64"/>
      <c r="AC104" s="70"/>
      <c r="AD104" s="64" t="str">
        <f>IF(AC104&lt;&gt;0,VLOOKUP(AC104,DM_NV,2,0),"")</f>
        <v/>
      </c>
      <c r="AE104" s="83" t="s">
        <v>263</v>
      </c>
      <c r="AF104" s="64" t="str">
        <f>IF(AE104&lt;&gt;0,VLOOKUP(AE104,DM_NV,2,0),"")</f>
        <v>#N/A</v>
      </c>
    </row>
    <row r="105">
      <c r="A105" s="51"/>
      <c r="B105" s="52"/>
      <c r="C105" s="53" t="str">
        <f t="shared" si="1"/>
        <v>01/2022</v>
      </c>
      <c r="D105" s="99">
        <v>44585.0</v>
      </c>
      <c r="E105" s="79" t="s">
        <v>287</v>
      </c>
      <c r="F105" s="80"/>
      <c r="G105" s="57" t="s">
        <v>280</v>
      </c>
      <c r="H105" s="58" t="str">
        <f>IF(G105="","",VLOOKUP($G105,'Quy chuẩn hạch toán'!$B:$E,2,0))</f>
        <v>521</v>
      </c>
      <c r="I105" s="58" t="str">
        <f>IF(H105="","",VLOOKUP($G105,'Quy chuẩn hạch toán'!$B:$E,3,0))</f>
        <v>1111</v>
      </c>
      <c r="J105" s="59">
        <v>8000000.0</v>
      </c>
      <c r="K105" s="60"/>
      <c r="L105" s="61"/>
      <c r="M105" s="62"/>
      <c r="N105" s="63"/>
      <c r="O105" s="64"/>
      <c r="P105" s="64"/>
      <c r="Q105" s="65"/>
      <c r="R105" s="64"/>
      <c r="S105" s="66"/>
      <c r="T105" s="64"/>
      <c r="U105" s="67" t="s">
        <v>175</v>
      </c>
      <c r="V105" s="64"/>
      <c r="W105" s="83" t="s">
        <v>182</v>
      </c>
      <c r="X105" s="64"/>
      <c r="Y105" s="69" t="s">
        <v>176</v>
      </c>
      <c r="Z105" s="64"/>
      <c r="AA105" s="70" t="s">
        <v>183</v>
      </c>
      <c r="AB105" s="64"/>
      <c r="AC105" s="70"/>
      <c r="AD105" s="64" t="str">
        <f>IF(AC105&lt;&gt;0,VLOOKUP(AC105,DM_NV,2,0),"")</f>
        <v/>
      </c>
      <c r="AE105" s="83" t="s">
        <v>181</v>
      </c>
      <c r="AF105" s="64" t="str">
        <f>IF(AE105&lt;&gt;0,VLOOKUP(AE105,DM_NV,2,0),"")</f>
        <v>#N/A</v>
      </c>
    </row>
    <row r="106">
      <c r="A106" s="51"/>
      <c r="B106" s="52"/>
      <c r="C106" s="53" t="str">
        <f t="shared" si="1"/>
        <v>01/2022</v>
      </c>
      <c r="D106" s="99">
        <v>44585.0</v>
      </c>
      <c r="E106" s="79" t="s">
        <v>288</v>
      </c>
      <c r="F106" s="80"/>
      <c r="G106" s="100" t="s">
        <v>282</v>
      </c>
      <c r="H106" s="58" t="str">
        <f>IF(G106="","",VLOOKUP($G106,'Quy chuẩn hạch toán'!$B:$E,2,0))</f>
        <v>1111</v>
      </c>
      <c r="I106" s="58" t="str">
        <f>IF(H106="","",VLOOKUP($G106,'Quy chuẩn hạch toán'!$B:$E,3,0))</f>
        <v>131</v>
      </c>
      <c r="J106" s="101">
        <v>1.6E8</v>
      </c>
      <c r="K106" s="60"/>
      <c r="L106" s="61"/>
      <c r="M106" s="62"/>
      <c r="N106" s="63"/>
      <c r="O106" s="64" t="str">
        <f>IF($Q106&lt;&gt;0,VLOOKUP($Q106,DM_KM,3,0),"")</f>
        <v/>
      </c>
      <c r="P106" s="64" t="str">
        <f>IF($Q106&lt;&gt;0,VLOOKUP($Q106,DM_KM,5,0),"")</f>
        <v/>
      </c>
      <c r="Q106" s="65"/>
      <c r="R106" s="64" t="str">
        <f>IF(S106&lt;&gt;0,VLOOKUP(S106,DM_DUAN,3,0),"")</f>
        <v>#N/A</v>
      </c>
      <c r="S106" s="66" t="str">
        <f>IF(U106&lt;&gt;0,VLOOKUP(U106,DM_DUAN,3,0),"")</f>
        <v>THANHNAM</v>
      </c>
      <c r="T106" s="64"/>
      <c r="U106" s="67" t="s">
        <v>175</v>
      </c>
      <c r="V106" s="64" t="str">
        <f>IF(W106&lt;&gt;0,VLOOKUP(W106,DM_DUAN,3,0),"")</f>
        <v>#N/A</v>
      </c>
      <c r="W106" s="83" t="s">
        <v>182</v>
      </c>
      <c r="X106" s="64" t="str">
        <f>IF(Y106&lt;&gt;0,VLOOKUP(Y106,DM_DUAN,3,0),"")</f>
        <v>#N/A</v>
      </c>
      <c r="Y106" s="69" t="s">
        <v>176</v>
      </c>
      <c r="Z106" s="64" t="str">
        <f>IF(AA106&lt;&gt;0,VLOOKUP(AA106,DM_DUAN,3,0),"")</f>
        <v>#N/A</v>
      </c>
      <c r="AA106" s="70" t="s">
        <v>183</v>
      </c>
      <c r="AB106" s="64" t="str">
        <f>IF(AC106&lt;&gt;0,VLOOKUP(AC106,DM_DUAN,3,0),"")</f>
        <v/>
      </c>
      <c r="AC106" s="70"/>
      <c r="AD106" s="64" t="str">
        <f>IF(AC106&lt;&gt;0,VLOOKUP(AC106,DM_NV,2,0),"")</f>
        <v/>
      </c>
      <c r="AE106" s="83" t="s">
        <v>283</v>
      </c>
      <c r="AF106" s="64" t="str">
        <f>IF(AE106&lt;&gt;0,VLOOKUP(AE106,DM_NV,2,0),"")</f>
        <v>#N/A</v>
      </c>
    </row>
    <row r="107">
      <c r="A107" s="51"/>
      <c r="B107" s="52"/>
      <c r="C107" s="53" t="str">
        <f t="shared" si="1"/>
        <v>01/2022</v>
      </c>
      <c r="D107" s="99">
        <v>44585.0</v>
      </c>
      <c r="E107" s="55" t="s">
        <v>289</v>
      </c>
      <c r="F107" s="56"/>
      <c r="G107" s="57" t="s">
        <v>266</v>
      </c>
      <c r="H107" s="58" t="str">
        <f>IF(G107="","",VLOOKUP($G107,'Quy chuẩn hạch toán'!$B:$E,2,0))</f>
        <v>642</v>
      </c>
      <c r="I107" s="58" t="str">
        <f>IF(H107="","",VLOOKUP($G107,'Quy chuẩn hạch toán'!$B:$E,3,0))</f>
        <v>3341</v>
      </c>
      <c r="J107" s="59">
        <v>5181319.0</v>
      </c>
      <c r="K107" s="60"/>
      <c r="L107" s="61"/>
      <c r="M107" s="62"/>
      <c r="N107" s="63"/>
      <c r="O107" s="64" t="str">
        <f>IF($Q107&lt;&gt;0,VLOOKUP($Q107,DM_KM,3,0),"")</f>
        <v>#N/A</v>
      </c>
      <c r="P107" s="64" t="str">
        <f>IF($Q107&lt;&gt;0,VLOOKUP($Q107,DM_KM,5,0),"")</f>
        <v>#N/A</v>
      </c>
      <c r="Q107" s="65" t="s">
        <v>267</v>
      </c>
      <c r="R107" s="64" t="str">
        <f>IF(S107&lt;&gt;0,VLOOKUP(S107,DM_DUAN,3,0),"")</f>
        <v>#N/A</v>
      </c>
      <c r="S107" s="66" t="str">
        <f>IF(U107&lt;&gt;0,VLOOKUP(U107,DM_DUAN,3,0),"")</f>
        <v/>
      </c>
      <c r="T107" s="64"/>
      <c r="U107" s="93"/>
      <c r="V107" s="64" t="str">
        <f>IF(W107&lt;&gt;0,VLOOKUP(W107,DM_DUAN,3,0),"")</f>
        <v/>
      </c>
      <c r="W107" s="68"/>
      <c r="X107" s="64" t="str">
        <f>IF(Y107&lt;&gt;0,VLOOKUP(Y107,DM_DUAN,3,0),"")</f>
        <v>#N/A</v>
      </c>
      <c r="Y107" s="69" t="s">
        <v>207</v>
      </c>
      <c r="Z107" s="64" t="str">
        <f>IF(AA107&lt;&gt;0,VLOOKUP(AA107,DM_DUAN,3,0),"")</f>
        <v>#N/A</v>
      </c>
      <c r="AA107" s="70" t="s">
        <v>208</v>
      </c>
      <c r="AB107" s="64" t="str">
        <f>IF(AC107&lt;&gt;0,VLOOKUP(AC107,DM_DUAN,3,0),"")</f>
        <v/>
      </c>
      <c r="AC107" s="85"/>
      <c r="AD107" s="64" t="str">
        <f>IF(AC107&lt;&gt;0,VLOOKUP(AC107,DM_NV,2,0),"")</f>
        <v/>
      </c>
      <c r="AE107" s="68"/>
      <c r="AF107" s="64" t="str">
        <f>IF(AE107&lt;&gt;0,VLOOKUP(AE107,DM_NV,2,0),"")</f>
        <v/>
      </c>
    </row>
    <row r="108">
      <c r="A108" s="51"/>
      <c r="B108" s="52"/>
      <c r="C108" s="53" t="str">
        <f t="shared" si="1"/>
        <v>01/2022</v>
      </c>
      <c r="D108" s="99">
        <v>44585.0</v>
      </c>
      <c r="E108" s="55" t="s">
        <v>289</v>
      </c>
      <c r="F108" s="56"/>
      <c r="G108" s="57" t="s">
        <v>266</v>
      </c>
      <c r="H108" s="58" t="str">
        <f>IF(G108="","",VLOOKUP($G108,'Quy chuẩn hạch toán'!$B:$E,2,0))</f>
        <v>642</v>
      </c>
      <c r="I108" s="58" t="str">
        <f>IF(H108="","",VLOOKUP($G108,'Quy chuẩn hạch toán'!$B:$E,3,0))</f>
        <v>3341</v>
      </c>
      <c r="J108" s="59">
        <v>3454212.0</v>
      </c>
      <c r="K108" s="60"/>
      <c r="L108" s="61"/>
      <c r="M108" s="62"/>
      <c r="N108" s="63"/>
      <c r="O108" s="64" t="str">
        <f>IF($Q108&lt;&gt;0,VLOOKUP($Q108,DM_KM,3,0),"")</f>
        <v>#N/A</v>
      </c>
      <c r="P108" s="64" t="str">
        <f>IF($Q108&lt;&gt;0,VLOOKUP($Q108,DM_KM,5,0),"")</f>
        <v>#N/A</v>
      </c>
      <c r="Q108" s="65" t="s">
        <v>267</v>
      </c>
      <c r="R108" s="64" t="str">
        <f>IF(S108&lt;&gt;0,VLOOKUP(S108,DM_DUAN,3,0),"")</f>
        <v>#N/A</v>
      </c>
      <c r="S108" s="66" t="str">
        <f>IF(U108&lt;&gt;0,VLOOKUP(U108,DM_DUAN,3,0),"")</f>
        <v/>
      </c>
      <c r="T108" s="64"/>
      <c r="U108" s="93"/>
      <c r="V108" s="64" t="str">
        <f>IF(W108&lt;&gt;0,VLOOKUP(W108,DM_DUAN,3,0),"")</f>
        <v/>
      </c>
      <c r="W108" s="68"/>
      <c r="X108" s="64" t="str">
        <f>IF(Y108&lt;&gt;0,VLOOKUP(Y108,DM_DUAN,3,0),"")</f>
        <v>#N/A</v>
      </c>
      <c r="Y108" s="69" t="s">
        <v>207</v>
      </c>
      <c r="Z108" s="64" t="str">
        <f>IF(AA108&lt;&gt;0,VLOOKUP(AA108,DM_DUAN,3,0),"")</f>
        <v>#N/A</v>
      </c>
      <c r="AA108" s="70" t="s">
        <v>210</v>
      </c>
      <c r="AB108" s="64" t="str">
        <f>IF(AC108&lt;&gt;0,VLOOKUP(AC108,DM_DUAN,3,0),"")</f>
        <v/>
      </c>
      <c r="AC108" s="70"/>
      <c r="AD108" s="64" t="str">
        <f>IF(AC108&lt;&gt;0,VLOOKUP(AC108,DM_NV,2,0),"")</f>
        <v/>
      </c>
      <c r="AE108" s="68"/>
      <c r="AF108" s="64" t="str">
        <f>IF(AE108&lt;&gt;0,VLOOKUP(AE108,DM_NV,2,0),"")</f>
        <v/>
      </c>
    </row>
    <row r="109">
      <c r="A109" s="51"/>
      <c r="B109" s="52"/>
      <c r="C109" s="53" t="str">
        <f t="shared" si="1"/>
        <v>01/2022</v>
      </c>
      <c r="D109" s="99">
        <v>44585.0</v>
      </c>
      <c r="E109" s="55" t="s">
        <v>289</v>
      </c>
      <c r="F109" s="56"/>
      <c r="G109" s="57" t="s">
        <v>266</v>
      </c>
      <c r="H109" s="58" t="str">
        <f>IF(G109="","",VLOOKUP($G109,'Quy chuẩn hạch toán'!$B:$E,2,0))</f>
        <v>642</v>
      </c>
      <c r="I109" s="58" t="str">
        <f>IF(H109="","",VLOOKUP($G109,'Quy chuẩn hạch toán'!$B:$E,3,0))</f>
        <v>3341</v>
      </c>
      <c r="J109" s="59">
        <v>6908425.0</v>
      </c>
      <c r="K109" s="60"/>
      <c r="L109" s="61"/>
      <c r="M109" s="62"/>
      <c r="N109" s="63"/>
      <c r="O109" s="64" t="str">
        <f>IF($Q109&lt;&gt;0,VLOOKUP($Q109,DM_KM,3,0),"")</f>
        <v>#N/A</v>
      </c>
      <c r="P109" s="64" t="str">
        <f>IF($Q109&lt;&gt;0,VLOOKUP($Q109,DM_KM,5,0),"")</f>
        <v>#N/A</v>
      </c>
      <c r="Q109" s="65" t="s">
        <v>267</v>
      </c>
      <c r="R109" s="64" t="str">
        <f>IF(S109&lt;&gt;0,VLOOKUP(S109,DM_DUAN,3,0),"")</f>
        <v>#N/A</v>
      </c>
      <c r="S109" s="66" t="str">
        <f>IF(U109&lt;&gt;0,VLOOKUP(U109,DM_DUAN,3,0),"")</f>
        <v/>
      </c>
      <c r="T109" s="64"/>
      <c r="U109" s="93"/>
      <c r="V109" s="64" t="str">
        <f>IF(W109&lt;&gt;0,VLOOKUP(W109,DM_DUAN,3,0),"")</f>
        <v/>
      </c>
      <c r="W109" s="68"/>
      <c r="X109" s="64" t="str">
        <f>IF(Y109&lt;&gt;0,VLOOKUP(Y109,DM_DUAN,3,0),"")</f>
        <v>#N/A</v>
      </c>
      <c r="Y109" s="69" t="s">
        <v>207</v>
      </c>
      <c r="Z109" s="64" t="str">
        <f>IF(AA109&lt;&gt;0,VLOOKUP(AA109,DM_DUAN,3,0),"")</f>
        <v>#N/A</v>
      </c>
      <c r="AA109" s="70" t="s">
        <v>183</v>
      </c>
      <c r="AB109" s="64" t="str">
        <f>IF(AC109&lt;&gt;0,VLOOKUP(AC109,DM_DUAN,3,0),"")</f>
        <v/>
      </c>
      <c r="AC109" s="70"/>
      <c r="AD109" s="64" t="str">
        <f>IF(AC109&lt;&gt;0,VLOOKUP(AC109,DM_NV,2,0),"")</f>
        <v/>
      </c>
      <c r="AE109" s="68"/>
      <c r="AF109" s="64" t="str">
        <f>IF(AE109&lt;&gt;0,VLOOKUP(AE109,DM_NV,2,0),"")</f>
        <v/>
      </c>
    </row>
    <row r="110">
      <c r="A110" s="51"/>
      <c r="B110" s="52"/>
      <c r="C110" s="53" t="str">
        <f t="shared" si="1"/>
        <v>01/2022</v>
      </c>
      <c r="D110" s="99">
        <v>44585.0</v>
      </c>
      <c r="E110" s="55" t="s">
        <v>289</v>
      </c>
      <c r="F110" s="56"/>
      <c r="G110" s="57" t="s">
        <v>266</v>
      </c>
      <c r="H110" s="58" t="str">
        <f>IF(G110="","",VLOOKUP($G110,'Quy chuẩn hạch toán'!$B:$E,2,0))</f>
        <v>642</v>
      </c>
      <c r="I110" s="58" t="str">
        <f>IF(H110="","",VLOOKUP($G110,'Quy chuẩn hạch toán'!$B:$E,3,0))</f>
        <v>3341</v>
      </c>
      <c r="J110" s="59">
        <v>2590659.0</v>
      </c>
      <c r="K110" s="60"/>
      <c r="L110" s="61"/>
      <c r="M110" s="62"/>
      <c r="N110" s="63"/>
      <c r="O110" s="64" t="str">
        <f>IF($Q110&lt;&gt;0,VLOOKUP($Q110,DM_KM,3,0),"")</f>
        <v>#N/A</v>
      </c>
      <c r="P110" s="64" t="str">
        <f>IF($Q110&lt;&gt;0,VLOOKUP($Q110,DM_KM,5,0),"")</f>
        <v>#N/A</v>
      </c>
      <c r="Q110" s="65" t="s">
        <v>267</v>
      </c>
      <c r="R110" s="64" t="str">
        <f>IF(S110&lt;&gt;0,VLOOKUP(S110,DM_DUAN,3,0),"")</f>
        <v>#N/A</v>
      </c>
      <c r="S110" s="66" t="str">
        <f>IF(U110&lt;&gt;0,VLOOKUP(U110,DM_DUAN,3,0),"")</f>
        <v/>
      </c>
      <c r="T110" s="64"/>
      <c r="U110" s="93"/>
      <c r="V110" s="64" t="str">
        <f>IF(W110&lt;&gt;0,VLOOKUP(W110,DM_DUAN,3,0),"")</f>
        <v/>
      </c>
      <c r="W110" s="68"/>
      <c r="X110" s="64" t="str">
        <f>IF(Y110&lt;&gt;0,VLOOKUP(Y110,DM_DUAN,3,0),"")</f>
        <v>#N/A</v>
      </c>
      <c r="Y110" s="69" t="s">
        <v>207</v>
      </c>
      <c r="Z110" s="64" t="str">
        <f>IF(AA110&lt;&gt;0,VLOOKUP(AA110,DM_DUAN,3,0),"")</f>
        <v>#N/A</v>
      </c>
      <c r="AA110" s="70" t="s">
        <v>177</v>
      </c>
      <c r="AB110" s="64" t="str">
        <f>IF(AC110&lt;&gt;0,VLOOKUP(AC110,DM_DUAN,3,0),"")</f>
        <v/>
      </c>
      <c r="AC110" s="70"/>
      <c r="AD110" s="64" t="str">
        <f>IF(AC110&lt;&gt;0,VLOOKUP(AC110,DM_NV,2,0),"")</f>
        <v/>
      </c>
      <c r="AE110" s="68"/>
      <c r="AF110" s="64" t="str">
        <f>IF(AE110&lt;&gt;0,VLOOKUP(AE110,DM_NV,2,0),"")</f>
        <v/>
      </c>
      <c r="AG110" s="98" t="s">
        <v>290</v>
      </c>
    </row>
    <row r="111">
      <c r="A111" s="51"/>
      <c r="B111" s="52"/>
      <c r="C111" s="53" t="str">
        <f t="shared" si="1"/>
        <v>01/2022</v>
      </c>
      <c r="D111" s="99">
        <v>44585.0</v>
      </c>
      <c r="E111" s="55" t="s">
        <v>291</v>
      </c>
      <c r="F111" s="56"/>
      <c r="G111" s="57" t="s">
        <v>292</v>
      </c>
      <c r="H111" s="58" t="str">
        <f>IF(G111="","",VLOOKUP($G111,'Quy chuẩn hạch toán'!$B:$E,2,0))</f>
        <v>154</v>
      </c>
      <c r="I111" s="58" t="str">
        <f>IF(H111="","",VLOOKUP($G111,'Quy chuẩn hạch toán'!$B:$E,3,0))</f>
        <v>3341</v>
      </c>
      <c r="J111" s="59">
        <v>7000000.0</v>
      </c>
      <c r="K111" s="60"/>
      <c r="L111" s="61"/>
      <c r="M111" s="62"/>
      <c r="N111" s="63"/>
      <c r="O111" s="64" t="str">
        <f>IF($Q111&lt;&gt;0,VLOOKUP($Q111,DM_KM,3,0),"")</f>
        <v>CPNS</v>
      </c>
      <c r="P111" s="64">
        <f>IF($Q111&lt;&gt;0,VLOOKUP($Q111,DM_KM,5,0),"")</f>
        <v>642</v>
      </c>
      <c r="Q111" s="65" t="s">
        <v>293</v>
      </c>
      <c r="R111" s="64" t="str">
        <f>IF(S111&lt;&gt;0,VLOOKUP(S111,DM_DUAN,3,0),"")</f>
        <v>#N/A</v>
      </c>
      <c r="S111" s="66" t="str">
        <f>IF(U111&lt;&gt;0,VLOOKUP(U111,DM_DUAN,3,0),"")</f>
        <v/>
      </c>
      <c r="T111" s="64"/>
      <c r="U111" s="93"/>
      <c r="V111" s="64" t="str">
        <f>IF(W111&lt;&gt;0,VLOOKUP(W111,DM_DUAN,3,0),"")</f>
        <v/>
      </c>
      <c r="W111" s="68"/>
      <c r="X111" s="64" t="str">
        <f>IF(Y111&lt;&gt;0,VLOOKUP(Y111,DM_DUAN,3,0),"")</f>
        <v>#N/A</v>
      </c>
      <c r="Y111" s="69" t="s">
        <v>176</v>
      </c>
      <c r="Z111" s="64" t="str">
        <f>IF(AA111&lt;&gt;0,VLOOKUP(AA111,DM_DUAN,3,0),"")</f>
        <v>#N/A</v>
      </c>
      <c r="AA111" s="70" t="s">
        <v>177</v>
      </c>
      <c r="AB111" s="64" t="str">
        <f>IF(AC111&lt;&gt;0,VLOOKUP(AC111,DM_DUAN,3,0),"")</f>
        <v/>
      </c>
      <c r="AC111" s="85"/>
      <c r="AD111" s="64" t="str">
        <f>IF(AC111&lt;&gt;0,VLOOKUP(AC111,DM_NV,2,0),"")</f>
        <v/>
      </c>
      <c r="AE111" s="68"/>
      <c r="AF111" s="64" t="str">
        <f>IF(AE111&lt;&gt;0,VLOOKUP(AE111,DM_NV,2,0),"")</f>
        <v/>
      </c>
      <c r="AG111" s="98" t="s">
        <v>290</v>
      </c>
    </row>
    <row r="112">
      <c r="A112" s="51"/>
      <c r="B112" s="52"/>
      <c r="C112" s="53" t="str">
        <f t="shared" si="1"/>
        <v>01/2022</v>
      </c>
      <c r="D112" s="99">
        <v>44585.0</v>
      </c>
      <c r="E112" s="55" t="s">
        <v>294</v>
      </c>
      <c r="F112" s="56"/>
      <c r="G112" s="57" t="s">
        <v>292</v>
      </c>
      <c r="H112" s="58" t="str">
        <f>IF(G112="","",VLOOKUP($G112,'Quy chuẩn hạch toán'!$B:$E,2,0))</f>
        <v>154</v>
      </c>
      <c r="I112" s="58" t="str">
        <f>IF(H112="","",VLOOKUP($G112,'Quy chuẩn hạch toán'!$B:$E,3,0))</f>
        <v>3341</v>
      </c>
      <c r="J112" s="59">
        <v>7000000.0</v>
      </c>
      <c r="K112" s="60"/>
      <c r="L112" s="61"/>
      <c r="M112" s="62"/>
      <c r="N112" s="63"/>
      <c r="O112" s="64" t="str">
        <f>IF($Q112&lt;&gt;0,VLOOKUP($Q112,DM_KM,3,0),"")</f>
        <v>CPNS</v>
      </c>
      <c r="P112" s="64">
        <f>IF($Q112&lt;&gt;0,VLOOKUP($Q112,DM_KM,5,0),"")</f>
        <v>642</v>
      </c>
      <c r="Q112" s="65" t="s">
        <v>293</v>
      </c>
      <c r="R112" s="64" t="str">
        <f>IF(S112&lt;&gt;0,VLOOKUP(S112,DM_DUAN,3,0),"")</f>
        <v>#N/A</v>
      </c>
      <c r="S112" s="66" t="str">
        <f>IF(U112&lt;&gt;0,VLOOKUP(U112,DM_DUAN,3,0),"")</f>
        <v/>
      </c>
      <c r="T112" s="64"/>
      <c r="U112" s="93"/>
      <c r="V112" s="64" t="str">
        <f>IF(W112&lt;&gt;0,VLOOKUP(W112,DM_DUAN,3,0),"")</f>
        <v/>
      </c>
      <c r="W112" s="68"/>
      <c r="X112" s="64" t="str">
        <f>IF(Y112&lt;&gt;0,VLOOKUP(Y112,DM_DUAN,3,0),"")</f>
        <v>#N/A</v>
      </c>
      <c r="Y112" s="69" t="s">
        <v>176</v>
      </c>
      <c r="Z112" s="64" t="str">
        <f>IF(AA112&lt;&gt;0,VLOOKUP(AA112,DM_DUAN,3,0),"")</f>
        <v>#N/A</v>
      </c>
      <c r="AA112" s="70" t="s">
        <v>208</v>
      </c>
      <c r="AB112" s="64" t="str">
        <f>IF(AC112&lt;&gt;0,VLOOKUP(AC112,DM_DUAN,3,0),"")</f>
        <v/>
      </c>
      <c r="AC112" s="85"/>
      <c r="AD112" s="64" t="str">
        <f>IF(AC112&lt;&gt;0,VLOOKUP(AC112,DM_NV,2,0),"")</f>
        <v/>
      </c>
      <c r="AE112" s="68"/>
      <c r="AF112" s="64" t="str">
        <f>IF(AE112&lt;&gt;0,VLOOKUP(AE112,DM_NV,2,0),"")</f>
        <v/>
      </c>
      <c r="AG112" s="98" t="s">
        <v>213</v>
      </c>
    </row>
    <row r="113">
      <c r="A113" s="51"/>
      <c r="B113" s="52"/>
      <c r="C113" s="53" t="str">
        <f t="shared" si="1"/>
        <v>01/2022</v>
      </c>
      <c r="D113" s="99">
        <v>44585.0</v>
      </c>
      <c r="E113" s="55" t="s">
        <v>295</v>
      </c>
      <c r="F113" s="56"/>
      <c r="G113" s="57" t="s">
        <v>292</v>
      </c>
      <c r="H113" s="58" t="str">
        <f>IF(G113="","",VLOOKUP($G113,'Quy chuẩn hạch toán'!$B:$E,2,0))</f>
        <v>154</v>
      </c>
      <c r="I113" s="58" t="str">
        <f>IF(H113="","",VLOOKUP($G113,'Quy chuẩn hạch toán'!$B:$E,3,0))</f>
        <v>3341</v>
      </c>
      <c r="J113" s="59">
        <v>7000000.0</v>
      </c>
      <c r="K113" s="60"/>
      <c r="L113" s="61"/>
      <c r="M113" s="62"/>
      <c r="N113" s="63"/>
      <c r="O113" s="64" t="str">
        <f>IF($Q113&lt;&gt;0,VLOOKUP($Q113,DM_KM,3,0),"")</f>
        <v>CPNS</v>
      </c>
      <c r="P113" s="64">
        <f>IF($Q113&lt;&gt;0,VLOOKUP($Q113,DM_KM,5,0),"")</f>
        <v>642</v>
      </c>
      <c r="Q113" s="65" t="s">
        <v>293</v>
      </c>
      <c r="R113" s="64" t="str">
        <f>IF(S113&lt;&gt;0,VLOOKUP(S113,DM_DUAN,3,0),"")</f>
        <v>#N/A</v>
      </c>
      <c r="S113" s="66" t="str">
        <f>IF(U113&lt;&gt;0,VLOOKUP(U113,DM_DUAN,3,0),"")</f>
        <v/>
      </c>
      <c r="T113" s="64"/>
      <c r="U113" s="93"/>
      <c r="V113" s="64" t="str">
        <f>IF(W113&lt;&gt;0,VLOOKUP(W113,DM_DUAN,3,0),"")</f>
        <v/>
      </c>
      <c r="W113" s="68"/>
      <c r="X113" s="64" t="str">
        <f>IF(Y113&lt;&gt;0,VLOOKUP(Y113,DM_DUAN,3,0),"")</f>
        <v>#N/A</v>
      </c>
      <c r="Y113" s="69" t="s">
        <v>176</v>
      </c>
      <c r="Z113" s="64" t="str">
        <f>IF(AA113&lt;&gt;0,VLOOKUP(AA113,DM_DUAN,3,0),"")</f>
        <v>#N/A</v>
      </c>
      <c r="AA113" s="70" t="s">
        <v>183</v>
      </c>
      <c r="AB113" s="64" t="str">
        <f>IF(AC113&lt;&gt;0,VLOOKUP(AC113,DM_DUAN,3,0),"")</f>
        <v/>
      </c>
      <c r="AC113" s="85"/>
      <c r="AD113" s="64" t="str">
        <f>IF(AC113&lt;&gt;0,VLOOKUP(AC113,DM_NV,2,0),"")</f>
        <v/>
      </c>
      <c r="AE113" s="68"/>
      <c r="AF113" s="64" t="str">
        <f>IF(AE113&lt;&gt;0,VLOOKUP(AE113,DM_NV,2,0),"")</f>
        <v/>
      </c>
    </row>
    <row r="114">
      <c r="A114" s="51"/>
      <c r="B114" s="52"/>
      <c r="C114" s="53" t="str">
        <f t="shared" si="1"/>
        <v>01/2022</v>
      </c>
      <c r="D114" s="99">
        <v>44585.0</v>
      </c>
      <c r="E114" s="55" t="s">
        <v>296</v>
      </c>
      <c r="F114" s="56"/>
      <c r="G114" s="57" t="s">
        <v>297</v>
      </c>
      <c r="H114" s="58" t="str">
        <f>IF(G114="","",VLOOKUP($G114,'Quy chuẩn hạch toán'!$B:$E,2,0))</f>
        <v>154</v>
      </c>
      <c r="I114" s="58" t="str">
        <f>IF(H114="","",VLOOKUP($G114,'Quy chuẩn hạch toán'!$B:$E,3,0))</f>
        <v>3341</v>
      </c>
      <c r="J114" s="59">
        <f>11538462+1185000</f>
        <v>12723462</v>
      </c>
      <c r="K114" s="60"/>
      <c r="L114" s="61"/>
      <c r="M114" s="62"/>
      <c r="N114" s="63"/>
      <c r="O114" s="64" t="str">
        <f>IF($Q114&lt;&gt;0,VLOOKUP($Q114,DM_KM,3,0),"")</f>
        <v>#N/A</v>
      </c>
      <c r="P114" s="64" t="str">
        <f>IF($Q114&lt;&gt;0,VLOOKUP($Q114,DM_KM,5,0),"")</f>
        <v>#N/A</v>
      </c>
      <c r="Q114" s="65" t="s">
        <v>255</v>
      </c>
      <c r="R114" s="64" t="str">
        <f>IF(S114&lt;&gt;0,VLOOKUP(S114,DM_DUAN,3,0),"")</f>
        <v>#N/A</v>
      </c>
      <c r="S114" s="66" t="str">
        <f>IF(U114&lt;&gt;0,VLOOKUP(U114,DM_DUAN,3,0),"")</f>
        <v/>
      </c>
      <c r="T114" s="64"/>
      <c r="U114" s="93"/>
      <c r="V114" s="64" t="str">
        <f>IF(W114&lt;&gt;0,VLOOKUP(W114,DM_DUAN,3,0),"")</f>
        <v/>
      </c>
      <c r="W114" s="68"/>
      <c r="X114" s="64" t="str">
        <f>IF(Y114&lt;&gt;0,VLOOKUP(Y114,DM_DUAN,3,0),"")</f>
        <v>#N/A</v>
      </c>
      <c r="Y114" s="69" t="s">
        <v>176</v>
      </c>
      <c r="Z114" s="64" t="str">
        <f>IF(AA114&lt;&gt;0,VLOOKUP(AA114,DM_DUAN,3,0),"")</f>
        <v>#N/A</v>
      </c>
      <c r="AA114" s="70" t="s">
        <v>208</v>
      </c>
      <c r="AB114" s="64" t="str">
        <f>IF(AC114&lt;&gt;0,VLOOKUP(AC114,DM_DUAN,3,0),"")</f>
        <v/>
      </c>
      <c r="AC114" s="85"/>
      <c r="AD114" s="64" t="str">
        <f>IF(AC114&lt;&gt;0,VLOOKUP(AC114,DM_NV,2,0),"")</f>
        <v/>
      </c>
      <c r="AE114" s="68"/>
      <c r="AF114" s="64" t="str">
        <f>IF(AE114&lt;&gt;0,VLOOKUP(AE114,DM_NV,2,0),"")</f>
        <v/>
      </c>
    </row>
    <row r="115">
      <c r="A115" s="51"/>
      <c r="B115" s="52"/>
      <c r="C115" s="53" t="str">
        <f t="shared" si="1"/>
        <v>01/2022</v>
      </c>
      <c r="D115" s="99">
        <v>44585.0</v>
      </c>
      <c r="E115" s="55" t="s">
        <v>298</v>
      </c>
      <c r="F115" s="56"/>
      <c r="G115" s="57" t="s">
        <v>297</v>
      </c>
      <c r="H115" s="58" t="str">
        <f>IF(G115="","",VLOOKUP($G115,'Quy chuẩn hạch toán'!$B:$E,2,0))</f>
        <v>154</v>
      </c>
      <c r="I115" s="58" t="str">
        <f>IF(H115="","",VLOOKUP($G115,'Quy chuẩn hạch toán'!$B:$E,3,0))</f>
        <v>3341</v>
      </c>
      <c r="J115" s="59">
        <v>1.0076923E7</v>
      </c>
      <c r="K115" s="60"/>
      <c r="L115" s="61"/>
      <c r="M115" s="62"/>
      <c r="N115" s="63"/>
      <c r="O115" s="64" t="str">
        <f>IF($Q115&lt;&gt;0,VLOOKUP($Q115,DM_KM,3,0),"")</f>
        <v>#N/A</v>
      </c>
      <c r="P115" s="64" t="str">
        <f>IF($Q115&lt;&gt;0,VLOOKUP($Q115,DM_KM,5,0),"")</f>
        <v>#N/A</v>
      </c>
      <c r="Q115" s="65" t="s">
        <v>255</v>
      </c>
      <c r="R115" s="64" t="str">
        <f>IF(S115&lt;&gt;0,VLOOKUP(S115,DM_DUAN,3,0),"")</f>
        <v>#N/A</v>
      </c>
      <c r="S115" s="66" t="str">
        <f>IF(U115&lt;&gt;0,VLOOKUP(U115,DM_DUAN,3,0),"")</f>
        <v/>
      </c>
      <c r="T115" s="64"/>
      <c r="U115" s="93"/>
      <c r="V115" s="64" t="str">
        <f>IF(W115&lt;&gt;0,VLOOKUP(W115,DM_DUAN,3,0),"")</f>
        <v/>
      </c>
      <c r="W115" s="68"/>
      <c r="X115" s="64" t="str">
        <f>IF(Y115&lt;&gt;0,VLOOKUP(Y115,DM_DUAN,3,0),"")</f>
        <v>#N/A</v>
      </c>
      <c r="Y115" s="69" t="s">
        <v>176</v>
      </c>
      <c r="Z115" s="64" t="str">
        <f>IF(AA115&lt;&gt;0,VLOOKUP(AA115,DM_DUAN,3,0),"")</f>
        <v>#N/A</v>
      </c>
      <c r="AA115" s="70" t="s">
        <v>210</v>
      </c>
      <c r="AB115" s="64" t="str">
        <f>IF(AC115&lt;&gt;0,VLOOKUP(AC115,DM_DUAN,3,0),"")</f>
        <v/>
      </c>
      <c r="AC115" s="70"/>
      <c r="AD115" s="64" t="str">
        <f>IF(AC115&lt;&gt;0,VLOOKUP(AC115,DM_NV,2,0),"")</f>
        <v/>
      </c>
      <c r="AE115" s="68"/>
      <c r="AF115" s="64" t="str">
        <f>IF(AE115&lt;&gt;0,VLOOKUP(AE115,DM_NV,2,0),"")</f>
        <v/>
      </c>
    </row>
    <row r="116">
      <c r="A116" s="51"/>
      <c r="B116" s="52"/>
      <c r="C116" s="53" t="str">
        <f t="shared" si="1"/>
        <v>01/2022</v>
      </c>
      <c r="D116" s="99">
        <v>44585.0</v>
      </c>
      <c r="E116" s="55" t="s">
        <v>299</v>
      </c>
      <c r="F116" s="56"/>
      <c r="G116" s="57" t="s">
        <v>297</v>
      </c>
      <c r="H116" s="58" t="str">
        <f>IF(G116="","",VLOOKUP($G116,'Quy chuẩn hạch toán'!$B:$E,2,0))</f>
        <v>154</v>
      </c>
      <c r="I116" s="58" t="str">
        <f>IF(H116="","",VLOOKUP($G116,'Quy chuẩn hạch toán'!$B:$E,3,0))</f>
        <v>3341</v>
      </c>
      <c r="J116" s="59">
        <f>16673077+2154000</f>
        <v>18827077</v>
      </c>
      <c r="K116" s="60"/>
      <c r="L116" s="61"/>
      <c r="M116" s="62"/>
      <c r="N116" s="63"/>
      <c r="O116" s="64" t="str">
        <f>IF($Q116&lt;&gt;0,VLOOKUP($Q116,DM_KM,3,0),"")</f>
        <v>#N/A</v>
      </c>
      <c r="P116" s="64" t="str">
        <f>IF($Q116&lt;&gt;0,VLOOKUP($Q116,DM_KM,5,0),"")</f>
        <v>#N/A</v>
      </c>
      <c r="Q116" s="65" t="s">
        <v>255</v>
      </c>
      <c r="R116" s="64" t="str">
        <f>IF(S116&lt;&gt;0,VLOOKUP(S116,DM_DUAN,3,0),"")</f>
        <v>#N/A</v>
      </c>
      <c r="S116" s="66" t="str">
        <f>IF(U116&lt;&gt;0,VLOOKUP(U116,DM_DUAN,3,0),"")</f>
        <v/>
      </c>
      <c r="T116" s="64"/>
      <c r="U116" s="93"/>
      <c r="V116" s="64" t="str">
        <f>IF(W116&lt;&gt;0,VLOOKUP(W116,DM_DUAN,3,0),"")</f>
        <v/>
      </c>
      <c r="W116" s="68"/>
      <c r="X116" s="64" t="str">
        <f>IF(Y116&lt;&gt;0,VLOOKUP(Y116,DM_DUAN,3,0),"")</f>
        <v>#N/A</v>
      </c>
      <c r="Y116" s="69" t="s">
        <v>176</v>
      </c>
      <c r="Z116" s="64" t="str">
        <f>IF(AA116&lt;&gt;0,VLOOKUP(AA116,DM_DUAN,3,0),"")</f>
        <v>#N/A</v>
      </c>
      <c r="AA116" s="70" t="s">
        <v>183</v>
      </c>
      <c r="AB116" s="64" t="str">
        <f>IF(AC116&lt;&gt;0,VLOOKUP(AC116,DM_DUAN,3,0),"")</f>
        <v/>
      </c>
      <c r="AC116" s="70"/>
      <c r="AD116" s="64" t="str">
        <f>IF(AC116&lt;&gt;0,VLOOKUP(AC116,DM_NV,2,0),"")</f>
        <v/>
      </c>
      <c r="AE116" s="68"/>
      <c r="AF116" s="64" t="str">
        <f>IF(AE116&lt;&gt;0,VLOOKUP(AE116,DM_NV,2,0),"")</f>
        <v/>
      </c>
      <c r="AG116" s="98" t="s">
        <v>290</v>
      </c>
    </row>
    <row r="117">
      <c r="A117" s="51"/>
      <c r="B117" s="52"/>
      <c r="C117" s="53" t="str">
        <f t="shared" si="1"/>
        <v>01/2022</v>
      </c>
      <c r="D117" s="99">
        <v>44585.0</v>
      </c>
      <c r="E117" s="55" t="s">
        <v>300</v>
      </c>
      <c r="F117" s="56"/>
      <c r="G117" s="57" t="s">
        <v>297</v>
      </c>
      <c r="H117" s="58" t="str">
        <f>IF(G117="","",VLOOKUP($G117,'Quy chuẩn hạch toán'!$B:$E,2,0))</f>
        <v>154</v>
      </c>
      <c r="I117" s="58" t="str">
        <f>IF(H117="","",VLOOKUP($G117,'Quy chuẩn hạch toán'!$B:$E,3,0))</f>
        <v>3341</v>
      </c>
      <c r="J117" s="59">
        <v>5076923.0</v>
      </c>
      <c r="K117" s="60"/>
      <c r="L117" s="61"/>
      <c r="M117" s="62"/>
      <c r="N117" s="63"/>
      <c r="O117" s="64" t="str">
        <f>IF($Q117&lt;&gt;0,VLOOKUP($Q117,DM_KM,3,0),"")</f>
        <v>#N/A</v>
      </c>
      <c r="P117" s="64" t="str">
        <f>IF($Q117&lt;&gt;0,VLOOKUP($Q117,DM_KM,5,0),"")</f>
        <v>#N/A</v>
      </c>
      <c r="Q117" s="65" t="s">
        <v>255</v>
      </c>
      <c r="R117" s="64" t="str">
        <f>IF(S117&lt;&gt;0,VLOOKUP(S117,DM_DUAN,3,0),"")</f>
        <v>#N/A</v>
      </c>
      <c r="S117" s="66" t="str">
        <f>IF(U117&lt;&gt;0,VLOOKUP(U117,DM_DUAN,3,0),"")</f>
        <v/>
      </c>
      <c r="T117" s="64"/>
      <c r="U117" s="93"/>
      <c r="V117" s="64" t="str">
        <f>IF(W117&lt;&gt;0,VLOOKUP(W117,DM_DUAN,3,0),"")</f>
        <v/>
      </c>
      <c r="W117" s="68"/>
      <c r="X117" s="64" t="str">
        <f>IF(Y117&lt;&gt;0,VLOOKUP(Y117,DM_DUAN,3,0),"")</f>
        <v>#N/A</v>
      </c>
      <c r="Y117" s="69" t="s">
        <v>176</v>
      </c>
      <c r="Z117" s="64" t="str">
        <f>IF(AA117&lt;&gt;0,VLOOKUP(AA117,DM_DUAN,3,0),"")</f>
        <v>#N/A</v>
      </c>
      <c r="AA117" s="70" t="s">
        <v>177</v>
      </c>
      <c r="AB117" s="64" t="str">
        <f>IF(AC117&lt;&gt;0,VLOOKUP(AC117,DM_DUAN,3,0),"")</f>
        <v/>
      </c>
      <c r="AC117" s="70"/>
      <c r="AD117" s="64" t="str">
        <f>IF(AC117&lt;&gt;0,VLOOKUP(AC117,DM_NV,2,0),"")</f>
        <v/>
      </c>
      <c r="AE117" s="68"/>
      <c r="AF117" s="64" t="str">
        <f>IF(AE117&lt;&gt;0,VLOOKUP(AE117,DM_NV,2,0),"")</f>
        <v/>
      </c>
    </row>
    <row r="118">
      <c r="A118" s="51"/>
      <c r="B118" s="52"/>
      <c r="C118" s="53" t="str">
        <f t="shared" si="1"/>
        <v>01/2022</v>
      </c>
      <c r="D118" s="54">
        <v>44585.0</v>
      </c>
      <c r="E118" s="91" t="s">
        <v>301</v>
      </c>
      <c r="F118" s="92"/>
      <c r="G118" s="57" t="s">
        <v>205</v>
      </c>
      <c r="H118" s="58" t="str">
        <f>IF(G118="","",VLOOKUP($G118,'Quy chuẩn hạch toán'!$B:$E,2,0))</f>
        <v>642</v>
      </c>
      <c r="I118" s="58" t="str">
        <f>IF(H118="","",VLOOKUP($G118,'Quy chuẩn hạch toán'!$B:$E,3,0))</f>
        <v>1111</v>
      </c>
      <c r="J118" s="59">
        <v>184264.0</v>
      </c>
      <c r="K118" s="60"/>
      <c r="L118" s="61"/>
      <c r="M118" s="62"/>
      <c r="N118" s="63"/>
      <c r="O118" s="64" t="str">
        <f>IF($Q118&lt;&gt;0,VLOOKUP($Q118,DM_KM,3,0),"")</f>
        <v>#N/A</v>
      </c>
      <c r="P118" s="64" t="str">
        <f>IF($Q118&lt;&gt;0,VLOOKUP($Q118,DM_KM,5,0),"")</f>
        <v>#N/A</v>
      </c>
      <c r="Q118" s="65" t="s">
        <v>272</v>
      </c>
      <c r="R118" s="64" t="str">
        <f>IF(S118&lt;&gt;0,VLOOKUP(S118,DM_DUAN,3,0),"")</f>
        <v>#N/A</v>
      </c>
      <c r="S118" s="66" t="str">
        <f>IF(U118&lt;&gt;0,VLOOKUP(U118,DM_DUAN,3,0),"")</f>
        <v/>
      </c>
      <c r="T118" s="64"/>
      <c r="U118" s="93"/>
      <c r="V118" s="64" t="str">
        <f>IF(W118&lt;&gt;0,VLOOKUP(W118,DM_DUAN,3,0),"")</f>
        <v/>
      </c>
      <c r="W118" s="68"/>
      <c r="X118" s="64" t="str">
        <f>IF(Y118&lt;&gt;0,VLOOKUP(Y118,DM_DUAN,3,0),"")</f>
        <v>#N/A</v>
      </c>
      <c r="Y118" s="69" t="s">
        <v>207</v>
      </c>
      <c r="Z118" s="64" t="str">
        <f>IF(AA118&lt;&gt;0,VLOOKUP(AA118,DM_DUAN,3,0),"")</f>
        <v>#N/A</v>
      </c>
      <c r="AA118" s="70" t="s">
        <v>208</v>
      </c>
      <c r="AB118" s="64" t="str">
        <f>IF(AC118&lt;&gt;0,VLOOKUP(AC118,DM_DUAN,3,0),"")</f>
        <v/>
      </c>
      <c r="AC118" s="85"/>
      <c r="AD118" s="64" t="str">
        <f>IF(AC118&lt;&gt;0,VLOOKUP(AC118,DM_NV,2,0),"")</f>
        <v/>
      </c>
      <c r="AE118" s="83" t="s">
        <v>227</v>
      </c>
      <c r="AF118" s="64" t="str">
        <f>IF(AE118&lt;&gt;0,VLOOKUP(AE118,DM_NV,2,0),"")</f>
        <v>#N/A</v>
      </c>
    </row>
    <row r="119">
      <c r="A119" s="51"/>
      <c r="B119" s="52"/>
      <c r="C119" s="53" t="str">
        <f t="shared" si="1"/>
        <v>01/2022</v>
      </c>
      <c r="D119" s="54">
        <v>44585.0</v>
      </c>
      <c r="E119" s="91" t="s">
        <v>301</v>
      </c>
      <c r="F119" s="92"/>
      <c r="G119" s="57" t="s">
        <v>205</v>
      </c>
      <c r="H119" s="58" t="str">
        <f>IF(G119="","",VLOOKUP($G119,'Quy chuẩn hạch toán'!$B:$E,2,0))</f>
        <v>642</v>
      </c>
      <c r="I119" s="58" t="str">
        <f>IF(H119="","",VLOOKUP($G119,'Quy chuẩn hạch toán'!$B:$E,3,0))</f>
        <v>1111</v>
      </c>
      <c r="J119" s="59">
        <v>122843.0</v>
      </c>
      <c r="K119" s="60"/>
      <c r="L119" s="61"/>
      <c r="M119" s="62"/>
      <c r="N119" s="63"/>
      <c r="O119" s="64" t="str">
        <f>IF($Q119&lt;&gt;0,VLOOKUP($Q119,DM_KM,3,0),"")</f>
        <v>#N/A</v>
      </c>
      <c r="P119" s="64" t="str">
        <f>IF($Q119&lt;&gt;0,VLOOKUP($Q119,DM_KM,5,0),"")</f>
        <v>#N/A</v>
      </c>
      <c r="Q119" s="65" t="s">
        <v>272</v>
      </c>
      <c r="R119" s="64" t="str">
        <f>IF(S119&lt;&gt;0,VLOOKUP(S119,DM_DUAN,3,0),"")</f>
        <v>#N/A</v>
      </c>
      <c r="S119" s="66" t="str">
        <f>IF(U119&lt;&gt;0,VLOOKUP(U119,DM_DUAN,3,0),"")</f>
        <v/>
      </c>
      <c r="T119" s="64"/>
      <c r="U119" s="93"/>
      <c r="V119" s="64" t="str">
        <f>IF(W119&lt;&gt;0,VLOOKUP(W119,DM_DUAN,3,0),"")</f>
        <v/>
      </c>
      <c r="W119" s="68"/>
      <c r="X119" s="64" t="str">
        <f>IF(Y119&lt;&gt;0,VLOOKUP(Y119,DM_DUAN,3,0),"")</f>
        <v>#N/A</v>
      </c>
      <c r="Y119" s="69" t="s">
        <v>207</v>
      </c>
      <c r="Z119" s="64" t="str">
        <f>IF(AA119&lt;&gt;0,VLOOKUP(AA119,DM_DUAN,3,0),"")</f>
        <v>#N/A</v>
      </c>
      <c r="AA119" s="70" t="s">
        <v>210</v>
      </c>
      <c r="AB119" s="64" t="str">
        <f>IF(AC119&lt;&gt;0,VLOOKUP(AC119,DM_DUAN,3,0),"")</f>
        <v/>
      </c>
      <c r="AC119" s="70"/>
      <c r="AD119" s="64" t="str">
        <f>IF(AC119&lt;&gt;0,VLOOKUP(AC119,DM_NV,2,0),"")</f>
        <v/>
      </c>
      <c r="AE119" s="83" t="s">
        <v>227</v>
      </c>
      <c r="AF119" s="64" t="str">
        <f>IF(AE119&lt;&gt;0,VLOOKUP(AE119,DM_NV,2,0),"")</f>
        <v>#N/A</v>
      </c>
    </row>
    <row r="120">
      <c r="A120" s="51"/>
      <c r="B120" s="52"/>
      <c r="C120" s="53" t="str">
        <f t="shared" si="1"/>
        <v>01/2022</v>
      </c>
      <c r="D120" s="54">
        <v>44585.0</v>
      </c>
      <c r="E120" s="91" t="s">
        <v>301</v>
      </c>
      <c r="F120" s="92"/>
      <c r="G120" s="57" t="s">
        <v>205</v>
      </c>
      <c r="H120" s="58" t="str">
        <f>IF(G120="","",VLOOKUP($G120,'Quy chuẩn hạch toán'!$B:$E,2,0))</f>
        <v>642</v>
      </c>
      <c r="I120" s="58" t="str">
        <f>IF(H120="","",VLOOKUP($G120,'Quy chuẩn hạch toán'!$B:$E,3,0))</f>
        <v>1111</v>
      </c>
      <c r="J120" s="59">
        <v>245685.0</v>
      </c>
      <c r="K120" s="60"/>
      <c r="L120" s="61"/>
      <c r="M120" s="62"/>
      <c r="N120" s="63"/>
      <c r="O120" s="64" t="str">
        <f>IF($Q120&lt;&gt;0,VLOOKUP($Q120,DM_KM,3,0),"")</f>
        <v>#N/A</v>
      </c>
      <c r="P120" s="64" t="str">
        <f>IF($Q120&lt;&gt;0,VLOOKUP($Q120,DM_KM,5,0),"")</f>
        <v>#N/A</v>
      </c>
      <c r="Q120" s="65" t="s">
        <v>272</v>
      </c>
      <c r="R120" s="64" t="str">
        <f>IF(S120&lt;&gt;0,VLOOKUP(S120,DM_DUAN,3,0),"")</f>
        <v>#N/A</v>
      </c>
      <c r="S120" s="66" t="str">
        <f>IF(U120&lt;&gt;0,VLOOKUP(U120,DM_DUAN,3,0),"")</f>
        <v/>
      </c>
      <c r="T120" s="64"/>
      <c r="U120" s="93"/>
      <c r="V120" s="64" t="str">
        <f>IF(W120&lt;&gt;0,VLOOKUP(W120,DM_DUAN,3,0),"")</f>
        <v/>
      </c>
      <c r="W120" s="68"/>
      <c r="X120" s="64" t="str">
        <f>IF(Y120&lt;&gt;0,VLOOKUP(Y120,DM_DUAN,3,0),"")</f>
        <v>#N/A</v>
      </c>
      <c r="Y120" s="69" t="s">
        <v>207</v>
      </c>
      <c r="Z120" s="64" t="str">
        <f>IF(AA120&lt;&gt;0,VLOOKUP(AA120,DM_DUAN,3,0),"")</f>
        <v>#N/A</v>
      </c>
      <c r="AA120" s="70" t="s">
        <v>183</v>
      </c>
      <c r="AB120" s="64" t="str">
        <f>IF(AC120&lt;&gt;0,VLOOKUP(AC120,DM_DUAN,3,0),"")</f>
        <v/>
      </c>
      <c r="AC120" s="70"/>
      <c r="AD120" s="64" t="str">
        <f>IF(AC120&lt;&gt;0,VLOOKUP(AC120,DM_NV,2,0),"")</f>
        <v/>
      </c>
      <c r="AE120" s="83" t="s">
        <v>227</v>
      </c>
      <c r="AF120" s="64" t="str">
        <f>IF(AE120&lt;&gt;0,VLOOKUP(AE120,DM_NV,2,0),"")</f>
        <v>#N/A</v>
      </c>
    </row>
    <row r="121">
      <c r="A121" s="51"/>
      <c r="B121" s="52"/>
      <c r="C121" s="53" t="str">
        <f t="shared" si="1"/>
        <v>01/2022</v>
      </c>
      <c r="D121" s="54">
        <v>44585.0</v>
      </c>
      <c r="E121" s="91" t="s">
        <v>301</v>
      </c>
      <c r="F121" s="92"/>
      <c r="G121" s="57" t="s">
        <v>205</v>
      </c>
      <c r="H121" s="58" t="str">
        <f>IF(G121="","",VLOOKUP($G121,'Quy chuẩn hạch toán'!$B:$E,2,0))</f>
        <v>642</v>
      </c>
      <c r="I121" s="58" t="str">
        <f>IF(H121="","",VLOOKUP($G121,'Quy chuẩn hạch toán'!$B:$E,3,0))</f>
        <v>1111</v>
      </c>
      <c r="J121" s="59">
        <v>92132.0</v>
      </c>
      <c r="K121" s="60"/>
      <c r="L121" s="61"/>
      <c r="M121" s="62"/>
      <c r="N121" s="63"/>
      <c r="O121" s="64" t="str">
        <f>IF($Q121&lt;&gt;0,VLOOKUP($Q121,DM_KM,3,0),"")</f>
        <v>#N/A</v>
      </c>
      <c r="P121" s="64" t="str">
        <f>IF($Q121&lt;&gt;0,VLOOKUP($Q121,DM_KM,5,0),"")</f>
        <v>#N/A</v>
      </c>
      <c r="Q121" s="65" t="s">
        <v>272</v>
      </c>
      <c r="R121" s="64" t="str">
        <f>IF(S121&lt;&gt;0,VLOOKUP(S121,DM_DUAN,3,0),"")</f>
        <v>#N/A</v>
      </c>
      <c r="S121" s="66" t="str">
        <f>IF(U121&lt;&gt;0,VLOOKUP(U121,DM_DUAN,3,0),"")</f>
        <v/>
      </c>
      <c r="T121" s="64"/>
      <c r="U121" s="93"/>
      <c r="V121" s="64" t="str">
        <f>IF(W121&lt;&gt;0,VLOOKUP(W121,DM_DUAN,3,0),"")</f>
        <v/>
      </c>
      <c r="W121" s="68"/>
      <c r="X121" s="64" t="str">
        <f>IF(Y121&lt;&gt;0,VLOOKUP(Y121,DM_DUAN,3,0),"")</f>
        <v>#N/A</v>
      </c>
      <c r="Y121" s="69" t="s">
        <v>207</v>
      </c>
      <c r="Z121" s="64" t="str">
        <f>IF(AA121&lt;&gt;0,VLOOKUP(AA121,DM_DUAN,3,0),"")</f>
        <v>#N/A</v>
      </c>
      <c r="AA121" s="70" t="s">
        <v>177</v>
      </c>
      <c r="AB121" s="64" t="str">
        <f>IF(AC121&lt;&gt;0,VLOOKUP(AC121,DM_DUAN,3,0),"")</f>
        <v/>
      </c>
      <c r="AC121" s="70"/>
      <c r="AD121" s="64" t="str">
        <f>IF(AC121&lt;&gt;0,VLOOKUP(AC121,DM_NV,2,0),"")</f>
        <v/>
      </c>
      <c r="AE121" s="83" t="s">
        <v>227</v>
      </c>
      <c r="AF121" s="64" t="str">
        <f>IF(AE121&lt;&gt;0,VLOOKUP(AE121,DM_NV,2,0),"")</f>
        <v>#N/A</v>
      </c>
    </row>
    <row r="122">
      <c r="A122" s="51"/>
      <c r="B122" s="52"/>
      <c r="C122" s="53" t="str">
        <f t="shared" si="1"/>
        <v>01/2022</v>
      </c>
      <c r="D122" s="54">
        <v>44585.0</v>
      </c>
      <c r="E122" s="91" t="s">
        <v>302</v>
      </c>
      <c r="F122" s="92"/>
      <c r="G122" s="57" t="s">
        <v>205</v>
      </c>
      <c r="H122" s="58" t="str">
        <f>IF(G122="","",VLOOKUP($G122,'Quy chuẩn hạch toán'!$B:$E,2,0))</f>
        <v>642</v>
      </c>
      <c r="I122" s="58" t="str">
        <f>IF(H122="","",VLOOKUP($G122,'Quy chuẩn hạch toán'!$B:$E,3,0))</f>
        <v>1111</v>
      </c>
      <c r="J122" s="59">
        <v>184264.0</v>
      </c>
      <c r="K122" s="60"/>
      <c r="L122" s="61"/>
      <c r="M122" s="62"/>
      <c r="N122" s="63"/>
      <c r="O122" s="64" t="str">
        <f>IF($Q122&lt;&gt;0,VLOOKUP($Q122,DM_KM,3,0),"")</f>
        <v>#N/A</v>
      </c>
      <c r="P122" s="64" t="str">
        <f>IF($Q122&lt;&gt;0,VLOOKUP($Q122,DM_KM,5,0),"")</f>
        <v>#N/A</v>
      </c>
      <c r="Q122" s="65" t="s">
        <v>272</v>
      </c>
      <c r="R122" s="64" t="str">
        <f>IF(S122&lt;&gt;0,VLOOKUP(S122,DM_DUAN,3,0),"")</f>
        <v>#N/A</v>
      </c>
      <c r="S122" s="66" t="str">
        <f>IF(U122&lt;&gt;0,VLOOKUP(U122,DM_DUAN,3,0),"")</f>
        <v/>
      </c>
      <c r="T122" s="64"/>
      <c r="U122" s="93"/>
      <c r="V122" s="64" t="str">
        <f>IF(W122&lt;&gt;0,VLOOKUP(W122,DM_DUAN,3,0),"")</f>
        <v/>
      </c>
      <c r="W122" s="68"/>
      <c r="X122" s="64" t="str">
        <f>IF(Y122&lt;&gt;0,VLOOKUP(Y122,DM_DUAN,3,0),"")</f>
        <v>#N/A</v>
      </c>
      <c r="Y122" s="69" t="s">
        <v>207</v>
      </c>
      <c r="Z122" s="64" t="str">
        <f>IF(AA122&lt;&gt;0,VLOOKUP(AA122,DM_DUAN,3,0),"")</f>
        <v>#N/A</v>
      </c>
      <c r="AA122" s="70" t="s">
        <v>208</v>
      </c>
      <c r="AB122" s="64" t="str">
        <f>IF(AC122&lt;&gt;0,VLOOKUP(AC122,DM_DUAN,3,0),"")</f>
        <v/>
      </c>
      <c r="AC122" s="85"/>
      <c r="AD122" s="64" t="str">
        <f>IF(AC122&lt;&gt;0,VLOOKUP(AC122,DM_NV,2,0),"")</f>
        <v/>
      </c>
      <c r="AE122" s="83" t="s">
        <v>227</v>
      </c>
      <c r="AF122" s="64" t="str">
        <f>IF(AE122&lt;&gt;0,VLOOKUP(AE122,DM_NV,2,0),"")</f>
        <v>#N/A</v>
      </c>
    </row>
    <row r="123">
      <c r="A123" s="51"/>
      <c r="B123" s="52"/>
      <c r="C123" s="53" t="str">
        <f t="shared" si="1"/>
        <v>01/2022</v>
      </c>
      <c r="D123" s="54">
        <v>44585.0</v>
      </c>
      <c r="E123" s="91" t="s">
        <v>302</v>
      </c>
      <c r="F123" s="92"/>
      <c r="G123" s="57" t="s">
        <v>205</v>
      </c>
      <c r="H123" s="58" t="str">
        <f>IF(G123="","",VLOOKUP($G123,'Quy chuẩn hạch toán'!$B:$E,2,0))</f>
        <v>642</v>
      </c>
      <c r="I123" s="58" t="str">
        <f>IF(H123="","",VLOOKUP($G123,'Quy chuẩn hạch toán'!$B:$E,3,0))</f>
        <v>1111</v>
      </c>
      <c r="J123" s="59">
        <v>122843.0</v>
      </c>
      <c r="K123" s="60"/>
      <c r="L123" s="61"/>
      <c r="M123" s="62"/>
      <c r="N123" s="63"/>
      <c r="O123" s="64" t="str">
        <f>IF($Q123&lt;&gt;0,VLOOKUP($Q123,DM_KM,3,0),"")</f>
        <v>#N/A</v>
      </c>
      <c r="P123" s="64" t="str">
        <f>IF($Q123&lt;&gt;0,VLOOKUP($Q123,DM_KM,5,0),"")</f>
        <v>#N/A</v>
      </c>
      <c r="Q123" s="65" t="s">
        <v>272</v>
      </c>
      <c r="R123" s="64" t="str">
        <f>IF(S123&lt;&gt;0,VLOOKUP(S123,DM_DUAN,3,0),"")</f>
        <v>#N/A</v>
      </c>
      <c r="S123" s="66" t="str">
        <f>IF(U123&lt;&gt;0,VLOOKUP(U123,DM_DUAN,3,0),"")</f>
        <v/>
      </c>
      <c r="T123" s="64"/>
      <c r="U123" s="93"/>
      <c r="V123" s="64" t="str">
        <f>IF(W123&lt;&gt;0,VLOOKUP(W123,DM_DUAN,3,0),"")</f>
        <v/>
      </c>
      <c r="W123" s="68"/>
      <c r="X123" s="64" t="str">
        <f>IF(Y123&lt;&gt;0,VLOOKUP(Y123,DM_DUAN,3,0),"")</f>
        <v>#N/A</v>
      </c>
      <c r="Y123" s="69" t="s">
        <v>207</v>
      </c>
      <c r="Z123" s="64" t="str">
        <f>IF(AA123&lt;&gt;0,VLOOKUP(AA123,DM_DUAN,3,0),"")</f>
        <v>#N/A</v>
      </c>
      <c r="AA123" s="70" t="s">
        <v>210</v>
      </c>
      <c r="AB123" s="64" t="str">
        <f>IF(AC123&lt;&gt;0,VLOOKUP(AC123,DM_DUAN,3,0),"")</f>
        <v/>
      </c>
      <c r="AC123" s="70"/>
      <c r="AD123" s="64" t="str">
        <f>IF(AC123&lt;&gt;0,VLOOKUP(AC123,DM_NV,2,0),"")</f>
        <v/>
      </c>
      <c r="AE123" s="83" t="s">
        <v>227</v>
      </c>
      <c r="AF123" s="64" t="str">
        <f>IF(AE123&lt;&gt;0,VLOOKUP(AE123,DM_NV,2,0),"")</f>
        <v>#N/A</v>
      </c>
    </row>
    <row r="124">
      <c r="A124" s="51"/>
      <c r="B124" s="52"/>
      <c r="C124" s="53" t="str">
        <f t="shared" si="1"/>
        <v>01/2022</v>
      </c>
      <c r="D124" s="54">
        <v>44585.0</v>
      </c>
      <c r="E124" s="91" t="s">
        <v>302</v>
      </c>
      <c r="F124" s="92"/>
      <c r="G124" s="57" t="s">
        <v>205</v>
      </c>
      <c r="H124" s="58" t="str">
        <f>IF(G124="","",VLOOKUP($G124,'Quy chuẩn hạch toán'!$B:$E,2,0))</f>
        <v>642</v>
      </c>
      <c r="I124" s="58" t="str">
        <f>IF(H124="","",VLOOKUP($G124,'Quy chuẩn hạch toán'!$B:$E,3,0))</f>
        <v>1111</v>
      </c>
      <c r="J124" s="59">
        <v>245685.0</v>
      </c>
      <c r="K124" s="60"/>
      <c r="L124" s="61"/>
      <c r="M124" s="62"/>
      <c r="N124" s="63"/>
      <c r="O124" s="64" t="str">
        <f>IF($Q124&lt;&gt;0,VLOOKUP($Q124,DM_KM,3,0),"")</f>
        <v>#N/A</v>
      </c>
      <c r="P124" s="64" t="str">
        <f>IF($Q124&lt;&gt;0,VLOOKUP($Q124,DM_KM,5,0),"")</f>
        <v>#N/A</v>
      </c>
      <c r="Q124" s="65" t="s">
        <v>272</v>
      </c>
      <c r="R124" s="64" t="str">
        <f>IF(S124&lt;&gt;0,VLOOKUP(S124,DM_DUAN,3,0),"")</f>
        <v>#N/A</v>
      </c>
      <c r="S124" s="66" t="str">
        <f>IF(U124&lt;&gt;0,VLOOKUP(U124,DM_DUAN,3,0),"")</f>
        <v/>
      </c>
      <c r="T124" s="64"/>
      <c r="U124" s="93"/>
      <c r="V124" s="64" t="str">
        <f>IF(W124&lt;&gt;0,VLOOKUP(W124,DM_DUAN,3,0),"")</f>
        <v/>
      </c>
      <c r="W124" s="68"/>
      <c r="X124" s="64" t="str">
        <f>IF(Y124&lt;&gt;0,VLOOKUP(Y124,DM_DUAN,3,0),"")</f>
        <v>#N/A</v>
      </c>
      <c r="Y124" s="69" t="s">
        <v>207</v>
      </c>
      <c r="Z124" s="64" t="str">
        <f>IF(AA124&lt;&gt;0,VLOOKUP(AA124,DM_DUAN,3,0),"")</f>
        <v>#N/A</v>
      </c>
      <c r="AA124" s="70" t="s">
        <v>183</v>
      </c>
      <c r="AB124" s="64" t="str">
        <f>IF(AC124&lt;&gt;0,VLOOKUP(AC124,DM_DUAN,3,0),"")</f>
        <v/>
      </c>
      <c r="AC124" s="70"/>
      <c r="AD124" s="64" t="str">
        <f>IF(AC124&lt;&gt;0,VLOOKUP(AC124,DM_NV,2,0),"")</f>
        <v/>
      </c>
      <c r="AE124" s="83" t="s">
        <v>227</v>
      </c>
      <c r="AF124" s="64" t="str">
        <f>IF(AE124&lt;&gt;0,VLOOKUP(AE124,DM_NV,2,0),"")</f>
        <v>#N/A</v>
      </c>
    </row>
    <row r="125">
      <c r="A125" s="51"/>
      <c r="B125" s="52"/>
      <c r="C125" s="53" t="str">
        <f t="shared" si="1"/>
        <v>01/2022</v>
      </c>
      <c r="D125" s="54">
        <v>44585.0</v>
      </c>
      <c r="E125" s="91" t="s">
        <v>302</v>
      </c>
      <c r="F125" s="92"/>
      <c r="G125" s="57" t="s">
        <v>205</v>
      </c>
      <c r="H125" s="58" t="str">
        <f>IF(G125="","",VLOOKUP($G125,'Quy chuẩn hạch toán'!$B:$E,2,0))</f>
        <v>642</v>
      </c>
      <c r="I125" s="58" t="str">
        <f>IF(H125="","",VLOOKUP($G125,'Quy chuẩn hạch toán'!$B:$E,3,0))</f>
        <v>1111</v>
      </c>
      <c r="J125" s="59">
        <v>92132.0</v>
      </c>
      <c r="K125" s="60"/>
      <c r="L125" s="61"/>
      <c r="M125" s="62"/>
      <c r="N125" s="63"/>
      <c r="O125" s="64" t="str">
        <f>IF($Q125&lt;&gt;0,VLOOKUP($Q125,DM_KM,3,0),"")</f>
        <v>#N/A</v>
      </c>
      <c r="P125" s="64" t="str">
        <f>IF($Q125&lt;&gt;0,VLOOKUP($Q125,DM_KM,5,0),"")</f>
        <v>#N/A</v>
      </c>
      <c r="Q125" s="65" t="s">
        <v>272</v>
      </c>
      <c r="R125" s="64" t="str">
        <f>IF(S125&lt;&gt;0,VLOOKUP(S125,DM_DUAN,3,0),"")</f>
        <v>#N/A</v>
      </c>
      <c r="S125" s="66" t="str">
        <f>IF(U125&lt;&gt;0,VLOOKUP(U125,DM_DUAN,3,0),"")</f>
        <v/>
      </c>
      <c r="T125" s="64"/>
      <c r="U125" s="93"/>
      <c r="V125" s="64" t="str">
        <f>IF(W125&lt;&gt;0,VLOOKUP(W125,DM_DUAN,3,0),"")</f>
        <v/>
      </c>
      <c r="W125" s="68"/>
      <c r="X125" s="64" t="str">
        <f>IF(Y125&lt;&gt;0,VLOOKUP(Y125,DM_DUAN,3,0),"")</f>
        <v>#N/A</v>
      </c>
      <c r="Y125" s="69" t="s">
        <v>207</v>
      </c>
      <c r="Z125" s="64" t="str">
        <f>IF(AA125&lt;&gt;0,VLOOKUP(AA125,DM_DUAN,3,0),"")</f>
        <v>#N/A</v>
      </c>
      <c r="AA125" s="70" t="s">
        <v>177</v>
      </c>
      <c r="AB125" s="64" t="str">
        <f>IF(AC125&lt;&gt;0,VLOOKUP(AC125,DM_DUAN,3,0),"")</f>
        <v/>
      </c>
      <c r="AC125" s="70"/>
      <c r="AD125" s="64" t="str">
        <f>IF(AC125&lt;&gt;0,VLOOKUP(AC125,DM_NV,2,0),"")</f>
        <v/>
      </c>
      <c r="AE125" s="83" t="s">
        <v>227</v>
      </c>
      <c r="AF125" s="64" t="str">
        <f>IF(AE125&lt;&gt;0,VLOOKUP(AE125,DM_NV,2,0),"")</f>
        <v>#N/A</v>
      </c>
    </row>
    <row r="126">
      <c r="A126" s="51"/>
      <c r="B126" s="52"/>
      <c r="C126" s="53" t="str">
        <f t="shared" si="1"/>
        <v>01/2022</v>
      </c>
      <c r="D126" s="99">
        <v>44592.0</v>
      </c>
      <c r="E126" s="91" t="s">
        <v>303</v>
      </c>
      <c r="F126" s="92"/>
      <c r="G126" s="57" t="s">
        <v>266</v>
      </c>
      <c r="H126" s="58" t="str">
        <f>IF(G126="","",VLOOKUP($G126,'Quy chuẩn hạch toán'!$B:$E,2,0))</f>
        <v>642</v>
      </c>
      <c r="I126" s="58" t="str">
        <f>IF(H126="","",VLOOKUP($G126,'Quy chuẩn hạch toán'!$B:$E,3,0))</f>
        <v>3341</v>
      </c>
      <c r="J126" s="95">
        <v>2154000.0</v>
      </c>
      <c r="K126" s="60"/>
      <c r="L126" s="61"/>
      <c r="M126" s="62"/>
      <c r="N126" s="63"/>
      <c r="O126" s="64" t="str">
        <f>IF($Q126&lt;&gt;0,VLOOKUP($Q126,DM_KM,3,0),"")</f>
        <v>#N/A</v>
      </c>
      <c r="P126" s="64" t="str">
        <f>IF($Q126&lt;&gt;0,VLOOKUP($Q126,DM_KM,5,0),"")</f>
        <v>#N/A</v>
      </c>
      <c r="Q126" s="65" t="s">
        <v>267</v>
      </c>
      <c r="R126" s="64" t="str">
        <f>IF(S126&lt;&gt;0,VLOOKUP(S126,DM_DUAN,3,0),"")</f>
        <v>#N/A</v>
      </c>
      <c r="S126" s="66" t="str">
        <f>IF(U126&lt;&gt;0,VLOOKUP(U126,DM_DUAN,3,0),"")</f>
        <v/>
      </c>
      <c r="T126" s="64"/>
      <c r="U126" s="93"/>
      <c r="V126" s="64" t="str">
        <f>IF(W126&lt;&gt;0,VLOOKUP(W126,DM_DUAN,3,0),"")</f>
        <v/>
      </c>
      <c r="W126" s="68"/>
      <c r="X126" s="64" t="str">
        <f>IF(Y126&lt;&gt;0,VLOOKUP(Y126,DM_DUAN,3,0),"")</f>
        <v>#N/A</v>
      </c>
      <c r="Y126" s="69" t="s">
        <v>304</v>
      </c>
      <c r="Z126" s="64" t="str">
        <f>IF(AA126&lt;&gt;0,VLOOKUP(AA126,DM_DUAN,3,0),"")</f>
        <v/>
      </c>
      <c r="AA126" s="70"/>
      <c r="AB126" s="64" t="str">
        <f>IF(AC126&lt;&gt;0,VLOOKUP(AC126,DM_DUAN,3,0),"")</f>
        <v/>
      </c>
      <c r="AC126" s="85"/>
      <c r="AD126" s="64" t="str">
        <f>IF(AC126&lt;&gt;0,VLOOKUP(AC126,DM_NV,2,0),"")</f>
        <v/>
      </c>
      <c r="AE126" s="83"/>
      <c r="AF126" s="64" t="str">
        <f>IF(AE126&lt;&gt;0,VLOOKUP(AE126,DM_NV,2,0),"")</f>
        <v/>
      </c>
    </row>
    <row r="127">
      <c r="A127" s="51"/>
      <c r="B127" s="52"/>
      <c r="C127" s="53" t="str">
        <f t="shared" si="1"/>
        <v>01/2022</v>
      </c>
      <c r="D127" s="99">
        <v>44592.0</v>
      </c>
      <c r="E127" s="91" t="s">
        <v>305</v>
      </c>
      <c r="F127" s="92"/>
      <c r="G127" s="57" t="s">
        <v>306</v>
      </c>
      <c r="H127" s="58" t="str">
        <f>IF(G127="","",VLOOKUP($G127,'Quy chuẩn hạch toán'!$B:$E,2,0))</f>
        <v>3338</v>
      </c>
      <c r="I127" s="58" t="str">
        <f>IF(H127="","",VLOOKUP($G127,'Quy chuẩn hạch toán'!$B:$E,3,0))</f>
        <v>1111</v>
      </c>
      <c r="J127" s="95">
        <v>1000000.0</v>
      </c>
      <c r="K127" s="60"/>
      <c r="L127" s="61"/>
      <c r="M127" s="62"/>
      <c r="N127" s="63"/>
      <c r="O127" s="64" t="str">
        <f>IF($Q127&lt;&gt;0,VLOOKUP($Q127,DM_KM,3,0),"")</f>
        <v>#N/A</v>
      </c>
      <c r="P127" s="64" t="str">
        <f>IF($Q127&lt;&gt;0,VLOOKUP($Q127,DM_KM,5,0),"")</f>
        <v>#N/A</v>
      </c>
      <c r="Q127" s="65" t="s">
        <v>307</v>
      </c>
      <c r="R127" s="64" t="str">
        <f>IF(S127&lt;&gt;0,VLOOKUP(S127,DM_DUAN,3,0),"")</f>
        <v>#N/A</v>
      </c>
      <c r="S127" s="66" t="str">
        <f>IF(U127&lt;&gt;0,VLOOKUP(U127,DM_DUAN,3,0),"")</f>
        <v/>
      </c>
      <c r="T127" s="64"/>
      <c r="U127" s="93"/>
      <c r="V127" s="64" t="str">
        <f>IF(W127&lt;&gt;0,VLOOKUP(W127,DM_DUAN,3,0),"")</f>
        <v/>
      </c>
      <c r="W127" s="68"/>
      <c r="X127" s="64" t="str">
        <f>IF(Y127&lt;&gt;0,VLOOKUP(Y127,DM_DUAN,3,0),"")</f>
        <v>#N/A</v>
      </c>
      <c r="Y127" s="69" t="s">
        <v>304</v>
      </c>
      <c r="Z127" s="64" t="str">
        <f>IF(AA127&lt;&gt;0,VLOOKUP(AA127,DM_DUAN,3,0),"")</f>
        <v/>
      </c>
      <c r="AA127" s="70"/>
      <c r="AB127" s="64" t="str">
        <f>IF(AC127&lt;&gt;0,VLOOKUP(AC127,DM_DUAN,3,0),"")</f>
        <v/>
      </c>
      <c r="AC127" s="85"/>
      <c r="AD127" s="64" t="str">
        <f>IF(AC127&lt;&gt;0,VLOOKUP(AC127,DM_NV,2,0),"")</f>
        <v/>
      </c>
      <c r="AE127" s="83" t="s">
        <v>308</v>
      </c>
      <c r="AF127" s="64" t="str">
        <f>IF(AE127&lt;&gt;0,VLOOKUP(AE127,DM_NV,2,0),"")</f>
        <v>#N/A</v>
      </c>
    </row>
    <row r="128">
      <c r="A128" s="51"/>
      <c r="B128" s="52"/>
      <c r="C128" s="53" t="str">
        <f t="shared" si="1"/>
        <v>01/2022</v>
      </c>
      <c r="D128" s="99">
        <v>44592.0</v>
      </c>
      <c r="E128" s="91" t="s">
        <v>309</v>
      </c>
      <c r="F128" s="92"/>
      <c r="G128" s="57" t="s">
        <v>249</v>
      </c>
      <c r="H128" s="58" t="str">
        <f>IF(G128="","",VLOOKUP($G128,'Quy chuẩn hạch toán'!$B:$E,2,0))</f>
        <v>642</v>
      </c>
      <c r="I128" s="58" t="str">
        <f>IF(H128="","",VLOOKUP($G128,'Quy chuẩn hạch toán'!$B:$E,3,0))</f>
        <v>331</v>
      </c>
      <c r="J128" s="59">
        <v>571429.0</v>
      </c>
      <c r="K128" s="60"/>
      <c r="L128" s="61"/>
      <c r="M128" s="62"/>
      <c r="N128" s="63"/>
      <c r="O128" s="64" t="str">
        <f>IF($Q128&lt;&gt;0,VLOOKUP($Q128,DM_KM,3,0),"")</f>
        <v>THUEVP</v>
      </c>
      <c r="P128" s="64">
        <f>IF($Q128&lt;&gt;0,VLOOKUP($Q128,DM_KM,5,0),"")</f>
        <v>642</v>
      </c>
      <c r="Q128" s="65" t="s">
        <v>270</v>
      </c>
      <c r="R128" s="64" t="str">
        <f>IF(S128&lt;&gt;0,VLOOKUP(S128,DM_DUAN,3,0),"")</f>
        <v>#N/A</v>
      </c>
      <c r="S128" s="66" t="str">
        <f>IF(U128&lt;&gt;0,VLOOKUP(U128,DM_DUAN,3,0),"")</f>
        <v/>
      </c>
      <c r="T128" s="64"/>
      <c r="U128" s="93"/>
      <c r="V128" s="64" t="str">
        <f>IF(W128&lt;&gt;0,VLOOKUP(W128,DM_DUAN,3,0),"")</f>
        <v/>
      </c>
      <c r="W128" s="68"/>
      <c r="X128" s="64" t="str">
        <f>IF(Y128&lt;&gt;0,VLOOKUP(Y128,DM_DUAN,3,0),"")</f>
        <v>#N/A</v>
      </c>
      <c r="Y128" s="69" t="s">
        <v>176</v>
      </c>
      <c r="Z128" s="64" t="str">
        <f>IF(AA128&lt;&gt;0,VLOOKUP(AA128,DM_DUAN,3,0),"")</f>
        <v>#N/A</v>
      </c>
      <c r="AA128" s="70" t="s">
        <v>208</v>
      </c>
      <c r="AB128" s="64" t="str">
        <f>IF(AC128&lt;&gt;0,VLOOKUP(AC128,DM_DUAN,3,0),"")</f>
        <v/>
      </c>
      <c r="AC128" s="85"/>
      <c r="AD128" s="64" t="str">
        <f>IF(AC128&lt;&gt;0,VLOOKUP(AC128,DM_NV,2,0),"")</f>
        <v/>
      </c>
      <c r="AE128" s="83"/>
      <c r="AF128" s="64" t="str">
        <f>IF(AE128&lt;&gt;0,VLOOKUP(AE128,DM_NV,2,0),"")</f>
        <v/>
      </c>
    </row>
    <row r="129">
      <c r="A129" s="51"/>
      <c r="B129" s="52"/>
      <c r="C129" s="53" t="str">
        <f t="shared" si="1"/>
        <v>01/2022</v>
      </c>
      <c r="D129" s="99">
        <v>44592.0</v>
      </c>
      <c r="E129" s="91" t="s">
        <v>309</v>
      </c>
      <c r="F129" s="92"/>
      <c r="G129" s="57" t="s">
        <v>249</v>
      </c>
      <c r="H129" s="58" t="str">
        <f>IF(G129="","",VLOOKUP($G129,'Quy chuẩn hạch toán'!$B:$E,2,0))</f>
        <v>642</v>
      </c>
      <c r="I129" s="58" t="str">
        <f>IF(H129="","",VLOOKUP($G129,'Quy chuẩn hạch toán'!$B:$E,3,0))</f>
        <v>331</v>
      </c>
      <c r="J129" s="59">
        <v>380952.0</v>
      </c>
      <c r="K129" s="60"/>
      <c r="L129" s="61"/>
      <c r="M129" s="62"/>
      <c r="N129" s="63"/>
      <c r="O129" s="64" t="str">
        <f>IF($Q129&lt;&gt;0,VLOOKUP($Q129,DM_KM,3,0),"")</f>
        <v>THUEVP</v>
      </c>
      <c r="P129" s="64">
        <f>IF($Q129&lt;&gt;0,VLOOKUP($Q129,DM_KM,5,0),"")</f>
        <v>642</v>
      </c>
      <c r="Q129" s="65" t="s">
        <v>270</v>
      </c>
      <c r="R129" s="64" t="str">
        <f>IF(S129&lt;&gt;0,VLOOKUP(S129,DM_DUAN,3,0),"")</f>
        <v>#N/A</v>
      </c>
      <c r="S129" s="66" t="str">
        <f>IF(U129&lt;&gt;0,VLOOKUP(U129,DM_DUAN,3,0),"")</f>
        <v/>
      </c>
      <c r="T129" s="64"/>
      <c r="U129" s="93"/>
      <c r="V129" s="64" t="str">
        <f>IF(W129&lt;&gt;0,VLOOKUP(W129,DM_DUAN,3,0),"")</f>
        <v/>
      </c>
      <c r="W129" s="68"/>
      <c r="X129" s="64" t="str">
        <f>IF(Y129&lt;&gt;0,VLOOKUP(Y129,DM_DUAN,3,0),"")</f>
        <v>#N/A</v>
      </c>
      <c r="Y129" s="69" t="s">
        <v>176</v>
      </c>
      <c r="Z129" s="64" t="str">
        <f>IF(AA129&lt;&gt;0,VLOOKUP(AA129,DM_DUAN,3,0),"")</f>
        <v>#N/A</v>
      </c>
      <c r="AA129" s="70" t="s">
        <v>210</v>
      </c>
      <c r="AB129" s="64" t="str">
        <f>IF(AC129&lt;&gt;0,VLOOKUP(AC129,DM_DUAN,3,0),"")</f>
        <v/>
      </c>
      <c r="AC129" s="70"/>
      <c r="AD129" s="64" t="str">
        <f>IF(AC129&lt;&gt;0,VLOOKUP(AC129,DM_NV,2,0),"")</f>
        <v/>
      </c>
      <c r="AE129" s="83"/>
      <c r="AF129" s="64" t="str">
        <f>IF(AE129&lt;&gt;0,VLOOKUP(AE129,DM_NV,2,0),"")</f>
        <v/>
      </c>
    </row>
    <row r="130">
      <c r="A130" s="51"/>
      <c r="B130" s="52"/>
      <c r="C130" s="53" t="str">
        <f t="shared" si="1"/>
        <v>01/2022</v>
      </c>
      <c r="D130" s="99">
        <v>44592.0</v>
      </c>
      <c r="E130" s="91" t="s">
        <v>309</v>
      </c>
      <c r="F130" s="92"/>
      <c r="G130" s="57" t="s">
        <v>249</v>
      </c>
      <c r="H130" s="58" t="str">
        <f>IF(G130="","",VLOOKUP($G130,'Quy chuẩn hạch toán'!$B:$E,2,0))</f>
        <v>642</v>
      </c>
      <c r="I130" s="58" t="str">
        <f>IF(H130="","",VLOOKUP($G130,'Quy chuẩn hạch toán'!$B:$E,3,0))</f>
        <v>331</v>
      </c>
      <c r="J130" s="59">
        <v>761905.0</v>
      </c>
      <c r="K130" s="60"/>
      <c r="L130" s="61"/>
      <c r="M130" s="62"/>
      <c r="N130" s="63"/>
      <c r="O130" s="64" t="str">
        <f>IF($Q130&lt;&gt;0,VLOOKUP($Q130,DM_KM,3,0),"")</f>
        <v>THUEVP</v>
      </c>
      <c r="P130" s="64">
        <f>IF($Q130&lt;&gt;0,VLOOKUP($Q130,DM_KM,5,0),"")</f>
        <v>642</v>
      </c>
      <c r="Q130" s="65" t="s">
        <v>270</v>
      </c>
      <c r="R130" s="64" t="str">
        <f>IF(S130&lt;&gt;0,VLOOKUP(S130,DM_DUAN,3,0),"")</f>
        <v>#N/A</v>
      </c>
      <c r="S130" s="66" t="str">
        <f>IF(U130&lt;&gt;0,VLOOKUP(U130,DM_DUAN,3,0),"")</f>
        <v/>
      </c>
      <c r="T130" s="64"/>
      <c r="U130" s="93"/>
      <c r="V130" s="64" t="str">
        <f>IF(W130&lt;&gt;0,VLOOKUP(W130,DM_DUAN,3,0),"")</f>
        <v/>
      </c>
      <c r="W130" s="68"/>
      <c r="X130" s="64" t="str">
        <f>IF(Y130&lt;&gt;0,VLOOKUP(Y130,DM_DUAN,3,0),"")</f>
        <v>#N/A</v>
      </c>
      <c r="Y130" s="69" t="s">
        <v>176</v>
      </c>
      <c r="Z130" s="64" t="str">
        <f>IF(AA130&lt;&gt;0,VLOOKUP(AA130,DM_DUAN,3,0),"")</f>
        <v>#N/A</v>
      </c>
      <c r="AA130" s="70" t="s">
        <v>183</v>
      </c>
      <c r="AB130" s="64" t="str">
        <f>IF(AC130&lt;&gt;0,VLOOKUP(AC130,DM_DUAN,3,0),"")</f>
        <v/>
      </c>
      <c r="AC130" s="70"/>
      <c r="AD130" s="64" t="str">
        <f>IF(AC130&lt;&gt;0,VLOOKUP(AC130,DM_NV,2,0),"")</f>
        <v/>
      </c>
      <c r="AE130" s="83"/>
      <c r="AF130" s="64" t="str">
        <f>IF(AE130&lt;&gt;0,VLOOKUP(AE130,DM_NV,2,0),"")</f>
        <v/>
      </c>
    </row>
    <row r="131">
      <c r="A131" s="51"/>
      <c r="B131" s="52"/>
      <c r="C131" s="53" t="str">
        <f t="shared" si="1"/>
        <v>01/2022</v>
      </c>
      <c r="D131" s="99">
        <v>44592.0</v>
      </c>
      <c r="E131" s="91" t="s">
        <v>309</v>
      </c>
      <c r="F131" s="92"/>
      <c r="G131" s="57" t="s">
        <v>249</v>
      </c>
      <c r="H131" s="58" t="str">
        <f>IF(G131="","",VLOOKUP($G131,'Quy chuẩn hạch toán'!$B:$E,2,0))</f>
        <v>642</v>
      </c>
      <c r="I131" s="58" t="str">
        <f>IF(H131="","",VLOOKUP($G131,'Quy chuẩn hạch toán'!$B:$E,3,0))</f>
        <v>331</v>
      </c>
      <c r="J131" s="59">
        <v>285714.0</v>
      </c>
      <c r="K131" s="60"/>
      <c r="L131" s="61"/>
      <c r="M131" s="62"/>
      <c r="N131" s="63"/>
      <c r="O131" s="64" t="str">
        <f>IF($Q131&lt;&gt;0,VLOOKUP($Q131,DM_KM,3,0),"")</f>
        <v>THUEVP</v>
      </c>
      <c r="P131" s="64">
        <f>IF($Q131&lt;&gt;0,VLOOKUP($Q131,DM_KM,5,0),"")</f>
        <v>642</v>
      </c>
      <c r="Q131" s="65" t="s">
        <v>270</v>
      </c>
      <c r="R131" s="64" t="str">
        <f>IF(S131&lt;&gt;0,VLOOKUP(S131,DM_DUAN,3,0),"")</f>
        <v>#N/A</v>
      </c>
      <c r="S131" s="66" t="str">
        <f>IF(U131&lt;&gt;0,VLOOKUP(U131,DM_DUAN,3,0),"")</f>
        <v/>
      </c>
      <c r="T131" s="64"/>
      <c r="U131" s="93"/>
      <c r="V131" s="64" t="str">
        <f>IF(W131&lt;&gt;0,VLOOKUP(W131,DM_DUAN,3,0),"")</f>
        <v/>
      </c>
      <c r="W131" s="68"/>
      <c r="X131" s="64" t="str">
        <f>IF(Y131&lt;&gt;0,VLOOKUP(Y131,DM_DUAN,3,0),"")</f>
        <v>#N/A</v>
      </c>
      <c r="Y131" s="69" t="s">
        <v>176</v>
      </c>
      <c r="Z131" s="64" t="str">
        <f>IF(AA131&lt;&gt;0,VLOOKUP(AA131,DM_DUAN,3,0),"")</f>
        <v>#N/A</v>
      </c>
      <c r="AA131" s="70" t="s">
        <v>177</v>
      </c>
      <c r="AB131" s="64" t="str">
        <f>IF(AC131&lt;&gt;0,VLOOKUP(AC131,DM_DUAN,3,0),"")</f>
        <v/>
      </c>
      <c r="AC131" s="70"/>
      <c r="AD131" s="64" t="str">
        <f>IF(AC131&lt;&gt;0,VLOOKUP(AC131,DM_NV,2,0),"")</f>
        <v/>
      </c>
      <c r="AE131" s="83"/>
      <c r="AF131" s="64" t="str">
        <f>IF(AE131&lt;&gt;0,VLOOKUP(AE131,DM_NV,2,0),"")</f>
        <v/>
      </c>
    </row>
    <row r="132">
      <c r="A132" s="51"/>
      <c r="B132" s="52"/>
      <c r="C132" s="53" t="str">
        <f t="shared" si="1"/>
        <v>01/2022</v>
      </c>
      <c r="D132" s="99">
        <v>44592.0</v>
      </c>
      <c r="E132" s="91" t="s">
        <v>310</v>
      </c>
      <c r="F132" s="92"/>
      <c r="G132" s="57" t="s">
        <v>249</v>
      </c>
      <c r="H132" s="58" t="str">
        <f>IF(G132="","",VLOOKUP($G132,'Quy chuẩn hạch toán'!$B:$E,2,0))</f>
        <v>642</v>
      </c>
      <c r="I132" s="58" t="str">
        <f>IF(H132="","",VLOOKUP($G132,'Quy chuẩn hạch toán'!$B:$E,3,0))</f>
        <v>331</v>
      </c>
      <c r="J132" s="59">
        <v>1238000.0</v>
      </c>
      <c r="K132" s="60"/>
      <c r="L132" s="61"/>
      <c r="M132" s="62"/>
      <c r="N132" s="63"/>
      <c r="O132" s="64" t="str">
        <f>IF($Q132&lt;&gt;0,VLOOKUP($Q132,DM_KM,3,0),"")</f>
        <v>THUEVP</v>
      </c>
      <c r="P132" s="64">
        <f>IF($Q132&lt;&gt;0,VLOOKUP($Q132,DM_KM,5,0),"")</f>
        <v>642</v>
      </c>
      <c r="Q132" s="65" t="s">
        <v>270</v>
      </c>
      <c r="R132" s="64" t="str">
        <f>IF(S132&lt;&gt;0,VLOOKUP(S132,DM_DUAN,3,0),"")</f>
        <v>#N/A</v>
      </c>
      <c r="S132" s="66" t="str">
        <f>IF(U132&lt;&gt;0,VLOOKUP(U132,DM_DUAN,3,0),"")</f>
        <v/>
      </c>
      <c r="T132" s="64"/>
      <c r="U132" s="93"/>
      <c r="V132" s="64" t="str">
        <f>IF(W132&lt;&gt;0,VLOOKUP(W132,DM_DUAN,3,0),"")</f>
        <v/>
      </c>
      <c r="W132" s="68"/>
      <c r="X132" s="64" t="str">
        <f>IF(Y132&lt;&gt;0,VLOOKUP(Y132,DM_DUAN,3,0),"")</f>
        <v>#N/A</v>
      </c>
      <c r="Y132" s="69" t="s">
        <v>176</v>
      </c>
      <c r="Z132" s="64" t="str">
        <f>IF(AA132&lt;&gt;0,VLOOKUP(AA132,DM_DUAN,3,0),"")</f>
        <v>#N/A</v>
      </c>
      <c r="AA132" s="70" t="s">
        <v>208</v>
      </c>
      <c r="AB132" s="64" t="str">
        <f>IF(AC132&lt;&gt;0,VLOOKUP(AC132,DM_DUAN,3,0),"")</f>
        <v/>
      </c>
      <c r="AC132" s="85"/>
      <c r="AD132" s="64" t="str">
        <f>IF(AC132&lt;&gt;0,VLOOKUP(AC132,DM_NV,2,0),"")</f>
        <v/>
      </c>
      <c r="AE132" s="68"/>
      <c r="AF132" s="64" t="str">
        <f>IF(AE132&lt;&gt;0,VLOOKUP(AE132,DM_NV,2,0),"")</f>
        <v/>
      </c>
    </row>
    <row r="133">
      <c r="A133" s="51"/>
      <c r="B133" s="52"/>
      <c r="C133" s="53" t="str">
        <f t="shared" si="1"/>
        <v>01/2022</v>
      </c>
      <c r="D133" s="99">
        <v>44592.0</v>
      </c>
      <c r="E133" s="91" t="s">
        <v>310</v>
      </c>
      <c r="F133" s="92"/>
      <c r="G133" s="57" t="s">
        <v>249</v>
      </c>
      <c r="H133" s="58" t="str">
        <f>IF(G133="","",VLOOKUP($G133,'Quy chuẩn hạch toán'!$B:$E,2,0))</f>
        <v>642</v>
      </c>
      <c r="I133" s="58" t="str">
        <f>IF(H133="","",VLOOKUP($G133,'Quy chuẩn hạch toán'!$B:$E,3,0))</f>
        <v>331</v>
      </c>
      <c r="J133" s="102">
        <v>825333.0</v>
      </c>
      <c r="K133" s="60"/>
      <c r="L133" s="61"/>
      <c r="M133" s="62"/>
      <c r="N133" s="63"/>
      <c r="O133" s="64" t="str">
        <f>IF($Q133&lt;&gt;0,VLOOKUP($Q133,DM_KM,3,0),"")</f>
        <v>THUEVP</v>
      </c>
      <c r="P133" s="64">
        <f>IF($Q133&lt;&gt;0,VLOOKUP($Q133,DM_KM,5,0),"")</f>
        <v>642</v>
      </c>
      <c r="Q133" s="65" t="s">
        <v>270</v>
      </c>
      <c r="R133" s="64" t="str">
        <f>IF(S133&lt;&gt;0,VLOOKUP(S133,DM_DUAN,3,0),"")</f>
        <v>#N/A</v>
      </c>
      <c r="S133" s="66" t="str">
        <f>IF(U133&lt;&gt;0,VLOOKUP(U133,DM_DUAN,3,0),"")</f>
        <v/>
      </c>
      <c r="T133" s="64"/>
      <c r="U133" s="93"/>
      <c r="V133" s="64" t="str">
        <f>IF(W133&lt;&gt;0,VLOOKUP(W133,DM_DUAN,3,0),"")</f>
        <v/>
      </c>
      <c r="W133" s="68"/>
      <c r="X133" s="64" t="str">
        <f>IF(Y133&lt;&gt;0,VLOOKUP(Y133,DM_DUAN,3,0),"")</f>
        <v>#N/A</v>
      </c>
      <c r="Y133" s="69" t="s">
        <v>176</v>
      </c>
      <c r="Z133" s="64" t="str">
        <f>IF(AA133&lt;&gt;0,VLOOKUP(AA133,DM_DUAN,3,0),"")</f>
        <v>#N/A</v>
      </c>
      <c r="AA133" s="70" t="s">
        <v>210</v>
      </c>
      <c r="AB133" s="64" t="str">
        <f>IF(AC133&lt;&gt;0,VLOOKUP(AC133,DM_DUAN,3,0),"")</f>
        <v/>
      </c>
      <c r="AC133" s="70"/>
      <c r="AD133" s="64" t="str">
        <f>IF(AC133&lt;&gt;0,VLOOKUP(AC133,DM_NV,2,0),"")</f>
        <v/>
      </c>
      <c r="AE133" s="68"/>
      <c r="AF133" s="64" t="str">
        <f>IF(AE133&lt;&gt;0,VLOOKUP(AE133,DM_NV,2,0),"")</f>
        <v/>
      </c>
    </row>
    <row r="134">
      <c r="A134" s="51"/>
      <c r="B134" s="52"/>
      <c r="C134" s="53" t="str">
        <f t="shared" si="1"/>
        <v>01/2022</v>
      </c>
      <c r="D134" s="99">
        <v>44592.0</v>
      </c>
      <c r="E134" s="103" t="s">
        <v>310</v>
      </c>
      <c r="F134" s="104"/>
      <c r="G134" s="57" t="s">
        <v>249</v>
      </c>
      <c r="H134" s="58" t="str">
        <f>IF(G134="","",VLOOKUP($G134,'Quy chuẩn hạch toán'!$B:$E,2,0))</f>
        <v>642</v>
      </c>
      <c r="I134" s="58" t="str">
        <f>IF(H134="","",VLOOKUP($G134,'Quy chuẩn hạch toán'!$B:$E,3,0))</f>
        <v>331</v>
      </c>
      <c r="J134" s="105">
        <v>1650667.0</v>
      </c>
      <c r="K134" s="60"/>
      <c r="L134" s="61"/>
      <c r="M134" s="62"/>
      <c r="N134" s="63"/>
      <c r="O134" s="64" t="str">
        <f>IF($Q134&lt;&gt;0,VLOOKUP($Q134,DM_KM,3,0),"")</f>
        <v>THUEVP</v>
      </c>
      <c r="P134" s="64">
        <f>IF($Q134&lt;&gt;0,VLOOKUP($Q134,DM_KM,5,0),"")</f>
        <v>642</v>
      </c>
      <c r="Q134" s="65" t="s">
        <v>270</v>
      </c>
      <c r="R134" s="64" t="str">
        <f>IF(S134&lt;&gt;0,VLOOKUP(S134,DM_DUAN,3,0),"")</f>
        <v>#N/A</v>
      </c>
      <c r="S134" s="66" t="str">
        <f>IF(U134&lt;&gt;0,VLOOKUP(U134,DM_DUAN,3,0),"")</f>
        <v/>
      </c>
      <c r="T134" s="64"/>
      <c r="U134" s="93"/>
      <c r="V134" s="64" t="str">
        <f>IF(W134&lt;&gt;0,VLOOKUP(W134,DM_DUAN,3,0),"")</f>
        <v/>
      </c>
      <c r="W134" s="68"/>
      <c r="X134" s="64" t="str">
        <f>IF(Y134&lt;&gt;0,VLOOKUP(Y134,DM_DUAN,3,0),"")</f>
        <v>#N/A</v>
      </c>
      <c r="Y134" s="69" t="s">
        <v>176</v>
      </c>
      <c r="Z134" s="64" t="str">
        <f>IF(AA134&lt;&gt;0,VLOOKUP(AA134,DM_DUAN,3,0),"")</f>
        <v>#N/A</v>
      </c>
      <c r="AA134" s="70" t="s">
        <v>183</v>
      </c>
      <c r="AB134" s="64" t="str">
        <f>IF(AC134&lt;&gt;0,VLOOKUP(AC134,DM_DUAN,3,0),"")</f>
        <v/>
      </c>
      <c r="AC134" s="70"/>
      <c r="AD134" s="64" t="str">
        <f>IF(AC134&lt;&gt;0,VLOOKUP(AC134,DM_NV,2,0),"")</f>
        <v/>
      </c>
      <c r="AE134" s="68"/>
      <c r="AF134" s="64" t="str">
        <f>IF(AE134&lt;&gt;0,VLOOKUP(AE134,DM_NV,2,0),"")</f>
        <v/>
      </c>
    </row>
    <row r="135">
      <c r="A135" s="51"/>
      <c r="B135" s="52"/>
      <c r="C135" s="53" t="str">
        <f t="shared" si="1"/>
        <v>01/2022</v>
      </c>
      <c r="D135" s="99">
        <v>44592.0</v>
      </c>
      <c r="E135" s="91" t="s">
        <v>310</v>
      </c>
      <c r="F135" s="92"/>
      <c r="G135" s="57" t="s">
        <v>249</v>
      </c>
      <c r="H135" s="58" t="str">
        <f>IF(G135="","",VLOOKUP($G135,'Quy chuẩn hạch toán'!$B:$E,2,0))</f>
        <v>642</v>
      </c>
      <c r="I135" s="58" t="str">
        <f>IF(H135="","",VLOOKUP($G135,'Quy chuẩn hạch toán'!$B:$E,3,0))</f>
        <v>331</v>
      </c>
      <c r="J135" s="59">
        <v>619000.0</v>
      </c>
      <c r="K135" s="60"/>
      <c r="L135" s="61"/>
      <c r="M135" s="62"/>
      <c r="N135" s="63"/>
      <c r="O135" s="64" t="str">
        <f>IF($Q135&lt;&gt;0,VLOOKUP($Q135,DM_KM,3,0),"")</f>
        <v>THUEVP</v>
      </c>
      <c r="P135" s="64">
        <f>IF($Q135&lt;&gt;0,VLOOKUP($Q135,DM_KM,5,0),"")</f>
        <v>642</v>
      </c>
      <c r="Q135" s="65" t="s">
        <v>270</v>
      </c>
      <c r="R135" s="64" t="str">
        <f>IF(S135&lt;&gt;0,VLOOKUP(S135,DM_DUAN,3,0),"")</f>
        <v>#N/A</v>
      </c>
      <c r="S135" s="66" t="str">
        <f>IF(U135&lt;&gt;0,VLOOKUP(U135,DM_DUAN,3,0),"")</f>
        <v/>
      </c>
      <c r="T135" s="64"/>
      <c r="U135" s="93"/>
      <c r="V135" s="64" t="str">
        <f>IF(W135&lt;&gt;0,VLOOKUP(W135,DM_DUAN,3,0),"")</f>
        <v/>
      </c>
      <c r="W135" s="68"/>
      <c r="X135" s="64" t="str">
        <f>IF(Y135&lt;&gt;0,VLOOKUP(Y135,DM_DUAN,3,0),"")</f>
        <v>#N/A</v>
      </c>
      <c r="Y135" s="69" t="s">
        <v>176</v>
      </c>
      <c r="Z135" s="64" t="str">
        <f>IF(AA135&lt;&gt;0,VLOOKUP(AA135,DM_DUAN,3,0),"")</f>
        <v>#N/A</v>
      </c>
      <c r="AA135" s="70" t="s">
        <v>177</v>
      </c>
      <c r="AB135" s="64" t="str">
        <f>IF(AC135&lt;&gt;0,VLOOKUP(AC135,DM_DUAN,3,0),"")</f>
        <v/>
      </c>
      <c r="AC135" s="70"/>
      <c r="AD135" s="64" t="str">
        <f>IF(AC135&lt;&gt;0,VLOOKUP(AC135,DM_NV,2,0),"")</f>
        <v/>
      </c>
      <c r="AE135" s="68"/>
      <c r="AF135" s="64" t="str">
        <f>IF(AE135&lt;&gt;0,VLOOKUP(AE135,DM_NV,2,0),"")</f>
        <v/>
      </c>
    </row>
    <row r="136">
      <c r="A136" s="51"/>
      <c r="B136" s="52"/>
      <c r="C136" s="53" t="str">
        <f t="shared" si="1"/>
        <v>01/2022</v>
      </c>
      <c r="D136" s="99">
        <v>44592.0</v>
      </c>
      <c r="E136" s="103" t="s">
        <v>311</v>
      </c>
      <c r="F136" s="104"/>
      <c r="G136" s="57" t="s">
        <v>249</v>
      </c>
      <c r="H136" s="58" t="str">
        <f>IF(G136="","",VLOOKUP($G136,'Quy chuẩn hạch toán'!$B:$E,2,0))</f>
        <v>642</v>
      </c>
      <c r="I136" s="58" t="str">
        <f>IF(H136="","",VLOOKUP($G136,'Quy chuẩn hạch toán'!$B:$E,3,0))</f>
        <v>331</v>
      </c>
      <c r="J136" s="106">
        <v>7800000.0</v>
      </c>
      <c r="K136" s="60"/>
      <c r="L136" s="61"/>
      <c r="M136" s="62"/>
      <c r="N136" s="63"/>
      <c r="O136" s="64" t="str">
        <f>IF($Q136&lt;&gt;0,VLOOKUP($Q136,DM_KM,3,0),"")</f>
        <v>THUEVP</v>
      </c>
      <c r="P136" s="64">
        <f>IF($Q136&lt;&gt;0,VLOOKUP($Q136,DM_KM,5,0),"")</f>
        <v>642</v>
      </c>
      <c r="Q136" s="65" t="s">
        <v>270</v>
      </c>
      <c r="R136" s="64" t="str">
        <f>IF(S136&lt;&gt;0,VLOOKUP(S136,DM_DUAN,3,0),"")</f>
        <v>#N/A</v>
      </c>
      <c r="S136" s="66" t="str">
        <f>IF(U136&lt;&gt;0,VLOOKUP(U136,DM_DUAN,3,0),"")</f>
        <v/>
      </c>
      <c r="T136" s="64"/>
      <c r="U136" s="93"/>
      <c r="V136" s="64" t="str">
        <f>IF(W136&lt;&gt;0,VLOOKUP(W136,DM_DUAN,3,0),"")</f>
        <v/>
      </c>
      <c r="W136" s="68"/>
      <c r="X136" s="64" t="str">
        <f>IF(Y136&lt;&gt;0,VLOOKUP(Y136,DM_DUAN,3,0),"")</f>
        <v>#N/A</v>
      </c>
      <c r="Y136" s="69" t="s">
        <v>176</v>
      </c>
      <c r="Z136" s="64" t="str">
        <f>IF(AA136&lt;&gt;0,VLOOKUP(AA136,DM_DUAN,3,0),"")</f>
        <v>#N/A</v>
      </c>
      <c r="AA136" s="70" t="s">
        <v>210</v>
      </c>
      <c r="AB136" s="64" t="str">
        <f>IF(AC136&lt;&gt;0,VLOOKUP(AC136,DM_DUAN,3,0),"")</f>
        <v/>
      </c>
      <c r="AC136" s="85"/>
      <c r="AD136" s="64" t="str">
        <f>IF(AC136&lt;&gt;0,VLOOKUP(AC136,DM_NV,2,0),"")</f>
        <v/>
      </c>
      <c r="AE136" s="68"/>
      <c r="AF136" s="64" t="str">
        <f>IF(AE136&lt;&gt;0,VLOOKUP(AE136,DM_NV,2,0),"")</f>
        <v/>
      </c>
    </row>
    <row r="137">
      <c r="A137" s="51"/>
      <c r="B137" s="52"/>
      <c r="C137" s="53" t="str">
        <f t="shared" si="1"/>
        <v>01/2022</v>
      </c>
      <c r="D137" s="99">
        <v>44592.0</v>
      </c>
      <c r="E137" s="103" t="s">
        <v>312</v>
      </c>
      <c r="F137" s="104"/>
      <c r="G137" s="57" t="s">
        <v>249</v>
      </c>
      <c r="H137" s="58" t="str">
        <f>IF(G137="","",VLOOKUP($G137,'Quy chuẩn hạch toán'!$B:$E,2,0))</f>
        <v>642</v>
      </c>
      <c r="I137" s="58" t="str">
        <f>IF(H137="","",VLOOKUP($G137,'Quy chuẩn hạch toán'!$B:$E,3,0))</f>
        <v>331</v>
      </c>
      <c r="J137" s="106">
        <v>7800000.0</v>
      </c>
      <c r="K137" s="60"/>
      <c r="L137" s="61"/>
      <c r="M137" s="62"/>
      <c r="N137" s="63"/>
      <c r="O137" s="64" t="str">
        <f>IF($Q137&lt;&gt;0,VLOOKUP($Q137,DM_KM,3,0),"")</f>
        <v>THUEVP</v>
      </c>
      <c r="P137" s="64">
        <f>IF($Q137&lt;&gt;0,VLOOKUP($Q137,DM_KM,5,0),"")</f>
        <v>642</v>
      </c>
      <c r="Q137" s="65" t="s">
        <v>270</v>
      </c>
      <c r="R137" s="64" t="str">
        <f>IF(S137&lt;&gt;0,VLOOKUP(S137,DM_DUAN,3,0),"")</f>
        <v>#N/A</v>
      </c>
      <c r="S137" s="66" t="str">
        <f>IF(U137&lt;&gt;0,VLOOKUP(U137,DM_DUAN,3,0),"")</f>
        <v/>
      </c>
      <c r="T137" s="64"/>
      <c r="U137" s="93"/>
      <c r="V137" s="64" t="str">
        <f>IF(W137&lt;&gt;0,VLOOKUP(W137,DM_DUAN,3,0),"")</f>
        <v/>
      </c>
      <c r="W137" s="68"/>
      <c r="X137" s="64" t="str">
        <f>IF(Y137&lt;&gt;0,VLOOKUP(Y137,DM_DUAN,3,0),"")</f>
        <v>#N/A</v>
      </c>
      <c r="Y137" s="69" t="s">
        <v>176</v>
      </c>
      <c r="Z137" s="64" t="str">
        <f>IF(AA137&lt;&gt;0,VLOOKUP(AA137,DM_DUAN,3,0),"")</f>
        <v>#N/A</v>
      </c>
      <c r="AA137" s="70" t="s">
        <v>177</v>
      </c>
      <c r="AB137" s="64" t="str">
        <f>IF(AC137&lt;&gt;0,VLOOKUP(AC137,DM_DUAN,3,0),"")</f>
        <v/>
      </c>
      <c r="AC137" s="85"/>
      <c r="AD137" s="64" t="str">
        <f>IF(AC137&lt;&gt;0,VLOOKUP(AC137,DM_NV,2,0),"")</f>
        <v/>
      </c>
      <c r="AE137" s="68"/>
      <c r="AF137" s="64" t="str">
        <f>IF(AE137&lt;&gt;0,VLOOKUP(AE137,DM_NV,2,0),"")</f>
        <v/>
      </c>
    </row>
    <row r="138">
      <c r="A138" s="51"/>
      <c r="B138" s="52"/>
      <c r="C138" s="53" t="str">
        <f t="shared" si="1"/>
        <v>01/2022</v>
      </c>
      <c r="D138" s="99">
        <v>44592.0</v>
      </c>
      <c r="E138" s="103" t="s">
        <v>313</v>
      </c>
      <c r="F138" s="104"/>
      <c r="G138" s="57" t="s">
        <v>249</v>
      </c>
      <c r="H138" s="58" t="str">
        <f>IF(G138="","",VLOOKUP($G138,'Quy chuẩn hạch toán'!$B:$E,2,0))</f>
        <v>642</v>
      </c>
      <c r="I138" s="58" t="str">
        <f>IF(H138="","",VLOOKUP($G138,'Quy chuẩn hạch toán'!$B:$E,3,0))</f>
        <v>331</v>
      </c>
      <c r="J138" s="106">
        <v>7800000.0</v>
      </c>
      <c r="K138" s="60"/>
      <c r="L138" s="61"/>
      <c r="M138" s="62"/>
      <c r="N138" s="63"/>
      <c r="O138" s="64" t="str">
        <f>IF($Q138&lt;&gt;0,VLOOKUP($Q138,DM_KM,3,0),"")</f>
        <v>THUEVP</v>
      </c>
      <c r="P138" s="64">
        <f>IF($Q138&lt;&gt;0,VLOOKUP($Q138,DM_KM,5,0),"")</f>
        <v>642</v>
      </c>
      <c r="Q138" s="65" t="s">
        <v>270</v>
      </c>
      <c r="R138" s="64" t="str">
        <f>IF(S138&lt;&gt;0,VLOOKUP(S138,DM_DUAN,3,0),"")</f>
        <v>#N/A</v>
      </c>
      <c r="S138" s="66" t="str">
        <f>IF(U138&lt;&gt;0,VLOOKUP(U138,DM_DUAN,3,0),"")</f>
        <v/>
      </c>
      <c r="T138" s="64"/>
      <c r="U138" s="93"/>
      <c r="V138" s="64" t="str">
        <f>IF(W138&lt;&gt;0,VLOOKUP(W138,DM_DUAN,3,0),"")</f>
        <v/>
      </c>
      <c r="W138" s="68"/>
      <c r="X138" s="64" t="str">
        <f>IF(Y138&lt;&gt;0,VLOOKUP(Y138,DM_DUAN,3,0),"")</f>
        <v>#N/A</v>
      </c>
      <c r="Y138" s="69" t="s">
        <v>176</v>
      </c>
      <c r="Z138" s="64" t="str">
        <f>IF(AA138&lt;&gt;0,VLOOKUP(AA138,DM_DUAN,3,0),"")</f>
        <v>#N/A</v>
      </c>
      <c r="AA138" s="70" t="s">
        <v>208</v>
      </c>
      <c r="AB138" s="64" t="str">
        <f>IF(AC138&lt;&gt;0,VLOOKUP(AC138,DM_DUAN,3,0),"")</f>
        <v/>
      </c>
      <c r="AC138" s="85"/>
      <c r="AD138" s="64" t="str">
        <f>IF(AC138&lt;&gt;0,VLOOKUP(AC138,DM_NV,2,0),"")</f>
        <v/>
      </c>
      <c r="AE138" s="68"/>
      <c r="AF138" s="64" t="str">
        <f>IF(AE138&lt;&gt;0,VLOOKUP(AE138,DM_NV,2,0),"")</f>
        <v/>
      </c>
    </row>
    <row r="139">
      <c r="A139" s="51"/>
      <c r="B139" s="52"/>
      <c r="C139" s="53" t="str">
        <f t="shared" si="1"/>
        <v>01/2022</v>
      </c>
      <c r="D139" s="99">
        <v>44592.0</v>
      </c>
      <c r="E139" s="91" t="s">
        <v>314</v>
      </c>
      <c r="F139" s="92"/>
      <c r="G139" s="57" t="s">
        <v>249</v>
      </c>
      <c r="H139" s="58" t="str">
        <f>IF(G139="","",VLOOKUP($G139,'Quy chuẩn hạch toán'!$B:$E,2,0))</f>
        <v>642</v>
      </c>
      <c r="I139" s="58" t="str">
        <f>IF(H139="","",VLOOKUP($G139,'Quy chuẩn hạch toán'!$B:$E,3,0))</f>
        <v>331</v>
      </c>
      <c r="J139" s="95">
        <v>1.56E7</v>
      </c>
      <c r="K139" s="60"/>
      <c r="L139" s="61"/>
      <c r="M139" s="62"/>
      <c r="N139" s="63"/>
      <c r="O139" s="64" t="str">
        <f>IF($Q139&lt;&gt;0,VLOOKUP($Q139,DM_KM,3,0),"")</f>
        <v>THUEVP</v>
      </c>
      <c r="P139" s="64">
        <f>IF($Q139&lt;&gt;0,VLOOKUP($Q139,DM_KM,5,0),"")</f>
        <v>642</v>
      </c>
      <c r="Q139" s="65" t="s">
        <v>270</v>
      </c>
      <c r="R139" s="64" t="str">
        <f>IF(S139&lt;&gt;0,VLOOKUP(S139,DM_DUAN,3,0),"")</f>
        <v>#N/A</v>
      </c>
      <c r="S139" s="66" t="str">
        <f>IF(U139&lt;&gt;0,VLOOKUP(U139,DM_DUAN,3,0),"")</f>
        <v/>
      </c>
      <c r="T139" s="64"/>
      <c r="U139" s="93"/>
      <c r="V139" s="64" t="str">
        <f>IF(W139&lt;&gt;0,VLOOKUP(W139,DM_DUAN,3,0),"")</f>
        <v/>
      </c>
      <c r="W139" s="68"/>
      <c r="X139" s="64" t="str">
        <f>IF(Y139&lt;&gt;0,VLOOKUP(Y139,DM_DUAN,3,0),"")</f>
        <v>#N/A</v>
      </c>
      <c r="Y139" s="69" t="s">
        <v>176</v>
      </c>
      <c r="Z139" s="64" t="str">
        <f>IF(AA139&lt;&gt;0,VLOOKUP(AA139,DM_DUAN,3,0),"")</f>
        <v>#N/A</v>
      </c>
      <c r="AA139" s="70" t="s">
        <v>183</v>
      </c>
      <c r="AB139" s="64" t="str">
        <f>IF(AC139&lt;&gt;0,VLOOKUP(AC139,DM_DUAN,3,0),"")</f>
        <v/>
      </c>
      <c r="AC139" s="85"/>
      <c r="AD139" s="64" t="str">
        <f>IF(AC139&lt;&gt;0,VLOOKUP(AC139,DM_NV,2,0),"")</f>
        <v/>
      </c>
      <c r="AE139" s="68"/>
      <c r="AF139" s="64" t="str">
        <f>IF(AE139&lt;&gt;0,VLOOKUP(AE139,DM_NV,2,0),"")</f>
        <v/>
      </c>
    </row>
    <row r="140">
      <c r="A140" s="51"/>
      <c r="B140" s="52"/>
      <c r="C140" s="53" t="str">
        <f t="shared" si="1"/>
        <v>01/2022</v>
      </c>
      <c r="D140" s="99">
        <v>44592.0</v>
      </c>
      <c r="E140" s="107" t="s">
        <v>315</v>
      </c>
      <c r="F140" s="108"/>
      <c r="G140" s="109" t="s">
        <v>316</v>
      </c>
      <c r="H140" s="58" t="str">
        <f>IF(G140="","",VLOOKUP($G140,'Quy chuẩn hạch toán'!$B:$E,2,0))</f>
        <v>911</v>
      </c>
      <c r="I140" s="58" t="str">
        <f>IF(H140="","",VLOOKUP($G140,'Quy chuẩn hạch toán'!$B:$E,3,0))</f>
        <v>642</v>
      </c>
      <c r="J140" s="105">
        <v>1.7245855E7</v>
      </c>
      <c r="K140" s="60"/>
      <c r="L140" s="61"/>
      <c r="M140" s="62"/>
      <c r="N140" s="63"/>
      <c r="O140" s="64"/>
      <c r="P140" s="64"/>
      <c r="Q140" s="65"/>
      <c r="R140" s="64"/>
      <c r="S140" s="66"/>
      <c r="T140" s="64"/>
      <c r="U140" s="93"/>
      <c r="V140" s="64"/>
      <c r="W140" s="68"/>
      <c r="X140" s="64"/>
      <c r="Y140" s="69"/>
      <c r="Z140" s="64"/>
      <c r="AA140" s="70" t="s">
        <v>210</v>
      </c>
      <c r="AB140" s="64"/>
      <c r="AC140" s="70"/>
      <c r="AD140" s="64" t="str">
        <f>IF(AC140&lt;&gt;0,VLOOKUP(AC140,DM_NV,2,0),"")</f>
        <v/>
      </c>
      <c r="AE140" s="83"/>
      <c r="AF140" s="64" t="str">
        <f>IF(AE140&lt;&gt;0,VLOOKUP(AE140,DM_NV,2,0),"")</f>
        <v/>
      </c>
    </row>
    <row r="141">
      <c r="A141" s="51"/>
      <c r="B141" s="52"/>
      <c r="C141" s="53" t="str">
        <f t="shared" si="1"/>
        <v>01/2022</v>
      </c>
      <c r="D141" s="99">
        <v>44592.0</v>
      </c>
      <c r="E141" s="107" t="s">
        <v>317</v>
      </c>
      <c r="F141" s="108"/>
      <c r="G141" s="109" t="s">
        <v>316</v>
      </c>
      <c r="H141" s="58" t="str">
        <f>IF(G141="","",VLOOKUP($G141,'Quy chuẩn hạch toán'!$B:$E,2,0))</f>
        <v>911</v>
      </c>
      <c r="I141" s="58" t="str">
        <f>IF(H141="","",VLOOKUP($G141,'Quy chuẩn hạch toán'!$B:$E,3,0))</f>
        <v>642</v>
      </c>
      <c r="J141" s="105">
        <v>1.4884391E7</v>
      </c>
      <c r="K141" s="60"/>
      <c r="L141" s="61"/>
      <c r="M141" s="62"/>
      <c r="N141" s="63"/>
      <c r="O141" s="64"/>
      <c r="P141" s="64"/>
      <c r="Q141" s="65"/>
      <c r="R141" s="64"/>
      <c r="S141" s="66"/>
      <c r="T141" s="64"/>
      <c r="U141" s="93"/>
      <c r="V141" s="64"/>
      <c r="W141" s="68"/>
      <c r="X141" s="64"/>
      <c r="Y141" s="69"/>
      <c r="Z141" s="64"/>
      <c r="AA141" s="70" t="s">
        <v>177</v>
      </c>
      <c r="AB141" s="64"/>
      <c r="AC141" s="70"/>
      <c r="AD141" s="64" t="str">
        <f>IF(AC141&lt;&gt;0,VLOOKUP(AC141,DM_NV,2,0),"")</f>
        <v/>
      </c>
      <c r="AE141" s="83"/>
      <c r="AF141" s="64" t="str">
        <f>IF(AE141&lt;&gt;0,VLOOKUP(AE141,DM_NV,2,0),"")</f>
        <v/>
      </c>
    </row>
    <row r="142">
      <c r="A142" s="51"/>
      <c r="B142" s="52"/>
      <c r="C142" s="53" t="str">
        <f t="shared" si="1"/>
        <v>01/2022</v>
      </c>
      <c r="D142" s="99">
        <v>44592.0</v>
      </c>
      <c r="E142" s="107" t="s">
        <v>318</v>
      </c>
      <c r="F142" s="108"/>
      <c r="G142" s="109" t="s">
        <v>316</v>
      </c>
      <c r="H142" s="58" t="str">
        <f>IF(G142="","",VLOOKUP($G142,'Quy chuẩn hạch toán'!$B:$E,2,0))</f>
        <v>911</v>
      </c>
      <c r="I142" s="58" t="str">
        <f>IF(H142="","",VLOOKUP($G142,'Quy chuẩn hạch toán'!$B:$E,3,0))</f>
        <v>642</v>
      </c>
      <c r="J142" s="105">
        <v>3.4491711E7</v>
      </c>
      <c r="K142" s="60"/>
      <c r="L142" s="61"/>
      <c r="M142" s="62"/>
      <c r="N142" s="63"/>
      <c r="O142" s="64"/>
      <c r="P142" s="64"/>
      <c r="Q142" s="65"/>
      <c r="R142" s="64"/>
      <c r="S142" s="66"/>
      <c r="T142" s="64"/>
      <c r="U142" s="93"/>
      <c r="V142" s="64"/>
      <c r="W142" s="68"/>
      <c r="X142" s="64"/>
      <c r="Y142" s="69"/>
      <c r="Z142" s="64"/>
      <c r="AA142" s="70" t="s">
        <v>183</v>
      </c>
      <c r="AB142" s="64"/>
      <c r="AC142" s="70"/>
      <c r="AD142" s="64" t="str">
        <f>IF(AC142&lt;&gt;0,VLOOKUP(AC142,DM_NV,2,0),"")</f>
        <v/>
      </c>
      <c r="AE142" s="83"/>
      <c r="AF142" s="64" t="str">
        <f>IF(AE142&lt;&gt;0,VLOOKUP(AE142,DM_NV,2,0),"")</f>
        <v/>
      </c>
    </row>
    <row r="143">
      <c r="A143" s="51"/>
      <c r="B143" s="52"/>
      <c r="C143" s="53" t="str">
        <f t="shared" si="1"/>
        <v>01/2022</v>
      </c>
      <c r="D143" s="99">
        <v>44592.0</v>
      </c>
      <c r="E143" s="107" t="s">
        <v>319</v>
      </c>
      <c r="F143" s="108"/>
      <c r="G143" s="109" t="s">
        <v>316</v>
      </c>
      <c r="H143" s="58" t="str">
        <f>IF(G143="","",VLOOKUP($G143,'Quy chuẩn hạch toán'!$B:$E,2,0))</f>
        <v>911</v>
      </c>
      <c r="I143" s="58" t="str">
        <f>IF(H143="","",VLOOKUP($G143,'Quy chuẩn hạch toán'!$B:$E,3,0))</f>
        <v>642</v>
      </c>
      <c r="J143" s="105">
        <v>2.1968784E7</v>
      </c>
      <c r="K143" s="60"/>
      <c r="L143" s="61"/>
      <c r="M143" s="62"/>
      <c r="N143" s="63"/>
      <c r="O143" s="64"/>
      <c r="P143" s="64"/>
      <c r="Q143" s="65"/>
      <c r="R143" s="64"/>
      <c r="S143" s="66"/>
      <c r="T143" s="64"/>
      <c r="U143" s="93"/>
      <c r="V143" s="64"/>
      <c r="W143" s="68"/>
      <c r="X143" s="64"/>
      <c r="Y143" s="69"/>
      <c r="Z143" s="64"/>
      <c r="AA143" s="70" t="s">
        <v>208</v>
      </c>
      <c r="AB143" s="64"/>
      <c r="AC143" s="70"/>
      <c r="AD143" s="64" t="str">
        <f>IF(AC143&lt;&gt;0,VLOOKUP(AC143,DM_NV,2,0),"")</f>
        <v/>
      </c>
      <c r="AE143" s="83"/>
      <c r="AF143" s="64" t="str">
        <f>IF(AE143&lt;&gt;0,VLOOKUP(AE143,DM_NV,2,0),"")</f>
        <v/>
      </c>
    </row>
    <row r="144">
      <c r="A144" s="51"/>
      <c r="B144" s="52"/>
      <c r="C144" s="53" t="str">
        <f t="shared" si="1"/>
        <v>01/2022</v>
      </c>
      <c r="D144" s="99">
        <v>44592.0</v>
      </c>
      <c r="E144" s="107" t="s">
        <v>320</v>
      </c>
      <c r="F144" s="108"/>
      <c r="G144" s="109" t="s">
        <v>321</v>
      </c>
      <c r="H144" s="58" t="str">
        <f>IF(G144="","",VLOOKUP($G144,'Quy chuẩn hạch toán'!$B:$E,2,0))</f>
        <v>911</v>
      </c>
      <c r="I144" s="58" t="str">
        <f>IF(H144="","",VLOOKUP($G144,'Quy chuẩn hạch toán'!$B:$E,3,0))</f>
        <v>641</v>
      </c>
      <c r="J144" s="105">
        <v>1.0135389E7</v>
      </c>
      <c r="K144" s="60"/>
      <c r="L144" s="61"/>
      <c r="M144" s="62"/>
      <c r="N144" s="63"/>
      <c r="O144" s="64"/>
      <c r="P144" s="64"/>
      <c r="Q144" s="65"/>
      <c r="R144" s="64"/>
      <c r="S144" s="66"/>
      <c r="T144" s="64"/>
      <c r="U144" s="93"/>
      <c r="V144" s="64"/>
      <c r="W144" s="68"/>
      <c r="X144" s="64"/>
      <c r="Y144" s="69"/>
      <c r="Z144" s="64"/>
      <c r="AA144" s="70" t="s">
        <v>210</v>
      </c>
      <c r="AB144" s="64"/>
      <c r="AC144" s="70"/>
      <c r="AD144" s="64" t="str">
        <f>IF(AC144&lt;&gt;0,VLOOKUP(AC144,DM_NV,2,0),"")</f>
        <v/>
      </c>
      <c r="AE144" s="83"/>
      <c r="AF144" s="64" t="str">
        <f>IF(AE144&lt;&gt;0,VLOOKUP(AE144,DM_NV,2,0),"")</f>
        <v/>
      </c>
    </row>
    <row r="145">
      <c r="A145" s="51"/>
      <c r="B145" s="52"/>
      <c r="C145" s="53" t="str">
        <f t="shared" si="1"/>
        <v>01/2022</v>
      </c>
      <c r="D145" s="99">
        <v>44592.0</v>
      </c>
      <c r="E145" s="107" t="s">
        <v>322</v>
      </c>
      <c r="F145" s="108"/>
      <c r="G145" s="109" t="s">
        <v>321</v>
      </c>
      <c r="H145" s="58" t="str">
        <f>IF(G145="","",VLOOKUP($G145,'Quy chuẩn hạch toán'!$B:$E,2,0))</f>
        <v>911</v>
      </c>
      <c r="I145" s="58" t="str">
        <f>IF(H145="","",VLOOKUP($G145,'Quy chuẩn hạch toán'!$B:$E,3,0))</f>
        <v>641</v>
      </c>
      <c r="J145" s="105">
        <v>1.9577772E7</v>
      </c>
      <c r="K145" s="60"/>
      <c r="L145" s="61"/>
      <c r="M145" s="62"/>
      <c r="N145" s="63"/>
      <c r="O145" s="64"/>
      <c r="P145" s="64"/>
      <c r="Q145" s="65"/>
      <c r="R145" s="64"/>
      <c r="S145" s="66"/>
      <c r="T145" s="64"/>
      <c r="U145" s="93"/>
      <c r="V145" s="64"/>
      <c r="W145" s="68"/>
      <c r="X145" s="64"/>
      <c r="Y145" s="69"/>
      <c r="Z145" s="64"/>
      <c r="AA145" s="70" t="s">
        <v>177</v>
      </c>
      <c r="AB145" s="64"/>
      <c r="AC145" s="70"/>
      <c r="AD145" s="64" t="str">
        <f>IF(AC145&lt;&gt;0,VLOOKUP(AC145,DM_NV,2,0),"")</f>
        <v/>
      </c>
      <c r="AE145" s="83"/>
      <c r="AF145" s="64" t="str">
        <f>IF(AE145&lt;&gt;0,VLOOKUP(AE145,DM_NV,2,0),"")</f>
        <v/>
      </c>
    </row>
    <row r="146">
      <c r="A146" s="51"/>
      <c r="B146" s="52"/>
      <c r="C146" s="53" t="str">
        <f t="shared" si="1"/>
        <v>01/2022</v>
      </c>
      <c r="D146" s="99">
        <v>44592.0</v>
      </c>
      <c r="E146" s="107" t="s">
        <v>323</v>
      </c>
      <c r="F146" s="108"/>
      <c r="G146" s="109" t="s">
        <v>321</v>
      </c>
      <c r="H146" s="58" t="str">
        <f>IF(G146="","",VLOOKUP($G146,'Quy chuẩn hạch toán'!$B:$E,2,0))</f>
        <v>911</v>
      </c>
      <c r="I146" s="58" t="str">
        <f>IF(H146="","",VLOOKUP($G146,'Quy chuẩn hạch toán'!$B:$E,3,0))</f>
        <v>641</v>
      </c>
      <c r="J146" s="105">
        <v>3.7436008E7</v>
      </c>
      <c r="K146" s="60"/>
      <c r="L146" s="61"/>
      <c r="M146" s="62"/>
      <c r="N146" s="63"/>
      <c r="O146" s="64"/>
      <c r="P146" s="64"/>
      <c r="Q146" s="65"/>
      <c r="R146" s="64"/>
      <c r="S146" s="66"/>
      <c r="T146" s="64"/>
      <c r="U146" s="93"/>
      <c r="V146" s="64"/>
      <c r="W146" s="68"/>
      <c r="X146" s="64"/>
      <c r="Y146" s="69"/>
      <c r="Z146" s="64"/>
      <c r="AA146" s="70" t="s">
        <v>183</v>
      </c>
      <c r="AB146" s="64"/>
      <c r="AC146" s="70"/>
      <c r="AD146" s="64" t="str">
        <f>IF(AC146&lt;&gt;0,VLOOKUP(AC146,DM_NV,2,0),"")</f>
        <v/>
      </c>
      <c r="AE146" s="83"/>
      <c r="AF146" s="64" t="str">
        <f>IF(AE146&lt;&gt;0,VLOOKUP(AE146,DM_NV,2,0),"")</f>
        <v/>
      </c>
    </row>
    <row r="147">
      <c r="A147" s="51"/>
      <c r="B147" s="52"/>
      <c r="C147" s="53" t="str">
        <f t="shared" si="1"/>
        <v>01/2022</v>
      </c>
      <c r="D147" s="99">
        <v>44592.0</v>
      </c>
      <c r="E147" s="107" t="s">
        <v>324</v>
      </c>
      <c r="F147" s="108"/>
      <c r="G147" s="109" t="s">
        <v>321</v>
      </c>
      <c r="H147" s="58" t="str">
        <f>IF(G147="","",VLOOKUP($G147,'Quy chuẩn hạch toán'!$B:$E,2,0))</f>
        <v>911</v>
      </c>
      <c r="I147" s="58" t="str">
        <f>IF(H147="","",VLOOKUP($G147,'Quy chuẩn hạch toán'!$B:$E,3,0))</f>
        <v>641</v>
      </c>
      <c r="J147" s="105">
        <v>2.806516E7</v>
      </c>
      <c r="K147" s="60"/>
      <c r="L147" s="61"/>
      <c r="M147" s="62"/>
      <c r="N147" s="63"/>
      <c r="O147" s="64"/>
      <c r="P147" s="64"/>
      <c r="Q147" s="65"/>
      <c r="R147" s="64"/>
      <c r="S147" s="66"/>
      <c r="T147" s="64"/>
      <c r="U147" s="93"/>
      <c r="V147" s="64"/>
      <c r="W147" s="68"/>
      <c r="X147" s="64"/>
      <c r="Y147" s="69"/>
      <c r="Z147" s="64"/>
      <c r="AA147" s="70" t="s">
        <v>208</v>
      </c>
      <c r="AB147" s="64"/>
      <c r="AC147" s="70"/>
      <c r="AD147" s="64" t="str">
        <f>IF(AC147&lt;&gt;0,VLOOKUP(AC147,DM_NV,2,0),"")</f>
        <v/>
      </c>
      <c r="AE147" s="83"/>
      <c r="AF147" s="64" t="str">
        <f>IF(AE147&lt;&gt;0,VLOOKUP(AE147,DM_NV,2,0),"")</f>
        <v/>
      </c>
    </row>
    <row r="148">
      <c r="A148" s="51"/>
      <c r="B148" s="52"/>
      <c r="C148" s="53" t="str">
        <f t="shared" si="1"/>
        <v>01/2022</v>
      </c>
      <c r="D148" s="99">
        <v>44592.0</v>
      </c>
      <c r="E148" s="107" t="s">
        <v>325</v>
      </c>
      <c r="F148" s="108"/>
      <c r="G148" s="109" t="s">
        <v>326</v>
      </c>
      <c r="H148" s="58" t="str">
        <f>IF(G148="","",VLOOKUP($G148,'Quy chuẩn hạch toán'!$B:$E,2,0))</f>
        <v>911</v>
      </c>
      <c r="I148" s="58" t="str">
        <f>IF(H148="","",VLOOKUP($G148,'Quy chuẩn hạch toán'!$B:$E,3,0))</f>
        <v>632</v>
      </c>
      <c r="J148" s="105">
        <v>6.65E7</v>
      </c>
      <c r="K148" s="60"/>
      <c r="L148" s="61"/>
      <c r="M148" s="62"/>
      <c r="N148" s="63"/>
      <c r="O148" s="64"/>
      <c r="P148" s="64"/>
      <c r="Q148" s="65"/>
      <c r="R148" s="64"/>
      <c r="S148" s="66"/>
      <c r="T148" s="64"/>
      <c r="U148" s="93"/>
      <c r="V148" s="64"/>
      <c r="W148" s="68"/>
      <c r="X148" s="64"/>
      <c r="Y148" s="69"/>
      <c r="Z148" s="64"/>
      <c r="AA148" s="70" t="s">
        <v>183</v>
      </c>
      <c r="AB148" s="64"/>
      <c r="AC148" s="70"/>
      <c r="AD148" s="64" t="str">
        <f>IF(AC148&lt;&gt;0,VLOOKUP(AC148,DM_NV,2,0),"")</f>
        <v/>
      </c>
      <c r="AE148" s="83"/>
      <c r="AF148" s="64" t="str">
        <f>IF(AE148&lt;&gt;0,VLOOKUP(AE148,DM_NV,2,0),"")</f>
        <v/>
      </c>
    </row>
    <row r="149">
      <c r="A149" s="51"/>
      <c r="B149" s="52"/>
      <c r="C149" s="53" t="str">
        <f t="shared" si="1"/>
        <v>01/2022</v>
      </c>
      <c r="D149" s="99">
        <v>44592.0</v>
      </c>
      <c r="E149" s="107" t="s">
        <v>327</v>
      </c>
      <c r="F149" s="108"/>
      <c r="G149" s="109" t="s">
        <v>328</v>
      </c>
      <c r="H149" s="58" t="str">
        <f>IF(G149="","",VLOOKUP($G149,'Quy chuẩn hạch toán'!$B:$E,2,0))</f>
        <v>5113</v>
      </c>
      <c r="I149" s="58" t="str">
        <f>IF(H149="","",VLOOKUP($G149,'Quy chuẩn hạch toán'!$B:$E,3,0))</f>
        <v>911</v>
      </c>
      <c r="J149" s="105">
        <v>1.6E8</v>
      </c>
      <c r="K149" s="60"/>
      <c r="L149" s="61"/>
      <c r="M149" s="62"/>
      <c r="N149" s="63"/>
      <c r="O149" s="64"/>
      <c r="P149" s="64"/>
      <c r="Q149" s="65"/>
      <c r="R149" s="64"/>
      <c r="S149" s="66"/>
      <c r="T149" s="64"/>
      <c r="U149" s="93"/>
      <c r="V149" s="64"/>
      <c r="W149" s="68"/>
      <c r="X149" s="64"/>
      <c r="Y149" s="69"/>
      <c r="Z149" s="64"/>
      <c r="AA149" s="70" t="s">
        <v>183</v>
      </c>
      <c r="AB149" s="64"/>
      <c r="AC149" s="70"/>
      <c r="AD149" s="64" t="str">
        <f>IF(AC149&lt;&gt;0,VLOOKUP(AC149,DM_NV,2,0),"")</f>
        <v/>
      </c>
      <c r="AE149" s="83"/>
      <c r="AF149" s="64" t="str">
        <f>IF(AE149&lt;&gt;0,VLOOKUP(AE149,DM_NV,2,0),"")</f>
        <v/>
      </c>
    </row>
    <row r="150">
      <c r="A150" s="51"/>
      <c r="B150" s="52"/>
      <c r="C150" s="53" t="str">
        <f t="shared" si="1"/>
        <v>01/2022</v>
      </c>
      <c r="D150" s="99">
        <v>44592.0</v>
      </c>
      <c r="E150" s="107" t="s">
        <v>329</v>
      </c>
      <c r="F150" s="108"/>
      <c r="G150" s="109" t="s">
        <v>328</v>
      </c>
      <c r="H150" s="58" t="str">
        <f>IF(G150="","",VLOOKUP($G150,'Quy chuẩn hạch toán'!$B:$E,2,0))</f>
        <v>5113</v>
      </c>
      <c r="I150" s="58" t="str">
        <f>IF(H150="","",VLOOKUP($G150,'Quy chuẩn hạch toán'!$B:$E,3,0))</f>
        <v>911</v>
      </c>
      <c r="J150" s="105">
        <v>1.8E8</v>
      </c>
      <c r="K150" s="60"/>
      <c r="L150" s="61"/>
      <c r="M150" s="62"/>
      <c r="N150" s="63"/>
      <c r="O150" s="64"/>
      <c r="P150" s="64"/>
      <c r="Q150" s="65"/>
      <c r="R150" s="64"/>
      <c r="S150" s="66"/>
      <c r="T150" s="64"/>
      <c r="U150" s="93"/>
      <c r="V150" s="64"/>
      <c r="W150" s="68"/>
      <c r="X150" s="64"/>
      <c r="Y150" s="69"/>
      <c r="Z150" s="64"/>
      <c r="AA150" s="70" t="s">
        <v>208</v>
      </c>
      <c r="AB150" s="64"/>
      <c r="AC150" s="70"/>
      <c r="AD150" s="64" t="str">
        <f>IF(AC150&lt;&gt;0,VLOOKUP(AC150,DM_NV,2,0),"")</f>
        <v/>
      </c>
      <c r="AE150" s="83"/>
      <c r="AF150" s="64" t="str">
        <f>IF(AE150&lt;&gt;0,VLOOKUP(AE150,DM_NV,2,0),"")</f>
        <v/>
      </c>
    </row>
    <row r="151">
      <c r="A151" s="51"/>
      <c r="B151" s="52"/>
      <c r="C151" s="53" t="str">
        <f t="shared" si="1"/>
        <v>01/2022</v>
      </c>
      <c r="D151" s="99">
        <v>44592.0</v>
      </c>
      <c r="E151" s="107" t="s">
        <v>330</v>
      </c>
      <c r="F151" s="108"/>
      <c r="G151" s="109" t="s">
        <v>316</v>
      </c>
      <c r="H151" s="58" t="str">
        <f>IF(G151="","",VLOOKUP($G151,'Quy chuẩn hạch toán'!$B:$E,2,0))</f>
        <v>911</v>
      </c>
      <c r="I151" s="58" t="str">
        <f>IF(H151="","",VLOOKUP($G151,'Quy chuẩn hạch toán'!$B:$E,3,0))</f>
        <v>642</v>
      </c>
      <c r="J151" s="59">
        <v>2654000.0</v>
      </c>
      <c r="K151" s="60"/>
      <c r="L151" s="61"/>
      <c r="M151" s="62"/>
      <c r="N151" s="63"/>
      <c r="O151" s="64"/>
      <c r="P151" s="64"/>
      <c r="Q151" s="65"/>
      <c r="R151" s="64"/>
      <c r="S151" s="66"/>
      <c r="T151" s="64"/>
      <c r="U151" s="93"/>
      <c r="V151" s="64"/>
      <c r="W151" s="68"/>
      <c r="X151" s="64"/>
      <c r="Y151" s="69"/>
      <c r="Z151" s="64"/>
      <c r="AA151" s="70"/>
      <c r="AB151" s="64"/>
      <c r="AC151" s="70"/>
      <c r="AD151" s="64" t="str">
        <f>IF(AC151&lt;&gt;0,VLOOKUP(AC151,DM_NV,2,0),"")</f>
        <v/>
      </c>
      <c r="AE151" s="83"/>
      <c r="AF151" s="64" t="str">
        <f>IF(AE151&lt;&gt;0,VLOOKUP(AE151,DM_NV,2,0),"")</f>
        <v/>
      </c>
    </row>
    <row r="152">
      <c r="A152" s="51"/>
      <c r="B152" s="52"/>
      <c r="C152" s="53" t="str">
        <f t="shared" si="1"/>
        <v>01/2022</v>
      </c>
      <c r="D152" s="99">
        <v>44592.0</v>
      </c>
      <c r="E152" s="107" t="s">
        <v>331</v>
      </c>
      <c r="F152" s="108"/>
      <c r="G152" s="109" t="s">
        <v>326</v>
      </c>
      <c r="H152" s="58" t="str">
        <f>IF(G152="","",VLOOKUP($G152,'Quy chuẩn hạch toán'!$B:$E,2,0))</f>
        <v>911</v>
      </c>
      <c r="I152" s="58" t="str">
        <f>IF(H152="","",VLOOKUP($G152,'Quy chuẩn hạch toán'!$B:$E,3,0))</f>
        <v>632</v>
      </c>
      <c r="J152" s="105">
        <v>4.556E7</v>
      </c>
      <c r="K152" s="60"/>
      <c r="L152" s="61"/>
      <c r="M152" s="62"/>
      <c r="N152" s="63"/>
      <c r="O152" s="64"/>
      <c r="P152" s="64"/>
      <c r="Q152" s="65"/>
      <c r="R152" s="64"/>
      <c r="S152" s="66"/>
      <c r="T152" s="64"/>
      <c r="U152" s="93"/>
      <c r="V152" s="64"/>
      <c r="W152" s="68"/>
      <c r="X152" s="64"/>
      <c r="Y152" s="69"/>
      <c r="Z152" s="64"/>
      <c r="AA152" s="70" t="s">
        <v>208</v>
      </c>
      <c r="AB152" s="64"/>
      <c r="AC152" s="70"/>
      <c r="AD152" s="64" t="str">
        <f>IF(AC152&lt;&gt;0,VLOOKUP(AC152,DM_NV,2,0),"")</f>
        <v/>
      </c>
      <c r="AE152" s="83"/>
      <c r="AF152" s="64" t="str">
        <f>IF(AE152&lt;&gt;0,VLOOKUP(AE152,DM_NV,2,0),"")</f>
        <v/>
      </c>
    </row>
    <row r="153">
      <c r="A153" s="51"/>
      <c r="B153" s="52"/>
      <c r="C153" s="53"/>
      <c r="D153" s="99">
        <v>44592.0</v>
      </c>
      <c r="E153" s="55" t="s">
        <v>332</v>
      </c>
      <c r="F153" s="108"/>
      <c r="G153" s="109" t="s">
        <v>333</v>
      </c>
      <c r="H153" s="58" t="str">
        <f>IF(G153="","",VLOOKUP($G153,'Quy chuẩn hạch toán'!$B:$E,2,0))</f>
        <v>154</v>
      </c>
      <c r="I153" s="58" t="str">
        <f>IF(H153="","",VLOOKUP($G153,'Quy chuẩn hạch toán'!$B:$E,3,0))</f>
        <v>3385</v>
      </c>
      <c r="J153" s="59">
        <v>6235878.0</v>
      </c>
      <c r="K153" s="60"/>
      <c r="L153" s="61"/>
      <c r="M153" s="62"/>
      <c r="N153" s="63"/>
      <c r="O153" s="64"/>
      <c r="P153" s="64"/>
      <c r="Q153" s="65"/>
      <c r="R153" s="64"/>
      <c r="S153" s="66"/>
      <c r="T153" s="64"/>
      <c r="U153" s="93"/>
      <c r="V153" s="64"/>
      <c r="W153" s="68"/>
      <c r="X153" s="64"/>
      <c r="Y153" s="69"/>
      <c r="Z153" s="64"/>
      <c r="AA153" s="70" t="s">
        <v>183</v>
      </c>
      <c r="AB153" s="64"/>
      <c r="AC153" s="70" t="s">
        <v>191</v>
      </c>
      <c r="AD153" s="64" t="str">
        <f>IF(AC153&lt;&gt;0,VLOOKUP(AC153,DM_NV,2,0),"")</f>
        <v>Nguyễn Anh Vy</v>
      </c>
      <c r="AE153" s="83"/>
      <c r="AF153" s="64" t="str">
        <f>IF(AE153&lt;&gt;0,VLOOKUP(AE153,DM_NV,2,0),"")</f>
        <v/>
      </c>
    </row>
    <row r="154">
      <c r="A154" s="51"/>
      <c r="B154" s="52"/>
      <c r="C154" s="53"/>
      <c r="D154" s="99">
        <v>44592.0</v>
      </c>
      <c r="E154" s="55" t="s">
        <v>334</v>
      </c>
      <c r="F154" s="108"/>
      <c r="G154" s="109" t="s">
        <v>333</v>
      </c>
      <c r="H154" s="58" t="str">
        <f>IF(G154="","",VLOOKUP($G154,'Quy chuẩn hạch toán'!$B:$E,2,0))</f>
        <v>154</v>
      </c>
      <c r="I154" s="58" t="str">
        <f>IF(H154="","",VLOOKUP($G154,'Quy chuẩn hạch toán'!$B:$E,3,0))</f>
        <v>3385</v>
      </c>
      <c r="J154" s="105">
        <v>6490403.0</v>
      </c>
      <c r="K154" s="60"/>
      <c r="L154" s="61"/>
      <c r="M154" s="62"/>
      <c r="N154" s="63"/>
      <c r="O154" s="64"/>
      <c r="P154" s="64"/>
      <c r="Q154" s="65"/>
      <c r="R154" s="64"/>
      <c r="S154" s="66"/>
      <c r="T154" s="64"/>
      <c r="U154" s="93"/>
      <c r="V154" s="64"/>
      <c r="W154" s="68"/>
      <c r="X154" s="64"/>
      <c r="Y154" s="69"/>
      <c r="Z154" s="64"/>
      <c r="AA154" s="70" t="s">
        <v>183</v>
      </c>
      <c r="AB154" s="64"/>
      <c r="AC154" s="70" t="s">
        <v>335</v>
      </c>
      <c r="AD154" s="64" t="str">
        <f>IF(AC154&lt;&gt;0,VLOOKUP(AC154,DM_NV,2,0),"")</f>
        <v>Trần Phước Thành</v>
      </c>
      <c r="AE154" s="83"/>
      <c r="AF154" s="64" t="str">
        <f>IF(AE154&lt;&gt;0,VLOOKUP(AE154,DM_NV,2,0),"")</f>
        <v/>
      </c>
    </row>
    <row r="155">
      <c r="A155" s="51"/>
      <c r="B155" s="52"/>
      <c r="C155" s="53"/>
      <c r="D155" s="99">
        <v>44592.0</v>
      </c>
      <c r="E155" s="55" t="s">
        <v>336</v>
      </c>
      <c r="F155" s="108"/>
      <c r="G155" s="109"/>
      <c r="H155" s="58" t="str">
        <f>IF(G155="","",VLOOKUP($G155,'Quy chuẩn hạch toán'!$B:$E,2,0))</f>
        <v/>
      </c>
      <c r="I155" s="58" t="str">
        <f>IF(H155="","",VLOOKUP($G155,'Quy chuẩn hạch toán'!$B:$E,3,0))</f>
        <v/>
      </c>
      <c r="J155" s="105">
        <v>-1.722407E7</v>
      </c>
      <c r="K155" s="60"/>
      <c r="L155" s="61"/>
      <c r="M155" s="62"/>
      <c r="N155" s="63"/>
      <c r="O155" s="64"/>
      <c r="P155" s="64"/>
      <c r="Q155" s="65"/>
      <c r="R155" s="64"/>
      <c r="S155" s="66"/>
      <c r="T155" s="64"/>
      <c r="U155" s="93"/>
      <c r="V155" s="64"/>
      <c r="W155" s="68"/>
      <c r="X155" s="64"/>
      <c r="Y155" s="69"/>
      <c r="Z155" s="64"/>
      <c r="AA155" s="70" t="s">
        <v>177</v>
      </c>
      <c r="AB155" s="64"/>
      <c r="AC155" s="70" t="s">
        <v>178</v>
      </c>
      <c r="AD155" s="64" t="str">
        <f>IF(AC155&lt;&gt;0,VLOOKUP(AC155,DM_NV,2,0),"")</f>
        <v>Lê Hoàng Quân</v>
      </c>
      <c r="AE155" s="83"/>
      <c r="AF155" s="64" t="str">
        <f>IF(AE155&lt;&gt;0,VLOOKUP(AE155,DM_NV,2,0),"")</f>
        <v/>
      </c>
    </row>
    <row r="156">
      <c r="A156" s="51"/>
      <c r="B156" s="52"/>
      <c r="C156" s="53"/>
      <c r="D156" s="99">
        <v>44592.0</v>
      </c>
      <c r="E156" s="55" t="s">
        <v>337</v>
      </c>
      <c r="F156" s="108"/>
      <c r="G156" s="109"/>
      <c r="H156" s="58" t="str">
        <f>IF(G156="","",VLOOKUP($G156,'Quy chuẩn hạch toán'!$B:$E,2,0))</f>
        <v/>
      </c>
      <c r="I156" s="58" t="str">
        <f>IF(H156="","",VLOOKUP($G156,'Quy chuẩn hạch toán'!$B:$E,3,0))</f>
        <v/>
      </c>
      <c r="J156" s="105">
        <v>-1.7927094E7</v>
      </c>
      <c r="K156" s="60"/>
      <c r="L156" s="61"/>
      <c r="M156" s="62"/>
      <c r="N156" s="63"/>
      <c r="O156" s="64"/>
      <c r="P156" s="64"/>
      <c r="Q156" s="65"/>
      <c r="R156" s="64"/>
      <c r="S156" s="66"/>
      <c r="T156" s="64"/>
      <c r="U156" s="93"/>
      <c r="V156" s="64"/>
      <c r="W156" s="68"/>
      <c r="X156" s="64"/>
      <c r="Y156" s="69"/>
      <c r="Z156" s="64"/>
      <c r="AA156" s="70" t="s">
        <v>177</v>
      </c>
      <c r="AB156" s="64"/>
      <c r="AC156" s="70" t="s">
        <v>335</v>
      </c>
      <c r="AD156" s="64" t="str">
        <f>IF(AC156&lt;&gt;0,VLOOKUP(AC156,DM_NV,2,0),"")</f>
        <v>Trần Phước Thành</v>
      </c>
      <c r="AE156" s="83"/>
      <c r="AF156" s="64" t="str">
        <f>IF(AE156&lt;&gt;0,VLOOKUP(AE156,DM_NV,2,0),"")</f>
        <v/>
      </c>
    </row>
    <row r="157">
      <c r="A157" s="51"/>
      <c r="B157" s="52"/>
      <c r="C157" s="53"/>
      <c r="D157" s="99">
        <v>44592.0</v>
      </c>
      <c r="E157" s="55" t="s">
        <v>338</v>
      </c>
      <c r="F157" s="108"/>
      <c r="G157" s="109"/>
      <c r="H157" s="58" t="str">
        <f>IF(G157="","",VLOOKUP($G157,'Quy chuẩn hạch toán'!$B:$E,2,0))</f>
        <v/>
      </c>
      <c r="I157" s="58" t="str">
        <f>IF(H157="","",VLOOKUP($G157,'Quy chuẩn hạch toán'!$B:$E,3,0))</f>
        <v/>
      </c>
      <c r="J157" s="105">
        <v>2.6075378E7</v>
      </c>
      <c r="K157" s="60"/>
      <c r="L157" s="61"/>
      <c r="M157" s="62"/>
      <c r="N157" s="63"/>
      <c r="O157" s="64"/>
      <c r="P157" s="64"/>
      <c r="Q157" s="65"/>
      <c r="R157" s="64"/>
      <c r="S157" s="66"/>
      <c r="T157" s="64"/>
      <c r="U157" s="93"/>
      <c r="V157" s="64"/>
      <c r="W157" s="68"/>
      <c r="X157" s="64"/>
      <c r="Y157" s="69"/>
      <c r="Z157" s="64"/>
      <c r="AA157" s="70" t="s">
        <v>208</v>
      </c>
      <c r="AB157" s="64"/>
      <c r="AC157" s="70" t="s">
        <v>217</v>
      </c>
      <c r="AD157" s="64" t="str">
        <f>IF(AC157&lt;&gt;0,VLOOKUP(AC157,DM_NV,2,0),"")</f>
        <v>Nguyễn Thị Mai Thu</v>
      </c>
      <c r="AE157" s="83"/>
      <c r="AF157" s="64" t="str">
        <f>IF(AE157&lt;&gt;0,VLOOKUP(AE157,DM_NV,2,0),"")</f>
        <v/>
      </c>
    </row>
    <row r="158">
      <c r="A158" s="51"/>
      <c r="B158" s="52"/>
      <c r="C158" s="53"/>
      <c r="D158" s="99">
        <v>44592.0</v>
      </c>
      <c r="E158" s="55" t="s">
        <v>339</v>
      </c>
      <c r="F158" s="108"/>
      <c r="G158" s="109"/>
      <c r="H158" s="58" t="str">
        <f>IF(G158="","",VLOOKUP($G158,'Quy chuẩn hạch toán'!$B:$E,2,0))</f>
        <v/>
      </c>
      <c r="I158" s="58" t="str">
        <f>IF(H158="","",VLOOKUP($G158,'Quy chuẩn hạch toán'!$B:$E,3,0))</f>
        <v/>
      </c>
      <c r="J158" s="105">
        <v>2.7139679E7</v>
      </c>
      <c r="K158" s="60"/>
      <c r="L158" s="61"/>
      <c r="M158" s="62"/>
      <c r="N158" s="63"/>
      <c r="O158" s="64"/>
      <c r="P158" s="64"/>
      <c r="Q158" s="65"/>
      <c r="R158" s="64"/>
      <c r="S158" s="66"/>
      <c r="T158" s="64"/>
      <c r="U158" s="93"/>
      <c r="V158" s="64"/>
      <c r="W158" s="68"/>
      <c r="X158" s="64"/>
      <c r="Y158" s="69"/>
      <c r="Z158" s="64"/>
      <c r="AA158" s="70" t="s">
        <v>208</v>
      </c>
      <c r="AB158" s="64"/>
      <c r="AC158" s="70" t="s">
        <v>335</v>
      </c>
      <c r="AD158" s="64" t="str">
        <f>IF(AC158&lt;&gt;0,VLOOKUP(AC158,DM_NV,2,0),"")</f>
        <v>Trần Phước Thành</v>
      </c>
      <c r="AE158" s="83"/>
      <c r="AF158" s="64" t="str">
        <f>IF(AE158&lt;&gt;0,VLOOKUP(AE158,DM_NV,2,0),"")</f>
        <v/>
      </c>
    </row>
    <row r="159">
      <c r="A159" s="51"/>
      <c r="B159" s="52"/>
      <c r="C159" s="53"/>
      <c r="D159" s="99">
        <v>44592.0</v>
      </c>
      <c r="E159" s="55" t="s">
        <v>340</v>
      </c>
      <c r="F159" s="108"/>
      <c r="G159" s="109"/>
      <c r="H159" s="58" t="str">
        <f>IF(G159="","",VLOOKUP($G159,'Quy chuẩn hạch toán'!$B:$E,2,0))</f>
        <v/>
      </c>
      <c r="I159" s="58" t="str">
        <f>IF(H159="","",VLOOKUP($G159,'Quy chuẩn hạch toán'!$B:$E,3,0))</f>
        <v/>
      </c>
      <c r="J159" s="105">
        <v>-2.7381244E7</v>
      </c>
      <c r="K159" s="60"/>
      <c r="L159" s="61"/>
      <c r="M159" s="62"/>
      <c r="N159" s="63"/>
      <c r="O159" s="64"/>
      <c r="P159" s="64"/>
      <c r="Q159" s="65"/>
      <c r="R159" s="64"/>
      <c r="S159" s="66"/>
      <c r="T159" s="64"/>
      <c r="U159" s="93"/>
      <c r="V159" s="64"/>
      <c r="W159" s="68"/>
      <c r="X159" s="64"/>
      <c r="Y159" s="69"/>
      <c r="Z159" s="64"/>
      <c r="AA159" s="70" t="s">
        <v>210</v>
      </c>
      <c r="AB159" s="64"/>
      <c r="AC159" s="70" t="s">
        <v>335</v>
      </c>
      <c r="AD159" s="64" t="str">
        <f>IF(AC159&lt;&gt;0,VLOOKUP(AC159,DM_NV,2,0),"")</f>
        <v>Trần Phước Thành</v>
      </c>
      <c r="AE159" s="83"/>
      <c r="AF159" s="64" t="str">
        <f>IF(AE159&lt;&gt;0,VLOOKUP(AE159,DM_NV,2,0),"")</f>
        <v/>
      </c>
    </row>
    <row r="160">
      <c r="A160" s="51"/>
      <c r="B160" s="52"/>
      <c r="C160" s="53" t="str">
        <f t="shared" ref="C160:C342" si="2">if(D160&lt;&gt;0,TEXT(D160,"mm/yyyy"),"")</f>
        <v>02/2022</v>
      </c>
      <c r="D160" s="99">
        <v>44603.0</v>
      </c>
      <c r="E160" s="107" t="s">
        <v>341</v>
      </c>
      <c r="F160" s="110"/>
      <c r="G160" s="57" t="s">
        <v>342</v>
      </c>
      <c r="H160" s="58" t="str">
        <f>IF(G160="","",VLOOKUP($G160,'Quy chuẩn hạch toán'!$B:$E,2,0))</f>
        <v>331</v>
      </c>
      <c r="I160" s="58" t="str">
        <f>IF(H160="","",VLOOKUP($G160,'Quy chuẩn hạch toán'!$B:$E,3,0))</f>
        <v>1111</v>
      </c>
      <c r="J160" s="105">
        <v>9768190.0</v>
      </c>
      <c r="K160" s="60"/>
      <c r="L160" s="61"/>
      <c r="M160" s="62"/>
      <c r="N160" s="63"/>
      <c r="O160" s="64"/>
      <c r="P160" s="64"/>
      <c r="Q160" s="65"/>
      <c r="R160" s="64"/>
      <c r="S160" s="66"/>
      <c r="T160" s="64"/>
      <c r="U160" s="93"/>
      <c r="V160" s="64"/>
      <c r="W160" s="68"/>
      <c r="X160" s="64"/>
      <c r="Y160" s="69"/>
      <c r="Z160" s="64"/>
      <c r="AA160" s="70" t="s">
        <v>210</v>
      </c>
      <c r="AB160" s="64"/>
      <c r="AC160" s="70"/>
      <c r="AD160" s="64" t="str">
        <f>IF(AC160&lt;&gt;0,VLOOKUP(AC160,DM_NV,2,0),"")</f>
        <v/>
      </c>
      <c r="AE160" s="83" t="s">
        <v>343</v>
      </c>
      <c r="AF160" s="64" t="str">
        <f>IF(AE160&lt;&gt;0,VLOOKUP(AE160,DM_NV,2,0),"")</f>
        <v>#N/A</v>
      </c>
    </row>
    <row r="161">
      <c r="A161" s="51"/>
      <c r="B161" s="52"/>
      <c r="C161" s="53" t="str">
        <f t="shared" si="2"/>
        <v>02/2022</v>
      </c>
      <c r="D161" s="99">
        <v>44603.0</v>
      </c>
      <c r="E161" s="107" t="s">
        <v>344</v>
      </c>
      <c r="F161" s="110"/>
      <c r="G161" s="57" t="s">
        <v>342</v>
      </c>
      <c r="H161" s="58" t="str">
        <f>IF(G161="","",VLOOKUP($G161,'Quy chuẩn hạch toán'!$B:$E,2,0))</f>
        <v>331</v>
      </c>
      <c r="I161" s="58" t="str">
        <f>IF(H161="","",VLOOKUP($G161,'Quy chuẩn hạch toán'!$B:$E,3,0))</f>
        <v>1111</v>
      </c>
      <c r="J161" s="105">
        <v>9276143.0</v>
      </c>
      <c r="K161" s="60"/>
      <c r="L161" s="61"/>
      <c r="M161" s="62"/>
      <c r="N161" s="63"/>
      <c r="O161" s="64"/>
      <c r="P161" s="64"/>
      <c r="Q161" s="65"/>
      <c r="R161" s="64"/>
      <c r="S161" s="66"/>
      <c r="T161" s="64"/>
      <c r="U161" s="93"/>
      <c r="V161" s="64"/>
      <c r="W161" s="68"/>
      <c r="X161" s="64"/>
      <c r="Y161" s="69"/>
      <c r="Z161" s="64"/>
      <c r="AA161" s="70" t="s">
        <v>177</v>
      </c>
      <c r="AB161" s="64"/>
      <c r="AC161" s="70"/>
      <c r="AD161" s="64" t="str">
        <f>IF(AC161&lt;&gt;0,VLOOKUP(AC161,DM_NV,2,0),"")</f>
        <v/>
      </c>
      <c r="AE161" s="83" t="s">
        <v>343</v>
      </c>
      <c r="AF161" s="64" t="str">
        <f>IF(AE161&lt;&gt;0,VLOOKUP(AE161,DM_NV,2,0),"")</f>
        <v>#N/A</v>
      </c>
    </row>
    <row r="162">
      <c r="A162" s="51"/>
      <c r="B162" s="52"/>
      <c r="C162" s="53" t="str">
        <f t="shared" si="2"/>
        <v>02/2022</v>
      </c>
      <c r="D162" s="99">
        <v>44603.0</v>
      </c>
      <c r="E162" s="107" t="s">
        <v>345</v>
      </c>
      <c r="F162" s="110"/>
      <c r="G162" s="57" t="s">
        <v>342</v>
      </c>
      <c r="H162" s="58" t="str">
        <f>IF(G162="","",VLOOKUP($G162,'Quy chuẩn hạch toán'!$B:$E,2,0))</f>
        <v>331</v>
      </c>
      <c r="I162" s="58" t="str">
        <f>IF(H162="","",VLOOKUP($G162,'Quy chuẩn hạch toán'!$B:$E,3,0))</f>
        <v>1111</v>
      </c>
      <c r="J162" s="105">
        <v>1.9536382E7</v>
      </c>
      <c r="K162" s="60"/>
      <c r="L162" s="61"/>
      <c r="M162" s="62"/>
      <c r="N162" s="63"/>
      <c r="O162" s="64"/>
      <c r="P162" s="64"/>
      <c r="Q162" s="65"/>
      <c r="R162" s="64"/>
      <c r="S162" s="66"/>
      <c r="T162" s="64"/>
      <c r="U162" s="93"/>
      <c r="V162" s="64"/>
      <c r="W162" s="68"/>
      <c r="X162" s="64"/>
      <c r="Y162" s="69"/>
      <c r="Z162" s="64"/>
      <c r="AA162" s="70" t="s">
        <v>183</v>
      </c>
      <c r="AB162" s="64"/>
      <c r="AC162" s="70"/>
      <c r="AD162" s="64" t="str">
        <f>IF(AC162&lt;&gt;0,VLOOKUP(AC162,DM_NV,2,0),"")</f>
        <v/>
      </c>
      <c r="AE162" s="83" t="s">
        <v>343</v>
      </c>
      <c r="AF162" s="64" t="str">
        <f>IF(AE162&lt;&gt;0,VLOOKUP(AE162,DM_NV,2,0),"")</f>
        <v>#N/A</v>
      </c>
    </row>
    <row r="163">
      <c r="A163" s="51"/>
      <c r="B163" s="52"/>
      <c r="C163" s="53" t="str">
        <f t="shared" si="2"/>
        <v>02/2022</v>
      </c>
      <c r="D163" s="99">
        <v>44603.0</v>
      </c>
      <c r="E163" s="107" t="s">
        <v>346</v>
      </c>
      <c r="F163" s="110"/>
      <c r="G163" s="57" t="s">
        <v>342</v>
      </c>
      <c r="H163" s="58" t="str">
        <f>IF(G163="","",VLOOKUP($G163,'Quy chuẩn hạch toán'!$B:$E,2,0))</f>
        <v>331</v>
      </c>
      <c r="I163" s="58" t="str">
        <f>IF(H163="","",VLOOKUP($G163,'Quy chuẩn hạch toán'!$B:$E,3,0))</f>
        <v>1111</v>
      </c>
      <c r="J163" s="105">
        <v>1.0752286E7</v>
      </c>
      <c r="K163" s="60"/>
      <c r="L163" s="61"/>
      <c r="M163" s="62"/>
      <c r="N163" s="63"/>
      <c r="O163" s="64"/>
      <c r="P163" s="64"/>
      <c r="Q163" s="65"/>
      <c r="R163" s="64"/>
      <c r="S163" s="66"/>
      <c r="T163" s="64"/>
      <c r="U163" s="93"/>
      <c r="V163" s="64"/>
      <c r="W163" s="68"/>
      <c r="X163" s="64"/>
      <c r="Y163" s="69"/>
      <c r="Z163" s="64"/>
      <c r="AA163" s="70" t="s">
        <v>208</v>
      </c>
      <c r="AB163" s="64"/>
      <c r="AC163" s="70"/>
      <c r="AD163" s="64" t="str">
        <f>IF(AC163&lt;&gt;0,VLOOKUP(AC163,DM_NV,2,0),"")</f>
        <v/>
      </c>
      <c r="AE163" s="83" t="s">
        <v>343</v>
      </c>
      <c r="AF163" s="64" t="str">
        <f>IF(AE163&lt;&gt;0,VLOOKUP(AE163,DM_NV,2,0),"")</f>
        <v>#N/A</v>
      </c>
    </row>
    <row r="164">
      <c r="A164" s="51"/>
      <c r="B164" s="52"/>
      <c r="C164" s="53" t="str">
        <f t="shared" si="2"/>
        <v>02/2022</v>
      </c>
      <c r="D164" s="99">
        <v>44603.0</v>
      </c>
      <c r="E164" s="107" t="s">
        <v>347</v>
      </c>
      <c r="F164" s="108"/>
      <c r="G164" s="109" t="s">
        <v>348</v>
      </c>
      <c r="H164" s="58" t="str">
        <f>IF(G164="","",VLOOKUP($G164,'Quy chuẩn hạch toán'!$B:$E,2,0))</f>
        <v>331</v>
      </c>
      <c r="I164" s="58" t="str">
        <f>IF(H164="","",VLOOKUP($G164,'Quy chuẩn hạch toán'!$B:$E,3,0))</f>
        <v>1111</v>
      </c>
      <c r="J164" s="105">
        <v>55852.0</v>
      </c>
      <c r="K164" s="60"/>
      <c r="L164" s="61"/>
      <c r="M164" s="62"/>
      <c r="N164" s="63"/>
      <c r="O164" s="64"/>
      <c r="P164" s="64"/>
      <c r="Q164" s="65"/>
      <c r="R164" s="64"/>
      <c r="S164" s="66"/>
      <c r="T164" s="64"/>
      <c r="U164" s="93"/>
      <c r="V164" s="64"/>
      <c r="W164" s="68"/>
      <c r="X164" s="64"/>
      <c r="Y164" s="69"/>
      <c r="Z164" s="64"/>
      <c r="AA164" s="70" t="s">
        <v>210</v>
      </c>
      <c r="AB164" s="64"/>
      <c r="AC164" s="70"/>
      <c r="AD164" s="64" t="str">
        <f>IF(AC164&lt;&gt;0,VLOOKUP(AC164,DM_NV,2,0),"")</f>
        <v/>
      </c>
      <c r="AE164" s="83" t="s">
        <v>349</v>
      </c>
      <c r="AF164" s="64" t="str">
        <f>IF(AE164&lt;&gt;0,VLOOKUP(AE164,DM_NV,2,0),"")</f>
        <v>#N/A</v>
      </c>
    </row>
    <row r="165">
      <c r="A165" s="51"/>
      <c r="B165" s="52"/>
      <c r="C165" s="53" t="str">
        <f t="shared" si="2"/>
        <v>02/2022</v>
      </c>
      <c r="D165" s="99">
        <v>44603.0</v>
      </c>
      <c r="E165" s="107" t="s">
        <v>350</v>
      </c>
      <c r="F165" s="108"/>
      <c r="G165" s="109" t="s">
        <v>348</v>
      </c>
      <c r="H165" s="58" t="str">
        <f>IF(G165="","",VLOOKUP($G165,'Quy chuẩn hạch toán'!$B:$E,2,0))</f>
        <v>331</v>
      </c>
      <c r="I165" s="58" t="str">
        <f>IF(H165="","",VLOOKUP($G165,'Quy chuẩn hạch toán'!$B:$E,3,0))</f>
        <v>1111</v>
      </c>
      <c r="J165" s="105">
        <v>7498889.0</v>
      </c>
      <c r="K165" s="60"/>
      <c r="L165" s="61"/>
      <c r="M165" s="62"/>
      <c r="N165" s="63"/>
      <c r="O165" s="64"/>
      <c r="P165" s="64"/>
      <c r="Q165" s="65"/>
      <c r="R165" s="64"/>
      <c r="S165" s="66"/>
      <c r="T165" s="64"/>
      <c r="U165" s="93"/>
      <c r="V165" s="64"/>
      <c r="W165" s="68"/>
      <c r="X165" s="64"/>
      <c r="Y165" s="69"/>
      <c r="Z165" s="64"/>
      <c r="AA165" s="70" t="s">
        <v>177</v>
      </c>
      <c r="AB165" s="64"/>
      <c r="AC165" s="70"/>
      <c r="AD165" s="64" t="str">
        <f>IF(AC165&lt;&gt;0,VLOOKUP(AC165,DM_NV,2,0),"")</f>
        <v/>
      </c>
      <c r="AE165" s="83" t="s">
        <v>349</v>
      </c>
      <c r="AF165" s="64" t="str">
        <f>IF(AE165&lt;&gt;0,VLOOKUP(AE165,DM_NV,2,0),"")</f>
        <v>#N/A</v>
      </c>
    </row>
    <row r="166">
      <c r="A166" s="51"/>
      <c r="B166" s="52"/>
      <c r="C166" s="53" t="str">
        <f t="shared" si="2"/>
        <v>02/2022</v>
      </c>
      <c r="D166" s="99">
        <v>44603.0</v>
      </c>
      <c r="E166" s="107" t="s">
        <v>351</v>
      </c>
      <c r="F166" s="108"/>
      <c r="G166" s="109" t="s">
        <v>348</v>
      </c>
      <c r="H166" s="58" t="str">
        <f>IF(G166="","",VLOOKUP($G166,'Quy chuẩn hạch toán'!$B:$E,2,0))</f>
        <v>331</v>
      </c>
      <c r="I166" s="58" t="str">
        <f>IF(H166="","",VLOOKUP($G166,'Quy chuẩn hạch toán'!$B:$E,3,0))</f>
        <v>1111</v>
      </c>
      <c r="J166" s="105">
        <v>3603704.0</v>
      </c>
      <c r="K166" s="60"/>
      <c r="L166" s="61"/>
      <c r="M166" s="62"/>
      <c r="N166" s="63"/>
      <c r="O166" s="64"/>
      <c r="P166" s="64"/>
      <c r="Q166" s="65"/>
      <c r="R166" s="64"/>
      <c r="S166" s="66"/>
      <c r="T166" s="64"/>
      <c r="U166" s="93"/>
      <c r="V166" s="64"/>
      <c r="W166" s="68"/>
      <c r="X166" s="64"/>
      <c r="Y166" s="69"/>
      <c r="Z166" s="64"/>
      <c r="AA166" s="70" t="s">
        <v>183</v>
      </c>
      <c r="AB166" s="64"/>
      <c r="AC166" s="70"/>
      <c r="AD166" s="64" t="str">
        <f>IF(AC166&lt;&gt;0,VLOOKUP(AC166,DM_NV,2,0),"")</f>
        <v/>
      </c>
      <c r="AE166" s="83" t="s">
        <v>349</v>
      </c>
      <c r="AF166" s="64" t="str">
        <f>IF(AE166&lt;&gt;0,VLOOKUP(AE166,DM_NV,2,0),"")</f>
        <v>#N/A</v>
      </c>
    </row>
    <row r="167">
      <c r="A167" s="51"/>
      <c r="B167" s="52"/>
      <c r="C167" s="53" t="str">
        <f t="shared" si="2"/>
        <v>02/2022</v>
      </c>
      <c r="D167" s="99">
        <v>44603.0</v>
      </c>
      <c r="E167" s="107" t="s">
        <v>352</v>
      </c>
      <c r="F167" s="108"/>
      <c r="G167" s="109" t="s">
        <v>348</v>
      </c>
      <c r="H167" s="58" t="str">
        <f>IF(G167="","",VLOOKUP($G167,'Quy chuẩn hạch toán'!$B:$E,2,0))</f>
        <v>331</v>
      </c>
      <c r="I167" s="58" t="str">
        <f>IF(H167="","",VLOOKUP($G167,'Quy chuẩn hạch toán'!$B:$E,3,0))</f>
        <v>1111</v>
      </c>
      <c r="J167" s="105">
        <v>8337778.0</v>
      </c>
      <c r="K167" s="60"/>
      <c r="L167" s="61"/>
      <c r="M167" s="62"/>
      <c r="N167" s="63"/>
      <c r="O167" s="64"/>
      <c r="P167" s="64"/>
      <c r="Q167" s="65"/>
      <c r="R167" s="64"/>
      <c r="S167" s="66"/>
      <c r="T167" s="64"/>
      <c r="U167" s="93"/>
      <c r="V167" s="64"/>
      <c r="W167" s="68"/>
      <c r="X167" s="64"/>
      <c r="Y167" s="69"/>
      <c r="Z167" s="64"/>
      <c r="AA167" s="70" t="s">
        <v>208</v>
      </c>
      <c r="AB167" s="64"/>
      <c r="AC167" s="70"/>
      <c r="AD167" s="64" t="str">
        <f>IF(AC167&lt;&gt;0,VLOOKUP(AC167,DM_NV,2,0),"")</f>
        <v/>
      </c>
      <c r="AE167" s="83" t="s">
        <v>349</v>
      </c>
      <c r="AF167" s="64" t="str">
        <f>IF(AE167&lt;&gt;0,VLOOKUP(AE167,DM_NV,2,0),"")</f>
        <v>#N/A</v>
      </c>
    </row>
    <row r="168">
      <c r="A168" s="51"/>
      <c r="B168" s="52"/>
      <c r="C168" s="53" t="str">
        <f t="shared" si="2"/>
        <v>02/2022</v>
      </c>
      <c r="D168" s="99">
        <v>44603.0</v>
      </c>
      <c r="E168" s="107" t="s">
        <v>353</v>
      </c>
      <c r="F168" s="108"/>
      <c r="G168" s="109" t="s">
        <v>354</v>
      </c>
      <c r="H168" s="58" t="str">
        <f>IF(G168="","",VLOOKUP($G168,'Quy chuẩn hạch toán'!$B:$E,2,0))</f>
        <v>331</v>
      </c>
      <c r="I168" s="58" t="str">
        <f>IF(H168="","",VLOOKUP($G168,'Quy chuẩn hạch toán'!$B:$E,3,0))</f>
        <v>1111</v>
      </c>
      <c r="J168" s="105">
        <v>8000000.0</v>
      </c>
      <c r="K168" s="60"/>
      <c r="L168" s="61"/>
      <c r="M168" s="62"/>
      <c r="N168" s="63"/>
      <c r="O168" s="64"/>
      <c r="P168" s="64"/>
      <c r="Q168" s="65"/>
      <c r="R168" s="64"/>
      <c r="S168" s="66"/>
      <c r="T168" s="64"/>
      <c r="U168" s="93"/>
      <c r="V168" s="64"/>
      <c r="W168" s="68"/>
      <c r="X168" s="64"/>
      <c r="Y168" s="69"/>
      <c r="Z168" s="64"/>
      <c r="AA168" s="70" t="s">
        <v>183</v>
      </c>
      <c r="AB168" s="64"/>
      <c r="AC168" s="70"/>
      <c r="AD168" s="64" t="str">
        <f>IF(AC168&lt;&gt;0,VLOOKUP(AC168,DM_NV,2,0),"")</f>
        <v/>
      </c>
      <c r="AE168" s="83" t="s">
        <v>355</v>
      </c>
      <c r="AF168" s="64" t="str">
        <f>IF(AE168&lt;&gt;0,VLOOKUP(AE168,DM_NV,2,0),"")</f>
        <v>#N/A</v>
      </c>
    </row>
    <row r="169">
      <c r="A169" s="51"/>
      <c r="B169" s="52"/>
      <c r="C169" s="53" t="str">
        <f t="shared" si="2"/>
        <v>02/2022</v>
      </c>
      <c r="D169" s="99">
        <v>44603.0</v>
      </c>
      <c r="E169" s="107" t="s">
        <v>356</v>
      </c>
      <c r="F169" s="108"/>
      <c r="G169" s="109" t="s">
        <v>254</v>
      </c>
      <c r="H169" s="58" t="str">
        <f>IF(G169="","",VLOOKUP($G169,'Quy chuẩn hạch toán'!$B:$E,2,0))</f>
        <v>3341</v>
      </c>
      <c r="I169" s="58" t="str">
        <f>IF(H169="","",VLOOKUP($G169,'Quy chuẩn hạch toán'!$B:$E,3,0))</f>
        <v>1111</v>
      </c>
      <c r="J169" s="105">
        <v>1.5810193E7</v>
      </c>
      <c r="K169" s="60"/>
      <c r="L169" s="61"/>
      <c r="M169" s="62"/>
      <c r="N169" s="63"/>
      <c r="O169" s="64"/>
      <c r="P169" s="64"/>
      <c r="Q169" s="65"/>
      <c r="R169" s="64"/>
      <c r="S169" s="66"/>
      <c r="T169" s="64"/>
      <c r="U169" s="93"/>
      <c r="V169" s="64"/>
      <c r="W169" s="68"/>
      <c r="X169" s="64"/>
      <c r="Y169" s="69"/>
      <c r="Z169" s="64"/>
      <c r="AA169" s="70" t="s">
        <v>210</v>
      </c>
      <c r="AB169" s="64"/>
      <c r="AC169" s="70"/>
      <c r="AD169" s="64" t="str">
        <f>IF(AC169&lt;&gt;0,VLOOKUP(AC169,DM_NV,2,0),"")</f>
        <v/>
      </c>
      <c r="AE169" s="83" t="s">
        <v>256</v>
      </c>
      <c r="AF169" s="64" t="str">
        <f>IF(AE169&lt;&gt;0,VLOOKUP(AE169,DM_NV,2,0),"")</f>
        <v>#N/A</v>
      </c>
    </row>
    <row r="170">
      <c r="A170" s="51"/>
      <c r="B170" s="52"/>
      <c r="C170" s="53" t="str">
        <f t="shared" si="2"/>
        <v>02/2022</v>
      </c>
      <c r="D170" s="99">
        <v>44603.0</v>
      </c>
      <c r="E170" s="107" t="s">
        <v>357</v>
      </c>
      <c r="F170" s="108"/>
      <c r="G170" s="109" t="s">
        <v>254</v>
      </c>
      <c r="H170" s="58" t="str">
        <f>IF(G170="","",VLOOKUP($G170,'Quy chuẩn hạch toán'!$B:$E,2,0))</f>
        <v>3341</v>
      </c>
      <c r="I170" s="58" t="str">
        <f>IF(H170="","",VLOOKUP($G170,'Quy chuẩn hạch toán'!$B:$E,3,0))</f>
        <v>1111</v>
      </c>
      <c r="J170" s="105">
        <v>1.6376876E7</v>
      </c>
      <c r="K170" s="60"/>
      <c r="L170" s="61"/>
      <c r="M170" s="62"/>
      <c r="N170" s="63"/>
      <c r="O170" s="64"/>
      <c r="P170" s="64"/>
      <c r="Q170" s="65"/>
      <c r="R170" s="64"/>
      <c r="S170" s="66"/>
      <c r="T170" s="64"/>
      <c r="U170" s="93"/>
      <c r="V170" s="64"/>
      <c r="W170" s="68"/>
      <c r="X170" s="64"/>
      <c r="Y170" s="69"/>
      <c r="Z170" s="64"/>
      <c r="AA170" s="70" t="s">
        <v>177</v>
      </c>
      <c r="AB170" s="64"/>
      <c r="AC170" s="70"/>
      <c r="AD170" s="64" t="str">
        <f>IF(AC170&lt;&gt;0,VLOOKUP(AC170,DM_NV,2,0),"")</f>
        <v/>
      </c>
      <c r="AE170" s="83" t="s">
        <v>256</v>
      </c>
      <c r="AF170" s="64" t="str">
        <f>IF(AE170&lt;&gt;0,VLOOKUP(AE170,DM_NV,2,0),"")</f>
        <v>#N/A</v>
      </c>
    </row>
    <row r="171">
      <c r="A171" s="51"/>
      <c r="B171" s="52"/>
      <c r="C171" s="53" t="str">
        <f t="shared" si="2"/>
        <v>02/2022</v>
      </c>
      <c r="D171" s="99">
        <v>44603.0</v>
      </c>
      <c r="E171" s="107" t="s">
        <v>358</v>
      </c>
      <c r="F171" s="108"/>
      <c r="G171" s="109" t="s">
        <v>254</v>
      </c>
      <c r="H171" s="58" t="str">
        <f>IF(G171="","",VLOOKUP($G171,'Quy chuẩn hạch toán'!$B:$E,2,0))</f>
        <v>3341</v>
      </c>
      <c r="I171" s="58" t="str">
        <f>IF(H171="","",VLOOKUP($G171,'Quy chuẩn hạch toán'!$B:$E,3,0))</f>
        <v>1111</v>
      </c>
      <c r="J171" s="105">
        <v>3.7293619E7</v>
      </c>
      <c r="K171" s="60"/>
      <c r="L171" s="61"/>
      <c r="M171" s="62"/>
      <c r="N171" s="63"/>
      <c r="O171" s="64"/>
      <c r="P171" s="64"/>
      <c r="Q171" s="65"/>
      <c r="R171" s="64"/>
      <c r="S171" s="66"/>
      <c r="T171" s="64"/>
      <c r="U171" s="93"/>
      <c r="V171" s="64"/>
      <c r="W171" s="68"/>
      <c r="X171" s="64"/>
      <c r="Y171" s="69"/>
      <c r="Z171" s="64"/>
      <c r="AA171" s="70" t="s">
        <v>183</v>
      </c>
      <c r="AB171" s="64"/>
      <c r="AC171" s="70"/>
      <c r="AD171" s="64" t="str">
        <f>IF(AC171&lt;&gt;0,VLOOKUP(AC171,DM_NV,2,0),"")</f>
        <v/>
      </c>
      <c r="AE171" s="83" t="s">
        <v>256</v>
      </c>
      <c r="AF171" s="64" t="str">
        <f>IF(AE171&lt;&gt;0,VLOOKUP(AE171,DM_NV,2,0),"")</f>
        <v>#N/A</v>
      </c>
    </row>
    <row r="172">
      <c r="A172" s="51"/>
      <c r="B172" s="52"/>
      <c r="C172" s="53" t="str">
        <f t="shared" si="2"/>
        <v>02/2022</v>
      </c>
      <c r="D172" s="99">
        <v>44603.0</v>
      </c>
      <c r="E172" s="107" t="s">
        <v>359</v>
      </c>
      <c r="F172" s="108"/>
      <c r="G172" s="109" t="s">
        <v>254</v>
      </c>
      <c r="H172" s="58" t="str">
        <f>IF(G172="","",VLOOKUP($G172,'Quy chuẩn hạch toán'!$B:$E,2,0))</f>
        <v>3341</v>
      </c>
      <c r="I172" s="58" t="str">
        <f>IF(H172="","",VLOOKUP($G172,'Quy chuẩn hạch toán'!$B:$E,3,0))</f>
        <v>1111</v>
      </c>
      <c r="J172" s="105">
        <v>2.8323368E7</v>
      </c>
      <c r="K172" s="60"/>
      <c r="L172" s="61"/>
      <c r="M172" s="62"/>
      <c r="N172" s="63"/>
      <c r="O172" s="64"/>
      <c r="P172" s="64"/>
      <c r="Q172" s="65"/>
      <c r="R172" s="64"/>
      <c r="S172" s="66"/>
      <c r="T172" s="64"/>
      <c r="U172" s="93"/>
      <c r="V172" s="64"/>
      <c r="W172" s="68"/>
      <c r="X172" s="64"/>
      <c r="Y172" s="69"/>
      <c r="Z172" s="64"/>
      <c r="AA172" s="70" t="s">
        <v>208</v>
      </c>
      <c r="AB172" s="64"/>
      <c r="AC172" s="70"/>
      <c r="AD172" s="64" t="str">
        <f>IF(AC172&lt;&gt;0,VLOOKUP(AC172,DM_NV,2,0),"")</f>
        <v/>
      </c>
      <c r="AE172" s="83" t="s">
        <v>256</v>
      </c>
      <c r="AF172" s="64" t="str">
        <f>IF(AE172&lt;&gt;0,VLOOKUP(AE172,DM_NV,2,0),"")</f>
        <v>#N/A</v>
      </c>
    </row>
    <row r="173">
      <c r="A173" s="51"/>
      <c r="B173" s="52"/>
      <c r="C173" s="53" t="str">
        <f t="shared" si="2"/>
        <v>02/2022</v>
      </c>
      <c r="D173" s="99">
        <v>44603.0</v>
      </c>
      <c r="E173" s="55" t="s">
        <v>360</v>
      </c>
      <c r="F173" s="56"/>
      <c r="G173" s="57" t="s">
        <v>361</v>
      </c>
      <c r="H173" s="58" t="str">
        <f>IF(G173="","",VLOOKUP($G173,'Quy chuẩn hạch toán'!$B:$E,2,0))</f>
        <v>#N/A</v>
      </c>
      <c r="I173" s="58" t="str">
        <f>IF(H173="","",VLOOKUP($G173,'Quy chuẩn hạch toán'!$B:$E,3,0))</f>
        <v>#N/A</v>
      </c>
      <c r="J173" s="59">
        <v>6235878.0</v>
      </c>
      <c r="K173" s="60"/>
      <c r="L173" s="61"/>
      <c r="M173" s="62"/>
      <c r="N173" s="63"/>
      <c r="O173" s="64"/>
      <c r="P173" s="64"/>
      <c r="Q173" s="65"/>
      <c r="R173" s="64"/>
      <c r="S173" s="66"/>
      <c r="T173" s="64"/>
      <c r="U173" s="93"/>
      <c r="V173" s="64"/>
      <c r="W173" s="68"/>
      <c r="X173" s="64"/>
      <c r="Y173" s="69"/>
      <c r="Z173" s="64"/>
      <c r="AA173" s="70" t="s">
        <v>183</v>
      </c>
      <c r="AB173" s="64"/>
      <c r="AC173" s="70" t="s">
        <v>191</v>
      </c>
      <c r="AD173" s="64" t="str">
        <f>IF(AC173&lt;&gt;0,VLOOKUP(AC173,DM_NV,2,0),"")</f>
        <v>Nguyễn Anh Vy</v>
      </c>
      <c r="AE173" s="83"/>
      <c r="AF173" s="64" t="str">
        <f>IF(AE173&lt;&gt;0,VLOOKUP(AE173,DM_NV,2,0),"")</f>
        <v/>
      </c>
    </row>
    <row r="174">
      <c r="A174" s="51"/>
      <c r="B174" s="52"/>
      <c r="C174" s="53" t="str">
        <f t="shared" si="2"/>
        <v>02/2022</v>
      </c>
      <c r="D174" s="99">
        <v>44603.0</v>
      </c>
      <c r="E174" s="55" t="s">
        <v>362</v>
      </c>
      <c r="F174" s="56"/>
      <c r="G174" s="57" t="s">
        <v>361</v>
      </c>
      <c r="H174" s="58" t="str">
        <f>IF(G174="","",VLOOKUP($G174,'Quy chuẩn hạch toán'!$B:$E,2,0))</f>
        <v>#N/A</v>
      </c>
      <c r="I174" s="58" t="str">
        <f>IF(H174="","",VLOOKUP($G174,'Quy chuẩn hạch toán'!$B:$E,3,0))</f>
        <v>#N/A</v>
      </c>
      <c r="J174" s="105">
        <v>6490403.0</v>
      </c>
      <c r="K174" s="60"/>
      <c r="L174" s="61"/>
      <c r="M174" s="62"/>
      <c r="N174" s="63"/>
      <c r="O174" s="64"/>
      <c r="P174" s="64"/>
      <c r="Q174" s="65"/>
      <c r="R174" s="64"/>
      <c r="S174" s="66"/>
      <c r="T174" s="64"/>
      <c r="U174" s="93"/>
      <c r="V174" s="64"/>
      <c r="W174" s="68"/>
      <c r="X174" s="64"/>
      <c r="Y174" s="69"/>
      <c r="Z174" s="64"/>
      <c r="AA174" s="70" t="s">
        <v>183</v>
      </c>
      <c r="AB174" s="64"/>
      <c r="AC174" s="70" t="s">
        <v>335</v>
      </c>
      <c r="AD174" s="64" t="str">
        <f>IF(AC174&lt;&gt;0,VLOOKUP(AC174,DM_NV,2,0),"")</f>
        <v>Trần Phước Thành</v>
      </c>
      <c r="AE174" s="68"/>
      <c r="AF174" s="64" t="str">
        <f>IF(AE174&lt;&gt;0,VLOOKUP(AE174,DM_NV,2,0),"")</f>
        <v/>
      </c>
    </row>
    <row r="175">
      <c r="A175" s="51"/>
      <c r="B175" s="52"/>
      <c r="C175" s="53" t="str">
        <f t="shared" si="2"/>
        <v>02/2022</v>
      </c>
      <c r="D175" s="99">
        <v>44603.0</v>
      </c>
      <c r="E175" s="55" t="s">
        <v>363</v>
      </c>
      <c r="F175" s="56"/>
      <c r="G175" s="57" t="s">
        <v>361</v>
      </c>
      <c r="H175" s="58" t="str">
        <f>IF(G175="","",VLOOKUP($G175,'Quy chuẩn hạch toán'!$B:$E,2,0))</f>
        <v>#N/A</v>
      </c>
      <c r="I175" s="58" t="str">
        <f>IF(H175="","",VLOOKUP($G175,'Quy chuẩn hạch toán'!$B:$E,3,0))</f>
        <v>#N/A</v>
      </c>
      <c r="J175" s="105">
        <v>-1.722407E7</v>
      </c>
      <c r="K175" s="60"/>
      <c r="L175" s="61"/>
      <c r="M175" s="62"/>
      <c r="N175" s="63"/>
      <c r="O175" s="64"/>
      <c r="P175" s="64"/>
      <c r="Q175" s="65"/>
      <c r="R175" s="64"/>
      <c r="S175" s="66"/>
      <c r="T175" s="64"/>
      <c r="U175" s="93"/>
      <c r="V175" s="64"/>
      <c r="W175" s="68"/>
      <c r="X175" s="64"/>
      <c r="Y175" s="69"/>
      <c r="Z175" s="64"/>
      <c r="AA175" s="70" t="s">
        <v>177</v>
      </c>
      <c r="AB175" s="64"/>
      <c r="AC175" s="70" t="s">
        <v>178</v>
      </c>
      <c r="AD175" s="64" t="str">
        <f>IF(AC175&lt;&gt;0,VLOOKUP(AC175,DM_NV,2,0),"")</f>
        <v>Lê Hoàng Quân</v>
      </c>
      <c r="AE175" s="68"/>
      <c r="AF175" s="64" t="str">
        <f>IF(AE175&lt;&gt;0,VLOOKUP(AE175,DM_NV,2,0),"")</f>
        <v/>
      </c>
    </row>
    <row r="176">
      <c r="A176" s="51"/>
      <c r="B176" s="52"/>
      <c r="C176" s="53" t="str">
        <f t="shared" si="2"/>
        <v>02/2022</v>
      </c>
      <c r="D176" s="99">
        <v>44603.0</v>
      </c>
      <c r="E176" s="55" t="s">
        <v>364</v>
      </c>
      <c r="F176" s="56"/>
      <c r="G176" s="57" t="s">
        <v>361</v>
      </c>
      <c r="H176" s="58" t="str">
        <f>IF(G176="","",VLOOKUP($G176,'Quy chuẩn hạch toán'!$B:$E,2,0))</f>
        <v>#N/A</v>
      </c>
      <c r="I176" s="58" t="str">
        <f>IF(H176="","",VLOOKUP($G176,'Quy chuẩn hạch toán'!$B:$E,3,0))</f>
        <v>#N/A</v>
      </c>
      <c r="J176" s="105">
        <v>-1.7927094E7</v>
      </c>
      <c r="K176" s="60"/>
      <c r="L176" s="61"/>
      <c r="M176" s="62"/>
      <c r="N176" s="63"/>
      <c r="O176" s="64"/>
      <c r="P176" s="64"/>
      <c r="Q176" s="65"/>
      <c r="R176" s="64"/>
      <c r="S176" s="66"/>
      <c r="T176" s="64"/>
      <c r="U176" s="93"/>
      <c r="V176" s="64"/>
      <c r="W176" s="68"/>
      <c r="X176" s="64"/>
      <c r="Y176" s="69"/>
      <c r="Z176" s="64"/>
      <c r="AA176" s="70" t="s">
        <v>177</v>
      </c>
      <c r="AB176" s="64"/>
      <c r="AC176" s="70" t="s">
        <v>335</v>
      </c>
      <c r="AD176" s="64" t="str">
        <f>IF(AC176&lt;&gt;0,VLOOKUP(AC176,DM_NV,2,0),"")</f>
        <v>Trần Phước Thành</v>
      </c>
      <c r="AE176" s="68"/>
      <c r="AF176" s="64" t="str">
        <f>IF(AE176&lt;&gt;0,VLOOKUP(AE176,DM_NV,2,0),"")</f>
        <v/>
      </c>
    </row>
    <row r="177">
      <c r="A177" s="51"/>
      <c r="B177" s="52"/>
      <c r="C177" s="53" t="str">
        <f t="shared" si="2"/>
        <v>02/2022</v>
      </c>
      <c r="D177" s="99">
        <v>44603.0</v>
      </c>
      <c r="E177" s="55" t="s">
        <v>338</v>
      </c>
      <c r="F177" s="56"/>
      <c r="G177" s="57" t="s">
        <v>361</v>
      </c>
      <c r="H177" s="58" t="str">
        <f>IF(G177="","",VLOOKUP($G177,'Quy chuẩn hạch toán'!$B:$E,2,0))</f>
        <v>#N/A</v>
      </c>
      <c r="I177" s="58" t="str">
        <f>IF(H177="","",VLOOKUP($G177,'Quy chuẩn hạch toán'!$B:$E,3,0))</f>
        <v>#N/A</v>
      </c>
      <c r="J177" s="105">
        <v>2.6075378E7</v>
      </c>
      <c r="K177" s="60"/>
      <c r="L177" s="61"/>
      <c r="M177" s="62"/>
      <c r="N177" s="63"/>
      <c r="O177" s="64"/>
      <c r="P177" s="64"/>
      <c r="Q177" s="65"/>
      <c r="R177" s="64"/>
      <c r="S177" s="66"/>
      <c r="T177" s="64"/>
      <c r="U177" s="93"/>
      <c r="V177" s="64"/>
      <c r="W177" s="68"/>
      <c r="X177" s="64"/>
      <c r="Y177" s="69"/>
      <c r="Z177" s="64"/>
      <c r="AA177" s="70" t="s">
        <v>208</v>
      </c>
      <c r="AB177" s="64"/>
      <c r="AC177" s="70" t="s">
        <v>217</v>
      </c>
      <c r="AD177" s="64" t="str">
        <f>IF(AC177&lt;&gt;0,VLOOKUP(AC177,DM_NV,2,0),"")</f>
        <v>Nguyễn Thị Mai Thu</v>
      </c>
      <c r="AE177" s="68"/>
      <c r="AF177" s="64" t="str">
        <f>IF(AE177&lt;&gt;0,VLOOKUP(AE177,DM_NV,2,0),"")</f>
        <v/>
      </c>
    </row>
    <row r="178">
      <c r="A178" s="51"/>
      <c r="B178" s="52"/>
      <c r="C178" s="53" t="str">
        <f t="shared" si="2"/>
        <v>02/2022</v>
      </c>
      <c r="D178" s="99">
        <v>44603.0</v>
      </c>
      <c r="E178" s="55" t="s">
        <v>339</v>
      </c>
      <c r="F178" s="56"/>
      <c r="G178" s="57" t="s">
        <v>361</v>
      </c>
      <c r="H178" s="58" t="str">
        <f>IF(G178="","",VLOOKUP($G178,'Quy chuẩn hạch toán'!$B:$E,2,0))</f>
        <v>#N/A</v>
      </c>
      <c r="I178" s="58" t="str">
        <f>IF(H178="","",VLOOKUP($G178,'Quy chuẩn hạch toán'!$B:$E,3,0))</f>
        <v>#N/A</v>
      </c>
      <c r="J178" s="105">
        <v>2.7139679E7</v>
      </c>
      <c r="K178" s="60"/>
      <c r="L178" s="61"/>
      <c r="M178" s="62"/>
      <c r="N178" s="63"/>
      <c r="O178" s="64"/>
      <c r="P178" s="64"/>
      <c r="Q178" s="65"/>
      <c r="R178" s="64"/>
      <c r="S178" s="66"/>
      <c r="T178" s="64"/>
      <c r="U178" s="93"/>
      <c r="V178" s="64"/>
      <c r="W178" s="68"/>
      <c r="X178" s="64"/>
      <c r="Y178" s="69"/>
      <c r="Z178" s="64"/>
      <c r="AA178" s="70" t="s">
        <v>208</v>
      </c>
      <c r="AB178" s="64"/>
      <c r="AC178" s="70" t="s">
        <v>335</v>
      </c>
      <c r="AD178" s="64" t="str">
        <f>IF(AC178&lt;&gt;0,VLOOKUP(AC178,DM_NV,2,0),"")</f>
        <v>Trần Phước Thành</v>
      </c>
      <c r="AE178" s="68"/>
      <c r="AF178" s="64" t="str">
        <f>IF(AE178&lt;&gt;0,VLOOKUP(AE178,DM_NV,2,0),"")</f>
        <v/>
      </c>
    </row>
    <row r="179">
      <c r="A179" s="51"/>
      <c r="B179" s="52"/>
      <c r="C179" s="53" t="str">
        <f t="shared" si="2"/>
        <v>02/2022</v>
      </c>
      <c r="D179" s="99">
        <v>44603.0</v>
      </c>
      <c r="E179" s="55" t="s">
        <v>365</v>
      </c>
      <c r="F179" s="56"/>
      <c r="G179" s="57" t="s">
        <v>361</v>
      </c>
      <c r="H179" s="58" t="str">
        <f>IF(G179="","",VLOOKUP($G179,'Quy chuẩn hạch toán'!$B:$E,2,0))</f>
        <v>#N/A</v>
      </c>
      <c r="I179" s="58" t="str">
        <f>IF(H179="","",VLOOKUP($G179,'Quy chuẩn hạch toán'!$B:$E,3,0))</f>
        <v>#N/A</v>
      </c>
      <c r="J179" s="105">
        <v>-2.7381244E7</v>
      </c>
      <c r="K179" s="60"/>
      <c r="L179" s="61"/>
      <c r="M179" s="62"/>
      <c r="N179" s="63"/>
      <c r="O179" s="64"/>
      <c r="P179" s="64"/>
      <c r="Q179" s="65"/>
      <c r="R179" s="64"/>
      <c r="S179" s="66"/>
      <c r="T179" s="64"/>
      <c r="U179" s="93"/>
      <c r="V179" s="64"/>
      <c r="W179" s="68"/>
      <c r="X179" s="64"/>
      <c r="Y179" s="69"/>
      <c r="Z179" s="64"/>
      <c r="AA179" s="70" t="s">
        <v>210</v>
      </c>
      <c r="AB179" s="64"/>
      <c r="AC179" s="70" t="s">
        <v>335</v>
      </c>
      <c r="AD179" s="64" t="str">
        <f>IF(AC179&lt;&gt;0,VLOOKUP(AC179,DM_NV,2,0),"")</f>
        <v>Trần Phước Thành</v>
      </c>
      <c r="AE179" s="68"/>
      <c r="AF179" s="64" t="str">
        <f>IF(AE179&lt;&gt;0,VLOOKUP(AE179,DM_NV,2,0),"")</f>
        <v/>
      </c>
    </row>
    <row r="180">
      <c r="A180" s="51"/>
      <c r="B180" s="52"/>
      <c r="C180" s="53" t="str">
        <f t="shared" si="2"/>
        <v>02/2022</v>
      </c>
      <c r="D180" s="54">
        <v>44607.0</v>
      </c>
      <c r="E180" s="111" t="s">
        <v>366</v>
      </c>
      <c r="F180" s="112"/>
      <c r="G180" s="109" t="s">
        <v>367</v>
      </c>
      <c r="H180" s="58" t="str">
        <f>IF(G180="","",VLOOKUP($G180,'Quy chuẩn hạch toán'!$B:$E,2,0))</f>
        <v>635</v>
      </c>
      <c r="I180" s="58" t="str">
        <f>IF(H180="","",VLOOKUP($G180,'Quy chuẩn hạch toán'!$B:$E,3,0))</f>
        <v>1111</v>
      </c>
      <c r="J180" s="106">
        <v>3.3806286E7</v>
      </c>
      <c r="K180" s="60"/>
      <c r="L180" s="61"/>
      <c r="M180" s="62"/>
      <c r="N180" s="63"/>
      <c r="O180" s="64"/>
      <c r="P180" s="64"/>
      <c r="Q180" s="65" t="s">
        <v>368</v>
      </c>
      <c r="R180" s="64"/>
      <c r="S180" s="66"/>
      <c r="T180" s="64"/>
      <c r="U180" s="93"/>
      <c r="V180" s="64"/>
      <c r="W180" s="68"/>
      <c r="X180" s="64"/>
      <c r="Y180" s="69"/>
      <c r="Z180" s="64"/>
      <c r="AA180" s="70"/>
      <c r="AB180" s="64"/>
      <c r="AC180" s="70"/>
      <c r="AD180" s="64" t="str">
        <f>IF(AC180&lt;&gt;0,VLOOKUP(AC180,DM_NV,2,0),"")</f>
        <v/>
      </c>
      <c r="AE180" s="83" t="s">
        <v>369</v>
      </c>
      <c r="AF180" s="64" t="str">
        <f>IF(AE180&lt;&gt;0,VLOOKUP(AE180,DM_NV,2,0),"")</f>
        <v>#N/A</v>
      </c>
    </row>
    <row r="181">
      <c r="A181" s="51"/>
      <c r="B181" s="52"/>
      <c r="C181" s="53" t="str">
        <f t="shared" si="2"/>
        <v>02/2022</v>
      </c>
      <c r="D181" s="54">
        <v>44607.0</v>
      </c>
      <c r="E181" s="103" t="s">
        <v>370</v>
      </c>
      <c r="F181" s="113"/>
      <c r="G181" s="109" t="s">
        <v>371</v>
      </c>
      <c r="H181" s="58" t="str">
        <f>IF(G181="","",VLOOKUP($G181,'Quy chuẩn hạch toán'!$B:$E,2,0))</f>
        <v>642</v>
      </c>
      <c r="I181" s="58" t="str">
        <f>IF(H181="","",VLOOKUP($G181,'Quy chuẩn hạch toán'!$B:$E,3,0))</f>
        <v>1111</v>
      </c>
      <c r="J181" s="106">
        <v>2.0E7</v>
      </c>
      <c r="K181" s="60"/>
      <c r="L181" s="61"/>
      <c r="M181" s="62"/>
      <c r="N181" s="63"/>
      <c r="O181" s="64"/>
      <c r="P181" s="64"/>
      <c r="Q181" s="65" t="s">
        <v>267</v>
      </c>
      <c r="R181" s="64"/>
      <c r="S181" s="66"/>
      <c r="T181" s="64"/>
      <c r="U181" s="93"/>
      <c r="V181" s="64"/>
      <c r="W181" s="68"/>
      <c r="X181" s="64"/>
      <c r="Y181" s="69"/>
      <c r="Z181" s="64"/>
      <c r="AA181" s="70"/>
      <c r="AB181" s="64"/>
      <c r="AC181" s="70"/>
      <c r="AD181" s="64" t="str">
        <f>IF(AC181&lt;&gt;0,VLOOKUP(AC181,DM_NV,2,0),"")</f>
        <v/>
      </c>
      <c r="AE181" s="83" t="s">
        <v>256</v>
      </c>
      <c r="AF181" s="64" t="str">
        <f>IF(AE181&lt;&gt;0,VLOOKUP(AE181,DM_NV,2,0),"")</f>
        <v>#N/A</v>
      </c>
    </row>
    <row r="182">
      <c r="A182" s="51"/>
      <c r="B182" s="52"/>
      <c r="C182" s="53" t="str">
        <f t="shared" si="2"/>
        <v>02/2022</v>
      </c>
      <c r="D182" s="54">
        <v>44608.0</v>
      </c>
      <c r="E182" s="91" t="s">
        <v>372</v>
      </c>
      <c r="F182" s="92"/>
      <c r="G182" s="57" t="s">
        <v>373</v>
      </c>
      <c r="H182" s="58" t="str">
        <f>IF(G182="","",VLOOKUP($G182,'Quy chuẩn hạch toán'!$B:$E,2,0))</f>
        <v>641</v>
      </c>
      <c r="I182" s="58" t="str">
        <f>IF(H182="","",VLOOKUP($G182,'Quy chuẩn hạch toán'!$B:$E,3,0))</f>
        <v>1111</v>
      </c>
      <c r="J182" s="95">
        <v>5380000.0</v>
      </c>
      <c r="K182" s="60"/>
      <c r="L182" s="61"/>
      <c r="M182" s="62"/>
      <c r="N182" s="63"/>
      <c r="O182" s="64" t="str">
        <f>IF($Q182&lt;&gt;0,VLOOKUP($Q182,DM_KM,3,0),"")</f>
        <v>#N/A</v>
      </c>
      <c r="P182" s="64" t="str">
        <f>IF($Q182&lt;&gt;0,VLOOKUP($Q182,DM_KM,5,0),"")</f>
        <v>#N/A</v>
      </c>
      <c r="Q182" s="65" t="s">
        <v>374</v>
      </c>
      <c r="R182" s="64" t="str">
        <f>IF(S182&lt;&gt;0,VLOOKUP(S182,DM_DUAN,3,0),"")</f>
        <v>#N/A</v>
      </c>
      <c r="S182" s="66" t="str">
        <f>IF(U182&lt;&gt;0,VLOOKUP(U182,DM_DUAN,3,0),"")</f>
        <v/>
      </c>
      <c r="T182" s="64"/>
      <c r="U182" s="93"/>
      <c r="V182" s="64" t="str">
        <f>IF(W182&lt;&gt;0,VLOOKUP(W182,DM_DUAN,3,0),"")</f>
        <v/>
      </c>
      <c r="W182" s="68"/>
      <c r="X182" s="64" t="str">
        <f>IF(Y182&lt;&gt;0,VLOOKUP(Y182,DM_DUAN,3,0),"")</f>
        <v/>
      </c>
      <c r="Y182" s="69"/>
      <c r="Z182" s="64" t="str">
        <f>IF(AA182&lt;&gt;0,VLOOKUP(AA182,DM_DUAN,3,0),"")</f>
        <v/>
      </c>
      <c r="AA182" s="70"/>
      <c r="AB182" s="64" t="str">
        <f>IF(AC182&lt;&gt;0,VLOOKUP(AC182,DM_DUAN,3,0),"")</f>
        <v/>
      </c>
      <c r="AC182" s="70"/>
      <c r="AD182" s="64" t="str">
        <f>IF(AC182&lt;&gt;0,VLOOKUP(AC182,DM_NV,2,0),"")</f>
        <v/>
      </c>
      <c r="AE182" s="83" t="s">
        <v>375</v>
      </c>
      <c r="AF182" s="64" t="str">
        <f>IF(AE182&lt;&gt;0,VLOOKUP(AE182,DM_NV,2,0),"")</f>
        <v>#N/A</v>
      </c>
    </row>
    <row r="183">
      <c r="A183" s="51"/>
      <c r="B183" s="52"/>
      <c r="C183" s="53" t="str">
        <f t="shared" si="2"/>
        <v>02/2022</v>
      </c>
      <c r="D183" s="99">
        <v>44602.0</v>
      </c>
      <c r="E183" s="55" t="s">
        <v>376</v>
      </c>
      <c r="F183" s="56"/>
      <c r="G183" s="57" t="s">
        <v>205</v>
      </c>
      <c r="H183" s="58" t="str">
        <f>IF(G183="","",VLOOKUP($G183,'Quy chuẩn hạch toán'!$B:$E,2,0))</f>
        <v>642</v>
      </c>
      <c r="I183" s="58" t="str">
        <f>IF(H183="","",VLOOKUP($G183,'Quy chuẩn hạch toán'!$B:$E,3,0))</f>
        <v>1111</v>
      </c>
      <c r="J183" s="59">
        <v>250000.0</v>
      </c>
      <c r="K183" s="60"/>
      <c r="L183" s="61"/>
      <c r="M183" s="62"/>
      <c r="N183" s="63"/>
      <c r="O183" s="64" t="str">
        <f>IF($Q183&lt;&gt;0,VLOOKUP($Q183,DM_KM,3,0),"")</f>
        <v>#N/A</v>
      </c>
      <c r="P183" s="64" t="str">
        <f>IF($Q183&lt;&gt;0,VLOOKUP($Q183,DM_KM,5,0),"")</f>
        <v>#N/A</v>
      </c>
      <c r="Q183" s="65" t="s">
        <v>377</v>
      </c>
      <c r="R183" s="64" t="str">
        <f>IF(S183&lt;&gt;0,VLOOKUP(S183,DM_DUAN,3,0),"")</f>
        <v>#N/A</v>
      </c>
      <c r="S183" s="66" t="str">
        <f>IF(U183&lt;&gt;0,VLOOKUP(U183,DM_DUAN,3,0),"")</f>
        <v/>
      </c>
      <c r="T183" s="64"/>
      <c r="U183" s="93"/>
      <c r="V183" s="64" t="str">
        <f>IF(W183&lt;&gt;0,VLOOKUP(W183,DM_DUAN,3,0),"")</f>
        <v/>
      </c>
      <c r="W183" s="68"/>
      <c r="X183" s="64" t="str">
        <f>IF(Y183&lt;&gt;0,VLOOKUP(Y183,DM_DUAN,3,0),"")</f>
        <v>#N/A</v>
      </c>
      <c r="Y183" s="69" t="s">
        <v>176</v>
      </c>
      <c r="Z183" s="64" t="str">
        <f>IF(AA183&lt;&gt;0,VLOOKUP(AA183,DM_DUAN,3,0),"")</f>
        <v>#N/A</v>
      </c>
      <c r="AA183" s="70" t="s">
        <v>177</v>
      </c>
      <c r="AB183" s="64" t="str">
        <f>IF(AC183&lt;&gt;0,VLOOKUP(AC183,DM_DUAN,3,0),"")</f>
        <v/>
      </c>
      <c r="AC183" s="85"/>
      <c r="AD183" s="64" t="str">
        <f>IF(AC183&lt;&gt;0,VLOOKUP(AC183,DM_NV,2,0),"")</f>
        <v/>
      </c>
      <c r="AE183" s="83" t="s">
        <v>378</v>
      </c>
      <c r="AF183" s="64" t="str">
        <f>IF(AE183&lt;&gt;0,VLOOKUP(AE183,DM_NV,2,0),"")</f>
        <v>#N/A</v>
      </c>
    </row>
    <row r="184">
      <c r="A184" s="51"/>
      <c r="B184" s="52"/>
      <c r="C184" s="53" t="str">
        <f t="shared" si="2"/>
        <v/>
      </c>
      <c r="D184" s="99"/>
      <c r="E184" s="55"/>
      <c r="F184" s="56"/>
      <c r="G184" s="57"/>
      <c r="H184" s="58" t="str">
        <f>IF(G184="","",VLOOKUP($G184,'Quy chuẩn hạch toán'!$B:$E,2,0))</f>
        <v/>
      </c>
      <c r="I184" s="58" t="str">
        <f>IF(H184="","",VLOOKUP($G184,'Quy chuẩn hạch toán'!$B:$E,3,0))</f>
        <v/>
      </c>
      <c r="J184" s="59"/>
      <c r="K184" s="60"/>
      <c r="L184" s="61"/>
      <c r="M184" s="62"/>
      <c r="N184" s="63"/>
      <c r="O184" s="64" t="str">
        <f>IF($Q184&lt;&gt;0,VLOOKUP($Q184,DM_KM,3,0),"")</f>
        <v/>
      </c>
      <c r="P184" s="64" t="str">
        <f>IF($Q184&lt;&gt;0,VLOOKUP($Q184,DM_KM,5,0),"")</f>
        <v/>
      </c>
      <c r="Q184" s="65"/>
      <c r="R184" s="64" t="str">
        <f>IF(S184&lt;&gt;0,VLOOKUP(S184,DM_DUAN,3,0),"")</f>
        <v>#N/A</v>
      </c>
      <c r="S184" s="66" t="str">
        <f>IF(U184&lt;&gt;0,VLOOKUP(U184,DM_DUAN,3,0),"")</f>
        <v/>
      </c>
      <c r="T184" s="64"/>
      <c r="U184" s="93"/>
      <c r="V184" s="64" t="str">
        <f>IF(W184&lt;&gt;0,VLOOKUP(W184,DM_DUAN,3,0),"")</f>
        <v/>
      </c>
      <c r="W184" s="68"/>
      <c r="X184" s="64" t="str">
        <f>IF(Y184&lt;&gt;0,VLOOKUP(Y184,DM_DUAN,3,0),"")</f>
        <v/>
      </c>
      <c r="Y184" s="69"/>
      <c r="Z184" s="64" t="str">
        <f>IF(AA184&lt;&gt;0,VLOOKUP(AA184,DM_DUAN,3,0),"")</f>
        <v/>
      </c>
      <c r="AA184" s="70"/>
      <c r="AB184" s="64" t="str">
        <f>IF(AC184&lt;&gt;0,VLOOKUP(AC184,DM_DUAN,3,0),"")</f>
        <v/>
      </c>
      <c r="AC184" s="85"/>
      <c r="AD184" s="64" t="str">
        <f>IF(AC184&lt;&gt;0,VLOOKUP(AC184,DM_NV,2,0),"")</f>
        <v/>
      </c>
      <c r="AE184" s="83"/>
      <c r="AF184" s="64" t="str">
        <f>IF(AE184&lt;&gt;0,VLOOKUP(AE184,DM_NV,2,0),"")</f>
        <v/>
      </c>
    </row>
    <row r="185">
      <c r="A185" s="51"/>
      <c r="B185" s="52"/>
      <c r="C185" s="53" t="str">
        <f t="shared" si="2"/>
        <v/>
      </c>
      <c r="D185" s="99"/>
      <c r="E185" s="55"/>
      <c r="F185" s="56"/>
      <c r="G185" s="57"/>
      <c r="H185" s="58" t="str">
        <f>IF(G185="","",VLOOKUP($G185,'Quy chuẩn hạch toán'!$B:$E,2,0))</f>
        <v/>
      </c>
      <c r="I185" s="58" t="str">
        <f>IF(H185="","",VLOOKUP($G185,'Quy chuẩn hạch toán'!$B:$E,3,0))</f>
        <v/>
      </c>
      <c r="J185" s="59"/>
      <c r="K185" s="60"/>
      <c r="L185" s="61"/>
      <c r="M185" s="62"/>
      <c r="N185" s="63"/>
      <c r="O185" s="64" t="str">
        <f>IF($Q185&lt;&gt;0,VLOOKUP($Q185,DM_KM,3,0),"")</f>
        <v/>
      </c>
      <c r="P185" s="64" t="str">
        <f>IF($Q185&lt;&gt;0,VLOOKUP($Q185,DM_KM,5,0),"")</f>
        <v/>
      </c>
      <c r="Q185" s="65"/>
      <c r="R185" s="64" t="str">
        <f>IF(S185&lt;&gt;0,VLOOKUP(S185,DM_DUAN,3,0),"")</f>
        <v>#N/A</v>
      </c>
      <c r="S185" s="66" t="str">
        <f>IF(U185&lt;&gt;0,VLOOKUP(U185,DM_DUAN,3,0),"")</f>
        <v/>
      </c>
      <c r="T185" s="64"/>
      <c r="U185" s="93"/>
      <c r="V185" s="64" t="str">
        <f>IF(W185&lt;&gt;0,VLOOKUP(W185,DM_DUAN,3,0),"")</f>
        <v/>
      </c>
      <c r="W185" s="68"/>
      <c r="X185" s="64" t="str">
        <f>IF(Y185&lt;&gt;0,VLOOKUP(Y185,DM_DUAN,3,0),"")</f>
        <v/>
      </c>
      <c r="Y185" s="69"/>
      <c r="Z185" s="64" t="str">
        <f>IF(AA185&lt;&gt;0,VLOOKUP(AA185,DM_DUAN,3,0),"")</f>
        <v/>
      </c>
      <c r="AA185" s="70"/>
      <c r="AB185" s="64" t="str">
        <f>IF(AC185&lt;&gt;0,VLOOKUP(AC185,DM_DUAN,3,0),"")</f>
        <v/>
      </c>
      <c r="AC185" s="85"/>
      <c r="AD185" s="64" t="str">
        <f>IF(AC185&lt;&gt;0,VLOOKUP(AC185,DM_NV,2,0),"")</f>
        <v/>
      </c>
      <c r="AE185" s="83"/>
      <c r="AF185" s="64" t="str">
        <f>IF(AE185&lt;&gt;0,VLOOKUP(AE185,DM_NV,2,0),"")</f>
        <v/>
      </c>
    </row>
    <row r="186">
      <c r="A186" s="51"/>
      <c r="B186" s="52"/>
      <c r="C186" s="53" t="str">
        <f t="shared" si="2"/>
        <v>02/2022</v>
      </c>
      <c r="D186" s="99">
        <v>44602.0</v>
      </c>
      <c r="E186" s="55" t="s">
        <v>379</v>
      </c>
      <c r="F186" s="56"/>
      <c r="G186" s="57" t="s">
        <v>205</v>
      </c>
      <c r="H186" s="58" t="str">
        <f>IF(G186="","",VLOOKUP($G186,'Quy chuẩn hạch toán'!$B:$E,2,0))</f>
        <v>642</v>
      </c>
      <c r="I186" s="58" t="str">
        <f>IF(H186="","",VLOOKUP($G186,'Quy chuẩn hạch toán'!$B:$E,3,0))</f>
        <v>1111</v>
      </c>
      <c r="J186" s="59">
        <v>9524.0</v>
      </c>
      <c r="K186" s="60"/>
      <c r="L186" s="61"/>
      <c r="M186" s="62"/>
      <c r="N186" s="63"/>
      <c r="O186" s="64" t="str">
        <f>IF($Q186&lt;&gt;0,VLOOKUP($Q186,DM_KM,3,0),"")</f>
        <v>#N/A</v>
      </c>
      <c r="P186" s="64" t="str">
        <f>IF($Q186&lt;&gt;0,VLOOKUP($Q186,DM_KM,5,0),"")</f>
        <v>#N/A</v>
      </c>
      <c r="Q186" s="65" t="s">
        <v>380</v>
      </c>
      <c r="R186" s="64" t="str">
        <f>IF(S186&lt;&gt;0,VLOOKUP(S186,DM_DUAN,3,0),"")</f>
        <v>#N/A</v>
      </c>
      <c r="S186" s="66" t="str">
        <f>IF(U186&lt;&gt;0,VLOOKUP(U186,DM_DUAN,3,0),"")</f>
        <v/>
      </c>
      <c r="T186" s="64"/>
      <c r="U186" s="93"/>
      <c r="V186" s="64" t="str">
        <f>IF(W186&lt;&gt;0,VLOOKUP(W186,DM_DUAN,3,0),"")</f>
        <v/>
      </c>
      <c r="W186" s="68"/>
      <c r="X186" s="64" t="str">
        <f>IF(Y186&lt;&gt;0,VLOOKUP(Y186,DM_DUAN,3,0),"")</f>
        <v>#N/A</v>
      </c>
      <c r="Y186" s="69" t="s">
        <v>207</v>
      </c>
      <c r="Z186" s="64" t="str">
        <f>IF(AA186&lt;&gt;0,VLOOKUP(AA186,DM_DUAN,3,0),"")</f>
        <v>#N/A</v>
      </c>
      <c r="AA186" s="70" t="s">
        <v>208</v>
      </c>
      <c r="AB186" s="64" t="str">
        <f>IF(AC186&lt;&gt;0,VLOOKUP(AC186,DM_DUAN,3,0),"")</f>
        <v/>
      </c>
      <c r="AC186" s="70"/>
      <c r="AD186" s="64" t="str">
        <f>IF(AC186&lt;&gt;0,VLOOKUP(AC186,DM_NV,2,0),"")</f>
        <v/>
      </c>
      <c r="AE186" s="83" t="s">
        <v>220</v>
      </c>
      <c r="AF186" s="64" t="str">
        <f>IF(AE186&lt;&gt;0,VLOOKUP(AE186,DM_NV,2,0),"")</f>
        <v>#N/A</v>
      </c>
    </row>
    <row r="187">
      <c r="A187" s="51"/>
      <c r="B187" s="52"/>
      <c r="C187" s="53" t="str">
        <f t="shared" si="2"/>
        <v>02/2022</v>
      </c>
      <c r="D187" s="99">
        <v>44602.0</v>
      </c>
      <c r="E187" s="55" t="s">
        <v>379</v>
      </c>
      <c r="F187" s="56"/>
      <c r="G187" s="57" t="s">
        <v>205</v>
      </c>
      <c r="H187" s="58" t="str">
        <f>IF(G187="","",VLOOKUP($G187,'Quy chuẩn hạch toán'!$B:$E,2,0))</f>
        <v>642</v>
      </c>
      <c r="I187" s="58" t="str">
        <f>IF(H187="","",VLOOKUP($G187,'Quy chuẩn hạch toán'!$B:$E,3,0))</f>
        <v>1111</v>
      </c>
      <c r="J187" s="59">
        <v>19048.0</v>
      </c>
      <c r="K187" s="60"/>
      <c r="L187" s="61"/>
      <c r="M187" s="62"/>
      <c r="N187" s="63"/>
      <c r="O187" s="64" t="str">
        <f>IF($Q187&lt;&gt;0,VLOOKUP($Q187,DM_KM,3,0),"")</f>
        <v>#N/A</v>
      </c>
      <c r="P187" s="64" t="str">
        <f>IF($Q187&lt;&gt;0,VLOOKUP($Q187,DM_KM,5,0),"")</f>
        <v>#N/A</v>
      </c>
      <c r="Q187" s="65" t="s">
        <v>380</v>
      </c>
      <c r="R187" s="64" t="str">
        <f>IF(S187&lt;&gt;0,VLOOKUP(S187,DM_DUAN,3,0),"")</f>
        <v>#N/A</v>
      </c>
      <c r="S187" s="66" t="str">
        <f>IF(U187&lt;&gt;0,VLOOKUP(U187,DM_DUAN,3,0),"")</f>
        <v/>
      </c>
      <c r="T187" s="64"/>
      <c r="U187" s="93"/>
      <c r="V187" s="64" t="str">
        <f>IF(W187&lt;&gt;0,VLOOKUP(W187,DM_DUAN,3,0),"")</f>
        <v/>
      </c>
      <c r="W187" s="68"/>
      <c r="X187" s="64" t="str">
        <f>IF(Y187&lt;&gt;0,VLOOKUP(Y187,DM_DUAN,3,0),"")</f>
        <v>#N/A</v>
      </c>
      <c r="Y187" s="69" t="s">
        <v>207</v>
      </c>
      <c r="Z187" s="64" t="str">
        <f>IF(AA187&lt;&gt;0,VLOOKUP(AA187,DM_DUAN,3,0),"")</f>
        <v>#N/A</v>
      </c>
      <c r="AA187" s="70" t="s">
        <v>210</v>
      </c>
      <c r="AB187" s="64" t="str">
        <f>IF(AC187&lt;&gt;0,VLOOKUP(AC187,DM_DUAN,3,0),"")</f>
        <v/>
      </c>
      <c r="AC187" s="70"/>
      <c r="AD187" s="64" t="str">
        <f>IF(AC187&lt;&gt;0,VLOOKUP(AC187,DM_NV,2,0),"")</f>
        <v/>
      </c>
      <c r="AE187" s="83" t="s">
        <v>220</v>
      </c>
      <c r="AF187" s="64" t="str">
        <f>IF(AE187&lt;&gt;0,VLOOKUP(AE187,DM_NV,2,0),"")</f>
        <v>#N/A</v>
      </c>
    </row>
    <row r="188">
      <c r="A188" s="51"/>
      <c r="B188" s="52"/>
      <c r="C188" s="53" t="str">
        <f t="shared" si="2"/>
        <v>02/2022</v>
      </c>
      <c r="D188" s="99">
        <v>44602.0</v>
      </c>
      <c r="E188" s="55" t="s">
        <v>379</v>
      </c>
      <c r="F188" s="56"/>
      <c r="G188" s="57" t="s">
        <v>205</v>
      </c>
      <c r="H188" s="58" t="str">
        <f>IF(G188="","",VLOOKUP($G188,'Quy chuẩn hạch toán'!$B:$E,2,0))</f>
        <v>642</v>
      </c>
      <c r="I188" s="58" t="str">
        <f>IF(H188="","",VLOOKUP($G188,'Quy chuẩn hạch toán'!$B:$E,3,0))</f>
        <v>1111</v>
      </c>
      <c r="J188" s="59">
        <v>23810.0</v>
      </c>
      <c r="K188" s="60"/>
      <c r="L188" s="61"/>
      <c r="M188" s="62"/>
      <c r="N188" s="63"/>
      <c r="O188" s="64" t="str">
        <f>IF($Q188&lt;&gt;0,VLOOKUP($Q188,DM_KM,3,0),"")</f>
        <v>#N/A</v>
      </c>
      <c r="P188" s="64" t="str">
        <f>IF($Q188&lt;&gt;0,VLOOKUP($Q188,DM_KM,5,0),"")</f>
        <v>#N/A</v>
      </c>
      <c r="Q188" s="65" t="s">
        <v>380</v>
      </c>
      <c r="R188" s="64" t="str">
        <f>IF(S188&lt;&gt;0,VLOOKUP(S188,DM_DUAN,3,0),"")</f>
        <v>#N/A</v>
      </c>
      <c r="S188" s="66" t="str">
        <f>IF(U188&lt;&gt;0,VLOOKUP(U188,DM_DUAN,3,0),"")</f>
        <v/>
      </c>
      <c r="T188" s="64"/>
      <c r="U188" s="93"/>
      <c r="V188" s="64" t="str">
        <f>IF(W188&lt;&gt;0,VLOOKUP(W188,DM_DUAN,3,0),"")</f>
        <v/>
      </c>
      <c r="W188" s="68"/>
      <c r="X188" s="64" t="str">
        <f>IF(Y188&lt;&gt;0,VLOOKUP(Y188,DM_DUAN,3,0),"")</f>
        <v>#N/A</v>
      </c>
      <c r="Y188" s="69" t="s">
        <v>207</v>
      </c>
      <c r="Z188" s="64" t="str">
        <f>IF(AA188&lt;&gt;0,VLOOKUP(AA188,DM_DUAN,3,0),"")</f>
        <v>#N/A</v>
      </c>
      <c r="AA188" s="70" t="s">
        <v>177</v>
      </c>
      <c r="AB188" s="64" t="str">
        <f>IF(AC188&lt;&gt;0,VLOOKUP(AC188,DM_DUAN,3,0),"")</f>
        <v/>
      </c>
      <c r="AC188" s="70"/>
      <c r="AD188" s="64" t="str">
        <f>IF(AC188&lt;&gt;0,VLOOKUP(AC188,DM_NV,2,0),"")</f>
        <v/>
      </c>
      <c r="AE188" s="83" t="s">
        <v>220</v>
      </c>
      <c r="AF188" s="64" t="str">
        <f>IF(AE188&lt;&gt;0,VLOOKUP(AE188,DM_NV,2,0),"")</f>
        <v>#N/A</v>
      </c>
    </row>
    <row r="189">
      <c r="A189" s="51"/>
      <c r="B189" s="52"/>
      <c r="C189" s="53" t="str">
        <f t="shared" si="2"/>
        <v>02/2022</v>
      </c>
      <c r="D189" s="99">
        <v>44602.0</v>
      </c>
      <c r="E189" s="55" t="s">
        <v>379</v>
      </c>
      <c r="F189" s="56"/>
      <c r="G189" s="57" t="s">
        <v>205</v>
      </c>
      <c r="H189" s="58" t="str">
        <f>IF(G189="","",VLOOKUP($G189,'Quy chuẩn hạch toán'!$B:$E,2,0))</f>
        <v>642</v>
      </c>
      <c r="I189" s="58" t="str">
        <f>IF(H189="","",VLOOKUP($G189,'Quy chuẩn hạch toán'!$B:$E,3,0))</f>
        <v>1111</v>
      </c>
      <c r="J189" s="59">
        <v>47619.0</v>
      </c>
      <c r="K189" s="60"/>
      <c r="L189" s="61"/>
      <c r="M189" s="62"/>
      <c r="N189" s="63"/>
      <c r="O189" s="64" t="str">
        <f>IF($Q189&lt;&gt;0,VLOOKUP($Q189,DM_KM,3,0),"")</f>
        <v>#N/A</v>
      </c>
      <c r="P189" s="64" t="str">
        <f>IF($Q189&lt;&gt;0,VLOOKUP($Q189,DM_KM,5,0),"")</f>
        <v>#N/A</v>
      </c>
      <c r="Q189" s="65" t="s">
        <v>380</v>
      </c>
      <c r="R189" s="64" t="str">
        <f>IF(S189&lt;&gt;0,VLOOKUP(S189,DM_DUAN,3,0),"")</f>
        <v>#N/A</v>
      </c>
      <c r="S189" s="66" t="str">
        <f>IF(U189&lt;&gt;0,VLOOKUP(U189,DM_DUAN,3,0),"")</f>
        <v/>
      </c>
      <c r="T189" s="64"/>
      <c r="U189" s="93"/>
      <c r="V189" s="64" t="str">
        <f>IF(W189&lt;&gt;0,VLOOKUP(W189,DM_DUAN,3,0),"")</f>
        <v/>
      </c>
      <c r="W189" s="68"/>
      <c r="X189" s="64" t="str">
        <f>IF(Y189&lt;&gt;0,VLOOKUP(Y189,DM_DUAN,3,0),"")</f>
        <v>#N/A</v>
      </c>
      <c r="Y189" s="69" t="s">
        <v>207</v>
      </c>
      <c r="Z189" s="64" t="str">
        <f>IF(AA189&lt;&gt;0,VLOOKUP(AA189,DM_DUAN,3,0),"")</f>
        <v>#N/A</v>
      </c>
      <c r="AA189" s="70" t="s">
        <v>183</v>
      </c>
      <c r="AB189" s="64" t="str">
        <f>IF(AC189&lt;&gt;0,VLOOKUP(AC189,DM_DUAN,3,0),"")</f>
        <v/>
      </c>
      <c r="AC189" s="85"/>
      <c r="AD189" s="64" t="str">
        <f>IF(AC189&lt;&gt;0,VLOOKUP(AC189,DM_NV,2,0),"")</f>
        <v/>
      </c>
      <c r="AE189" s="83" t="s">
        <v>220</v>
      </c>
      <c r="AF189" s="64" t="str">
        <f>IF(AE189&lt;&gt;0,VLOOKUP(AE189,DM_NV,2,0),"")</f>
        <v>#N/A</v>
      </c>
    </row>
    <row r="190">
      <c r="A190" s="51"/>
      <c r="B190" s="52"/>
      <c r="C190" s="53" t="str">
        <f t="shared" si="2"/>
        <v>02/2022</v>
      </c>
      <c r="D190" s="99">
        <v>44602.0</v>
      </c>
      <c r="E190" s="55" t="s">
        <v>381</v>
      </c>
      <c r="F190" s="56"/>
      <c r="G190" s="57" t="s">
        <v>205</v>
      </c>
      <c r="H190" s="58" t="str">
        <f>IF(G190="","",VLOOKUP($G190,'Quy chuẩn hạch toán'!$B:$E,2,0))</f>
        <v>642</v>
      </c>
      <c r="I190" s="58" t="str">
        <f>IF(H190="","",VLOOKUP($G190,'Quy chuẩn hạch toán'!$B:$E,3,0))</f>
        <v>1111</v>
      </c>
      <c r="J190" s="59">
        <v>310000.0</v>
      </c>
      <c r="K190" s="60"/>
      <c r="L190" s="61"/>
      <c r="M190" s="62"/>
      <c r="N190" s="63"/>
      <c r="O190" s="64" t="str">
        <f>IF($Q190&lt;&gt;0,VLOOKUP($Q190,DM_KM,3,0),"")</f>
        <v>VHVP</v>
      </c>
      <c r="P190" s="64">
        <f>IF($Q190&lt;&gt;0,VLOOKUP($Q190,DM_KM,5,0),"")</f>
        <v>642</v>
      </c>
      <c r="Q190" s="65" t="s">
        <v>382</v>
      </c>
      <c r="R190" s="64" t="str">
        <f>IF(S190&lt;&gt;0,VLOOKUP(S190,DM_DUAN,3,0),"")</f>
        <v>#N/A</v>
      </c>
      <c r="S190" s="66" t="str">
        <f>IF(U190&lt;&gt;0,VLOOKUP(U190,DM_DUAN,3,0),"")</f>
        <v/>
      </c>
      <c r="T190" s="64"/>
      <c r="U190" s="93"/>
      <c r="V190" s="64" t="str">
        <f>IF(W190&lt;&gt;0,VLOOKUP(W190,DM_DUAN,3,0),"")</f>
        <v/>
      </c>
      <c r="W190" s="68"/>
      <c r="X190" s="64" t="str">
        <f>IF(Y190&lt;&gt;0,VLOOKUP(Y190,DM_DUAN,3,0),"")</f>
        <v>#N/A</v>
      </c>
      <c r="Y190" s="69" t="s">
        <v>207</v>
      </c>
      <c r="Z190" s="64" t="str">
        <f>IF(AA190&lt;&gt;0,VLOOKUP(AA190,DM_DUAN,3,0),"")</f>
        <v/>
      </c>
      <c r="AA190" s="70"/>
      <c r="AB190" s="64" t="str">
        <f>IF(AC190&lt;&gt;0,VLOOKUP(AC190,DM_DUAN,3,0),"")</f>
        <v/>
      </c>
      <c r="AC190" s="85"/>
      <c r="AD190" s="64" t="str">
        <f>IF(AC190&lt;&gt;0,VLOOKUP(AC190,DM_NV,2,0),"")</f>
        <v/>
      </c>
      <c r="AE190" s="83" t="s">
        <v>220</v>
      </c>
      <c r="AF190" s="64" t="str">
        <f>IF(AE190&lt;&gt;0,VLOOKUP(AE190,DM_NV,2,0),"")</f>
        <v>#N/A</v>
      </c>
    </row>
    <row r="191">
      <c r="A191" s="51"/>
      <c r="B191" s="52"/>
      <c r="C191" s="53" t="str">
        <f t="shared" si="2"/>
        <v>02/2022</v>
      </c>
      <c r="D191" s="99">
        <v>44602.0</v>
      </c>
      <c r="E191" s="55" t="s">
        <v>383</v>
      </c>
      <c r="F191" s="56"/>
      <c r="G191" s="57" t="s">
        <v>205</v>
      </c>
      <c r="H191" s="58" t="str">
        <f>IF(G191="","",VLOOKUP($G191,'Quy chuẩn hạch toán'!$B:$E,2,0))</f>
        <v>642</v>
      </c>
      <c r="I191" s="58" t="str">
        <f>IF(H191="","",VLOOKUP($G191,'Quy chuẩn hạch toán'!$B:$E,3,0))</f>
        <v>1111</v>
      </c>
      <c r="J191" s="59">
        <v>41429.0</v>
      </c>
      <c r="K191" s="60"/>
      <c r="L191" s="61"/>
      <c r="M191" s="62"/>
      <c r="N191" s="63"/>
      <c r="O191" s="64" t="str">
        <f>IF($Q191&lt;&gt;0,VLOOKUP($Q191,DM_KM,3,0),"")</f>
        <v>#N/A</v>
      </c>
      <c r="P191" s="64" t="str">
        <f>IF($Q191&lt;&gt;0,VLOOKUP($Q191,DM_KM,5,0),"")</f>
        <v>#N/A</v>
      </c>
      <c r="Q191" s="65" t="s">
        <v>222</v>
      </c>
      <c r="R191" s="64" t="str">
        <f>IF(S191&lt;&gt;0,VLOOKUP(S191,DM_DUAN,3,0),"")</f>
        <v>#N/A</v>
      </c>
      <c r="S191" s="66" t="str">
        <f>IF(U191&lt;&gt;0,VLOOKUP(U191,DM_DUAN,3,0),"")</f>
        <v/>
      </c>
      <c r="T191" s="64"/>
      <c r="U191" s="93"/>
      <c r="V191" s="64" t="str">
        <f>IF(W191&lt;&gt;0,VLOOKUP(W191,DM_DUAN,3,0),"")</f>
        <v/>
      </c>
      <c r="W191" s="68"/>
      <c r="X191" s="64" t="str">
        <f>IF(Y191&lt;&gt;0,VLOOKUP(Y191,DM_DUAN,3,0),"")</f>
        <v>#N/A</v>
      </c>
      <c r="Y191" s="69" t="s">
        <v>207</v>
      </c>
      <c r="Z191" s="64" t="str">
        <f>IF(AA191&lt;&gt;0,VLOOKUP(AA191,DM_DUAN,3,0),"")</f>
        <v>#N/A</v>
      </c>
      <c r="AA191" s="70" t="s">
        <v>208</v>
      </c>
      <c r="AB191" s="64" t="str">
        <f>IF(AC191&lt;&gt;0,VLOOKUP(AC191,DM_DUAN,3,0),"")</f>
        <v/>
      </c>
      <c r="AC191" s="70"/>
      <c r="AD191" s="64" t="str">
        <f>IF(AC191&lt;&gt;0,VLOOKUP(AC191,DM_NV,2,0),"")</f>
        <v/>
      </c>
      <c r="AE191" s="83" t="s">
        <v>223</v>
      </c>
      <c r="AF191" s="64" t="str">
        <f>IF(AE191&lt;&gt;0,VLOOKUP(AE191,DM_NV,2,0),"")</f>
        <v>#N/A</v>
      </c>
    </row>
    <row r="192">
      <c r="A192" s="51"/>
      <c r="B192" s="52"/>
      <c r="C192" s="53" t="str">
        <f t="shared" si="2"/>
        <v>02/2022</v>
      </c>
      <c r="D192" s="99">
        <v>44602.0</v>
      </c>
      <c r="E192" s="55" t="s">
        <v>383</v>
      </c>
      <c r="F192" s="56"/>
      <c r="G192" s="57" t="s">
        <v>205</v>
      </c>
      <c r="H192" s="58" t="str">
        <f>IF(G192="","",VLOOKUP($G192,'Quy chuẩn hạch toán'!$B:$E,2,0))</f>
        <v>642</v>
      </c>
      <c r="I192" s="58" t="str">
        <f>IF(H192="","",VLOOKUP($G192,'Quy chuẩn hạch toán'!$B:$E,3,0))</f>
        <v>1111</v>
      </c>
      <c r="J192" s="59">
        <v>82857.0</v>
      </c>
      <c r="K192" s="60"/>
      <c r="L192" s="61"/>
      <c r="M192" s="62"/>
      <c r="N192" s="63"/>
      <c r="O192" s="64" t="str">
        <f>IF($Q192&lt;&gt;0,VLOOKUP($Q192,DM_KM,3,0),"")</f>
        <v>#N/A</v>
      </c>
      <c r="P192" s="64" t="str">
        <f>IF($Q192&lt;&gt;0,VLOOKUP($Q192,DM_KM,5,0),"")</f>
        <v>#N/A</v>
      </c>
      <c r="Q192" s="65" t="s">
        <v>222</v>
      </c>
      <c r="R192" s="64" t="str">
        <f>IF(S192&lt;&gt;0,VLOOKUP(S192,DM_DUAN,3,0),"")</f>
        <v>#N/A</v>
      </c>
      <c r="S192" s="66" t="str">
        <f>IF(U192&lt;&gt;0,VLOOKUP(U192,DM_DUAN,3,0),"")</f>
        <v/>
      </c>
      <c r="T192" s="64"/>
      <c r="U192" s="93"/>
      <c r="V192" s="64" t="str">
        <f>IF(W192&lt;&gt;0,VLOOKUP(W192,DM_DUAN,3,0),"")</f>
        <v/>
      </c>
      <c r="W192" s="68"/>
      <c r="X192" s="64" t="str">
        <f>IF(Y192&lt;&gt;0,VLOOKUP(Y192,DM_DUAN,3,0),"")</f>
        <v>#N/A</v>
      </c>
      <c r="Y192" s="69" t="s">
        <v>207</v>
      </c>
      <c r="Z192" s="64" t="str">
        <f>IF(AA192&lt;&gt;0,VLOOKUP(AA192,DM_DUAN,3,0),"")</f>
        <v>#N/A</v>
      </c>
      <c r="AA192" s="70" t="s">
        <v>210</v>
      </c>
      <c r="AB192" s="64" t="str">
        <f>IF(AC192&lt;&gt;0,VLOOKUP(AC192,DM_DUAN,3,0),"")</f>
        <v/>
      </c>
      <c r="AC192" s="70"/>
      <c r="AD192" s="64" t="str">
        <f>IF(AC192&lt;&gt;0,VLOOKUP(AC192,DM_NV,2,0),"")</f>
        <v/>
      </c>
      <c r="AE192" s="83" t="s">
        <v>223</v>
      </c>
      <c r="AF192" s="64" t="str">
        <f>IF(AE192&lt;&gt;0,VLOOKUP(AE192,DM_NV,2,0),"")</f>
        <v>#N/A</v>
      </c>
    </row>
    <row r="193">
      <c r="A193" s="51"/>
      <c r="B193" s="52"/>
      <c r="C193" s="53" t="str">
        <f t="shared" si="2"/>
        <v>02/2022</v>
      </c>
      <c r="D193" s="99">
        <v>44602.0</v>
      </c>
      <c r="E193" s="55" t="s">
        <v>383</v>
      </c>
      <c r="F193" s="56"/>
      <c r="G193" s="57" t="s">
        <v>205</v>
      </c>
      <c r="H193" s="58" t="str">
        <f>IF(G193="","",VLOOKUP($G193,'Quy chuẩn hạch toán'!$B:$E,2,0))</f>
        <v>642</v>
      </c>
      <c r="I193" s="58" t="str">
        <f>IF(H193="","",VLOOKUP($G193,'Quy chuẩn hạch toán'!$B:$E,3,0))</f>
        <v>1111</v>
      </c>
      <c r="J193" s="59">
        <v>103571.0</v>
      </c>
      <c r="K193" s="60"/>
      <c r="L193" s="61"/>
      <c r="M193" s="62"/>
      <c r="N193" s="63"/>
      <c r="O193" s="64" t="str">
        <f>IF($Q193&lt;&gt;0,VLOOKUP($Q193,DM_KM,3,0),"")</f>
        <v>#N/A</v>
      </c>
      <c r="P193" s="64" t="str">
        <f>IF($Q193&lt;&gt;0,VLOOKUP($Q193,DM_KM,5,0),"")</f>
        <v>#N/A</v>
      </c>
      <c r="Q193" s="65" t="s">
        <v>222</v>
      </c>
      <c r="R193" s="64" t="str">
        <f>IF(S193&lt;&gt;0,VLOOKUP(S193,DM_DUAN,3,0),"")</f>
        <v>#N/A</v>
      </c>
      <c r="S193" s="66" t="str">
        <f>IF(U193&lt;&gt;0,VLOOKUP(U193,DM_DUAN,3,0),"")</f>
        <v/>
      </c>
      <c r="T193" s="64"/>
      <c r="U193" s="93"/>
      <c r="V193" s="64" t="str">
        <f>IF(W193&lt;&gt;0,VLOOKUP(W193,DM_DUAN,3,0),"")</f>
        <v/>
      </c>
      <c r="W193" s="68"/>
      <c r="X193" s="64" t="str">
        <f>IF(Y193&lt;&gt;0,VLOOKUP(Y193,DM_DUAN,3,0),"")</f>
        <v>#N/A</v>
      </c>
      <c r="Y193" s="69" t="s">
        <v>207</v>
      </c>
      <c r="Z193" s="64" t="str">
        <f>IF(AA193&lt;&gt;0,VLOOKUP(AA193,DM_DUAN,3,0),"")</f>
        <v>#N/A</v>
      </c>
      <c r="AA193" s="70" t="s">
        <v>177</v>
      </c>
      <c r="AB193" s="64" t="str">
        <f>IF(AC193&lt;&gt;0,VLOOKUP(AC193,DM_DUAN,3,0),"")</f>
        <v/>
      </c>
      <c r="AC193" s="70"/>
      <c r="AD193" s="64" t="str">
        <f>IF(AC193&lt;&gt;0,VLOOKUP(AC193,DM_NV,2,0),"")</f>
        <v/>
      </c>
      <c r="AE193" s="83" t="s">
        <v>223</v>
      </c>
      <c r="AF193" s="64" t="str">
        <f>IF(AE193&lt;&gt;0,VLOOKUP(AE193,DM_NV,2,0),"")</f>
        <v>#N/A</v>
      </c>
    </row>
    <row r="194">
      <c r="A194" s="51"/>
      <c r="B194" s="52"/>
      <c r="C194" s="53" t="str">
        <f t="shared" si="2"/>
        <v>02/2022</v>
      </c>
      <c r="D194" s="99">
        <v>44602.0</v>
      </c>
      <c r="E194" s="55" t="s">
        <v>383</v>
      </c>
      <c r="F194" s="56"/>
      <c r="G194" s="57" t="s">
        <v>205</v>
      </c>
      <c r="H194" s="58" t="str">
        <f>IF(G194="","",VLOOKUP($G194,'Quy chuẩn hạch toán'!$B:$E,2,0))</f>
        <v>642</v>
      </c>
      <c r="I194" s="58" t="str">
        <f>IF(H194="","",VLOOKUP($G194,'Quy chuẩn hạch toán'!$B:$E,3,0))</f>
        <v>1111</v>
      </c>
      <c r="J194" s="59">
        <v>207143.0</v>
      </c>
      <c r="K194" s="60"/>
      <c r="L194" s="61"/>
      <c r="M194" s="62"/>
      <c r="N194" s="63"/>
      <c r="O194" s="64" t="str">
        <f>IF($Q194&lt;&gt;0,VLOOKUP($Q194,DM_KM,3,0),"")</f>
        <v>#N/A</v>
      </c>
      <c r="P194" s="64" t="str">
        <f>IF($Q194&lt;&gt;0,VLOOKUP($Q194,DM_KM,5,0),"")</f>
        <v>#N/A</v>
      </c>
      <c r="Q194" s="65" t="s">
        <v>222</v>
      </c>
      <c r="R194" s="64" t="str">
        <f>IF(S194&lt;&gt;0,VLOOKUP(S194,DM_DUAN,3,0),"")</f>
        <v>#N/A</v>
      </c>
      <c r="S194" s="66" t="str">
        <f>IF(U194&lt;&gt;0,VLOOKUP(U194,DM_DUAN,3,0),"")</f>
        <v/>
      </c>
      <c r="T194" s="64"/>
      <c r="U194" s="93"/>
      <c r="V194" s="64" t="str">
        <f>IF(W194&lt;&gt;0,VLOOKUP(W194,DM_DUAN,3,0),"")</f>
        <v/>
      </c>
      <c r="W194" s="68"/>
      <c r="X194" s="64" t="str">
        <f>IF(Y194&lt;&gt;0,VLOOKUP(Y194,DM_DUAN,3,0),"")</f>
        <v>#N/A</v>
      </c>
      <c r="Y194" s="69" t="s">
        <v>207</v>
      </c>
      <c r="Z194" s="64" t="str">
        <f>IF(AA194&lt;&gt;0,VLOOKUP(AA194,DM_DUAN,3,0),"")</f>
        <v>#N/A</v>
      </c>
      <c r="AA194" s="70" t="s">
        <v>183</v>
      </c>
      <c r="AB194" s="64" t="str">
        <f>IF(AC194&lt;&gt;0,VLOOKUP(AC194,DM_DUAN,3,0),"")</f>
        <v/>
      </c>
      <c r="AC194" s="85"/>
      <c r="AD194" s="64" t="str">
        <f>IF(AC194&lt;&gt;0,VLOOKUP(AC194,DM_NV,2,0),"")</f>
        <v/>
      </c>
      <c r="AE194" s="83" t="s">
        <v>223</v>
      </c>
      <c r="AF194" s="64" t="str">
        <f>IF(AE194&lt;&gt;0,VLOOKUP(AE194,DM_NV,2,0),"")</f>
        <v>#N/A</v>
      </c>
    </row>
    <row r="195">
      <c r="A195" s="51"/>
      <c r="B195" s="52"/>
      <c r="C195" s="53" t="str">
        <f t="shared" si="2"/>
        <v>02/2022</v>
      </c>
      <c r="D195" s="99">
        <v>44603.0</v>
      </c>
      <c r="E195" s="55" t="s">
        <v>204</v>
      </c>
      <c r="F195" s="56"/>
      <c r="G195" s="57" t="s">
        <v>205</v>
      </c>
      <c r="H195" s="58" t="str">
        <f>IF(G195="","",VLOOKUP($G195,'Quy chuẩn hạch toán'!$B:$E,2,0))</f>
        <v>642</v>
      </c>
      <c r="I195" s="58" t="str">
        <f>IF(H195="","",VLOOKUP($G195,'Quy chuẩn hạch toán'!$B:$E,3,0))</f>
        <v>1111</v>
      </c>
      <c r="J195" s="59">
        <v>19048.0</v>
      </c>
      <c r="K195" s="60"/>
      <c r="L195" s="61"/>
      <c r="M195" s="62"/>
      <c r="N195" s="63"/>
      <c r="O195" s="64" t="str">
        <f>IF($Q195&lt;&gt;0,VLOOKUP($Q195,DM_KM,3,0),"")</f>
        <v>#N/A</v>
      </c>
      <c r="P195" s="64" t="str">
        <f>IF($Q195&lt;&gt;0,VLOOKUP($Q195,DM_KM,5,0),"")</f>
        <v>#N/A</v>
      </c>
      <c r="Q195" s="65" t="s">
        <v>206</v>
      </c>
      <c r="R195" s="64" t="str">
        <f>IF(S195&lt;&gt;0,VLOOKUP(S195,DM_DUAN,3,0),"")</f>
        <v>#N/A</v>
      </c>
      <c r="S195" s="66" t="str">
        <f>IF(U195&lt;&gt;0,VLOOKUP(U195,DM_DUAN,3,0),"")</f>
        <v/>
      </c>
      <c r="T195" s="64"/>
      <c r="U195" s="93"/>
      <c r="V195" s="64" t="str">
        <f>IF(W195&lt;&gt;0,VLOOKUP(W195,DM_DUAN,3,0),"")</f>
        <v/>
      </c>
      <c r="W195" s="68"/>
      <c r="X195" s="64" t="str">
        <f>IF(Y195&lt;&gt;0,VLOOKUP(Y195,DM_DUAN,3,0),"")</f>
        <v>#N/A</v>
      </c>
      <c r="Y195" s="69" t="s">
        <v>207</v>
      </c>
      <c r="Z195" s="64" t="str">
        <f>IF(AA195&lt;&gt;0,VLOOKUP(AA195,DM_DUAN,3,0),"")</f>
        <v>#N/A</v>
      </c>
      <c r="AA195" s="70" t="s">
        <v>208</v>
      </c>
      <c r="AB195" s="64" t="str">
        <f>IF(AC195&lt;&gt;0,VLOOKUP(AC195,DM_DUAN,3,0),"")</f>
        <v/>
      </c>
      <c r="AC195" s="70"/>
      <c r="AD195" s="64" t="str">
        <f>IF(AC195&lt;&gt;0,VLOOKUP(AC195,DM_NV,2,0),"")</f>
        <v/>
      </c>
      <c r="AE195" s="83" t="s">
        <v>209</v>
      </c>
      <c r="AF195" s="64" t="str">
        <f>IF(AE195&lt;&gt;0,VLOOKUP(AE195,DM_NV,2,0),"")</f>
        <v>#N/A</v>
      </c>
    </row>
    <row r="196">
      <c r="A196" s="51"/>
      <c r="B196" s="52"/>
      <c r="C196" s="53" t="str">
        <f t="shared" si="2"/>
        <v>02/2022</v>
      </c>
      <c r="D196" s="114">
        <v>44603.0</v>
      </c>
      <c r="E196" s="115" t="s">
        <v>204</v>
      </c>
      <c r="F196" s="108"/>
      <c r="G196" s="57" t="s">
        <v>205</v>
      </c>
      <c r="H196" s="58" t="str">
        <f>IF(G196="","",VLOOKUP($G196,'Quy chuẩn hạch toán'!$B:$E,2,0))</f>
        <v>642</v>
      </c>
      <c r="I196" s="58" t="str">
        <f>IF(H196="","",VLOOKUP($G196,'Quy chuẩn hạch toán'!$B:$E,3,0))</f>
        <v>1111</v>
      </c>
      <c r="J196" s="116">
        <v>38095.0</v>
      </c>
      <c r="K196" s="60"/>
      <c r="L196" s="61"/>
      <c r="M196" s="62"/>
      <c r="N196" s="63"/>
      <c r="O196" s="64" t="str">
        <f>IF($Q196&lt;&gt;0,VLOOKUP($Q196,DM_KM,3,0),"")</f>
        <v>#N/A</v>
      </c>
      <c r="P196" s="64" t="str">
        <f>IF($Q196&lt;&gt;0,VLOOKUP($Q196,DM_KM,5,0),"")</f>
        <v>#N/A</v>
      </c>
      <c r="Q196" s="65" t="s">
        <v>206</v>
      </c>
      <c r="R196" s="64" t="str">
        <f>IF(S196&lt;&gt;0,VLOOKUP(S196,DM_DUAN,3,0),"")</f>
        <v>#N/A</v>
      </c>
      <c r="S196" s="66" t="str">
        <f>IF(U196&lt;&gt;0,VLOOKUP(U196,DM_DUAN,3,0),"")</f>
        <v/>
      </c>
      <c r="T196" s="64"/>
      <c r="U196" s="93"/>
      <c r="V196" s="64" t="str">
        <f>IF(W196&lt;&gt;0,VLOOKUP(W196,DM_DUAN,3,0),"")</f>
        <v/>
      </c>
      <c r="W196" s="68"/>
      <c r="X196" s="64" t="str">
        <f>IF(Y196&lt;&gt;0,VLOOKUP(Y196,DM_DUAN,3,0),"")</f>
        <v>#N/A</v>
      </c>
      <c r="Y196" s="69" t="s">
        <v>207</v>
      </c>
      <c r="Z196" s="64" t="str">
        <f>IF(AA196&lt;&gt;0,VLOOKUP(AA196,DM_DUAN,3,0),"")</f>
        <v>#N/A</v>
      </c>
      <c r="AA196" s="70" t="s">
        <v>210</v>
      </c>
      <c r="AB196" s="64" t="str">
        <f>IF(AC196&lt;&gt;0,VLOOKUP(AC196,DM_DUAN,3,0),"")</f>
        <v/>
      </c>
      <c r="AC196" s="70"/>
      <c r="AD196" s="64" t="str">
        <f>IF(AC196&lt;&gt;0,VLOOKUP(AC196,DM_NV,2,0),"")</f>
        <v/>
      </c>
      <c r="AE196" s="83" t="s">
        <v>209</v>
      </c>
      <c r="AF196" s="64" t="str">
        <f>IF(AE196&lt;&gt;0,VLOOKUP(AE196,DM_NV,2,0),"")</f>
        <v>#N/A</v>
      </c>
    </row>
    <row r="197">
      <c r="A197" s="51"/>
      <c r="B197" s="52"/>
      <c r="C197" s="53" t="str">
        <f t="shared" si="2"/>
        <v>02/2022</v>
      </c>
      <c r="D197" s="99">
        <v>44603.0</v>
      </c>
      <c r="E197" s="55" t="s">
        <v>204</v>
      </c>
      <c r="F197" s="56"/>
      <c r="G197" s="57" t="s">
        <v>205</v>
      </c>
      <c r="H197" s="58" t="str">
        <f>IF(G197="","",VLOOKUP($G197,'Quy chuẩn hạch toán'!$B:$E,2,0))</f>
        <v>642</v>
      </c>
      <c r="I197" s="58" t="str">
        <f>IF(H197="","",VLOOKUP($G197,'Quy chuẩn hạch toán'!$B:$E,3,0))</f>
        <v>1111</v>
      </c>
      <c r="J197" s="59">
        <v>47619.0</v>
      </c>
      <c r="K197" s="60"/>
      <c r="L197" s="61"/>
      <c r="M197" s="62"/>
      <c r="N197" s="63"/>
      <c r="O197" s="64" t="str">
        <f>IF($Q197&lt;&gt;0,VLOOKUP($Q197,DM_KM,3,0),"")</f>
        <v>#N/A</v>
      </c>
      <c r="P197" s="64" t="str">
        <f>IF($Q197&lt;&gt;0,VLOOKUP($Q197,DM_KM,5,0),"")</f>
        <v>#N/A</v>
      </c>
      <c r="Q197" s="65" t="s">
        <v>206</v>
      </c>
      <c r="R197" s="64" t="str">
        <f>IF(S197&lt;&gt;0,VLOOKUP(S197,DM_DUAN,3,0),"")</f>
        <v>#N/A</v>
      </c>
      <c r="S197" s="66" t="str">
        <f>IF(U197&lt;&gt;0,VLOOKUP(U197,DM_DUAN,3,0),"")</f>
        <v/>
      </c>
      <c r="T197" s="64"/>
      <c r="U197" s="93"/>
      <c r="V197" s="64" t="str">
        <f>IF(W197&lt;&gt;0,VLOOKUP(W197,DM_DUAN,3,0),"")</f>
        <v/>
      </c>
      <c r="W197" s="68"/>
      <c r="X197" s="64" t="str">
        <f>IF(Y197&lt;&gt;0,VLOOKUP(Y197,DM_DUAN,3,0),"")</f>
        <v>#N/A</v>
      </c>
      <c r="Y197" s="69" t="s">
        <v>207</v>
      </c>
      <c r="Z197" s="64" t="str">
        <f>IF(AA197&lt;&gt;0,VLOOKUP(AA197,DM_DUAN,3,0),"")</f>
        <v>#N/A</v>
      </c>
      <c r="AA197" s="70" t="s">
        <v>177</v>
      </c>
      <c r="AB197" s="64" t="str">
        <f>IF(AC197&lt;&gt;0,VLOOKUP(AC197,DM_DUAN,3,0),"")</f>
        <v/>
      </c>
      <c r="AC197" s="70"/>
      <c r="AD197" s="64" t="str">
        <f>IF(AC197&lt;&gt;0,VLOOKUP(AC197,DM_NV,2,0),"")</f>
        <v/>
      </c>
      <c r="AE197" s="83" t="s">
        <v>209</v>
      </c>
      <c r="AF197" s="64" t="str">
        <f>IF(AE197&lt;&gt;0,VLOOKUP(AE197,DM_NV,2,0),"")</f>
        <v>#N/A</v>
      </c>
    </row>
    <row r="198">
      <c r="A198" s="51"/>
      <c r="B198" s="52"/>
      <c r="C198" s="53" t="str">
        <f t="shared" si="2"/>
        <v>02/2022</v>
      </c>
      <c r="D198" s="99">
        <v>44603.0</v>
      </c>
      <c r="E198" s="55" t="s">
        <v>204</v>
      </c>
      <c r="F198" s="56"/>
      <c r="G198" s="57" t="s">
        <v>205</v>
      </c>
      <c r="H198" s="58" t="str">
        <f>IF(G198="","",VLOOKUP($G198,'Quy chuẩn hạch toán'!$B:$E,2,0))</f>
        <v>642</v>
      </c>
      <c r="I198" s="58" t="str">
        <f>IF(H198="","",VLOOKUP($G198,'Quy chuẩn hạch toán'!$B:$E,3,0))</f>
        <v>1111</v>
      </c>
      <c r="J198" s="59">
        <v>95238.0</v>
      </c>
      <c r="K198" s="60"/>
      <c r="L198" s="61"/>
      <c r="M198" s="62"/>
      <c r="N198" s="63"/>
      <c r="O198" s="64" t="str">
        <f>IF($Q198&lt;&gt;0,VLOOKUP($Q198,DM_KM,3,0),"")</f>
        <v>#N/A</v>
      </c>
      <c r="P198" s="64" t="str">
        <f>IF($Q198&lt;&gt;0,VLOOKUP($Q198,DM_KM,5,0),"")</f>
        <v>#N/A</v>
      </c>
      <c r="Q198" s="65" t="s">
        <v>206</v>
      </c>
      <c r="R198" s="64" t="str">
        <f>IF(S198&lt;&gt;0,VLOOKUP(S198,DM_DUAN,3,0),"")</f>
        <v>#N/A</v>
      </c>
      <c r="S198" s="66" t="str">
        <f>IF(U198&lt;&gt;0,VLOOKUP(U198,DM_DUAN,3,0),"")</f>
        <v/>
      </c>
      <c r="T198" s="64"/>
      <c r="U198" s="93"/>
      <c r="V198" s="64" t="str">
        <f>IF(W198&lt;&gt;0,VLOOKUP(W198,DM_DUAN,3,0),"")</f>
        <v/>
      </c>
      <c r="W198" s="68"/>
      <c r="X198" s="64" t="str">
        <f>IF(Y198&lt;&gt;0,VLOOKUP(Y198,DM_DUAN,3,0),"")</f>
        <v>#N/A</v>
      </c>
      <c r="Y198" s="69" t="s">
        <v>207</v>
      </c>
      <c r="Z198" s="64" t="str">
        <f>IF(AA198&lt;&gt;0,VLOOKUP(AA198,DM_DUAN,3,0),"")</f>
        <v>#N/A</v>
      </c>
      <c r="AA198" s="70" t="s">
        <v>183</v>
      </c>
      <c r="AB198" s="64" t="str">
        <f>IF(AC198&lt;&gt;0,VLOOKUP(AC198,DM_DUAN,3,0),"")</f>
        <v/>
      </c>
      <c r="AC198" s="85"/>
      <c r="AD198" s="64" t="str">
        <f>IF(AC198&lt;&gt;0,VLOOKUP(AC198,DM_NV,2,0),"")</f>
        <v/>
      </c>
      <c r="AE198" s="83" t="s">
        <v>209</v>
      </c>
      <c r="AF198" s="64" t="str">
        <f>IF(AE198&lt;&gt;0,VLOOKUP(AE198,DM_NV,2,0),"")</f>
        <v>#N/A</v>
      </c>
    </row>
    <row r="199">
      <c r="A199" s="51"/>
      <c r="B199" s="52"/>
      <c r="C199" s="53" t="str">
        <f t="shared" si="2"/>
        <v>02/2022</v>
      </c>
      <c r="D199" s="99">
        <v>44603.0</v>
      </c>
      <c r="E199" s="55" t="s">
        <v>212</v>
      </c>
      <c r="F199" s="56"/>
      <c r="G199" s="57" t="s">
        <v>205</v>
      </c>
      <c r="H199" s="58" t="str">
        <f>IF(G199="","",VLOOKUP($G199,'Quy chuẩn hạch toán'!$B:$E,2,0))</f>
        <v>642</v>
      </c>
      <c r="I199" s="58" t="str">
        <f>IF(H199="","",VLOOKUP($G199,'Quy chuẩn hạch toán'!$B:$E,3,0))</f>
        <v>1111</v>
      </c>
      <c r="J199" s="59">
        <v>83810.0</v>
      </c>
      <c r="K199" s="60"/>
      <c r="L199" s="61"/>
      <c r="M199" s="62"/>
      <c r="N199" s="63"/>
      <c r="O199" s="64" t="str">
        <f>IF($Q199&lt;&gt;0,VLOOKUP($Q199,DM_KM,3,0),"")</f>
        <v>#N/A</v>
      </c>
      <c r="P199" s="64" t="str">
        <f>IF($Q199&lt;&gt;0,VLOOKUP($Q199,DM_KM,5,0),"")</f>
        <v>#N/A</v>
      </c>
      <c r="Q199" s="65" t="s">
        <v>206</v>
      </c>
      <c r="R199" s="64" t="str">
        <f>IF(S199&lt;&gt;0,VLOOKUP(S199,DM_DUAN,3,0),"")</f>
        <v>#N/A</v>
      </c>
      <c r="S199" s="66" t="str">
        <f>IF(U199&lt;&gt;0,VLOOKUP(U199,DM_DUAN,3,0),"")</f>
        <v/>
      </c>
      <c r="T199" s="64"/>
      <c r="U199" s="93"/>
      <c r="V199" s="64" t="str">
        <f>IF(W199&lt;&gt;0,VLOOKUP(W199,DM_DUAN,3,0),"")</f>
        <v/>
      </c>
      <c r="W199" s="68"/>
      <c r="X199" s="64" t="str">
        <f>IF(Y199&lt;&gt;0,VLOOKUP(Y199,DM_DUAN,3,0),"")</f>
        <v>#N/A</v>
      </c>
      <c r="Y199" s="69" t="s">
        <v>207</v>
      </c>
      <c r="Z199" s="64" t="str">
        <f>IF(AA199&lt;&gt;0,VLOOKUP(AA199,DM_DUAN,3,0),"")</f>
        <v>#N/A</v>
      </c>
      <c r="AA199" s="70" t="s">
        <v>208</v>
      </c>
      <c r="AB199" s="64" t="str">
        <f>IF(AC199&lt;&gt;0,VLOOKUP(AC199,DM_DUAN,3,0),"")</f>
        <v/>
      </c>
      <c r="AC199" s="70"/>
      <c r="AD199" s="64" t="str">
        <f>IF(AC199&lt;&gt;0,VLOOKUP(AC199,DM_NV,2,0),"")</f>
        <v/>
      </c>
      <c r="AE199" s="83" t="s">
        <v>209</v>
      </c>
      <c r="AF199" s="64" t="str">
        <f>IF(AE199&lt;&gt;0,VLOOKUP(AE199,DM_NV,2,0),"")</f>
        <v>#N/A</v>
      </c>
    </row>
    <row r="200">
      <c r="A200" s="51"/>
      <c r="B200" s="52"/>
      <c r="C200" s="53" t="str">
        <f t="shared" si="2"/>
        <v>02/2022</v>
      </c>
      <c r="D200" s="99">
        <v>44603.0</v>
      </c>
      <c r="E200" s="55" t="s">
        <v>212</v>
      </c>
      <c r="F200" s="56"/>
      <c r="G200" s="57" t="s">
        <v>205</v>
      </c>
      <c r="H200" s="58" t="str">
        <f>IF(G200="","",VLOOKUP($G200,'Quy chuẩn hạch toán'!$B:$E,2,0))</f>
        <v>642</v>
      </c>
      <c r="I200" s="58" t="str">
        <f>IF(H200="","",VLOOKUP($G200,'Quy chuẩn hạch toán'!$B:$E,3,0))</f>
        <v>1111</v>
      </c>
      <c r="J200" s="59">
        <v>167619.0</v>
      </c>
      <c r="K200" s="60"/>
      <c r="L200" s="61"/>
      <c r="M200" s="62"/>
      <c r="N200" s="63"/>
      <c r="O200" s="64" t="str">
        <f>IF($Q200&lt;&gt;0,VLOOKUP($Q200,DM_KM,3,0),"")</f>
        <v>#N/A</v>
      </c>
      <c r="P200" s="64" t="str">
        <f>IF($Q200&lt;&gt;0,VLOOKUP($Q200,DM_KM,5,0),"")</f>
        <v>#N/A</v>
      </c>
      <c r="Q200" s="65" t="s">
        <v>206</v>
      </c>
      <c r="R200" s="64" t="str">
        <f>IF(S200&lt;&gt;0,VLOOKUP(S200,DM_DUAN,3,0),"")</f>
        <v>#N/A</v>
      </c>
      <c r="S200" s="66" t="str">
        <f>IF(U200&lt;&gt;0,VLOOKUP(U200,DM_DUAN,3,0),"")</f>
        <v/>
      </c>
      <c r="T200" s="64"/>
      <c r="U200" s="93"/>
      <c r="V200" s="64" t="str">
        <f>IF(W200&lt;&gt;0,VLOOKUP(W200,DM_DUAN,3,0),"")</f>
        <v/>
      </c>
      <c r="W200" s="68"/>
      <c r="X200" s="64" t="str">
        <f>IF(Y200&lt;&gt;0,VLOOKUP(Y200,DM_DUAN,3,0),"")</f>
        <v>#N/A</v>
      </c>
      <c r="Y200" s="69" t="s">
        <v>207</v>
      </c>
      <c r="Z200" s="64" t="str">
        <f>IF(AA200&lt;&gt;0,VLOOKUP(AA200,DM_DUAN,3,0),"")</f>
        <v>#N/A</v>
      </c>
      <c r="AA200" s="70" t="s">
        <v>210</v>
      </c>
      <c r="AB200" s="64" t="str">
        <f>IF(AC200&lt;&gt;0,VLOOKUP(AC200,DM_DUAN,3,0),"")</f>
        <v/>
      </c>
      <c r="AC200" s="70"/>
      <c r="AD200" s="64" t="str">
        <f>IF(AC200&lt;&gt;0,VLOOKUP(AC200,DM_NV,2,0),"")</f>
        <v/>
      </c>
      <c r="AE200" s="83" t="s">
        <v>209</v>
      </c>
      <c r="AF200" s="64" t="str">
        <f>IF(AE200&lt;&gt;0,VLOOKUP(AE200,DM_NV,2,0),"")</f>
        <v>#N/A</v>
      </c>
    </row>
    <row r="201">
      <c r="A201" s="51"/>
      <c r="B201" s="52"/>
      <c r="C201" s="53" t="str">
        <f t="shared" si="2"/>
        <v>02/2022</v>
      </c>
      <c r="D201" s="99">
        <v>44603.0</v>
      </c>
      <c r="E201" s="55" t="s">
        <v>212</v>
      </c>
      <c r="F201" s="56"/>
      <c r="G201" s="57" t="s">
        <v>205</v>
      </c>
      <c r="H201" s="58" t="str">
        <f>IF(G201="","",VLOOKUP($G201,'Quy chuẩn hạch toán'!$B:$E,2,0))</f>
        <v>642</v>
      </c>
      <c r="I201" s="58" t="str">
        <f>IF(H201="","",VLOOKUP($G201,'Quy chuẩn hạch toán'!$B:$E,3,0))</f>
        <v>1111</v>
      </c>
      <c r="J201" s="59">
        <v>209524.0</v>
      </c>
      <c r="K201" s="60"/>
      <c r="L201" s="61"/>
      <c r="M201" s="62"/>
      <c r="N201" s="63"/>
      <c r="O201" s="64" t="str">
        <f>IF($Q201&lt;&gt;0,VLOOKUP($Q201,DM_KM,3,0),"")</f>
        <v>#N/A</v>
      </c>
      <c r="P201" s="64" t="str">
        <f>IF($Q201&lt;&gt;0,VLOOKUP($Q201,DM_KM,5,0),"")</f>
        <v>#N/A</v>
      </c>
      <c r="Q201" s="65" t="s">
        <v>206</v>
      </c>
      <c r="R201" s="64" t="str">
        <f>IF(S201&lt;&gt;0,VLOOKUP(S201,DM_DUAN,3,0),"")</f>
        <v>#N/A</v>
      </c>
      <c r="S201" s="66" t="str">
        <f>IF(U201&lt;&gt;0,VLOOKUP(U201,DM_DUAN,3,0),"")</f>
        <v/>
      </c>
      <c r="T201" s="64"/>
      <c r="U201" s="93"/>
      <c r="V201" s="64" t="str">
        <f>IF(W201&lt;&gt;0,VLOOKUP(W201,DM_DUAN,3,0),"")</f>
        <v/>
      </c>
      <c r="W201" s="68"/>
      <c r="X201" s="64" t="str">
        <f>IF(Y201&lt;&gt;0,VLOOKUP(Y201,DM_DUAN,3,0),"")</f>
        <v>#N/A</v>
      </c>
      <c r="Y201" s="69" t="s">
        <v>207</v>
      </c>
      <c r="Z201" s="64" t="str">
        <f>IF(AA201&lt;&gt;0,VLOOKUP(AA201,DM_DUAN,3,0),"")</f>
        <v>#N/A</v>
      </c>
      <c r="AA201" s="70" t="s">
        <v>177</v>
      </c>
      <c r="AB201" s="64" t="str">
        <f>IF(AC201&lt;&gt;0,VLOOKUP(AC201,DM_DUAN,3,0),"")</f>
        <v/>
      </c>
      <c r="AC201" s="70"/>
      <c r="AD201" s="64" t="str">
        <f>IF(AC201&lt;&gt;0,VLOOKUP(AC201,DM_NV,2,0),"")</f>
        <v/>
      </c>
      <c r="AE201" s="83" t="s">
        <v>209</v>
      </c>
      <c r="AF201" s="64" t="str">
        <f>IF(AE201&lt;&gt;0,VLOOKUP(AE201,DM_NV,2,0),"")</f>
        <v>#N/A</v>
      </c>
    </row>
    <row r="202">
      <c r="A202" s="51"/>
      <c r="B202" s="52"/>
      <c r="C202" s="53" t="str">
        <f t="shared" si="2"/>
        <v>02/2022</v>
      </c>
      <c r="D202" s="114">
        <v>44603.0</v>
      </c>
      <c r="E202" s="115" t="s">
        <v>212</v>
      </c>
      <c r="F202" s="108"/>
      <c r="G202" s="57" t="s">
        <v>205</v>
      </c>
      <c r="H202" s="58" t="str">
        <f>IF(G202="","",VLOOKUP($G202,'Quy chuẩn hạch toán'!$B:$E,2,0))</f>
        <v>642</v>
      </c>
      <c r="I202" s="58" t="str">
        <f>IF(H202="","",VLOOKUP($G202,'Quy chuẩn hạch toán'!$B:$E,3,0))</f>
        <v>1111</v>
      </c>
      <c r="J202" s="116">
        <v>419048.0</v>
      </c>
      <c r="K202" s="60"/>
      <c r="L202" s="61"/>
      <c r="M202" s="62"/>
      <c r="N202" s="63"/>
      <c r="O202" s="64" t="str">
        <f>IF($Q202&lt;&gt;0,VLOOKUP($Q202,DM_KM,3,0),"")</f>
        <v>#N/A</v>
      </c>
      <c r="P202" s="64" t="str">
        <f>IF($Q202&lt;&gt;0,VLOOKUP($Q202,DM_KM,5,0),"")</f>
        <v>#N/A</v>
      </c>
      <c r="Q202" s="65" t="s">
        <v>206</v>
      </c>
      <c r="R202" s="64" t="str">
        <f>IF(S202&lt;&gt;0,VLOOKUP(S202,DM_DUAN,3,0),"")</f>
        <v>#N/A</v>
      </c>
      <c r="S202" s="66" t="str">
        <f>IF(U202&lt;&gt;0,VLOOKUP(U202,DM_DUAN,3,0),"")</f>
        <v/>
      </c>
      <c r="T202" s="64"/>
      <c r="U202" s="93"/>
      <c r="V202" s="64" t="str">
        <f>IF(W202&lt;&gt;0,VLOOKUP(W202,DM_DUAN,3,0),"")</f>
        <v/>
      </c>
      <c r="W202" s="68"/>
      <c r="X202" s="64" t="str">
        <f>IF(Y202&lt;&gt;0,VLOOKUP(Y202,DM_DUAN,3,0),"")</f>
        <v>#N/A</v>
      </c>
      <c r="Y202" s="69" t="s">
        <v>207</v>
      </c>
      <c r="Z202" s="64" t="str">
        <f>IF(AA202&lt;&gt;0,VLOOKUP(AA202,DM_DUAN,3,0),"")</f>
        <v>#N/A</v>
      </c>
      <c r="AA202" s="70" t="s">
        <v>183</v>
      </c>
      <c r="AB202" s="64" t="str">
        <f>IF(AC202&lt;&gt;0,VLOOKUP(AC202,DM_DUAN,3,0),"")</f>
        <v/>
      </c>
      <c r="AC202" s="85"/>
      <c r="AD202" s="64" t="str">
        <f>IF(AC202&lt;&gt;0,VLOOKUP(AC202,DM_NV,2,0),"")</f>
        <v/>
      </c>
      <c r="AE202" s="83" t="s">
        <v>209</v>
      </c>
      <c r="AF202" s="64" t="str">
        <f>IF(AE202&lt;&gt;0,VLOOKUP(AE202,DM_NV,2,0),"")</f>
        <v>#N/A</v>
      </c>
    </row>
    <row r="203">
      <c r="A203" s="51"/>
      <c r="B203" s="52"/>
      <c r="C203" s="53" t="str">
        <f t="shared" si="2"/>
        <v>02/2022</v>
      </c>
      <c r="D203" s="117">
        <v>44604.0</v>
      </c>
      <c r="E203" s="118" t="s">
        <v>384</v>
      </c>
      <c r="F203" s="119"/>
      <c r="G203" s="57" t="s">
        <v>173</v>
      </c>
      <c r="H203" s="58" t="str">
        <f>IF(G203="","",VLOOKUP($G203,'Quy chuẩn hạch toán'!$B:$E,2,0))</f>
        <v>641</v>
      </c>
      <c r="I203" s="58" t="str">
        <f>IF(H203="","",VLOOKUP($G203,'Quy chuẩn hạch toán'!$B:$E,3,0))</f>
        <v>331</v>
      </c>
      <c r="J203" s="120">
        <v>2700000.0</v>
      </c>
      <c r="K203" s="60"/>
      <c r="L203" s="61"/>
      <c r="M203" s="62"/>
      <c r="N203" s="63"/>
      <c r="O203" s="64" t="str">
        <f>IF($Q203&lt;&gt;0,VLOOKUP($Q203,DM_KM,3,0),"")</f>
        <v>#N/A</v>
      </c>
      <c r="P203" s="64" t="str">
        <f>IF($Q203&lt;&gt;0,VLOOKUP($Q203,DM_KM,5,0),"")</f>
        <v>#N/A</v>
      </c>
      <c r="Q203" s="65" t="s">
        <v>174</v>
      </c>
      <c r="R203" s="64" t="str">
        <f>IF(S203&lt;&gt;0,VLOOKUP(S203,DM_DUAN,3,0),"")</f>
        <v>#N/A</v>
      </c>
      <c r="S203" s="66" t="str">
        <f>IF(U203&lt;&gt;0,VLOOKUP(U203,DM_DUAN,3,0),"")</f>
        <v>THANHNAM</v>
      </c>
      <c r="T203" s="64"/>
      <c r="U203" s="67" t="s">
        <v>175</v>
      </c>
      <c r="V203" s="64" t="str">
        <f>IF(W203&lt;&gt;0,VLOOKUP(W203,DM_DUAN,3,0),"")</f>
        <v/>
      </c>
      <c r="W203" s="68"/>
      <c r="X203" s="64" t="str">
        <f>IF(Y203&lt;&gt;0,VLOOKUP(Y203,DM_DUAN,3,0),"")</f>
        <v>#N/A</v>
      </c>
      <c r="Y203" s="69" t="s">
        <v>176</v>
      </c>
      <c r="Z203" s="64" t="str">
        <f>IF(AA203&lt;&gt;0,VLOOKUP(AA203,DM_DUAN,3,0),"")</f>
        <v>#N/A</v>
      </c>
      <c r="AA203" s="70" t="s">
        <v>183</v>
      </c>
      <c r="AB203" s="64" t="str">
        <f>IF(AC203&lt;&gt;0,VLOOKUP(AC203,DM_DUAN,3,0),"")</f>
        <v>#N/A</v>
      </c>
      <c r="AC203" s="70" t="s">
        <v>385</v>
      </c>
      <c r="AD203" s="64" t="str">
        <f>IF(AC203&lt;&gt;0,VLOOKUP(AC203,DM_NV,2,0),"")</f>
        <v>Nguyễn Thảo Trang</v>
      </c>
      <c r="AE203" s="68"/>
      <c r="AF203" s="64" t="str">
        <f>IF(AE203&lt;&gt;0,VLOOKUP(AE203,DM_NV,2,0),"")</f>
        <v/>
      </c>
    </row>
    <row r="204">
      <c r="A204" s="51"/>
      <c r="B204" s="52"/>
      <c r="C204" s="53" t="str">
        <f t="shared" si="2"/>
        <v>02/2022</v>
      </c>
      <c r="D204" s="117">
        <v>44604.0</v>
      </c>
      <c r="E204" s="118" t="s">
        <v>386</v>
      </c>
      <c r="F204" s="119"/>
      <c r="G204" s="57" t="s">
        <v>249</v>
      </c>
      <c r="H204" s="58" t="str">
        <f>IF(G204="","",VLOOKUP($G204,'Quy chuẩn hạch toán'!$B:$E,2,0))</f>
        <v>642</v>
      </c>
      <c r="I204" s="58" t="str">
        <f>IF(H204="","",VLOOKUP($G204,'Quy chuẩn hạch toán'!$B:$E,3,0))</f>
        <v>331</v>
      </c>
      <c r="J204" s="120">
        <v>5133.0</v>
      </c>
      <c r="K204" s="60"/>
      <c r="L204" s="61"/>
      <c r="M204" s="62"/>
      <c r="N204" s="63"/>
      <c r="O204" s="64" t="str">
        <f>IF($Q204&lt;&gt;0,VLOOKUP($Q204,DM_KM,3,0),"")</f>
        <v>#N/A</v>
      </c>
      <c r="P204" s="64" t="str">
        <f>IF($Q204&lt;&gt;0,VLOOKUP($Q204,DM_KM,5,0),"")</f>
        <v>#N/A</v>
      </c>
      <c r="Q204" s="65" t="s">
        <v>174</v>
      </c>
      <c r="R204" s="64" t="str">
        <f>IF(S204&lt;&gt;0,VLOOKUP(S204,DM_DUAN,3,0),"")</f>
        <v>#N/A</v>
      </c>
      <c r="S204" s="66" t="str">
        <f>IF(U204&lt;&gt;0,VLOOKUP(U204,DM_DUAN,3,0),"")</f>
        <v/>
      </c>
      <c r="T204" s="64"/>
      <c r="U204" s="93"/>
      <c r="V204" s="64" t="str">
        <f>IF(W204&lt;&gt;0,VLOOKUP(W204,DM_DUAN,3,0),"")</f>
        <v/>
      </c>
      <c r="W204" s="68"/>
      <c r="X204" s="64" t="str">
        <f>IF(Y204&lt;&gt;0,VLOOKUP(Y204,DM_DUAN,3,0),"")</f>
        <v>#N/A</v>
      </c>
      <c r="Y204" s="69" t="s">
        <v>176</v>
      </c>
      <c r="Z204" s="64" t="str">
        <f>IF(AA204&lt;&gt;0,VLOOKUP(AA204,DM_DUAN,3,0),"")</f>
        <v>#N/A</v>
      </c>
      <c r="AA204" s="70" t="s">
        <v>208</v>
      </c>
      <c r="AB204" s="64" t="str">
        <f>IF(AC204&lt;&gt;0,VLOOKUP(AC204,DM_DUAN,3,0),"")</f>
        <v/>
      </c>
      <c r="AC204" s="70"/>
      <c r="AD204" s="64" t="str">
        <f>IF(AC204&lt;&gt;0,VLOOKUP(AC204,DM_NV,2,0),"")</f>
        <v/>
      </c>
      <c r="AE204" s="68"/>
      <c r="AF204" s="64" t="str">
        <f>IF(AE204&lt;&gt;0,VLOOKUP(AE204,DM_NV,2,0),"")</f>
        <v/>
      </c>
    </row>
    <row r="205">
      <c r="A205" s="51"/>
      <c r="B205" s="52"/>
      <c r="C205" s="53" t="str">
        <f t="shared" si="2"/>
        <v>02/2022</v>
      </c>
      <c r="D205" s="117">
        <v>44604.0</v>
      </c>
      <c r="E205" s="118" t="s">
        <v>386</v>
      </c>
      <c r="F205" s="119"/>
      <c r="G205" s="57" t="s">
        <v>249</v>
      </c>
      <c r="H205" s="58" t="str">
        <f>IF(G205="","",VLOOKUP($G205,'Quy chuẩn hạch toán'!$B:$E,2,0))</f>
        <v>642</v>
      </c>
      <c r="I205" s="58" t="str">
        <f>IF(H205="","",VLOOKUP($G205,'Quy chuẩn hạch toán'!$B:$E,3,0))</f>
        <v>331</v>
      </c>
      <c r="J205" s="120">
        <v>10267.0</v>
      </c>
      <c r="K205" s="60"/>
      <c r="L205" s="61"/>
      <c r="M205" s="62"/>
      <c r="N205" s="63"/>
      <c r="O205" s="64" t="str">
        <f>IF($Q205&lt;&gt;0,VLOOKUP($Q205,DM_KM,3,0),"")</f>
        <v>#N/A</v>
      </c>
      <c r="P205" s="64" t="str">
        <f>IF($Q205&lt;&gt;0,VLOOKUP($Q205,DM_KM,5,0),"")</f>
        <v>#N/A</v>
      </c>
      <c r="Q205" s="65" t="s">
        <v>174</v>
      </c>
      <c r="R205" s="64" t="str">
        <f>IF(S205&lt;&gt;0,VLOOKUP(S205,DM_DUAN,3,0),"")</f>
        <v>#N/A</v>
      </c>
      <c r="S205" s="66" t="str">
        <f>IF(U205&lt;&gt;0,VLOOKUP(U205,DM_DUAN,3,0),"")</f>
        <v/>
      </c>
      <c r="T205" s="64"/>
      <c r="U205" s="93"/>
      <c r="V205" s="64" t="str">
        <f>IF(W205&lt;&gt;0,VLOOKUP(W205,DM_DUAN,3,0),"")</f>
        <v/>
      </c>
      <c r="W205" s="68"/>
      <c r="X205" s="64" t="str">
        <f>IF(Y205&lt;&gt;0,VLOOKUP(Y205,DM_DUAN,3,0),"")</f>
        <v>#N/A</v>
      </c>
      <c r="Y205" s="69" t="s">
        <v>176</v>
      </c>
      <c r="Z205" s="64" t="str">
        <f>IF(AA205&lt;&gt;0,VLOOKUP(AA205,DM_DUAN,3,0),"")</f>
        <v>#N/A</v>
      </c>
      <c r="AA205" s="70" t="s">
        <v>210</v>
      </c>
      <c r="AB205" s="64" t="str">
        <f>IF(AC205&lt;&gt;0,VLOOKUP(AC205,DM_DUAN,3,0),"")</f>
        <v/>
      </c>
      <c r="AC205" s="70"/>
      <c r="AD205" s="64" t="str">
        <f>IF(AC205&lt;&gt;0,VLOOKUP(AC205,DM_NV,2,0),"")</f>
        <v/>
      </c>
      <c r="AE205" s="68"/>
      <c r="AF205" s="64" t="str">
        <f>IF(AE205&lt;&gt;0,VLOOKUP(AE205,DM_NV,2,0),"")</f>
        <v/>
      </c>
    </row>
    <row r="206">
      <c r="A206" s="51"/>
      <c r="B206" s="52"/>
      <c r="C206" s="53" t="str">
        <f t="shared" si="2"/>
        <v>02/2022</v>
      </c>
      <c r="D206" s="121">
        <v>44604.0</v>
      </c>
      <c r="E206" s="122" t="s">
        <v>386</v>
      </c>
      <c r="F206" s="123"/>
      <c r="G206" s="57" t="s">
        <v>249</v>
      </c>
      <c r="H206" s="58" t="str">
        <f>IF(G206="","",VLOOKUP($G206,'Quy chuẩn hạch toán'!$B:$E,2,0))</f>
        <v>642</v>
      </c>
      <c r="I206" s="58" t="str">
        <f>IF(H206="","",VLOOKUP($G206,'Quy chuẩn hạch toán'!$B:$E,3,0))</f>
        <v>331</v>
      </c>
      <c r="J206" s="124">
        <v>12833.0</v>
      </c>
      <c r="K206" s="60"/>
      <c r="L206" s="61"/>
      <c r="M206" s="62"/>
      <c r="N206" s="63"/>
      <c r="O206" s="64" t="str">
        <f>IF($Q206&lt;&gt;0,VLOOKUP($Q206,DM_KM,3,0),"")</f>
        <v>#N/A</v>
      </c>
      <c r="P206" s="64" t="str">
        <f>IF($Q206&lt;&gt;0,VLOOKUP($Q206,DM_KM,5,0),"")</f>
        <v>#N/A</v>
      </c>
      <c r="Q206" s="65" t="s">
        <v>174</v>
      </c>
      <c r="R206" s="64" t="str">
        <f>IF(S206&lt;&gt;0,VLOOKUP(S206,DM_DUAN,3,0),"")</f>
        <v>#N/A</v>
      </c>
      <c r="S206" s="66" t="str">
        <f>IF(U206&lt;&gt;0,VLOOKUP(U206,DM_DUAN,3,0),"")</f>
        <v/>
      </c>
      <c r="T206" s="64"/>
      <c r="U206" s="93"/>
      <c r="V206" s="64" t="str">
        <f>IF(W206&lt;&gt;0,VLOOKUP(W206,DM_DUAN,3,0),"")</f>
        <v/>
      </c>
      <c r="W206" s="68"/>
      <c r="X206" s="64" t="str">
        <f>IF(Y206&lt;&gt;0,VLOOKUP(Y206,DM_DUAN,3,0),"")</f>
        <v>#N/A</v>
      </c>
      <c r="Y206" s="69" t="s">
        <v>176</v>
      </c>
      <c r="Z206" s="64" t="str">
        <f>IF(AA206&lt;&gt;0,VLOOKUP(AA206,DM_DUAN,3,0),"")</f>
        <v>#N/A</v>
      </c>
      <c r="AA206" s="70" t="s">
        <v>177</v>
      </c>
      <c r="AB206" s="64" t="str">
        <f>IF(AC206&lt;&gt;0,VLOOKUP(AC206,DM_DUAN,3,0),"")</f>
        <v/>
      </c>
      <c r="AC206" s="70"/>
      <c r="AD206" s="64" t="str">
        <f>IF(AC206&lt;&gt;0,VLOOKUP(AC206,DM_NV,2,0),"")</f>
        <v/>
      </c>
      <c r="AE206" s="68"/>
      <c r="AF206" s="64" t="str">
        <f>IF(AE206&lt;&gt;0,VLOOKUP(AE206,DM_NV,2,0),"")</f>
        <v/>
      </c>
    </row>
    <row r="207">
      <c r="A207" s="51"/>
      <c r="B207" s="52"/>
      <c r="C207" s="53" t="str">
        <f t="shared" si="2"/>
        <v>02/2022</v>
      </c>
      <c r="D207" s="121">
        <v>44604.0</v>
      </c>
      <c r="E207" s="122" t="s">
        <v>386</v>
      </c>
      <c r="F207" s="123"/>
      <c r="G207" s="57" t="s">
        <v>249</v>
      </c>
      <c r="H207" s="58" t="str">
        <f>IF(G207="","",VLOOKUP($G207,'Quy chuẩn hạch toán'!$B:$E,2,0))</f>
        <v>642</v>
      </c>
      <c r="I207" s="58" t="str">
        <f>IF(H207="","",VLOOKUP($G207,'Quy chuẩn hạch toán'!$B:$E,3,0))</f>
        <v>331</v>
      </c>
      <c r="J207" s="124">
        <v>25667.0</v>
      </c>
      <c r="K207" s="60"/>
      <c r="L207" s="61"/>
      <c r="M207" s="62"/>
      <c r="N207" s="63"/>
      <c r="O207" s="64" t="str">
        <f>IF($Q207&lt;&gt;0,VLOOKUP($Q207,DM_KM,3,0),"")</f>
        <v>#N/A</v>
      </c>
      <c r="P207" s="64" t="str">
        <f>IF($Q207&lt;&gt;0,VLOOKUP($Q207,DM_KM,5,0),"")</f>
        <v>#N/A</v>
      </c>
      <c r="Q207" s="65" t="s">
        <v>174</v>
      </c>
      <c r="R207" s="64" t="str">
        <f>IF(S207&lt;&gt;0,VLOOKUP(S207,DM_DUAN,3,0),"")</f>
        <v>#N/A</v>
      </c>
      <c r="S207" s="66" t="str">
        <f>IF(U207&lt;&gt;0,VLOOKUP(U207,DM_DUAN,3,0),"")</f>
        <v/>
      </c>
      <c r="T207" s="64"/>
      <c r="U207" s="93"/>
      <c r="V207" s="64" t="str">
        <f>IF(W207&lt;&gt;0,VLOOKUP(W207,DM_DUAN,3,0),"")</f>
        <v/>
      </c>
      <c r="W207" s="68"/>
      <c r="X207" s="64" t="str">
        <f>IF(Y207&lt;&gt;0,VLOOKUP(Y207,DM_DUAN,3,0),"")</f>
        <v>#N/A</v>
      </c>
      <c r="Y207" s="69" t="s">
        <v>176</v>
      </c>
      <c r="Z207" s="64" t="str">
        <f>IF(AA207&lt;&gt;0,VLOOKUP(AA207,DM_DUAN,3,0),"")</f>
        <v>#N/A</v>
      </c>
      <c r="AA207" s="70" t="s">
        <v>183</v>
      </c>
      <c r="AB207" s="64" t="str">
        <f>IF(AC207&lt;&gt;0,VLOOKUP(AC207,DM_DUAN,3,0),"")</f>
        <v/>
      </c>
      <c r="AC207" s="85"/>
      <c r="AD207" s="64" t="str">
        <f>IF(AC207&lt;&gt;0,VLOOKUP(AC207,DM_NV,2,0),"")</f>
        <v/>
      </c>
      <c r="AE207" s="68"/>
      <c r="AF207" s="64" t="str">
        <f>IF(AE207&lt;&gt;0,VLOOKUP(AE207,DM_NV,2,0),"")</f>
        <v/>
      </c>
    </row>
    <row r="208">
      <c r="A208" s="51"/>
      <c r="B208" s="52"/>
      <c r="C208" s="53" t="str">
        <f t="shared" si="2"/>
        <v>02/2022</v>
      </c>
      <c r="D208" s="121">
        <v>44604.0</v>
      </c>
      <c r="E208" s="122" t="s">
        <v>387</v>
      </c>
      <c r="F208" s="123"/>
      <c r="G208" s="57" t="s">
        <v>173</v>
      </c>
      <c r="H208" s="58" t="str">
        <f>IF(G208="","",VLOOKUP($G208,'Quy chuẩn hạch toán'!$B:$E,2,0))</f>
        <v>641</v>
      </c>
      <c r="I208" s="58" t="str">
        <f>IF(H208="","",VLOOKUP($G208,'Quy chuẩn hạch toán'!$B:$E,3,0))</f>
        <v>331</v>
      </c>
      <c r="J208" s="124">
        <v>854000.0</v>
      </c>
      <c r="K208" s="60"/>
      <c r="L208" s="61"/>
      <c r="M208" s="62"/>
      <c r="N208" s="63"/>
      <c r="O208" s="64" t="str">
        <f>IF($Q208&lt;&gt;0,VLOOKUP($Q208,DM_KM,3,0),"")</f>
        <v>#N/A</v>
      </c>
      <c r="P208" s="64" t="str">
        <f>IF($Q208&lt;&gt;0,VLOOKUP($Q208,DM_KM,5,0),"")</f>
        <v>#N/A</v>
      </c>
      <c r="Q208" s="65" t="s">
        <v>174</v>
      </c>
      <c r="R208" s="64" t="str">
        <f>IF(S208&lt;&gt;0,VLOOKUP(S208,DM_DUAN,3,0),"")</f>
        <v>#N/A</v>
      </c>
      <c r="S208" s="66" t="str">
        <f>IF(U208&lt;&gt;0,VLOOKUP(U208,DM_DUAN,3,0),"")</f>
        <v>THANHNAM</v>
      </c>
      <c r="T208" s="64"/>
      <c r="U208" s="67" t="s">
        <v>175</v>
      </c>
      <c r="V208" s="64" t="str">
        <f>IF(W208&lt;&gt;0,VLOOKUP(W208,DM_DUAN,3,0),"")</f>
        <v/>
      </c>
      <c r="W208" s="68"/>
      <c r="X208" s="64" t="str">
        <f>IF(Y208&lt;&gt;0,VLOOKUP(Y208,DM_DUAN,3,0),"")</f>
        <v>#N/A</v>
      </c>
      <c r="Y208" s="69" t="s">
        <v>176</v>
      </c>
      <c r="Z208" s="64" t="str">
        <f>IF(AA208&lt;&gt;0,VLOOKUP(AA208,DM_DUAN,3,0),"")</f>
        <v>#N/A</v>
      </c>
      <c r="AA208" s="70" t="s">
        <v>183</v>
      </c>
      <c r="AB208" s="64" t="str">
        <f>IF(AC208&lt;&gt;0,VLOOKUP(AC208,DM_DUAN,3,0),"")</f>
        <v>#N/A</v>
      </c>
      <c r="AC208" s="70" t="s">
        <v>388</v>
      </c>
      <c r="AD208" s="64" t="str">
        <f>IF(AC208&lt;&gt;0,VLOOKUP(AC208,DM_NV,2,0),"")</f>
        <v>Lâm Hồ Tiểu Ngọc</v>
      </c>
      <c r="AE208" s="68"/>
      <c r="AF208" s="64" t="str">
        <f>IF(AE208&lt;&gt;0,VLOOKUP(AE208,DM_NV,2,0),"")</f>
        <v/>
      </c>
    </row>
    <row r="209">
      <c r="A209" s="51"/>
      <c r="B209" s="52"/>
      <c r="C209" s="53" t="str">
        <f t="shared" si="2"/>
        <v>02/2022</v>
      </c>
      <c r="D209" s="99">
        <v>44606.0</v>
      </c>
      <c r="E209" s="55" t="s">
        <v>389</v>
      </c>
      <c r="F209" s="56"/>
      <c r="G209" s="57" t="s">
        <v>205</v>
      </c>
      <c r="H209" s="58" t="str">
        <f>IF(G209="","",VLOOKUP($G209,'Quy chuẩn hạch toán'!$B:$E,2,0))</f>
        <v>642</v>
      </c>
      <c r="I209" s="58" t="str">
        <f>IF(H209="","",VLOOKUP($G209,'Quy chuẩn hạch toán'!$B:$E,3,0))</f>
        <v>1111</v>
      </c>
      <c r="J209" s="59">
        <v>60000.0</v>
      </c>
      <c r="K209" s="60"/>
      <c r="L209" s="61"/>
      <c r="M209" s="62"/>
      <c r="N209" s="63"/>
      <c r="O209" s="64" t="str">
        <f>IF($Q209&lt;&gt;0,VLOOKUP($Q209,DM_KM,3,0),"")</f>
        <v>#N/A</v>
      </c>
      <c r="P209" s="64" t="str">
        <f>IF($Q209&lt;&gt;0,VLOOKUP($Q209,DM_KM,5,0),"")</f>
        <v>#N/A</v>
      </c>
      <c r="Q209" s="65" t="s">
        <v>380</v>
      </c>
      <c r="R209" s="64" t="str">
        <f>IF(S209&lt;&gt;0,VLOOKUP(S209,DM_DUAN,3,0),"")</f>
        <v>#N/A</v>
      </c>
      <c r="S209" s="66" t="str">
        <f>IF(U209&lt;&gt;0,VLOOKUP(U209,DM_DUAN,3,0),"")</f>
        <v/>
      </c>
      <c r="T209" s="64"/>
      <c r="U209" s="93"/>
      <c r="V209" s="64" t="str">
        <f>IF(W209&lt;&gt;0,VLOOKUP(W209,DM_DUAN,3,0),"")</f>
        <v/>
      </c>
      <c r="W209" s="68"/>
      <c r="X209" s="64" t="str">
        <f>IF(Y209&lt;&gt;0,VLOOKUP(Y209,DM_DUAN,3,0),"")</f>
        <v>#N/A</v>
      </c>
      <c r="Y209" s="69" t="s">
        <v>176</v>
      </c>
      <c r="Z209" s="64" t="str">
        <f>IF(AA209&lt;&gt;0,VLOOKUP(AA209,DM_DUAN,3,0),"")</f>
        <v>#N/A</v>
      </c>
      <c r="AA209" s="70" t="s">
        <v>177</v>
      </c>
      <c r="AB209" s="64" t="str">
        <f>IF(AC209&lt;&gt;0,VLOOKUP(AC209,DM_DUAN,3,0),"")</f>
        <v/>
      </c>
      <c r="AC209" s="85"/>
      <c r="AD209" s="64" t="str">
        <f>IF(AC209&lt;&gt;0,VLOOKUP(AC209,DM_NV,2,0),"")</f>
        <v/>
      </c>
      <c r="AE209" s="83" t="s">
        <v>220</v>
      </c>
      <c r="AF209" s="64" t="str">
        <f>IF(AE209&lt;&gt;0,VLOOKUP(AE209,DM_NV,2,0),"")</f>
        <v>#N/A</v>
      </c>
    </row>
    <row r="210">
      <c r="A210" s="51"/>
      <c r="B210" s="52"/>
      <c r="C210" s="53" t="str">
        <f t="shared" si="2"/>
        <v>02/2022</v>
      </c>
      <c r="D210" s="99">
        <v>44606.0</v>
      </c>
      <c r="E210" s="125" t="s">
        <v>390</v>
      </c>
      <c r="F210" s="126"/>
      <c r="G210" s="57" t="s">
        <v>205</v>
      </c>
      <c r="H210" s="58" t="str">
        <f>IF(G210="","",VLOOKUP($G210,'Quy chuẩn hạch toán'!$B:$E,2,0))</f>
        <v>642</v>
      </c>
      <c r="I210" s="58" t="str">
        <f>IF(H210="","",VLOOKUP($G210,'Quy chuẩn hạch toán'!$B:$E,3,0))</f>
        <v>1111</v>
      </c>
      <c r="J210" s="59">
        <v>13333.0</v>
      </c>
      <c r="K210" s="60"/>
      <c r="L210" s="61"/>
      <c r="M210" s="62"/>
      <c r="N210" s="63"/>
      <c r="O210" s="64" t="str">
        <f>IF($Q210&lt;&gt;0,VLOOKUP($Q210,DM_KM,3,0),"")</f>
        <v>#N/A</v>
      </c>
      <c r="P210" s="64" t="str">
        <f>IF($Q210&lt;&gt;0,VLOOKUP($Q210,DM_KM,5,0),"")</f>
        <v>#N/A</v>
      </c>
      <c r="Q210" s="65" t="s">
        <v>226</v>
      </c>
      <c r="R210" s="64" t="str">
        <f>IF(S210&lt;&gt;0,VLOOKUP(S210,DM_DUAN,3,0),"")</f>
        <v>#N/A</v>
      </c>
      <c r="S210" s="66" t="str">
        <f>IF(U210&lt;&gt;0,VLOOKUP(U210,DM_DUAN,3,0),"")</f>
        <v/>
      </c>
      <c r="T210" s="64"/>
      <c r="U210" s="93"/>
      <c r="V210" s="64" t="str">
        <f>IF(W210&lt;&gt;0,VLOOKUP(W210,DM_DUAN,3,0),"")</f>
        <v/>
      </c>
      <c r="W210" s="68"/>
      <c r="X210" s="64" t="str">
        <f>IF(Y210&lt;&gt;0,VLOOKUP(Y210,DM_DUAN,3,0),"")</f>
        <v>#N/A</v>
      </c>
      <c r="Y210" s="69" t="s">
        <v>207</v>
      </c>
      <c r="Z210" s="64" t="str">
        <f>IF(AA210&lt;&gt;0,VLOOKUP(AA210,DM_DUAN,3,0),"")</f>
        <v>#N/A</v>
      </c>
      <c r="AA210" s="70" t="s">
        <v>208</v>
      </c>
      <c r="AB210" s="64" t="str">
        <f>IF(AC210&lt;&gt;0,VLOOKUP(AC210,DM_DUAN,3,0),"")</f>
        <v/>
      </c>
      <c r="AC210" s="70"/>
      <c r="AD210" s="64" t="str">
        <f>IF(AC210&lt;&gt;0,VLOOKUP(AC210,DM_NV,2,0),"")</f>
        <v/>
      </c>
      <c r="AE210" s="83" t="s">
        <v>227</v>
      </c>
      <c r="AF210" s="64" t="str">
        <f>IF(AE210&lt;&gt;0,VLOOKUP(AE210,DM_NV,2,0),"")</f>
        <v>#N/A</v>
      </c>
    </row>
    <row r="211">
      <c r="A211" s="51"/>
      <c r="B211" s="52"/>
      <c r="C211" s="53" t="str">
        <f t="shared" si="2"/>
        <v>02/2022</v>
      </c>
      <c r="D211" s="99">
        <v>44606.0</v>
      </c>
      <c r="E211" s="55" t="s">
        <v>390</v>
      </c>
      <c r="F211" s="56"/>
      <c r="G211" s="57" t="s">
        <v>205</v>
      </c>
      <c r="H211" s="58" t="str">
        <f>IF(G211="","",VLOOKUP($G211,'Quy chuẩn hạch toán'!$B:$E,2,0))</f>
        <v>642</v>
      </c>
      <c r="I211" s="58" t="str">
        <f>IF(H211="","",VLOOKUP($G211,'Quy chuẩn hạch toán'!$B:$E,3,0))</f>
        <v>1111</v>
      </c>
      <c r="J211" s="59">
        <v>26667.0</v>
      </c>
      <c r="K211" s="60"/>
      <c r="L211" s="61"/>
      <c r="M211" s="62"/>
      <c r="N211" s="63"/>
      <c r="O211" s="64" t="str">
        <f>IF($Q211&lt;&gt;0,VLOOKUP($Q211,DM_KM,3,0),"")</f>
        <v>#N/A</v>
      </c>
      <c r="P211" s="64" t="str">
        <f>IF($Q211&lt;&gt;0,VLOOKUP($Q211,DM_KM,5,0),"")</f>
        <v>#N/A</v>
      </c>
      <c r="Q211" s="65" t="s">
        <v>226</v>
      </c>
      <c r="R211" s="64" t="str">
        <f>IF(S211&lt;&gt;0,VLOOKUP(S211,DM_DUAN,3,0),"")</f>
        <v>#N/A</v>
      </c>
      <c r="S211" s="66" t="str">
        <f>IF(U211&lt;&gt;0,VLOOKUP(U211,DM_DUAN,3,0),"")</f>
        <v/>
      </c>
      <c r="T211" s="64"/>
      <c r="U211" s="93"/>
      <c r="V211" s="64" t="str">
        <f>IF(W211&lt;&gt;0,VLOOKUP(W211,DM_DUAN,3,0),"")</f>
        <v/>
      </c>
      <c r="W211" s="68"/>
      <c r="X211" s="64" t="str">
        <f>IF(Y211&lt;&gt;0,VLOOKUP(Y211,DM_DUAN,3,0),"")</f>
        <v>#N/A</v>
      </c>
      <c r="Y211" s="69" t="s">
        <v>207</v>
      </c>
      <c r="Z211" s="64" t="str">
        <f>IF(AA211&lt;&gt;0,VLOOKUP(AA211,DM_DUAN,3,0),"")</f>
        <v>#N/A</v>
      </c>
      <c r="AA211" s="70" t="s">
        <v>210</v>
      </c>
      <c r="AB211" s="64" t="str">
        <f>IF(AC211&lt;&gt;0,VLOOKUP(AC211,DM_DUAN,3,0),"")</f>
        <v/>
      </c>
      <c r="AC211" s="70"/>
      <c r="AD211" s="64" t="str">
        <f>IF(AC211&lt;&gt;0,VLOOKUP(AC211,DM_NV,2,0),"")</f>
        <v/>
      </c>
      <c r="AE211" s="83" t="s">
        <v>227</v>
      </c>
      <c r="AF211" s="64" t="str">
        <f>IF(AE211&lt;&gt;0,VLOOKUP(AE211,DM_NV,2,0),"")</f>
        <v>#N/A</v>
      </c>
    </row>
    <row r="212">
      <c r="A212" s="51"/>
      <c r="B212" s="52"/>
      <c r="C212" s="53" t="str">
        <f t="shared" si="2"/>
        <v>02/2022</v>
      </c>
      <c r="D212" s="99">
        <v>44606.0</v>
      </c>
      <c r="E212" s="55" t="s">
        <v>390</v>
      </c>
      <c r="F212" s="56"/>
      <c r="G212" s="57" t="s">
        <v>205</v>
      </c>
      <c r="H212" s="58" t="str">
        <f>IF(G212="","",VLOOKUP($G212,'Quy chuẩn hạch toán'!$B:$E,2,0))</f>
        <v>642</v>
      </c>
      <c r="I212" s="58" t="str">
        <f>IF(H212="","",VLOOKUP($G212,'Quy chuẩn hạch toán'!$B:$E,3,0))</f>
        <v>1111</v>
      </c>
      <c r="J212" s="59">
        <v>33333.0</v>
      </c>
      <c r="K212" s="60"/>
      <c r="L212" s="61"/>
      <c r="M212" s="62"/>
      <c r="N212" s="63"/>
      <c r="O212" s="64" t="str">
        <f>IF($Q212&lt;&gt;0,VLOOKUP($Q212,DM_KM,3,0),"")</f>
        <v>#N/A</v>
      </c>
      <c r="P212" s="64" t="str">
        <f>IF($Q212&lt;&gt;0,VLOOKUP($Q212,DM_KM,5,0),"")</f>
        <v>#N/A</v>
      </c>
      <c r="Q212" s="65" t="s">
        <v>226</v>
      </c>
      <c r="R212" s="64" t="str">
        <f>IF(S212&lt;&gt;0,VLOOKUP(S212,DM_DUAN,3,0),"")</f>
        <v>#N/A</v>
      </c>
      <c r="S212" s="66" t="str">
        <f>IF(U212&lt;&gt;0,VLOOKUP(U212,DM_DUAN,3,0),"")</f>
        <v/>
      </c>
      <c r="T212" s="64"/>
      <c r="U212" s="93"/>
      <c r="V212" s="64" t="str">
        <f>IF(W212&lt;&gt;0,VLOOKUP(W212,DM_DUAN,3,0),"")</f>
        <v/>
      </c>
      <c r="W212" s="68"/>
      <c r="X212" s="64" t="str">
        <f>IF(Y212&lt;&gt;0,VLOOKUP(Y212,DM_DUAN,3,0),"")</f>
        <v>#N/A</v>
      </c>
      <c r="Y212" s="69" t="s">
        <v>207</v>
      </c>
      <c r="Z212" s="64" t="str">
        <f>IF(AA212&lt;&gt;0,VLOOKUP(AA212,DM_DUAN,3,0),"")</f>
        <v>#N/A</v>
      </c>
      <c r="AA212" s="70" t="s">
        <v>177</v>
      </c>
      <c r="AB212" s="64" t="str">
        <f>IF(AC212&lt;&gt;0,VLOOKUP(AC212,DM_DUAN,3,0),"")</f>
        <v/>
      </c>
      <c r="AC212" s="70"/>
      <c r="AD212" s="64" t="str">
        <f>IF(AC212&lt;&gt;0,VLOOKUP(AC212,DM_NV,2,0),"")</f>
        <v/>
      </c>
      <c r="AE212" s="83" t="s">
        <v>227</v>
      </c>
      <c r="AF212" s="64" t="str">
        <f>IF(AE212&lt;&gt;0,VLOOKUP(AE212,DM_NV,2,0),"")</f>
        <v>#N/A</v>
      </c>
    </row>
    <row r="213">
      <c r="A213" s="51"/>
      <c r="B213" s="52"/>
      <c r="C213" s="53" t="str">
        <f t="shared" si="2"/>
        <v>02/2022</v>
      </c>
      <c r="D213" s="99">
        <v>44606.0</v>
      </c>
      <c r="E213" s="55" t="s">
        <v>390</v>
      </c>
      <c r="F213" s="56"/>
      <c r="G213" s="57" t="s">
        <v>205</v>
      </c>
      <c r="H213" s="58" t="str">
        <f>IF(G213="","",VLOOKUP($G213,'Quy chuẩn hạch toán'!$B:$E,2,0))</f>
        <v>642</v>
      </c>
      <c r="I213" s="58" t="str">
        <f>IF(H213="","",VLOOKUP($G213,'Quy chuẩn hạch toán'!$B:$E,3,0))</f>
        <v>1111</v>
      </c>
      <c r="J213" s="59">
        <v>66667.0</v>
      </c>
      <c r="K213" s="60"/>
      <c r="L213" s="61"/>
      <c r="M213" s="62"/>
      <c r="N213" s="63"/>
      <c r="O213" s="64" t="str">
        <f>IF($Q213&lt;&gt;0,VLOOKUP($Q213,DM_KM,3,0),"")</f>
        <v>#N/A</v>
      </c>
      <c r="P213" s="64" t="str">
        <f>IF($Q213&lt;&gt;0,VLOOKUP($Q213,DM_KM,5,0),"")</f>
        <v>#N/A</v>
      </c>
      <c r="Q213" s="65" t="s">
        <v>226</v>
      </c>
      <c r="R213" s="64" t="str">
        <f>IF(S213&lt;&gt;0,VLOOKUP(S213,DM_DUAN,3,0),"")</f>
        <v>#N/A</v>
      </c>
      <c r="S213" s="66" t="str">
        <f>IF(U213&lt;&gt;0,VLOOKUP(U213,DM_DUAN,3,0),"")</f>
        <v/>
      </c>
      <c r="T213" s="64"/>
      <c r="U213" s="93"/>
      <c r="V213" s="64" t="str">
        <f>IF(W213&lt;&gt;0,VLOOKUP(W213,DM_DUAN,3,0),"")</f>
        <v/>
      </c>
      <c r="W213" s="68"/>
      <c r="X213" s="64" t="str">
        <f>IF(Y213&lt;&gt;0,VLOOKUP(Y213,DM_DUAN,3,0),"")</f>
        <v>#N/A</v>
      </c>
      <c r="Y213" s="69" t="s">
        <v>207</v>
      </c>
      <c r="Z213" s="64" t="str">
        <f>IF(AA213&lt;&gt;0,VLOOKUP(AA213,DM_DUAN,3,0),"")</f>
        <v>#N/A</v>
      </c>
      <c r="AA213" s="70" t="s">
        <v>183</v>
      </c>
      <c r="AB213" s="64" t="str">
        <f>IF(AC213&lt;&gt;0,VLOOKUP(AC213,DM_DUAN,3,0),"")</f>
        <v/>
      </c>
      <c r="AC213" s="85"/>
      <c r="AD213" s="64" t="str">
        <f>IF(AC213&lt;&gt;0,VLOOKUP(AC213,DM_NV,2,0),"")</f>
        <v/>
      </c>
      <c r="AE213" s="83" t="s">
        <v>227</v>
      </c>
      <c r="AF213" s="64" t="str">
        <f>IF(AE213&lt;&gt;0,VLOOKUP(AE213,DM_NV,2,0),"")</f>
        <v>#N/A</v>
      </c>
    </row>
    <row r="214">
      <c r="A214" s="51"/>
      <c r="B214" s="52"/>
      <c r="C214" s="53" t="str">
        <f t="shared" si="2"/>
        <v>02/2022</v>
      </c>
      <c r="D214" s="99">
        <v>44607.0</v>
      </c>
      <c r="E214" s="55" t="s">
        <v>391</v>
      </c>
      <c r="F214" s="56"/>
      <c r="G214" s="57" t="s">
        <v>205</v>
      </c>
      <c r="H214" s="58" t="str">
        <f>IF(G214="","",VLOOKUP($G214,'Quy chuẩn hạch toán'!$B:$E,2,0))</f>
        <v>642</v>
      </c>
      <c r="I214" s="58" t="str">
        <f>IF(H214="","",VLOOKUP($G214,'Quy chuẩn hạch toán'!$B:$E,3,0))</f>
        <v>1111</v>
      </c>
      <c r="J214" s="59">
        <v>18571.0</v>
      </c>
      <c r="K214" s="60"/>
      <c r="L214" s="61"/>
      <c r="M214" s="62"/>
      <c r="N214" s="63"/>
      <c r="O214" s="64" t="str">
        <f>IF($Q214&lt;&gt;0,VLOOKUP($Q214,DM_KM,3,0),"")</f>
        <v>#N/A</v>
      </c>
      <c r="P214" s="64" t="str">
        <f>IF($Q214&lt;&gt;0,VLOOKUP($Q214,DM_KM,5,0),"")</f>
        <v>#N/A</v>
      </c>
      <c r="Q214" s="65" t="s">
        <v>219</v>
      </c>
      <c r="R214" s="64" t="str">
        <f>IF(S214&lt;&gt;0,VLOOKUP(S214,DM_DUAN,3,0),"")</f>
        <v>#N/A</v>
      </c>
      <c r="S214" s="66" t="str">
        <f>IF(U214&lt;&gt;0,VLOOKUP(U214,DM_DUAN,3,0),"")</f>
        <v/>
      </c>
      <c r="T214" s="64"/>
      <c r="U214" s="93"/>
      <c r="V214" s="64" t="str">
        <f>IF(W214&lt;&gt;0,VLOOKUP(W214,DM_DUAN,3,0),"")</f>
        <v/>
      </c>
      <c r="W214" s="68"/>
      <c r="X214" s="64" t="str">
        <f>IF(Y214&lt;&gt;0,VLOOKUP(Y214,DM_DUAN,3,0),"")</f>
        <v>#N/A</v>
      </c>
      <c r="Y214" s="69" t="s">
        <v>207</v>
      </c>
      <c r="Z214" s="64" t="str">
        <f>IF(AA214&lt;&gt;0,VLOOKUP(AA214,DM_DUAN,3,0),"")</f>
        <v>#N/A</v>
      </c>
      <c r="AA214" s="70" t="s">
        <v>208</v>
      </c>
      <c r="AB214" s="64" t="str">
        <f>IF(AC214&lt;&gt;0,VLOOKUP(AC214,DM_DUAN,3,0),"")</f>
        <v/>
      </c>
      <c r="AC214" s="70"/>
      <c r="AD214" s="64" t="str">
        <f>IF(AC214&lt;&gt;0,VLOOKUP(AC214,DM_NV,2,0),"")</f>
        <v/>
      </c>
      <c r="AE214" s="83" t="s">
        <v>220</v>
      </c>
      <c r="AF214" s="64" t="str">
        <f>IF(AE214&lt;&gt;0,VLOOKUP(AE214,DM_NV,2,0),"")</f>
        <v>#N/A</v>
      </c>
    </row>
    <row r="215">
      <c r="A215" s="51"/>
      <c r="B215" s="52"/>
      <c r="C215" s="53" t="str">
        <f t="shared" si="2"/>
        <v>02/2022</v>
      </c>
      <c r="D215" s="99">
        <v>44607.0</v>
      </c>
      <c r="E215" s="55" t="s">
        <v>391</v>
      </c>
      <c r="F215" s="56"/>
      <c r="G215" s="57" t="s">
        <v>205</v>
      </c>
      <c r="H215" s="58" t="str">
        <f>IF(G215="","",VLOOKUP($G215,'Quy chuẩn hạch toán'!$B:$E,2,0))</f>
        <v>642</v>
      </c>
      <c r="I215" s="58" t="str">
        <f>IF(H215="","",VLOOKUP($G215,'Quy chuẩn hạch toán'!$B:$E,3,0))</f>
        <v>1111</v>
      </c>
      <c r="J215" s="59">
        <v>37143.0</v>
      </c>
      <c r="K215" s="60"/>
      <c r="L215" s="61"/>
      <c r="M215" s="62"/>
      <c r="N215" s="63"/>
      <c r="O215" s="64" t="str">
        <f>IF($Q215&lt;&gt;0,VLOOKUP($Q215,DM_KM,3,0),"")</f>
        <v>#N/A</v>
      </c>
      <c r="P215" s="64" t="str">
        <f>IF($Q215&lt;&gt;0,VLOOKUP($Q215,DM_KM,5,0),"")</f>
        <v>#N/A</v>
      </c>
      <c r="Q215" s="65" t="s">
        <v>219</v>
      </c>
      <c r="R215" s="64" t="str">
        <f>IF(S215&lt;&gt;0,VLOOKUP(S215,DM_DUAN,3,0),"")</f>
        <v>#N/A</v>
      </c>
      <c r="S215" s="66" t="str">
        <f>IF(U215&lt;&gt;0,VLOOKUP(U215,DM_DUAN,3,0),"")</f>
        <v/>
      </c>
      <c r="T215" s="64"/>
      <c r="U215" s="93"/>
      <c r="V215" s="64" t="str">
        <f>IF(W215&lt;&gt;0,VLOOKUP(W215,DM_DUAN,3,0),"")</f>
        <v/>
      </c>
      <c r="W215" s="68"/>
      <c r="X215" s="64" t="str">
        <f>IF(Y215&lt;&gt;0,VLOOKUP(Y215,DM_DUAN,3,0),"")</f>
        <v>#N/A</v>
      </c>
      <c r="Y215" s="69" t="s">
        <v>207</v>
      </c>
      <c r="Z215" s="64" t="str">
        <f>IF(AA215&lt;&gt;0,VLOOKUP(AA215,DM_DUAN,3,0),"")</f>
        <v>#N/A</v>
      </c>
      <c r="AA215" s="70" t="s">
        <v>210</v>
      </c>
      <c r="AB215" s="64" t="str">
        <f>IF(AC215&lt;&gt;0,VLOOKUP(AC215,DM_DUAN,3,0),"")</f>
        <v/>
      </c>
      <c r="AC215" s="70"/>
      <c r="AD215" s="64" t="str">
        <f>IF(AC215&lt;&gt;0,VLOOKUP(AC215,DM_NV,2,0),"")</f>
        <v/>
      </c>
      <c r="AE215" s="83" t="s">
        <v>220</v>
      </c>
      <c r="AF215" s="64" t="str">
        <f>IF(AE215&lt;&gt;0,VLOOKUP(AE215,DM_NV,2,0),"")</f>
        <v>#N/A</v>
      </c>
    </row>
    <row r="216">
      <c r="A216" s="51"/>
      <c r="B216" s="52"/>
      <c r="C216" s="53" t="str">
        <f t="shared" si="2"/>
        <v>02/2022</v>
      </c>
      <c r="D216" s="99">
        <v>44607.0</v>
      </c>
      <c r="E216" s="55" t="s">
        <v>391</v>
      </c>
      <c r="F216" s="56"/>
      <c r="G216" s="57" t="s">
        <v>205</v>
      </c>
      <c r="H216" s="58" t="str">
        <f>IF(G216="","",VLOOKUP($G216,'Quy chuẩn hạch toán'!$B:$E,2,0))</f>
        <v>642</v>
      </c>
      <c r="I216" s="58" t="str">
        <f>IF(H216="","",VLOOKUP($G216,'Quy chuẩn hạch toán'!$B:$E,3,0))</f>
        <v>1111</v>
      </c>
      <c r="J216" s="59">
        <v>46429.0</v>
      </c>
      <c r="K216" s="60"/>
      <c r="L216" s="61"/>
      <c r="M216" s="62"/>
      <c r="N216" s="63"/>
      <c r="O216" s="64" t="str">
        <f>IF($Q216&lt;&gt;0,VLOOKUP($Q216,DM_KM,3,0),"")</f>
        <v>#N/A</v>
      </c>
      <c r="P216" s="64" t="str">
        <f>IF($Q216&lt;&gt;0,VLOOKUP($Q216,DM_KM,5,0),"")</f>
        <v>#N/A</v>
      </c>
      <c r="Q216" s="65" t="s">
        <v>219</v>
      </c>
      <c r="R216" s="64" t="str">
        <f>IF(S216&lt;&gt;0,VLOOKUP(S216,DM_DUAN,3,0),"")</f>
        <v>#N/A</v>
      </c>
      <c r="S216" s="66" t="str">
        <f>IF(U216&lt;&gt;0,VLOOKUP(U216,DM_DUAN,3,0),"")</f>
        <v/>
      </c>
      <c r="T216" s="64"/>
      <c r="U216" s="93"/>
      <c r="V216" s="64" t="str">
        <f>IF(W216&lt;&gt;0,VLOOKUP(W216,DM_DUAN,3,0),"")</f>
        <v/>
      </c>
      <c r="W216" s="68"/>
      <c r="X216" s="64" t="str">
        <f>IF(Y216&lt;&gt;0,VLOOKUP(Y216,DM_DUAN,3,0),"")</f>
        <v>#N/A</v>
      </c>
      <c r="Y216" s="69" t="s">
        <v>207</v>
      </c>
      <c r="Z216" s="64" t="str">
        <f>IF(AA216&lt;&gt;0,VLOOKUP(AA216,DM_DUAN,3,0),"")</f>
        <v>#N/A</v>
      </c>
      <c r="AA216" s="70" t="s">
        <v>177</v>
      </c>
      <c r="AB216" s="64" t="str">
        <f>IF(AC216&lt;&gt;0,VLOOKUP(AC216,DM_DUAN,3,0),"")</f>
        <v/>
      </c>
      <c r="AC216" s="70"/>
      <c r="AD216" s="64" t="str">
        <f>IF(AC216&lt;&gt;0,VLOOKUP(AC216,DM_NV,2,0),"")</f>
        <v/>
      </c>
      <c r="AE216" s="83" t="s">
        <v>220</v>
      </c>
      <c r="AF216" s="64" t="str">
        <f>IF(AE216&lt;&gt;0,VLOOKUP(AE216,DM_NV,2,0),"")</f>
        <v>#N/A</v>
      </c>
    </row>
    <row r="217">
      <c r="A217" s="51"/>
      <c r="B217" s="52"/>
      <c r="C217" s="53" t="str">
        <f t="shared" si="2"/>
        <v>02/2022</v>
      </c>
      <c r="D217" s="99">
        <v>44607.0</v>
      </c>
      <c r="E217" s="55" t="s">
        <v>391</v>
      </c>
      <c r="F217" s="56"/>
      <c r="G217" s="57" t="s">
        <v>205</v>
      </c>
      <c r="H217" s="58" t="str">
        <f>IF(G217="","",VLOOKUP($G217,'Quy chuẩn hạch toán'!$B:$E,2,0))</f>
        <v>642</v>
      </c>
      <c r="I217" s="58" t="str">
        <f>IF(H217="","",VLOOKUP($G217,'Quy chuẩn hạch toán'!$B:$E,3,0))</f>
        <v>1111</v>
      </c>
      <c r="J217" s="59">
        <v>92857.0</v>
      </c>
      <c r="K217" s="60"/>
      <c r="L217" s="61"/>
      <c r="M217" s="62"/>
      <c r="N217" s="63"/>
      <c r="O217" s="64" t="str">
        <f>IF($Q217&lt;&gt;0,VLOOKUP($Q217,DM_KM,3,0),"")</f>
        <v>#N/A</v>
      </c>
      <c r="P217" s="64" t="str">
        <f>IF($Q217&lt;&gt;0,VLOOKUP($Q217,DM_KM,5,0),"")</f>
        <v>#N/A</v>
      </c>
      <c r="Q217" s="65" t="s">
        <v>219</v>
      </c>
      <c r="R217" s="64" t="str">
        <f>IF(S217&lt;&gt;0,VLOOKUP(S217,DM_DUAN,3,0),"")</f>
        <v>#N/A</v>
      </c>
      <c r="S217" s="66" t="str">
        <f>IF(U217&lt;&gt;0,VLOOKUP(U217,DM_DUAN,3,0),"")</f>
        <v/>
      </c>
      <c r="T217" s="64"/>
      <c r="U217" s="93"/>
      <c r="V217" s="64" t="str">
        <f>IF(W217&lt;&gt;0,VLOOKUP(W217,DM_DUAN,3,0),"")</f>
        <v/>
      </c>
      <c r="W217" s="68"/>
      <c r="X217" s="64" t="str">
        <f>IF(Y217&lt;&gt;0,VLOOKUP(Y217,DM_DUAN,3,0),"")</f>
        <v>#N/A</v>
      </c>
      <c r="Y217" s="69" t="s">
        <v>207</v>
      </c>
      <c r="Z217" s="64" t="str">
        <f>IF(AA217&lt;&gt;0,VLOOKUP(AA217,DM_DUAN,3,0),"")</f>
        <v>#N/A</v>
      </c>
      <c r="AA217" s="70" t="s">
        <v>183</v>
      </c>
      <c r="AB217" s="64" t="str">
        <f>IF(AC217&lt;&gt;0,VLOOKUP(AC217,DM_DUAN,3,0),"")</f>
        <v/>
      </c>
      <c r="AC217" s="85"/>
      <c r="AD217" s="64" t="str">
        <f>IF(AC217&lt;&gt;0,VLOOKUP(AC217,DM_NV,2,0),"")</f>
        <v/>
      </c>
      <c r="AE217" s="83" t="s">
        <v>220</v>
      </c>
      <c r="AF217" s="64" t="str">
        <f>IF(AE217&lt;&gt;0,VLOOKUP(AE217,DM_NV,2,0),"")</f>
        <v>#N/A</v>
      </c>
    </row>
    <row r="218">
      <c r="A218" s="51"/>
      <c r="B218" s="52"/>
      <c r="C218" s="53" t="str">
        <f t="shared" si="2"/>
        <v>02/2022</v>
      </c>
      <c r="D218" s="99">
        <v>44608.0</v>
      </c>
      <c r="E218" s="55" t="s">
        <v>392</v>
      </c>
      <c r="F218" s="56"/>
      <c r="G218" s="57" t="s">
        <v>205</v>
      </c>
      <c r="H218" s="58" t="str">
        <f>IF(G218="","",VLOOKUP($G218,'Quy chuẩn hạch toán'!$B:$E,2,0))</f>
        <v>642</v>
      </c>
      <c r="I218" s="58" t="str">
        <f>IF(H218="","",VLOOKUP($G218,'Quy chuẩn hạch toán'!$B:$E,3,0))</f>
        <v>1111</v>
      </c>
      <c r="J218" s="59">
        <v>110000.0</v>
      </c>
      <c r="K218" s="60"/>
      <c r="L218" s="61"/>
      <c r="M218" s="62"/>
      <c r="N218" s="63"/>
      <c r="O218" s="64" t="str">
        <f>IF($Q218&lt;&gt;0,VLOOKUP($Q218,DM_KM,3,0),"")</f>
        <v>#N/A</v>
      </c>
      <c r="P218" s="64" t="str">
        <f>IF($Q218&lt;&gt;0,VLOOKUP($Q218,DM_KM,5,0),"")</f>
        <v>#N/A</v>
      </c>
      <c r="Q218" s="65" t="s">
        <v>222</v>
      </c>
      <c r="R218" s="64" t="str">
        <f>IF(S218&lt;&gt;0,VLOOKUP(S218,DM_DUAN,3,0),"")</f>
        <v>#N/A</v>
      </c>
      <c r="S218" s="66" t="str">
        <f>IF(U218&lt;&gt;0,VLOOKUP(U218,DM_DUAN,3,0),"")</f>
        <v/>
      </c>
      <c r="T218" s="64"/>
      <c r="U218" s="93"/>
      <c r="V218" s="64" t="str">
        <f>IF(W218&lt;&gt;0,VLOOKUP(W218,DM_DUAN,3,0),"")</f>
        <v/>
      </c>
      <c r="W218" s="68"/>
      <c r="X218" s="64" t="str">
        <f>IF(Y218&lt;&gt;0,VLOOKUP(Y218,DM_DUAN,3,0),"")</f>
        <v>#N/A</v>
      </c>
      <c r="Y218" s="69" t="s">
        <v>176</v>
      </c>
      <c r="Z218" s="64" t="str">
        <f>IF(AA218&lt;&gt;0,VLOOKUP(AA218,DM_DUAN,3,0),"")</f>
        <v>#N/A</v>
      </c>
      <c r="AA218" s="70" t="s">
        <v>208</v>
      </c>
      <c r="AB218" s="64" t="str">
        <f>IF(AC218&lt;&gt;0,VLOOKUP(AC218,DM_DUAN,3,0),"")</f>
        <v/>
      </c>
      <c r="AC218" s="70"/>
      <c r="AD218" s="64" t="str">
        <f>IF(AC218&lt;&gt;0,VLOOKUP(AC218,DM_NV,2,0),"")</f>
        <v/>
      </c>
      <c r="AE218" s="83" t="s">
        <v>378</v>
      </c>
      <c r="AF218" s="64" t="str">
        <f>IF(AE218&lt;&gt;0,VLOOKUP(AE218,DM_NV,2,0),"")</f>
        <v>#N/A</v>
      </c>
    </row>
    <row r="219">
      <c r="A219" s="51"/>
      <c r="B219" s="52"/>
      <c r="C219" s="53" t="str">
        <f t="shared" si="2"/>
        <v>02/2022</v>
      </c>
      <c r="D219" s="99">
        <v>44608.0</v>
      </c>
      <c r="E219" s="55" t="s">
        <v>392</v>
      </c>
      <c r="F219" s="56"/>
      <c r="G219" s="57" t="s">
        <v>205</v>
      </c>
      <c r="H219" s="58" t="str">
        <f>IF(G219="","",VLOOKUP($G219,'Quy chuẩn hạch toán'!$B:$E,2,0))</f>
        <v>642</v>
      </c>
      <c r="I219" s="58" t="str">
        <f>IF(H219="","",VLOOKUP($G219,'Quy chuẩn hạch toán'!$B:$E,3,0))</f>
        <v>1111</v>
      </c>
      <c r="J219" s="59">
        <v>110000.0</v>
      </c>
      <c r="K219" s="60"/>
      <c r="L219" s="61"/>
      <c r="M219" s="62"/>
      <c r="N219" s="63"/>
      <c r="O219" s="64" t="str">
        <f>IF($Q219&lt;&gt;0,VLOOKUP($Q219,DM_KM,3,0),"")</f>
        <v>#N/A</v>
      </c>
      <c r="P219" s="64" t="str">
        <f>IF($Q219&lt;&gt;0,VLOOKUP($Q219,DM_KM,5,0),"")</f>
        <v>#N/A</v>
      </c>
      <c r="Q219" s="65" t="s">
        <v>222</v>
      </c>
      <c r="R219" s="64" t="str">
        <f>IF(S219&lt;&gt;0,VLOOKUP(S219,DM_DUAN,3,0),"")</f>
        <v>#N/A</v>
      </c>
      <c r="S219" s="66" t="str">
        <f>IF(U219&lt;&gt;0,VLOOKUP(U219,DM_DUAN,3,0),"")</f>
        <v/>
      </c>
      <c r="T219" s="64"/>
      <c r="U219" s="93"/>
      <c r="V219" s="64" t="str">
        <f>IF(W219&lt;&gt;0,VLOOKUP(W219,DM_DUAN,3,0),"")</f>
        <v/>
      </c>
      <c r="W219" s="68"/>
      <c r="X219" s="64" t="str">
        <f>IF(Y219&lt;&gt;0,VLOOKUP(Y219,DM_DUAN,3,0),"")</f>
        <v>#N/A</v>
      </c>
      <c r="Y219" s="69" t="s">
        <v>176</v>
      </c>
      <c r="Z219" s="64" t="str">
        <f>IF(AA219&lt;&gt;0,VLOOKUP(AA219,DM_DUAN,3,0),"")</f>
        <v>#N/A</v>
      </c>
      <c r="AA219" s="70" t="s">
        <v>210</v>
      </c>
      <c r="AB219" s="64" t="str">
        <f>IF(AC219&lt;&gt;0,VLOOKUP(AC219,DM_DUAN,3,0),"")</f>
        <v/>
      </c>
      <c r="AC219" s="70"/>
      <c r="AD219" s="64" t="str">
        <f>IF(AC219&lt;&gt;0,VLOOKUP(AC219,DM_NV,2,0),"")</f>
        <v/>
      </c>
      <c r="AE219" s="83" t="s">
        <v>378</v>
      </c>
      <c r="AF219" s="64" t="str">
        <f>IF(AE219&lt;&gt;0,VLOOKUP(AE219,DM_NV,2,0),"")</f>
        <v>#N/A</v>
      </c>
    </row>
    <row r="220">
      <c r="A220" s="51"/>
      <c r="B220" s="52"/>
      <c r="C220" s="53" t="str">
        <f t="shared" si="2"/>
        <v>02/2022</v>
      </c>
      <c r="D220" s="99">
        <v>44608.0</v>
      </c>
      <c r="E220" s="55" t="s">
        <v>392</v>
      </c>
      <c r="F220" s="56"/>
      <c r="G220" s="57" t="s">
        <v>205</v>
      </c>
      <c r="H220" s="58" t="str">
        <f>IF(G220="","",VLOOKUP($G220,'Quy chuẩn hạch toán'!$B:$E,2,0))</f>
        <v>642</v>
      </c>
      <c r="I220" s="58" t="str">
        <f>IF(H220="","",VLOOKUP($G220,'Quy chuẩn hạch toán'!$B:$E,3,0))</f>
        <v>1111</v>
      </c>
      <c r="J220" s="59">
        <v>110000.0</v>
      </c>
      <c r="K220" s="60"/>
      <c r="L220" s="61"/>
      <c r="M220" s="62"/>
      <c r="N220" s="63"/>
      <c r="O220" s="64" t="str">
        <f>IF($Q220&lt;&gt;0,VLOOKUP($Q220,DM_KM,3,0),"")</f>
        <v>#N/A</v>
      </c>
      <c r="P220" s="64" t="str">
        <f>IF($Q220&lt;&gt;0,VLOOKUP($Q220,DM_KM,5,0),"")</f>
        <v>#N/A</v>
      </c>
      <c r="Q220" s="65" t="s">
        <v>222</v>
      </c>
      <c r="R220" s="64" t="str">
        <f>IF(S220&lt;&gt;0,VLOOKUP(S220,DM_DUAN,3,0),"")</f>
        <v>#N/A</v>
      </c>
      <c r="S220" s="66" t="str">
        <f>IF(U220&lt;&gt;0,VLOOKUP(U220,DM_DUAN,3,0),"")</f>
        <v/>
      </c>
      <c r="T220" s="64"/>
      <c r="U220" s="93"/>
      <c r="V220" s="64" t="str">
        <f>IF(W220&lt;&gt;0,VLOOKUP(W220,DM_DUAN,3,0),"")</f>
        <v/>
      </c>
      <c r="W220" s="68"/>
      <c r="X220" s="64" t="str">
        <f>IF(Y220&lt;&gt;0,VLOOKUP(Y220,DM_DUAN,3,0),"")</f>
        <v>#N/A</v>
      </c>
      <c r="Y220" s="69" t="s">
        <v>176</v>
      </c>
      <c r="Z220" s="64" t="str">
        <f>IF(AA220&lt;&gt;0,VLOOKUP(AA220,DM_DUAN,3,0),"")</f>
        <v>#N/A</v>
      </c>
      <c r="AA220" s="70" t="s">
        <v>177</v>
      </c>
      <c r="AB220" s="64" t="str">
        <f>IF(AC220&lt;&gt;0,VLOOKUP(AC220,DM_DUAN,3,0),"")</f>
        <v/>
      </c>
      <c r="AC220" s="70"/>
      <c r="AD220" s="64" t="str">
        <f>IF(AC220&lt;&gt;0,VLOOKUP(AC220,DM_NV,2,0),"")</f>
        <v/>
      </c>
      <c r="AE220" s="83" t="s">
        <v>378</v>
      </c>
      <c r="AF220" s="64" t="str">
        <f>IF(AE220&lt;&gt;0,VLOOKUP(AE220,DM_NV,2,0),"")</f>
        <v>#N/A</v>
      </c>
    </row>
    <row r="221">
      <c r="A221" s="51"/>
      <c r="B221" s="52"/>
      <c r="C221" s="53" t="str">
        <f t="shared" si="2"/>
        <v>02/2022</v>
      </c>
      <c r="D221" s="99">
        <v>44608.0</v>
      </c>
      <c r="E221" s="55" t="s">
        <v>392</v>
      </c>
      <c r="F221" s="56"/>
      <c r="G221" s="57" t="s">
        <v>205</v>
      </c>
      <c r="H221" s="58" t="str">
        <f>IF(G221="","",VLOOKUP($G221,'Quy chuẩn hạch toán'!$B:$E,2,0))</f>
        <v>642</v>
      </c>
      <c r="I221" s="58" t="str">
        <f>IF(H221="","",VLOOKUP($G221,'Quy chuẩn hạch toán'!$B:$E,3,0))</f>
        <v>1111</v>
      </c>
      <c r="J221" s="59">
        <v>110000.0</v>
      </c>
      <c r="K221" s="60"/>
      <c r="L221" s="61"/>
      <c r="M221" s="62"/>
      <c r="N221" s="63"/>
      <c r="O221" s="64" t="str">
        <f>IF($Q221&lt;&gt;0,VLOOKUP($Q221,DM_KM,3,0),"")</f>
        <v>#N/A</v>
      </c>
      <c r="P221" s="64" t="str">
        <f>IF($Q221&lt;&gt;0,VLOOKUP($Q221,DM_KM,5,0),"")</f>
        <v>#N/A</v>
      </c>
      <c r="Q221" s="65" t="s">
        <v>203</v>
      </c>
      <c r="R221" s="64" t="str">
        <f>IF(S221&lt;&gt;0,VLOOKUP(S221,DM_DUAN,3,0),"")</f>
        <v>#N/A</v>
      </c>
      <c r="S221" s="66" t="str">
        <f>IF(U221&lt;&gt;0,VLOOKUP(U221,DM_DUAN,3,0),"")</f>
        <v/>
      </c>
      <c r="T221" s="64"/>
      <c r="U221" s="93"/>
      <c r="V221" s="64" t="str">
        <f>IF(W221&lt;&gt;0,VLOOKUP(W221,DM_DUAN,3,0),"")</f>
        <v/>
      </c>
      <c r="W221" s="68"/>
      <c r="X221" s="64" t="str">
        <f>IF(Y221&lt;&gt;0,VLOOKUP(Y221,DM_DUAN,3,0),"")</f>
        <v>#N/A</v>
      </c>
      <c r="Y221" s="69" t="s">
        <v>176</v>
      </c>
      <c r="Z221" s="64" t="str">
        <f>IF(AA221&lt;&gt;0,VLOOKUP(AA221,DM_DUAN,3,0),"")</f>
        <v/>
      </c>
      <c r="AA221" s="70"/>
      <c r="AB221" s="64" t="str">
        <f>IF(AC221&lt;&gt;0,VLOOKUP(AC221,DM_DUAN,3,0),"")</f>
        <v/>
      </c>
      <c r="AC221" s="85"/>
      <c r="AD221" s="64" t="str">
        <f>IF(AC221&lt;&gt;0,VLOOKUP(AC221,DM_NV,2,0),"")</f>
        <v/>
      </c>
      <c r="AE221" s="83" t="s">
        <v>378</v>
      </c>
      <c r="AF221" s="64" t="str">
        <f>IF(AE221&lt;&gt;0,VLOOKUP(AE221,DM_NV,2,0),"")</f>
        <v>#N/A</v>
      </c>
    </row>
    <row r="222">
      <c r="A222" s="51"/>
      <c r="B222" s="52"/>
      <c r="C222" s="53" t="str">
        <f t="shared" si="2"/>
        <v>02/2022</v>
      </c>
      <c r="D222" s="99">
        <v>44608.0</v>
      </c>
      <c r="E222" s="55" t="s">
        <v>393</v>
      </c>
      <c r="F222" s="56"/>
      <c r="G222" s="57" t="s">
        <v>205</v>
      </c>
      <c r="H222" s="58" t="str">
        <f>IF(G222="","",VLOOKUP($G222,'Quy chuẩn hạch toán'!$B:$E,2,0))</f>
        <v>642</v>
      </c>
      <c r="I222" s="58" t="str">
        <f>IF(H222="","",VLOOKUP($G222,'Quy chuẩn hạch toán'!$B:$E,3,0))</f>
        <v>1111</v>
      </c>
      <c r="J222" s="59">
        <v>102857.0</v>
      </c>
      <c r="K222" s="60"/>
      <c r="L222" s="61"/>
      <c r="M222" s="62"/>
      <c r="N222" s="63"/>
      <c r="O222" s="64" t="str">
        <f>IF($Q222&lt;&gt;0,VLOOKUP($Q222,DM_KM,3,0),"")</f>
        <v>#N/A</v>
      </c>
      <c r="P222" s="64" t="str">
        <f>IF($Q222&lt;&gt;0,VLOOKUP($Q222,DM_KM,5,0),"")</f>
        <v>#N/A</v>
      </c>
      <c r="Q222" s="65" t="s">
        <v>262</v>
      </c>
      <c r="R222" s="64" t="str">
        <f>IF(S222&lt;&gt;0,VLOOKUP(S222,DM_DUAN,3,0),"")</f>
        <v>#N/A</v>
      </c>
      <c r="S222" s="66" t="str">
        <f>IF(U222&lt;&gt;0,VLOOKUP(U222,DM_DUAN,3,0),"")</f>
        <v/>
      </c>
      <c r="T222" s="64"/>
      <c r="U222" s="93"/>
      <c r="V222" s="64" t="str">
        <f>IF(W222&lt;&gt;0,VLOOKUP(W222,DM_DUAN,3,0),"")</f>
        <v/>
      </c>
      <c r="W222" s="68"/>
      <c r="X222" s="64" t="str">
        <f>IF(Y222&lt;&gt;0,VLOOKUP(Y222,DM_DUAN,3,0),"")</f>
        <v>#N/A</v>
      </c>
      <c r="Y222" s="69" t="s">
        <v>207</v>
      </c>
      <c r="Z222" s="64" t="str">
        <f>IF(AA222&lt;&gt;0,VLOOKUP(AA222,DM_DUAN,3,0),"")</f>
        <v>#N/A</v>
      </c>
      <c r="AA222" s="70" t="s">
        <v>208</v>
      </c>
      <c r="AB222" s="64" t="str">
        <f>IF(AC222&lt;&gt;0,VLOOKUP(AC222,DM_DUAN,3,0),"")</f>
        <v/>
      </c>
      <c r="AC222" s="70"/>
      <c r="AD222" s="64" t="str">
        <f>IF(AC222&lt;&gt;0,VLOOKUP(AC222,DM_NV,2,0),"")</f>
        <v/>
      </c>
      <c r="AE222" s="83" t="s">
        <v>263</v>
      </c>
      <c r="AF222" s="64" t="str">
        <f>IF(AE222&lt;&gt;0,VLOOKUP(AE222,DM_NV,2,0),"")</f>
        <v>#N/A</v>
      </c>
    </row>
    <row r="223">
      <c r="A223" s="51"/>
      <c r="B223" s="52"/>
      <c r="C223" s="53" t="str">
        <f t="shared" si="2"/>
        <v>02/2022</v>
      </c>
      <c r="D223" s="99">
        <v>44608.0</v>
      </c>
      <c r="E223" s="55" t="s">
        <v>393</v>
      </c>
      <c r="F223" s="56"/>
      <c r="G223" s="57" t="s">
        <v>205</v>
      </c>
      <c r="H223" s="58" t="str">
        <f>IF(G223="","",VLOOKUP($G223,'Quy chuẩn hạch toán'!$B:$E,2,0))</f>
        <v>642</v>
      </c>
      <c r="I223" s="58" t="str">
        <f>IF(H223="","",VLOOKUP($G223,'Quy chuẩn hạch toán'!$B:$E,3,0))</f>
        <v>1111</v>
      </c>
      <c r="J223" s="59">
        <v>205714.0</v>
      </c>
      <c r="K223" s="60"/>
      <c r="L223" s="61"/>
      <c r="M223" s="62"/>
      <c r="N223" s="63"/>
      <c r="O223" s="64" t="str">
        <f>IF($Q223&lt;&gt;0,VLOOKUP($Q223,DM_KM,3,0),"")</f>
        <v>#N/A</v>
      </c>
      <c r="P223" s="64" t="str">
        <f>IF($Q223&lt;&gt;0,VLOOKUP($Q223,DM_KM,5,0),"")</f>
        <v>#N/A</v>
      </c>
      <c r="Q223" s="65" t="s">
        <v>262</v>
      </c>
      <c r="R223" s="64" t="str">
        <f>IF(S223&lt;&gt;0,VLOOKUP(S223,DM_DUAN,3,0),"")</f>
        <v>#N/A</v>
      </c>
      <c r="S223" s="66" t="str">
        <f>IF(U223&lt;&gt;0,VLOOKUP(U223,DM_DUAN,3,0),"")</f>
        <v/>
      </c>
      <c r="T223" s="64"/>
      <c r="U223" s="93"/>
      <c r="V223" s="64" t="str">
        <f>IF(W223&lt;&gt;0,VLOOKUP(W223,DM_DUAN,3,0),"")</f>
        <v/>
      </c>
      <c r="W223" s="68"/>
      <c r="X223" s="64" t="str">
        <f>IF(Y223&lt;&gt;0,VLOOKUP(Y223,DM_DUAN,3,0),"")</f>
        <v>#N/A</v>
      </c>
      <c r="Y223" s="69" t="s">
        <v>207</v>
      </c>
      <c r="Z223" s="64" t="str">
        <f>IF(AA223&lt;&gt;0,VLOOKUP(AA223,DM_DUAN,3,0),"")</f>
        <v>#N/A</v>
      </c>
      <c r="AA223" s="70" t="s">
        <v>210</v>
      </c>
      <c r="AB223" s="64" t="str">
        <f>IF(AC223&lt;&gt;0,VLOOKUP(AC223,DM_DUAN,3,0),"")</f>
        <v/>
      </c>
      <c r="AC223" s="70"/>
      <c r="AD223" s="64" t="str">
        <f>IF(AC223&lt;&gt;0,VLOOKUP(AC223,DM_NV,2,0),"")</f>
        <v/>
      </c>
      <c r="AE223" s="83" t="s">
        <v>263</v>
      </c>
      <c r="AF223" s="64" t="str">
        <f>IF(AE223&lt;&gt;0,VLOOKUP(AE223,DM_NV,2,0),"")</f>
        <v>#N/A</v>
      </c>
    </row>
    <row r="224">
      <c r="A224" s="51"/>
      <c r="B224" s="52"/>
      <c r="C224" s="53" t="str">
        <f t="shared" si="2"/>
        <v>02/2022</v>
      </c>
      <c r="D224" s="99">
        <v>44608.0</v>
      </c>
      <c r="E224" s="55" t="s">
        <v>393</v>
      </c>
      <c r="F224" s="56"/>
      <c r="G224" s="57" t="s">
        <v>205</v>
      </c>
      <c r="H224" s="58" t="str">
        <f>IF(G224="","",VLOOKUP($G224,'Quy chuẩn hạch toán'!$B:$E,2,0))</f>
        <v>642</v>
      </c>
      <c r="I224" s="58" t="str">
        <f>IF(H224="","",VLOOKUP($G224,'Quy chuẩn hạch toán'!$B:$E,3,0))</f>
        <v>1111</v>
      </c>
      <c r="J224" s="59">
        <v>257143.0</v>
      </c>
      <c r="K224" s="60"/>
      <c r="L224" s="61"/>
      <c r="M224" s="62"/>
      <c r="N224" s="63"/>
      <c r="O224" s="64" t="str">
        <f>IF($Q224&lt;&gt;0,VLOOKUP($Q224,DM_KM,3,0),"")</f>
        <v>#N/A</v>
      </c>
      <c r="P224" s="64" t="str">
        <f>IF($Q224&lt;&gt;0,VLOOKUP($Q224,DM_KM,5,0),"")</f>
        <v>#N/A</v>
      </c>
      <c r="Q224" s="65" t="s">
        <v>262</v>
      </c>
      <c r="R224" s="64" t="str">
        <f>IF(S224&lt;&gt;0,VLOOKUP(S224,DM_DUAN,3,0),"")</f>
        <v>#N/A</v>
      </c>
      <c r="S224" s="66" t="str">
        <f>IF(U224&lt;&gt;0,VLOOKUP(U224,DM_DUAN,3,0),"")</f>
        <v/>
      </c>
      <c r="T224" s="64"/>
      <c r="U224" s="93"/>
      <c r="V224" s="64" t="str">
        <f>IF(W224&lt;&gt;0,VLOOKUP(W224,DM_DUAN,3,0),"")</f>
        <v/>
      </c>
      <c r="W224" s="68"/>
      <c r="X224" s="64" t="str">
        <f>IF(Y224&lt;&gt;0,VLOOKUP(Y224,DM_DUAN,3,0),"")</f>
        <v>#N/A</v>
      </c>
      <c r="Y224" s="69" t="s">
        <v>207</v>
      </c>
      <c r="Z224" s="64" t="str">
        <f>IF(AA224&lt;&gt;0,VLOOKUP(AA224,DM_DUAN,3,0),"")</f>
        <v>#N/A</v>
      </c>
      <c r="AA224" s="70" t="s">
        <v>177</v>
      </c>
      <c r="AB224" s="64" t="str">
        <f>IF(AC224&lt;&gt;0,VLOOKUP(AC224,DM_DUAN,3,0),"")</f>
        <v/>
      </c>
      <c r="AC224" s="70"/>
      <c r="AD224" s="64" t="str">
        <f>IF(AC224&lt;&gt;0,VLOOKUP(AC224,DM_NV,2,0),"")</f>
        <v/>
      </c>
      <c r="AE224" s="83" t="s">
        <v>263</v>
      </c>
      <c r="AF224" s="64" t="str">
        <f>IF(AE224&lt;&gt;0,VLOOKUP(AE224,DM_NV,2,0),"")</f>
        <v>#N/A</v>
      </c>
    </row>
    <row r="225">
      <c r="A225" s="51"/>
      <c r="B225" s="52"/>
      <c r="C225" s="53" t="str">
        <f t="shared" si="2"/>
        <v>02/2022</v>
      </c>
      <c r="D225" s="99">
        <v>44608.0</v>
      </c>
      <c r="E225" s="55" t="s">
        <v>393</v>
      </c>
      <c r="F225" s="56"/>
      <c r="G225" s="57" t="s">
        <v>205</v>
      </c>
      <c r="H225" s="58" t="str">
        <f>IF(G225="","",VLOOKUP($G225,'Quy chuẩn hạch toán'!$B:$E,2,0))</f>
        <v>642</v>
      </c>
      <c r="I225" s="58" t="str">
        <f>IF(H225="","",VLOOKUP($G225,'Quy chuẩn hạch toán'!$B:$E,3,0))</f>
        <v>1111</v>
      </c>
      <c r="J225" s="59">
        <v>514286.0</v>
      </c>
      <c r="K225" s="60"/>
      <c r="L225" s="61"/>
      <c r="M225" s="62"/>
      <c r="N225" s="63"/>
      <c r="O225" s="64" t="str">
        <f>IF($Q225&lt;&gt;0,VLOOKUP($Q225,DM_KM,3,0),"")</f>
        <v>#N/A</v>
      </c>
      <c r="P225" s="64" t="str">
        <f>IF($Q225&lt;&gt;0,VLOOKUP($Q225,DM_KM,5,0),"")</f>
        <v>#N/A</v>
      </c>
      <c r="Q225" s="65" t="s">
        <v>262</v>
      </c>
      <c r="R225" s="64" t="str">
        <f>IF(S225&lt;&gt;0,VLOOKUP(S225,DM_DUAN,3,0),"")</f>
        <v>#N/A</v>
      </c>
      <c r="S225" s="66" t="str">
        <f>IF(U225&lt;&gt;0,VLOOKUP(U225,DM_DUAN,3,0),"")</f>
        <v/>
      </c>
      <c r="T225" s="64"/>
      <c r="U225" s="93"/>
      <c r="V225" s="64" t="str">
        <f>IF(W225&lt;&gt;0,VLOOKUP(W225,DM_DUAN,3,0),"")</f>
        <v/>
      </c>
      <c r="W225" s="68"/>
      <c r="X225" s="64" t="str">
        <f>IF(Y225&lt;&gt;0,VLOOKUP(Y225,DM_DUAN,3,0),"")</f>
        <v>#N/A</v>
      </c>
      <c r="Y225" s="69" t="s">
        <v>207</v>
      </c>
      <c r="Z225" s="64" t="str">
        <f>IF(AA225&lt;&gt;0,VLOOKUP(AA225,DM_DUAN,3,0),"")</f>
        <v>#N/A</v>
      </c>
      <c r="AA225" s="70" t="s">
        <v>183</v>
      </c>
      <c r="AB225" s="64" t="str">
        <f>IF(AC225&lt;&gt;0,VLOOKUP(AC225,DM_DUAN,3,0),"")</f>
        <v/>
      </c>
      <c r="AC225" s="85"/>
      <c r="AD225" s="64" t="str">
        <f>IF(AC225&lt;&gt;0,VLOOKUP(AC225,DM_NV,2,0),"")</f>
        <v/>
      </c>
      <c r="AE225" s="83" t="s">
        <v>263</v>
      </c>
      <c r="AF225" s="64" t="str">
        <f>IF(AE225&lt;&gt;0,VLOOKUP(AE225,DM_NV,2,0),"")</f>
        <v>#N/A</v>
      </c>
    </row>
    <row r="226">
      <c r="A226" s="51"/>
      <c r="B226" s="52"/>
      <c r="C226" s="53" t="str">
        <f t="shared" si="2"/>
        <v>02/2022</v>
      </c>
      <c r="D226" s="114">
        <v>44610.0</v>
      </c>
      <c r="E226" s="115" t="s">
        <v>394</v>
      </c>
      <c r="F226" s="108"/>
      <c r="G226" s="57" t="s">
        <v>225</v>
      </c>
      <c r="H226" s="58" t="str">
        <f>IF(G226="","",VLOOKUP($G226,'Quy chuẩn hạch toán'!$B:$E,2,0))</f>
        <v>154</v>
      </c>
      <c r="I226" s="58" t="str">
        <f>IF(H226="","",VLOOKUP($G226,'Quy chuẩn hạch toán'!$B:$E,3,0))</f>
        <v>1111</v>
      </c>
      <c r="J226" s="116">
        <v>12857.0</v>
      </c>
      <c r="K226" s="60"/>
      <c r="L226" s="61"/>
      <c r="M226" s="62"/>
      <c r="N226" s="63"/>
      <c r="O226" s="64" t="str">
        <f>IF($Q226&lt;&gt;0,VLOOKUP($Q226,DM_KM,3,0),"")</f>
        <v>#N/A</v>
      </c>
      <c r="P226" s="64" t="str">
        <f>IF($Q226&lt;&gt;0,VLOOKUP($Q226,DM_KM,5,0),"")</f>
        <v>#N/A</v>
      </c>
      <c r="Q226" s="65" t="s">
        <v>226</v>
      </c>
      <c r="R226" s="64" t="str">
        <f>IF(S226&lt;&gt;0,VLOOKUP(S226,DM_DUAN,3,0),"")</f>
        <v>#N/A</v>
      </c>
      <c r="S226" s="66" t="str">
        <f>IF(U226&lt;&gt;0,VLOOKUP(U226,DM_DUAN,3,0),"")</f>
        <v/>
      </c>
      <c r="T226" s="64"/>
      <c r="U226" s="93"/>
      <c r="V226" s="64" t="str">
        <f>IF(W226&lt;&gt;0,VLOOKUP(W226,DM_DUAN,3,0),"")</f>
        <v/>
      </c>
      <c r="W226" s="68"/>
      <c r="X226" s="64" t="str">
        <f>IF(Y226&lt;&gt;0,VLOOKUP(Y226,DM_DUAN,3,0),"")</f>
        <v>#N/A</v>
      </c>
      <c r="Y226" s="69" t="s">
        <v>176</v>
      </c>
      <c r="Z226" s="64" t="str">
        <f>IF(AA226&lt;&gt;0,VLOOKUP(AA226,DM_DUAN,3,0),"")</f>
        <v>#N/A</v>
      </c>
      <c r="AA226" s="70" t="s">
        <v>208</v>
      </c>
      <c r="AB226" s="64" t="str">
        <f>IF(AC226&lt;&gt;0,VLOOKUP(AC226,DM_DUAN,3,0),"")</f>
        <v/>
      </c>
      <c r="AC226" s="70"/>
      <c r="AD226" s="64" t="str">
        <f>IF(AC226&lt;&gt;0,VLOOKUP(AC226,DM_NV,2,0),"")</f>
        <v/>
      </c>
      <c r="AE226" s="83" t="s">
        <v>227</v>
      </c>
      <c r="AF226" s="64" t="str">
        <f>IF(AE226&lt;&gt;0,VLOOKUP(AE226,DM_NV,2,0),"")</f>
        <v>#N/A</v>
      </c>
    </row>
    <row r="227">
      <c r="A227" s="51"/>
      <c r="B227" s="52"/>
      <c r="C227" s="53" t="str">
        <f t="shared" si="2"/>
        <v>02/2022</v>
      </c>
      <c r="D227" s="99">
        <v>44610.0</v>
      </c>
      <c r="E227" s="55" t="s">
        <v>394</v>
      </c>
      <c r="F227" s="56"/>
      <c r="G227" s="57" t="s">
        <v>225</v>
      </c>
      <c r="H227" s="58" t="str">
        <f>IF(G227="","",VLOOKUP($G227,'Quy chuẩn hạch toán'!$B:$E,2,0))</f>
        <v>154</v>
      </c>
      <c r="I227" s="58" t="str">
        <f>IF(H227="","",VLOOKUP($G227,'Quy chuẩn hạch toán'!$B:$E,3,0))</f>
        <v>1111</v>
      </c>
      <c r="J227" s="59">
        <v>25714.0</v>
      </c>
      <c r="K227" s="60"/>
      <c r="L227" s="61"/>
      <c r="M227" s="62"/>
      <c r="N227" s="63"/>
      <c r="O227" s="64" t="str">
        <f>IF($Q227&lt;&gt;0,VLOOKUP($Q227,DM_KM,3,0),"")</f>
        <v>#N/A</v>
      </c>
      <c r="P227" s="64" t="str">
        <f>IF($Q227&lt;&gt;0,VLOOKUP($Q227,DM_KM,5,0),"")</f>
        <v>#N/A</v>
      </c>
      <c r="Q227" s="65" t="s">
        <v>226</v>
      </c>
      <c r="R227" s="64" t="str">
        <f>IF(S227&lt;&gt;0,VLOOKUP(S227,DM_DUAN,3,0),"")</f>
        <v>#N/A</v>
      </c>
      <c r="S227" s="66" t="str">
        <f>IF(U227&lt;&gt;0,VLOOKUP(U227,DM_DUAN,3,0),"")</f>
        <v/>
      </c>
      <c r="T227" s="64"/>
      <c r="U227" s="93"/>
      <c r="V227" s="64" t="str">
        <f>IF(W227&lt;&gt;0,VLOOKUP(W227,DM_DUAN,3,0),"")</f>
        <v/>
      </c>
      <c r="W227" s="68"/>
      <c r="X227" s="64" t="str">
        <f>IF(Y227&lt;&gt;0,VLOOKUP(Y227,DM_DUAN,3,0),"")</f>
        <v>#N/A</v>
      </c>
      <c r="Y227" s="69" t="s">
        <v>176</v>
      </c>
      <c r="Z227" s="64" t="str">
        <f>IF(AA227&lt;&gt;0,VLOOKUP(AA227,DM_DUAN,3,0),"")</f>
        <v>#N/A</v>
      </c>
      <c r="AA227" s="70" t="s">
        <v>210</v>
      </c>
      <c r="AB227" s="64" t="str">
        <f>IF(AC227&lt;&gt;0,VLOOKUP(AC227,DM_DUAN,3,0),"")</f>
        <v/>
      </c>
      <c r="AC227" s="70"/>
      <c r="AD227" s="64" t="str">
        <f>IF(AC227&lt;&gt;0,VLOOKUP(AC227,DM_NV,2,0),"")</f>
        <v/>
      </c>
      <c r="AE227" s="83" t="s">
        <v>227</v>
      </c>
      <c r="AF227" s="64" t="str">
        <f>IF(AE227&lt;&gt;0,VLOOKUP(AE227,DM_NV,2,0),"")</f>
        <v>#N/A</v>
      </c>
    </row>
    <row r="228">
      <c r="A228" s="51"/>
      <c r="B228" s="52"/>
      <c r="C228" s="53" t="str">
        <f t="shared" si="2"/>
        <v>02/2022</v>
      </c>
      <c r="D228" s="99">
        <v>44610.0</v>
      </c>
      <c r="E228" s="55" t="s">
        <v>394</v>
      </c>
      <c r="F228" s="56"/>
      <c r="G228" s="57" t="s">
        <v>225</v>
      </c>
      <c r="H228" s="58" t="str">
        <f>IF(G228="","",VLOOKUP($G228,'Quy chuẩn hạch toán'!$B:$E,2,0))</f>
        <v>154</v>
      </c>
      <c r="I228" s="58" t="str">
        <f>IF(H228="","",VLOOKUP($G228,'Quy chuẩn hạch toán'!$B:$E,3,0))</f>
        <v>1111</v>
      </c>
      <c r="J228" s="59">
        <v>32143.0</v>
      </c>
      <c r="K228" s="60"/>
      <c r="L228" s="61"/>
      <c r="M228" s="62"/>
      <c r="N228" s="63"/>
      <c r="O228" s="64" t="str">
        <f>IF($Q228&lt;&gt;0,VLOOKUP($Q228,DM_KM,3,0),"")</f>
        <v>#N/A</v>
      </c>
      <c r="P228" s="64" t="str">
        <f>IF($Q228&lt;&gt;0,VLOOKUP($Q228,DM_KM,5,0),"")</f>
        <v>#N/A</v>
      </c>
      <c r="Q228" s="65" t="s">
        <v>226</v>
      </c>
      <c r="R228" s="64" t="str">
        <f>IF(S228&lt;&gt;0,VLOOKUP(S228,DM_DUAN,3,0),"")</f>
        <v>#N/A</v>
      </c>
      <c r="S228" s="66" t="str">
        <f>IF(U228&lt;&gt;0,VLOOKUP(U228,DM_DUAN,3,0),"")</f>
        <v/>
      </c>
      <c r="T228" s="64"/>
      <c r="U228" s="93"/>
      <c r="V228" s="64" t="str">
        <f>IF(W228&lt;&gt;0,VLOOKUP(W228,DM_DUAN,3,0),"")</f>
        <v/>
      </c>
      <c r="W228" s="68"/>
      <c r="X228" s="64" t="str">
        <f>IF(Y228&lt;&gt;0,VLOOKUP(Y228,DM_DUAN,3,0),"")</f>
        <v>#N/A</v>
      </c>
      <c r="Y228" s="69" t="s">
        <v>176</v>
      </c>
      <c r="Z228" s="64" t="str">
        <f>IF(AA228&lt;&gt;0,VLOOKUP(AA228,DM_DUAN,3,0),"")</f>
        <v>#N/A</v>
      </c>
      <c r="AA228" s="70" t="s">
        <v>177</v>
      </c>
      <c r="AB228" s="64" t="str">
        <f>IF(AC228&lt;&gt;0,VLOOKUP(AC228,DM_DUAN,3,0),"")</f>
        <v/>
      </c>
      <c r="AC228" s="70"/>
      <c r="AD228" s="64" t="str">
        <f>IF(AC228&lt;&gt;0,VLOOKUP(AC228,DM_NV,2,0),"")</f>
        <v/>
      </c>
      <c r="AE228" s="83" t="s">
        <v>227</v>
      </c>
      <c r="AF228" s="64" t="str">
        <f>IF(AE228&lt;&gt;0,VLOOKUP(AE228,DM_NV,2,0),"")</f>
        <v>#N/A</v>
      </c>
    </row>
    <row r="229">
      <c r="A229" s="51"/>
      <c r="B229" s="52"/>
      <c r="C229" s="53" t="str">
        <f t="shared" si="2"/>
        <v>02/2022</v>
      </c>
      <c r="D229" s="99">
        <v>44610.0</v>
      </c>
      <c r="E229" s="55" t="s">
        <v>394</v>
      </c>
      <c r="F229" s="56"/>
      <c r="G229" s="57" t="s">
        <v>225</v>
      </c>
      <c r="H229" s="58" t="str">
        <f>IF(G229="","",VLOOKUP($G229,'Quy chuẩn hạch toán'!$B:$E,2,0))</f>
        <v>154</v>
      </c>
      <c r="I229" s="58" t="str">
        <f>IF(H229="","",VLOOKUP($G229,'Quy chuẩn hạch toán'!$B:$E,3,0))</f>
        <v>1111</v>
      </c>
      <c r="J229" s="59">
        <v>64286.0</v>
      </c>
      <c r="K229" s="60"/>
      <c r="L229" s="61"/>
      <c r="M229" s="62"/>
      <c r="N229" s="63"/>
      <c r="O229" s="64" t="str">
        <f>IF($Q229&lt;&gt;0,VLOOKUP($Q229,DM_KM,3,0),"")</f>
        <v>#N/A</v>
      </c>
      <c r="P229" s="64" t="str">
        <f>IF($Q229&lt;&gt;0,VLOOKUP($Q229,DM_KM,5,0),"")</f>
        <v>#N/A</v>
      </c>
      <c r="Q229" s="65" t="s">
        <v>226</v>
      </c>
      <c r="R229" s="64" t="str">
        <f>IF(S229&lt;&gt;0,VLOOKUP(S229,DM_DUAN,3,0),"")</f>
        <v>#N/A</v>
      </c>
      <c r="S229" s="66" t="str">
        <f>IF(U229&lt;&gt;0,VLOOKUP(U229,DM_DUAN,3,0),"")</f>
        <v/>
      </c>
      <c r="T229" s="64"/>
      <c r="U229" s="93"/>
      <c r="V229" s="64" t="str">
        <f>IF(W229&lt;&gt;0,VLOOKUP(W229,DM_DUAN,3,0),"")</f>
        <v/>
      </c>
      <c r="W229" s="68"/>
      <c r="X229" s="64" t="str">
        <f>IF(Y229&lt;&gt;0,VLOOKUP(Y229,DM_DUAN,3,0),"")</f>
        <v>#N/A</v>
      </c>
      <c r="Y229" s="69" t="s">
        <v>176</v>
      </c>
      <c r="Z229" s="64" t="str">
        <f>IF(AA229&lt;&gt;0,VLOOKUP(AA229,DM_DUAN,3,0),"")</f>
        <v>#N/A</v>
      </c>
      <c r="AA229" s="70" t="s">
        <v>183</v>
      </c>
      <c r="AB229" s="64" t="str">
        <f>IF(AC229&lt;&gt;0,VLOOKUP(AC229,DM_DUAN,3,0),"")</f>
        <v/>
      </c>
      <c r="AC229" s="85"/>
      <c r="AD229" s="64" t="str">
        <f>IF(AC229&lt;&gt;0,VLOOKUP(AC229,DM_NV,2,0),"")</f>
        <v/>
      </c>
      <c r="AE229" s="83" t="s">
        <v>227</v>
      </c>
      <c r="AF229" s="64" t="str">
        <f>IF(AE229&lt;&gt;0,VLOOKUP(AE229,DM_NV,2,0),"")</f>
        <v>#N/A</v>
      </c>
    </row>
    <row r="230">
      <c r="A230" s="51"/>
      <c r="B230" s="52"/>
      <c r="C230" s="53" t="str">
        <f t="shared" si="2"/>
        <v>02/2022</v>
      </c>
      <c r="D230" s="99">
        <v>44611.0</v>
      </c>
      <c r="E230" s="55" t="s">
        <v>395</v>
      </c>
      <c r="F230" s="56"/>
      <c r="G230" s="57" t="s">
        <v>205</v>
      </c>
      <c r="H230" s="58" t="str">
        <f>IF(G230="","",VLOOKUP($G230,'Quy chuẩn hạch toán'!$B:$E,2,0))</f>
        <v>642</v>
      </c>
      <c r="I230" s="58" t="str">
        <f>IF(H230="","",VLOOKUP($G230,'Quy chuẩn hạch toán'!$B:$E,3,0))</f>
        <v>1111</v>
      </c>
      <c r="J230" s="59">
        <v>9524.0</v>
      </c>
      <c r="K230" s="60"/>
      <c r="L230" s="61"/>
      <c r="M230" s="62"/>
      <c r="N230" s="63"/>
      <c r="O230" s="64" t="str">
        <f>IF($Q230&lt;&gt;0,VLOOKUP($Q230,DM_KM,3,0),"")</f>
        <v>#N/A</v>
      </c>
      <c r="P230" s="64" t="str">
        <f>IF($Q230&lt;&gt;0,VLOOKUP($Q230,DM_KM,5,0),"")</f>
        <v>#N/A</v>
      </c>
      <c r="Q230" s="65" t="s">
        <v>222</v>
      </c>
      <c r="R230" s="64" t="str">
        <f>IF(S230&lt;&gt;0,VLOOKUP(S230,DM_DUAN,3,0),"")</f>
        <v>#N/A</v>
      </c>
      <c r="S230" s="66" t="str">
        <f>IF(U230&lt;&gt;0,VLOOKUP(U230,DM_DUAN,3,0),"")</f>
        <v/>
      </c>
      <c r="T230" s="64"/>
      <c r="U230" s="93"/>
      <c r="V230" s="64" t="str">
        <f>IF(W230&lt;&gt;0,VLOOKUP(W230,DM_DUAN,3,0),"")</f>
        <v/>
      </c>
      <c r="W230" s="68"/>
      <c r="X230" s="64" t="str">
        <f>IF(Y230&lt;&gt;0,VLOOKUP(Y230,DM_DUAN,3,0),"")</f>
        <v>#N/A</v>
      </c>
      <c r="Y230" s="69" t="s">
        <v>176</v>
      </c>
      <c r="Z230" s="64" t="str">
        <f>IF(AA230&lt;&gt;0,VLOOKUP(AA230,DM_DUAN,3,0),"")</f>
        <v>#N/A</v>
      </c>
      <c r="AA230" s="70" t="s">
        <v>208</v>
      </c>
      <c r="AB230" s="64" t="str">
        <f>IF(AC230&lt;&gt;0,VLOOKUP(AC230,DM_DUAN,3,0),"")</f>
        <v/>
      </c>
      <c r="AC230" s="70"/>
      <c r="AD230" s="64" t="str">
        <f>IF(AC230&lt;&gt;0,VLOOKUP(AC230,DM_NV,2,0),"")</f>
        <v/>
      </c>
      <c r="AE230" s="83" t="s">
        <v>223</v>
      </c>
      <c r="AF230" s="64" t="str">
        <f>IF(AE230&lt;&gt;0,VLOOKUP(AE230,DM_NV,2,0),"")</f>
        <v>#N/A</v>
      </c>
    </row>
    <row r="231">
      <c r="A231" s="51"/>
      <c r="B231" s="52"/>
      <c r="C231" s="53" t="str">
        <f t="shared" si="2"/>
        <v>02/2022</v>
      </c>
      <c r="D231" s="99">
        <v>44611.0</v>
      </c>
      <c r="E231" s="55" t="s">
        <v>395</v>
      </c>
      <c r="F231" s="56"/>
      <c r="G231" s="57" t="s">
        <v>205</v>
      </c>
      <c r="H231" s="58" t="str">
        <f>IF(G231="","",VLOOKUP($G231,'Quy chuẩn hạch toán'!$B:$E,2,0))</f>
        <v>642</v>
      </c>
      <c r="I231" s="58" t="str">
        <f>IF(H231="","",VLOOKUP($G231,'Quy chuẩn hạch toán'!$B:$E,3,0))</f>
        <v>1111</v>
      </c>
      <c r="J231" s="59">
        <v>19048.0</v>
      </c>
      <c r="K231" s="60"/>
      <c r="L231" s="61"/>
      <c r="M231" s="62"/>
      <c r="N231" s="63"/>
      <c r="O231" s="64" t="str">
        <f>IF($Q231&lt;&gt;0,VLOOKUP($Q231,DM_KM,3,0),"")</f>
        <v>#N/A</v>
      </c>
      <c r="P231" s="64" t="str">
        <f>IF($Q231&lt;&gt;0,VLOOKUP($Q231,DM_KM,5,0),"")</f>
        <v>#N/A</v>
      </c>
      <c r="Q231" s="65" t="s">
        <v>222</v>
      </c>
      <c r="R231" s="64" t="str">
        <f>IF(S231&lt;&gt;0,VLOOKUP(S231,DM_DUAN,3,0),"")</f>
        <v>#N/A</v>
      </c>
      <c r="S231" s="66" t="str">
        <f>IF(U231&lt;&gt;0,VLOOKUP(U231,DM_DUAN,3,0),"")</f>
        <v/>
      </c>
      <c r="T231" s="64"/>
      <c r="U231" s="93"/>
      <c r="V231" s="64" t="str">
        <f>IF(W231&lt;&gt;0,VLOOKUP(W231,DM_DUAN,3,0),"")</f>
        <v/>
      </c>
      <c r="W231" s="68"/>
      <c r="X231" s="64" t="str">
        <f>IF(Y231&lt;&gt;0,VLOOKUP(Y231,DM_DUAN,3,0),"")</f>
        <v>#N/A</v>
      </c>
      <c r="Y231" s="69" t="s">
        <v>176</v>
      </c>
      <c r="Z231" s="64" t="str">
        <f>IF(AA231&lt;&gt;0,VLOOKUP(AA231,DM_DUAN,3,0),"")</f>
        <v>#N/A</v>
      </c>
      <c r="AA231" s="70" t="s">
        <v>210</v>
      </c>
      <c r="AB231" s="64" t="str">
        <f>IF(AC231&lt;&gt;0,VLOOKUP(AC231,DM_DUAN,3,0),"")</f>
        <v/>
      </c>
      <c r="AC231" s="70"/>
      <c r="AD231" s="64" t="str">
        <f>IF(AC231&lt;&gt;0,VLOOKUP(AC231,DM_NV,2,0),"")</f>
        <v/>
      </c>
      <c r="AE231" s="83" t="s">
        <v>223</v>
      </c>
      <c r="AF231" s="64" t="str">
        <f>IF(AE231&lt;&gt;0,VLOOKUP(AE231,DM_NV,2,0),"")</f>
        <v>#N/A</v>
      </c>
    </row>
    <row r="232">
      <c r="A232" s="51"/>
      <c r="B232" s="52"/>
      <c r="C232" s="53" t="str">
        <f t="shared" si="2"/>
        <v>02/2022</v>
      </c>
      <c r="D232" s="114">
        <v>44611.0</v>
      </c>
      <c r="E232" s="115" t="s">
        <v>395</v>
      </c>
      <c r="F232" s="108"/>
      <c r="G232" s="57" t="s">
        <v>205</v>
      </c>
      <c r="H232" s="58" t="str">
        <f>IF(G232="","",VLOOKUP($G232,'Quy chuẩn hạch toán'!$B:$E,2,0))</f>
        <v>642</v>
      </c>
      <c r="I232" s="58" t="str">
        <f>IF(H232="","",VLOOKUP($G232,'Quy chuẩn hạch toán'!$B:$E,3,0))</f>
        <v>1111</v>
      </c>
      <c r="J232" s="116">
        <v>23810.0</v>
      </c>
      <c r="K232" s="60"/>
      <c r="L232" s="61"/>
      <c r="M232" s="62"/>
      <c r="N232" s="63"/>
      <c r="O232" s="64" t="str">
        <f>IF($Q232&lt;&gt;0,VLOOKUP($Q232,DM_KM,3,0),"")</f>
        <v>#N/A</v>
      </c>
      <c r="P232" s="64" t="str">
        <f>IF($Q232&lt;&gt;0,VLOOKUP($Q232,DM_KM,5,0),"")</f>
        <v>#N/A</v>
      </c>
      <c r="Q232" s="65" t="s">
        <v>222</v>
      </c>
      <c r="R232" s="64" t="str">
        <f>IF(S232&lt;&gt;0,VLOOKUP(S232,DM_DUAN,3,0),"")</f>
        <v>#N/A</v>
      </c>
      <c r="S232" s="66" t="str">
        <f>IF(U232&lt;&gt;0,VLOOKUP(U232,DM_DUAN,3,0),"")</f>
        <v/>
      </c>
      <c r="T232" s="64"/>
      <c r="U232" s="93"/>
      <c r="V232" s="64" t="str">
        <f>IF(W232&lt;&gt;0,VLOOKUP(W232,DM_DUAN,3,0),"")</f>
        <v/>
      </c>
      <c r="W232" s="68"/>
      <c r="X232" s="64" t="str">
        <f>IF(Y232&lt;&gt;0,VLOOKUP(Y232,DM_DUAN,3,0),"")</f>
        <v>#N/A</v>
      </c>
      <c r="Y232" s="69" t="s">
        <v>176</v>
      </c>
      <c r="Z232" s="64" t="str">
        <f>IF(AA232&lt;&gt;0,VLOOKUP(AA232,DM_DUAN,3,0),"")</f>
        <v>#N/A</v>
      </c>
      <c r="AA232" s="70" t="s">
        <v>177</v>
      </c>
      <c r="AB232" s="64" t="str">
        <f>IF(AC232&lt;&gt;0,VLOOKUP(AC232,DM_DUAN,3,0),"")</f>
        <v/>
      </c>
      <c r="AC232" s="70"/>
      <c r="AD232" s="64" t="str">
        <f>IF(AC232&lt;&gt;0,VLOOKUP(AC232,DM_NV,2,0),"")</f>
        <v/>
      </c>
      <c r="AE232" s="83" t="s">
        <v>223</v>
      </c>
      <c r="AF232" s="64" t="str">
        <f>IF(AE232&lt;&gt;0,VLOOKUP(AE232,DM_NV,2,0),"")</f>
        <v>#N/A</v>
      </c>
    </row>
    <row r="233">
      <c r="A233" s="51"/>
      <c r="B233" s="52"/>
      <c r="C233" s="53" t="str">
        <f t="shared" si="2"/>
        <v>02/2022</v>
      </c>
      <c r="D233" s="114">
        <v>44611.0</v>
      </c>
      <c r="E233" s="115" t="s">
        <v>395</v>
      </c>
      <c r="F233" s="108"/>
      <c r="G233" s="57" t="s">
        <v>205</v>
      </c>
      <c r="H233" s="58" t="str">
        <f>IF(G233="","",VLOOKUP($G233,'Quy chuẩn hạch toán'!$B:$E,2,0))</f>
        <v>642</v>
      </c>
      <c r="I233" s="58" t="str">
        <f>IF(H233="","",VLOOKUP($G233,'Quy chuẩn hạch toán'!$B:$E,3,0))</f>
        <v>1111</v>
      </c>
      <c r="J233" s="116">
        <v>47619.0</v>
      </c>
      <c r="K233" s="60"/>
      <c r="L233" s="61"/>
      <c r="M233" s="62"/>
      <c r="N233" s="63"/>
      <c r="O233" s="64" t="str">
        <f>IF($Q233&lt;&gt;0,VLOOKUP($Q233,DM_KM,3,0),"")</f>
        <v>#N/A</v>
      </c>
      <c r="P233" s="64" t="str">
        <f>IF($Q233&lt;&gt;0,VLOOKUP($Q233,DM_KM,5,0),"")</f>
        <v>#N/A</v>
      </c>
      <c r="Q233" s="65" t="s">
        <v>222</v>
      </c>
      <c r="R233" s="64" t="str">
        <f>IF(S233&lt;&gt;0,VLOOKUP(S233,DM_DUAN,3,0),"")</f>
        <v>#N/A</v>
      </c>
      <c r="S233" s="66" t="str">
        <f>IF(U233&lt;&gt;0,VLOOKUP(U233,DM_DUAN,3,0),"")</f>
        <v/>
      </c>
      <c r="T233" s="64"/>
      <c r="U233" s="93"/>
      <c r="V233" s="64" t="str">
        <f>IF(W233&lt;&gt;0,VLOOKUP(W233,DM_DUAN,3,0),"")</f>
        <v/>
      </c>
      <c r="W233" s="68"/>
      <c r="X233" s="64" t="str">
        <f>IF(Y233&lt;&gt;0,VLOOKUP(Y233,DM_DUAN,3,0),"")</f>
        <v>#N/A</v>
      </c>
      <c r="Y233" s="69" t="s">
        <v>176</v>
      </c>
      <c r="Z233" s="64" t="str">
        <f>IF(AA233&lt;&gt;0,VLOOKUP(AA233,DM_DUAN,3,0),"")</f>
        <v>#N/A</v>
      </c>
      <c r="AA233" s="70" t="s">
        <v>183</v>
      </c>
      <c r="AB233" s="64" t="str">
        <f>IF(AC233&lt;&gt;0,VLOOKUP(AC233,DM_DUAN,3,0),"")</f>
        <v/>
      </c>
      <c r="AC233" s="85"/>
      <c r="AD233" s="64" t="str">
        <f>IF(AC233&lt;&gt;0,VLOOKUP(AC233,DM_NV,2,0),"")</f>
        <v/>
      </c>
      <c r="AE233" s="83" t="s">
        <v>223</v>
      </c>
      <c r="AF233" s="64" t="str">
        <f>IF(AE233&lt;&gt;0,VLOOKUP(AE233,DM_NV,2,0),"")</f>
        <v>#N/A</v>
      </c>
    </row>
    <row r="234">
      <c r="A234" s="51"/>
      <c r="B234" s="52"/>
      <c r="C234" s="53" t="str">
        <f t="shared" si="2"/>
        <v>02/2022</v>
      </c>
      <c r="D234" s="117">
        <v>44612.0</v>
      </c>
      <c r="E234" s="118" t="s">
        <v>396</v>
      </c>
      <c r="F234" s="119"/>
      <c r="G234" s="57" t="s">
        <v>173</v>
      </c>
      <c r="H234" s="58" t="str">
        <f>IF(G234="","",VLOOKUP($G234,'Quy chuẩn hạch toán'!$B:$E,2,0))</f>
        <v>641</v>
      </c>
      <c r="I234" s="58" t="str">
        <f>IF(H234="","",VLOOKUP($G234,'Quy chuẩn hạch toán'!$B:$E,3,0))</f>
        <v>331</v>
      </c>
      <c r="J234" s="120">
        <v>1482000.0</v>
      </c>
      <c r="K234" s="60"/>
      <c r="L234" s="61"/>
      <c r="M234" s="62"/>
      <c r="N234" s="63"/>
      <c r="O234" s="64" t="str">
        <f>IF($Q234&lt;&gt;0,VLOOKUP($Q234,DM_KM,3,0),"")</f>
        <v>#N/A</v>
      </c>
      <c r="P234" s="64" t="str">
        <f>IF($Q234&lt;&gt;0,VLOOKUP($Q234,DM_KM,5,0),"")</f>
        <v>#N/A</v>
      </c>
      <c r="Q234" s="65" t="s">
        <v>174</v>
      </c>
      <c r="R234" s="64" t="str">
        <f>IF(S234&lt;&gt;0,VLOOKUP(S234,DM_DUAN,3,0),"")</f>
        <v>#N/A</v>
      </c>
      <c r="S234" s="66" t="str">
        <f>IF(U234&lt;&gt;0,VLOOKUP(U234,DM_DUAN,3,0),"")</f>
        <v>NAMSAIGON</v>
      </c>
      <c r="T234" s="64"/>
      <c r="U234" s="67" t="s">
        <v>215</v>
      </c>
      <c r="V234" s="64" t="str">
        <f>IF(W234&lt;&gt;0,VLOOKUP(W234,DM_DUAN,3,0),"")</f>
        <v/>
      </c>
      <c r="W234" s="68"/>
      <c r="X234" s="64" t="str">
        <f>IF(Y234&lt;&gt;0,VLOOKUP(Y234,DM_DUAN,3,0),"")</f>
        <v>#N/A</v>
      </c>
      <c r="Y234" s="69" t="s">
        <v>176</v>
      </c>
      <c r="Z234" s="64" t="str">
        <f>IF(AA234&lt;&gt;0,VLOOKUP(AA234,DM_DUAN,3,0),"")</f>
        <v>#N/A</v>
      </c>
      <c r="AA234" s="70" t="s">
        <v>177</v>
      </c>
      <c r="AB234" s="64" t="str">
        <f>IF(AC234&lt;&gt;0,VLOOKUP(AC234,DM_DUAN,3,0),"")</f>
        <v>#N/A</v>
      </c>
      <c r="AC234" s="70" t="s">
        <v>178</v>
      </c>
      <c r="AD234" s="64" t="str">
        <f>IF(AC234&lt;&gt;0,VLOOKUP(AC234,DM_NV,2,0),"")</f>
        <v>Lê Hoàng Quân</v>
      </c>
      <c r="AE234" s="68"/>
      <c r="AF234" s="64" t="str">
        <f>IF(AE234&lt;&gt;0,VLOOKUP(AE234,DM_NV,2,0),"")</f>
        <v/>
      </c>
    </row>
    <row r="235">
      <c r="A235" s="51"/>
      <c r="B235" s="52"/>
      <c r="C235" s="53" t="str">
        <f t="shared" si="2"/>
        <v>02/2022</v>
      </c>
      <c r="D235" s="114">
        <v>44614.0</v>
      </c>
      <c r="E235" s="115" t="s">
        <v>397</v>
      </c>
      <c r="F235" s="108"/>
      <c r="G235" s="57" t="s">
        <v>254</v>
      </c>
      <c r="H235" s="58" t="str">
        <f>IF(G235="","",VLOOKUP($G235,'Quy chuẩn hạch toán'!$B:$E,2,0))</f>
        <v>3341</v>
      </c>
      <c r="I235" s="58" t="str">
        <f>IF(H235="","",VLOOKUP($G235,'Quy chuẩn hạch toán'!$B:$E,3,0))</f>
        <v>1111</v>
      </c>
      <c r="J235" s="116">
        <v>2154000.0</v>
      </c>
      <c r="K235" s="60"/>
      <c r="L235" s="61"/>
      <c r="M235" s="62"/>
      <c r="N235" s="63"/>
      <c r="O235" s="64" t="str">
        <f>IF($Q235&lt;&gt;0,VLOOKUP($Q235,DM_KM,3,0),"")</f>
        <v>#N/A</v>
      </c>
      <c r="P235" s="64" t="str">
        <f>IF($Q235&lt;&gt;0,VLOOKUP($Q235,DM_KM,5,0),"")</f>
        <v>#N/A</v>
      </c>
      <c r="Q235" s="65" t="s">
        <v>255</v>
      </c>
      <c r="R235" s="64" t="str">
        <f>IF(S235&lt;&gt;0,VLOOKUP(S235,DM_DUAN,3,0),"")</f>
        <v>#N/A</v>
      </c>
      <c r="S235" s="66" t="str">
        <f>IF(U235&lt;&gt;0,VLOOKUP(U235,DM_DUAN,3,0),"")</f>
        <v/>
      </c>
      <c r="T235" s="64"/>
      <c r="U235" s="93"/>
      <c r="V235" s="64" t="str">
        <f>IF(W235&lt;&gt;0,VLOOKUP(W235,DM_DUAN,3,0),"")</f>
        <v/>
      </c>
      <c r="W235" s="68"/>
      <c r="X235" s="64" t="str">
        <f>IF(Y235&lt;&gt;0,VLOOKUP(Y235,DM_DUAN,3,0),"")</f>
        <v>#N/A</v>
      </c>
      <c r="Y235" s="69" t="s">
        <v>176</v>
      </c>
      <c r="Z235" s="64" t="str">
        <f>IF(AA235&lt;&gt;0,VLOOKUP(AA235,DM_DUAN,3,0),"")</f>
        <v>#N/A</v>
      </c>
      <c r="AA235" s="70" t="s">
        <v>183</v>
      </c>
      <c r="AB235" s="64" t="str">
        <f>IF(AC235&lt;&gt;0,VLOOKUP(AC235,DM_DUAN,3,0),"")</f>
        <v>#N/A</v>
      </c>
      <c r="AC235" s="70" t="s">
        <v>195</v>
      </c>
      <c r="AD235" s="64" t="str">
        <f>IF(AC235&lt;&gt;0,VLOOKUP(AC235,DM_NV,2,0),"")</f>
        <v>Phan Thị Thùy Mai</v>
      </c>
      <c r="AE235" s="83" t="s">
        <v>256</v>
      </c>
      <c r="AF235" s="64" t="str">
        <f>IF(AE235&lt;&gt;0,VLOOKUP(AE235,DM_NV,2,0),"")</f>
        <v>#N/A</v>
      </c>
    </row>
    <row r="236">
      <c r="A236" s="51"/>
      <c r="B236" s="52"/>
      <c r="C236" s="53" t="str">
        <f t="shared" si="2"/>
        <v>02/2022</v>
      </c>
      <c r="D236" s="99">
        <v>44614.0</v>
      </c>
      <c r="E236" s="55" t="s">
        <v>398</v>
      </c>
      <c r="F236" s="56"/>
      <c r="G236" s="57" t="s">
        <v>205</v>
      </c>
      <c r="H236" s="58" t="str">
        <f>IF(G236="","",VLOOKUP($G236,'Quy chuẩn hạch toán'!$B:$E,2,0))</f>
        <v>642</v>
      </c>
      <c r="I236" s="58" t="str">
        <f>IF(H236="","",VLOOKUP($G236,'Quy chuẩn hạch toán'!$B:$E,3,0))</f>
        <v>1111</v>
      </c>
      <c r="J236" s="59">
        <v>174190.0</v>
      </c>
      <c r="K236" s="60"/>
      <c r="L236" s="61"/>
      <c r="M236" s="62"/>
      <c r="N236" s="63"/>
      <c r="O236" s="64" t="str">
        <f>IF($Q236&lt;&gt;0,VLOOKUP($Q236,DM_KM,3,0),"")</f>
        <v>#N/A</v>
      </c>
      <c r="P236" s="64" t="str">
        <f>IF($Q236&lt;&gt;0,VLOOKUP($Q236,DM_KM,5,0),"")</f>
        <v>#N/A</v>
      </c>
      <c r="Q236" s="65" t="s">
        <v>272</v>
      </c>
      <c r="R236" s="64" t="str">
        <f>IF(S236&lt;&gt;0,VLOOKUP(S236,DM_DUAN,3,0),"")</f>
        <v>#N/A</v>
      </c>
      <c r="S236" s="66" t="str">
        <f>IF(U236&lt;&gt;0,VLOOKUP(U236,DM_DUAN,3,0),"")</f>
        <v/>
      </c>
      <c r="T236" s="64"/>
      <c r="U236" s="93"/>
      <c r="V236" s="64" t="str">
        <f>IF(W236&lt;&gt;0,VLOOKUP(W236,DM_DUAN,3,0),"")</f>
        <v/>
      </c>
      <c r="W236" s="68"/>
      <c r="X236" s="64" t="str">
        <f>IF(Y236&lt;&gt;0,VLOOKUP(Y236,DM_DUAN,3,0),"")</f>
        <v>#N/A</v>
      </c>
      <c r="Y236" s="69" t="s">
        <v>207</v>
      </c>
      <c r="Z236" s="64" t="str">
        <f>IF(AA236&lt;&gt;0,VLOOKUP(AA236,DM_DUAN,3,0),"")</f>
        <v>#N/A</v>
      </c>
      <c r="AA236" s="70" t="s">
        <v>208</v>
      </c>
      <c r="AB236" s="64" t="str">
        <f>IF(AC236&lt;&gt;0,VLOOKUP(AC236,DM_DUAN,3,0),"")</f>
        <v/>
      </c>
      <c r="AC236" s="70"/>
      <c r="AD236" s="64" t="str">
        <f>IF(AC236&lt;&gt;0,VLOOKUP(AC236,DM_NV,2,0),"")</f>
        <v/>
      </c>
      <c r="AE236" s="83" t="s">
        <v>227</v>
      </c>
      <c r="AF236" s="64" t="str">
        <f>IF(AE236&lt;&gt;0,VLOOKUP(AE236,DM_NV,2,0),"")</f>
        <v>#N/A</v>
      </c>
    </row>
    <row r="237">
      <c r="A237" s="51"/>
      <c r="B237" s="52"/>
      <c r="C237" s="53" t="str">
        <f t="shared" si="2"/>
        <v>02/2022</v>
      </c>
      <c r="D237" s="99">
        <v>44614.0</v>
      </c>
      <c r="E237" s="55" t="s">
        <v>398</v>
      </c>
      <c r="F237" s="56"/>
      <c r="G237" s="57" t="s">
        <v>205</v>
      </c>
      <c r="H237" s="58" t="str">
        <f>IF(G237="","",VLOOKUP($G237,'Quy chuẩn hạch toán'!$B:$E,2,0))</f>
        <v>642</v>
      </c>
      <c r="I237" s="58" t="str">
        <f>IF(H237="","",VLOOKUP($G237,'Quy chuẩn hạch toán'!$B:$E,3,0))</f>
        <v>1111</v>
      </c>
      <c r="J237" s="59">
        <v>348381.0</v>
      </c>
      <c r="K237" s="60"/>
      <c r="L237" s="61"/>
      <c r="M237" s="62"/>
      <c r="N237" s="63"/>
      <c r="O237" s="64" t="str">
        <f>IF($Q237&lt;&gt;0,VLOOKUP($Q237,DM_KM,3,0),"")</f>
        <v>#N/A</v>
      </c>
      <c r="P237" s="64" t="str">
        <f>IF($Q237&lt;&gt;0,VLOOKUP($Q237,DM_KM,5,0),"")</f>
        <v>#N/A</v>
      </c>
      <c r="Q237" s="65" t="s">
        <v>272</v>
      </c>
      <c r="R237" s="64" t="str">
        <f>IF(S237&lt;&gt;0,VLOOKUP(S237,DM_DUAN,3,0),"")</f>
        <v>#N/A</v>
      </c>
      <c r="S237" s="66" t="str">
        <f>IF(U237&lt;&gt;0,VLOOKUP(U237,DM_DUAN,3,0),"")</f>
        <v/>
      </c>
      <c r="T237" s="64"/>
      <c r="U237" s="93"/>
      <c r="V237" s="64" t="str">
        <f>IF(W237&lt;&gt;0,VLOOKUP(W237,DM_DUAN,3,0),"")</f>
        <v/>
      </c>
      <c r="W237" s="68"/>
      <c r="X237" s="64" t="str">
        <f>IF(Y237&lt;&gt;0,VLOOKUP(Y237,DM_DUAN,3,0),"")</f>
        <v>#N/A</v>
      </c>
      <c r="Y237" s="69" t="s">
        <v>207</v>
      </c>
      <c r="Z237" s="64" t="str">
        <f>IF(AA237&lt;&gt;0,VLOOKUP(AA237,DM_DUAN,3,0),"")</f>
        <v>#N/A</v>
      </c>
      <c r="AA237" s="70" t="s">
        <v>210</v>
      </c>
      <c r="AB237" s="64" t="str">
        <f>IF(AC237&lt;&gt;0,VLOOKUP(AC237,DM_DUAN,3,0),"")</f>
        <v/>
      </c>
      <c r="AC237" s="70"/>
      <c r="AD237" s="64" t="str">
        <f>IF(AC237&lt;&gt;0,VLOOKUP(AC237,DM_NV,2,0),"")</f>
        <v/>
      </c>
      <c r="AE237" s="83" t="s">
        <v>227</v>
      </c>
      <c r="AF237" s="64" t="str">
        <f>IF(AE237&lt;&gt;0,VLOOKUP(AE237,DM_NV,2,0),"")</f>
        <v>#N/A</v>
      </c>
    </row>
    <row r="238">
      <c r="A238" s="51"/>
      <c r="B238" s="52"/>
      <c r="C238" s="53" t="str">
        <f t="shared" si="2"/>
        <v>02/2022</v>
      </c>
      <c r="D238" s="99">
        <v>44614.0</v>
      </c>
      <c r="E238" s="55" t="s">
        <v>398</v>
      </c>
      <c r="F238" s="56"/>
      <c r="G238" s="57" t="s">
        <v>205</v>
      </c>
      <c r="H238" s="58" t="str">
        <f>IF(G238="","",VLOOKUP($G238,'Quy chuẩn hạch toán'!$B:$E,2,0))</f>
        <v>642</v>
      </c>
      <c r="I238" s="58" t="str">
        <f>IF(H238="","",VLOOKUP($G238,'Quy chuẩn hạch toán'!$B:$E,3,0))</f>
        <v>1111</v>
      </c>
      <c r="J238" s="59">
        <v>435476.0</v>
      </c>
      <c r="K238" s="60"/>
      <c r="L238" s="61"/>
      <c r="M238" s="62"/>
      <c r="N238" s="63"/>
      <c r="O238" s="64" t="str">
        <f>IF($Q238&lt;&gt;0,VLOOKUP($Q238,DM_KM,3,0),"")</f>
        <v>#N/A</v>
      </c>
      <c r="P238" s="64" t="str">
        <f>IF($Q238&lt;&gt;0,VLOOKUP($Q238,DM_KM,5,0),"")</f>
        <v>#N/A</v>
      </c>
      <c r="Q238" s="65" t="s">
        <v>272</v>
      </c>
      <c r="R238" s="64" t="str">
        <f>IF(S238&lt;&gt;0,VLOOKUP(S238,DM_DUAN,3,0),"")</f>
        <v>#N/A</v>
      </c>
      <c r="S238" s="66" t="str">
        <f>IF(U238&lt;&gt;0,VLOOKUP(U238,DM_DUAN,3,0),"")</f>
        <v/>
      </c>
      <c r="T238" s="64"/>
      <c r="U238" s="93"/>
      <c r="V238" s="64" t="str">
        <f>IF(W238&lt;&gt;0,VLOOKUP(W238,DM_DUAN,3,0),"")</f>
        <v/>
      </c>
      <c r="W238" s="68"/>
      <c r="X238" s="64" t="str">
        <f>IF(Y238&lt;&gt;0,VLOOKUP(Y238,DM_DUAN,3,0),"")</f>
        <v>#N/A</v>
      </c>
      <c r="Y238" s="69" t="s">
        <v>207</v>
      </c>
      <c r="Z238" s="64" t="str">
        <f>IF(AA238&lt;&gt;0,VLOOKUP(AA238,DM_DUAN,3,0),"")</f>
        <v>#N/A</v>
      </c>
      <c r="AA238" s="70" t="s">
        <v>177</v>
      </c>
      <c r="AB238" s="64" t="str">
        <f>IF(AC238&lt;&gt;0,VLOOKUP(AC238,DM_DUAN,3,0),"")</f>
        <v/>
      </c>
      <c r="AC238" s="70"/>
      <c r="AD238" s="64" t="str">
        <f>IF(AC238&lt;&gt;0,VLOOKUP(AC238,DM_NV,2,0),"")</f>
        <v/>
      </c>
      <c r="AE238" s="83" t="s">
        <v>227</v>
      </c>
      <c r="AF238" s="64" t="str">
        <f>IF(AE238&lt;&gt;0,VLOOKUP(AE238,DM_NV,2,0),"")</f>
        <v>#N/A</v>
      </c>
    </row>
    <row r="239">
      <c r="A239" s="51"/>
      <c r="B239" s="52"/>
      <c r="C239" s="53" t="str">
        <f t="shared" si="2"/>
        <v>02/2022</v>
      </c>
      <c r="D239" s="99">
        <v>44614.0</v>
      </c>
      <c r="E239" s="55" t="s">
        <v>398</v>
      </c>
      <c r="F239" s="56"/>
      <c r="G239" s="57" t="s">
        <v>205</v>
      </c>
      <c r="H239" s="58" t="str">
        <f>IF(G239="","",VLOOKUP($G239,'Quy chuẩn hạch toán'!$B:$E,2,0))</f>
        <v>642</v>
      </c>
      <c r="I239" s="58" t="str">
        <f>IF(H239="","",VLOOKUP($G239,'Quy chuẩn hạch toán'!$B:$E,3,0))</f>
        <v>1111</v>
      </c>
      <c r="J239" s="59">
        <v>870952.0</v>
      </c>
      <c r="K239" s="60"/>
      <c r="L239" s="61"/>
      <c r="M239" s="62"/>
      <c r="N239" s="63"/>
      <c r="O239" s="64" t="str">
        <f>IF($Q239&lt;&gt;0,VLOOKUP($Q239,DM_KM,3,0),"")</f>
        <v>#N/A</v>
      </c>
      <c r="P239" s="64" t="str">
        <f>IF($Q239&lt;&gt;0,VLOOKUP($Q239,DM_KM,5,0),"")</f>
        <v>#N/A</v>
      </c>
      <c r="Q239" s="65" t="s">
        <v>272</v>
      </c>
      <c r="R239" s="64" t="str">
        <f>IF(S239&lt;&gt;0,VLOOKUP(S239,DM_DUAN,3,0),"")</f>
        <v>#N/A</v>
      </c>
      <c r="S239" s="66" t="str">
        <f>IF(U239&lt;&gt;0,VLOOKUP(U239,DM_DUAN,3,0),"")</f>
        <v/>
      </c>
      <c r="T239" s="64"/>
      <c r="U239" s="93"/>
      <c r="V239" s="64" t="str">
        <f>IF(W239&lt;&gt;0,VLOOKUP(W239,DM_DUAN,3,0),"")</f>
        <v/>
      </c>
      <c r="W239" s="68"/>
      <c r="X239" s="64" t="str">
        <f>IF(Y239&lt;&gt;0,VLOOKUP(Y239,DM_DUAN,3,0),"")</f>
        <v>#N/A</v>
      </c>
      <c r="Y239" s="69" t="s">
        <v>207</v>
      </c>
      <c r="Z239" s="64" t="str">
        <f>IF(AA239&lt;&gt;0,VLOOKUP(AA239,DM_DUAN,3,0),"")</f>
        <v>#N/A</v>
      </c>
      <c r="AA239" s="70" t="s">
        <v>183</v>
      </c>
      <c r="AB239" s="64" t="str">
        <f>IF(AC239&lt;&gt;0,VLOOKUP(AC239,DM_DUAN,3,0),"")</f>
        <v/>
      </c>
      <c r="AC239" s="85"/>
      <c r="AD239" s="64" t="str">
        <f>IF(AC239&lt;&gt;0,VLOOKUP(AC239,DM_NV,2,0),"")</f>
        <v/>
      </c>
      <c r="AE239" s="83" t="s">
        <v>227</v>
      </c>
      <c r="AF239" s="64" t="str">
        <f>IF(AE239&lt;&gt;0,VLOOKUP(AE239,DM_NV,2,0),"")</f>
        <v>#N/A</v>
      </c>
    </row>
    <row r="240">
      <c r="A240" s="51"/>
      <c r="B240" s="52"/>
      <c r="C240" s="53" t="str">
        <f t="shared" si="2"/>
        <v>02/2022</v>
      </c>
      <c r="D240" s="114">
        <v>44615.0</v>
      </c>
      <c r="E240" s="115" t="s">
        <v>399</v>
      </c>
      <c r="F240" s="108"/>
      <c r="G240" s="127"/>
      <c r="H240" s="58" t="str">
        <f>IF(G240="","",VLOOKUP($G240,'Quy chuẩn hạch toán'!$B:$E,2,0))</f>
        <v/>
      </c>
      <c r="I240" s="58" t="str">
        <f>IF(H240="","",VLOOKUP($G240,'Quy chuẩn hạch toán'!$B:$E,3,0))</f>
        <v/>
      </c>
      <c r="J240" s="116">
        <v>1.2E7</v>
      </c>
      <c r="K240" s="60"/>
      <c r="L240" s="61"/>
      <c r="M240" s="62"/>
      <c r="N240" s="63"/>
      <c r="O240" s="64" t="str">
        <f>IF($Q240&lt;&gt;0,VLOOKUP($Q240,DM_KM,3,0),"")</f>
        <v/>
      </c>
      <c r="P240" s="64" t="str">
        <f>IF($Q240&lt;&gt;0,VLOOKUP($Q240,DM_KM,5,0),"")</f>
        <v/>
      </c>
      <c r="Q240" s="65"/>
      <c r="R240" s="64" t="str">
        <f>IF(S240&lt;&gt;0,VLOOKUP(S240,DM_DUAN,3,0),"")</f>
        <v>#N/A</v>
      </c>
      <c r="S240" s="66" t="str">
        <f>IF(U240&lt;&gt;0,VLOOKUP(U240,DM_DUAN,3,0),"")</f>
        <v/>
      </c>
      <c r="T240" s="64"/>
      <c r="U240" s="93"/>
      <c r="V240" s="64" t="str">
        <f>IF(W240&lt;&gt;0,VLOOKUP(W240,DM_DUAN,3,0),"")</f>
        <v/>
      </c>
      <c r="W240" s="68"/>
      <c r="X240" s="64" t="str">
        <f>IF(Y240&lt;&gt;0,VLOOKUP(Y240,DM_DUAN,3,0),"")</f>
        <v/>
      </c>
      <c r="Y240" s="69"/>
      <c r="Z240" s="64" t="str">
        <f>IF(AA240&lt;&gt;0,VLOOKUP(AA240,DM_DUAN,3,0),"")</f>
        <v>#N/A</v>
      </c>
      <c r="AA240" s="70" t="s">
        <v>177</v>
      </c>
      <c r="AB240" s="64" t="str">
        <f>IF(AC240&lt;&gt;0,VLOOKUP(AC240,DM_DUAN,3,0),"")</f>
        <v>#N/A</v>
      </c>
      <c r="AC240" s="70" t="s">
        <v>178</v>
      </c>
      <c r="AD240" s="64" t="str">
        <f>IF(AC240&lt;&gt;0,VLOOKUP(AC240,DM_NV,2,0),"")</f>
        <v>Lê Hoàng Quân</v>
      </c>
      <c r="AE240" s="83" t="s">
        <v>400</v>
      </c>
      <c r="AF240" s="64" t="str">
        <f>IF(AE240&lt;&gt;0,VLOOKUP(AE240,DM_NV,2,0),"")</f>
        <v>#N/A</v>
      </c>
    </row>
    <row r="241">
      <c r="A241" s="51"/>
      <c r="B241" s="52"/>
      <c r="C241" s="53" t="str">
        <f t="shared" si="2"/>
        <v>02/2022</v>
      </c>
      <c r="D241" s="99">
        <v>44615.0</v>
      </c>
      <c r="E241" s="55" t="s">
        <v>401</v>
      </c>
      <c r="F241" s="56"/>
      <c r="G241" s="57" t="s">
        <v>249</v>
      </c>
      <c r="H241" s="58" t="str">
        <f>IF(G241="","",VLOOKUP($G241,'Quy chuẩn hạch toán'!$B:$E,2,0))</f>
        <v>642</v>
      </c>
      <c r="I241" s="58" t="str">
        <f>IF(H241="","",VLOOKUP($G241,'Quy chuẩn hạch toán'!$B:$E,3,0))</f>
        <v>331</v>
      </c>
      <c r="J241" s="59">
        <v>190477.0</v>
      </c>
      <c r="K241" s="60"/>
      <c r="L241" s="61"/>
      <c r="M241" s="62"/>
      <c r="N241" s="63"/>
      <c r="O241" s="64" t="str">
        <f>IF($Q241&lt;&gt;0,VLOOKUP($Q241,DM_KM,3,0),"")</f>
        <v>THUEVP</v>
      </c>
      <c r="P241" s="64">
        <f>IF($Q241&lt;&gt;0,VLOOKUP($Q241,DM_KM,5,0),"")</f>
        <v>642</v>
      </c>
      <c r="Q241" s="65" t="s">
        <v>270</v>
      </c>
      <c r="R241" s="64" t="str">
        <f>IF(S241&lt;&gt;0,VLOOKUP(S241,DM_DUAN,3,0),"")</f>
        <v>#N/A</v>
      </c>
      <c r="S241" s="66" t="str">
        <f>IF(U241&lt;&gt;0,VLOOKUP(U241,DM_DUAN,3,0),"")</f>
        <v/>
      </c>
      <c r="T241" s="64"/>
      <c r="U241" s="93"/>
      <c r="V241" s="64" t="str">
        <f>IF(W241&lt;&gt;0,VLOOKUP(W241,DM_DUAN,3,0),"")</f>
        <v/>
      </c>
      <c r="W241" s="68"/>
      <c r="X241" s="64" t="str">
        <f>IF(Y241&lt;&gt;0,VLOOKUP(Y241,DM_DUAN,3,0),"")</f>
        <v>#N/A</v>
      </c>
      <c r="Y241" s="69" t="s">
        <v>176</v>
      </c>
      <c r="Z241" s="64" t="str">
        <f>IF(AA241&lt;&gt;0,VLOOKUP(AA241,DM_DUAN,3,0),"")</f>
        <v>#N/A</v>
      </c>
      <c r="AA241" s="70" t="s">
        <v>208</v>
      </c>
      <c r="AB241" s="64" t="str">
        <f>IF(AC241&lt;&gt;0,VLOOKUP(AC241,DM_DUAN,3,0),"")</f>
        <v/>
      </c>
      <c r="AC241" s="70"/>
      <c r="AD241" s="64" t="str">
        <f>IF(AC241&lt;&gt;0,VLOOKUP(AC241,DM_NV,2,0),"")</f>
        <v/>
      </c>
      <c r="AE241" s="68"/>
      <c r="AF241" s="64" t="str">
        <f>IF(AE241&lt;&gt;0,VLOOKUP(AE241,DM_NV,2,0),"")</f>
        <v/>
      </c>
    </row>
    <row r="242">
      <c r="A242" s="51"/>
      <c r="B242" s="52"/>
      <c r="C242" s="53" t="str">
        <f t="shared" si="2"/>
        <v>02/2022</v>
      </c>
      <c r="D242" s="99">
        <v>44615.0</v>
      </c>
      <c r="E242" s="55" t="s">
        <v>401</v>
      </c>
      <c r="F242" s="56"/>
      <c r="G242" s="57" t="s">
        <v>249</v>
      </c>
      <c r="H242" s="58" t="str">
        <f>IF(G242="","",VLOOKUP($G242,'Quy chuẩn hạch toán'!$B:$E,2,0))</f>
        <v>642</v>
      </c>
      <c r="I242" s="58" t="str">
        <f>IF(H242="","",VLOOKUP($G242,'Quy chuẩn hạch toán'!$B:$E,3,0))</f>
        <v>331</v>
      </c>
      <c r="J242" s="59">
        <v>380952.0</v>
      </c>
      <c r="K242" s="60"/>
      <c r="L242" s="61"/>
      <c r="M242" s="62"/>
      <c r="N242" s="63"/>
      <c r="O242" s="64" t="str">
        <f>IF($Q242&lt;&gt;0,VLOOKUP($Q242,DM_KM,3,0),"")</f>
        <v>THUEVP</v>
      </c>
      <c r="P242" s="64">
        <f>IF($Q242&lt;&gt;0,VLOOKUP($Q242,DM_KM,5,0),"")</f>
        <v>642</v>
      </c>
      <c r="Q242" s="65" t="s">
        <v>270</v>
      </c>
      <c r="R242" s="64" t="str">
        <f>IF(S242&lt;&gt;0,VLOOKUP(S242,DM_DUAN,3,0),"")</f>
        <v>#N/A</v>
      </c>
      <c r="S242" s="66" t="str">
        <f>IF(U242&lt;&gt;0,VLOOKUP(U242,DM_DUAN,3,0),"")</f>
        <v/>
      </c>
      <c r="T242" s="64"/>
      <c r="U242" s="93"/>
      <c r="V242" s="64" t="str">
        <f>IF(W242&lt;&gt;0,VLOOKUP(W242,DM_DUAN,3,0),"")</f>
        <v/>
      </c>
      <c r="W242" s="68"/>
      <c r="X242" s="64" t="str">
        <f>IF(Y242&lt;&gt;0,VLOOKUP(Y242,DM_DUAN,3,0),"")</f>
        <v>#N/A</v>
      </c>
      <c r="Y242" s="69" t="s">
        <v>176</v>
      </c>
      <c r="Z242" s="64" t="str">
        <f>IF(AA242&lt;&gt;0,VLOOKUP(AA242,DM_DUAN,3,0),"")</f>
        <v>#N/A</v>
      </c>
      <c r="AA242" s="70" t="s">
        <v>210</v>
      </c>
      <c r="AB242" s="64" t="str">
        <f>IF(AC242&lt;&gt;0,VLOOKUP(AC242,DM_DUAN,3,0),"")</f>
        <v/>
      </c>
      <c r="AC242" s="70"/>
      <c r="AD242" s="64" t="str">
        <f>IF(AC242&lt;&gt;0,VLOOKUP(AC242,DM_NV,2,0),"")</f>
        <v/>
      </c>
      <c r="AE242" s="68"/>
      <c r="AF242" s="64" t="str">
        <f>IF(AE242&lt;&gt;0,VLOOKUP(AE242,DM_NV,2,0),"")</f>
        <v/>
      </c>
    </row>
    <row r="243">
      <c r="A243" s="51"/>
      <c r="B243" s="52"/>
      <c r="C243" s="53" t="str">
        <f t="shared" si="2"/>
        <v>02/2022</v>
      </c>
      <c r="D243" s="99">
        <v>44615.0</v>
      </c>
      <c r="E243" s="55" t="s">
        <v>401</v>
      </c>
      <c r="F243" s="56"/>
      <c r="G243" s="57" t="s">
        <v>249</v>
      </c>
      <c r="H243" s="58" t="str">
        <f>IF(G243="","",VLOOKUP($G243,'Quy chuẩn hạch toán'!$B:$E,2,0))</f>
        <v>642</v>
      </c>
      <c r="I243" s="58" t="str">
        <f>IF(H243="","",VLOOKUP($G243,'Quy chuẩn hạch toán'!$B:$E,3,0))</f>
        <v>331</v>
      </c>
      <c r="J243" s="59">
        <v>476190.0</v>
      </c>
      <c r="K243" s="60"/>
      <c r="L243" s="61"/>
      <c r="M243" s="62"/>
      <c r="N243" s="63"/>
      <c r="O243" s="64" t="str">
        <f>IF($Q243&lt;&gt;0,VLOOKUP($Q243,DM_KM,3,0),"")</f>
        <v>THUEVP</v>
      </c>
      <c r="P243" s="64">
        <f>IF($Q243&lt;&gt;0,VLOOKUP($Q243,DM_KM,5,0),"")</f>
        <v>642</v>
      </c>
      <c r="Q243" s="65" t="s">
        <v>270</v>
      </c>
      <c r="R243" s="64" t="str">
        <f>IF(S243&lt;&gt;0,VLOOKUP(S243,DM_DUAN,3,0),"")</f>
        <v>#N/A</v>
      </c>
      <c r="S243" s="66" t="str">
        <f>IF(U243&lt;&gt;0,VLOOKUP(U243,DM_DUAN,3,0),"")</f>
        <v/>
      </c>
      <c r="T243" s="64"/>
      <c r="U243" s="93"/>
      <c r="V243" s="64" t="str">
        <f>IF(W243&lt;&gt;0,VLOOKUP(W243,DM_DUAN,3,0),"")</f>
        <v/>
      </c>
      <c r="W243" s="68"/>
      <c r="X243" s="64" t="str">
        <f>IF(Y243&lt;&gt;0,VLOOKUP(Y243,DM_DUAN,3,0),"")</f>
        <v>#N/A</v>
      </c>
      <c r="Y243" s="69" t="s">
        <v>176</v>
      </c>
      <c r="Z243" s="64" t="str">
        <f>IF(AA243&lt;&gt;0,VLOOKUP(AA243,DM_DUAN,3,0),"")</f>
        <v>#N/A</v>
      </c>
      <c r="AA243" s="70" t="s">
        <v>177</v>
      </c>
      <c r="AB243" s="64" t="str">
        <f>IF(AC243&lt;&gt;0,VLOOKUP(AC243,DM_DUAN,3,0),"")</f>
        <v/>
      </c>
      <c r="AC243" s="70"/>
      <c r="AD243" s="64" t="str">
        <f>IF(AC243&lt;&gt;0,VLOOKUP(AC243,DM_NV,2,0),"")</f>
        <v/>
      </c>
      <c r="AE243" s="68"/>
      <c r="AF243" s="64" t="str">
        <f>IF(AE243&lt;&gt;0,VLOOKUP(AE243,DM_NV,2,0),"")</f>
        <v/>
      </c>
    </row>
    <row r="244">
      <c r="A244" s="51"/>
      <c r="B244" s="52"/>
      <c r="C244" s="53" t="str">
        <f t="shared" si="2"/>
        <v>02/2022</v>
      </c>
      <c r="D244" s="99">
        <v>44615.0</v>
      </c>
      <c r="E244" s="55" t="s">
        <v>401</v>
      </c>
      <c r="F244" s="56"/>
      <c r="G244" s="57" t="s">
        <v>249</v>
      </c>
      <c r="H244" s="58" t="str">
        <f>IF(G244="","",VLOOKUP($G244,'Quy chuẩn hạch toán'!$B:$E,2,0))</f>
        <v>642</v>
      </c>
      <c r="I244" s="58" t="str">
        <f>IF(H244="","",VLOOKUP($G244,'Quy chuẩn hạch toán'!$B:$E,3,0))</f>
        <v>331</v>
      </c>
      <c r="J244" s="59">
        <v>952381.0</v>
      </c>
      <c r="K244" s="60"/>
      <c r="L244" s="61"/>
      <c r="M244" s="62"/>
      <c r="N244" s="63"/>
      <c r="O244" s="64" t="str">
        <f>IF($Q244&lt;&gt;0,VLOOKUP($Q244,DM_KM,3,0),"")</f>
        <v>THUEVP</v>
      </c>
      <c r="P244" s="64">
        <f>IF($Q244&lt;&gt;0,VLOOKUP($Q244,DM_KM,5,0),"")</f>
        <v>642</v>
      </c>
      <c r="Q244" s="65" t="s">
        <v>270</v>
      </c>
      <c r="R244" s="64" t="str">
        <f>IF(S244&lt;&gt;0,VLOOKUP(S244,DM_DUAN,3,0),"")</f>
        <v>#N/A</v>
      </c>
      <c r="S244" s="66" t="str">
        <f>IF(U244&lt;&gt;0,VLOOKUP(U244,DM_DUAN,3,0),"")</f>
        <v/>
      </c>
      <c r="T244" s="64"/>
      <c r="U244" s="93"/>
      <c r="V244" s="64" t="str">
        <f>IF(W244&lt;&gt;0,VLOOKUP(W244,DM_DUAN,3,0),"")</f>
        <v/>
      </c>
      <c r="W244" s="68"/>
      <c r="X244" s="64" t="str">
        <f>IF(Y244&lt;&gt;0,VLOOKUP(Y244,DM_DUAN,3,0),"")</f>
        <v>#N/A</v>
      </c>
      <c r="Y244" s="69" t="s">
        <v>176</v>
      </c>
      <c r="Z244" s="64" t="str">
        <f>IF(AA244&lt;&gt;0,VLOOKUP(AA244,DM_DUAN,3,0),"")</f>
        <v>#N/A</v>
      </c>
      <c r="AA244" s="70" t="s">
        <v>183</v>
      </c>
      <c r="AB244" s="64" t="str">
        <f>IF(AC244&lt;&gt;0,VLOOKUP(AC244,DM_DUAN,3,0),"")</f>
        <v/>
      </c>
      <c r="AC244" s="85"/>
      <c r="AD244" s="64" t="str">
        <f>IF(AC244&lt;&gt;0,VLOOKUP(AC244,DM_NV,2,0),"")</f>
        <v/>
      </c>
      <c r="AE244" s="68"/>
      <c r="AF244" s="64" t="str">
        <f>IF(AE244&lt;&gt;0,VLOOKUP(AE244,DM_NV,2,0),"")</f>
        <v/>
      </c>
    </row>
    <row r="245">
      <c r="A245" s="51"/>
      <c r="B245" s="52"/>
      <c r="C245" s="53" t="str">
        <f t="shared" si="2"/>
        <v>02/2022</v>
      </c>
      <c r="D245" s="99">
        <v>44615.0</v>
      </c>
      <c r="E245" s="55" t="s">
        <v>402</v>
      </c>
      <c r="F245" s="56"/>
      <c r="G245" s="57" t="s">
        <v>342</v>
      </c>
      <c r="H245" s="58" t="str">
        <f>IF(G245="","",VLOOKUP($G245,'Quy chuẩn hạch toán'!$B:$E,2,0))</f>
        <v>331</v>
      </c>
      <c r="I245" s="58" t="str">
        <f>IF(H245="","",VLOOKUP($G245,'Quy chuẩn hạch toán'!$B:$E,3,0))</f>
        <v>1111</v>
      </c>
      <c r="J245" s="59">
        <v>190477.0</v>
      </c>
      <c r="K245" s="60"/>
      <c r="L245" s="61"/>
      <c r="M245" s="62"/>
      <c r="N245" s="63"/>
      <c r="O245" s="64" t="str">
        <f>IF($Q245&lt;&gt;0,VLOOKUP($Q245,DM_KM,3,0),"")</f>
        <v/>
      </c>
      <c r="P245" s="64" t="str">
        <f>IF($Q245&lt;&gt;0,VLOOKUP($Q245,DM_KM,5,0),"")</f>
        <v/>
      </c>
      <c r="Q245" s="65"/>
      <c r="R245" s="64" t="str">
        <f>IF(S245&lt;&gt;0,VLOOKUP(S245,DM_DUAN,3,0),"")</f>
        <v>#N/A</v>
      </c>
      <c r="S245" s="66" t="str">
        <f>IF(U245&lt;&gt;0,VLOOKUP(U245,DM_DUAN,3,0),"")</f>
        <v/>
      </c>
      <c r="T245" s="64"/>
      <c r="U245" s="93"/>
      <c r="V245" s="64" t="str">
        <f>IF(W245&lt;&gt;0,VLOOKUP(W245,DM_DUAN,3,0),"")</f>
        <v/>
      </c>
      <c r="W245" s="68"/>
      <c r="X245" s="64" t="str">
        <f>IF(Y245&lt;&gt;0,VLOOKUP(Y245,DM_DUAN,3,0),"")</f>
        <v>#N/A</v>
      </c>
      <c r="Y245" s="69" t="s">
        <v>176</v>
      </c>
      <c r="Z245" s="64" t="str">
        <f>IF(AA245&lt;&gt;0,VLOOKUP(AA245,DM_DUAN,3,0),"")</f>
        <v>#N/A</v>
      </c>
      <c r="AA245" s="70" t="s">
        <v>208</v>
      </c>
      <c r="AB245" s="64" t="str">
        <f>IF(AC245&lt;&gt;0,VLOOKUP(AC245,DM_DUAN,3,0),"")</f>
        <v/>
      </c>
      <c r="AC245" s="70"/>
      <c r="AD245" s="64" t="str">
        <f>IF(AC245&lt;&gt;0,VLOOKUP(AC245,DM_NV,2,0),"")</f>
        <v/>
      </c>
      <c r="AE245" s="83" t="s">
        <v>343</v>
      </c>
      <c r="AF245" s="64" t="str">
        <f>IF(AE245&lt;&gt;0,VLOOKUP(AE245,DM_NV,2,0),"")</f>
        <v>#N/A</v>
      </c>
    </row>
    <row r="246">
      <c r="A246" s="51"/>
      <c r="B246" s="52"/>
      <c r="C246" s="53" t="str">
        <f t="shared" si="2"/>
        <v>02/2022</v>
      </c>
      <c r="D246" s="99">
        <v>44615.0</v>
      </c>
      <c r="E246" s="55" t="s">
        <v>402</v>
      </c>
      <c r="F246" s="56"/>
      <c r="G246" s="57" t="s">
        <v>342</v>
      </c>
      <c r="H246" s="58" t="str">
        <f>IF(G246="","",VLOOKUP($G246,'Quy chuẩn hạch toán'!$B:$E,2,0))</f>
        <v>331</v>
      </c>
      <c r="I246" s="58" t="str">
        <f>IF(H246="","",VLOOKUP($G246,'Quy chuẩn hạch toán'!$B:$E,3,0))</f>
        <v>1111</v>
      </c>
      <c r="J246" s="59">
        <v>380952.0</v>
      </c>
      <c r="K246" s="60"/>
      <c r="L246" s="61"/>
      <c r="M246" s="62"/>
      <c r="N246" s="63"/>
      <c r="O246" s="64" t="str">
        <f>IF($Q246&lt;&gt;0,VLOOKUP($Q246,DM_KM,3,0),"")</f>
        <v/>
      </c>
      <c r="P246" s="64" t="str">
        <f>IF($Q246&lt;&gt;0,VLOOKUP($Q246,DM_KM,5,0),"")</f>
        <v/>
      </c>
      <c r="Q246" s="65"/>
      <c r="R246" s="64" t="str">
        <f>IF(S246&lt;&gt;0,VLOOKUP(S246,DM_DUAN,3,0),"")</f>
        <v>#N/A</v>
      </c>
      <c r="S246" s="66" t="str">
        <f>IF(U246&lt;&gt;0,VLOOKUP(U246,DM_DUAN,3,0),"")</f>
        <v/>
      </c>
      <c r="T246" s="64"/>
      <c r="U246" s="93"/>
      <c r="V246" s="64" t="str">
        <f>IF(W246&lt;&gt;0,VLOOKUP(W246,DM_DUAN,3,0),"")</f>
        <v/>
      </c>
      <c r="W246" s="68"/>
      <c r="X246" s="64" t="str">
        <f>IF(Y246&lt;&gt;0,VLOOKUP(Y246,DM_DUAN,3,0),"")</f>
        <v>#N/A</v>
      </c>
      <c r="Y246" s="69" t="s">
        <v>176</v>
      </c>
      <c r="Z246" s="64" t="str">
        <f>IF(AA246&lt;&gt;0,VLOOKUP(AA246,DM_DUAN,3,0),"")</f>
        <v>#N/A</v>
      </c>
      <c r="AA246" s="70" t="s">
        <v>210</v>
      </c>
      <c r="AB246" s="64" t="str">
        <f>IF(AC246&lt;&gt;0,VLOOKUP(AC246,DM_DUAN,3,0),"")</f>
        <v/>
      </c>
      <c r="AC246" s="70"/>
      <c r="AD246" s="64" t="str">
        <f>IF(AC246&lt;&gt;0,VLOOKUP(AC246,DM_NV,2,0),"")</f>
        <v/>
      </c>
      <c r="AE246" s="83" t="s">
        <v>343</v>
      </c>
      <c r="AF246" s="64" t="str">
        <f>IF(AE246&lt;&gt;0,VLOOKUP(AE246,DM_NV,2,0),"")</f>
        <v>#N/A</v>
      </c>
    </row>
    <row r="247">
      <c r="A247" s="51"/>
      <c r="B247" s="52"/>
      <c r="C247" s="53" t="str">
        <f t="shared" si="2"/>
        <v>02/2022</v>
      </c>
      <c r="D247" s="99">
        <v>44615.0</v>
      </c>
      <c r="E247" s="55" t="s">
        <v>402</v>
      </c>
      <c r="F247" s="56"/>
      <c r="G247" s="57" t="s">
        <v>342</v>
      </c>
      <c r="H247" s="58" t="str">
        <f>IF(G247="","",VLOOKUP($G247,'Quy chuẩn hạch toán'!$B:$E,2,0))</f>
        <v>331</v>
      </c>
      <c r="I247" s="58" t="str">
        <f>IF(H247="","",VLOOKUP($G247,'Quy chuẩn hạch toán'!$B:$E,3,0))</f>
        <v>1111</v>
      </c>
      <c r="J247" s="59">
        <v>476190.0</v>
      </c>
      <c r="K247" s="60"/>
      <c r="L247" s="61"/>
      <c r="M247" s="62"/>
      <c r="N247" s="63"/>
      <c r="O247" s="64" t="str">
        <f>IF($Q247&lt;&gt;0,VLOOKUP($Q247,DM_KM,3,0),"")</f>
        <v/>
      </c>
      <c r="P247" s="64" t="str">
        <f>IF($Q247&lt;&gt;0,VLOOKUP($Q247,DM_KM,5,0),"")</f>
        <v/>
      </c>
      <c r="Q247" s="65"/>
      <c r="R247" s="64" t="str">
        <f>IF(S247&lt;&gt;0,VLOOKUP(S247,DM_DUAN,3,0),"")</f>
        <v>#N/A</v>
      </c>
      <c r="S247" s="66" t="str">
        <f>IF(U247&lt;&gt;0,VLOOKUP(U247,DM_DUAN,3,0),"")</f>
        <v/>
      </c>
      <c r="T247" s="64"/>
      <c r="U247" s="93"/>
      <c r="V247" s="64" t="str">
        <f>IF(W247&lt;&gt;0,VLOOKUP(W247,DM_DUAN,3,0),"")</f>
        <v/>
      </c>
      <c r="W247" s="68"/>
      <c r="X247" s="64" t="str">
        <f>IF(Y247&lt;&gt;0,VLOOKUP(Y247,DM_DUAN,3,0),"")</f>
        <v>#N/A</v>
      </c>
      <c r="Y247" s="69" t="s">
        <v>176</v>
      </c>
      <c r="Z247" s="64" t="str">
        <f>IF(AA247&lt;&gt;0,VLOOKUP(AA247,DM_DUAN,3,0),"")</f>
        <v>#N/A</v>
      </c>
      <c r="AA247" s="70" t="s">
        <v>177</v>
      </c>
      <c r="AB247" s="64" t="str">
        <f>IF(AC247&lt;&gt;0,VLOOKUP(AC247,DM_DUAN,3,0),"")</f>
        <v/>
      </c>
      <c r="AC247" s="70"/>
      <c r="AD247" s="64" t="str">
        <f>IF(AC247&lt;&gt;0,VLOOKUP(AC247,DM_NV,2,0),"")</f>
        <v/>
      </c>
      <c r="AE247" s="83" t="s">
        <v>343</v>
      </c>
      <c r="AF247" s="64" t="str">
        <f>IF(AE247&lt;&gt;0,VLOOKUP(AE247,DM_NV,2,0),"")</f>
        <v>#N/A</v>
      </c>
    </row>
    <row r="248">
      <c r="A248" s="51"/>
      <c r="B248" s="52"/>
      <c r="C248" s="53" t="str">
        <f t="shared" si="2"/>
        <v>02/2022</v>
      </c>
      <c r="D248" s="99">
        <v>44615.0</v>
      </c>
      <c r="E248" s="55" t="s">
        <v>402</v>
      </c>
      <c r="F248" s="56"/>
      <c r="G248" s="57" t="s">
        <v>342</v>
      </c>
      <c r="H248" s="58" t="str">
        <f>IF(G248="","",VLOOKUP($G248,'Quy chuẩn hạch toán'!$B:$E,2,0))</f>
        <v>331</v>
      </c>
      <c r="I248" s="58" t="str">
        <f>IF(H248="","",VLOOKUP($G248,'Quy chuẩn hạch toán'!$B:$E,3,0))</f>
        <v>1111</v>
      </c>
      <c r="J248" s="59">
        <v>952381.0</v>
      </c>
      <c r="K248" s="60"/>
      <c r="L248" s="61"/>
      <c r="M248" s="62"/>
      <c r="N248" s="63"/>
      <c r="O248" s="64" t="str">
        <f>IF($Q248&lt;&gt;0,VLOOKUP($Q248,DM_KM,3,0),"")</f>
        <v/>
      </c>
      <c r="P248" s="64" t="str">
        <f>IF($Q248&lt;&gt;0,VLOOKUP($Q248,DM_KM,5,0),"")</f>
        <v/>
      </c>
      <c r="Q248" s="65"/>
      <c r="R248" s="64" t="str">
        <f>IF(S248&lt;&gt;0,VLOOKUP(S248,DM_DUAN,3,0),"")</f>
        <v>#N/A</v>
      </c>
      <c r="S248" s="66" t="str">
        <f>IF(U248&lt;&gt;0,VLOOKUP(U248,DM_DUAN,3,0),"")</f>
        <v/>
      </c>
      <c r="T248" s="64"/>
      <c r="U248" s="93"/>
      <c r="V248" s="64" t="str">
        <f>IF(W248&lt;&gt;0,VLOOKUP(W248,DM_DUAN,3,0),"")</f>
        <v/>
      </c>
      <c r="W248" s="68"/>
      <c r="X248" s="64" t="str">
        <f>IF(Y248&lt;&gt;0,VLOOKUP(Y248,DM_DUAN,3,0),"")</f>
        <v>#N/A</v>
      </c>
      <c r="Y248" s="69" t="s">
        <v>176</v>
      </c>
      <c r="Z248" s="64" t="str">
        <f>IF(AA248&lt;&gt;0,VLOOKUP(AA248,DM_DUAN,3,0),"")</f>
        <v>#N/A</v>
      </c>
      <c r="AA248" s="70" t="s">
        <v>183</v>
      </c>
      <c r="AB248" s="64" t="str">
        <f>IF(AC248&lt;&gt;0,VLOOKUP(AC248,DM_DUAN,3,0),"")</f>
        <v/>
      </c>
      <c r="AC248" s="85"/>
      <c r="AD248" s="64" t="str">
        <f>IF(AC248&lt;&gt;0,VLOOKUP(AC248,DM_NV,2,0),"")</f>
        <v/>
      </c>
      <c r="AE248" s="83" t="s">
        <v>343</v>
      </c>
      <c r="AF248" s="64" t="str">
        <f>IF(AE248&lt;&gt;0,VLOOKUP(AE248,DM_NV,2,0),"")</f>
        <v>#N/A</v>
      </c>
    </row>
    <row r="249">
      <c r="A249" s="51"/>
      <c r="B249" s="52"/>
      <c r="C249" s="53" t="str">
        <f t="shared" si="2"/>
        <v>02/2022</v>
      </c>
      <c r="D249" s="121">
        <v>44615.0</v>
      </c>
      <c r="E249" s="122" t="s">
        <v>403</v>
      </c>
      <c r="F249" s="123"/>
      <c r="G249" s="57" t="s">
        <v>173</v>
      </c>
      <c r="H249" s="58" t="str">
        <f>IF(G249="","",VLOOKUP($G249,'Quy chuẩn hạch toán'!$B:$E,2,0))</f>
        <v>641</v>
      </c>
      <c r="I249" s="58" t="str">
        <f>IF(H249="","",VLOOKUP($G249,'Quy chuẩn hạch toán'!$B:$E,3,0))</f>
        <v>331</v>
      </c>
      <c r="J249" s="124">
        <v>988000.0</v>
      </c>
      <c r="K249" s="60"/>
      <c r="L249" s="61"/>
      <c r="M249" s="62"/>
      <c r="N249" s="63"/>
      <c r="O249" s="64" t="str">
        <f>IF($Q249&lt;&gt;0,VLOOKUP($Q249,DM_KM,3,0),"")</f>
        <v>#N/A</v>
      </c>
      <c r="P249" s="64" t="str">
        <f>IF($Q249&lt;&gt;0,VLOOKUP($Q249,DM_KM,5,0),"")</f>
        <v>#N/A</v>
      </c>
      <c r="Q249" s="65" t="s">
        <v>174</v>
      </c>
      <c r="R249" s="64" t="str">
        <f>IF(S249&lt;&gt;0,VLOOKUP(S249,DM_DUAN,3,0),"")</f>
        <v>#N/A</v>
      </c>
      <c r="S249" s="66" t="str">
        <f>IF(U249&lt;&gt;0,VLOOKUP(U249,DM_DUAN,3,0),"")</f>
        <v>PHUGIATHINH</v>
      </c>
      <c r="T249" s="64"/>
      <c r="U249" s="67" t="s">
        <v>404</v>
      </c>
      <c r="V249" s="64" t="str">
        <f>IF(W249&lt;&gt;0,VLOOKUP(W249,DM_DUAN,3,0),"")</f>
        <v/>
      </c>
      <c r="W249" s="68"/>
      <c r="X249" s="64" t="str">
        <f>IF(Y249&lt;&gt;0,VLOOKUP(Y249,DM_DUAN,3,0),"")</f>
        <v>#N/A</v>
      </c>
      <c r="Y249" s="69" t="s">
        <v>176</v>
      </c>
      <c r="Z249" s="64" t="str">
        <f>IF(AA249&lt;&gt;0,VLOOKUP(AA249,DM_DUAN,3,0),"")</f>
        <v>#N/A</v>
      </c>
      <c r="AA249" s="70" t="s">
        <v>177</v>
      </c>
      <c r="AB249" s="64" t="str">
        <f>IF(AC249&lt;&gt;0,VLOOKUP(AC249,DM_DUAN,3,0),"")</f>
        <v>#N/A</v>
      </c>
      <c r="AC249" s="70" t="s">
        <v>178</v>
      </c>
      <c r="AD249" s="64" t="str">
        <f>IF(AC249&lt;&gt;0,VLOOKUP(AC249,DM_NV,2,0),"")</f>
        <v>Lê Hoàng Quân</v>
      </c>
      <c r="AE249" s="68"/>
      <c r="AF249" s="64" t="str">
        <f>IF(AE249&lt;&gt;0,VLOOKUP(AE249,DM_NV,2,0),"")</f>
        <v/>
      </c>
    </row>
    <row r="250">
      <c r="A250" s="51"/>
      <c r="B250" s="52"/>
      <c r="C250" s="53" t="str">
        <f t="shared" si="2"/>
        <v>02/2022</v>
      </c>
      <c r="D250" s="121">
        <v>44615.0</v>
      </c>
      <c r="E250" s="122" t="s">
        <v>405</v>
      </c>
      <c r="F250" s="123"/>
      <c r="G250" s="57" t="s">
        <v>173</v>
      </c>
      <c r="H250" s="58" t="str">
        <f>IF(G250="","",VLOOKUP($G250,'Quy chuẩn hạch toán'!$B:$E,2,0))</f>
        <v>641</v>
      </c>
      <c r="I250" s="58" t="str">
        <f>IF(H250="","",VLOOKUP($G250,'Quy chuẩn hạch toán'!$B:$E,3,0))</f>
        <v>331</v>
      </c>
      <c r="J250" s="124">
        <v>1324000.0</v>
      </c>
      <c r="K250" s="60"/>
      <c r="L250" s="61"/>
      <c r="M250" s="62"/>
      <c r="N250" s="63"/>
      <c r="O250" s="64" t="str">
        <f>IF($Q250&lt;&gt;0,VLOOKUP($Q250,DM_KM,3,0),"")</f>
        <v>#N/A</v>
      </c>
      <c r="P250" s="64" t="str">
        <f>IF($Q250&lt;&gt;0,VLOOKUP($Q250,DM_KM,5,0),"")</f>
        <v>#N/A</v>
      </c>
      <c r="Q250" s="65" t="s">
        <v>174</v>
      </c>
      <c r="R250" s="64" t="str">
        <f>IF(S250&lt;&gt;0,VLOOKUP(S250,DM_DUAN,3,0),"")</f>
        <v>#N/A</v>
      </c>
      <c r="S250" s="66" t="str">
        <f>IF(U250&lt;&gt;0,VLOOKUP(U250,DM_DUAN,3,0),"")</f>
        <v>THANHNAM</v>
      </c>
      <c r="T250" s="64"/>
      <c r="U250" s="67" t="s">
        <v>175</v>
      </c>
      <c r="V250" s="64" t="str">
        <f>IF(W250&lt;&gt;0,VLOOKUP(W250,DM_DUAN,3,0),"")</f>
        <v/>
      </c>
      <c r="W250" s="68"/>
      <c r="X250" s="64" t="str">
        <f>IF(Y250&lt;&gt;0,VLOOKUP(Y250,DM_DUAN,3,0),"")</f>
        <v>#N/A</v>
      </c>
      <c r="Y250" s="69" t="s">
        <v>176</v>
      </c>
      <c r="Z250" s="64" t="str">
        <f>IF(AA250&lt;&gt;0,VLOOKUP(AA250,DM_DUAN,3,0),"")</f>
        <v>#N/A</v>
      </c>
      <c r="AA250" s="70" t="s">
        <v>183</v>
      </c>
      <c r="AB250" s="64" t="str">
        <f>IF(AC250&lt;&gt;0,VLOOKUP(AC250,DM_DUAN,3,0),"")</f>
        <v>#N/A</v>
      </c>
      <c r="AC250" s="70" t="s">
        <v>406</v>
      </c>
      <c r="AD250" s="64" t="str">
        <f>IF(AC250&lt;&gt;0,VLOOKUP(AC250,DM_NV,2,0),"")</f>
        <v>Bùi Thị Yến Nhi</v>
      </c>
      <c r="AE250" s="68"/>
      <c r="AF250" s="64" t="str">
        <f>IF(AE250&lt;&gt;0,VLOOKUP(AE250,DM_NV,2,0),"")</f>
        <v/>
      </c>
    </row>
    <row r="251">
      <c r="A251" s="51"/>
      <c r="B251" s="52"/>
      <c r="C251" s="53" t="str">
        <f t="shared" si="2"/>
        <v>02/2022</v>
      </c>
      <c r="D251" s="99">
        <v>44616.0</v>
      </c>
      <c r="E251" s="55" t="s">
        <v>407</v>
      </c>
      <c r="F251" s="56"/>
      <c r="G251" s="57" t="s">
        <v>205</v>
      </c>
      <c r="H251" s="58" t="str">
        <f>IF(G251="","",VLOOKUP($G251,'Quy chuẩn hạch toán'!$B:$E,2,0))</f>
        <v>642</v>
      </c>
      <c r="I251" s="58" t="str">
        <f>IF(H251="","",VLOOKUP($G251,'Quy chuẩn hạch toán'!$B:$E,3,0))</f>
        <v>1111</v>
      </c>
      <c r="J251" s="59">
        <v>10476.0</v>
      </c>
      <c r="K251" s="60"/>
      <c r="L251" s="61"/>
      <c r="M251" s="62"/>
      <c r="N251" s="63"/>
      <c r="O251" s="64" t="str">
        <f>IF($Q251&lt;&gt;0,VLOOKUP($Q251,DM_KM,3,0),"")</f>
        <v>#N/A</v>
      </c>
      <c r="P251" s="64" t="str">
        <f>IF($Q251&lt;&gt;0,VLOOKUP($Q251,DM_KM,5,0),"")</f>
        <v>#N/A</v>
      </c>
      <c r="Q251" s="65" t="s">
        <v>222</v>
      </c>
      <c r="R251" s="64" t="str">
        <f>IF(S251&lt;&gt;0,VLOOKUP(S251,DM_DUAN,3,0),"")</f>
        <v>#N/A</v>
      </c>
      <c r="S251" s="66" t="str">
        <f>IF(U251&lt;&gt;0,VLOOKUP(U251,DM_DUAN,3,0),"")</f>
        <v/>
      </c>
      <c r="T251" s="64"/>
      <c r="U251" s="93"/>
      <c r="V251" s="64" t="str">
        <f>IF(W251&lt;&gt;0,VLOOKUP(W251,DM_DUAN,3,0),"")</f>
        <v/>
      </c>
      <c r="W251" s="68"/>
      <c r="X251" s="64" t="str">
        <f>IF(Y251&lt;&gt;0,VLOOKUP(Y251,DM_DUAN,3,0),"")</f>
        <v>#N/A</v>
      </c>
      <c r="Y251" s="69" t="s">
        <v>207</v>
      </c>
      <c r="Z251" s="64" t="str">
        <f>IF(AA251&lt;&gt;0,VLOOKUP(AA251,DM_DUAN,3,0),"")</f>
        <v>#N/A</v>
      </c>
      <c r="AA251" s="70" t="s">
        <v>208</v>
      </c>
      <c r="AB251" s="64" t="str">
        <f>IF(AC251&lt;&gt;0,VLOOKUP(AC251,DM_DUAN,3,0),"")</f>
        <v/>
      </c>
      <c r="AC251" s="70"/>
      <c r="AD251" s="64" t="str">
        <f>IF(AC251&lt;&gt;0,VLOOKUP(AC251,DM_NV,2,0),"")</f>
        <v/>
      </c>
      <c r="AE251" s="83" t="s">
        <v>223</v>
      </c>
      <c r="AF251" s="64" t="str">
        <f>IF(AE251&lt;&gt;0,VLOOKUP(AE251,DM_NV,2,0),"")</f>
        <v>#N/A</v>
      </c>
    </row>
    <row r="252">
      <c r="A252" s="51"/>
      <c r="B252" s="52"/>
      <c r="C252" s="53" t="str">
        <f t="shared" si="2"/>
        <v>02/2022</v>
      </c>
      <c r="D252" s="99">
        <v>44616.0</v>
      </c>
      <c r="E252" s="55" t="s">
        <v>407</v>
      </c>
      <c r="F252" s="56"/>
      <c r="G252" s="57" t="s">
        <v>205</v>
      </c>
      <c r="H252" s="58" t="str">
        <f>IF(G252="","",VLOOKUP($G252,'Quy chuẩn hạch toán'!$B:$E,2,0))</f>
        <v>642</v>
      </c>
      <c r="I252" s="58" t="str">
        <f>IF(H252="","",VLOOKUP($G252,'Quy chuẩn hạch toán'!$B:$E,3,0))</f>
        <v>1111</v>
      </c>
      <c r="J252" s="59">
        <v>20952.0</v>
      </c>
      <c r="K252" s="60"/>
      <c r="L252" s="61"/>
      <c r="M252" s="62"/>
      <c r="N252" s="63"/>
      <c r="O252" s="64" t="str">
        <f>IF($Q252&lt;&gt;0,VLOOKUP($Q252,DM_KM,3,0),"")</f>
        <v>#N/A</v>
      </c>
      <c r="P252" s="64" t="str">
        <f>IF($Q252&lt;&gt;0,VLOOKUP($Q252,DM_KM,5,0),"")</f>
        <v>#N/A</v>
      </c>
      <c r="Q252" s="65" t="s">
        <v>222</v>
      </c>
      <c r="R252" s="64" t="str">
        <f>IF(S252&lt;&gt;0,VLOOKUP(S252,DM_DUAN,3,0),"")</f>
        <v>#N/A</v>
      </c>
      <c r="S252" s="66" t="str">
        <f>IF(U252&lt;&gt;0,VLOOKUP(U252,DM_DUAN,3,0),"")</f>
        <v/>
      </c>
      <c r="T252" s="64"/>
      <c r="U252" s="93"/>
      <c r="V252" s="64" t="str">
        <f>IF(W252&lt;&gt;0,VLOOKUP(W252,DM_DUAN,3,0),"")</f>
        <v/>
      </c>
      <c r="W252" s="68"/>
      <c r="X252" s="64" t="str">
        <f>IF(Y252&lt;&gt;0,VLOOKUP(Y252,DM_DUAN,3,0),"")</f>
        <v>#N/A</v>
      </c>
      <c r="Y252" s="69" t="s">
        <v>207</v>
      </c>
      <c r="Z252" s="64" t="str">
        <f>IF(AA252&lt;&gt;0,VLOOKUP(AA252,DM_DUAN,3,0),"")</f>
        <v>#N/A</v>
      </c>
      <c r="AA252" s="70" t="s">
        <v>210</v>
      </c>
      <c r="AB252" s="64" t="str">
        <f>IF(AC252&lt;&gt;0,VLOOKUP(AC252,DM_DUAN,3,0),"")</f>
        <v/>
      </c>
      <c r="AC252" s="70"/>
      <c r="AD252" s="64" t="str">
        <f>IF(AC252&lt;&gt;0,VLOOKUP(AC252,DM_NV,2,0),"")</f>
        <v/>
      </c>
      <c r="AE252" s="83" t="s">
        <v>223</v>
      </c>
      <c r="AF252" s="64" t="str">
        <f>IF(AE252&lt;&gt;0,VLOOKUP(AE252,DM_NV,2,0),"")</f>
        <v>#N/A</v>
      </c>
    </row>
    <row r="253">
      <c r="A253" s="51"/>
      <c r="B253" s="52"/>
      <c r="C253" s="53" t="str">
        <f t="shared" si="2"/>
        <v>02/2022</v>
      </c>
      <c r="D253" s="99">
        <v>44616.0</v>
      </c>
      <c r="E253" s="55" t="s">
        <v>407</v>
      </c>
      <c r="F253" s="56"/>
      <c r="G253" s="57" t="s">
        <v>205</v>
      </c>
      <c r="H253" s="58" t="str">
        <f>IF(G253="","",VLOOKUP($G253,'Quy chuẩn hạch toán'!$B:$E,2,0))</f>
        <v>642</v>
      </c>
      <c r="I253" s="58" t="str">
        <f>IF(H253="","",VLOOKUP($G253,'Quy chuẩn hạch toán'!$B:$E,3,0))</f>
        <v>1111</v>
      </c>
      <c r="J253" s="59">
        <v>26190.0</v>
      </c>
      <c r="K253" s="60"/>
      <c r="L253" s="61"/>
      <c r="M253" s="62"/>
      <c r="N253" s="63"/>
      <c r="O253" s="64" t="str">
        <f>IF($Q253&lt;&gt;0,VLOOKUP($Q253,DM_KM,3,0),"")</f>
        <v>#N/A</v>
      </c>
      <c r="P253" s="64" t="str">
        <f>IF($Q253&lt;&gt;0,VLOOKUP($Q253,DM_KM,5,0),"")</f>
        <v>#N/A</v>
      </c>
      <c r="Q253" s="65" t="s">
        <v>222</v>
      </c>
      <c r="R253" s="64" t="str">
        <f>IF(S253&lt;&gt;0,VLOOKUP(S253,DM_DUAN,3,0),"")</f>
        <v>#N/A</v>
      </c>
      <c r="S253" s="66" t="str">
        <f>IF(U253&lt;&gt;0,VLOOKUP(U253,DM_DUAN,3,0),"")</f>
        <v/>
      </c>
      <c r="T253" s="64"/>
      <c r="U253" s="93"/>
      <c r="V253" s="64" t="str">
        <f>IF(W253&lt;&gt;0,VLOOKUP(W253,DM_DUAN,3,0),"")</f>
        <v/>
      </c>
      <c r="W253" s="68"/>
      <c r="X253" s="64" t="str">
        <f>IF(Y253&lt;&gt;0,VLOOKUP(Y253,DM_DUAN,3,0),"")</f>
        <v>#N/A</v>
      </c>
      <c r="Y253" s="69" t="s">
        <v>207</v>
      </c>
      <c r="Z253" s="64" t="str">
        <f>IF(AA253&lt;&gt;0,VLOOKUP(AA253,DM_DUAN,3,0),"")</f>
        <v>#N/A</v>
      </c>
      <c r="AA253" s="70" t="s">
        <v>177</v>
      </c>
      <c r="AB253" s="64" t="str">
        <f>IF(AC253&lt;&gt;0,VLOOKUP(AC253,DM_DUAN,3,0),"")</f>
        <v/>
      </c>
      <c r="AC253" s="70"/>
      <c r="AD253" s="64" t="str">
        <f>IF(AC253&lt;&gt;0,VLOOKUP(AC253,DM_NV,2,0),"")</f>
        <v/>
      </c>
      <c r="AE253" s="83" t="s">
        <v>223</v>
      </c>
      <c r="AF253" s="64" t="str">
        <f>IF(AE253&lt;&gt;0,VLOOKUP(AE253,DM_NV,2,0),"")</f>
        <v>#N/A</v>
      </c>
    </row>
    <row r="254">
      <c r="A254" s="51"/>
      <c r="B254" s="52"/>
      <c r="C254" s="53" t="str">
        <f t="shared" si="2"/>
        <v>02/2022</v>
      </c>
      <c r="D254" s="99">
        <v>44616.0</v>
      </c>
      <c r="E254" s="55" t="s">
        <v>407</v>
      </c>
      <c r="F254" s="56"/>
      <c r="G254" s="57" t="s">
        <v>205</v>
      </c>
      <c r="H254" s="58" t="str">
        <f>IF(G254="","",VLOOKUP($G254,'Quy chuẩn hạch toán'!$B:$E,2,0))</f>
        <v>642</v>
      </c>
      <c r="I254" s="58" t="str">
        <f>IF(H254="","",VLOOKUP($G254,'Quy chuẩn hạch toán'!$B:$E,3,0))</f>
        <v>1111</v>
      </c>
      <c r="J254" s="59">
        <v>52381.0</v>
      </c>
      <c r="K254" s="60"/>
      <c r="L254" s="61"/>
      <c r="M254" s="62"/>
      <c r="N254" s="63"/>
      <c r="O254" s="64" t="str">
        <f>IF($Q254&lt;&gt;0,VLOOKUP($Q254,DM_KM,3,0),"")</f>
        <v>#N/A</v>
      </c>
      <c r="P254" s="64" t="str">
        <f>IF($Q254&lt;&gt;0,VLOOKUP($Q254,DM_KM,5,0),"")</f>
        <v>#N/A</v>
      </c>
      <c r="Q254" s="65" t="s">
        <v>222</v>
      </c>
      <c r="R254" s="64" t="str">
        <f>IF(S254&lt;&gt;0,VLOOKUP(S254,DM_DUAN,3,0),"")</f>
        <v>#N/A</v>
      </c>
      <c r="S254" s="66" t="str">
        <f>IF(U254&lt;&gt;0,VLOOKUP(U254,DM_DUAN,3,0),"")</f>
        <v/>
      </c>
      <c r="T254" s="64"/>
      <c r="U254" s="93"/>
      <c r="V254" s="64" t="str">
        <f>IF(W254&lt;&gt;0,VLOOKUP(W254,DM_DUAN,3,0),"")</f>
        <v/>
      </c>
      <c r="W254" s="68"/>
      <c r="X254" s="64" t="str">
        <f>IF(Y254&lt;&gt;0,VLOOKUP(Y254,DM_DUAN,3,0),"")</f>
        <v>#N/A</v>
      </c>
      <c r="Y254" s="69" t="s">
        <v>207</v>
      </c>
      <c r="Z254" s="64" t="str">
        <f>IF(AA254&lt;&gt;0,VLOOKUP(AA254,DM_DUAN,3,0),"")</f>
        <v>#N/A</v>
      </c>
      <c r="AA254" s="70" t="s">
        <v>183</v>
      </c>
      <c r="AB254" s="64" t="str">
        <f>IF(AC254&lt;&gt;0,VLOOKUP(AC254,DM_DUAN,3,0),"")</f>
        <v/>
      </c>
      <c r="AC254" s="85"/>
      <c r="AD254" s="64" t="str">
        <f>IF(AC254&lt;&gt;0,VLOOKUP(AC254,DM_NV,2,0),"")</f>
        <v/>
      </c>
      <c r="AE254" s="83" t="s">
        <v>223</v>
      </c>
      <c r="AF254" s="64" t="str">
        <f>IF(AE254&lt;&gt;0,VLOOKUP(AE254,DM_NV,2,0),"")</f>
        <v>#N/A</v>
      </c>
    </row>
    <row r="255">
      <c r="A255" s="51"/>
      <c r="B255" s="52"/>
      <c r="C255" s="53" t="str">
        <f t="shared" si="2"/>
        <v>02/2022</v>
      </c>
      <c r="D255" s="121">
        <v>44616.0</v>
      </c>
      <c r="E255" s="122" t="s">
        <v>408</v>
      </c>
      <c r="F255" s="123"/>
      <c r="G255" s="57" t="s">
        <v>173</v>
      </c>
      <c r="H255" s="58" t="str">
        <f>IF(G255="","",VLOOKUP($G255,'Quy chuẩn hạch toán'!$B:$E,2,0))</f>
        <v>641</v>
      </c>
      <c r="I255" s="58" t="str">
        <f>IF(H255="","",VLOOKUP($G255,'Quy chuẩn hạch toán'!$B:$E,3,0))</f>
        <v>331</v>
      </c>
      <c r="J255" s="124">
        <v>1226000.0</v>
      </c>
      <c r="K255" s="60"/>
      <c r="L255" s="61"/>
      <c r="M255" s="62"/>
      <c r="N255" s="63"/>
      <c r="O255" s="64" t="str">
        <f>IF($Q255&lt;&gt;0,VLOOKUP($Q255,DM_KM,3,0),"")</f>
        <v>#N/A</v>
      </c>
      <c r="P255" s="64" t="str">
        <f>IF($Q255&lt;&gt;0,VLOOKUP($Q255,DM_KM,5,0),"")</f>
        <v>#N/A</v>
      </c>
      <c r="Q255" s="65" t="s">
        <v>174</v>
      </c>
      <c r="R255" s="64" t="str">
        <f>IF(S255&lt;&gt;0,VLOOKUP(S255,DM_DUAN,3,0),"")</f>
        <v>#N/A</v>
      </c>
      <c r="S255" s="66" t="str">
        <f>IF(U255&lt;&gt;0,VLOOKUP(U255,DM_DUAN,3,0),"")</f>
        <v>NAMSAIGON</v>
      </c>
      <c r="T255" s="64"/>
      <c r="U255" s="67" t="s">
        <v>215</v>
      </c>
      <c r="V255" s="64" t="str">
        <f>IF(W255&lt;&gt;0,VLOOKUP(W255,DM_DUAN,3,0),"")</f>
        <v/>
      </c>
      <c r="W255" s="68"/>
      <c r="X255" s="64" t="str">
        <f>IF(Y255&lt;&gt;0,VLOOKUP(Y255,DM_DUAN,3,0),"")</f>
        <v>#N/A</v>
      </c>
      <c r="Y255" s="69" t="s">
        <v>176</v>
      </c>
      <c r="Z255" s="64" t="str">
        <f>IF(AA255&lt;&gt;0,VLOOKUP(AA255,DM_DUAN,3,0),"")</f>
        <v>#N/A</v>
      </c>
      <c r="AA255" s="70" t="s">
        <v>183</v>
      </c>
      <c r="AB255" s="64" t="str">
        <f>IF(AC255&lt;&gt;0,VLOOKUP(AC255,DM_DUAN,3,0),"")</f>
        <v>#N/A</v>
      </c>
      <c r="AC255" s="70" t="s">
        <v>232</v>
      </c>
      <c r="AD255" s="64" t="str">
        <f>IF(AC255&lt;&gt;0,VLOOKUP(AC255,DM_NV,2,0),"")</f>
        <v>Lê Quốc Tuấn</v>
      </c>
      <c r="AE255" s="68"/>
      <c r="AF255" s="64" t="str">
        <f>IF(AE255&lt;&gt;0,VLOOKUP(AE255,DM_NV,2,0),"")</f>
        <v/>
      </c>
    </row>
    <row r="256">
      <c r="A256" s="51"/>
      <c r="B256" s="52"/>
      <c r="C256" s="53" t="str">
        <f t="shared" si="2"/>
        <v>02/2022</v>
      </c>
      <c r="D256" s="99">
        <v>44617.0</v>
      </c>
      <c r="E256" s="55" t="s">
        <v>409</v>
      </c>
      <c r="F256" s="56"/>
      <c r="G256" s="57" t="s">
        <v>205</v>
      </c>
      <c r="H256" s="58" t="str">
        <f>IF(G256="","",VLOOKUP($G256,'Quy chuẩn hạch toán'!$B:$E,2,0))</f>
        <v>642</v>
      </c>
      <c r="I256" s="58" t="str">
        <f>IF(H256="","",VLOOKUP($G256,'Quy chuẩn hạch toán'!$B:$E,3,0))</f>
        <v>1111</v>
      </c>
      <c r="J256" s="59">
        <v>142762.0</v>
      </c>
      <c r="K256" s="60"/>
      <c r="L256" s="61"/>
      <c r="M256" s="62"/>
      <c r="N256" s="63"/>
      <c r="O256" s="64" t="str">
        <f>IF($Q256&lt;&gt;0,VLOOKUP($Q256,DM_KM,3,0),"")</f>
        <v>#N/A</v>
      </c>
      <c r="P256" s="64" t="str">
        <f>IF($Q256&lt;&gt;0,VLOOKUP($Q256,DM_KM,5,0),"")</f>
        <v>#N/A</v>
      </c>
      <c r="Q256" s="65" t="s">
        <v>410</v>
      </c>
      <c r="R256" s="64" t="str">
        <f>IF(S256&lt;&gt;0,VLOOKUP(S256,DM_DUAN,3,0),"")</f>
        <v>#N/A</v>
      </c>
      <c r="S256" s="66" t="str">
        <f>IF(U256&lt;&gt;0,VLOOKUP(U256,DM_DUAN,3,0),"")</f>
        <v/>
      </c>
      <c r="T256" s="64"/>
      <c r="U256" s="93"/>
      <c r="V256" s="64" t="str">
        <f>IF(W256&lt;&gt;0,VLOOKUP(W256,DM_DUAN,3,0),"")</f>
        <v/>
      </c>
      <c r="W256" s="68"/>
      <c r="X256" s="64" t="str">
        <f>IF(Y256&lt;&gt;0,VLOOKUP(Y256,DM_DUAN,3,0),"")</f>
        <v>#N/A</v>
      </c>
      <c r="Y256" s="69" t="s">
        <v>304</v>
      </c>
      <c r="Z256" s="64" t="str">
        <f>IF(AA256&lt;&gt;0,VLOOKUP(AA256,DM_DUAN,3,0),"")</f>
        <v>#N/A</v>
      </c>
      <c r="AA256" s="70" t="s">
        <v>208</v>
      </c>
      <c r="AB256" s="64" t="str">
        <f>IF(AC256&lt;&gt;0,VLOOKUP(AC256,DM_DUAN,3,0),"")</f>
        <v/>
      </c>
      <c r="AC256" s="70"/>
      <c r="AD256" s="64" t="str">
        <f>IF(AC256&lt;&gt;0,VLOOKUP(AC256,DM_NV,2,0),"")</f>
        <v/>
      </c>
      <c r="AE256" s="83" t="s">
        <v>411</v>
      </c>
      <c r="AF256" s="64" t="str">
        <f>IF(AE256&lt;&gt;0,VLOOKUP(AE256,DM_NV,2,0),"")</f>
        <v>#N/A</v>
      </c>
    </row>
    <row r="257">
      <c r="A257" s="51"/>
      <c r="B257" s="52"/>
      <c r="C257" s="53" t="str">
        <f t="shared" si="2"/>
        <v>02/2022</v>
      </c>
      <c r="D257" s="99">
        <v>44617.0</v>
      </c>
      <c r="E257" s="55" t="s">
        <v>409</v>
      </c>
      <c r="F257" s="56"/>
      <c r="G257" s="57" t="s">
        <v>205</v>
      </c>
      <c r="H257" s="58" t="str">
        <f>IF(G257="","",VLOOKUP($G257,'Quy chuẩn hạch toán'!$B:$E,2,0))</f>
        <v>642</v>
      </c>
      <c r="I257" s="58" t="str">
        <f>IF(H257="","",VLOOKUP($G257,'Quy chuẩn hạch toán'!$B:$E,3,0))</f>
        <v>1111</v>
      </c>
      <c r="J257" s="59">
        <v>285524.0</v>
      </c>
      <c r="K257" s="60"/>
      <c r="L257" s="61"/>
      <c r="M257" s="62"/>
      <c r="N257" s="63"/>
      <c r="O257" s="64" t="str">
        <f>IF($Q257&lt;&gt;0,VLOOKUP($Q257,DM_KM,3,0),"")</f>
        <v>#N/A</v>
      </c>
      <c r="P257" s="64" t="str">
        <f>IF($Q257&lt;&gt;0,VLOOKUP($Q257,DM_KM,5,0),"")</f>
        <v>#N/A</v>
      </c>
      <c r="Q257" s="65" t="s">
        <v>410</v>
      </c>
      <c r="R257" s="64" t="str">
        <f>IF(S257&lt;&gt;0,VLOOKUP(S257,DM_DUAN,3,0),"")</f>
        <v>#N/A</v>
      </c>
      <c r="S257" s="66" t="str">
        <f>IF(U257&lt;&gt;0,VLOOKUP(U257,DM_DUAN,3,0),"")</f>
        <v/>
      </c>
      <c r="T257" s="64"/>
      <c r="U257" s="93"/>
      <c r="V257" s="64" t="str">
        <f>IF(W257&lt;&gt;0,VLOOKUP(W257,DM_DUAN,3,0),"")</f>
        <v/>
      </c>
      <c r="W257" s="68"/>
      <c r="X257" s="64" t="str">
        <f>IF(Y257&lt;&gt;0,VLOOKUP(Y257,DM_DUAN,3,0),"")</f>
        <v>#N/A</v>
      </c>
      <c r="Y257" s="69" t="s">
        <v>304</v>
      </c>
      <c r="Z257" s="64" t="str">
        <f>IF(AA257&lt;&gt;0,VLOOKUP(AA257,DM_DUAN,3,0),"")</f>
        <v>#N/A</v>
      </c>
      <c r="AA257" s="70" t="s">
        <v>210</v>
      </c>
      <c r="AB257" s="64" t="str">
        <f>IF(AC257&lt;&gt;0,VLOOKUP(AC257,DM_DUAN,3,0),"")</f>
        <v/>
      </c>
      <c r="AC257" s="70"/>
      <c r="AD257" s="64" t="str">
        <f>IF(AC257&lt;&gt;0,VLOOKUP(AC257,DM_NV,2,0),"")</f>
        <v/>
      </c>
      <c r="AE257" s="83" t="s">
        <v>411</v>
      </c>
      <c r="AF257" s="64" t="str">
        <f>IF(AE257&lt;&gt;0,VLOOKUP(AE257,DM_NV,2,0),"")</f>
        <v>#N/A</v>
      </c>
    </row>
    <row r="258">
      <c r="A258" s="51"/>
      <c r="B258" s="52"/>
      <c r="C258" s="53" t="str">
        <f t="shared" si="2"/>
        <v>02/2022</v>
      </c>
      <c r="D258" s="99">
        <v>44617.0</v>
      </c>
      <c r="E258" s="55" t="s">
        <v>409</v>
      </c>
      <c r="F258" s="56"/>
      <c r="G258" s="57" t="s">
        <v>205</v>
      </c>
      <c r="H258" s="58" t="str">
        <f>IF(G258="","",VLOOKUP($G258,'Quy chuẩn hạch toán'!$B:$E,2,0))</f>
        <v>642</v>
      </c>
      <c r="I258" s="58" t="str">
        <f>IF(H258="","",VLOOKUP($G258,'Quy chuẩn hạch toán'!$B:$E,3,0))</f>
        <v>1111</v>
      </c>
      <c r="J258" s="59">
        <v>356905.0</v>
      </c>
      <c r="K258" s="60"/>
      <c r="L258" s="61"/>
      <c r="M258" s="62"/>
      <c r="N258" s="63"/>
      <c r="O258" s="64" t="str">
        <f>IF($Q258&lt;&gt;0,VLOOKUP($Q258,DM_KM,3,0),"")</f>
        <v>#N/A</v>
      </c>
      <c r="P258" s="64" t="str">
        <f>IF($Q258&lt;&gt;0,VLOOKUP($Q258,DM_KM,5,0),"")</f>
        <v>#N/A</v>
      </c>
      <c r="Q258" s="65" t="s">
        <v>410</v>
      </c>
      <c r="R258" s="64" t="str">
        <f>IF(S258&lt;&gt;0,VLOOKUP(S258,DM_DUAN,3,0),"")</f>
        <v>#N/A</v>
      </c>
      <c r="S258" s="66" t="str">
        <f>IF(U258&lt;&gt;0,VLOOKUP(U258,DM_DUAN,3,0),"")</f>
        <v/>
      </c>
      <c r="T258" s="64"/>
      <c r="U258" s="93"/>
      <c r="V258" s="64" t="str">
        <f>IF(W258&lt;&gt;0,VLOOKUP(W258,DM_DUAN,3,0),"")</f>
        <v/>
      </c>
      <c r="W258" s="68"/>
      <c r="X258" s="64" t="str">
        <f>IF(Y258&lt;&gt;0,VLOOKUP(Y258,DM_DUAN,3,0),"")</f>
        <v>#N/A</v>
      </c>
      <c r="Y258" s="69" t="s">
        <v>304</v>
      </c>
      <c r="Z258" s="64" t="str">
        <f>IF(AA258&lt;&gt;0,VLOOKUP(AA258,DM_DUAN,3,0),"")</f>
        <v>#N/A</v>
      </c>
      <c r="AA258" s="70" t="s">
        <v>177</v>
      </c>
      <c r="AB258" s="64" t="str">
        <f>IF(AC258&lt;&gt;0,VLOOKUP(AC258,DM_DUAN,3,0),"")</f>
        <v/>
      </c>
      <c r="AC258" s="70"/>
      <c r="AD258" s="64" t="str">
        <f>IF(AC258&lt;&gt;0,VLOOKUP(AC258,DM_NV,2,0),"")</f>
        <v/>
      </c>
      <c r="AE258" s="83" t="s">
        <v>411</v>
      </c>
      <c r="AF258" s="64" t="str">
        <f>IF(AE258&lt;&gt;0,VLOOKUP(AE258,DM_NV,2,0),"")</f>
        <v>#N/A</v>
      </c>
    </row>
    <row r="259">
      <c r="A259" s="51"/>
      <c r="B259" s="52"/>
      <c r="C259" s="53" t="str">
        <f t="shared" si="2"/>
        <v>02/2022</v>
      </c>
      <c r="D259" s="99">
        <v>44617.0</v>
      </c>
      <c r="E259" s="55" t="s">
        <v>409</v>
      </c>
      <c r="F259" s="56"/>
      <c r="G259" s="57" t="s">
        <v>205</v>
      </c>
      <c r="H259" s="58" t="str">
        <f>IF(G259="","",VLOOKUP($G259,'Quy chuẩn hạch toán'!$B:$E,2,0))</f>
        <v>642</v>
      </c>
      <c r="I259" s="58" t="str">
        <f>IF(H259="","",VLOOKUP($G259,'Quy chuẩn hạch toán'!$B:$E,3,0))</f>
        <v>1111</v>
      </c>
      <c r="J259" s="59">
        <v>713810.0</v>
      </c>
      <c r="K259" s="60"/>
      <c r="L259" s="61"/>
      <c r="M259" s="62"/>
      <c r="N259" s="63"/>
      <c r="O259" s="64" t="str">
        <f>IF($Q259&lt;&gt;0,VLOOKUP($Q259,DM_KM,3,0),"")</f>
        <v>#N/A</v>
      </c>
      <c r="P259" s="64" t="str">
        <f>IF($Q259&lt;&gt;0,VLOOKUP($Q259,DM_KM,5,0),"")</f>
        <v>#N/A</v>
      </c>
      <c r="Q259" s="65" t="s">
        <v>410</v>
      </c>
      <c r="R259" s="64" t="str">
        <f>IF(S259&lt;&gt;0,VLOOKUP(S259,DM_DUAN,3,0),"")</f>
        <v>#N/A</v>
      </c>
      <c r="S259" s="66" t="str">
        <f>IF(U259&lt;&gt;0,VLOOKUP(U259,DM_DUAN,3,0),"")</f>
        <v/>
      </c>
      <c r="T259" s="64"/>
      <c r="U259" s="93"/>
      <c r="V259" s="64" t="str">
        <f>IF(W259&lt;&gt;0,VLOOKUP(W259,DM_DUAN,3,0),"")</f>
        <v/>
      </c>
      <c r="W259" s="68"/>
      <c r="X259" s="64" t="str">
        <f>IF(Y259&lt;&gt;0,VLOOKUP(Y259,DM_DUAN,3,0),"")</f>
        <v>#N/A</v>
      </c>
      <c r="Y259" s="69" t="s">
        <v>304</v>
      </c>
      <c r="Z259" s="64" t="str">
        <f>IF(AA259&lt;&gt;0,VLOOKUP(AA259,DM_DUAN,3,0),"")</f>
        <v>#N/A</v>
      </c>
      <c r="AA259" s="70" t="s">
        <v>183</v>
      </c>
      <c r="AB259" s="64" t="str">
        <f>IF(AC259&lt;&gt;0,VLOOKUP(AC259,DM_DUAN,3,0),"")</f>
        <v/>
      </c>
      <c r="AC259" s="85"/>
      <c r="AD259" s="64" t="str">
        <f>IF(AC259&lt;&gt;0,VLOOKUP(AC259,DM_NV,2,0),"")</f>
        <v/>
      </c>
      <c r="AE259" s="83" t="s">
        <v>411</v>
      </c>
      <c r="AF259" s="64" t="str">
        <f>IF(AE259&lt;&gt;0,VLOOKUP(AE259,DM_NV,2,0),"")</f>
        <v>#N/A</v>
      </c>
    </row>
    <row r="260">
      <c r="A260" s="51"/>
      <c r="B260" s="52"/>
      <c r="C260" s="53" t="str">
        <f t="shared" si="2"/>
        <v>02/2022</v>
      </c>
      <c r="D260" s="114">
        <v>44618.0</v>
      </c>
      <c r="E260" s="115" t="s">
        <v>412</v>
      </c>
      <c r="F260" s="108"/>
      <c r="G260" s="57" t="s">
        <v>205</v>
      </c>
      <c r="H260" s="58" t="str">
        <f>IF(G260="","",VLOOKUP($G260,'Quy chuẩn hạch toán'!$B:$E,2,0))</f>
        <v>642</v>
      </c>
      <c r="I260" s="58" t="str">
        <f>IF(H260="","",VLOOKUP($G260,'Quy chuẩn hạch toán'!$B:$E,3,0))</f>
        <v>1111</v>
      </c>
      <c r="J260" s="116">
        <v>1830000.0</v>
      </c>
      <c r="K260" s="60"/>
      <c r="L260" s="61"/>
      <c r="M260" s="62"/>
      <c r="N260" s="63"/>
      <c r="O260" s="64" t="str">
        <f>IF($Q260&lt;&gt;0,VLOOKUP($Q260,DM_KM,3,0),"")</f>
        <v>#N/A</v>
      </c>
      <c r="P260" s="64" t="str">
        <f>IF($Q260&lt;&gt;0,VLOOKUP($Q260,DM_KM,5,0),"")</f>
        <v>#N/A</v>
      </c>
      <c r="Q260" s="65" t="s">
        <v>413</v>
      </c>
      <c r="R260" s="64" t="str">
        <f>IF(S260&lt;&gt;0,VLOOKUP(S260,DM_DUAN,3,0),"")</f>
        <v>#N/A</v>
      </c>
      <c r="S260" s="66" t="str">
        <f>IF(U260&lt;&gt;0,VLOOKUP(U260,DM_DUAN,3,0),"")</f>
        <v/>
      </c>
      <c r="T260" s="64"/>
      <c r="U260" s="93"/>
      <c r="V260" s="64" t="str">
        <f>IF(W260&lt;&gt;0,VLOOKUP(W260,DM_DUAN,3,0),"")</f>
        <v/>
      </c>
      <c r="W260" s="68"/>
      <c r="X260" s="64" t="str">
        <f>IF(Y260&lt;&gt;0,VLOOKUP(Y260,DM_DUAN,3,0),"")</f>
        <v>#N/A</v>
      </c>
      <c r="Y260" s="69" t="s">
        <v>176</v>
      </c>
      <c r="Z260" s="64" t="str">
        <f>IF(AA260&lt;&gt;0,VLOOKUP(AA260,DM_DUAN,3,0),"")</f>
        <v>#N/A</v>
      </c>
      <c r="AA260" s="70" t="s">
        <v>183</v>
      </c>
      <c r="AB260" s="64" t="str">
        <f>IF(AC260&lt;&gt;0,VLOOKUP(AC260,DM_DUAN,3,0),"")</f>
        <v/>
      </c>
      <c r="AC260" s="85"/>
      <c r="AD260" s="64" t="str">
        <f>IF(AC260&lt;&gt;0,VLOOKUP(AC260,DM_NV,2,0),"")</f>
        <v/>
      </c>
      <c r="AE260" s="83" t="s">
        <v>414</v>
      </c>
      <c r="AF260" s="64" t="str">
        <f>IF(AE260&lt;&gt;0,VLOOKUP(AE260,DM_NV,2,0),"")</f>
        <v>#N/A</v>
      </c>
    </row>
    <row r="261">
      <c r="A261" s="51"/>
      <c r="B261" s="52"/>
      <c r="C261" s="53" t="str">
        <f t="shared" si="2"/>
        <v>02/2022</v>
      </c>
      <c r="D261" s="99">
        <v>44618.0</v>
      </c>
      <c r="E261" s="55" t="s">
        <v>415</v>
      </c>
      <c r="F261" s="56"/>
      <c r="G261" s="57" t="s">
        <v>205</v>
      </c>
      <c r="H261" s="58" t="str">
        <f>IF(G261="","",VLOOKUP($G261,'Quy chuẩn hạch toán'!$B:$E,2,0))</f>
        <v>642</v>
      </c>
      <c r="I261" s="58" t="str">
        <f>IF(H261="","",VLOOKUP($G261,'Quy chuẩn hạch toán'!$B:$E,3,0))</f>
        <v>1111</v>
      </c>
      <c r="J261" s="59">
        <v>170000.0</v>
      </c>
      <c r="K261" s="60"/>
      <c r="L261" s="61"/>
      <c r="M261" s="62"/>
      <c r="N261" s="63"/>
      <c r="O261" s="64" t="str">
        <f>IF($Q261&lt;&gt;0,VLOOKUP($Q261,DM_KM,3,0),"")</f>
        <v>#N/A</v>
      </c>
      <c r="P261" s="64" t="str">
        <f>IF($Q261&lt;&gt;0,VLOOKUP($Q261,DM_KM,5,0),"")</f>
        <v>#N/A</v>
      </c>
      <c r="Q261" s="65" t="s">
        <v>377</v>
      </c>
      <c r="R261" s="64" t="str">
        <f>IF(S261&lt;&gt;0,VLOOKUP(S261,DM_DUAN,3,0),"")</f>
        <v>#N/A</v>
      </c>
      <c r="S261" s="66" t="str">
        <f>IF(U261&lt;&gt;0,VLOOKUP(U261,DM_DUAN,3,0),"")</f>
        <v/>
      </c>
      <c r="T261" s="64"/>
      <c r="U261" s="93"/>
      <c r="V261" s="64" t="str">
        <f>IF(W261&lt;&gt;0,VLOOKUP(W261,DM_DUAN,3,0),"")</f>
        <v/>
      </c>
      <c r="W261" s="68"/>
      <c r="X261" s="64" t="str">
        <f>IF(Y261&lt;&gt;0,VLOOKUP(Y261,DM_DUAN,3,0),"")</f>
        <v>#N/A</v>
      </c>
      <c r="Y261" s="69" t="s">
        <v>176</v>
      </c>
      <c r="Z261" s="64" t="str">
        <f>IF(AA261&lt;&gt;0,VLOOKUP(AA261,DM_DUAN,3,0),"")</f>
        <v>#N/A</v>
      </c>
      <c r="AA261" s="70" t="s">
        <v>183</v>
      </c>
      <c r="AB261" s="64" t="str">
        <f>IF(AC261&lt;&gt;0,VLOOKUP(AC261,DM_DUAN,3,0),"")</f>
        <v/>
      </c>
      <c r="AC261" s="85"/>
      <c r="AD261" s="64" t="str">
        <f>IF(AC261&lt;&gt;0,VLOOKUP(AC261,DM_NV,2,0),"")</f>
        <v/>
      </c>
      <c r="AE261" s="83" t="s">
        <v>378</v>
      </c>
      <c r="AF261" s="64" t="str">
        <f>IF(AE261&lt;&gt;0,VLOOKUP(AE261,DM_NV,2,0),"")</f>
        <v>#N/A</v>
      </c>
    </row>
    <row r="262">
      <c r="A262" s="51"/>
      <c r="B262" s="52"/>
      <c r="C262" s="53" t="str">
        <f t="shared" si="2"/>
        <v>02/2022</v>
      </c>
      <c r="D262" s="121">
        <v>44618.0</v>
      </c>
      <c r="E262" s="122" t="s">
        <v>416</v>
      </c>
      <c r="F262" s="123"/>
      <c r="G262" s="57" t="s">
        <v>205</v>
      </c>
      <c r="H262" s="58" t="str">
        <f>IF(G262="","",VLOOKUP($G262,'Quy chuẩn hạch toán'!$B:$E,2,0))</f>
        <v>642</v>
      </c>
      <c r="I262" s="58" t="str">
        <f>IF(H262="","",VLOOKUP($G262,'Quy chuẩn hạch toán'!$B:$E,3,0))</f>
        <v>1111</v>
      </c>
      <c r="J262" s="124">
        <v>4819.0</v>
      </c>
      <c r="K262" s="60"/>
      <c r="L262" s="61"/>
      <c r="M262" s="62"/>
      <c r="N262" s="63"/>
      <c r="O262" s="64" t="str">
        <f>IF($Q262&lt;&gt;0,VLOOKUP($Q262,DM_KM,3,0),"")</f>
        <v>#N/A</v>
      </c>
      <c r="P262" s="64" t="str">
        <f>IF($Q262&lt;&gt;0,VLOOKUP($Q262,DM_KM,5,0),"")</f>
        <v>#N/A</v>
      </c>
      <c r="Q262" s="65" t="s">
        <v>377</v>
      </c>
      <c r="R262" s="64" t="str">
        <f>IF(S262&lt;&gt;0,VLOOKUP(S262,DM_DUAN,3,0),"")</f>
        <v>#N/A</v>
      </c>
      <c r="S262" s="66" t="str">
        <f>IF(U262&lt;&gt;0,VLOOKUP(U262,DM_DUAN,3,0),"")</f>
        <v/>
      </c>
      <c r="T262" s="64"/>
      <c r="U262" s="93"/>
      <c r="V262" s="64" t="str">
        <f>IF(W262&lt;&gt;0,VLOOKUP(W262,DM_DUAN,3,0),"")</f>
        <v/>
      </c>
      <c r="W262" s="68"/>
      <c r="X262" s="64" t="str">
        <f>IF(Y262&lt;&gt;0,VLOOKUP(Y262,DM_DUAN,3,0),"")</f>
        <v>#N/A</v>
      </c>
      <c r="Y262" s="69" t="s">
        <v>176</v>
      </c>
      <c r="Z262" s="64" t="str">
        <f>IF(AA262&lt;&gt;0,VLOOKUP(AA262,DM_DUAN,3,0),"")</f>
        <v>#N/A</v>
      </c>
      <c r="AA262" s="70" t="s">
        <v>208</v>
      </c>
      <c r="AB262" s="64" t="str">
        <f>IF(AC262&lt;&gt;0,VLOOKUP(AC262,DM_DUAN,3,0),"")</f>
        <v/>
      </c>
      <c r="AC262" s="70"/>
      <c r="AD262" s="64" t="str">
        <f>IF(AC262&lt;&gt;0,VLOOKUP(AC262,DM_NV,2,0),"")</f>
        <v/>
      </c>
      <c r="AE262" s="83" t="s">
        <v>349</v>
      </c>
      <c r="AF262" s="64" t="str">
        <f>IF(AE262&lt;&gt;0,VLOOKUP(AE262,DM_NV,2,0),"")</f>
        <v>#N/A</v>
      </c>
    </row>
    <row r="263">
      <c r="A263" s="51"/>
      <c r="B263" s="52"/>
      <c r="C263" s="53" t="str">
        <f t="shared" si="2"/>
        <v>02/2022</v>
      </c>
      <c r="D263" s="121">
        <v>44618.0</v>
      </c>
      <c r="E263" s="122" t="s">
        <v>416</v>
      </c>
      <c r="F263" s="123"/>
      <c r="G263" s="57" t="s">
        <v>205</v>
      </c>
      <c r="H263" s="58" t="str">
        <f>IF(G263="","",VLOOKUP($G263,'Quy chuẩn hạch toán'!$B:$E,2,0))</f>
        <v>642</v>
      </c>
      <c r="I263" s="58" t="str">
        <f>IF(H263="","",VLOOKUP($G263,'Quy chuẩn hạch toán'!$B:$E,3,0))</f>
        <v>1111</v>
      </c>
      <c r="J263" s="124">
        <v>9638.0</v>
      </c>
      <c r="K263" s="60"/>
      <c r="L263" s="61"/>
      <c r="M263" s="62"/>
      <c r="N263" s="63"/>
      <c r="O263" s="64" t="str">
        <f>IF($Q263&lt;&gt;0,VLOOKUP($Q263,DM_KM,3,0),"")</f>
        <v>#N/A</v>
      </c>
      <c r="P263" s="64" t="str">
        <f>IF($Q263&lt;&gt;0,VLOOKUP($Q263,DM_KM,5,0),"")</f>
        <v>#N/A</v>
      </c>
      <c r="Q263" s="65" t="s">
        <v>377</v>
      </c>
      <c r="R263" s="64" t="str">
        <f>IF(S263&lt;&gt;0,VLOOKUP(S263,DM_DUAN,3,0),"")</f>
        <v>#N/A</v>
      </c>
      <c r="S263" s="66" t="str">
        <f>IF(U263&lt;&gt;0,VLOOKUP(U263,DM_DUAN,3,0),"")</f>
        <v/>
      </c>
      <c r="T263" s="64"/>
      <c r="U263" s="93"/>
      <c r="V263" s="64" t="str">
        <f>IF(W263&lt;&gt;0,VLOOKUP(W263,DM_DUAN,3,0),"")</f>
        <v/>
      </c>
      <c r="W263" s="68"/>
      <c r="X263" s="64" t="str">
        <f>IF(Y263&lt;&gt;0,VLOOKUP(Y263,DM_DUAN,3,0),"")</f>
        <v>#N/A</v>
      </c>
      <c r="Y263" s="69" t="s">
        <v>176</v>
      </c>
      <c r="Z263" s="64" t="str">
        <f>IF(AA263&lt;&gt;0,VLOOKUP(AA263,DM_DUAN,3,0),"")</f>
        <v>#N/A</v>
      </c>
      <c r="AA263" s="70" t="s">
        <v>210</v>
      </c>
      <c r="AB263" s="64" t="str">
        <f>IF(AC263&lt;&gt;0,VLOOKUP(AC263,DM_DUAN,3,0),"")</f>
        <v/>
      </c>
      <c r="AC263" s="70"/>
      <c r="AD263" s="64" t="str">
        <f>IF(AC263&lt;&gt;0,VLOOKUP(AC263,DM_NV,2,0),"")</f>
        <v/>
      </c>
      <c r="AE263" s="83" t="s">
        <v>349</v>
      </c>
      <c r="AF263" s="64" t="str">
        <f>IF(AE263&lt;&gt;0,VLOOKUP(AE263,DM_NV,2,0),"")</f>
        <v>#N/A</v>
      </c>
    </row>
    <row r="264">
      <c r="A264" s="51"/>
      <c r="B264" s="52"/>
      <c r="C264" s="53" t="str">
        <f t="shared" si="2"/>
        <v>02/2022</v>
      </c>
      <c r="D264" s="121">
        <v>44618.0</v>
      </c>
      <c r="E264" s="122" t="s">
        <v>416</v>
      </c>
      <c r="F264" s="123"/>
      <c r="G264" s="57" t="s">
        <v>205</v>
      </c>
      <c r="H264" s="58" t="str">
        <f>IF(G264="","",VLOOKUP($G264,'Quy chuẩn hạch toán'!$B:$E,2,0))</f>
        <v>642</v>
      </c>
      <c r="I264" s="58" t="str">
        <f>IF(H264="","",VLOOKUP($G264,'Quy chuẩn hạch toán'!$B:$E,3,0))</f>
        <v>1111</v>
      </c>
      <c r="J264" s="124">
        <v>12048.0</v>
      </c>
      <c r="K264" s="60"/>
      <c r="L264" s="61"/>
      <c r="M264" s="62"/>
      <c r="N264" s="63"/>
      <c r="O264" s="64" t="str">
        <f>IF($Q264&lt;&gt;0,VLOOKUP($Q264,DM_KM,3,0),"")</f>
        <v>#N/A</v>
      </c>
      <c r="P264" s="64" t="str">
        <f>IF($Q264&lt;&gt;0,VLOOKUP($Q264,DM_KM,5,0),"")</f>
        <v>#N/A</v>
      </c>
      <c r="Q264" s="65" t="s">
        <v>377</v>
      </c>
      <c r="R264" s="64" t="str">
        <f>IF(S264&lt;&gt;0,VLOOKUP(S264,DM_DUAN,3,0),"")</f>
        <v>#N/A</v>
      </c>
      <c r="S264" s="66" t="str">
        <f>IF(U264&lt;&gt;0,VLOOKUP(U264,DM_DUAN,3,0),"")</f>
        <v/>
      </c>
      <c r="T264" s="64"/>
      <c r="U264" s="93"/>
      <c r="V264" s="64" t="str">
        <f>IF(W264&lt;&gt;0,VLOOKUP(W264,DM_DUAN,3,0),"")</f>
        <v/>
      </c>
      <c r="W264" s="68"/>
      <c r="X264" s="64" t="str">
        <f>IF(Y264&lt;&gt;0,VLOOKUP(Y264,DM_DUAN,3,0),"")</f>
        <v>#N/A</v>
      </c>
      <c r="Y264" s="69" t="s">
        <v>176</v>
      </c>
      <c r="Z264" s="64" t="str">
        <f>IF(AA264&lt;&gt;0,VLOOKUP(AA264,DM_DUAN,3,0),"")</f>
        <v>#N/A</v>
      </c>
      <c r="AA264" s="70" t="s">
        <v>177</v>
      </c>
      <c r="AB264" s="64" t="str">
        <f>IF(AC264&lt;&gt;0,VLOOKUP(AC264,DM_DUAN,3,0),"")</f>
        <v/>
      </c>
      <c r="AC264" s="70"/>
      <c r="AD264" s="64" t="str">
        <f>IF(AC264&lt;&gt;0,VLOOKUP(AC264,DM_NV,2,0),"")</f>
        <v/>
      </c>
      <c r="AE264" s="83" t="s">
        <v>349</v>
      </c>
      <c r="AF264" s="64" t="str">
        <f>IF(AE264&lt;&gt;0,VLOOKUP(AE264,DM_NV,2,0),"")</f>
        <v>#N/A</v>
      </c>
    </row>
    <row r="265">
      <c r="A265" s="51"/>
      <c r="B265" s="52"/>
      <c r="C265" s="53" t="str">
        <f t="shared" si="2"/>
        <v>02/2022</v>
      </c>
      <c r="D265" s="121">
        <v>44618.0</v>
      </c>
      <c r="E265" s="122" t="s">
        <v>416</v>
      </c>
      <c r="F265" s="123"/>
      <c r="G265" s="57" t="s">
        <v>205</v>
      </c>
      <c r="H265" s="58" t="str">
        <f>IF(G265="","",VLOOKUP($G265,'Quy chuẩn hạch toán'!$B:$E,2,0))</f>
        <v>642</v>
      </c>
      <c r="I265" s="58" t="str">
        <f>IF(H265="","",VLOOKUP($G265,'Quy chuẩn hạch toán'!$B:$E,3,0))</f>
        <v>1111</v>
      </c>
      <c r="J265" s="124">
        <v>24095.0</v>
      </c>
      <c r="K265" s="60"/>
      <c r="L265" s="61"/>
      <c r="M265" s="62"/>
      <c r="N265" s="63"/>
      <c r="O265" s="64" t="str">
        <f>IF($Q265&lt;&gt;0,VLOOKUP($Q265,DM_KM,3,0),"")</f>
        <v>#N/A</v>
      </c>
      <c r="P265" s="64" t="str">
        <f>IF($Q265&lt;&gt;0,VLOOKUP($Q265,DM_KM,5,0),"")</f>
        <v>#N/A</v>
      </c>
      <c r="Q265" s="65" t="s">
        <v>377</v>
      </c>
      <c r="R265" s="64" t="str">
        <f>IF(S265&lt;&gt;0,VLOOKUP(S265,DM_DUAN,3,0),"")</f>
        <v>#N/A</v>
      </c>
      <c r="S265" s="66" t="str">
        <f>IF(U265&lt;&gt;0,VLOOKUP(U265,DM_DUAN,3,0),"")</f>
        <v/>
      </c>
      <c r="T265" s="64"/>
      <c r="U265" s="93"/>
      <c r="V265" s="64" t="str">
        <f>IF(W265&lt;&gt;0,VLOOKUP(W265,DM_DUAN,3,0),"")</f>
        <v/>
      </c>
      <c r="W265" s="68"/>
      <c r="X265" s="64" t="str">
        <f>IF(Y265&lt;&gt;0,VLOOKUP(Y265,DM_DUAN,3,0),"")</f>
        <v>#N/A</v>
      </c>
      <c r="Y265" s="69" t="s">
        <v>176</v>
      </c>
      <c r="Z265" s="64" t="str">
        <f>IF(AA265&lt;&gt;0,VLOOKUP(AA265,DM_DUAN,3,0),"")</f>
        <v>#N/A</v>
      </c>
      <c r="AA265" s="70" t="s">
        <v>183</v>
      </c>
      <c r="AB265" s="64" t="str">
        <f>IF(AC265&lt;&gt;0,VLOOKUP(AC265,DM_DUAN,3,0),"")</f>
        <v/>
      </c>
      <c r="AC265" s="85"/>
      <c r="AD265" s="64" t="str">
        <f>IF(AC265&lt;&gt;0,VLOOKUP(AC265,DM_NV,2,0),"")</f>
        <v/>
      </c>
      <c r="AE265" s="83" t="s">
        <v>349</v>
      </c>
      <c r="AF265" s="64" t="str">
        <f>IF(AE265&lt;&gt;0,VLOOKUP(AE265,DM_NV,2,0),"")</f>
        <v>#N/A</v>
      </c>
    </row>
    <row r="266">
      <c r="A266" s="51"/>
      <c r="B266" s="52"/>
      <c r="C266" s="53" t="str">
        <f t="shared" si="2"/>
        <v>02/2022</v>
      </c>
      <c r="D266" s="117">
        <v>44618.0</v>
      </c>
      <c r="E266" s="118" t="s">
        <v>417</v>
      </c>
      <c r="F266" s="119"/>
      <c r="G266" s="57" t="s">
        <v>205</v>
      </c>
      <c r="H266" s="58" t="str">
        <f>IF(G266="","",VLOOKUP($G266,'Quy chuẩn hạch toán'!$B:$E,2,0))</f>
        <v>642</v>
      </c>
      <c r="I266" s="58" t="str">
        <f>IF(H266="","",VLOOKUP($G266,'Quy chuẩn hạch toán'!$B:$E,3,0))</f>
        <v>1111</v>
      </c>
      <c r="J266" s="120">
        <v>34571.0</v>
      </c>
      <c r="K266" s="60"/>
      <c r="L266" s="61"/>
      <c r="M266" s="62"/>
      <c r="N266" s="63"/>
      <c r="O266" s="64" t="str">
        <f>IF($Q266&lt;&gt;0,VLOOKUP($Q266,DM_KM,3,0),"")</f>
        <v>#N/A</v>
      </c>
      <c r="P266" s="64" t="str">
        <f>IF($Q266&lt;&gt;0,VLOOKUP($Q266,DM_KM,5,0),"")</f>
        <v>#N/A</v>
      </c>
      <c r="Q266" s="65" t="s">
        <v>206</v>
      </c>
      <c r="R266" s="64" t="str">
        <f>IF(S266&lt;&gt;0,VLOOKUP(S266,DM_DUAN,3,0),"")</f>
        <v>#N/A</v>
      </c>
      <c r="S266" s="66" t="str">
        <f>IF(U266&lt;&gt;0,VLOOKUP(U266,DM_DUAN,3,0),"")</f>
        <v/>
      </c>
      <c r="T266" s="64"/>
      <c r="U266" s="93"/>
      <c r="V266" s="64" t="str">
        <f>IF(W266&lt;&gt;0,VLOOKUP(W266,DM_DUAN,3,0),"")</f>
        <v/>
      </c>
      <c r="W266" s="68"/>
      <c r="X266" s="64" t="str">
        <f>IF(Y266&lt;&gt;0,VLOOKUP(Y266,DM_DUAN,3,0),"")</f>
        <v>#N/A</v>
      </c>
      <c r="Y266" s="69" t="s">
        <v>207</v>
      </c>
      <c r="Z266" s="64" t="str">
        <f>IF(AA266&lt;&gt;0,VLOOKUP(AA266,DM_DUAN,3,0),"")</f>
        <v>#N/A</v>
      </c>
      <c r="AA266" s="70" t="s">
        <v>208</v>
      </c>
      <c r="AB266" s="64" t="str">
        <f>IF(AC266&lt;&gt;0,VLOOKUP(AC266,DM_DUAN,3,0),"")</f>
        <v/>
      </c>
      <c r="AC266" s="70"/>
      <c r="AD266" s="64" t="str">
        <f>IF(AC266&lt;&gt;0,VLOOKUP(AC266,DM_NV,2,0),"")</f>
        <v/>
      </c>
      <c r="AE266" s="83" t="s">
        <v>263</v>
      </c>
      <c r="AF266" s="64" t="str">
        <f>IF(AE266&lt;&gt;0,VLOOKUP(AE266,DM_NV,2,0),"")</f>
        <v>#N/A</v>
      </c>
    </row>
    <row r="267">
      <c r="A267" s="51"/>
      <c r="B267" s="52"/>
      <c r="C267" s="53" t="str">
        <f t="shared" si="2"/>
        <v>02/2022</v>
      </c>
      <c r="D267" s="117">
        <v>44618.0</v>
      </c>
      <c r="E267" s="118" t="s">
        <v>417</v>
      </c>
      <c r="F267" s="119"/>
      <c r="G267" s="57" t="s">
        <v>205</v>
      </c>
      <c r="H267" s="58" t="str">
        <f>IF(G267="","",VLOOKUP($G267,'Quy chuẩn hạch toán'!$B:$E,2,0))</f>
        <v>642</v>
      </c>
      <c r="I267" s="58" t="str">
        <f>IF(H267="","",VLOOKUP($G267,'Quy chuẩn hạch toán'!$B:$E,3,0))</f>
        <v>1111</v>
      </c>
      <c r="J267" s="120">
        <v>69143.0</v>
      </c>
      <c r="K267" s="60"/>
      <c r="L267" s="61"/>
      <c r="M267" s="62"/>
      <c r="N267" s="63"/>
      <c r="O267" s="64" t="str">
        <f>IF($Q267&lt;&gt;0,VLOOKUP($Q267,DM_KM,3,0),"")</f>
        <v>#N/A</v>
      </c>
      <c r="P267" s="64" t="str">
        <f>IF($Q267&lt;&gt;0,VLOOKUP($Q267,DM_KM,5,0),"")</f>
        <v>#N/A</v>
      </c>
      <c r="Q267" s="65" t="s">
        <v>206</v>
      </c>
      <c r="R267" s="64" t="str">
        <f>IF(S267&lt;&gt;0,VLOOKUP(S267,DM_DUAN,3,0),"")</f>
        <v>#N/A</v>
      </c>
      <c r="S267" s="66" t="str">
        <f>IF(U267&lt;&gt;0,VLOOKUP(U267,DM_DUAN,3,0),"")</f>
        <v/>
      </c>
      <c r="T267" s="64"/>
      <c r="U267" s="93"/>
      <c r="V267" s="64" t="str">
        <f>IF(W267&lt;&gt;0,VLOOKUP(W267,DM_DUAN,3,0),"")</f>
        <v/>
      </c>
      <c r="W267" s="68"/>
      <c r="X267" s="64" t="str">
        <f>IF(Y267&lt;&gt;0,VLOOKUP(Y267,DM_DUAN,3,0),"")</f>
        <v>#N/A</v>
      </c>
      <c r="Y267" s="69" t="s">
        <v>207</v>
      </c>
      <c r="Z267" s="64" t="str">
        <f>IF(AA267&lt;&gt;0,VLOOKUP(AA267,DM_DUAN,3,0),"")</f>
        <v>#N/A</v>
      </c>
      <c r="AA267" s="70" t="s">
        <v>210</v>
      </c>
      <c r="AB267" s="64" t="str">
        <f>IF(AC267&lt;&gt;0,VLOOKUP(AC267,DM_DUAN,3,0),"")</f>
        <v/>
      </c>
      <c r="AC267" s="70"/>
      <c r="AD267" s="64" t="str">
        <f>IF(AC267&lt;&gt;0,VLOOKUP(AC267,DM_NV,2,0),"")</f>
        <v/>
      </c>
      <c r="AE267" s="83" t="s">
        <v>263</v>
      </c>
      <c r="AF267" s="64" t="str">
        <f>IF(AE267&lt;&gt;0,VLOOKUP(AE267,DM_NV,2,0),"")</f>
        <v>#N/A</v>
      </c>
    </row>
    <row r="268">
      <c r="A268" s="51"/>
      <c r="B268" s="52"/>
      <c r="C268" s="53" t="str">
        <f t="shared" si="2"/>
        <v>02/2022</v>
      </c>
      <c r="D268" s="117">
        <v>44618.0</v>
      </c>
      <c r="E268" s="118" t="s">
        <v>417</v>
      </c>
      <c r="F268" s="119"/>
      <c r="G268" s="57" t="s">
        <v>205</v>
      </c>
      <c r="H268" s="58" t="str">
        <f>IF(G268="","",VLOOKUP($G268,'Quy chuẩn hạch toán'!$B:$E,2,0))</f>
        <v>642</v>
      </c>
      <c r="I268" s="58" t="str">
        <f>IF(H268="","",VLOOKUP($G268,'Quy chuẩn hạch toán'!$B:$E,3,0))</f>
        <v>1111</v>
      </c>
      <c r="J268" s="120">
        <v>86429.0</v>
      </c>
      <c r="K268" s="60"/>
      <c r="L268" s="61"/>
      <c r="M268" s="62"/>
      <c r="N268" s="63"/>
      <c r="O268" s="64" t="str">
        <f>IF($Q268&lt;&gt;0,VLOOKUP($Q268,DM_KM,3,0),"")</f>
        <v>#N/A</v>
      </c>
      <c r="P268" s="64" t="str">
        <f>IF($Q268&lt;&gt;0,VLOOKUP($Q268,DM_KM,5,0),"")</f>
        <v>#N/A</v>
      </c>
      <c r="Q268" s="65" t="s">
        <v>206</v>
      </c>
      <c r="R268" s="64" t="str">
        <f>IF(S268&lt;&gt;0,VLOOKUP(S268,DM_DUAN,3,0),"")</f>
        <v>#N/A</v>
      </c>
      <c r="S268" s="66" t="str">
        <f>IF(U268&lt;&gt;0,VLOOKUP(U268,DM_DUAN,3,0),"")</f>
        <v/>
      </c>
      <c r="T268" s="64"/>
      <c r="U268" s="93"/>
      <c r="V268" s="64" t="str">
        <f>IF(W268&lt;&gt;0,VLOOKUP(W268,DM_DUAN,3,0),"")</f>
        <v/>
      </c>
      <c r="W268" s="68"/>
      <c r="X268" s="64" t="str">
        <f>IF(Y268&lt;&gt;0,VLOOKUP(Y268,DM_DUAN,3,0),"")</f>
        <v>#N/A</v>
      </c>
      <c r="Y268" s="69" t="s">
        <v>207</v>
      </c>
      <c r="Z268" s="64" t="str">
        <f>IF(AA268&lt;&gt;0,VLOOKUP(AA268,DM_DUAN,3,0),"")</f>
        <v>#N/A</v>
      </c>
      <c r="AA268" s="70" t="s">
        <v>177</v>
      </c>
      <c r="AB268" s="64" t="str">
        <f>IF(AC268&lt;&gt;0,VLOOKUP(AC268,DM_DUAN,3,0),"")</f>
        <v/>
      </c>
      <c r="AC268" s="70"/>
      <c r="AD268" s="64" t="str">
        <f>IF(AC268&lt;&gt;0,VLOOKUP(AC268,DM_NV,2,0),"")</f>
        <v/>
      </c>
      <c r="AE268" s="83" t="s">
        <v>263</v>
      </c>
      <c r="AF268" s="64" t="str">
        <f>IF(AE268&lt;&gt;0,VLOOKUP(AE268,DM_NV,2,0),"")</f>
        <v>#N/A</v>
      </c>
    </row>
    <row r="269">
      <c r="A269" s="51"/>
      <c r="B269" s="52"/>
      <c r="C269" s="53" t="str">
        <f t="shared" si="2"/>
        <v>02/2022</v>
      </c>
      <c r="D269" s="117">
        <v>44618.0</v>
      </c>
      <c r="E269" s="118" t="s">
        <v>417</v>
      </c>
      <c r="F269" s="119"/>
      <c r="G269" s="57" t="s">
        <v>205</v>
      </c>
      <c r="H269" s="58" t="str">
        <f>IF(G269="","",VLOOKUP($G269,'Quy chuẩn hạch toán'!$B:$E,2,0))</f>
        <v>642</v>
      </c>
      <c r="I269" s="58" t="str">
        <f>IF(H269="","",VLOOKUP($G269,'Quy chuẩn hạch toán'!$B:$E,3,0))</f>
        <v>1111</v>
      </c>
      <c r="J269" s="120">
        <v>172857.0</v>
      </c>
      <c r="K269" s="60"/>
      <c r="L269" s="61"/>
      <c r="M269" s="62"/>
      <c r="N269" s="63"/>
      <c r="O269" s="64" t="str">
        <f>IF($Q269&lt;&gt;0,VLOOKUP($Q269,DM_KM,3,0),"")</f>
        <v>#N/A</v>
      </c>
      <c r="P269" s="64" t="str">
        <f>IF($Q269&lt;&gt;0,VLOOKUP($Q269,DM_KM,5,0),"")</f>
        <v>#N/A</v>
      </c>
      <c r="Q269" s="65" t="s">
        <v>206</v>
      </c>
      <c r="R269" s="64" t="str">
        <f>IF(S269&lt;&gt;0,VLOOKUP(S269,DM_DUAN,3,0),"")</f>
        <v>#N/A</v>
      </c>
      <c r="S269" s="66" t="str">
        <f>IF(U269&lt;&gt;0,VLOOKUP(U269,DM_DUAN,3,0),"")</f>
        <v/>
      </c>
      <c r="T269" s="64"/>
      <c r="U269" s="93"/>
      <c r="V269" s="64" t="str">
        <f>IF(W269&lt;&gt;0,VLOOKUP(W269,DM_DUAN,3,0),"")</f>
        <v/>
      </c>
      <c r="W269" s="68"/>
      <c r="X269" s="64" t="str">
        <f>IF(Y269&lt;&gt;0,VLOOKUP(Y269,DM_DUAN,3,0),"")</f>
        <v>#N/A</v>
      </c>
      <c r="Y269" s="69" t="s">
        <v>207</v>
      </c>
      <c r="Z269" s="64" t="str">
        <f>IF(AA269&lt;&gt;0,VLOOKUP(AA269,DM_DUAN,3,0),"")</f>
        <v>#N/A</v>
      </c>
      <c r="AA269" s="70" t="s">
        <v>183</v>
      </c>
      <c r="AB269" s="64" t="str">
        <f>IF(AC269&lt;&gt;0,VLOOKUP(AC269,DM_DUAN,3,0),"")</f>
        <v/>
      </c>
      <c r="AC269" s="85"/>
      <c r="AD269" s="64" t="str">
        <f>IF(AC269&lt;&gt;0,VLOOKUP(AC269,DM_NV,2,0),"")</f>
        <v/>
      </c>
      <c r="AE269" s="83" t="s">
        <v>263</v>
      </c>
      <c r="AF269" s="64" t="str">
        <f>IF(AE269&lt;&gt;0,VLOOKUP(AE269,DM_NV,2,0),"")</f>
        <v>#N/A</v>
      </c>
    </row>
    <row r="270">
      <c r="A270" s="51"/>
      <c r="B270" s="52"/>
      <c r="C270" s="53" t="str">
        <f t="shared" si="2"/>
        <v>02/2022</v>
      </c>
      <c r="D270" s="121">
        <v>44618.0</v>
      </c>
      <c r="E270" s="122" t="s">
        <v>418</v>
      </c>
      <c r="F270" s="123"/>
      <c r="G270" s="57" t="s">
        <v>205</v>
      </c>
      <c r="H270" s="58" t="str">
        <f>IF(G270="","",VLOOKUP($G270,'Quy chuẩn hạch toán'!$B:$E,2,0))</f>
        <v>642</v>
      </c>
      <c r="I270" s="58" t="str">
        <f>IF(H270="","",VLOOKUP($G270,'Quy chuẩn hạch toán'!$B:$E,3,0))</f>
        <v>1111</v>
      </c>
      <c r="J270" s="124">
        <v>6548.0</v>
      </c>
      <c r="K270" s="60"/>
      <c r="L270" s="61"/>
      <c r="M270" s="62"/>
      <c r="N270" s="63"/>
      <c r="O270" s="64" t="str">
        <f>IF($Q270&lt;&gt;0,VLOOKUP($Q270,DM_KM,3,0),"")</f>
        <v>#N/A</v>
      </c>
      <c r="P270" s="64" t="str">
        <f>IF($Q270&lt;&gt;0,VLOOKUP($Q270,DM_KM,5,0),"")</f>
        <v>#N/A</v>
      </c>
      <c r="Q270" s="65" t="s">
        <v>419</v>
      </c>
      <c r="R270" s="64" t="str">
        <f>IF(S270&lt;&gt;0,VLOOKUP(S270,DM_DUAN,3,0),"")</f>
        <v>#N/A</v>
      </c>
      <c r="S270" s="66" t="str">
        <f>IF(U270&lt;&gt;0,VLOOKUP(U270,DM_DUAN,3,0),"")</f>
        <v/>
      </c>
      <c r="T270" s="64"/>
      <c r="U270" s="93"/>
      <c r="V270" s="64" t="str">
        <f>IF(W270&lt;&gt;0,VLOOKUP(W270,DM_DUAN,3,0),"")</f>
        <v/>
      </c>
      <c r="W270" s="68"/>
      <c r="X270" s="64" t="str">
        <f>IF(Y270&lt;&gt;0,VLOOKUP(Y270,DM_DUAN,3,0),"")</f>
        <v>#N/A</v>
      </c>
      <c r="Y270" s="69" t="s">
        <v>304</v>
      </c>
      <c r="Z270" s="64" t="str">
        <f>IF(AA270&lt;&gt;0,VLOOKUP(AA270,DM_DUAN,3,0),"")</f>
        <v>#N/A</v>
      </c>
      <c r="AA270" s="70" t="s">
        <v>208</v>
      </c>
      <c r="AB270" s="64" t="str">
        <f>IF(AC270&lt;&gt;0,VLOOKUP(AC270,DM_DUAN,3,0),"")</f>
        <v/>
      </c>
      <c r="AC270" s="70"/>
      <c r="AD270" s="64" t="str">
        <f>IF(AC270&lt;&gt;0,VLOOKUP(AC270,DM_NV,2,0),"")</f>
        <v/>
      </c>
      <c r="AE270" s="83" t="s">
        <v>258</v>
      </c>
      <c r="AF270" s="64" t="str">
        <f>IF(AE270&lt;&gt;0,VLOOKUP(AE270,DM_NV,2,0),"")</f>
        <v>#N/A</v>
      </c>
    </row>
    <row r="271">
      <c r="A271" s="51"/>
      <c r="B271" s="52"/>
      <c r="C271" s="53" t="str">
        <f t="shared" si="2"/>
        <v>02/2022</v>
      </c>
      <c r="D271" s="121">
        <v>44618.0</v>
      </c>
      <c r="E271" s="122" t="s">
        <v>418</v>
      </c>
      <c r="F271" s="123"/>
      <c r="G271" s="57" t="s">
        <v>205</v>
      </c>
      <c r="H271" s="58" t="str">
        <f>IF(G271="","",VLOOKUP($G271,'Quy chuẩn hạch toán'!$B:$E,2,0))</f>
        <v>642</v>
      </c>
      <c r="I271" s="58" t="str">
        <f>IF(H271="","",VLOOKUP($G271,'Quy chuẩn hạch toán'!$B:$E,3,0))</f>
        <v>1111</v>
      </c>
      <c r="J271" s="124">
        <v>13095.0</v>
      </c>
      <c r="K271" s="60"/>
      <c r="L271" s="61"/>
      <c r="M271" s="62"/>
      <c r="N271" s="63"/>
      <c r="O271" s="64" t="str">
        <f>IF($Q271&lt;&gt;0,VLOOKUP($Q271,DM_KM,3,0),"")</f>
        <v>#N/A</v>
      </c>
      <c r="P271" s="64" t="str">
        <f>IF($Q271&lt;&gt;0,VLOOKUP($Q271,DM_KM,5,0),"")</f>
        <v>#N/A</v>
      </c>
      <c r="Q271" s="65" t="s">
        <v>419</v>
      </c>
      <c r="R271" s="64" t="str">
        <f>IF(S271&lt;&gt;0,VLOOKUP(S271,DM_DUAN,3,0),"")</f>
        <v>#N/A</v>
      </c>
      <c r="S271" s="66" t="str">
        <f>IF(U271&lt;&gt;0,VLOOKUP(U271,DM_DUAN,3,0),"")</f>
        <v/>
      </c>
      <c r="T271" s="64"/>
      <c r="U271" s="93"/>
      <c r="V271" s="64" t="str">
        <f>IF(W271&lt;&gt;0,VLOOKUP(W271,DM_DUAN,3,0),"")</f>
        <v/>
      </c>
      <c r="W271" s="68"/>
      <c r="X271" s="64" t="str">
        <f>IF(Y271&lt;&gt;0,VLOOKUP(Y271,DM_DUAN,3,0),"")</f>
        <v>#N/A</v>
      </c>
      <c r="Y271" s="69" t="s">
        <v>304</v>
      </c>
      <c r="Z271" s="64" t="str">
        <f>IF(AA271&lt;&gt;0,VLOOKUP(AA271,DM_DUAN,3,0),"")</f>
        <v>#N/A</v>
      </c>
      <c r="AA271" s="70" t="s">
        <v>210</v>
      </c>
      <c r="AB271" s="64" t="str">
        <f>IF(AC271&lt;&gt;0,VLOOKUP(AC271,DM_DUAN,3,0),"")</f>
        <v/>
      </c>
      <c r="AC271" s="70"/>
      <c r="AD271" s="64" t="str">
        <f>IF(AC271&lt;&gt;0,VLOOKUP(AC271,DM_NV,2,0),"")</f>
        <v/>
      </c>
      <c r="AE271" s="83" t="s">
        <v>258</v>
      </c>
      <c r="AF271" s="64" t="str">
        <f>IF(AE271&lt;&gt;0,VLOOKUP(AE271,DM_NV,2,0),"")</f>
        <v>#N/A</v>
      </c>
    </row>
    <row r="272">
      <c r="A272" s="51"/>
      <c r="B272" s="52"/>
      <c r="C272" s="53" t="str">
        <f t="shared" si="2"/>
        <v>02/2022</v>
      </c>
      <c r="D272" s="121">
        <v>44618.0</v>
      </c>
      <c r="E272" s="122" t="s">
        <v>418</v>
      </c>
      <c r="F272" s="123"/>
      <c r="G272" s="57" t="s">
        <v>205</v>
      </c>
      <c r="H272" s="58" t="str">
        <f>IF(G272="","",VLOOKUP($G272,'Quy chuẩn hạch toán'!$B:$E,2,0))</f>
        <v>642</v>
      </c>
      <c r="I272" s="58" t="str">
        <f>IF(H272="","",VLOOKUP($G272,'Quy chuẩn hạch toán'!$B:$E,3,0))</f>
        <v>1111</v>
      </c>
      <c r="J272" s="124">
        <v>16369.0</v>
      </c>
      <c r="K272" s="60"/>
      <c r="L272" s="61"/>
      <c r="M272" s="62"/>
      <c r="N272" s="63"/>
      <c r="O272" s="64" t="str">
        <f>IF($Q272&lt;&gt;0,VLOOKUP($Q272,DM_KM,3,0),"")</f>
        <v>#N/A</v>
      </c>
      <c r="P272" s="64" t="str">
        <f>IF($Q272&lt;&gt;0,VLOOKUP($Q272,DM_KM,5,0),"")</f>
        <v>#N/A</v>
      </c>
      <c r="Q272" s="65" t="s">
        <v>419</v>
      </c>
      <c r="R272" s="64" t="str">
        <f>IF(S272&lt;&gt;0,VLOOKUP(S272,DM_DUAN,3,0),"")</f>
        <v>#N/A</v>
      </c>
      <c r="S272" s="66" t="str">
        <f>IF(U272&lt;&gt;0,VLOOKUP(U272,DM_DUAN,3,0),"")</f>
        <v/>
      </c>
      <c r="T272" s="64"/>
      <c r="U272" s="93"/>
      <c r="V272" s="64" t="str">
        <f>IF(W272&lt;&gt;0,VLOOKUP(W272,DM_DUAN,3,0),"")</f>
        <v/>
      </c>
      <c r="W272" s="68"/>
      <c r="X272" s="64" t="str">
        <f>IF(Y272&lt;&gt;0,VLOOKUP(Y272,DM_DUAN,3,0),"")</f>
        <v>#N/A</v>
      </c>
      <c r="Y272" s="69" t="s">
        <v>304</v>
      </c>
      <c r="Z272" s="64" t="str">
        <f>IF(AA272&lt;&gt;0,VLOOKUP(AA272,DM_DUAN,3,0),"")</f>
        <v>#N/A</v>
      </c>
      <c r="AA272" s="70" t="s">
        <v>177</v>
      </c>
      <c r="AB272" s="64" t="str">
        <f>IF(AC272&lt;&gt;0,VLOOKUP(AC272,DM_DUAN,3,0),"")</f>
        <v/>
      </c>
      <c r="AC272" s="70"/>
      <c r="AD272" s="64" t="str">
        <f>IF(AC272&lt;&gt;0,VLOOKUP(AC272,DM_NV,2,0),"")</f>
        <v/>
      </c>
      <c r="AE272" s="83" t="s">
        <v>258</v>
      </c>
      <c r="AF272" s="64" t="str">
        <f>IF(AE272&lt;&gt;0,VLOOKUP(AE272,DM_NV,2,0),"")</f>
        <v>#N/A</v>
      </c>
    </row>
    <row r="273">
      <c r="A273" s="51"/>
      <c r="B273" s="52"/>
      <c r="C273" s="53" t="str">
        <f t="shared" si="2"/>
        <v>02/2022</v>
      </c>
      <c r="D273" s="121">
        <v>44618.0</v>
      </c>
      <c r="E273" s="122" t="s">
        <v>418</v>
      </c>
      <c r="F273" s="123"/>
      <c r="G273" s="57" t="s">
        <v>205</v>
      </c>
      <c r="H273" s="58" t="str">
        <f>IF(G273="","",VLOOKUP($G273,'Quy chuẩn hạch toán'!$B:$E,2,0))</f>
        <v>642</v>
      </c>
      <c r="I273" s="58" t="str">
        <f>IF(H273="","",VLOOKUP($G273,'Quy chuẩn hạch toán'!$B:$E,3,0))</f>
        <v>1111</v>
      </c>
      <c r="J273" s="124">
        <v>32738.0</v>
      </c>
      <c r="K273" s="60"/>
      <c r="L273" s="61"/>
      <c r="M273" s="62"/>
      <c r="N273" s="63"/>
      <c r="O273" s="64" t="str">
        <f>IF($Q273&lt;&gt;0,VLOOKUP($Q273,DM_KM,3,0),"")</f>
        <v>#N/A</v>
      </c>
      <c r="P273" s="64" t="str">
        <f>IF($Q273&lt;&gt;0,VLOOKUP($Q273,DM_KM,5,0),"")</f>
        <v>#N/A</v>
      </c>
      <c r="Q273" s="65" t="s">
        <v>419</v>
      </c>
      <c r="R273" s="64" t="str">
        <f>IF(S273&lt;&gt;0,VLOOKUP(S273,DM_DUAN,3,0),"")</f>
        <v>#N/A</v>
      </c>
      <c r="S273" s="66" t="str">
        <f>IF(U273&lt;&gt;0,VLOOKUP(U273,DM_DUAN,3,0),"")</f>
        <v/>
      </c>
      <c r="T273" s="64"/>
      <c r="U273" s="93"/>
      <c r="V273" s="64" t="str">
        <f>IF(W273&lt;&gt;0,VLOOKUP(W273,DM_DUAN,3,0),"")</f>
        <v/>
      </c>
      <c r="W273" s="68"/>
      <c r="X273" s="64" t="str">
        <f>IF(Y273&lt;&gt;0,VLOOKUP(Y273,DM_DUAN,3,0),"")</f>
        <v>#N/A</v>
      </c>
      <c r="Y273" s="69" t="s">
        <v>304</v>
      </c>
      <c r="Z273" s="64" t="str">
        <f>IF(AA273&lt;&gt;0,VLOOKUP(AA273,DM_DUAN,3,0),"")</f>
        <v>#N/A</v>
      </c>
      <c r="AA273" s="70" t="s">
        <v>183</v>
      </c>
      <c r="AB273" s="64" t="str">
        <f>IF(AC273&lt;&gt;0,VLOOKUP(AC273,DM_DUAN,3,0),"")</f>
        <v/>
      </c>
      <c r="AC273" s="85"/>
      <c r="AD273" s="64" t="str">
        <f>IF(AC273&lt;&gt;0,VLOOKUP(AC273,DM_NV,2,0),"")</f>
        <v/>
      </c>
      <c r="AE273" s="83" t="s">
        <v>258</v>
      </c>
      <c r="AF273" s="64" t="str">
        <f>IF(AE273&lt;&gt;0,VLOOKUP(AE273,DM_NV,2,0),"")</f>
        <v>#N/A</v>
      </c>
    </row>
    <row r="274">
      <c r="A274" s="51"/>
      <c r="B274" s="52"/>
      <c r="C274" s="53" t="str">
        <f t="shared" si="2"/>
        <v>02/2022</v>
      </c>
      <c r="D274" s="121">
        <v>44618.0</v>
      </c>
      <c r="E274" s="128" t="s">
        <v>420</v>
      </c>
      <c r="F274" s="129"/>
      <c r="G274" s="57" t="s">
        <v>205</v>
      </c>
      <c r="H274" s="58" t="str">
        <f>IF(G274="","",VLOOKUP($G274,'Quy chuẩn hạch toán'!$B:$E,2,0))</f>
        <v>642</v>
      </c>
      <c r="I274" s="58" t="str">
        <f>IF(H274="","",VLOOKUP($G274,'Quy chuẩn hạch toán'!$B:$E,3,0))</f>
        <v>1111</v>
      </c>
      <c r="J274" s="130">
        <v>5238.0</v>
      </c>
      <c r="K274" s="60"/>
      <c r="L274" s="61"/>
      <c r="M274" s="62"/>
      <c r="N274" s="63"/>
      <c r="O274" s="64" t="str">
        <f>IF($Q274&lt;&gt;0,VLOOKUP($Q274,DM_KM,3,0),"")</f>
        <v>#N/A</v>
      </c>
      <c r="P274" s="64" t="str">
        <f>IF($Q274&lt;&gt;0,VLOOKUP($Q274,DM_KM,5,0),"")</f>
        <v>#N/A</v>
      </c>
      <c r="Q274" s="65" t="s">
        <v>222</v>
      </c>
      <c r="R274" s="64" t="str">
        <f>IF(S274&lt;&gt;0,VLOOKUP(S274,DM_DUAN,3,0),"")</f>
        <v>#N/A</v>
      </c>
      <c r="S274" s="66" t="str">
        <f>IF(U274&lt;&gt;0,VLOOKUP(U274,DM_DUAN,3,0),"")</f>
        <v/>
      </c>
      <c r="T274" s="64"/>
      <c r="U274" s="93"/>
      <c r="V274" s="64" t="str">
        <f>IF(W274&lt;&gt;0,VLOOKUP(W274,DM_DUAN,3,0),"")</f>
        <v/>
      </c>
      <c r="W274" s="68"/>
      <c r="X274" s="64" t="str">
        <f>IF(Y274&lt;&gt;0,VLOOKUP(Y274,DM_DUAN,3,0),"")</f>
        <v/>
      </c>
      <c r="Y274" s="84"/>
      <c r="Z274" s="64" t="str">
        <f>IF(AA274&lt;&gt;0,VLOOKUP(AA274,DM_DUAN,3,0),"")</f>
        <v>#N/A</v>
      </c>
      <c r="AA274" s="70" t="s">
        <v>208</v>
      </c>
      <c r="AB274" s="64" t="str">
        <f>IF(AC274&lt;&gt;0,VLOOKUP(AC274,DM_DUAN,3,0),"")</f>
        <v/>
      </c>
      <c r="AC274" s="70"/>
      <c r="AD274" s="64" t="str">
        <f>IF(AC274&lt;&gt;0,VLOOKUP(AC274,DM_NV,2,0),"")</f>
        <v/>
      </c>
      <c r="AE274" s="83" t="s">
        <v>223</v>
      </c>
      <c r="AF274" s="64" t="str">
        <f>IF(AE274&lt;&gt;0,VLOOKUP(AE274,DM_NV,2,0),"")</f>
        <v>#N/A</v>
      </c>
    </row>
    <row r="275">
      <c r="A275" s="51"/>
      <c r="B275" s="52" t="str">
        <f>IF(D275="","",VLOOKUP(D275,'THAM CHIẾU'!$A:$B,2,0))</f>
        <v>#N/A</v>
      </c>
      <c r="C275" s="53" t="str">
        <f t="shared" si="2"/>
        <v>02/2022</v>
      </c>
      <c r="D275" s="121">
        <v>44618.0</v>
      </c>
      <c r="E275" s="122" t="s">
        <v>420</v>
      </c>
      <c r="F275" s="123"/>
      <c r="G275" s="57" t="s">
        <v>205</v>
      </c>
      <c r="H275" s="58" t="str">
        <f>IF(G275="","",VLOOKUP($G275,'Quy chuẩn hạch toán'!$B:$E,2,0))</f>
        <v>642</v>
      </c>
      <c r="I275" s="58" t="str">
        <f>IF(H275="","",VLOOKUP($G275,'Quy chuẩn hạch toán'!$B:$E,3,0))</f>
        <v>1111</v>
      </c>
      <c r="J275" s="130">
        <v>10476.0</v>
      </c>
      <c r="K275" s="60"/>
      <c r="L275" s="61"/>
      <c r="M275" s="62"/>
      <c r="N275" s="63"/>
      <c r="O275" s="64" t="str">
        <f>IF($Q275&lt;&gt;0,VLOOKUP($Q275,DM_KM,3,0),"")</f>
        <v>#N/A</v>
      </c>
      <c r="P275" s="64" t="str">
        <f>IF($Q275&lt;&gt;0,VLOOKUP($Q275,DM_KM,5,0),"")</f>
        <v>#N/A</v>
      </c>
      <c r="Q275" s="65" t="s">
        <v>222</v>
      </c>
      <c r="R275" s="64" t="str">
        <f>IF(S275&lt;&gt;0,VLOOKUP(S275,DM_DUAN,3,0),"")</f>
        <v>#N/A</v>
      </c>
      <c r="S275" s="66" t="str">
        <f>IF(U275&lt;&gt;0,VLOOKUP(U275,DM_DUAN,3,0),"")</f>
        <v/>
      </c>
      <c r="T275" s="64"/>
      <c r="U275" s="93"/>
      <c r="V275" s="64" t="str">
        <f>IF(W275&lt;&gt;0,VLOOKUP(W275,DM_DUAN,3,0),"")</f>
        <v/>
      </c>
      <c r="W275" s="68"/>
      <c r="X275" s="64" t="str">
        <f>IF(Y275&lt;&gt;0,VLOOKUP(Y275,DM_DUAN,3,0),"")</f>
        <v/>
      </c>
      <c r="Y275" s="84"/>
      <c r="Z275" s="64" t="str">
        <f>IF(AA275&lt;&gt;0,VLOOKUP(AA275,DM_DUAN,3,0),"")</f>
        <v>#N/A</v>
      </c>
      <c r="AA275" s="70" t="s">
        <v>210</v>
      </c>
      <c r="AB275" s="64" t="str">
        <f>IF(AC275&lt;&gt;0,VLOOKUP(AC275,DM_DUAN,3,0),"")</f>
        <v/>
      </c>
      <c r="AC275" s="70"/>
      <c r="AD275" s="64" t="str">
        <f>IF(AC275&lt;&gt;0,VLOOKUP(AC275,DM_NV,2,0),"")</f>
        <v/>
      </c>
      <c r="AE275" s="83" t="s">
        <v>223</v>
      </c>
      <c r="AF275" s="64" t="str">
        <f>IF(AE275&lt;&gt;0,VLOOKUP(AE275,DM_NV,2,0),"")</f>
        <v>#N/A</v>
      </c>
    </row>
    <row r="276">
      <c r="A276" s="51"/>
      <c r="B276" s="52" t="str">
        <f>IF(D276="","",VLOOKUP(D276,'THAM CHIẾU'!$A:$B,2,0))</f>
        <v>#N/A</v>
      </c>
      <c r="C276" s="53" t="str">
        <f t="shared" si="2"/>
        <v>02/2022</v>
      </c>
      <c r="D276" s="121">
        <v>44618.0</v>
      </c>
      <c r="E276" s="122" t="s">
        <v>420</v>
      </c>
      <c r="F276" s="123"/>
      <c r="G276" s="57" t="s">
        <v>205</v>
      </c>
      <c r="H276" s="58" t="str">
        <f>IF(G276="","",VLOOKUP($G276,'Quy chuẩn hạch toán'!$B:$E,2,0))</f>
        <v>642</v>
      </c>
      <c r="I276" s="58" t="str">
        <f>IF(H276="","",VLOOKUP($G276,'Quy chuẩn hạch toán'!$B:$E,3,0))</f>
        <v>1111</v>
      </c>
      <c r="J276" s="130">
        <v>13095.0</v>
      </c>
      <c r="K276" s="60"/>
      <c r="L276" s="61"/>
      <c r="M276" s="62"/>
      <c r="N276" s="63"/>
      <c r="O276" s="64" t="str">
        <f>IF($Q276&lt;&gt;0,VLOOKUP($Q276,DM_KM,3,0),"")</f>
        <v>#N/A</v>
      </c>
      <c r="P276" s="64" t="str">
        <f>IF($Q276&lt;&gt;0,VLOOKUP($Q276,DM_KM,5,0),"")</f>
        <v>#N/A</v>
      </c>
      <c r="Q276" s="65" t="s">
        <v>222</v>
      </c>
      <c r="R276" s="64" t="str">
        <f>IF(S276&lt;&gt;0,VLOOKUP(S276,DM_DUAN,3,0),"")</f>
        <v>#N/A</v>
      </c>
      <c r="S276" s="66" t="str">
        <f>IF(U276&lt;&gt;0,VLOOKUP(U276,DM_DUAN,3,0),"")</f>
        <v/>
      </c>
      <c r="T276" s="64"/>
      <c r="U276" s="93"/>
      <c r="V276" s="64" t="str">
        <f>IF(W276&lt;&gt;0,VLOOKUP(W276,DM_DUAN,3,0),"")</f>
        <v/>
      </c>
      <c r="W276" s="68"/>
      <c r="X276" s="64" t="str">
        <f>IF(Y276&lt;&gt;0,VLOOKUP(Y276,DM_DUAN,3,0),"")</f>
        <v/>
      </c>
      <c r="Y276" s="84"/>
      <c r="Z276" s="64" t="str">
        <f>IF(AA276&lt;&gt;0,VLOOKUP(AA276,DM_DUAN,3,0),"")</f>
        <v>#N/A</v>
      </c>
      <c r="AA276" s="70" t="s">
        <v>177</v>
      </c>
      <c r="AB276" s="64" t="str">
        <f>IF(AC276&lt;&gt;0,VLOOKUP(AC276,DM_DUAN,3,0),"")</f>
        <v/>
      </c>
      <c r="AC276" s="70"/>
      <c r="AD276" s="64" t="str">
        <f>IF(AC276&lt;&gt;0,VLOOKUP(AC276,DM_NV,2,0),"")</f>
        <v/>
      </c>
      <c r="AE276" s="83" t="s">
        <v>223</v>
      </c>
      <c r="AF276" s="64" t="str">
        <f>IF(AE276&lt;&gt;0,VLOOKUP(AE276,DM_NV,2,0),"")</f>
        <v>#N/A</v>
      </c>
    </row>
    <row r="277">
      <c r="A277" s="51"/>
      <c r="B277" s="52" t="str">
        <f>IF(D277="","",VLOOKUP(D277,'THAM CHIẾU'!$A:$B,2,0))</f>
        <v>#N/A</v>
      </c>
      <c r="C277" s="53" t="str">
        <f t="shared" si="2"/>
        <v>02/2022</v>
      </c>
      <c r="D277" s="121">
        <v>44618.0</v>
      </c>
      <c r="E277" s="122" t="s">
        <v>420</v>
      </c>
      <c r="F277" s="123"/>
      <c r="G277" s="57" t="s">
        <v>205</v>
      </c>
      <c r="H277" s="58" t="str">
        <f>IF(G277="","",VLOOKUP($G277,'Quy chuẩn hạch toán'!$B:$E,2,0))</f>
        <v>642</v>
      </c>
      <c r="I277" s="58" t="str">
        <f>IF(H277="","",VLOOKUP($G277,'Quy chuẩn hạch toán'!$B:$E,3,0))</f>
        <v>1111</v>
      </c>
      <c r="J277" s="130">
        <v>26190.0</v>
      </c>
      <c r="K277" s="60"/>
      <c r="L277" s="61"/>
      <c r="M277" s="62"/>
      <c r="N277" s="63"/>
      <c r="O277" s="64" t="str">
        <f>IF($Q277&lt;&gt;0,VLOOKUP($Q277,DM_KM,3,0),"")</f>
        <v>#N/A</v>
      </c>
      <c r="P277" s="64" t="str">
        <f>IF($Q277&lt;&gt;0,VLOOKUP($Q277,DM_KM,5,0),"")</f>
        <v>#N/A</v>
      </c>
      <c r="Q277" s="65" t="s">
        <v>222</v>
      </c>
      <c r="R277" s="64" t="str">
        <f>IF(S277&lt;&gt;0,VLOOKUP(S277,DM_DUAN,3,0),"")</f>
        <v>#N/A</v>
      </c>
      <c r="S277" s="66" t="str">
        <f>IF(U277&lt;&gt;0,VLOOKUP(U277,DM_DUAN,3,0),"")</f>
        <v/>
      </c>
      <c r="T277" s="64"/>
      <c r="U277" s="93"/>
      <c r="V277" s="64" t="str">
        <f>IF(W277&lt;&gt;0,VLOOKUP(W277,DM_DUAN,3,0),"")</f>
        <v/>
      </c>
      <c r="W277" s="68"/>
      <c r="X277" s="64" t="str">
        <f>IF(Y277&lt;&gt;0,VLOOKUP(Y277,DM_DUAN,3,0),"")</f>
        <v/>
      </c>
      <c r="Y277" s="84"/>
      <c r="Z277" s="64" t="str">
        <f>IF(AA277&lt;&gt;0,VLOOKUP(AA277,DM_DUAN,3,0),"")</f>
        <v>#N/A</v>
      </c>
      <c r="AA277" s="70" t="s">
        <v>183</v>
      </c>
      <c r="AB277" s="64" t="str">
        <f>IF(AC277&lt;&gt;0,VLOOKUP(AC277,DM_DUAN,3,0),"")</f>
        <v/>
      </c>
      <c r="AC277" s="85"/>
      <c r="AD277" s="64" t="str">
        <f>IF(AC277&lt;&gt;0,VLOOKUP(AC277,DM_NV,2,0),"")</f>
        <v/>
      </c>
      <c r="AE277" s="83" t="s">
        <v>223</v>
      </c>
      <c r="AF277" s="64" t="str">
        <f>IF(AE277&lt;&gt;0,VLOOKUP(AE277,DM_NV,2,0),"")</f>
        <v>#N/A</v>
      </c>
      <c r="AI277" s="98" t="s">
        <v>421</v>
      </c>
      <c r="AJ277" s="98"/>
      <c r="AK277" s="98"/>
      <c r="AL277" s="98"/>
      <c r="AM277" s="98"/>
      <c r="AN277" s="98"/>
      <c r="AO277" s="98"/>
      <c r="AP277" s="98"/>
      <c r="AQ277" s="98"/>
      <c r="AR277" s="98"/>
      <c r="AS277" s="98"/>
      <c r="AT277" s="98"/>
    </row>
    <row r="278">
      <c r="A278" s="51"/>
      <c r="B278" s="52" t="str">
        <f>IF(D278="","",VLOOKUP(D278,'THAM CHIẾU'!$A:$B,2,0))</f>
        <v>#N/A</v>
      </c>
      <c r="C278" s="53" t="str">
        <f t="shared" si="2"/>
        <v>02/2022</v>
      </c>
      <c r="D278" s="99">
        <v>44618.0</v>
      </c>
      <c r="E278" s="55" t="s">
        <v>422</v>
      </c>
      <c r="F278" s="56"/>
      <c r="G278" s="57" t="s">
        <v>225</v>
      </c>
      <c r="H278" s="58" t="str">
        <f>IF(G278="","",VLOOKUP($G278,'Quy chuẩn hạch toán'!$B:$E,2,0))</f>
        <v>154</v>
      </c>
      <c r="I278" s="58" t="str">
        <f>IF(H278="","",VLOOKUP($G278,'Quy chuẩn hạch toán'!$B:$E,3,0))</f>
        <v>1111</v>
      </c>
      <c r="J278" s="59">
        <v>20571.0</v>
      </c>
      <c r="K278" s="60"/>
      <c r="L278" s="61"/>
      <c r="M278" s="62"/>
      <c r="N278" s="63"/>
      <c r="O278" s="64" t="str">
        <f>IF($Q278&lt;&gt;0,VLOOKUP($Q278,DM_KM,3,0),"")</f>
        <v>#N/A</v>
      </c>
      <c r="P278" s="64" t="str">
        <f>IF($Q278&lt;&gt;0,VLOOKUP($Q278,DM_KM,5,0),"")</f>
        <v>#N/A</v>
      </c>
      <c r="Q278" s="65" t="s">
        <v>226</v>
      </c>
      <c r="R278" s="64" t="str">
        <f>IF(S278&lt;&gt;0,VLOOKUP(S278,DM_DUAN,3,0),"")</f>
        <v>#N/A</v>
      </c>
      <c r="S278" s="66" t="str">
        <f>IF(U278&lt;&gt;0,VLOOKUP(U278,DM_DUAN,3,0),"")</f>
        <v/>
      </c>
      <c r="T278" s="64"/>
      <c r="U278" s="93"/>
      <c r="V278" s="64" t="str">
        <f>IF(W278&lt;&gt;0,VLOOKUP(W278,DM_DUAN,3,0),"")</f>
        <v/>
      </c>
      <c r="W278" s="68"/>
      <c r="X278" s="64" t="str">
        <f>IF(Y278&lt;&gt;0,VLOOKUP(Y278,DM_DUAN,3,0),"")</f>
        <v>#N/A</v>
      </c>
      <c r="Y278" s="69" t="s">
        <v>176</v>
      </c>
      <c r="Z278" s="64" t="str">
        <f>IF(AA278&lt;&gt;0,VLOOKUP(AA278,DM_DUAN,3,0),"")</f>
        <v>#N/A</v>
      </c>
      <c r="AA278" s="70" t="s">
        <v>208</v>
      </c>
      <c r="AB278" s="64" t="str">
        <f>IF(AC278&lt;&gt;0,VLOOKUP(AC278,DM_DUAN,3,0),"")</f>
        <v/>
      </c>
      <c r="AC278" s="70"/>
      <c r="AD278" s="64" t="str">
        <f>IF(AC278&lt;&gt;0,VLOOKUP(AC278,DM_NV,2,0),"")</f>
        <v/>
      </c>
      <c r="AE278" s="83" t="s">
        <v>227</v>
      </c>
      <c r="AF278" s="64" t="str">
        <f>IF(AE278&lt;&gt;0,VLOOKUP(AE278,DM_NV,2,0),"")</f>
        <v>#N/A</v>
      </c>
      <c r="AG278" s="98" t="s">
        <v>423</v>
      </c>
      <c r="AI278" s="98" t="s">
        <v>424</v>
      </c>
      <c r="AJ278" s="98"/>
      <c r="AK278" s="98"/>
      <c r="AL278" s="98"/>
      <c r="AM278" s="98"/>
      <c r="AN278" s="98"/>
      <c r="AO278" s="98"/>
      <c r="AP278" s="98"/>
      <c r="AQ278" s="98"/>
      <c r="AR278" s="98"/>
      <c r="AS278" s="98"/>
      <c r="AT278" s="98"/>
    </row>
    <row r="279">
      <c r="A279" s="51"/>
      <c r="B279" s="52" t="str">
        <f>IF(D279="","",VLOOKUP(D279,'THAM CHIẾU'!$A:$B,2,0))</f>
        <v>#N/A</v>
      </c>
      <c r="C279" s="53" t="str">
        <f t="shared" si="2"/>
        <v>02/2022</v>
      </c>
      <c r="D279" s="99">
        <v>44618.0</v>
      </c>
      <c r="E279" s="55" t="s">
        <v>422</v>
      </c>
      <c r="F279" s="56"/>
      <c r="G279" s="57" t="s">
        <v>225</v>
      </c>
      <c r="H279" s="58" t="str">
        <f>IF(G279="","",VLOOKUP($G279,'Quy chuẩn hạch toán'!$B:$E,2,0))</f>
        <v>154</v>
      </c>
      <c r="I279" s="58" t="str">
        <f>IF(H279="","",VLOOKUP($G279,'Quy chuẩn hạch toán'!$B:$E,3,0))</f>
        <v>1111</v>
      </c>
      <c r="J279" s="59">
        <v>41143.0</v>
      </c>
      <c r="K279" s="60"/>
      <c r="L279" s="61"/>
      <c r="M279" s="62"/>
      <c r="N279" s="63"/>
      <c r="O279" s="64" t="str">
        <f>IF($Q279&lt;&gt;0,VLOOKUP($Q279,DM_KM,3,0),"")</f>
        <v>#N/A</v>
      </c>
      <c r="P279" s="64" t="str">
        <f>IF($Q279&lt;&gt;0,VLOOKUP($Q279,DM_KM,5,0),"")</f>
        <v>#N/A</v>
      </c>
      <c r="Q279" s="65" t="s">
        <v>226</v>
      </c>
      <c r="R279" s="64" t="str">
        <f>IF(S279&lt;&gt;0,VLOOKUP(S279,DM_DUAN,3,0),"")</f>
        <v>#N/A</v>
      </c>
      <c r="S279" s="66" t="str">
        <f>IF(U279&lt;&gt;0,VLOOKUP(U279,DM_DUAN,3,0),"")</f>
        <v/>
      </c>
      <c r="T279" s="64"/>
      <c r="U279" s="93"/>
      <c r="V279" s="64" t="str">
        <f>IF(W279&lt;&gt;0,VLOOKUP(W279,DM_DUAN,3,0),"")</f>
        <v/>
      </c>
      <c r="W279" s="68"/>
      <c r="X279" s="64" t="str">
        <f>IF(Y279&lt;&gt;0,VLOOKUP(Y279,DM_DUAN,3,0),"")</f>
        <v>#N/A</v>
      </c>
      <c r="Y279" s="69" t="s">
        <v>176</v>
      </c>
      <c r="Z279" s="64" t="str">
        <f>IF(AA279&lt;&gt;0,VLOOKUP(AA279,DM_DUAN,3,0),"")</f>
        <v>#N/A</v>
      </c>
      <c r="AA279" s="70" t="s">
        <v>210</v>
      </c>
      <c r="AB279" s="64" t="str">
        <f>IF(AC279&lt;&gt;0,VLOOKUP(AC279,DM_DUAN,3,0),"")</f>
        <v/>
      </c>
      <c r="AC279" s="70"/>
      <c r="AD279" s="64" t="str">
        <f>IF(AC279&lt;&gt;0,VLOOKUP(AC279,DM_NV,2,0),"")</f>
        <v/>
      </c>
      <c r="AE279" s="83" t="s">
        <v>227</v>
      </c>
      <c r="AF279" s="64" t="str">
        <f>IF(AE279&lt;&gt;0,VLOOKUP(AE279,DM_NV,2,0),"")</f>
        <v>#N/A</v>
      </c>
      <c r="AG279" s="98" t="s">
        <v>211</v>
      </c>
      <c r="AI279" s="98" t="s">
        <v>425</v>
      </c>
      <c r="AJ279" s="98"/>
      <c r="AK279" s="98"/>
      <c r="AL279" s="98"/>
      <c r="AM279" s="98"/>
      <c r="AN279" s="98"/>
      <c r="AO279" s="98"/>
      <c r="AP279" s="98"/>
      <c r="AQ279" s="98"/>
      <c r="AR279" s="98"/>
      <c r="AS279" s="98"/>
      <c r="AT279" s="98"/>
    </row>
    <row r="280">
      <c r="A280" s="51"/>
      <c r="B280" s="52" t="str">
        <f>IF(D280="","",VLOOKUP(D280,'THAM CHIẾU'!$A:$B,2,0))</f>
        <v>#N/A</v>
      </c>
      <c r="C280" s="53" t="str">
        <f t="shared" si="2"/>
        <v>02/2022</v>
      </c>
      <c r="D280" s="99">
        <v>44618.0</v>
      </c>
      <c r="E280" s="55" t="s">
        <v>422</v>
      </c>
      <c r="F280" s="56"/>
      <c r="G280" s="57" t="s">
        <v>225</v>
      </c>
      <c r="H280" s="58" t="str">
        <f>IF(G280="","",VLOOKUP($G280,'Quy chuẩn hạch toán'!$B:$E,2,0))</f>
        <v>154</v>
      </c>
      <c r="I280" s="58" t="str">
        <f>IF(H280="","",VLOOKUP($G280,'Quy chuẩn hạch toán'!$B:$E,3,0))</f>
        <v>1111</v>
      </c>
      <c r="J280" s="59">
        <v>51429.0</v>
      </c>
      <c r="K280" s="60"/>
      <c r="L280" s="61"/>
      <c r="M280" s="62"/>
      <c r="N280" s="63"/>
      <c r="O280" s="64" t="str">
        <f>IF($Q280&lt;&gt;0,VLOOKUP($Q280,DM_KM,3,0),"")</f>
        <v>#N/A</v>
      </c>
      <c r="P280" s="64" t="str">
        <f>IF($Q280&lt;&gt;0,VLOOKUP($Q280,DM_KM,5,0),"")</f>
        <v>#N/A</v>
      </c>
      <c r="Q280" s="65" t="s">
        <v>226</v>
      </c>
      <c r="R280" s="64" t="str">
        <f>IF(S280&lt;&gt;0,VLOOKUP(S280,DM_DUAN,3,0),"")</f>
        <v>#N/A</v>
      </c>
      <c r="S280" s="66" t="str">
        <f>IF(U280&lt;&gt;0,VLOOKUP(U280,DM_DUAN,3,0),"")</f>
        <v/>
      </c>
      <c r="T280" s="64"/>
      <c r="U280" s="93"/>
      <c r="V280" s="64" t="str">
        <f>IF(W280&lt;&gt;0,VLOOKUP(W280,DM_DUAN,3,0),"")</f>
        <v/>
      </c>
      <c r="W280" s="68"/>
      <c r="X280" s="64" t="str">
        <f>IF(Y280&lt;&gt;0,VLOOKUP(Y280,DM_DUAN,3,0),"")</f>
        <v>#N/A</v>
      </c>
      <c r="Y280" s="69" t="s">
        <v>176</v>
      </c>
      <c r="Z280" s="64" t="str">
        <f>IF(AA280&lt;&gt;0,VLOOKUP(AA280,DM_DUAN,3,0),"")</f>
        <v>#N/A</v>
      </c>
      <c r="AA280" s="70" t="s">
        <v>177</v>
      </c>
      <c r="AB280" s="64" t="str">
        <f>IF(AC280&lt;&gt;0,VLOOKUP(AC280,DM_DUAN,3,0),"")</f>
        <v/>
      </c>
      <c r="AC280" s="70"/>
      <c r="AD280" s="64" t="str">
        <f>IF(AC280&lt;&gt;0,VLOOKUP(AC280,DM_NV,2,0),"")</f>
        <v/>
      </c>
      <c r="AE280" s="83" t="s">
        <v>227</v>
      </c>
      <c r="AF280" s="64" t="str">
        <f>IF(AE280&lt;&gt;0,VLOOKUP(AE280,DM_NV,2,0),"")</f>
        <v>#N/A</v>
      </c>
      <c r="AG280" s="98" t="s">
        <v>211</v>
      </c>
      <c r="AI280" s="98" t="s">
        <v>425</v>
      </c>
      <c r="AJ280" s="98"/>
      <c r="AK280" s="98"/>
      <c r="AL280" s="98"/>
      <c r="AM280" s="98"/>
      <c r="AN280" s="98"/>
      <c r="AO280" s="98"/>
      <c r="AP280" s="98"/>
      <c r="AQ280" s="98"/>
      <c r="AR280" s="98"/>
      <c r="AS280" s="98"/>
      <c r="AT280" s="98"/>
    </row>
    <row r="281">
      <c r="A281" s="51"/>
      <c r="B281" s="52" t="str">
        <f>IF(D281="","",VLOOKUP(D281,'THAM CHIẾU'!$A:$B,2,0))</f>
        <v>#N/A</v>
      </c>
      <c r="C281" s="53" t="str">
        <f t="shared" si="2"/>
        <v>02/2022</v>
      </c>
      <c r="D281" s="99">
        <v>44618.0</v>
      </c>
      <c r="E281" s="55" t="s">
        <v>422</v>
      </c>
      <c r="F281" s="56"/>
      <c r="G281" s="57" t="s">
        <v>225</v>
      </c>
      <c r="H281" s="58" t="str">
        <f>IF(G281="","",VLOOKUP($G281,'Quy chuẩn hạch toán'!$B:$E,2,0))</f>
        <v>154</v>
      </c>
      <c r="I281" s="58" t="str">
        <f>IF(H281="","",VLOOKUP($G281,'Quy chuẩn hạch toán'!$B:$E,3,0))</f>
        <v>1111</v>
      </c>
      <c r="J281" s="59">
        <v>102857.0</v>
      </c>
      <c r="K281" s="60"/>
      <c r="L281" s="61"/>
      <c r="M281" s="62"/>
      <c r="N281" s="63"/>
      <c r="O281" s="64" t="str">
        <f>IF($Q281&lt;&gt;0,VLOOKUP($Q281,DM_KM,3,0),"")</f>
        <v>#N/A</v>
      </c>
      <c r="P281" s="64" t="str">
        <f>IF($Q281&lt;&gt;0,VLOOKUP($Q281,DM_KM,5,0),"")</f>
        <v>#N/A</v>
      </c>
      <c r="Q281" s="65" t="s">
        <v>226</v>
      </c>
      <c r="R281" s="64" t="str">
        <f>IF(S281&lt;&gt;0,VLOOKUP(S281,DM_DUAN,3,0),"")</f>
        <v>#N/A</v>
      </c>
      <c r="S281" s="66" t="str">
        <f>IF(U281&lt;&gt;0,VLOOKUP(U281,DM_DUAN,3,0),"")</f>
        <v/>
      </c>
      <c r="T281" s="64"/>
      <c r="U281" s="93"/>
      <c r="V281" s="64" t="str">
        <f>IF(W281&lt;&gt;0,VLOOKUP(W281,DM_DUAN,3,0),"")</f>
        <v/>
      </c>
      <c r="W281" s="68"/>
      <c r="X281" s="64" t="str">
        <f>IF(Y281&lt;&gt;0,VLOOKUP(Y281,DM_DUAN,3,0),"")</f>
        <v>#N/A</v>
      </c>
      <c r="Y281" s="69" t="s">
        <v>176</v>
      </c>
      <c r="Z281" s="64" t="str">
        <f>IF(AA281&lt;&gt;0,VLOOKUP(AA281,DM_DUAN,3,0),"")</f>
        <v>#N/A</v>
      </c>
      <c r="AA281" s="70" t="s">
        <v>183</v>
      </c>
      <c r="AB281" s="64" t="str">
        <f>IF(AC281&lt;&gt;0,VLOOKUP(AC281,DM_DUAN,3,0),"")</f>
        <v/>
      </c>
      <c r="AC281" s="85"/>
      <c r="AD281" s="64" t="str">
        <f>IF(AC281&lt;&gt;0,VLOOKUP(AC281,DM_NV,2,0),"")</f>
        <v/>
      </c>
      <c r="AE281" s="83" t="s">
        <v>227</v>
      </c>
      <c r="AF281" s="64" t="str">
        <f>IF(AE281&lt;&gt;0,VLOOKUP(AE281,DM_NV,2,0),"")</f>
        <v>#N/A</v>
      </c>
      <c r="AG281" s="98" t="s">
        <v>211</v>
      </c>
      <c r="AI281" s="98" t="s">
        <v>426</v>
      </c>
      <c r="AJ281" s="98"/>
      <c r="AK281" s="98"/>
      <c r="AL281" s="98"/>
      <c r="AM281" s="98"/>
      <c r="AN281" s="98"/>
      <c r="AO281" s="98"/>
      <c r="AP281" s="98"/>
      <c r="AQ281" s="98"/>
      <c r="AR281" s="98"/>
      <c r="AS281" s="98"/>
      <c r="AT281" s="98"/>
    </row>
    <row r="282">
      <c r="A282" s="51"/>
      <c r="B282" s="52" t="str">
        <f>IF(D282="","",VLOOKUP(D282,'THAM CHIẾU'!$A:$B,2,0))</f>
        <v>#N/A</v>
      </c>
      <c r="C282" s="53" t="str">
        <f t="shared" si="2"/>
        <v>02/2022</v>
      </c>
      <c r="D282" s="99">
        <v>44618.0</v>
      </c>
      <c r="E282" s="55" t="s">
        <v>427</v>
      </c>
      <c r="F282" s="56"/>
      <c r="G282" s="57" t="s">
        <v>205</v>
      </c>
      <c r="H282" s="58" t="str">
        <f>IF(G282="","",VLOOKUP($G282,'Quy chuẩn hạch toán'!$B:$E,2,0))</f>
        <v>642</v>
      </c>
      <c r="I282" s="58" t="str">
        <f>IF(H282="","",VLOOKUP($G282,'Quy chuẩn hạch toán'!$B:$E,3,0))</f>
        <v>1111</v>
      </c>
      <c r="J282" s="59">
        <v>293000.0</v>
      </c>
      <c r="K282" s="60"/>
      <c r="L282" s="61"/>
      <c r="M282" s="62"/>
      <c r="N282" s="63"/>
      <c r="O282" s="64" t="str">
        <f>IF($Q282&lt;&gt;0,VLOOKUP($Q282,DM_KM,3,0),"")</f>
        <v>#N/A</v>
      </c>
      <c r="P282" s="64" t="str">
        <f>IF($Q282&lt;&gt;0,VLOOKUP($Q282,DM_KM,5,0),"")</f>
        <v>#N/A</v>
      </c>
      <c r="Q282" s="65" t="s">
        <v>419</v>
      </c>
      <c r="R282" s="64" t="str">
        <f>IF(S282&lt;&gt;0,VLOOKUP(S282,DM_DUAN,3,0),"")</f>
        <v>#N/A</v>
      </c>
      <c r="S282" s="66" t="str">
        <f>IF(U282&lt;&gt;0,VLOOKUP(U282,DM_DUAN,3,0),"")</f>
        <v/>
      </c>
      <c r="T282" s="64"/>
      <c r="U282" s="93"/>
      <c r="V282" s="64" t="str">
        <f>IF(W282&lt;&gt;0,VLOOKUP(W282,DM_DUAN,3,0),"")</f>
        <v/>
      </c>
      <c r="W282" s="68"/>
      <c r="X282" s="64" t="str">
        <f>IF(Y282&lt;&gt;0,VLOOKUP(Y282,DM_DUAN,3,0),"")</f>
        <v/>
      </c>
      <c r="Y282" s="84"/>
      <c r="Z282" s="64" t="str">
        <f>IF(AA282&lt;&gt;0,VLOOKUP(AA282,DM_DUAN,3,0),"")</f>
        <v/>
      </c>
      <c r="AA282" s="131"/>
      <c r="AB282" s="64" t="str">
        <f>IF(AC282&lt;&gt;0,VLOOKUP(AC282,DM_DUAN,3,0),"")</f>
        <v/>
      </c>
      <c r="AC282" s="85"/>
      <c r="AD282" s="64" t="str">
        <f>IF(AC282&lt;&gt;0,VLOOKUP(AC282,DM_NV,2,0),"")</f>
        <v/>
      </c>
      <c r="AE282" s="83" t="s">
        <v>258</v>
      </c>
      <c r="AF282" s="64" t="str">
        <f>IF(AE282&lt;&gt;0,VLOOKUP(AE282,DM_NV,2,0),"")</f>
        <v>#N/A</v>
      </c>
      <c r="AG282" s="98" t="s">
        <v>211</v>
      </c>
    </row>
    <row r="283">
      <c r="A283" s="51"/>
      <c r="B283" s="52" t="str">
        <f>IF(D283="","",VLOOKUP(D283,'THAM CHIẾU'!$A:$B,2,0))</f>
        <v>#N/A</v>
      </c>
      <c r="C283" s="53" t="str">
        <f t="shared" si="2"/>
        <v>02/2022</v>
      </c>
      <c r="D283" s="121">
        <v>44619.0</v>
      </c>
      <c r="E283" s="122" t="s">
        <v>428</v>
      </c>
      <c r="F283" s="123"/>
      <c r="G283" s="57" t="s">
        <v>173</v>
      </c>
      <c r="H283" s="58" t="str">
        <f>IF(G283="","",VLOOKUP($G283,'Quy chuẩn hạch toán'!$B:$E,2,0))</f>
        <v>641</v>
      </c>
      <c r="I283" s="58" t="str">
        <f>IF(H283="","",VLOOKUP($G283,'Quy chuẩn hạch toán'!$B:$E,3,0))</f>
        <v>331</v>
      </c>
      <c r="J283" s="124">
        <v>708571.0</v>
      </c>
      <c r="K283" s="60"/>
      <c r="L283" s="61"/>
      <c r="M283" s="62"/>
      <c r="N283" s="63"/>
      <c r="O283" s="64" t="str">
        <f>IF($Q283&lt;&gt;0,VLOOKUP($Q283,DM_KM,3,0),"")</f>
        <v>#N/A</v>
      </c>
      <c r="P283" s="64" t="str">
        <f>IF($Q283&lt;&gt;0,VLOOKUP($Q283,DM_KM,5,0),"")</f>
        <v>#N/A</v>
      </c>
      <c r="Q283" s="65" t="s">
        <v>174</v>
      </c>
      <c r="R283" s="64" t="str">
        <f>IF(S283&lt;&gt;0,VLOOKUP(S283,DM_DUAN,3,0),"")</f>
        <v>#N/A</v>
      </c>
      <c r="S283" s="66" t="str">
        <f>IF(U283&lt;&gt;0,VLOOKUP(U283,DM_DUAN,3,0),"")</f>
        <v>THANHNAM</v>
      </c>
      <c r="T283" s="64"/>
      <c r="U283" s="67" t="s">
        <v>175</v>
      </c>
      <c r="V283" s="64" t="str">
        <f>IF(W283&lt;&gt;0,VLOOKUP(W283,DM_DUAN,3,0),"")</f>
        <v/>
      </c>
      <c r="W283" s="68"/>
      <c r="X283" s="64" t="str">
        <f>IF(Y283&lt;&gt;0,VLOOKUP(Y283,DM_DUAN,3,0),"")</f>
        <v>#N/A</v>
      </c>
      <c r="Y283" s="69" t="s">
        <v>176</v>
      </c>
      <c r="Z283" s="64" t="str">
        <f>IF(AA283&lt;&gt;0,VLOOKUP(AA283,DM_DUAN,3,0),"")</f>
        <v>#N/A</v>
      </c>
      <c r="AA283" s="70" t="s">
        <v>210</v>
      </c>
      <c r="AB283" s="64" t="str">
        <f>IF(AC283&lt;&gt;0,VLOOKUP(AC283,DM_DUAN,3,0),"")</f>
        <v/>
      </c>
      <c r="AC283" s="70"/>
      <c r="AD283" s="64" t="str">
        <f>IF(AC283&lt;&gt;0,VLOOKUP(AC283,DM_NV,2,0),"")</f>
        <v/>
      </c>
      <c r="AE283" s="68"/>
      <c r="AF283" s="64" t="str">
        <f>IF(AE283&lt;&gt;0,VLOOKUP(AE283,DM_NV,2,0),"")</f>
        <v/>
      </c>
      <c r="AG283" s="98" t="s">
        <v>211</v>
      </c>
    </row>
    <row r="284">
      <c r="A284" s="51"/>
      <c r="B284" s="52" t="str">
        <f>IF(D284="","",VLOOKUP(D284,'THAM CHIẾU'!$A:$B,2,0))</f>
        <v>#N/A</v>
      </c>
      <c r="C284" s="53" t="str">
        <f t="shared" si="2"/>
        <v>02/2022</v>
      </c>
      <c r="D284" s="121">
        <v>44619.0</v>
      </c>
      <c r="E284" s="122" t="s">
        <v>428</v>
      </c>
      <c r="F284" s="123"/>
      <c r="G284" s="57" t="s">
        <v>173</v>
      </c>
      <c r="H284" s="58" t="str">
        <f>IF(G284="","",VLOOKUP($G284,'Quy chuẩn hạch toán'!$B:$E,2,0))</f>
        <v>641</v>
      </c>
      <c r="I284" s="58" t="str">
        <f>IF(H284="","",VLOOKUP($G284,'Quy chuẩn hạch toán'!$B:$E,3,0))</f>
        <v>331</v>
      </c>
      <c r="J284" s="124">
        <v>1771429.0</v>
      </c>
      <c r="K284" s="60"/>
      <c r="L284" s="61"/>
      <c r="M284" s="62"/>
      <c r="N284" s="63"/>
      <c r="O284" s="64" t="str">
        <f>IF($Q284&lt;&gt;0,VLOOKUP($Q284,DM_KM,3,0),"")</f>
        <v>#N/A</v>
      </c>
      <c r="P284" s="64" t="str">
        <f>IF($Q284&lt;&gt;0,VLOOKUP($Q284,DM_KM,5,0),"")</f>
        <v>#N/A</v>
      </c>
      <c r="Q284" s="65" t="s">
        <v>174</v>
      </c>
      <c r="R284" s="64" t="str">
        <f>IF(S284&lt;&gt;0,VLOOKUP(S284,DM_DUAN,3,0),"")</f>
        <v>#N/A</v>
      </c>
      <c r="S284" s="66" t="str">
        <f>IF(U284&lt;&gt;0,VLOOKUP(U284,DM_DUAN,3,0),"")</f>
        <v>THANHNAM</v>
      </c>
      <c r="T284" s="64"/>
      <c r="U284" s="67" t="s">
        <v>175</v>
      </c>
      <c r="V284" s="64" t="str">
        <f>IF(W284&lt;&gt;0,VLOOKUP(W284,DM_DUAN,3,0),"")</f>
        <v/>
      </c>
      <c r="W284" s="68"/>
      <c r="X284" s="64" t="str">
        <f>IF(Y284&lt;&gt;0,VLOOKUP(Y284,DM_DUAN,3,0),"")</f>
        <v>#N/A</v>
      </c>
      <c r="Y284" s="69" t="s">
        <v>176</v>
      </c>
      <c r="Z284" s="64" t="str">
        <f>IF(AA284&lt;&gt;0,VLOOKUP(AA284,DM_DUAN,3,0),"")</f>
        <v>#N/A</v>
      </c>
      <c r="AA284" s="70" t="s">
        <v>183</v>
      </c>
      <c r="AB284" s="64" t="str">
        <f>IF(AC284&lt;&gt;0,VLOOKUP(AC284,DM_DUAN,3,0),"")</f>
        <v/>
      </c>
      <c r="AC284" s="85"/>
      <c r="AD284" s="64" t="str">
        <f>IF(AC284&lt;&gt;0,VLOOKUP(AC284,DM_NV,2,0),"")</f>
        <v/>
      </c>
      <c r="AE284" s="68"/>
      <c r="AF284" s="64" t="str">
        <f>IF(AE284&lt;&gt;0,VLOOKUP(AE284,DM_NV,2,0),"")</f>
        <v/>
      </c>
      <c r="AG284" s="98" t="s">
        <v>211</v>
      </c>
    </row>
    <row r="285">
      <c r="A285" s="51"/>
      <c r="B285" s="52" t="str">
        <f>IF(D285="","",VLOOKUP(D285,'THAM CHIẾU'!$A:$B,2,0))</f>
        <v>#N/A</v>
      </c>
      <c r="C285" s="53" t="str">
        <f t="shared" si="2"/>
        <v>02/2022</v>
      </c>
      <c r="D285" s="121">
        <v>44620.0</v>
      </c>
      <c r="E285" s="122" t="s">
        <v>429</v>
      </c>
      <c r="F285" s="123"/>
      <c r="G285" s="57" t="s">
        <v>205</v>
      </c>
      <c r="H285" s="58" t="str">
        <f>IF(G285="","",VLOOKUP($G285,'Quy chuẩn hạch toán'!$B:$E,2,0))</f>
        <v>642</v>
      </c>
      <c r="I285" s="58" t="str">
        <f>IF(H285="","",VLOOKUP($G285,'Quy chuẩn hạch toán'!$B:$E,3,0))</f>
        <v>1111</v>
      </c>
      <c r="J285" s="124">
        <v>9524.0</v>
      </c>
      <c r="K285" s="60"/>
      <c r="L285" s="61"/>
      <c r="M285" s="62"/>
      <c r="N285" s="63"/>
      <c r="O285" s="64" t="str">
        <f>IF($Q285&lt;&gt;0,VLOOKUP($Q285,DM_KM,3,0),"")</f>
        <v>#N/A</v>
      </c>
      <c r="P285" s="64" t="str">
        <f>IF($Q285&lt;&gt;0,VLOOKUP($Q285,DM_KM,5,0),"")</f>
        <v>#N/A</v>
      </c>
      <c r="Q285" s="65" t="s">
        <v>222</v>
      </c>
      <c r="R285" s="64" t="str">
        <f>IF(S285&lt;&gt;0,VLOOKUP(S285,DM_DUAN,3,0),"")</f>
        <v>#N/A</v>
      </c>
      <c r="S285" s="66" t="str">
        <f>IF(U285&lt;&gt;0,VLOOKUP(U285,DM_DUAN,3,0),"")</f>
        <v/>
      </c>
      <c r="T285" s="64"/>
      <c r="U285" s="93"/>
      <c r="V285" s="64" t="str">
        <f>IF(W285&lt;&gt;0,VLOOKUP(W285,DM_DUAN,3,0),"")</f>
        <v/>
      </c>
      <c r="W285" s="68"/>
      <c r="X285" s="64" t="str">
        <f>IF(Y285&lt;&gt;0,VLOOKUP(Y285,DM_DUAN,3,0),"")</f>
        <v>#N/A</v>
      </c>
      <c r="Y285" s="69" t="s">
        <v>304</v>
      </c>
      <c r="Z285" s="64" t="str">
        <f>IF(AA285&lt;&gt;0,VLOOKUP(AA285,DM_DUAN,3,0),"")</f>
        <v>#N/A</v>
      </c>
      <c r="AA285" s="70" t="s">
        <v>208</v>
      </c>
      <c r="AB285" s="64" t="str">
        <f>IF(AC285&lt;&gt;0,VLOOKUP(AC285,DM_DUAN,3,0),"")</f>
        <v/>
      </c>
      <c r="AC285" s="70"/>
      <c r="AD285" s="64" t="str">
        <f>IF(AC285&lt;&gt;0,VLOOKUP(AC285,DM_NV,2,0),"")</f>
        <v/>
      </c>
      <c r="AE285" s="83" t="s">
        <v>223</v>
      </c>
      <c r="AF285" s="64" t="str">
        <f>IF(AE285&lt;&gt;0,VLOOKUP(AE285,DM_NV,2,0),"")</f>
        <v>#N/A</v>
      </c>
      <c r="AG285" s="98" t="s">
        <v>430</v>
      </c>
    </row>
    <row r="286">
      <c r="A286" s="51"/>
      <c r="B286" s="52" t="str">
        <f>IF(D286="","",VLOOKUP(D286,'THAM CHIẾU'!$A:$B,2,0))</f>
        <v>#N/A</v>
      </c>
      <c r="C286" s="53" t="str">
        <f t="shared" si="2"/>
        <v>02/2022</v>
      </c>
      <c r="D286" s="121">
        <v>44620.0</v>
      </c>
      <c r="E286" s="122" t="s">
        <v>429</v>
      </c>
      <c r="F286" s="123"/>
      <c r="G286" s="57" t="s">
        <v>205</v>
      </c>
      <c r="H286" s="58" t="str">
        <f>IF(G286="","",VLOOKUP($G286,'Quy chuẩn hạch toán'!$B:$E,2,0))</f>
        <v>642</v>
      </c>
      <c r="I286" s="58" t="str">
        <f>IF(H286="","",VLOOKUP($G286,'Quy chuẩn hạch toán'!$B:$E,3,0))</f>
        <v>1111</v>
      </c>
      <c r="J286" s="124">
        <v>19048.0</v>
      </c>
      <c r="K286" s="60"/>
      <c r="L286" s="61"/>
      <c r="M286" s="62"/>
      <c r="N286" s="63"/>
      <c r="O286" s="64" t="str">
        <f>IF($Q286&lt;&gt;0,VLOOKUP($Q286,DM_KM,3,0),"")</f>
        <v>#N/A</v>
      </c>
      <c r="P286" s="64" t="str">
        <f>IF($Q286&lt;&gt;0,VLOOKUP($Q286,DM_KM,5,0),"")</f>
        <v>#N/A</v>
      </c>
      <c r="Q286" s="65" t="s">
        <v>222</v>
      </c>
      <c r="R286" s="64" t="str">
        <f>IF(S286&lt;&gt;0,VLOOKUP(S286,DM_DUAN,3,0),"")</f>
        <v>#N/A</v>
      </c>
      <c r="S286" s="66" t="str">
        <f>IF(U286&lt;&gt;0,VLOOKUP(U286,DM_DUAN,3,0),"")</f>
        <v/>
      </c>
      <c r="T286" s="64"/>
      <c r="U286" s="93"/>
      <c r="V286" s="64" t="str">
        <f>IF(W286&lt;&gt;0,VLOOKUP(W286,DM_DUAN,3,0),"")</f>
        <v/>
      </c>
      <c r="W286" s="68"/>
      <c r="X286" s="64" t="str">
        <f>IF(Y286&lt;&gt;0,VLOOKUP(Y286,DM_DUAN,3,0),"")</f>
        <v>#N/A</v>
      </c>
      <c r="Y286" s="69" t="s">
        <v>304</v>
      </c>
      <c r="Z286" s="64" t="str">
        <f>IF(AA286&lt;&gt;0,VLOOKUP(AA286,DM_DUAN,3,0),"")</f>
        <v>#N/A</v>
      </c>
      <c r="AA286" s="70" t="s">
        <v>210</v>
      </c>
      <c r="AB286" s="64" t="str">
        <f>IF(AC286&lt;&gt;0,VLOOKUP(AC286,DM_DUAN,3,0),"")</f>
        <v/>
      </c>
      <c r="AC286" s="70"/>
      <c r="AD286" s="64" t="str">
        <f>IF(AC286&lt;&gt;0,VLOOKUP(AC286,DM_NV,2,0),"")</f>
        <v/>
      </c>
      <c r="AE286" s="83" t="s">
        <v>223</v>
      </c>
      <c r="AF286" s="64" t="str">
        <f>IF(AE286&lt;&gt;0,VLOOKUP(AE286,DM_NV,2,0),"")</f>
        <v>#N/A</v>
      </c>
      <c r="AG286" s="98" t="s">
        <v>211</v>
      </c>
    </row>
    <row r="287">
      <c r="A287" s="51"/>
      <c r="B287" s="52" t="str">
        <f>IF(D287="","",VLOOKUP(D287,'THAM CHIẾU'!$A:$B,2,0))</f>
        <v>#N/A</v>
      </c>
      <c r="C287" s="53" t="str">
        <f t="shared" si="2"/>
        <v>02/2022</v>
      </c>
      <c r="D287" s="121">
        <v>44620.0</v>
      </c>
      <c r="E287" s="122" t="s">
        <v>429</v>
      </c>
      <c r="F287" s="123"/>
      <c r="G287" s="57" t="s">
        <v>205</v>
      </c>
      <c r="H287" s="58" t="str">
        <f>IF(G287="","",VLOOKUP($G287,'Quy chuẩn hạch toán'!$B:$E,2,0))</f>
        <v>642</v>
      </c>
      <c r="I287" s="58" t="str">
        <f>IF(H287="","",VLOOKUP($G287,'Quy chuẩn hạch toán'!$B:$E,3,0))</f>
        <v>1111</v>
      </c>
      <c r="J287" s="124">
        <v>23810.0</v>
      </c>
      <c r="K287" s="60"/>
      <c r="L287" s="61"/>
      <c r="M287" s="62"/>
      <c r="N287" s="63"/>
      <c r="O287" s="64" t="str">
        <f>IF($Q287&lt;&gt;0,VLOOKUP($Q287,DM_KM,3,0),"")</f>
        <v>#N/A</v>
      </c>
      <c r="P287" s="64" t="str">
        <f>IF($Q287&lt;&gt;0,VLOOKUP($Q287,DM_KM,5,0),"")</f>
        <v>#N/A</v>
      </c>
      <c r="Q287" s="65" t="s">
        <v>222</v>
      </c>
      <c r="R287" s="64" t="str">
        <f>IF(S287&lt;&gt;0,VLOOKUP(S287,DM_DUAN,3,0),"")</f>
        <v>#N/A</v>
      </c>
      <c r="S287" s="66" t="str">
        <f>IF(U287&lt;&gt;0,VLOOKUP(U287,DM_DUAN,3,0),"")</f>
        <v/>
      </c>
      <c r="T287" s="64"/>
      <c r="U287" s="93"/>
      <c r="V287" s="64" t="str">
        <f>IF(W287&lt;&gt;0,VLOOKUP(W287,DM_DUAN,3,0),"")</f>
        <v/>
      </c>
      <c r="W287" s="68"/>
      <c r="X287" s="64" t="str">
        <f>IF(Y287&lt;&gt;0,VLOOKUP(Y287,DM_DUAN,3,0),"")</f>
        <v>#N/A</v>
      </c>
      <c r="Y287" s="69" t="s">
        <v>304</v>
      </c>
      <c r="Z287" s="64" t="str">
        <f>IF(AA287&lt;&gt;0,VLOOKUP(AA287,DM_DUAN,3,0),"")</f>
        <v>#N/A</v>
      </c>
      <c r="AA287" s="70" t="s">
        <v>177</v>
      </c>
      <c r="AB287" s="64" t="str">
        <f>IF(AC287&lt;&gt;0,VLOOKUP(AC287,DM_DUAN,3,0),"")</f>
        <v/>
      </c>
      <c r="AC287" s="70"/>
      <c r="AD287" s="64" t="str">
        <f>IF(AC287&lt;&gt;0,VLOOKUP(AC287,DM_NV,2,0),"")</f>
        <v/>
      </c>
      <c r="AE287" s="83" t="s">
        <v>223</v>
      </c>
      <c r="AF287" s="64" t="str">
        <f>IF(AE287&lt;&gt;0,VLOOKUP(AE287,DM_NV,2,0),"")</f>
        <v>#N/A</v>
      </c>
      <c r="AG287" s="98" t="s">
        <v>211</v>
      </c>
    </row>
    <row r="288">
      <c r="A288" s="51"/>
      <c r="B288" s="52" t="str">
        <f>IF(D288="","",VLOOKUP(D288,'THAM CHIẾU'!$A:$B,2,0))</f>
        <v>#N/A</v>
      </c>
      <c r="C288" s="53" t="str">
        <f t="shared" si="2"/>
        <v>02/2022</v>
      </c>
      <c r="D288" s="121">
        <v>44620.0</v>
      </c>
      <c r="E288" s="122" t="s">
        <v>429</v>
      </c>
      <c r="F288" s="123"/>
      <c r="G288" s="57" t="s">
        <v>205</v>
      </c>
      <c r="H288" s="58" t="str">
        <f>IF(G288="","",VLOOKUP($G288,'Quy chuẩn hạch toán'!$B:$E,2,0))</f>
        <v>642</v>
      </c>
      <c r="I288" s="58" t="str">
        <f>IF(H288="","",VLOOKUP($G288,'Quy chuẩn hạch toán'!$B:$E,3,0))</f>
        <v>1111</v>
      </c>
      <c r="J288" s="124">
        <v>47619.0</v>
      </c>
      <c r="K288" s="60"/>
      <c r="L288" s="61"/>
      <c r="M288" s="62"/>
      <c r="N288" s="63"/>
      <c r="O288" s="64" t="str">
        <f>IF($Q288&lt;&gt;0,VLOOKUP($Q288,DM_KM,3,0),"")</f>
        <v>#N/A</v>
      </c>
      <c r="P288" s="64" t="str">
        <f>IF($Q288&lt;&gt;0,VLOOKUP($Q288,DM_KM,5,0),"")</f>
        <v>#N/A</v>
      </c>
      <c r="Q288" s="65" t="s">
        <v>222</v>
      </c>
      <c r="R288" s="64" t="str">
        <f>IF(S288&lt;&gt;0,VLOOKUP(S288,DM_DUAN,3,0),"")</f>
        <v>#N/A</v>
      </c>
      <c r="S288" s="66" t="str">
        <f>IF(U288&lt;&gt;0,VLOOKUP(U288,DM_DUAN,3,0),"")</f>
        <v/>
      </c>
      <c r="T288" s="64"/>
      <c r="U288" s="93"/>
      <c r="V288" s="64" t="str">
        <f>IF(W288&lt;&gt;0,VLOOKUP(W288,DM_DUAN,3,0),"")</f>
        <v/>
      </c>
      <c r="W288" s="68"/>
      <c r="X288" s="64" t="str">
        <f>IF(Y288&lt;&gt;0,VLOOKUP(Y288,DM_DUAN,3,0),"")</f>
        <v>#N/A</v>
      </c>
      <c r="Y288" s="69" t="s">
        <v>304</v>
      </c>
      <c r="Z288" s="64" t="str">
        <f>IF(AA288&lt;&gt;0,VLOOKUP(AA288,DM_DUAN,3,0),"")</f>
        <v>#N/A</v>
      </c>
      <c r="AA288" s="70" t="s">
        <v>183</v>
      </c>
      <c r="AB288" s="64" t="str">
        <f>IF(AC288&lt;&gt;0,VLOOKUP(AC288,DM_DUAN,3,0),"")</f>
        <v/>
      </c>
      <c r="AC288" s="85"/>
      <c r="AD288" s="64" t="str">
        <f>IF(AC288&lt;&gt;0,VLOOKUP(AC288,DM_NV,2,0),"")</f>
        <v/>
      </c>
      <c r="AE288" s="83" t="s">
        <v>223</v>
      </c>
      <c r="AF288" s="64" t="str">
        <f>IF(AE288&lt;&gt;0,VLOOKUP(AE288,DM_NV,2,0),"")</f>
        <v>#N/A</v>
      </c>
      <c r="AG288" s="98" t="s">
        <v>211</v>
      </c>
    </row>
    <row r="289">
      <c r="A289" s="51"/>
      <c r="B289" s="52" t="str">
        <f>IF(D289="","",VLOOKUP(D289,'THAM CHIẾU'!$A:$B,2,0))</f>
        <v>#N/A</v>
      </c>
      <c r="C289" s="53" t="str">
        <f t="shared" si="2"/>
        <v>02/2022</v>
      </c>
      <c r="D289" s="99">
        <v>44601.0</v>
      </c>
      <c r="E289" s="55" t="s">
        <v>431</v>
      </c>
      <c r="F289" s="56"/>
      <c r="G289" s="57" t="s">
        <v>186</v>
      </c>
      <c r="H289" s="58" t="str">
        <f>IF(G289="","",VLOOKUP($G289,'Quy chuẩn hạch toán'!$B:$E,2,0))</f>
        <v>131</v>
      </c>
      <c r="I289" s="58" t="str">
        <f>IF(H289="","",VLOOKUP($G289,'Quy chuẩn hạch toán'!$B:$E,3,0))</f>
        <v>5113</v>
      </c>
      <c r="J289" s="59">
        <v>1.8E8</v>
      </c>
      <c r="K289" s="60"/>
      <c r="L289" s="61"/>
      <c r="M289" s="62"/>
      <c r="N289" s="63"/>
      <c r="O289" s="64" t="str">
        <f>IF($Q289&lt;&gt;0,VLOOKUP($Q289,DM_KM,3,0),"")</f>
        <v>511_TK</v>
      </c>
      <c r="P289" s="64">
        <f>IF($Q289&lt;&gt;0,VLOOKUP($Q289,DM_KM,5,0),"")</f>
        <v>511</v>
      </c>
      <c r="Q289" s="65" t="s">
        <v>187</v>
      </c>
      <c r="R289" s="64" t="str">
        <f>IF(S289&lt;&gt;0,VLOOKUP(S289,DM_DUAN,3,0),"")</f>
        <v>#N/A</v>
      </c>
      <c r="S289" s="66" t="str">
        <f>IF(U289&lt;&gt;0,VLOOKUP(U289,DM_DUAN,3,0),"")</f>
        <v>THANHNAM</v>
      </c>
      <c r="T289" s="64"/>
      <c r="U289" s="67" t="s">
        <v>175</v>
      </c>
      <c r="V289" s="64" t="str">
        <f>IF(W289&lt;&gt;0,VLOOKUP(W289,DM_DUAN,3,0),"")</f>
        <v/>
      </c>
      <c r="W289" s="68"/>
      <c r="X289" s="64" t="str">
        <f>IF(Y289&lt;&gt;0,VLOOKUP(Y289,DM_DUAN,3,0),"")</f>
        <v>#N/A</v>
      </c>
      <c r="Y289" s="69" t="s">
        <v>176</v>
      </c>
      <c r="Z289" s="64" t="str">
        <f>IF(AA289&lt;&gt;0,VLOOKUP(AA289,DM_DUAN,3,0),"")</f>
        <v>#N/A</v>
      </c>
      <c r="AA289" s="70" t="s">
        <v>210</v>
      </c>
      <c r="AB289" s="64" t="str">
        <f>IF(AC289&lt;&gt;0,VLOOKUP(AC289,DM_DUAN,3,0),"")</f>
        <v/>
      </c>
      <c r="AC289" s="70"/>
      <c r="AD289" s="64" t="str">
        <f>IF(AC289&lt;&gt;0,VLOOKUP(AC289,DM_NV,2,0),"")</f>
        <v/>
      </c>
      <c r="AE289" s="68"/>
      <c r="AF289" s="64" t="str">
        <f>IF(AE289&lt;&gt;0,VLOOKUP(AE289,DM_NV,2,0),"")</f>
        <v/>
      </c>
      <c r="AG289" s="98" t="s">
        <v>211</v>
      </c>
    </row>
    <row r="290">
      <c r="A290" s="51"/>
      <c r="B290" s="52" t="str">
        <f>IF(D290="","",VLOOKUP(D290,'THAM CHIẾU'!$A:$B,2,0))</f>
        <v>#N/A</v>
      </c>
      <c r="C290" s="53" t="str">
        <f t="shared" si="2"/>
        <v>02/2022</v>
      </c>
      <c r="D290" s="99">
        <v>44601.0</v>
      </c>
      <c r="E290" s="79" t="s">
        <v>432</v>
      </c>
      <c r="F290" s="80"/>
      <c r="G290" s="57" t="s">
        <v>189</v>
      </c>
      <c r="H290" s="58" t="str">
        <f>IF(G290="","",VLOOKUP($G290,'Quy chuẩn hạch toán'!$B:$E,2,0))</f>
        <v>154</v>
      </c>
      <c r="I290" s="58" t="str">
        <f>IF(H290="","",VLOOKUP($G290,'Quy chuẩn hạch toán'!$B:$E,3,0))</f>
        <v>3345</v>
      </c>
      <c r="J290" s="59">
        <v>5.5E7</v>
      </c>
      <c r="K290" s="60"/>
      <c r="L290" s="61"/>
      <c r="M290" s="62"/>
      <c r="N290" s="63"/>
      <c r="O290" s="64" t="str">
        <f>IF($Q290&lt;&gt;0,VLOOKUP($Q290,DM_KM,3,0),"")</f>
        <v>#N/A</v>
      </c>
      <c r="P290" s="64" t="str">
        <f>IF($Q290&lt;&gt;0,VLOOKUP($Q290,DM_KM,5,0),"")</f>
        <v>#N/A</v>
      </c>
      <c r="Q290" s="89" t="s">
        <v>190</v>
      </c>
      <c r="R290" s="64" t="str">
        <f>IF(S290&lt;&gt;0,VLOOKUP(S290,DM_DUAN,3,0),"")</f>
        <v>#N/A</v>
      </c>
      <c r="S290" s="66" t="str">
        <f>IF(U290&lt;&gt;0,VLOOKUP(U290,DM_DUAN,3,0),"")</f>
        <v>THANHNAM</v>
      </c>
      <c r="T290" s="64"/>
      <c r="U290" s="67" t="s">
        <v>175</v>
      </c>
      <c r="V290" s="64" t="str">
        <f>IF(W290&lt;&gt;0,VLOOKUP(W290,DM_DUAN,3,0),"")</f>
        <v>#N/A</v>
      </c>
      <c r="W290" s="83" t="s">
        <v>433</v>
      </c>
      <c r="X290" s="64" t="str">
        <f>IF(Y290&lt;&gt;0,VLOOKUP(Y290,DM_DUAN,3,0),"")</f>
        <v>#N/A</v>
      </c>
      <c r="Y290" s="69" t="s">
        <v>176</v>
      </c>
      <c r="Z290" s="64" t="str">
        <f>IF(AA290&lt;&gt;0,VLOOKUP(AA290,DM_DUAN,3,0),"")</f>
        <v>#N/A</v>
      </c>
      <c r="AA290" s="70" t="s">
        <v>210</v>
      </c>
      <c r="AB290" s="64" t="str">
        <f>IF(AC290&lt;&gt;0,VLOOKUP(AC290,DM_DUAN,3,0),"")</f>
        <v>#N/A</v>
      </c>
      <c r="AC290" s="70" t="s">
        <v>434</v>
      </c>
      <c r="AD290" s="64" t="str">
        <f>IF(AC290&lt;&gt;0,VLOOKUP(AC290,DM_NV,2,0),"")</f>
        <v>Trần Anh Dũng</v>
      </c>
      <c r="AE290" s="68"/>
      <c r="AF290" s="64" t="str">
        <f>IF(AE290&lt;&gt;0,VLOOKUP(AE290,DM_NV,2,0),"")</f>
        <v/>
      </c>
      <c r="AG290" s="98" t="s">
        <v>211</v>
      </c>
    </row>
    <row r="291">
      <c r="A291" s="51"/>
      <c r="B291" s="52" t="str">
        <f>IF(D291="","",VLOOKUP(D291,'THAM CHIẾU'!$A:$B,2,0))</f>
        <v>#N/A</v>
      </c>
      <c r="C291" s="53" t="str">
        <f t="shared" si="2"/>
        <v>02/2022</v>
      </c>
      <c r="D291" s="99">
        <v>44601.0</v>
      </c>
      <c r="E291" s="79" t="s">
        <v>435</v>
      </c>
      <c r="F291" s="80"/>
      <c r="G291" s="57" t="s">
        <v>193</v>
      </c>
      <c r="H291" s="58" t="str">
        <f>IF(G291="","",VLOOKUP($G291,'Quy chuẩn hạch toán'!$B:$E,2,0))</f>
        <v>154</v>
      </c>
      <c r="I291" s="58" t="str">
        <f>IF(H291="","",VLOOKUP($G291,'Quy chuẩn hạch toán'!$B:$E,3,0))</f>
        <v>3344</v>
      </c>
      <c r="J291" s="59">
        <v>7580000.0</v>
      </c>
      <c r="K291" s="60"/>
      <c r="L291" s="61"/>
      <c r="M291" s="62"/>
      <c r="N291" s="63"/>
      <c r="O291" s="64" t="str">
        <f>IF($Q291&lt;&gt;0,VLOOKUP($Q291,DM_KM,3,0),"")</f>
        <v>#N/A</v>
      </c>
      <c r="P291" s="64" t="str">
        <f>IF($Q291&lt;&gt;0,VLOOKUP($Q291,DM_KM,5,0),"")</f>
        <v>#N/A</v>
      </c>
      <c r="Q291" s="65" t="s">
        <v>194</v>
      </c>
      <c r="R291" s="64" t="str">
        <f>IF(S291&lt;&gt;0,VLOOKUP(S291,DM_DUAN,3,0),"")</f>
        <v>#N/A</v>
      </c>
      <c r="S291" s="66" t="str">
        <f>IF(U291&lt;&gt;0,VLOOKUP(U291,DM_DUAN,3,0),"")</f>
        <v>THANHNAM</v>
      </c>
      <c r="T291" s="64"/>
      <c r="U291" s="67" t="s">
        <v>175</v>
      </c>
      <c r="V291" s="64" t="str">
        <f>IF(W291&lt;&gt;0,VLOOKUP(W291,DM_DUAN,3,0),"")</f>
        <v>#N/A</v>
      </c>
      <c r="W291" s="83" t="s">
        <v>433</v>
      </c>
      <c r="X291" s="64" t="str">
        <f>IF(Y291&lt;&gt;0,VLOOKUP(Y291,DM_DUAN,3,0),"")</f>
        <v>#N/A</v>
      </c>
      <c r="Y291" s="69" t="s">
        <v>176</v>
      </c>
      <c r="Z291" s="64" t="str">
        <f>IF(AA291&lt;&gt;0,VLOOKUP(AA291,DM_DUAN,3,0),"")</f>
        <v>#N/A</v>
      </c>
      <c r="AA291" s="70" t="s">
        <v>210</v>
      </c>
      <c r="AB291" s="64" t="str">
        <f>IF(AC291&lt;&gt;0,VLOOKUP(AC291,DM_DUAN,3,0),"")</f>
        <v>#N/A</v>
      </c>
      <c r="AC291" s="70" t="s">
        <v>436</v>
      </c>
      <c r="AD291" s="64" t="str">
        <f>IF(AC291&lt;&gt;0,VLOOKUP(AC291,DM_NV,2,0),"")</f>
        <v>Đinh Hoàng Nam</v>
      </c>
      <c r="AE291" s="68"/>
      <c r="AF291" s="64" t="str">
        <f>IF(AE291&lt;&gt;0,VLOOKUP(AE291,DM_NV,2,0),"")</f>
        <v/>
      </c>
      <c r="AG291" s="98" t="s">
        <v>213</v>
      </c>
    </row>
    <row r="292">
      <c r="A292" s="51"/>
      <c r="B292" s="52" t="str">
        <f>IF(D292="","",VLOOKUP(D292,'THAM CHIẾU'!$A:$B,2,0))</f>
        <v>#N/A</v>
      </c>
      <c r="C292" s="53" t="str">
        <f t="shared" si="2"/>
        <v>02/2022</v>
      </c>
      <c r="D292" s="99">
        <v>44601.0</v>
      </c>
      <c r="E292" s="55" t="s">
        <v>437</v>
      </c>
      <c r="F292" s="56"/>
      <c r="G292" s="57" t="s">
        <v>197</v>
      </c>
      <c r="H292" s="58" t="str">
        <f>IF(G292="","",VLOOKUP($G292,'Quy chuẩn hạch toán'!$B:$E,2,0))</f>
        <v>#N/A</v>
      </c>
      <c r="I292" s="58" t="str">
        <f>IF(H292="","",VLOOKUP($G292,'Quy chuẩn hạch toán'!$B:$E,3,0))</f>
        <v>#N/A</v>
      </c>
      <c r="J292" s="59">
        <v>1.93E9</v>
      </c>
      <c r="K292" s="60"/>
      <c r="L292" s="61"/>
      <c r="M292" s="62"/>
      <c r="N292" s="63"/>
      <c r="O292" s="64" t="str">
        <f>IF($Q292&lt;&gt;0,VLOOKUP($Q292,DM_KM,3,0),"")</f>
        <v>#N/A</v>
      </c>
      <c r="P292" s="64" t="str">
        <f>IF($Q292&lt;&gt;0,VLOOKUP($Q292,DM_KM,5,0),"")</f>
        <v>#N/A</v>
      </c>
      <c r="Q292" s="65" t="s">
        <v>198</v>
      </c>
      <c r="R292" s="64" t="str">
        <f>IF(S292&lt;&gt;0,VLOOKUP(S292,DM_DUAN,3,0),"")</f>
        <v>#N/A</v>
      </c>
      <c r="S292" s="66" t="str">
        <f>IF(U292&lt;&gt;0,VLOOKUP(U292,DM_DUAN,3,0),"")</f>
        <v>THANHNAM</v>
      </c>
      <c r="T292" s="64"/>
      <c r="U292" s="67" t="s">
        <v>175</v>
      </c>
      <c r="V292" s="64" t="str">
        <f>IF(W292&lt;&gt;0,VLOOKUP(W292,DM_DUAN,3,0),"")</f>
        <v>#N/A</v>
      </c>
      <c r="W292" s="83" t="s">
        <v>433</v>
      </c>
      <c r="X292" s="64" t="str">
        <f>IF(Y292&lt;&gt;0,VLOOKUP(Y292,DM_DUAN,3,0),"")</f>
        <v>#N/A</v>
      </c>
      <c r="Y292" s="69" t="s">
        <v>176</v>
      </c>
      <c r="Z292" s="64" t="str">
        <f>IF(AA292&lt;&gt;0,VLOOKUP(AA292,DM_DUAN,3,0),"")</f>
        <v>#N/A</v>
      </c>
      <c r="AA292" s="70" t="s">
        <v>210</v>
      </c>
      <c r="AB292" s="64" t="str">
        <f>IF(AC292&lt;&gt;0,VLOOKUP(AC292,DM_DUAN,3,0),"")</f>
        <v>#N/A</v>
      </c>
      <c r="AC292" s="70" t="s">
        <v>434</v>
      </c>
      <c r="AD292" s="64" t="str">
        <f>IF(AC292&lt;&gt;0,VLOOKUP(AC292,DM_NV,2,0),"")</f>
        <v>Trần Anh Dũng</v>
      </c>
      <c r="AE292" s="68"/>
      <c r="AF292" s="64" t="str">
        <f>IF(AE292&lt;&gt;0,VLOOKUP(AE292,DM_NV,2,0),"")</f>
        <v/>
      </c>
      <c r="AG292" s="98" t="s">
        <v>247</v>
      </c>
    </row>
    <row r="293">
      <c r="A293" s="51"/>
      <c r="B293" s="52" t="str">
        <f>IF(D293="","",VLOOKUP(D293,'THAM CHIẾU'!$A:$B,2,0))</f>
        <v>#N/A</v>
      </c>
      <c r="C293" s="53" t="str">
        <f t="shared" si="2"/>
        <v>02/2022</v>
      </c>
      <c r="D293" s="99">
        <v>44601.0</v>
      </c>
      <c r="E293" s="79" t="s">
        <v>438</v>
      </c>
      <c r="F293" s="80"/>
      <c r="G293" s="57" t="s">
        <v>200</v>
      </c>
      <c r="H293" s="58" t="str">
        <f>IF(G293="","",VLOOKUP($G293,'Quy chuẩn hạch toán'!$B:$E,2,0))</f>
        <v>154</v>
      </c>
      <c r="I293" s="58" t="str">
        <f>IF(H293="","",VLOOKUP($G293,'Quy chuẩn hạch toán'!$B:$E,3,0))</f>
        <v>3343</v>
      </c>
      <c r="J293" s="59">
        <v>1000000.0</v>
      </c>
      <c r="K293" s="60"/>
      <c r="L293" s="61"/>
      <c r="M293" s="62"/>
      <c r="N293" s="63"/>
      <c r="O293" s="64" t="str">
        <f>IF($Q293&lt;&gt;0,VLOOKUP($Q293,DM_KM,3,0),"")</f>
        <v>#N/A</v>
      </c>
      <c r="P293" s="64" t="str">
        <f>IF($Q293&lt;&gt;0,VLOOKUP($Q293,DM_KM,5,0),"")</f>
        <v>#N/A</v>
      </c>
      <c r="Q293" s="65" t="s">
        <v>201</v>
      </c>
      <c r="R293" s="64"/>
      <c r="S293" s="66"/>
      <c r="T293" s="64"/>
      <c r="U293" s="67" t="s">
        <v>175</v>
      </c>
      <c r="V293" s="64"/>
      <c r="W293" s="68"/>
      <c r="X293" s="64"/>
      <c r="Y293" s="69"/>
      <c r="Z293" s="64"/>
      <c r="AA293" s="70" t="s">
        <v>210</v>
      </c>
      <c r="AB293" s="64"/>
      <c r="AC293" s="85"/>
      <c r="AD293" s="64" t="str">
        <f>IF(AC293&lt;&gt;0,VLOOKUP(AC293,DM_NV,2,0),"")</f>
        <v/>
      </c>
      <c r="AE293" s="68"/>
      <c r="AF293" s="64" t="str">
        <f>IF(AE293&lt;&gt;0,VLOOKUP(AE293,DM_NV,2,0),"")</f>
        <v/>
      </c>
      <c r="AG293" s="98" t="s">
        <v>439</v>
      </c>
    </row>
    <row r="294">
      <c r="A294" s="51"/>
      <c r="B294" s="52" t="str">
        <f>IF(D294="","",VLOOKUP(D294,'THAM CHIẾU'!$A:$B,2,0))</f>
        <v>#N/A</v>
      </c>
      <c r="C294" s="53" t="str">
        <f t="shared" si="2"/>
        <v>02/2022</v>
      </c>
      <c r="D294" s="99">
        <v>44601.0</v>
      </c>
      <c r="E294" s="79" t="s">
        <v>440</v>
      </c>
      <c r="F294" s="80"/>
      <c r="G294" s="90"/>
      <c r="H294" s="58" t="str">
        <f>IF(G294="","",VLOOKUP($G294,'Quy chuẩn hạch toán'!$B:$E,2,0))</f>
        <v/>
      </c>
      <c r="I294" s="58" t="str">
        <f>IF(H294="","",VLOOKUP($G294,'Quy chuẩn hạch toán'!$B:$E,3,0))</f>
        <v/>
      </c>
      <c r="J294" s="59">
        <v>1.2E7</v>
      </c>
      <c r="K294" s="60"/>
      <c r="L294" s="61"/>
      <c r="M294" s="62"/>
      <c r="N294" s="63"/>
      <c r="O294" s="64" t="str">
        <f>IF($Q294&lt;&gt;0,VLOOKUP($Q294,DM_KM,3,0),"")</f>
        <v>#N/A</v>
      </c>
      <c r="P294" s="64" t="str">
        <f>IF($Q294&lt;&gt;0,VLOOKUP($Q294,DM_KM,5,0),"")</f>
        <v>#N/A</v>
      </c>
      <c r="Q294" s="65" t="s">
        <v>203</v>
      </c>
      <c r="R294" s="64"/>
      <c r="S294" s="66"/>
      <c r="T294" s="64"/>
      <c r="U294" s="67" t="s">
        <v>175</v>
      </c>
      <c r="V294" s="64"/>
      <c r="W294" s="68"/>
      <c r="X294" s="64"/>
      <c r="Y294" s="69"/>
      <c r="Z294" s="64"/>
      <c r="AA294" s="70" t="s">
        <v>210</v>
      </c>
      <c r="AB294" s="64"/>
      <c r="AC294" s="85"/>
      <c r="AD294" s="64" t="str">
        <f>IF(AC294&lt;&gt;0,VLOOKUP(AC294,DM_NV,2,0),"")</f>
        <v/>
      </c>
      <c r="AE294" s="68"/>
      <c r="AF294" s="64" t="str">
        <f>IF(AE294&lt;&gt;0,VLOOKUP(AE294,DM_NV,2,0),"")</f>
        <v/>
      </c>
      <c r="AG294" s="98" t="s">
        <v>213</v>
      </c>
    </row>
    <row r="295">
      <c r="A295" s="51"/>
      <c r="B295" s="52" t="str">
        <f>IF(D295="","",VLOOKUP(D295,'THAM CHIẾU'!$A:$B,2,0))</f>
        <v>#N/A</v>
      </c>
      <c r="C295" s="53" t="str">
        <f t="shared" si="2"/>
        <v>02/2022</v>
      </c>
      <c r="D295" s="99">
        <v>44620.0</v>
      </c>
      <c r="E295" s="55" t="s">
        <v>289</v>
      </c>
      <c r="F295" s="56"/>
      <c r="G295" s="57" t="s">
        <v>266</v>
      </c>
      <c r="H295" s="58" t="str">
        <f>IF(G295="","",VLOOKUP($G295,'Quy chuẩn hạch toán'!$B:$E,2,0))</f>
        <v>642</v>
      </c>
      <c r="I295" s="58" t="str">
        <f>IF(H295="","",VLOOKUP($G295,'Quy chuẩn hạch toán'!$B:$E,3,0))</f>
        <v>3341</v>
      </c>
      <c r="J295" s="59">
        <v>2384921.0</v>
      </c>
      <c r="K295" s="60"/>
      <c r="L295" s="61"/>
      <c r="M295" s="62"/>
      <c r="N295" s="63"/>
      <c r="O295" s="64" t="str">
        <f>IF($Q295&lt;&gt;0,VLOOKUP($Q295,DM_KM,3,0),"")</f>
        <v>#N/A</v>
      </c>
      <c r="P295" s="64" t="str">
        <f>IF($Q295&lt;&gt;0,VLOOKUP($Q295,DM_KM,5,0),"")</f>
        <v>#N/A</v>
      </c>
      <c r="Q295" s="65" t="s">
        <v>267</v>
      </c>
      <c r="R295" s="64" t="str">
        <f>IF(S295&lt;&gt;0,VLOOKUP(S295,DM_DUAN,3,0),"")</f>
        <v>#N/A</v>
      </c>
      <c r="S295" s="66" t="str">
        <f>IF(U295&lt;&gt;0,VLOOKUP(U295,DM_DUAN,3,0),"")</f>
        <v/>
      </c>
      <c r="T295" s="64"/>
      <c r="U295" s="93"/>
      <c r="V295" s="64" t="str">
        <f>IF(W295&lt;&gt;0,VLOOKUP(W295,DM_DUAN,3,0),"")</f>
        <v/>
      </c>
      <c r="W295" s="68"/>
      <c r="X295" s="64" t="str">
        <f>IF(Y295&lt;&gt;0,VLOOKUP(Y295,DM_DUAN,3,0),"")</f>
        <v>#N/A</v>
      </c>
      <c r="Y295" s="69" t="s">
        <v>207</v>
      </c>
      <c r="Z295" s="64" t="str">
        <f>IF(AA295&lt;&gt;0,VLOOKUP(AA295,DM_DUAN,3,0),"")</f>
        <v>#N/A</v>
      </c>
      <c r="AA295" s="70" t="s">
        <v>208</v>
      </c>
      <c r="AB295" s="64" t="str">
        <f>IF(AC295&lt;&gt;0,VLOOKUP(AC295,DM_DUAN,3,0),"")</f>
        <v/>
      </c>
      <c r="AC295" s="70"/>
      <c r="AD295" s="64" t="str">
        <f>IF(AC295&lt;&gt;0,VLOOKUP(AC295,DM_NV,2,0),"")</f>
        <v/>
      </c>
      <c r="AE295" s="68"/>
      <c r="AF295" s="64" t="str">
        <f>IF(AE295&lt;&gt;0,VLOOKUP(AE295,DM_NV,2,0),"")</f>
        <v/>
      </c>
      <c r="AG295" s="98" t="s">
        <v>441</v>
      </c>
    </row>
    <row r="296">
      <c r="A296" s="51"/>
      <c r="B296" s="52" t="str">
        <f>IF(D296="","",VLOOKUP(D296,'THAM CHIẾU'!$A:$B,2,0))</f>
        <v>#N/A</v>
      </c>
      <c r="C296" s="53" t="str">
        <f t="shared" si="2"/>
        <v>02/2022</v>
      </c>
      <c r="D296" s="99">
        <v>44620.0</v>
      </c>
      <c r="E296" s="55" t="s">
        <v>289</v>
      </c>
      <c r="F296" s="56"/>
      <c r="G296" s="57" t="s">
        <v>266</v>
      </c>
      <c r="H296" s="58" t="str">
        <f>IF(G296="","",VLOOKUP($G296,'Quy chuẩn hạch toán'!$B:$E,2,0))</f>
        <v>642</v>
      </c>
      <c r="I296" s="58" t="str">
        <f>IF(H296="","",VLOOKUP($G296,'Quy chuẩn hạch toán'!$B:$E,3,0))</f>
        <v>3341</v>
      </c>
      <c r="J296" s="59">
        <v>4769481.0</v>
      </c>
      <c r="K296" s="60"/>
      <c r="L296" s="61"/>
      <c r="M296" s="62"/>
      <c r="N296" s="63"/>
      <c r="O296" s="64" t="str">
        <f>IF($Q296&lt;&gt;0,VLOOKUP($Q296,DM_KM,3,0),"")</f>
        <v>#N/A</v>
      </c>
      <c r="P296" s="64" t="str">
        <f>IF($Q296&lt;&gt;0,VLOOKUP($Q296,DM_KM,5,0),"")</f>
        <v>#N/A</v>
      </c>
      <c r="Q296" s="65" t="s">
        <v>267</v>
      </c>
      <c r="R296" s="64" t="str">
        <f>IF(S296&lt;&gt;0,VLOOKUP(S296,DM_DUAN,3,0),"")</f>
        <v>#N/A</v>
      </c>
      <c r="S296" s="66" t="str">
        <f>IF(U296&lt;&gt;0,VLOOKUP(U296,DM_DUAN,3,0),"")</f>
        <v/>
      </c>
      <c r="T296" s="64"/>
      <c r="U296" s="93"/>
      <c r="V296" s="64" t="str">
        <f>IF(W296&lt;&gt;0,VLOOKUP(W296,DM_DUAN,3,0),"")</f>
        <v/>
      </c>
      <c r="W296" s="68"/>
      <c r="X296" s="64" t="str">
        <f>IF(Y296&lt;&gt;0,VLOOKUP(Y296,DM_DUAN,3,0),"")</f>
        <v>#N/A</v>
      </c>
      <c r="Y296" s="69" t="s">
        <v>207</v>
      </c>
      <c r="Z296" s="64" t="str">
        <f>IF(AA296&lt;&gt;0,VLOOKUP(AA296,DM_DUAN,3,0),"")</f>
        <v>#N/A</v>
      </c>
      <c r="AA296" s="70" t="s">
        <v>210</v>
      </c>
      <c r="AB296" s="64" t="str">
        <f>IF(AC296&lt;&gt;0,VLOOKUP(AC296,DM_DUAN,3,0),"")</f>
        <v/>
      </c>
      <c r="AC296" s="70"/>
      <c r="AD296" s="64" t="str">
        <f>IF(AC296&lt;&gt;0,VLOOKUP(AC296,DM_NV,2,0),"")</f>
        <v/>
      </c>
      <c r="AE296" s="68"/>
      <c r="AF296" s="64" t="str">
        <f>IF(AE296&lt;&gt;0,VLOOKUP(AE296,DM_NV,2,0),"")</f>
        <v/>
      </c>
      <c r="AG296" s="98" t="s">
        <v>213</v>
      </c>
    </row>
    <row r="297">
      <c r="A297" s="51"/>
      <c r="B297" s="52" t="str">
        <f>IF(D297="","",VLOOKUP(D297,'THAM CHIẾU'!$A:$B,2,0))</f>
        <v>#N/A</v>
      </c>
      <c r="C297" s="53" t="str">
        <f t="shared" si="2"/>
        <v>02/2022</v>
      </c>
      <c r="D297" s="99">
        <v>44620.0</v>
      </c>
      <c r="E297" s="55" t="s">
        <v>289</v>
      </c>
      <c r="F297" s="56"/>
      <c r="G297" s="57" t="s">
        <v>266</v>
      </c>
      <c r="H297" s="58" t="str">
        <f>IF(G297="","",VLOOKUP($G297,'Quy chuẩn hạch toán'!$B:$E,2,0))</f>
        <v>642</v>
      </c>
      <c r="I297" s="58" t="str">
        <f>IF(H297="","",VLOOKUP($G297,'Quy chuẩn hạch toán'!$B:$E,3,0))</f>
        <v>3341</v>
      </c>
      <c r="J297" s="59">
        <v>5962302.0</v>
      </c>
      <c r="K297" s="60"/>
      <c r="L297" s="61"/>
      <c r="M297" s="62"/>
      <c r="N297" s="63"/>
      <c r="O297" s="64" t="str">
        <f>IF($Q297&lt;&gt;0,VLOOKUP($Q297,DM_KM,3,0),"")</f>
        <v>#N/A</v>
      </c>
      <c r="P297" s="64" t="str">
        <f>IF($Q297&lt;&gt;0,VLOOKUP($Q297,DM_KM,5,0),"")</f>
        <v>#N/A</v>
      </c>
      <c r="Q297" s="65" t="s">
        <v>267</v>
      </c>
      <c r="R297" s="64" t="str">
        <f>IF(S297&lt;&gt;0,VLOOKUP(S297,DM_DUAN,3,0),"")</f>
        <v>#N/A</v>
      </c>
      <c r="S297" s="66" t="str">
        <f>IF(U297&lt;&gt;0,VLOOKUP(U297,DM_DUAN,3,0),"")</f>
        <v/>
      </c>
      <c r="T297" s="64"/>
      <c r="U297" s="93"/>
      <c r="V297" s="64" t="str">
        <f>IF(W297&lt;&gt;0,VLOOKUP(W297,DM_DUAN,3,0),"")</f>
        <v/>
      </c>
      <c r="W297" s="68"/>
      <c r="X297" s="64" t="str">
        <f>IF(Y297&lt;&gt;0,VLOOKUP(Y297,DM_DUAN,3,0),"")</f>
        <v>#N/A</v>
      </c>
      <c r="Y297" s="69" t="s">
        <v>207</v>
      </c>
      <c r="Z297" s="64" t="str">
        <f>IF(AA297&lt;&gt;0,VLOOKUP(AA297,DM_DUAN,3,0),"")</f>
        <v>#N/A</v>
      </c>
      <c r="AA297" s="70" t="s">
        <v>177</v>
      </c>
      <c r="AB297" s="64" t="str">
        <f>IF(AC297&lt;&gt;0,VLOOKUP(AC297,DM_DUAN,3,0),"")</f>
        <v/>
      </c>
      <c r="AC297" s="70"/>
      <c r="AD297" s="64" t="str">
        <f>IF(AC297&lt;&gt;0,VLOOKUP(AC297,DM_NV,2,0),"")</f>
        <v/>
      </c>
      <c r="AE297" s="68"/>
      <c r="AF297" s="64" t="str">
        <f>IF(AE297&lt;&gt;0,VLOOKUP(AE297,DM_NV,2,0),"")</f>
        <v/>
      </c>
      <c r="AG297" s="98" t="s">
        <v>442</v>
      </c>
    </row>
    <row r="298">
      <c r="A298" s="51"/>
      <c r="B298" s="52" t="str">
        <f>IF(D298="","",VLOOKUP(D298,'THAM CHIẾU'!$A:$B,2,0))</f>
        <v>#N/A</v>
      </c>
      <c r="C298" s="53" t="str">
        <f t="shared" si="2"/>
        <v>02/2022</v>
      </c>
      <c r="D298" s="99">
        <v>44620.0</v>
      </c>
      <c r="E298" s="55" t="s">
        <v>289</v>
      </c>
      <c r="F298" s="56"/>
      <c r="G298" s="57" t="s">
        <v>266</v>
      </c>
      <c r="H298" s="58" t="str">
        <f>IF(G298="","",VLOOKUP($G298,'Quy chuẩn hạch toán'!$B:$E,2,0))</f>
        <v>642</v>
      </c>
      <c r="I298" s="58" t="str">
        <f>IF(H298="","",VLOOKUP($G298,'Quy chuẩn hạch toán'!$B:$E,3,0))</f>
        <v>3341</v>
      </c>
      <c r="J298" s="59">
        <v>1.1924603E7</v>
      </c>
      <c r="K298" s="60"/>
      <c r="L298" s="61"/>
      <c r="M298" s="62"/>
      <c r="N298" s="63"/>
      <c r="O298" s="64" t="str">
        <f>IF($Q298&lt;&gt;0,VLOOKUP($Q298,DM_KM,3,0),"")</f>
        <v>#N/A</v>
      </c>
      <c r="P298" s="64" t="str">
        <f>IF($Q298&lt;&gt;0,VLOOKUP($Q298,DM_KM,5,0),"")</f>
        <v>#N/A</v>
      </c>
      <c r="Q298" s="65" t="s">
        <v>267</v>
      </c>
      <c r="R298" s="64" t="str">
        <f>IF(S298&lt;&gt;0,VLOOKUP(S298,DM_DUAN,3,0),"")</f>
        <v>#N/A</v>
      </c>
      <c r="S298" s="66" t="str">
        <f>IF(U298&lt;&gt;0,VLOOKUP(U298,DM_DUAN,3,0),"")</f>
        <v/>
      </c>
      <c r="T298" s="64"/>
      <c r="U298" s="93"/>
      <c r="V298" s="64" t="str">
        <f>IF(W298&lt;&gt;0,VLOOKUP(W298,DM_DUAN,3,0),"")</f>
        <v/>
      </c>
      <c r="W298" s="68"/>
      <c r="X298" s="64" t="str">
        <f>IF(Y298&lt;&gt;0,VLOOKUP(Y298,DM_DUAN,3,0),"")</f>
        <v>#N/A</v>
      </c>
      <c r="Y298" s="69" t="s">
        <v>207</v>
      </c>
      <c r="Z298" s="64" t="str">
        <f>IF(AA298&lt;&gt;0,VLOOKUP(AA298,DM_DUAN,3,0),"")</f>
        <v>#N/A</v>
      </c>
      <c r="AA298" s="70" t="s">
        <v>183</v>
      </c>
      <c r="AB298" s="64" t="str">
        <f>IF(AC298&lt;&gt;0,VLOOKUP(AC298,DM_DUAN,3,0),"")</f>
        <v/>
      </c>
      <c r="AC298" s="85"/>
      <c r="AD298" s="64" t="str">
        <f>IF(AC298&lt;&gt;0,VLOOKUP(AC298,DM_NV,2,0),"")</f>
        <v/>
      </c>
      <c r="AE298" s="68"/>
      <c r="AF298" s="64" t="str">
        <f>IF(AE298&lt;&gt;0,VLOOKUP(AE298,DM_NV,2,0),"")</f>
        <v/>
      </c>
      <c r="AG298" s="98" t="s">
        <v>211</v>
      </c>
    </row>
    <row r="299">
      <c r="A299" s="51"/>
      <c r="B299" s="52" t="str">
        <f>IF(D299="","",VLOOKUP(D299,'THAM CHIẾU'!$A:$B,2,0))</f>
        <v>#N/A</v>
      </c>
      <c r="C299" s="53" t="str">
        <f t="shared" si="2"/>
        <v>02/2022</v>
      </c>
      <c r="D299" s="99">
        <v>44620.0</v>
      </c>
      <c r="E299" s="55" t="s">
        <v>291</v>
      </c>
      <c r="F299" s="56"/>
      <c r="G299" s="57" t="s">
        <v>292</v>
      </c>
      <c r="H299" s="58" t="str">
        <f>IF(G299="","",VLOOKUP($G299,'Quy chuẩn hạch toán'!$B:$E,2,0))</f>
        <v>154</v>
      </c>
      <c r="I299" s="58" t="str">
        <f>IF(H299="","",VLOOKUP($G299,'Quy chuẩn hạch toán'!$B:$E,3,0))</f>
        <v>3341</v>
      </c>
      <c r="J299" s="59">
        <v>9333333.0</v>
      </c>
      <c r="K299" s="60"/>
      <c r="L299" s="61"/>
      <c r="M299" s="62"/>
      <c r="N299" s="63"/>
      <c r="O299" s="64" t="str">
        <f>IF($Q299&lt;&gt;0,VLOOKUP($Q299,DM_KM,3,0),"")</f>
        <v>CPNS</v>
      </c>
      <c r="P299" s="64">
        <f>IF($Q299&lt;&gt;0,VLOOKUP($Q299,DM_KM,5,0),"")</f>
        <v>642</v>
      </c>
      <c r="Q299" s="65" t="s">
        <v>293</v>
      </c>
      <c r="R299" s="64" t="str">
        <f>IF(S299&lt;&gt;0,VLOOKUP(S299,DM_DUAN,3,0),"")</f>
        <v>#N/A</v>
      </c>
      <c r="S299" s="66" t="str">
        <f>IF(U299&lt;&gt;0,VLOOKUP(U299,DM_DUAN,3,0),"")</f>
        <v/>
      </c>
      <c r="T299" s="64"/>
      <c r="U299" s="93"/>
      <c r="V299" s="64" t="str">
        <f>IF(W299&lt;&gt;0,VLOOKUP(W299,DM_DUAN,3,0),"")</f>
        <v/>
      </c>
      <c r="W299" s="68"/>
      <c r="X299" s="64" t="str">
        <f>IF(Y299&lt;&gt;0,VLOOKUP(Y299,DM_DUAN,3,0),"")</f>
        <v>#N/A</v>
      </c>
      <c r="Y299" s="69" t="s">
        <v>176</v>
      </c>
      <c r="Z299" s="64" t="str">
        <f>IF(AA299&lt;&gt;0,VLOOKUP(AA299,DM_DUAN,3,0),"")</f>
        <v>#N/A</v>
      </c>
      <c r="AA299" s="70" t="s">
        <v>177</v>
      </c>
      <c r="AB299" s="64" t="str">
        <f>IF(AC299&lt;&gt;0,VLOOKUP(AC299,DM_DUAN,3,0),"")</f>
        <v/>
      </c>
      <c r="AC299" s="85"/>
      <c r="AD299" s="64" t="str">
        <f>IF(AC299&lt;&gt;0,VLOOKUP(AC299,DM_NV,2,0),"")</f>
        <v/>
      </c>
      <c r="AE299" s="68"/>
      <c r="AF299" s="64" t="str">
        <f>IF(AE299&lt;&gt;0,VLOOKUP(AE299,DM_NV,2,0),"")</f>
        <v/>
      </c>
      <c r="AG299" s="98" t="s">
        <v>443</v>
      </c>
    </row>
    <row r="300">
      <c r="A300" s="51"/>
      <c r="B300" s="52" t="str">
        <f>IF(D300="","",VLOOKUP(D300,'THAM CHIẾU'!$A:$B,2,0))</f>
        <v>#N/A</v>
      </c>
      <c r="C300" s="53" t="str">
        <f t="shared" si="2"/>
        <v>02/2022</v>
      </c>
      <c r="D300" s="99">
        <v>44620.0</v>
      </c>
      <c r="E300" s="55" t="s">
        <v>295</v>
      </c>
      <c r="F300" s="56"/>
      <c r="G300" s="57" t="s">
        <v>292</v>
      </c>
      <c r="H300" s="58" t="str">
        <f>IF(G300="","",VLOOKUP($G300,'Quy chuẩn hạch toán'!$B:$E,2,0))</f>
        <v>154</v>
      </c>
      <c r="I300" s="58" t="str">
        <f>IF(H300="","",VLOOKUP($G300,'Quy chuẩn hạch toán'!$B:$E,3,0))</f>
        <v>3341</v>
      </c>
      <c r="J300" s="59">
        <v>9333333.0</v>
      </c>
      <c r="K300" s="60"/>
      <c r="L300" s="61"/>
      <c r="M300" s="62"/>
      <c r="N300" s="63"/>
      <c r="O300" s="64" t="str">
        <f>IF($Q300&lt;&gt;0,VLOOKUP($Q300,DM_KM,3,0),"")</f>
        <v>CPNS</v>
      </c>
      <c r="P300" s="64">
        <f>IF($Q300&lt;&gt;0,VLOOKUP($Q300,DM_KM,5,0),"")</f>
        <v>642</v>
      </c>
      <c r="Q300" s="65" t="s">
        <v>293</v>
      </c>
      <c r="R300" s="64" t="str">
        <f>IF(S300&lt;&gt;0,VLOOKUP(S300,DM_DUAN,3,0),"")</f>
        <v>#N/A</v>
      </c>
      <c r="S300" s="66" t="str">
        <f>IF(U300&lt;&gt;0,VLOOKUP(U300,DM_DUAN,3,0),"")</f>
        <v/>
      </c>
      <c r="T300" s="64"/>
      <c r="U300" s="93"/>
      <c r="V300" s="64" t="str">
        <f>IF(W300&lt;&gt;0,VLOOKUP(W300,DM_DUAN,3,0),"")</f>
        <v/>
      </c>
      <c r="W300" s="68"/>
      <c r="X300" s="64" t="str">
        <f>IF(Y300&lt;&gt;0,VLOOKUP(Y300,DM_DUAN,3,0),"")</f>
        <v>#N/A</v>
      </c>
      <c r="Y300" s="69" t="s">
        <v>176</v>
      </c>
      <c r="Z300" s="64" t="str">
        <f>IF(AA300&lt;&gt;0,VLOOKUP(AA300,DM_DUAN,3,0),"")</f>
        <v>#N/A</v>
      </c>
      <c r="AA300" s="70" t="s">
        <v>183</v>
      </c>
      <c r="AB300" s="64" t="str">
        <f>IF(AC300&lt;&gt;0,VLOOKUP(AC300,DM_DUAN,3,0),"")</f>
        <v/>
      </c>
      <c r="AC300" s="85"/>
      <c r="AD300" s="64" t="str">
        <f>IF(AC300&lt;&gt;0,VLOOKUP(AC300,DM_NV,2,0),"")</f>
        <v/>
      </c>
      <c r="AE300" s="68"/>
      <c r="AF300" s="64" t="str">
        <f>IF(AE300&lt;&gt;0,VLOOKUP(AE300,DM_NV,2,0),"")</f>
        <v/>
      </c>
      <c r="AG300" s="98" t="s">
        <v>444</v>
      </c>
    </row>
    <row r="301">
      <c r="A301" s="51"/>
      <c r="B301" s="52" t="str">
        <f>IF(D301="","",VLOOKUP(D301,'THAM CHIẾU'!$A:$B,2,0))</f>
        <v>#N/A</v>
      </c>
      <c r="C301" s="53" t="str">
        <f t="shared" si="2"/>
        <v>02/2022</v>
      </c>
      <c r="D301" s="99">
        <v>44620.0</v>
      </c>
      <c r="E301" s="55" t="s">
        <v>445</v>
      </c>
      <c r="F301" s="56"/>
      <c r="G301" s="57" t="s">
        <v>297</v>
      </c>
      <c r="H301" s="58" t="str">
        <f>IF(G301="","",VLOOKUP($G301,'Quy chuẩn hạch toán'!$B:$E,2,0))</f>
        <v>154</v>
      </c>
      <c r="I301" s="58" t="str">
        <f>IF(H301="","",VLOOKUP($G301,'Quy chuẩn hạch toán'!$B:$E,3,0))</f>
        <v>3341</v>
      </c>
      <c r="J301" s="59">
        <v>5000000.0</v>
      </c>
      <c r="K301" s="60"/>
      <c r="L301" s="61"/>
      <c r="M301" s="62"/>
      <c r="N301" s="63"/>
      <c r="O301" s="64" t="str">
        <f>IF($Q301&lt;&gt;0,VLOOKUP($Q301,DM_KM,3,0),"")</f>
        <v>#N/A</v>
      </c>
      <c r="P301" s="64" t="str">
        <f>IF($Q301&lt;&gt;0,VLOOKUP($Q301,DM_KM,5,0),"")</f>
        <v>#N/A</v>
      </c>
      <c r="Q301" s="65" t="s">
        <v>255</v>
      </c>
      <c r="R301" s="64" t="str">
        <f>IF(S301&lt;&gt;0,VLOOKUP(S301,DM_DUAN,3,0),"")</f>
        <v>#N/A</v>
      </c>
      <c r="S301" s="66" t="str">
        <f>IF(U301&lt;&gt;0,VLOOKUP(U301,DM_DUAN,3,0),"")</f>
        <v/>
      </c>
      <c r="T301" s="64"/>
      <c r="U301" s="93"/>
      <c r="V301" s="64" t="str">
        <f>IF(W301&lt;&gt;0,VLOOKUP(W301,DM_DUAN,3,0),"")</f>
        <v/>
      </c>
      <c r="W301" s="68"/>
      <c r="X301" s="64" t="str">
        <f>IF(Y301&lt;&gt;0,VLOOKUP(Y301,DM_DUAN,3,0),"")</f>
        <v>#N/A</v>
      </c>
      <c r="Y301" s="69" t="s">
        <v>176</v>
      </c>
      <c r="Z301" s="64" t="str">
        <f>IF(AA301&lt;&gt;0,VLOOKUP(AA301,DM_DUAN,3,0),"")</f>
        <v>#N/A</v>
      </c>
      <c r="AA301" s="70" t="s">
        <v>208</v>
      </c>
      <c r="AB301" s="64" t="str">
        <f>IF(AC301&lt;&gt;0,VLOOKUP(AC301,DM_DUAN,3,0),"")</f>
        <v/>
      </c>
      <c r="AC301" s="70"/>
      <c r="AD301" s="64" t="str">
        <f>IF(AC301&lt;&gt;0,VLOOKUP(AC301,DM_NV,2,0),"")</f>
        <v/>
      </c>
      <c r="AE301" s="68"/>
      <c r="AF301" s="64" t="str">
        <f>IF(AE301&lt;&gt;0,VLOOKUP(AE301,DM_NV,2,0),"")</f>
        <v/>
      </c>
      <c r="AG301" s="98" t="s">
        <v>211</v>
      </c>
    </row>
    <row r="302">
      <c r="A302" s="51"/>
      <c r="B302" s="52" t="str">
        <f>IF(D302="","",VLOOKUP(D302,'THAM CHIẾU'!$A:$B,2,0))</f>
        <v>#N/A</v>
      </c>
      <c r="C302" s="53" t="str">
        <f t="shared" si="2"/>
        <v>02/2022</v>
      </c>
      <c r="D302" s="99">
        <v>44620.0</v>
      </c>
      <c r="E302" s="111" t="s">
        <v>446</v>
      </c>
      <c r="F302" s="132"/>
      <c r="G302" s="57" t="s">
        <v>297</v>
      </c>
      <c r="H302" s="58" t="str">
        <f>IF(G302="","",VLOOKUP($G302,'Quy chuẩn hạch toán'!$B:$E,2,0))</f>
        <v>154</v>
      </c>
      <c r="I302" s="58" t="str">
        <f>IF(H302="","",VLOOKUP($G302,'Quy chuẩn hạch toán'!$B:$E,3,0))</f>
        <v>3341</v>
      </c>
      <c r="J302" s="59">
        <v>2.4354167E7</v>
      </c>
      <c r="K302" s="60"/>
      <c r="L302" s="61"/>
      <c r="M302" s="62"/>
      <c r="N302" s="63"/>
      <c r="O302" s="64" t="str">
        <f>IF($Q302&lt;&gt;0,VLOOKUP($Q302,DM_KM,3,0),"")</f>
        <v>#N/A</v>
      </c>
      <c r="P302" s="64" t="str">
        <f>IF($Q302&lt;&gt;0,VLOOKUP($Q302,DM_KM,5,0),"")</f>
        <v>#N/A</v>
      </c>
      <c r="Q302" s="65" t="s">
        <v>255</v>
      </c>
      <c r="R302" s="64" t="str">
        <f>IF(S302&lt;&gt;0,VLOOKUP(S302,DM_DUAN,3,0),"")</f>
        <v>#N/A</v>
      </c>
      <c r="S302" s="66" t="str">
        <f>IF(U302&lt;&gt;0,VLOOKUP(U302,DM_DUAN,3,0),"")</f>
        <v/>
      </c>
      <c r="T302" s="64"/>
      <c r="U302" s="93"/>
      <c r="V302" s="64" t="str">
        <f>IF(W302&lt;&gt;0,VLOOKUP(W302,DM_DUAN,3,0),"")</f>
        <v/>
      </c>
      <c r="W302" s="68"/>
      <c r="X302" s="64" t="str">
        <f>IF(Y302&lt;&gt;0,VLOOKUP(Y302,DM_DUAN,3,0),"")</f>
        <v>#N/A</v>
      </c>
      <c r="Y302" s="69" t="s">
        <v>176</v>
      </c>
      <c r="Z302" s="64" t="str">
        <f>IF(AA302&lt;&gt;0,VLOOKUP(AA302,DM_DUAN,3,0),"")</f>
        <v>#N/A</v>
      </c>
      <c r="AA302" s="70" t="s">
        <v>210</v>
      </c>
      <c r="AB302" s="64" t="str">
        <f>IF(AC302&lt;&gt;0,VLOOKUP(AC302,DM_DUAN,3,0),"")</f>
        <v/>
      </c>
      <c r="AC302" s="70"/>
      <c r="AD302" s="64" t="str">
        <f>IF(AC302&lt;&gt;0,VLOOKUP(AC302,DM_NV,2,0),"")</f>
        <v/>
      </c>
      <c r="AE302" s="68"/>
      <c r="AF302" s="64" t="str">
        <f>IF(AE302&lt;&gt;0,VLOOKUP(AE302,DM_NV,2,0),"")</f>
        <v/>
      </c>
    </row>
    <row r="303">
      <c r="A303" s="51"/>
      <c r="B303" s="52" t="str">
        <f>IF(D303="","",VLOOKUP(D303,'THAM CHIẾU'!$A:$B,2,0))</f>
        <v>#N/A</v>
      </c>
      <c r="C303" s="53" t="str">
        <f t="shared" si="2"/>
        <v>02/2022</v>
      </c>
      <c r="D303" s="99">
        <v>44620.0</v>
      </c>
      <c r="E303" s="111" t="s">
        <v>447</v>
      </c>
      <c r="F303" s="132"/>
      <c r="G303" s="57" t="s">
        <v>297</v>
      </c>
      <c r="H303" s="58" t="str">
        <f>IF(G303="","",VLOOKUP($G303,'Quy chuẩn hạch toán'!$B:$E,2,0))</f>
        <v>154</v>
      </c>
      <c r="I303" s="58" t="str">
        <f>IF(H303="","",VLOOKUP($G303,'Quy chuẩn hạch toán'!$B:$E,3,0))</f>
        <v>3341</v>
      </c>
      <c r="J303" s="59">
        <v>1.1583333E7</v>
      </c>
      <c r="K303" s="60"/>
      <c r="L303" s="61"/>
      <c r="M303" s="62"/>
      <c r="N303" s="63"/>
      <c r="O303" s="64" t="str">
        <f>IF($Q303&lt;&gt;0,VLOOKUP($Q303,DM_KM,3,0),"")</f>
        <v>#N/A</v>
      </c>
      <c r="P303" s="64" t="str">
        <f>IF($Q303&lt;&gt;0,VLOOKUP($Q303,DM_KM,5,0),"")</f>
        <v>#N/A</v>
      </c>
      <c r="Q303" s="65" t="s">
        <v>255</v>
      </c>
      <c r="R303" s="64" t="str">
        <f>IF(S303&lt;&gt;0,VLOOKUP(S303,DM_DUAN,3,0),"")</f>
        <v>#N/A</v>
      </c>
      <c r="S303" s="66" t="str">
        <f>IF(U303&lt;&gt;0,VLOOKUP(U303,DM_DUAN,3,0),"")</f>
        <v/>
      </c>
      <c r="T303" s="64"/>
      <c r="U303" s="93"/>
      <c r="V303" s="64" t="str">
        <f>IF(W303&lt;&gt;0,VLOOKUP(W303,DM_DUAN,3,0),"")</f>
        <v/>
      </c>
      <c r="W303" s="68"/>
      <c r="X303" s="64" t="str">
        <f>IF(Y303&lt;&gt;0,VLOOKUP(Y303,DM_DUAN,3,0),"")</f>
        <v>#N/A</v>
      </c>
      <c r="Y303" s="69" t="s">
        <v>176</v>
      </c>
      <c r="Z303" s="64" t="str">
        <f>IF(AA303&lt;&gt;0,VLOOKUP(AA303,DM_DUAN,3,0),"")</f>
        <v>#N/A</v>
      </c>
      <c r="AA303" s="70" t="s">
        <v>177</v>
      </c>
      <c r="AB303" s="64" t="str">
        <f>IF(AC303&lt;&gt;0,VLOOKUP(AC303,DM_DUAN,3,0),"")</f>
        <v/>
      </c>
      <c r="AC303" s="70"/>
      <c r="AD303" s="64" t="str">
        <f>IF(AC303&lt;&gt;0,VLOOKUP(AC303,DM_NV,2,0),"")</f>
        <v/>
      </c>
      <c r="AE303" s="68"/>
      <c r="AF303" s="64" t="str">
        <f>IF(AE303&lt;&gt;0,VLOOKUP(AE303,DM_NV,2,0),"")</f>
        <v/>
      </c>
    </row>
    <row r="304">
      <c r="A304" s="51"/>
      <c r="B304" s="52" t="str">
        <f>IF(D304="","",VLOOKUP(D304,'THAM CHIẾU'!$A:$B,2,0))</f>
        <v>#N/A</v>
      </c>
      <c r="C304" s="53" t="str">
        <f t="shared" si="2"/>
        <v>02/2022</v>
      </c>
      <c r="D304" s="99">
        <v>44620.0</v>
      </c>
      <c r="E304" s="111" t="s">
        <v>448</v>
      </c>
      <c r="F304" s="132"/>
      <c r="G304" s="57" t="s">
        <v>297</v>
      </c>
      <c r="H304" s="58" t="str">
        <f>IF(G304="","",VLOOKUP($G304,'Quy chuẩn hạch toán'!$B:$E,2,0))</f>
        <v>154</v>
      </c>
      <c r="I304" s="58" t="str">
        <f>IF(H304="","",VLOOKUP($G304,'Quy chuẩn hạch toán'!$B:$E,3,0))</f>
        <v>3341</v>
      </c>
      <c r="J304" s="59">
        <v>2.4229167E7</v>
      </c>
      <c r="K304" s="60"/>
      <c r="L304" s="61"/>
      <c r="M304" s="62"/>
      <c r="N304" s="63"/>
      <c r="O304" s="64" t="str">
        <f>IF($Q304&lt;&gt;0,VLOOKUP($Q304,DM_KM,3,0),"")</f>
        <v>#N/A</v>
      </c>
      <c r="P304" s="64" t="str">
        <f>IF($Q304&lt;&gt;0,VLOOKUP($Q304,DM_KM,5,0),"")</f>
        <v>#N/A</v>
      </c>
      <c r="Q304" s="65" t="s">
        <v>255</v>
      </c>
      <c r="R304" s="64" t="str">
        <f>IF(S304&lt;&gt;0,VLOOKUP(S304,DM_DUAN,3,0),"")</f>
        <v>#N/A</v>
      </c>
      <c r="S304" s="66" t="str">
        <f>IF(U304&lt;&gt;0,VLOOKUP(U304,DM_DUAN,3,0),"")</f>
        <v/>
      </c>
      <c r="T304" s="64"/>
      <c r="U304" s="93"/>
      <c r="V304" s="64" t="str">
        <f>IF(W304&lt;&gt;0,VLOOKUP(W304,DM_DUAN,3,0),"")</f>
        <v/>
      </c>
      <c r="W304" s="68"/>
      <c r="X304" s="64" t="str">
        <f>IF(Y304&lt;&gt;0,VLOOKUP(Y304,DM_DUAN,3,0),"")</f>
        <v>#N/A</v>
      </c>
      <c r="Y304" s="69" t="s">
        <v>176</v>
      </c>
      <c r="Z304" s="64" t="str">
        <f>IF(AA304&lt;&gt;0,VLOOKUP(AA304,DM_DUAN,3,0),"")</f>
        <v>#N/A</v>
      </c>
      <c r="AA304" s="70" t="s">
        <v>183</v>
      </c>
      <c r="AB304" s="64" t="str">
        <f>IF(AC304&lt;&gt;0,VLOOKUP(AC304,DM_DUAN,3,0),"")</f>
        <v/>
      </c>
      <c r="AC304" s="85"/>
      <c r="AD304" s="64" t="str">
        <f>IF(AC304&lt;&gt;0,VLOOKUP(AC304,DM_NV,2,0),"")</f>
        <v/>
      </c>
      <c r="AE304" s="68"/>
      <c r="AF304" s="64" t="str">
        <f>IF(AE304&lt;&gt;0,VLOOKUP(AE304,DM_NV,2,0),"")</f>
        <v/>
      </c>
    </row>
    <row r="305">
      <c r="A305" s="51"/>
      <c r="B305" s="52" t="str">
        <f>IF(D305="","",VLOOKUP(D305,'THAM CHIẾU'!$A:$B,2,0))</f>
        <v>#N/A</v>
      </c>
      <c r="C305" s="53" t="str">
        <f t="shared" si="2"/>
        <v>02/2022</v>
      </c>
      <c r="D305" s="121">
        <v>44620.0</v>
      </c>
      <c r="E305" s="122" t="s">
        <v>449</v>
      </c>
      <c r="F305" s="123"/>
      <c r="G305" s="57" t="s">
        <v>266</v>
      </c>
      <c r="H305" s="58" t="str">
        <f>IF(G305="","",VLOOKUP($G305,'Quy chuẩn hạch toán'!$B:$E,2,0))</f>
        <v>642</v>
      </c>
      <c r="I305" s="58" t="str">
        <f>IF(H305="","",VLOOKUP($G305,'Quy chuẩn hạch toán'!$B:$E,3,0))</f>
        <v>3341</v>
      </c>
      <c r="J305" s="124">
        <v>1715540.0</v>
      </c>
      <c r="K305" s="60"/>
      <c r="L305" s="61"/>
      <c r="M305" s="62"/>
      <c r="N305" s="63"/>
      <c r="O305" s="64" t="str">
        <f>IF($Q305&lt;&gt;0,VLOOKUP($Q305,DM_KM,3,0),"")</f>
        <v>#N/A</v>
      </c>
      <c r="P305" s="64" t="str">
        <f>IF($Q305&lt;&gt;0,VLOOKUP($Q305,DM_KM,5,0),"")</f>
        <v>#N/A</v>
      </c>
      <c r="Q305" s="65" t="s">
        <v>267</v>
      </c>
      <c r="R305" s="64" t="str">
        <f>IF(S305&lt;&gt;0,VLOOKUP(S305,DM_DUAN,3,0),"")</f>
        <v>#N/A</v>
      </c>
      <c r="S305" s="66" t="str">
        <f>IF(U305&lt;&gt;0,VLOOKUP(U305,DM_DUAN,3,0),"")</f>
        <v/>
      </c>
      <c r="T305" s="64"/>
      <c r="U305" s="93"/>
      <c r="V305" s="64" t="str">
        <f>IF(W305&lt;&gt;0,VLOOKUP(W305,DM_DUAN,3,0),"")</f>
        <v/>
      </c>
      <c r="W305" s="68"/>
      <c r="X305" s="64" t="str">
        <f>IF(Y305&lt;&gt;0,VLOOKUP(Y305,DM_DUAN,3,0),"")</f>
        <v>#N/A</v>
      </c>
      <c r="Y305" s="69" t="s">
        <v>207</v>
      </c>
      <c r="Z305" s="64" t="str">
        <f>IF(AA305&lt;&gt;0,VLOOKUP(AA305,DM_DUAN,3,0),"")</f>
        <v>#N/A</v>
      </c>
      <c r="AA305" s="70" t="s">
        <v>208</v>
      </c>
      <c r="AB305" s="64" t="str">
        <f>IF(AC305&lt;&gt;0,VLOOKUP(AC305,DM_DUAN,3,0),"")</f>
        <v/>
      </c>
      <c r="AC305" s="70"/>
      <c r="AD305" s="64" t="str">
        <f>IF(AC305&lt;&gt;0,VLOOKUP(AC305,DM_NV,2,0),"")</f>
        <v/>
      </c>
      <c r="AE305" s="68"/>
      <c r="AF305" s="64" t="str">
        <f>IF(AE305&lt;&gt;0,VLOOKUP(AE305,DM_NV,2,0),"")</f>
        <v/>
      </c>
    </row>
    <row r="306">
      <c r="A306" s="51"/>
      <c r="B306" s="52" t="str">
        <f>IF(D306="","",VLOOKUP(D306,'THAM CHIẾU'!$A:$B,2,0))</f>
        <v>#N/A</v>
      </c>
      <c r="C306" s="53" t="str">
        <f t="shared" si="2"/>
        <v>02/2022</v>
      </c>
      <c r="D306" s="121">
        <v>44620.0</v>
      </c>
      <c r="E306" s="122" t="s">
        <v>449</v>
      </c>
      <c r="F306" s="123"/>
      <c r="G306" s="57" t="s">
        <v>266</v>
      </c>
      <c r="H306" s="58" t="str">
        <f>IF(G306="","",VLOOKUP($G306,'Quy chuẩn hạch toán'!$B:$E,2,0))</f>
        <v>642</v>
      </c>
      <c r="I306" s="58" t="str">
        <f>IF(H306="","",VLOOKUP($G306,'Quy chuẩn hạch toán'!$B:$E,3,0))</f>
        <v>3341</v>
      </c>
      <c r="J306" s="124">
        <v>3431080.0</v>
      </c>
      <c r="K306" s="60"/>
      <c r="L306" s="61"/>
      <c r="M306" s="62"/>
      <c r="N306" s="63"/>
      <c r="O306" s="64" t="str">
        <f>IF($Q306&lt;&gt;0,VLOOKUP($Q306,DM_KM,3,0),"")</f>
        <v>#N/A</v>
      </c>
      <c r="P306" s="64" t="str">
        <f>IF($Q306&lt;&gt;0,VLOOKUP($Q306,DM_KM,5,0),"")</f>
        <v>#N/A</v>
      </c>
      <c r="Q306" s="65" t="s">
        <v>267</v>
      </c>
      <c r="R306" s="64" t="str">
        <f>IF(S306&lt;&gt;0,VLOOKUP(S306,DM_DUAN,3,0),"")</f>
        <v>#N/A</v>
      </c>
      <c r="S306" s="66" t="str">
        <f>IF(U306&lt;&gt;0,VLOOKUP(U306,DM_DUAN,3,0),"")</f>
        <v/>
      </c>
      <c r="T306" s="64"/>
      <c r="U306" s="93"/>
      <c r="V306" s="64" t="str">
        <f>IF(W306&lt;&gt;0,VLOOKUP(W306,DM_DUAN,3,0),"")</f>
        <v/>
      </c>
      <c r="W306" s="68"/>
      <c r="X306" s="64" t="str">
        <f>IF(Y306&lt;&gt;0,VLOOKUP(Y306,DM_DUAN,3,0),"")</f>
        <v>#N/A</v>
      </c>
      <c r="Y306" s="69" t="s">
        <v>207</v>
      </c>
      <c r="Z306" s="64" t="str">
        <f>IF(AA306&lt;&gt;0,VLOOKUP(AA306,DM_DUAN,3,0),"")</f>
        <v>#N/A</v>
      </c>
      <c r="AA306" s="70" t="s">
        <v>210</v>
      </c>
      <c r="AB306" s="64" t="str">
        <f>IF(AC306&lt;&gt;0,VLOOKUP(AC306,DM_DUAN,3,0),"")</f>
        <v/>
      </c>
      <c r="AC306" s="70"/>
      <c r="AD306" s="64" t="str">
        <f>IF(AC306&lt;&gt;0,VLOOKUP(AC306,DM_NV,2,0),"")</f>
        <v/>
      </c>
      <c r="AE306" s="68"/>
      <c r="AF306" s="64" t="str">
        <f>IF(AE306&lt;&gt;0,VLOOKUP(AE306,DM_NV,2,0),"")</f>
        <v/>
      </c>
    </row>
    <row r="307">
      <c r="A307" s="51"/>
      <c r="B307" s="52" t="str">
        <f>IF(D307="","",VLOOKUP(D307,'THAM CHIẾU'!$A:$B,2,0))</f>
        <v>#N/A</v>
      </c>
      <c r="C307" s="53" t="str">
        <f t="shared" si="2"/>
        <v>02/2022</v>
      </c>
      <c r="D307" s="121">
        <v>44620.0</v>
      </c>
      <c r="E307" s="128" t="s">
        <v>449</v>
      </c>
      <c r="F307" s="129"/>
      <c r="G307" s="57" t="s">
        <v>266</v>
      </c>
      <c r="H307" s="58" t="str">
        <f>IF(G307="","",VLOOKUP($G307,'Quy chuẩn hạch toán'!$B:$E,2,0))</f>
        <v>642</v>
      </c>
      <c r="I307" s="58" t="str">
        <f>IF(H307="","",VLOOKUP($G307,'Quy chuẩn hạch toán'!$B:$E,3,0))</f>
        <v>3341</v>
      </c>
      <c r="J307" s="124">
        <v>4288850.0</v>
      </c>
      <c r="K307" s="60"/>
      <c r="L307" s="61"/>
      <c r="M307" s="62"/>
      <c r="N307" s="63"/>
      <c r="O307" s="64" t="str">
        <f>IF($Q307&lt;&gt;0,VLOOKUP($Q307,DM_KM,3,0),"")</f>
        <v>#N/A</v>
      </c>
      <c r="P307" s="64" t="str">
        <f>IF($Q307&lt;&gt;0,VLOOKUP($Q307,DM_KM,5,0),"")</f>
        <v>#N/A</v>
      </c>
      <c r="Q307" s="65" t="s">
        <v>267</v>
      </c>
      <c r="R307" s="64" t="str">
        <f>IF(S307&lt;&gt;0,VLOOKUP(S307,DM_DUAN,3,0),"")</f>
        <v>#N/A</v>
      </c>
      <c r="S307" s="66" t="str">
        <f>IF(U307&lt;&gt;0,VLOOKUP(U307,DM_DUAN,3,0),"")</f>
        <v/>
      </c>
      <c r="T307" s="64"/>
      <c r="U307" s="93"/>
      <c r="V307" s="64" t="str">
        <f>IF(W307&lt;&gt;0,VLOOKUP(W307,DM_DUAN,3,0),"")</f>
        <v/>
      </c>
      <c r="W307" s="68"/>
      <c r="X307" s="64" t="str">
        <f>IF(Y307&lt;&gt;0,VLOOKUP(Y307,DM_DUAN,3,0),"")</f>
        <v>#N/A</v>
      </c>
      <c r="Y307" s="69" t="s">
        <v>207</v>
      </c>
      <c r="Z307" s="64" t="str">
        <f>IF(AA307&lt;&gt;0,VLOOKUP(AA307,DM_DUAN,3,0),"")</f>
        <v>#N/A</v>
      </c>
      <c r="AA307" s="70" t="s">
        <v>177</v>
      </c>
      <c r="AB307" s="64" t="str">
        <f>IF(AC307&lt;&gt;0,VLOOKUP(AC307,DM_DUAN,3,0),"")</f>
        <v/>
      </c>
      <c r="AC307" s="70"/>
      <c r="AD307" s="64" t="str">
        <f>IF(AC307&lt;&gt;0,VLOOKUP(AC307,DM_NV,2,0),"")</f>
        <v/>
      </c>
      <c r="AE307" s="68"/>
      <c r="AF307" s="64" t="str">
        <f>IF(AE307&lt;&gt;0,VLOOKUP(AE307,DM_NV,2,0),"")</f>
        <v/>
      </c>
      <c r="AG307" s="98">
        <v>231.0</v>
      </c>
      <c r="AI307" s="98" t="s">
        <v>450</v>
      </c>
      <c r="AJ307" s="98"/>
      <c r="AK307" s="98"/>
      <c r="AL307" s="98"/>
      <c r="AM307" s="98"/>
      <c r="AN307" s="98"/>
      <c r="AO307" s="98"/>
      <c r="AP307" s="98"/>
      <c r="AQ307" s="98"/>
      <c r="AR307" s="98"/>
      <c r="AS307" s="98"/>
      <c r="AT307" s="98"/>
    </row>
    <row r="308">
      <c r="A308" s="51"/>
      <c r="B308" s="52" t="str">
        <f>IF(D308="","",VLOOKUP(D308,'THAM CHIẾU'!$A:$B,2,0))</f>
        <v>#N/A</v>
      </c>
      <c r="C308" s="53" t="str">
        <f t="shared" si="2"/>
        <v>02/2022</v>
      </c>
      <c r="D308" s="121">
        <v>44620.0</v>
      </c>
      <c r="E308" s="118" t="s">
        <v>449</v>
      </c>
      <c r="F308" s="119"/>
      <c r="G308" s="57" t="s">
        <v>266</v>
      </c>
      <c r="H308" s="58" t="str">
        <f>IF(G308="","",VLOOKUP($G308,'Quy chuẩn hạch toán'!$B:$E,2,0))</f>
        <v>642</v>
      </c>
      <c r="I308" s="58" t="str">
        <f>IF(H308="","",VLOOKUP($G308,'Quy chuẩn hạch toán'!$B:$E,3,0))</f>
        <v>3341</v>
      </c>
      <c r="J308" s="120">
        <v>8577700.0</v>
      </c>
      <c r="K308" s="60"/>
      <c r="L308" s="61"/>
      <c r="M308" s="62"/>
      <c r="N308" s="63"/>
      <c r="O308" s="64" t="str">
        <f>IF($Q308&lt;&gt;0,VLOOKUP($Q308,DM_KM,3,0),"")</f>
        <v>#N/A</v>
      </c>
      <c r="P308" s="64" t="str">
        <f>IF($Q308&lt;&gt;0,VLOOKUP($Q308,DM_KM,5,0),"")</f>
        <v>#N/A</v>
      </c>
      <c r="Q308" s="65" t="s">
        <v>267</v>
      </c>
      <c r="R308" s="64" t="str">
        <f>IF(S308&lt;&gt;0,VLOOKUP(S308,DM_DUAN,3,0),"")</f>
        <v>#N/A</v>
      </c>
      <c r="S308" s="66" t="str">
        <f>IF(U308&lt;&gt;0,VLOOKUP(U308,DM_DUAN,3,0),"")</f>
        <v/>
      </c>
      <c r="T308" s="64"/>
      <c r="U308" s="93"/>
      <c r="V308" s="64" t="str">
        <f>IF(W308&lt;&gt;0,VLOOKUP(W308,DM_DUAN,3,0),"")</f>
        <v/>
      </c>
      <c r="W308" s="68"/>
      <c r="X308" s="64" t="str">
        <f>IF(Y308&lt;&gt;0,VLOOKUP(Y308,DM_DUAN,3,0),"")</f>
        <v>#N/A</v>
      </c>
      <c r="Y308" s="69" t="s">
        <v>207</v>
      </c>
      <c r="Z308" s="64" t="str">
        <f>IF(AA308&lt;&gt;0,VLOOKUP(AA308,DM_DUAN,3,0),"")</f>
        <v>#N/A</v>
      </c>
      <c r="AA308" s="70" t="s">
        <v>183</v>
      </c>
      <c r="AB308" s="64" t="str">
        <f>IF(AC308&lt;&gt;0,VLOOKUP(AC308,DM_DUAN,3,0),"")</f>
        <v/>
      </c>
      <c r="AC308" s="85"/>
      <c r="AD308" s="64" t="str">
        <f>IF(AC308&lt;&gt;0,VLOOKUP(AC308,DM_NV,2,0),"")</f>
        <v/>
      </c>
      <c r="AE308" s="68"/>
      <c r="AF308" s="64" t="str">
        <f>IF(AE308&lt;&gt;0,VLOOKUP(AE308,DM_NV,2,0),"")</f>
        <v/>
      </c>
      <c r="AG308" s="98">
        <v>231.0</v>
      </c>
      <c r="AI308" s="98" t="s">
        <v>450</v>
      </c>
      <c r="AJ308" s="98"/>
      <c r="AK308" s="98"/>
      <c r="AL308" s="98"/>
      <c r="AM308" s="98"/>
      <c r="AN308" s="98"/>
      <c r="AO308" s="98"/>
      <c r="AP308" s="98"/>
      <c r="AQ308" s="98"/>
      <c r="AR308" s="98"/>
      <c r="AS308" s="98"/>
      <c r="AT308" s="98"/>
    </row>
    <row r="309">
      <c r="A309" s="51"/>
      <c r="B309" s="52" t="str">
        <f>IF(D309="","",VLOOKUP(D309,'THAM CHIẾU'!$A:$B,2,0))</f>
        <v>#N/A</v>
      </c>
      <c r="C309" s="53" t="str">
        <f t="shared" si="2"/>
        <v>02/2022</v>
      </c>
      <c r="D309" s="114">
        <v>44620.0</v>
      </c>
      <c r="E309" s="115" t="s">
        <v>303</v>
      </c>
      <c r="F309" s="108"/>
      <c r="G309" s="109" t="s">
        <v>266</v>
      </c>
      <c r="H309" s="58" t="str">
        <f>IF(G309="","",VLOOKUP($G309,'Quy chuẩn hạch toán'!$B:$E,2,0))</f>
        <v>642</v>
      </c>
      <c r="I309" s="58" t="str">
        <f>IF(H309="","",VLOOKUP($G309,'Quy chuẩn hạch toán'!$B:$E,3,0))</f>
        <v>3341</v>
      </c>
      <c r="J309" s="116">
        <f>4750000/2</f>
        <v>2375000</v>
      </c>
      <c r="K309" s="60"/>
      <c r="L309" s="61"/>
      <c r="M309" s="62"/>
      <c r="N309" s="63"/>
      <c r="O309" s="64" t="str">
        <f>IF($Q309&lt;&gt;0,VLOOKUP($Q309,DM_KM,3,0),"")</f>
        <v>CPNS</v>
      </c>
      <c r="P309" s="64">
        <f>IF($Q309&lt;&gt;0,VLOOKUP($Q309,DM_KM,5,0),"")</f>
        <v>642</v>
      </c>
      <c r="Q309" s="65" t="s">
        <v>293</v>
      </c>
      <c r="R309" s="64" t="str">
        <f>IF(S309&lt;&gt;0,VLOOKUP(S309,DM_DUAN,3,0),"")</f>
        <v>#N/A</v>
      </c>
      <c r="S309" s="66" t="str">
        <f>IF(U309&lt;&gt;0,VLOOKUP(U309,DM_DUAN,3,0),"")</f>
        <v/>
      </c>
      <c r="T309" s="64"/>
      <c r="U309" s="93"/>
      <c r="V309" s="64" t="str">
        <f>IF(W309&lt;&gt;0,VLOOKUP(W309,DM_DUAN,3,0),"")</f>
        <v/>
      </c>
      <c r="W309" s="68"/>
      <c r="X309" s="64" t="str">
        <f>IF(Y309&lt;&gt;0,VLOOKUP(Y309,DM_DUAN,3,0),"")</f>
        <v>#N/A</v>
      </c>
      <c r="Y309" s="69" t="s">
        <v>304</v>
      </c>
      <c r="Z309" s="64" t="str">
        <f>IF(AA309&lt;&gt;0,VLOOKUP(AA309,DM_DUAN,3,0),"")</f>
        <v/>
      </c>
      <c r="AA309" s="70"/>
      <c r="AB309" s="64" t="str">
        <f>IF(AC309&lt;&gt;0,VLOOKUP(AC309,DM_DUAN,3,0),"")</f>
        <v/>
      </c>
      <c r="AC309" s="85"/>
      <c r="AD309" s="64" t="str">
        <f>IF(AC309&lt;&gt;0,VLOOKUP(AC309,DM_NV,2,0),"")</f>
        <v/>
      </c>
      <c r="AE309" s="68"/>
      <c r="AF309" s="64" t="str">
        <f>IF(AE309&lt;&gt;0,VLOOKUP(AE309,DM_NV,2,0),"")</f>
        <v/>
      </c>
      <c r="AG309" s="98">
        <v>231.0</v>
      </c>
      <c r="AI309" s="98" t="s">
        <v>450</v>
      </c>
      <c r="AJ309" s="98"/>
      <c r="AK309" s="98"/>
      <c r="AL309" s="98"/>
      <c r="AM309" s="98"/>
      <c r="AN309" s="98"/>
      <c r="AO309" s="98"/>
      <c r="AP309" s="98"/>
      <c r="AQ309" s="98"/>
      <c r="AR309" s="98"/>
      <c r="AS309" s="98"/>
      <c r="AT309" s="98"/>
    </row>
    <row r="310">
      <c r="A310" s="51"/>
      <c r="B310" s="52" t="str">
        <f>IF(D310="","",VLOOKUP(D310,'THAM CHIẾU'!$A:$B,2,0))</f>
        <v>#N/A</v>
      </c>
      <c r="C310" s="53" t="str">
        <f t="shared" si="2"/>
        <v>02/2022</v>
      </c>
      <c r="D310" s="114">
        <v>44620.0</v>
      </c>
      <c r="E310" s="115" t="s">
        <v>451</v>
      </c>
      <c r="F310" s="108"/>
      <c r="G310" s="57" t="s">
        <v>173</v>
      </c>
      <c r="H310" s="58" t="str">
        <f>IF(G310="","",VLOOKUP($G310,'Quy chuẩn hạch toán'!$B:$E,2,0))</f>
        <v>641</v>
      </c>
      <c r="I310" s="58" t="str">
        <f>IF(H310="","",VLOOKUP($G310,'Quy chuẩn hạch toán'!$B:$E,3,0))</f>
        <v>331</v>
      </c>
      <c r="J310" s="116">
        <v>6000000.0</v>
      </c>
      <c r="K310" s="60"/>
      <c r="L310" s="61"/>
      <c r="M310" s="62"/>
      <c r="N310" s="63"/>
      <c r="O310" s="64" t="str">
        <f>IF($Q310&lt;&gt;0,VLOOKUP($Q310,DM_KM,3,0),"")</f>
        <v>#N/A</v>
      </c>
      <c r="P310" s="64" t="str">
        <f>IF($Q310&lt;&gt;0,VLOOKUP($Q310,DM_KM,5,0),"")</f>
        <v>#N/A</v>
      </c>
      <c r="Q310" s="65" t="s">
        <v>169</v>
      </c>
      <c r="R310" s="64" t="str">
        <f>IF(S310&lt;&gt;0,VLOOKUP(S310,DM_DUAN,3,0),"")</f>
        <v>#N/A</v>
      </c>
      <c r="S310" s="66" t="str">
        <f>IF(U310&lt;&gt;0,VLOOKUP(U310,DM_DUAN,3,0),"")</f>
        <v/>
      </c>
      <c r="T310" s="64"/>
      <c r="U310" s="93"/>
      <c r="V310" s="64" t="str">
        <f>IF(W310&lt;&gt;0,VLOOKUP(W310,DM_DUAN,3,0),"")</f>
        <v/>
      </c>
      <c r="W310" s="68"/>
      <c r="X310" s="64" t="str">
        <f>IF(Y310&lt;&gt;0,VLOOKUP(Y310,DM_DUAN,3,0),"")</f>
        <v>#N/A</v>
      </c>
      <c r="Y310" s="69" t="s">
        <v>176</v>
      </c>
      <c r="Z310" s="64" t="str">
        <f>IF(AA310&lt;&gt;0,VLOOKUP(AA310,DM_DUAN,3,0),"")</f>
        <v>#N/A</v>
      </c>
      <c r="AA310" s="70" t="s">
        <v>210</v>
      </c>
      <c r="AB310" s="64" t="str">
        <f>IF(AC310&lt;&gt;0,VLOOKUP(AC310,DM_DUAN,3,0),"")</f>
        <v/>
      </c>
      <c r="AC310" s="85"/>
      <c r="AD310" s="64" t="str">
        <f>IF(AC310&lt;&gt;0,VLOOKUP(AC310,DM_NV,2,0),"")</f>
        <v/>
      </c>
      <c r="AE310" s="68"/>
      <c r="AF310" s="64" t="str">
        <f>IF(AE310&lt;&gt;0,VLOOKUP(AE310,DM_NV,2,0),"")</f>
        <v/>
      </c>
      <c r="AG310" s="98">
        <v>231.0</v>
      </c>
    </row>
    <row r="311">
      <c r="A311" s="51"/>
      <c r="B311" s="52" t="str">
        <f>IF(D311="","",VLOOKUP(D311,'THAM CHIẾU'!$A:$B,2,0))</f>
        <v>#N/A</v>
      </c>
      <c r="C311" s="53" t="str">
        <f t="shared" si="2"/>
        <v>02/2022</v>
      </c>
      <c r="D311" s="114">
        <v>44620.0</v>
      </c>
      <c r="E311" s="115" t="s">
        <v>452</v>
      </c>
      <c r="F311" s="108"/>
      <c r="G311" s="57" t="s">
        <v>173</v>
      </c>
      <c r="H311" s="58" t="str">
        <f>IF(G311="","",VLOOKUP($G311,'Quy chuẩn hạch toán'!$B:$E,2,0))</f>
        <v>641</v>
      </c>
      <c r="I311" s="58" t="str">
        <f>IF(H311="","",VLOOKUP($G311,'Quy chuẩn hạch toán'!$B:$E,3,0))</f>
        <v>331</v>
      </c>
      <c r="J311" s="116">
        <v>1.4E7</v>
      </c>
      <c r="K311" s="60"/>
      <c r="L311" s="61"/>
      <c r="M311" s="62"/>
      <c r="N311" s="63"/>
      <c r="O311" s="64" t="str">
        <f>IF($Q311&lt;&gt;0,VLOOKUP($Q311,DM_KM,3,0),"")</f>
        <v>#N/A</v>
      </c>
      <c r="P311" s="64" t="str">
        <f>IF($Q311&lt;&gt;0,VLOOKUP($Q311,DM_KM,5,0),"")</f>
        <v>#N/A</v>
      </c>
      <c r="Q311" s="65" t="s">
        <v>169</v>
      </c>
      <c r="R311" s="64" t="str">
        <f>IF(S311&lt;&gt;0,VLOOKUP(S311,DM_DUAN,3,0),"")</f>
        <v>#N/A</v>
      </c>
      <c r="S311" s="66" t="str">
        <f>IF(U311&lt;&gt;0,VLOOKUP(U311,DM_DUAN,3,0),"")</f>
        <v/>
      </c>
      <c r="T311" s="64"/>
      <c r="U311" s="93"/>
      <c r="V311" s="64" t="str">
        <f>IF(W311&lt;&gt;0,VLOOKUP(W311,DM_DUAN,3,0),"")</f>
        <v/>
      </c>
      <c r="W311" s="68"/>
      <c r="X311" s="64" t="str">
        <f>IF(Y311&lt;&gt;0,VLOOKUP(Y311,DM_DUAN,3,0),"")</f>
        <v>#N/A</v>
      </c>
      <c r="Y311" s="69" t="s">
        <v>176</v>
      </c>
      <c r="Z311" s="64" t="str">
        <f>IF(AA311&lt;&gt;0,VLOOKUP(AA311,DM_DUAN,3,0),"")</f>
        <v>#N/A</v>
      </c>
      <c r="AA311" s="70" t="s">
        <v>183</v>
      </c>
      <c r="AB311" s="64" t="str">
        <f>IF(AC311&lt;&gt;0,VLOOKUP(AC311,DM_DUAN,3,0),"")</f>
        <v/>
      </c>
      <c r="AC311" s="85"/>
      <c r="AD311" s="64" t="str">
        <f>IF(AC311&lt;&gt;0,VLOOKUP(AC311,DM_NV,2,0),"")</f>
        <v/>
      </c>
      <c r="AE311" s="68"/>
      <c r="AF311" s="64" t="str">
        <f>IF(AE311&lt;&gt;0,VLOOKUP(AE311,DM_NV,2,0),"")</f>
        <v/>
      </c>
      <c r="AG311" s="98">
        <v>231.0</v>
      </c>
    </row>
    <row r="312">
      <c r="A312" s="51"/>
      <c r="B312" s="52" t="str">
        <f>IF(D312="","",VLOOKUP(D312,'THAM CHIẾU'!$A:$B,2,0))</f>
        <v>#N/A</v>
      </c>
      <c r="C312" s="53" t="str">
        <f t="shared" si="2"/>
        <v>02/2022</v>
      </c>
      <c r="D312" s="114">
        <v>44620.0</v>
      </c>
      <c r="E312" s="115" t="s">
        <v>453</v>
      </c>
      <c r="F312" s="108"/>
      <c r="G312" s="57" t="s">
        <v>249</v>
      </c>
      <c r="H312" s="58" t="str">
        <f>IF(G312="","",VLOOKUP($G312,'Quy chuẩn hạch toán'!$B:$E,2,0))</f>
        <v>642</v>
      </c>
      <c r="I312" s="58" t="str">
        <f>IF(H312="","",VLOOKUP($G312,'Quy chuẩn hạch toán'!$B:$E,3,0))</f>
        <v>331</v>
      </c>
      <c r="J312" s="116">
        <v>412698.0</v>
      </c>
      <c r="K312" s="60"/>
      <c r="L312" s="61"/>
      <c r="M312" s="62"/>
      <c r="N312" s="63"/>
      <c r="O312" s="64" t="str">
        <f>IF($Q312&lt;&gt;0,VLOOKUP($Q312,DM_KM,3,0),"")</f>
        <v>THUEVP</v>
      </c>
      <c r="P312" s="64">
        <f>IF($Q312&lt;&gt;0,VLOOKUP($Q312,DM_KM,5,0),"")</f>
        <v>642</v>
      </c>
      <c r="Q312" s="65" t="s">
        <v>270</v>
      </c>
      <c r="R312" s="64" t="str">
        <f>IF(S312&lt;&gt;0,VLOOKUP(S312,DM_DUAN,3,0),"")</f>
        <v>#N/A</v>
      </c>
      <c r="S312" s="66" t="str">
        <f>IF(U312&lt;&gt;0,VLOOKUP(U312,DM_DUAN,3,0),"")</f>
        <v/>
      </c>
      <c r="T312" s="64"/>
      <c r="U312" s="93"/>
      <c r="V312" s="64" t="str">
        <f>IF(W312&lt;&gt;0,VLOOKUP(W312,DM_DUAN,3,0),"")</f>
        <v/>
      </c>
      <c r="W312" s="68"/>
      <c r="X312" s="64" t="str">
        <f>IF(Y312&lt;&gt;0,VLOOKUP(Y312,DM_DUAN,3,0),"")</f>
        <v>#N/A</v>
      </c>
      <c r="Y312" s="69" t="s">
        <v>176</v>
      </c>
      <c r="Z312" s="64" t="str">
        <f>IF(AA312&lt;&gt;0,VLOOKUP(AA312,DM_DUAN,3,0),"")</f>
        <v>#N/A</v>
      </c>
      <c r="AA312" s="70" t="s">
        <v>208</v>
      </c>
      <c r="AB312" s="64" t="str">
        <f>IF(AC312&lt;&gt;0,VLOOKUP(AC312,DM_DUAN,3,0),"")</f>
        <v/>
      </c>
      <c r="AC312" s="70"/>
      <c r="AD312" s="64" t="str">
        <f>IF(AC312&lt;&gt;0,VLOOKUP(AC312,DM_NV,2,0),"")</f>
        <v/>
      </c>
      <c r="AE312" s="68"/>
      <c r="AF312" s="64" t="str">
        <f>IF(AE312&lt;&gt;0,VLOOKUP(AE312,DM_NV,2,0),"")</f>
        <v/>
      </c>
      <c r="AG312" s="98">
        <v>231.0</v>
      </c>
    </row>
    <row r="313">
      <c r="A313" s="51"/>
      <c r="B313" s="52" t="str">
        <f>IF(D313="","",VLOOKUP(D313,'THAM CHIẾU'!$A:$B,2,0))</f>
        <v>#N/A</v>
      </c>
      <c r="C313" s="53" t="str">
        <f t="shared" si="2"/>
        <v>02/2022</v>
      </c>
      <c r="D313" s="114">
        <v>44620.0</v>
      </c>
      <c r="E313" s="115" t="s">
        <v>453</v>
      </c>
      <c r="F313" s="108"/>
      <c r="G313" s="57" t="s">
        <v>249</v>
      </c>
      <c r="H313" s="58" t="str">
        <f>IF(G313="","",VLOOKUP($G313,'Quy chuẩn hạch toán'!$B:$E,2,0))</f>
        <v>642</v>
      </c>
      <c r="I313" s="58" t="str">
        <f>IF(H313="","",VLOOKUP($G313,'Quy chuẩn hạch toán'!$B:$E,3,0))</f>
        <v>331</v>
      </c>
      <c r="J313" s="116">
        <v>825397.0</v>
      </c>
      <c r="K313" s="60"/>
      <c r="L313" s="61"/>
      <c r="M313" s="62"/>
      <c r="N313" s="63"/>
      <c r="O313" s="64" t="str">
        <f>IF($Q313&lt;&gt;0,VLOOKUP($Q313,DM_KM,3,0),"")</f>
        <v>THUEVP</v>
      </c>
      <c r="P313" s="64">
        <f>IF($Q313&lt;&gt;0,VLOOKUP($Q313,DM_KM,5,0),"")</f>
        <v>642</v>
      </c>
      <c r="Q313" s="65" t="s">
        <v>270</v>
      </c>
      <c r="R313" s="64" t="str">
        <f>IF(S313&lt;&gt;0,VLOOKUP(S313,DM_DUAN,3,0),"")</f>
        <v>#N/A</v>
      </c>
      <c r="S313" s="66" t="str">
        <f>IF(U313&lt;&gt;0,VLOOKUP(U313,DM_DUAN,3,0),"")</f>
        <v/>
      </c>
      <c r="T313" s="64"/>
      <c r="U313" s="93"/>
      <c r="V313" s="64" t="str">
        <f>IF(W313&lt;&gt;0,VLOOKUP(W313,DM_DUAN,3,0),"")</f>
        <v/>
      </c>
      <c r="W313" s="68"/>
      <c r="X313" s="64" t="str">
        <f>IF(Y313&lt;&gt;0,VLOOKUP(Y313,DM_DUAN,3,0),"")</f>
        <v>#N/A</v>
      </c>
      <c r="Y313" s="69" t="s">
        <v>176</v>
      </c>
      <c r="Z313" s="64" t="str">
        <f>IF(AA313&lt;&gt;0,VLOOKUP(AA313,DM_DUAN,3,0),"")</f>
        <v>#N/A</v>
      </c>
      <c r="AA313" s="70" t="s">
        <v>210</v>
      </c>
      <c r="AB313" s="64" t="str">
        <f>IF(AC313&lt;&gt;0,VLOOKUP(AC313,DM_DUAN,3,0),"")</f>
        <v/>
      </c>
      <c r="AC313" s="70"/>
      <c r="AD313" s="64" t="str">
        <f>IF(AC313&lt;&gt;0,VLOOKUP(AC313,DM_NV,2,0),"")</f>
        <v/>
      </c>
      <c r="AE313" s="68"/>
      <c r="AF313" s="64" t="str">
        <f>IF(AE313&lt;&gt;0,VLOOKUP(AE313,DM_NV,2,0),"")</f>
        <v/>
      </c>
      <c r="AG313" s="98">
        <v>231.0</v>
      </c>
      <c r="AI313" s="98" t="s">
        <v>421</v>
      </c>
      <c r="AJ313" s="98"/>
      <c r="AK313" s="98"/>
      <c r="AL313" s="98"/>
      <c r="AM313" s="98"/>
      <c r="AN313" s="98"/>
      <c r="AO313" s="98"/>
      <c r="AP313" s="98"/>
      <c r="AQ313" s="98"/>
      <c r="AR313" s="98"/>
      <c r="AS313" s="98"/>
      <c r="AT313" s="98"/>
    </row>
    <row r="314">
      <c r="A314" s="51"/>
      <c r="B314" s="52" t="str">
        <f>IF(D314="","",VLOOKUP(D314,'THAM CHIẾU'!$A:$B,2,0))</f>
        <v>#N/A</v>
      </c>
      <c r="C314" s="53" t="str">
        <f t="shared" si="2"/>
        <v>02/2022</v>
      </c>
      <c r="D314" s="114">
        <v>44620.0</v>
      </c>
      <c r="E314" s="115" t="s">
        <v>453</v>
      </c>
      <c r="F314" s="108"/>
      <c r="G314" s="57" t="s">
        <v>249</v>
      </c>
      <c r="H314" s="58" t="str">
        <f>IF(G314="","",VLOOKUP($G314,'Quy chuẩn hạch toán'!$B:$E,2,0))</f>
        <v>642</v>
      </c>
      <c r="I314" s="58" t="str">
        <f>IF(H314="","",VLOOKUP($G314,'Quy chuẩn hạch toán'!$B:$E,3,0))</f>
        <v>331</v>
      </c>
      <c r="J314" s="116">
        <v>1031746.0</v>
      </c>
      <c r="K314" s="60"/>
      <c r="L314" s="61"/>
      <c r="M314" s="62"/>
      <c r="N314" s="63"/>
      <c r="O314" s="64" t="str">
        <f>IF($Q314&lt;&gt;0,VLOOKUP($Q314,DM_KM,3,0),"")</f>
        <v>THUEVP</v>
      </c>
      <c r="P314" s="64">
        <f>IF($Q314&lt;&gt;0,VLOOKUP($Q314,DM_KM,5,0),"")</f>
        <v>642</v>
      </c>
      <c r="Q314" s="65" t="s">
        <v>270</v>
      </c>
      <c r="R314" s="64" t="str">
        <f>IF(S314&lt;&gt;0,VLOOKUP(S314,DM_DUAN,3,0),"")</f>
        <v>#N/A</v>
      </c>
      <c r="S314" s="66" t="str">
        <f>IF(U314&lt;&gt;0,VLOOKUP(U314,DM_DUAN,3,0),"")</f>
        <v/>
      </c>
      <c r="T314" s="64"/>
      <c r="U314" s="93"/>
      <c r="V314" s="64" t="str">
        <f>IF(W314&lt;&gt;0,VLOOKUP(W314,DM_DUAN,3,0),"")</f>
        <v/>
      </c>
      <c r="W314" s="68"/>
      <c r="X314" s="64" t="str">
        <f>IF(Y314&lt;&gt;0,VLOOKUP(Y314,DM_DUAN,3,0),"")</f>
        <v>#N/A</v>
      </c>
      <c r="Y314" s="69" t="s">
        <v>176</v>
      </c>
      <c r="Z314" s="64" t="str">
        <f>IF(AA314&lt;&gt;0,VLOOKUP(AA314,DM_DUAN,3,0),"")</f>
        <v>#N/A</v>
      </c>
      <c r="AA314" s="70" t="s">
        <v>177</v>
      </c>
      <c r="AB314" s="64" t="str">
        <f>IF(AC314&lt;&gt;0,VLOOKUP(AC314,DM_DUAN,3,0),"")</f>
        <v/>
      </c>
      <c r="AC314" s="70"/>
      <c r="AD314" s="64" t="str">
        <f>IF(AC314&lt;&gt;0,VLOOKUP(AC314,DM_NV,2,0),"")</f>
        <v/>
      </c>
      <c r="AE314" s="68"/>
      <c r="AF314" s="64" t="str">
        <f>IF(AE314&lt;&gt;0,VLOOKUP(AE314,DM_NV,2,0),"")</f>
        <v/>
      </c>
      <c r="AG314" s="98">
        <v>231.0</v>
      </c>
    </row>
    <row r="315">
      <c r="A315" s="51"/>
      <c r="B315" s="52" t="str">
        <f>IF(D315="","",VLOOKUP(D315,'THAM CHIẾU'!$A:$B,2,0))</f>
        <v>#N/A</v>
      </c>
      <c r="C315" s="53" t="str">
        <f t="shared" si="2"/>
        <v>02/2022</v>
      </c>
      <c r="D315" s="114">
        <v>44620.0</v>
      </c>
      <c r="E315" s="115" t="s">
        <v>453</v>
      </c>
      <c r="F315" s="108"/>
      <c r="G315" s="57" t="s">
        <v>249</v>
      </c>
      <c r="H315" s="58" t="str">
        <f>IF(G315="","",VLOOKUP($G315,'Quy chuẩn hạch toán'!$B:$E,2,0))</f>
        <v>642</v>
      </c>
      <c r="I315" s="58" t="str">
        <f>IF(H315="","",VLOOKUP($G315,'Quy chuẩn hạch toán'!$B:$E,3,0))</f>
        <v>331</v>
      </c>
      <c r="J315" s="116">
        <v>2063492.0</v>
      </c>
      <c r="K315" s="60"/>
      <c r="L315" s="61"/>
      <c r="M315" s="62"/>
      <c r="N315" s="63"/>
      <c r="O315" s="64" t="str">
        <f>IF($Q315&lt;&gt;0,VLOOKUP($Q315,DM_KM,3,0),"")</f>
        <v>THUEVP</v>
      </c>
      <c r="P315" s="64">
        <f>IF($Q315&lt;&gt;0,VLOOKUP($Q315,DM_KM,5,0),"")</f>
        <v>642</v>
      </c>
      <c r="Q315" s="65" t="s">
        <v>270</v>
      </c>
      <c r="R315" s="64" t="str">
        <f>IF(S315&lt;&gt;0,VLOOKUP(S315,DM_DUAN,3,0),"")</f>
        <v>#N/A</v>
      </c>
      <c r="S315" s="66" t="str">
        <f>IF(U315&lt;&gt;0,VLOOKUP(U315,DM_DUAN,3,0),"")</f>
        <v/>
      </c>
      <c r="T315" s="64"/>
      <c r="U315" s="93"/>
      <c r="V315" s="64" t="str">
        <f>IF(W315&lt;&gt;0,VLOOKUP(W315,DM_DUAN,3,0),"")</f>
        <v/>
      </c>
      <c r="W315" s="68"/>
      <c r="X315" s="64" t="str">
        <f>IF(Y315&lt;&gt;0,VLOOKUP(Y315,DM_DUAN,3,0),"")</f>
        <v>#N/A</v>
      </c>
      <c r="Y315" s="69" t="s">
        <v>176</v>
      </c>
      <c r="Z315" s="64" t="str">
        <f>IF(AA315&lt;&gt;0,VLOOKUP(AA315,DM_DUAN,3,0),"")</f>
        <v>#N/A</v>
      </c>
      <c r="AA315" s="70" t="s">
        <v>183</v>
      </c>
      <c r="AB315" s="64" t="str">
        <f>IF(AC315&lt;&gt;0,VLOOKUP(AC315,DM_DUAN,3,0),"")</f>
        <v/>
      </c>
      <c r="AC315" s="85"/>
      <c r="AD315" s="64" t="str">
        <f>IF(AC315&lt;&gt;0,VLOOKUP(AC315,DM_NV,2,0),"")</f>
        <v/>
      </c>
      <c r="AE315" s="68"/>
      <c r="AF315" s="64" t="str">
        <f>IF(AE315&lt;&gt;0,VLOOKUP(AE315,DM_NV,2,0),"")</f>
        <v/>
      </c>
      <c r="AG315" s="98">
        <v>231.0</v>
      </c>
    </row>
    <row r="316">
      <c r="A316" s="51"/>
      <c r="B316" s="52" t="str">
        <f>IF(D316="","",VLOOKUP(D316,'THAM CHIẾU'!$A:$B,2,0))</f>
        <v>#N/A</v>
      </c>
      <c r="C316" s="53" t="str">
        <f t="shared" si="2"/>
        <v>02/2022</v>
      </c>
      <c r="D316" s="117">
        <v>44620.0</v>
      </c>
      <c r="E316" s="118" t="s">
        <v>454</v>
      </c>
      <c r="F316" s="119"/>
      <c r="G316" s="57" t="s">
        <v>249</v>
      </c>
      <c r="H316" s="58" t="str">
        <f>IF(G316="","",VLOOKUP($G316,'Quy chuẩn hạch toán'!$B:$E,2,0))</f>
        <v>642</v>
      </c>
      <c r="I316" s="58" t="str">
        <f>IF(H316="","",VLOOKUP($G316,'Quy chuẩn hạch toán'!$B:$E,3,0))</f>
        <v>331</v>
      </c>
      <c r="J316" s="120">
        <v>190476.0</v>
      </c>
      <c r="K316" s="60"/>
      <c r="L316" s="61"/>
      <c r="M316" s="62"/>
      <c r="N316" s="63"/>
      <c r="O316" s="64" t="str">
        <f>IF($Q316&lt;&gt;0,VLOOKUP($Q316,DM_KM,3,0),"")</f>
        <v>THUEVP</v>
      </c>
      <c r="P316" s="64">
        <f>IF($Q316&lt;&gt;0,VLOOKUP($Q316,DM_KM,5,0),"")</f>
        <v>642</v>
      </c>
      <c r="Q316" s="65" t="s">
        <v>270</v>
      </c>
      <c r="R316" s="64" t="str">
        <f>IF(S316&lt;&gt;0,VLOOKUP(S316,DM_DUAN,3,0),"")</f>
        <v>#N/A</v>
      </c>
      <c r="S316" s="66" t="str">
        <f>IF(U316&lt;&gt;0,VLOOKUP(U316,DM_DUAN,3,0),"")</f>
        <v/>
      </c>
      <c r="T316" s="64"/>
      <c r="U316" s="93"/>
      <c r="V316" s="64" t="str">
        <f>IF(W316&lt;&gt;0,VLOOKUP(W316,DM_DUAN,3,0),"")</f>
        <v/>
      </c>
      <c r="W316" s="68"/>
      <c r="X316" s="64" t="str">
        <f>IF(Y316&lt;&gt;0,VLOOKUP(Y316,DM_DUAN,3,0),"")</f>
        <v>#N/A</v>
      </c>
      <c r="Y316" s="69" t="s">
        <v>176</v>
      </c>
      <c r="Z316" s="64" t="str">
        <f>IF(AA316&lt;&gt;0,VLOOKUP(AA316,DM_DUAN,3,0),"")</f>
        <v>#N/A</v>
      </c>
      <c r="AA316" s="70" t="s">
        <v>208</v>
      </c>
      <c r="AB316" s="64" t="str">
        <f>IF(AC316&lt;&gt;0,VLOOKUP(AC316,DM_DUAN,3,0),"")</f>
        <v/>
      </c>
      <c r="AC316" s="70"/>
      <c r="AD316" s="64" t="str">
        <f>IF(AC316&lt;&gt;0,VLOOKUP(AC316,DM_NV,2,0),"")</f>
        <v/>
      </c>
      <c r="AE316" s="68"/>
      <c r="AF316" s="64" t="str">
        <f>IF(AE316&lt;&gt;0,VLOOKUP(AE316,DM_NV,2,0),"")</f>
        <v/>
      </c>
      <c r="AG316" s="98">
        <v>231.0</v>
      </c>
    </row>
    <row r="317">
      <c r="A317" s="51"/>
      <c r="B317" s="52" t="str">
        <f>IF(D317="","",VLOOKUP(D317,'THAM CHIẾU'!$A:$B,2,0))</f>
        <v>#N/A</v>
      </c>
      <c r="C317" s="53" t="str">
        <f t="shared" si="2"/>
        <v>02/2022</v>
      </c>
      <c r="D317" s="117">
        <v>44620.0</v>
      </c>
      <c r="E317" s="118" t="s">
        <v>454</v>
      </c>
      <c r="F317" s="119"/>
      <c r="G317" s="57" t="s">
        <v>249</v>
      </c>
      <c r="H317" s="58" t="str">
        <f>IF(G317="","",VLOOKUP($G317,'Quy chuẩn hạch toán'!$B:$E,2,0))</f>
        <v>642</v>
      </c>
      <c r="I317" s="58" t="str">
        <f>IF(H317="","",VLOOKUP($G317,'Quy chuẩn hạch toán'!$B:$E,3,0))</f>
        <v>331</v>
      </c>
      <c r="J317" s="120">
        <v>380952.0</v>
      </c>
      <c r="K317" s="60"/>
      <c r="L317" s="61"/>
      <c r="M317" s="62"/>
      <c r="N317" s="63"/>
      <c r="O317" s="64" t="str">
        <f>IF($Q317&lt;&gt;0,VLOOKUP($Q317,DM_KM,3,0),"")</f>
        <v>THUEVP</v>
      </c>
      <c r="P317" s="64">
        <f>IF($Q317&lt;&gt;0,VLOOKUP($Q317,DM_KM,5,0),"")</f>
        <v>642</v>
      </c>
      <c r="Q317" s="65" t="s">
        <v>270</v>
      </c>
      <c r="R317" s="64" t="str">
        <f>IF(S317&lt;&gt;0,VLOOKUP(S317,DM_DUAN,3,0),"")</f>
        <v>#N/A</v>
      </c>
      <c r="S317" s="66" t="str">
        <f>IF(U317&lt;&gt;0,VLOOKUP(U317,DM_DUAN,3,0),"")</f>
        <v/>
      </c>
      <c r="T317" s="64"/>
      <c r="U317" s="93"/>
      <c r="V317" s="64" t="str">
        <f>IF(W317&lt;&gt;0,VLOOKUP(W317,DM_DUAN,3,0),"")</f>
        <v/>
      </c>
      <c r="W317" s="68"/>
      <c r="X317" s="64" t="str">
        <f>IF(Y317&lt;&gt;0,VLOOKUP(Y317,DM_DUAN,3,0),"")</f>
        <v>#N/A</v>
      </c>
      <c r="Y317" s="69" t="s">
        <v>176</v>
      </c>
      <c r="Z317" s="64" t="str">
        <f>IF(AA317&lt;&gt;0,VLOOKUP(AA317,DM_DUAN,3,0),"")</f>
        <v>#N/A</v>
      </c>
      <c r="AA317" s="70" t="s">
        <v>210</v>
      </c>
      <c r="AB317" s="64" t="str">
        <f>IF(AC317&lt;&gt;0,VLOOKUP(AC317,DM_DUAN,3,0),"")</f>
        <v/>
      </c>
      <c r="AC317" s="70"/>
      <c r="AD317" s="64" t="str">
        <f>IF(AC317&lt;&gt;0,VLOOKUP(AC317,DM_NV,2,0),"")</f>
        <v/>
      </c>
      <c r="AE317" s="68"/>
      <c r="AF317" s="64" t="str">
        <f>IF(AE317&lt;&gt;0,VLOOKUP(AE317,DM_NV,2,0),"")</f>
        <v/>
      </c>
      <c r="AG317" s="98">
        <v>231.0</v>
      </c>
    </row>
    <row r="318">
      <c r="A318" s="51"/>
      <c r="B318" s="52" t="str">
        <f>IF(D318="","",VLOOKUP(D318,'THAM CHIẾU'!$A:$B,2,0))</f>
        <v>#N/A</v>
      </c>
      <c r="C318" s="53" t="str">
        <f t="shared" si="2"/>
        <v>02/2022</v>
      </c>
      <c r="D318" s="117">
        <v>44620.0</v>
      </c>
      <c r="E318" s="118" t="s">
        <v>454</v>
      </c>
      <c r="F318" s="119"/>
      <c r="G318" s="57" t="s">
        <v>249</v>
      </c>
      <c r="H318" s="58" t="str">
        <f>IF(G318="","",VLOOKUP($G318,'Quy chuẩn hạch toán'!$B:$E,2,0))</f>
        <v>642</v>
      </c>
      <c r="I318" s="58" t="str">
        <f>IF(H318="","",VLOOKUP($G318,'Quy chuẩn hạch toán'!$B:$E,3,0))</f>
        <v>331</v>
      </c>
      <c r="J318" s="120">
        <v>476190.0</v>
      </c>
      <c r="K318" s="60"/>
      <c r="L318" s="61"/>
      <c r="M318" s="62"/>
      <c r="N318" s="63"/>
      <c r="O318" s="64" t="str">
        <f>IF($Q318&lt;&gt;0,VLOOKUP($Q318,DM_KM,3,0),"")</f>
        <v>THUEVP</v>
      </c>
      <c r="P318" s="64">
        <f>IF($Q318&lt;&gt;0,VLOOKUP($Q318,DM_KM,5,0),"")</f>
        <v>642</v>
      </c>
      <c r="Q318" s="65" t="s">
        <v>270</v>
      </c>
      <c r="R318" s="64" t="str">
        <f>IF(S318&lt;&gt;0,VLOOKUP(S318,DM_DUAN,3,0),"")</f>
        <v>#N/A</v>
      </c>
      <c r="S318" s="66" t="str">
        <f>IF(U318&lt;&gt;0,VLOOKUP(U318,DM_DUAN,3,0),"")</f>
        <v/>
      </c>
      <c r="T318" s="64"/>
      <c r="U318" s="93"/>
      <c r="V318" s="64" t="str">
        <f>IF(W318&lt;&gt;0,VLOOKUP(W318,DM_DUAN,3,0),"")</f>
        <v/>
      </c>
      <c r="W318" s="68"/>
      <c r="X318" s="64" t="str">
        <f>IF(Y318&lt;&gt;0,VLOOKUP(Y318,DM_DUAN,3,0),"")</f>
        <v>#N/A</v>
      </c>
      <c r="Y318" s="69" t="s">
        <v>176</v>
      </c>
      <c r="Z318" s="64" t="str">
        <f>IF(AA318&lt;&gt;0,VLOOKUP(AA318,DM_DUAN,3,0),"")</f>
        <v>#N/A</v>
      </c>
      <c r="AA318" s="70" t="s">
        <v>177</v>
      </c>
      <c r="AB318" s="64" t="str">
        <f>IF(AC318&lt;&gt;0,VLOOKUP(AC318,DM_DUAN,3,0),"")</f>
        <v/>
      </c>
      <c r="AC318" s="70"/>
      <c r="AD318" s="64" t="str">
        <f>IF(AC318&lt;&gt;0,VLOOKUP(AC318,DM_NV,2,0),"")</f>
        <v/>
      </c>
      <c r="AE318" s="68"/>
      <c r="AF318" s="64" t="str">
        <f>IF(AE318&lt;&gt;0,VLOOKUP(AE318,DM_NV,2,0),"")</f>
        <v/>
      </c>
      <c r="AG318" s="98">
        <v>231.0</v>
      </c>
    </row>
    <row r="319">
      <c r="A319" s="51"/>
      <c r="B319" s="52" t="str">
        <f>IF(D319="","",VLOOKUP(D319,'THAM CHIẾU'!$A:$B,2,0))</f>
        <v>#N/A</v>
      </c>
      <c r="C319" s="53" t="str">
        <f t="shared" si="2"/>
        <v>02/2022</v>
      </c>
      <c r="D319" s="117">
        <v>44620.0</v>
      </c>
      <c r="E319" s="118" t="s">
        <v>454</v>
      </c>
      <c r="F319" s="119"/>
      <c r="G319" s="57" t="s">
        <v>249</v>
      </c>
      <c r="H319" s="58" t="str">
        <f>IF(G319="","",VLOOKUP($G319,'Quy chuẩn hạch toán'!$B:$E,2,0))</f>
        <v>642</v>
      </c>
      <c r="I319" s="58" t="str">
        <f>IF(H319="","",VLOOKUP($G319,'Quy chuẩn hạch toán'!$B:$E,3,0))</f>
        <v>331</v>
      </c>
      <c r="J319" s="120">
        <v>952381.0</v>
      </c>
      <c r="K319" s="60"/>
      <c r="L319" s="61"/>
      <c r="M319" s="62"/>
      <c r="N319" s="63"/>
      <c r="O319" s="64" t="str">
        <f>IF($Q319&lt;&gt;0,VLOOKUP($Q319,DM_KM,3,0),"")</f>
        <v>THUEVP</v>
      </c>
      <c r="P319" s="64">
        <f>IF($Q319&lt;&gt;0,VLOOKUP($Q319,DM_KM,5,0),"")</f>
        <v>642</v>
      </c>
      <c r="Q319" s="65" t="s">
        <v>270</v>
      </c>
      <c r="R319" s="64" t="str">
        <f>IF(S319&lt;&gt;0,VLOOKUP(S319,DM_DUAN,3,0),"")</f>
        <v>#N/A</v>
      </c>
      <c r="S319" s="66" t="str">
        <f>IF(U319&lt;&gt;0,VLOOKUP(U319,DM_DUAN,3,0),"")</f>
        <v/>
      </c>
      <c r="T319" s="64"/>
      <c r="U319" s="93"/>
      <c r="V319" s="64" t="str">
        <f>IF(W319&lt;&gt;0,VLOOKUP(W319,DM_DUAN,3,0),"")</f>
        <v/>
      </c>
      <c r="W319" s="68"/>
      <c r="X319" s="64" t="str">
        <f>IF(Y319&lt;&gt;0,VLOOKUP(Y319,DM_DUAN,3,0),"")</f>
        <v>#N/A</v>
      </c>
      <c r="Y319" s="69" t="s">
        <v>176</v>
      </c>
      <c r="Z319" s="64" t="str">
        <f>IF(AA319&lt;&gt;0,VLOOKUP(AA319,DM_DUAN,3,0),"")</f>
        <v>#N/A</v>
      </c>
      <c r="AA319" s="70" t="s">
        <v>183</v>
      </c>
      <c r="AB319" s="64" t="str">
        <f>IF(AC319&lt;&gt;0,VLOOKUP(AC319,DM_DUAN,3,0),"")</f>
        <v/>
      </c>
      <c r="AC319" s="85"/>
      <c r="AD319" s="64" t="str">
        <f>IF(AC319&lt;&gt;0,VLOOKUP(AC319,DM_NV,2,0),"")</f>
        <v/>
      </c>
      <c r="AE319" s="68"/>
      <c r="AF319" s="64" t="str">
        <f>IF(AE319&lt;&gt;0,VLOOKUP(AE319,DM_NV,2,0),"")</f>
        <v/>
      </c>
      <c r="AG319" s="98">
        <v>231.0</v>
      </c>
    </row>
    <row r="320">
      <c r="A320" s="51"/>
      <c r="B320" s="52" t="str">
        <f>IF(D320="","",VLOOKUP(D320,'THAM CHIẾU'!$A:$B,2,0))</f>
        <v>#N/A</v>
      </c>
      <c r="C320" s="53" t="str">
        <f t="shared" si="2"/>
        <v>02/2022</v>
      </c>
      <c r="D320" s="117">
        <v>44620.0</v>
      </c>
      <c r="E320" s="118" t="s">
        <v>455</v>
      </c>
      <c r="F320" s="119"/>
      <c r="G320" s="57" t="s">
        <v>249</v>
      </c>
      <c r="H320" s="58" t="str">
        <f>IF(G320="","",VLOOKUP($G320,'Quy chuẩn hạch toán'!$B:$E,2,0))</f>
        <v>642</v>
      </c>
      <c r="I320" s="58" t="str">
        <f>IF(H320="","",VLOOKUP($G320,'Quy chuẩn hạch toán'!$B:$E,3,0))</f>
        <v>331</v>
      </c>
      <c r="J320" s="120">
        <v>288095.0</v>
      </c>
      <c r="K320" s="60"/>
      <c r="L320" s="61"/>
      <c r="M320" s="62"/>
      <c r="N320" s="63"/>
      <c r="O320" s="64" t="str">
        <f>IF($Q320&lt;&gt;0,VLOOKUP($Q320,DM_KM,3,0),"")</f>
        <v>THUEVP</v>
      </c>
      <c r="P320" s="64">
        <f>IF($Q320&lt;&gt;0,VLOOKUP($Q320,DM_KM,5,0),"")</f>
        <v>642</v>
      </c>
      <c r="Q320" s="65" t="s">
        <v>270</v>
      </c>
      <c r="R320" s="64" t="str">
        <f>IF(S320&lt;&gt;0,VLOOKUP(S320,DM_DUAN,3,0),"")</f>
        <v>#N/A</v>
      </c>
      <c r="S320" s="66" t="str">
        <f>IF(U320&lt;&gt;0,VLOOKUP(U320,DM_DUAN,3,0),"")</f>
        <v/>
      </c>
      <c r="T320" s="64"/>
      <c r="U320" s="93"/>
      <c r="V320" s="64" t="str">
        <f>IF(W320&lt;&gt;0,VLOOKUP(W320,DM_DUAN,3,0),"")</f>
        <v/>
      </c>
      <c r="W320" s="68"/>
      <c r="X320" s="64" t="str">
        <f>IF(Y320&lt;&gt;0,VLOOKUP(Y320,DM_DUAN,3,0),"")</f>
        <v>#N/A</v>
      </c>
      <c r="Y320" s="69" t="s">
        <v>304</v>
      </c>
      <c r="Z320" s="64" t="str">
        <f>IF(AA320&lt;&gt;0,VLOOKUP(AA320,DM_DUAN,3,0),"")</f>
        <v>#N/A</v>
      </c>
      <c r="AA320" s="70" t="s">
        <v>208</v>
      </c>
      <c r="AB320" s="64" t="str">
        <f>IF(AC320&lt;&gt;0,VLOOKUP(AC320,DM_DUAN,3,0),"")</f>
        <v/>
      </c>
      <c r="AC320" s="70"/>
      <c r="AD320" s="64" t="str">
        <f>IF(AC320&lt;&gt;0,VLOOKUP(AC320,DM_NV,2,0),"")</f>
        <v/>
      </c>
      <c r="AE320" s="68"/>
      <c r="AF320" s="64" t="str">
        <f>IF(AE320&lt;&gt;0,VLOOKUP(AE320,DM_NV,2,0),"")</f>
        <v/>
      </c>
      <c r="AG320" s="98">
        <v>231.0</v>
      </c>
      <c r="AI320" s="98" t="s">
        <v>456</v>
      </c>
      <c r="AJ320" s="98"/>
      <c r="AK320" s="98"/>
      <c r="AL320" s="98"/>
      <c r="AM320" s="98"/>
      <c r="AN320" s="98"/>
      <c r="AO320" s="98"/>
      <c r="AP320" s="98"/>
      <c r="AQ320" s="98"/>
      <c r="AR320" s="98"/>
      <c r="AS320" s="98"/>
      <c r="AT320" s="98"/>
    </row>
    <row r="321">
      <c r="A321" s="51"/>
      <c r="B321" s="52" t="str">
        <f>IF(D321="","",VLOOKUP(D321,'THAM CHIẾU'!$A:$B,2,0))</f>
        <v>#N/A</v>
      </c>
      <c r="C321" s="53" t="str">
        <f t="shared" si="2"/>
        <v>02/2022</v>
      </c>
      <c r="D321" s="117">
        <v>44620.0</v>
      </c>
      <c r="E321" s="118" t="s">
        <v>455</v>
      </c>
      <c r="F321" s="119"/>
      <c r="G321" s="57" t="s">
        <v>249</v>
      </c>
      <c r="H321" s="58" t="str">
        <f>IF(G321="","",VLOOKUP($G321,'Quy chuẩn hạch toán'!$B:$E,2,0))</f>
        <v>642</v>
      </c>
      <c r="I321" s="58" t="str">
        <f>IF(H321="","",VLOOKUP($G321,'Quy chuẩn hạch toán'!$B:$E,3,0))</f>
        <v>331</v>
      </c>
      <c r="J321" s="120">
        <v>576190.0</v>
      </c>
      <c r="K321" s="60"/>
      <c r="L321" s="61"/>
      <c r="M321" s="62"/>
      <c r="N321" s="63"/>
      <c r="O321" s="64" t="str">
        <f>IF($Q321&lt;&gt;0,VLOOKUP($Q321,DM_KM,3,0),"")</f>
        <v>THUEVP</v>
      </c>
      <c r="P321" s="64">
        <f>IF($Q321&lt;&gt;0,VLOOKUP($Q321,DM_KM,5,0),"")</f>
        <v>642</v>
      </c>
      <c r="Q321" s="65" t="s">
        <v>270</v>
      </c>
      <c r="R321" s="64" t="str">
        <f>IF(S321&lt;&gt;0,VLOOKUP(S321,DM_DUAN,3,0),"")</f>
        <v>#N/A</v>
      </c>
      <c r="S321" s="66" t="str">
        <f>IF(U321&lt;&gt;0,VLOOKUP(U321,DM_DUAN,3,0),"")</f>
        <v/>
      </c>
      <c r="T321" s="64"/>
      <c r="U321" s="93"/>
      <c r="V321" s="64" t="str">
        <f>IF(W321&lt;&gt;0,VLOOKUP(W321,DM_DUAN,3,0),"")</f>
        <v/>
      </c>
      <c r="W321" s="68"/>
      <c r="X321" s="64" t="str">
        <f>IF(Y321&lt;&gt;0,VLOOKUP(Y321,DM_DUAN,3,0),"")</f>
        <v>#N/A</v>
      </c>
      <c r="Y321" s="69" t="s">
        <v>304</v>
      </c>
      <c r="Z321" s="64" t="str">
        <f>IF(AA321&lt;&gt;0,VLOOKUP(AA321,DM_DUAN,3,0),"")</f>
        <v>#N/A</v>
      </c>
      <c r="AA321" s="70" t="s">
        <v>210</v>
      </c>
      <c r="AB321" s="64" t="str">
        <f>IF(AC321&lt;&gt;0,VLOOKUP(AC321,DM_DUAN,3,0),"")</f>
        <v/>
      </c>
      <c r="AC321" s="70"/>
      <c r="AD321" s="64" t="str">
        <f>IF(AC321&lt;&gt;0,VLOOKUP(AC321,DM_NV,2,0),"")</f>
        <v/>
      </c>
      <c r="AE321" s="68"/>
      <c r="AF321" s="64" t="str">
        <f>IF(AE321&lt;&gt;0,VLOOKUP(AE321,DM_NV,2,0),"")</f>
        <v/>
      </c>
      <c r="AG321" s="98">
        <v>231.0</v>
      </c>
    </row>
    <row r="322">
      <c r="A322" s="51"/>
      <c r="B322" s="52"/>
      <c r="C322" s="53" t="str">
        <f t="shared" si="2"/>
        <v>02/2022</v>
      </c>
      <c r="D322" s="117">
        <v>44620.0</v>
      </c>
      <c r="E322" s="118" t="s">
        <v>455</v>
      </c>
      <c r="F322" s="119"/>
      <c r="G322" s="57" t="s">
        <v>249</v>
      </c>
      <c r="H322" s="58" t="str">
        <f>IF(G322="","",VLOOKUP($G322,'Quy chuẩn hạch toán'!$B:$E,2,0))</f>
        <v>642</v>
      </c>
      <c r="I322" s="58" t="str">
        <f>IF(H322="","",VLOOKUP($G322,'Quy chuẩn hạch toán'!$B:$E,3,0))</f>
        <v>331</v>
      </c>
      <c r="J322" s="120">
        <v>720238.0</v>
      </c>
      <c r="K322" s="60"/>
      <c r="L322" s="61"/>
      <c r="M322" s="62"/>
      <c r="N322" s="63"/>
      <c r="O322" s="64" t="str">
        <f>IF($Q322&lt;&gt;0,VLOOKUP($Q322,DM_KM,3,0),"")</f>
        <v>THUEVP</v>
      </c>
      <c r="P322" s="64">
        <f>IF($Q322&lt;&gt;0,VLOOKUP($Q322,DM_KM,5,0),"")</f>
        <v>642</v>
      </c>
      <c r="Q322" s="65" t="s">
        <v>270</v>
      </c>
      <c r="R322" s="64" t="str">
        <f>IF(S322&lt;&gt;0,VLOOKUP(S322,DM_DUAN,3,0),"")</f>
        <v>#N/A</v>
      </c>
      <c r="S322" s="66" t="str">
        <f>IF(U322&lt;&gt;0,VLOOKUP(U322,DM_DUAN,3,0),"")</f>
        <v/>
      </c>
      <c r="T322" s="64"/>
      <c r="U322" s="93"/>
      <c r="V322" s="64" t="str">
        <f>IF(W322&lt;&gt;0,VLOOKUP(W322,DM_DUAN,3,0),"")</f>
        <v/>
      </c>
      <c r="W322" s="68"/>
      <c r="X322" s="64" t="str">
        <f>IF(Y322&lt;&gt;0,VLOOKUP(Y322,DM_DUAN,3,0),"")</f>
        <v>#N/A</v>
      </c>
      <c r="Y322" s="69" t="s">
        <v>304</v>
      </c>
      <c r="Z322" s="64" t="str">
        <f>IF(AA322&lt;&gt;0,VLOOKUP(AA322,DM_DUAN,3,0),"")</f>
        <v>#N/A</v>
      </c>
      <c r="AA322" s="70" t="s">
        <v>177</v>
      </c>
      <c r="AB322" s="64" t="str">
        <f>IF(AC322&lt;&gt;0,VLOOKUP(AC322,DM_DUAN,3,0),"")</f>
        <v/>
      </c>
      <c r="AC322" s="70"/>
      <c r="AD322" s="64" t="str">
        <f>IF(AC322&lt;&gt;0,VLOOKUP(AC322,DM_NV,2,0),"")</f>
        <v/>
      </c>
      <c r="AE322" s="68"/>
      <c r="AF322" s="64" t="str">
        <f>IF(AE322&lt;&gt;0,VLOOKUP(AE322,DM_NV,2,0),"")</f>
        <v/>
      </c>
      <c r="AG322" s="98"/>
    </row>
    <row r="323">
      <c r="A323" s="51"/>
      <c r="B323" s="52"/>
      <c r="C323" s="53" t="str">
        <f t="shared" si="2"/>
        <v>02/2022</v>
      </c>
      <c r="D323" s="117">
        <v>44620.0</v>
      </c>
      <c r="E323" s="118" t="s">
        <v>455</v>
      </c>
      <c r="F323" s="119"/>
      <c r="G323" s="57" t="s">
        <v>249</v>
      </c>
      <c r="H323" s="58" t="str">
        <f>IF(G323="","",VLOOKUP($G323,'Quy chuẩn hạch toán'!$B:$E,2,0))</f>
        <v>642</v>
      </c>
      <c r="I323" s="58" t="str">
        <f>IF(H323="","",VLOOKUP($G323,'Quy chuẩn hạch toán'!$B:$E,3,0))</f>
        <v>331</v>
      </c>
      <c r="J323" s="120">
        <v>1440476.0</v>
      </c>
      <c r="K323" s="60"/>
      <c r="L323" s="61"/>
      <c r="M323" s="62"/>
      <c r="N323" s="63"/>
      <c r="O323" s="64" t="str">
        <f>IF($Q323&lt;&gt;0,VLOOKUP($Q323,DM_KM,3,0),"")</f>
        <v>THUEVP</v>
      </c>
      <c r="P323" s="64">
        <f>IF($Q323&lt;&gt;0,VLOOKUP($Q323,DM_KM,5,0),"")</f>
        <v>642</v>
      </c>
      <c r="Q323" s="65" t="s">
        <v>270</v>
      </c>
      <c r="R323" s="64" t="str">
        <f>IF(S323&lt;&gt;0,VLOOKUP(S323,DM_DUAN,3,0),"")</f>
        <v>#N/A</v>
      </c>
      <c r="S323" s="66" t="str">
        <f>IF(U323&lt;&gt;0,VLOOKUP(U323,DM_DUAN,3,0),"")</f>
        <v/>
      </c>
      <c r="T323" s="64"/>
      <c r="U323" s="93"/>
      <c r="V323" s="64" t="str">
        <f>IF(W323&lt;&gt;0,VLOOKUP(W323,DM_DUAN,3,0),"")</f>
        <v/>
      </c>
      <c r="W323" s="68"/>
      <c r="X323" s="64" t="str">
        <f>IF(Y323&lt;&gt;0,VLOOKUP(Y323,DM_DUAN,3,0),"")</f>
        <v>#N/A</v>
      </c>
      <c r="Y323" s="69" t="s">
        <v>304</v>
      </c>
      <c r="Z323" s="64" t="str">
        <f>IF(AA323&lt;&gt;0,VLOOKUP(AA323,DM_DUAN,3,0),"")</f>
        <v>#N/A</v>
      </c>
      <c r="AA323" s="70" t="s">
        <v>183</v>
      </c>
      <c r="AB323" s="64" t="str">
        <f>IF(AC323&lt;&gt;0,VLOOKUP(AC323,DM_DUAN,3,0),"")</f>
        <v/>
      </c>
      <c r="AC323" s="85"/>
      <c r="AD323" s="64" t="str">
        <f>IF(AC323&lt;&gt;0,VLOOKUP(AC323,DM_NV,2,0),"")</f>
        <v/>
      </c>
      <c r="AE323" s="68"/>
      <c r="AF323" s="64" t="str">
        <f>IF(AE323&lt;&gt;0,VLOOKUP(AE323,DM_NV,2,0),"")</f>
        <v/>
      </c>
      <c r="AG323" s="98"/>
    </row>
    <row r="324">
      <c r="A324" s="51"/>
      <c r="B324" s="52" t="str">
        <f>IF(D324="","",VLOOKUP(D324,'THAM CHIẾU'!$A:$B,2,0))</f>
        <v>#N/A</v>
      </c>
      <c r="C324" s="53" t="str">
        <f t="shared" si="2"/>
        <v>02/2022</v>
      </c>
      <c r="D324" s="114">
        <v>44620.0</v>
      </c>
      <c r="E324" s="115" t="s">
        <v>311</v>
      </c>
      <c r="F324" s="108"/>
      <c r="G324" s="57" t="s">
        <v>249</v>
      </c>
      <c r="H324" s="58" t="str">
        <f>IF(G324="","",VLOOKUP($G324,'Quy chuẩn hạch toán'!$B:$E,2,0))</f>
        <v>642</v>
      </c>
      <c r="I324" s="58" t="str">
        <f>IF(H324="","",VLOOKUP($G324,'Quy chuẩn hạch toán'!$B:$E,3,0))</f>
        <v>331</v>
      </c>
      <c r="J324" s="116">
        <v>5428571.0</v>
      </c>
      <c r="K324" s="60"/>
      <c r="L324" s="61"/>
      <c r="M324" s="62"/>
      <c r="N324" s="63"/>
      <c r="O324" s="64" t="str">
        <f>IF($Q324&lt;&gt;0,VLOOKUP($Q324,DM_KM,3,0),"")</f>
        <v>THUEVP</v>
      </c>
      <c r="P324" s="64">
        <f>IF($Q324&lt;&gt;0,VLOOKUP($Q324,DM_KM,5,0),"")</f>
        <v>642</v>
      </c>
      <c r="Q324" s="65" t="s">
        <v>270</v>
      </c>
      <c r="R324" s="64" t="str">
        <f>IF(S324&lt;&gt;0,VLOOKUP(S324,DM_DUAN,3,0),"")</f>
        <v>#N/A</v>
      </c>
      <c r="S324" s="66" t="str">
        <f>IF(U324&lt;&gt;0,VLOOKUP(U324,DM_DUAN,3,0),"")</f>
        <v/>
      </c>
      <c r="T324" s="64"/>
      <c r="U324" s="93"/>
      <c r="V324" s="64" t="str">
        <f>IF(W324&lt;&gt;0,VLOOKUP(W324,DM_DUAN,3,0),"")</f>
        <v/>
      </c>
      <c r="W324" s="68"/>
      <c r="X324" s="64" t="str">
        <f>IF(Y324&lt;&gt;0,VLOOKUP(Y324,DM_DUAN,3,0),"")</f>
        <v>#N/A</v>
      </c>
      <c r="Y324" s="69" t="s">
        <v>176</v>
      </c>
      <c r="Z324" s="64" t="str">
        <f>IF(AA324&lt;&gt;0,VLOOKUP(AA324,DM_DUAN,3,0),"")</f>
        <v>#N/A</v>
      </c>
      <c r="AA324" s="70" t="s">
        <v>210</v>
      </c>
      <c r="AB324" s="64" t="str">
        <f>IF(AC324&lt;&gt;0,VLOOKUP(AC324,DM_DUAN,3,0),"")</f>
        <v/>
      </c>
      <c r="AC324" s="85"/>
      <c r="AD324" s="64" t="str">
        <f>IF(AC324&lt;&gt;0,VLOOKUP(AC324,DM_NV,2,0),"")</f>
        <v/>
      </c>
      <c r="AE324" s="68"/>
      <c r="AF324" s="64" t="str">
        <f>IF(AE324&lt;&gt;0,VLOOKUP(AE324,DM_NV,2,0),"")</f>
        <v/>
      </c>
      <c r="AG324" s="98">
        <v>231.0</v>
      </c>
    </row>
    <row r="325">
      <c r="A325" s="51"/>
      <c r="B325" s="52" t="str">
        <f>IF(D325="","",VLOOKUP(D325,'THAM CHIẾU'!$A:$B,2,0))</f>
        <v>#N/A</v>
      </c>
      <c r="C325" s="53" t="str">
        <f t="shared" si="2"/>
        <v>02/2022</v>
      </c>
      <c r="D325" s="99">
        <v>44620.0</v>
      </c>
      <c r="E325" s="55" t="s">
        <v>312</v>
      </c>
      <c r="F325" s="56"/>
      <c r="G325" s="57" t="s">
        <v>249</v>
      </c>
      <c r="H325" s="58" t="str">
        <f>IF(G325="","",VLOOKUP($G325,'Quy chuẩn hạch toán'!$B:$E,2,0))</f>
        <v>642</v>
      </c>
      <c r="I325" s="58" t="str">
        <f>IF(H325="","",VLOOKUP($G325,'Quy chuẩn hạch toán'!$B:$E,3,0))</f>
        <v>331</v>
      </c>
      <c r="J325" s="59">
        <v>1.0857143E7</v>
      </c>
      <c r="K325" s="60"/>
      <c r="L325" s="61"/>
      <c r="M325" s="62"/>
      <c r="N325" s="63"/>
      <c r="O325" s="64" t="str">
        <f>IF($Q325&lt;&gt;0,VLOOKUP($Q325,DM_KM,3,0),"")</f>
        <v>THUEVP</v>
      </c>
      <c r="P325" s="64">
        <f>IF($Q325&lt;&gt;0,VLOOKUP($Q325,DM_KM,5,0),"")</f>
        <v>642</v>
      </c>
      <c r="Q325" s="65" t="s">
        <v>270</v>
      </c>
      <c r="R325" s="64" t="str">
        <f>IF(S325&lt;&gt;0,VLOOKUP(S325,DM_DUAN,3,0),"")</f>
        <v>#N/A</v>
      </c>
      <c r="S325" s="66" t="str">
        <f>IF(U325&lt;&gt;0,VLOOKUP(U325,DM_DUAN,3,0),"")</f>
        <v/>
      </c>
      <c r="T325" s="64"/>
      <c r="U325" s="93"/>
      <c r="V325" s="64" t="str">
        <f>IF(W325&lt;&gt;0,VLOOKUP(W325,DM_DUAN,3,0),"")</f>
        <v/>
      </c>
      <c r="W325" s="68"/>
      <c r="X325" s="64" t="str">
        <f>IF(Y325&lt;&gt;0,VLOOKUP(Y325,DM_DUAN,3,0),"")</f>
        <v>#N/A</v>
      </c>
      <c r="Y325" s="69" t="s">
        <v>176</v>
      </c>
      <c r="Z325" s="64" t="str">
        <f>IF(AA325&lt;&gt;0,VLOOKUP(AA325,DM_DUAN,3,0),"")</f>
        <v>#N/A</v>
      </c>
      <c r="AA325" s="70" t="s">
        <v>177</v>
      </c>
      <c r="AB325" s="64" t="str">
        <f>IF(AC325&lt;&gt;0,VLOOKUP(AC325,DM_DUAN,3,0),"")</f>
        <v/>
      </c>
      <c r="AC325" s="85"/>
      <c r="AD325" s="64" t="str">
        <f>IF(AC325&lt;&gt;0,VLOOKUP(AC325,DM_NV,2,0),"")</f>
        <v/>
      </c>
      <c r="AE325" s="68"/>
      <c r="AF325" s="64" t="str">
        <f>IF(AE325&lt;&gt;0,VLOOKUP(AE325,DM_NV,2,0),"")</f>
        <v/>
      </c>
    </row>
    <row r="326">
      <c r="A326" s="51"/>
      <c r="B326" s="52" t="str">
        <f>IF(D326="","",VLOOKUP(D326,'THAM CHIẾU'!$A:$B,2,0))</f>
        <v>#N/A</v>
      </c>
      <c r="C326" s="53" t="str">
        <f t="shared" si="2"/>
        <v>02/2022</v>
      </c>
      <c r="D326" s="99">
        <v>44620.0</v>
      </c>
      <c r="E326" s="55" t="s">
        <v>313</v>
      </c>
      <c r="F326" s="56"/>
      <c r="G326" s="57" t="s">
        <v>249</v>
      </c>
      <c r="H326" s="58" t="str">
        <f>IF(G326="","",VLOOKUP($G326,'Quy chuẩn hạch toán'!$B:$E,2,0))</f>
        <v>642</v>
      </c>
      <c r="I326" s="58" t="str">
        <f>IF(H326="","",VLOOKUP($G326,'Quy chuẩn hạch toán'!$B:$E,3,0))</f>
        <v>331</v>
      </c>
      <c r="J326" s="59">
        <v>5428571.0</v>
      </c>
      <c r="K326" s="60"/>
      <c r="L326" s="61"/>
      <c r="M326" s="62"/>
      <c r="N326" s="63"/>
      <c r="O326" s="64" t="str">
        <f>IF($Q326&lt;&gt;0,VLOOKUP($Q326,DM_KM,3,0),"")</f>
        <v>THUEVP</v>
      </c>
      <c r="P326" s="64">
        <f>IF($Q326&lt;&gt;0,VLOOKUP($Q326,DM_KM,5,0),"")</f>
        <v>642</v>
      </c>
      <c r="Q326" s="65" t="s">
        <v>270</v>
      </c>
      <c r="R326" s="64" t="str">
        <f>IF(S326&lt;&gt;0,VLOOKUP(S326,DM_DUAN,3,0),"")</f>
        <v>#N/A</v>
      </c>
      <c r="S326" s="66" t="str">
        <f>IF(U326&lt;&gt;0,VLOOKUP(U326,DM_DUAN,3,0),"")</f>
        <v/>
      </c>
      <c r="T326" s="64"/>
      <c r="U326" s="93"/>
      <c r="V326" s="64" t="str">
        <f>IF(W326&lt;&gt;0,VLOOKUP(W326,DM_DUAN,3,0),"")</f>
        <v/>
      </c>
      <c r="W326" s="68"/>
      <c r="X326" s="64" t="str">
        <f>IF(Y326&lt;&gt;0,VLOOKUP(Y326,DM_DUAN,3,0),"")</f>
        <v>#N/A</v>
      </c>
      <c r="Y326" s="69" t="s">
        <v>176</v>
      </c>
      <c r="Z326" s="64" t="str">
        <f>IF(AA326&lt;&gt;0,VLOOKUP(AA326,DM_DUAN,3,0),"")</f>
        <v>#N/A</v>
      </c>
      <c r="AA326" s="70" t="s">
        <v>208</v>
      </c>
      <c r="AB326" s="64" t="str">
        <f>IF(AC326&lt;&gt;0,VLOOKUP(AC326,DM_DUAN,3,0),"")</f>
        <v/>
      </c>
      <c r="AC326" s="85"/>
      <c r="AD326" s="64" t="str">
        <f>IF(AC326&lt;&gt;0,VLOOKUP(AC326,DM_NV,2,0),"")</f>
        <v/>
      </c>
      <c r="AE326" s="68"/>
      <c r="AF326" s="64" t="str">
        <f>IF(AE326&lt;&gt;0,VLOOKUP(AE326,DM_NV,2,0),"")</f>
        <v/>
      </c>
    </row>
    <row r="327">
      <c r="A327" s="51"/>
      <c r="B327" s="52" t="str">
        <f>IF(D327="","",VLOOKUP(D327,'THAM CHIẾU'!$A:$B,2,0))</f>
        <v>#N/A</v>
      </c>
      <c r="C327" s="53" t="str">
        <f t="shared" si="2"/>
        <v>02/2022</v>
      </c>
      <c r="D327" s="99">
        <v>44620.0</v>
      </c>
      <c r="E327" s="55" t="s">
        <v>314</v>
      </c>
      <c r="F327" s="56"/>
      <c r="G327" s="57" t="s">
        <v>249</v>
      </c>
      <c r="H327" s="58" t="str">
        <f>IF(G327="","",VLOOKUP($G327,'Quy chuẩn hạch toán'!$B:$E,2,0))</f>
        <v>642</v>
      </c>
      <c r="I327" s="58" t="str">
        <f>IF(H327="","",VLOOKUP($G327,'Quy chuẩn hạch toán'!$B:$E,3,0))</f>
        <v>331</v>
      </c>
      <c r="J327" s="59">
        <v>1.6285714E7</v>
      </c>
      <c r="K327" s="60"/>
      <c r="L327" s="61"/>
      <c r="M327" s="62"/>
      <c r="N327" s="63"/>
      <c r="O327" s="64" t="str">
        <f>IF($Q327&lt;&gt;0,VLOOKUP($Q327,DM_KM,3,0),"")</f>
        <v>THUEVP</v>
      </c>
      <c r="P327" s="64">
        <f>IF($Q327&lt;&gt;0,VLOOKUP($Q327,DM_KM,5,0),"")</f>
        <v>642</v>
      </c>
      <c r="Q327" s="65" t="s">
        <v>270</v>
      </c>
      <c r="R327" s="64" t="str">
        <f>IF(S327&lt;&gt;0,VLOOKUP(S327,DM_DUAN,3,0),"")</f>
        <v>#N/A</v>
      </c>
      <c r="S327" s="66" t="str">
        <f>IF(U327&lt;&gt;0,VLOOKUP(U327,DM_DUAN,3,0),"")</f>
        <v/>
      </c>
      <c r="T327" s="64"/>
      <c r="U327" s="93"/>
      <c r="V327" s="64" t="str">
        <f>IF(W327&lt;&gt;0,VLOOKUP(W327,DM_DUAN,3,0),"")</f>
        <v/>
      </c>
      <c r="W327" s="68"/>
      <c r="X327" s="64" t="str">
        <f>IF(Y327&lt;&gt;0,VLOOKUP(Y327,DM_DUAN,3,0),"")</f>
        <v>#N/A</v>
      </c>
      <c r="Y327" s="69" t="s">
        <v>176</v>
      </c>
      <c r="Z327" s="64" t="str">
        <f>IF(AA327&lt;&gt;0,VLOOKUP(AA327,DM_DUAN,3,0),"")</f>
        <v>#N/A</v>
      </c>
      <c r="AA327" s="70" t="s">
        <v>183</v>
      </c>
      <c r="AB327" s="64" t="str">
        <f>IF(AC327&lt;&gt;0,VLOOKUP(AC327,DM_DUAN,3,0),"")</f>
        <v/>
      </c>
      <c r="AC327" s="85"/>
      <c r="AD327" s="64" t="str">
        <f>IF(AC327&lt;&gt;0,VLOOKUP(AC327,DM_NV,2,0),"")</f>
        <v/>
      </c>
      <c r="AE327" s="68"/>
      <c r="AF327" s="64" t="str">
        <f>IF(AE327&lt;&gt;0,VLOOKUP(AE327,DM_NV,2,0),"")</f>
        <v/>
      </c>
    </row>
    <row r="328">
      <c r="A328" s="51"/>
      <c r="B328" s="52" t="str">
        <f>IF(D328="","",VLOOKUP(D328,'THAM CHIẾU'!$A:$B,2,0))</f>
        <v>#N/A</v>
      </c>
      <c r="C328" s="53" t="str">
        <f t="shared" si="2"/>
        <v>02/2022</v>
      </c>
      <c r="D328" s="99">
        <v>44620.0</v>
      </c>
      <c r="E328" s="55" t="s">
        <v>457</v>
      </c>
      <c r="F328" s="56"/>
      <c r="G328" s="57" t="s">
        <v>282</v>
      </c>
      <c r="H328" s="58" t="str">
        <f>IF(G328="","",VLOOKUP($G328,'Quy chuẩn hạch toán'!$B:$E,2,0))</f>
        <v>1111</v>
      </c>
      <c r="I328" s="58" t="str">
        <f>IF(H328="","",VLOOKUP($G328,'Quy chuẩn hạch toán'!$B:$E,3,0))</f>
        <v>131</v>
      </c>
      <c r="J328" s="59">
        <v>1.8E8</v>
      </c>
      <c r="K328" s="60"/>
      <c r="L328" s="61"/>
      <c r="M328" s="62"/>
      <c r="N328" s="63"/>
      <c r="O328" s="64" t="str">
        <f>IF($Q328&lt;&gt;0,VLOOKUP($Q328,DM_KM,3,0),"")</f>
        <v/>
      </c>
      <c r="P328" s="64" t="str">
        <f>IF($Q328&lt;&gt;0,VLOOKUP($Q328,DM_KM,5,0),"")</f>
        <v/>
      </c>
      <c r="Q328" s="65"/>
      <c r="R328" s="64" t="str">
        <f>IF(S328&lt;&gt;0,VLOOKUP(S328,DM_DUAN,3,0),"")</f>
        <v>#N/A</v>
      </c>
      <c r="S328" s="66" t="str">
        <f>IF(U328&lt;&gt;0,VLOOKUP(U328,DM_DUAN,3,0),"")</f>
        <v>THANHNAM</v>
      </c>
      <c r="T328" s="64"/>
      <c r="U328" s="67" t="s">
        <v>175</v>
      </c>
      <c r="V328" s="64" t="str">
        <f>IF(W328&lt;&gt;0,VLOOKUP(W328,DM_DUAN,3,0),"")</f>
        <v>#N/A</v>
      </c>
      <c r="W328" s="83" t="s">
        <v>433</v>
      </c>
      <c r="X328" s="64" t="str">
        <f>IF(Y328&lt;&gt;0,VLOOKUP(Y328,DM_DUAN,3,0),"")</f>
        <v>#N/A</v>
      </c>
      <c r="Y328" s="69" t="s">
        <v>176</v>
      </c>
      <c r="Z328" s="64" t="str">
        <f>IF(AA328&lt;&gt;0,VLOOKUP(AA328,DM_DUAN,3,0),"")</f>
        <v>#N/A</v>
      </c>
      <c r="AA328" s="70" t="s">
        <v>210</v>
      </c>
      <c r="AB328" s="64" t="str">
        <f>IF(AC328&lt;&gt;0,VLOOKUP(AC328,DM_DUAN,3,0),"")</f>
        <v/>
      </c>
      <c r="AC328" s="70"/>
      <c r="AD328" s="64" t="str">
        <f>IF(AC328&lt;&gt;0,VLOOKUP(AC328,DM_NV,2,0),"")</f>
        <v/>
      </c>
      <c r="AE328" s="83" t="s">
        <v>276</v>
      </c>
      <c r="AF328" s="64" t="str">
        <f>IF(AE328&lt;&gt;0,VLOOKUP(AE328,DM_NV,2,0),"")</f>
        <v>#N/A</v>
      </c>
    </row>
    <row r="329">
      <c r="A329" s="51"/>
      <c r="B329" s="52" t="str">
        <f>IF(D329="","",VLOOKUP(D329,'THAM CHIẾU'!$A:$B,2,0))</f>
        <v>#N/A</v>
      </c>
      <c r="C329" s="53" t="str">
        <f t="shared" si="2"/>
        <v>02/2022</v>
      </c>
      <c r="D329" s="99">
        <v>44620.0</v>
      </c>
      <c r="E329" s="79" t="s">
        <v>458</v>
      </c>
      <c r="F329" s="80"/>
      <c r="G329" s="57" t="s">
        <v>275</v>
      </c>
      <c r="H329" s="58" t="str">
        <f>IF(G329="","",VLOOKUP($G329,'Quy chuẩn hạch toán'!$B:$E,2,0))</f>
        <v>3341</v>
      </c>
      <c r="I329" s="58" t="str">
        <f>IF(H329="","",VLOOKUP($G329,'Quy chuẩn hạch toán'!$B:$E,3,0))</f>
        <v>1111</v>
      </c>
      <c r="J329" s="59">
        <v>5.5E7</v>
      </c>
      <c r="K329" s="60"/>
      <c r="L329" s="61"/>
      <c r="M329" s="62"/>
      <c r="N329" s="63"/>
      <c r="O329" s="64"/>
      <c r="P329" s="64"/>
      <c r="Q329" s="65"/>
      <c r="R329" s="64"/>
      <c r="S329" s="66"/>
      <c r="T329" s="64"/>
      <c r="U329" s="67" t="s">
        <v>175</v>
      </c>
      <c r="V329" s="64"/>
      <c r="W329" s="83" t="s">
        <v>433</v>
      </c>
      <c r="X329" s="64"/>
      <c r="Y329" s="69" t="s">
        <v>176</v>
      </c>
      <c r="Z329" s="64"/>
      <c r="AA329" s="70" t="s">
        <v>210</v>
      </c>
      <c r="AB329" s="64"/>
      <c r="AC329" s="70"/>
      <c r="AD329" s="64" t="str">
        <f>IF(AC329&lt;&gt;0,VLOOKUP(AC329,DM_NV,2,0),"")</f>
        <v/>
      </c>
      <c r="AE329" s="83" t="s">
        <v>276</v>
      </c>
      <c r="AF329" s="64" t="str">
        <f>IF(AE329&lt;&gt;0,VLOOKUP(AE329,DM_NV,2,0),"")</f>
        <v>#N/A</v>
      </c>
    </row>
    <row r="330">
      <c r="A330" s="51"/>
      <c r="B330" s="52" t="str">
        <f>IF(D330="","",VLOOKUP(D330,'THAM CHIẾU'!$A:$B,2,0))</f>
        <v>#N/A</v>
      </c>
      <c r="C330" s="53" t="str">
        <f t="shared" si="2"/>
        <v>02/2022</v>
      </c>
      <c r="D330" s="99">
        <v>44620.0</v>
      </c>
      <c r="E330" s="79" t="s">
        <v>459</v>
      </c>
      <c r="F330" s="80"/>
      <c r="G330" s="57" t="s">
        <v>275</v>
      </c>
      <c r="H330" s="58" t="str">
        <f>IF(G330="","",VLOOKUP($G330,'Quy chuẩn hạch toán'!$B:$E,2,0))</f>
        <v>3341</v>
      </c>
      <c r="I330" s="58" t="str">
        <f>IF(H330="","",VLOOKUP($G330,'Quy chuẩn hạch toán'!$B:$E,3,0))</f>
        <v>1111</v>
      </c>
      <c r="J330" s="59">
        <v>7580000.0</v>
      </c>
      <c r="K330" s="60"/>
      <c r="L330" s="61"/>
      <c r="M330" s="62"/>
      <c r="N330" s="63"/>
      <c r="O330" s="64"/>
      <c r="P330" s="64"/>
      <c r="Q330" s="65"/>
      <c r="R330" s="64"/>
      <c r="S330" s="66"/>
      <c r="T330" s="64"/>
      <c r="U330" s="67" t="s">
        <v>175</v>
      </c>
      <c r="V330" s="64"/>
      <c r="W330" s="83" t="s">
        <v>433</v>
      </c>
      <c r="X330" s="64"/>
      <c r="Y330" s="69" t="s">
        <v>176</v>
      </c>
      <c r="Z330" s="64"/>
      <c r="AA330" s="70" t="s">
        <v>210</v>
      </c>
      <c r="AB330" s="64"/>
      <c r="AC330" s="70"/>
      <c r="AD330" s="64" t="str">
        <f>IF(AC330&lt;&gt;0,VLOOKUP(AC330,DM_NV,2,0),"")</f>
        <v/>
      </c>
      <c r="AE330" s="83" t="s">
        <v>276</v>
      </c>
      <c r="AF330" s="64" t="str">
        <f>IF(AE330&lt;&gt;0,VLOOKUP(AE330,DM_NV,2,0),"")</f>
        <v>#N/A</v>
      </c>
    </row>
    <row r="331">
      <c r="A331" s="51"/>
      <c r="B331" s="52" t="str">
        <f>IF(D331="","",VLOOKUP(D331,'THAM CHIẾU'!$A:$B,2,0))</f>
        <v>#N/A</v>
      </c>
      <c r="C331" s="53" t="str">
        <f t="shared" si="2"/>
        <v>02/2022</v>
      </c>
      <c r="D331" s="99">
        <v>44620.0</v>
      </c>
      <c r="E331" s="79" t="s">
        <v>460</v>
      </c>
      <c r="F331" s="80"/>
      <c r="G331" s="57" t="s">
        <v>278</v>
      </c>
      <c r="H331" s="58" t="str">
        <f>IF(G331="","",VLOOKUP($G331,'Quy chuẩn hạch toán'!$B:$E,2,0))</f>
        <v>154</v>
      </c>
      <c r="I331" s="58" t="str">
        <f>IF(H331="","",VLOOKUP($G331,'Quy chuẩn hạch toán'!$B:$E,3,0))</f>
        <v>1111</v>
      </c>
      <c r="J331" s="59">
        <v>1000000.0</v>
      </c>
      <c r="K331" s="60"/>
      <c r="L331" s="61"/>
      <c r="M331" s="62"/>
      <c r="N331" s="63"/>
      <c r="O331" s="64"/>
      <c r="P331" s="64"/>
      <c r="Q331" s="65"/>
      <c r="R331" s="64"/>
      <c r="S331" s="66"/>
      <c r="T331" s="64"/>
      <c r="U331" s="67" t="s">
        <v>175</v>
      </c>
      <c r="V331" s="64"/>
      <c r="W331" s="83" t="s">
        <v>433</v>
      </c>
      <c r="X331" s="64"/>
      <c r="Y331" s="69" t="s">
        <v>176</v>
      </c>
      <c r="Z331" s="64"/>
      <c r="AA331" s="70" t="s">
        <v>210</v>
      </c>
      <c r="AB331" s="64"/>
      <c r="AC331" s="70"/>
      <c r="AD331" s="64" t="str">
        <f>IF(AC331&lt;&gt;0,VLOOKUP(AC331,DM_NV,2,0),"")</f>
        <v/>
      </c>
      <c r="AE331" s="83" t="s">
        <v>263</v>
      </c>
      <c r="AF331" s="64" t="str">
        <f>IF(AE331&lt;&gt;0,VLOOKUP(AE331,DM_NV,2,0),"")</f>
        <v>#N/A</v>
      </c>
    </row>
    <row r="332">
      <c r="A332" s="51"/>
      <c r="B332" s="52" t="str">
        <f>IF(D332="","",VLOOKUP(D332,'THAM CHIẾU'!$A:$B,2,0))</f>
        <v>#N/A</v>
      </c>
      <c r="C332" s="53" t="str">
        <f t="shared" si="2"/>
        <v>02/2022</v>
      </c>
      <c r="D332" s="99">
        <v>44620.0</v>
      </c>
      <c r="E332" s="107" t="s">
        <v>461</v>
      </c>
      <c r="F332" s="108"/>
      <c r="G332" s="109" t="s">
        <v>316</v>
      </c>
      <c r="H332" s="58" t="str">
        <f>IF(G332="","",VLOOKUP($G332,'Quy chuẩn hạch toán'!$B:$E,2,0))</f>
        <v>911</v>
      </c>
      <c r="I332" s="58" t="str">
        <f>IF(H332="","",VLOOKUP($G332,'Quy chuẩn hạch toán'!$B:$E,3,0))</f>
        <v>642</v>
      </c>
      <c r="J332" s="59">
        <v>1.7285338E7</v>
      </c>
      <c r="K332" s="60"/>
      <c r="L332" s="61"/>
      <c r="M332" s="62"/>
      <c r="N332" s="63"/>
      <c r="O332" s="64"/>
      <c r="P332" s="64"/>
      <c r="Q332" s="65"/>
      <c r="R332" s="64"/>
      <c r="S332" s="66"/>
      <c r="T332" s="64"/>
      <c r="U332" s="67"/>
      <c r="V332" s="64"/>
      <c r="W332" s="68"/>
      <c r="X332" s="64"/>
      <c r="Y332" s="69"/>
      <c r="Z332" s="64"/>
      <c r="AA332" s="70" t="s">
        <v>210</v>
      </c>
      <c r="AB332" s="64"/>
      <c r="AC332" s="70"/>
      <c r="AD332" s="64" t="str">
        <f>IF(AC332&lt;&gt;0,VLOOKUP(AC332,DM_NV,2,0),"")</f>
        <v/>
      </c>
      <c r="AE332" s="68"/>
      <c r="AF332" s="64" t="str">
        <f>IF(AE332&lt;&gt;0,VLOOKUP(AE332,DM_NV,2,0),"")</f>
        <v/>
      </c>
    </row>
    <row r="333">
      <c r="A333" s="51"/>
      <c r="B333" s="52"/>
      <c r="C333" s="53" t="str">
        <f t="shared" si="2"/>
        <v>02/2022</v>
      </c>
      <c r="D333" s="99">
        <v>44620.0</v>
      </c>
      <c r="E333" s="107" t="s">
        <v>462</v>
      </c>
      <c r="F333" s="108"/>
      <c r="G333" s="109" t="s">
        <v>316</v>
      </c>
      <c r="H333" s="58" t="str">
        <f>IF(G333="","",VLOOKUP($G333,'Quy chuẩn hạch toán'!$B:$E,2,0))</f>
        <v>911</v>
      </c>
      <c r="I333" s="58" t="str">
        <f>IF(H333="","",VLOOKUP($G333,'Quy chuẩn hạch toán'!$B:$E,3,0))</f>
        <v>642</v>
      </c>
      <c r="J333" s="59">
        <v>2.5961053E7</v>
      </c>
      <c r="K333" s="60"/>
      <c r="L333" s="61"/>
      <c r="M333" s="62"/>
      <c r="N333" s="63"/>
      <c r="O333" s="64"/>
      <c r="P333" s="64"/>
      <c r="Q333" s="65"/>
      <c r="R333" s="64"/>
      <c r="S333" s="66"/>
      <c r="T333" s="64"/>
      <c r="U333" s="93"/>
      <c r="V333" s="64"/>
      <c r="W333" s="68"/>
      <c r="X333" s="64"/>
      <c r="Y333" s="69"/>
      <c r="Z333" s="64"/>
      <c r="AA333" s="70" t="s">
        <v>177</v>
      </c>
      <c r="AB333" s="64"/>
      <c r="AC333" s="70"/>
      <c r="AD333" s="64" t="str">
        <f>IF(AC333&lt;&gt;0,VLOOKUP(AC333,DM_NV,2,0),"")</f>
        <v/>
      </c>
      <c r="AE333" s="83"/>
      <c r="AF333" s="64" t="str">
        <f>IF(AE333&lt;&gt;0,VLOOKUP(AE333,DM_NV,2,0),"")</f>
        <v/>
      </c>
    </row>
    <row r="334">
      <c r="A334" s="51"/>
      <c r="B334" s="52"/>
      <c r="C334" s="53" t="str">
        <f t="shared" si="2"/>
        <v>02/2022</v>
      </c>
      <c r="D334" s="99">
        <v>44620.0</v>
      </c>
      <c r="E334" s="107" t="s">
        <v>463</v>
      </c>
      <c r="F334" s="108"/>
      <c r="G334" s="109" t="s">
        <v>316</v>
      </c>
      <c r="H334" s="58" t="str">
        <f>IF(G334="","",VLOOKUP($G334,'Quy chuẩn hạch toán'!$B:$E,2,0))</f>
        <v>911</v>
      </c>
      <c r="I334" s="58" t="str">
        <f>IF(H334="","",VLOOKUP($G334,'Quy chuẩn hạch toán'!$B:$E,3,0))</f>
        <v>642</v>
      </c>
      <c r="J334" s="59">
        <v>4.7653533E7</v>
      </c>
      <c r="K334" s="60"/>
      <c r="L334" s="61"/>
      <c r="M334" s="62"/>
      <c r="N334" s="63"/>
      <c r="O334" s="64"/>
      <c r="P334" s="64"/>
      <c r="Q334" s="65"/>
      <c r="R334" s="64"/>
      <c r="S334" s="66"/>
      <c r="T334" s="64"/>
      <c r="U334" s="93"/>
      <c r="V334" s="64"/>
      <c r="W334" s="68"/>
      <c r="X334" s="64"/>
      <c r="Y334" s="69"/>
      <c r="Z334" s="64"/>
      <c r="AA334" s="70" t="s">
        <v>183</v>
      </c>
      <c r="AB334" s="64"/>
      <c r="AC334" s="70"/>
      <c r="AD334" s="64" t="str">
        <f>IF(AC334&lt;&gt;0,VLOOKUP(AC334,DM_NV,2,0),"")</f>
        <v/>
      </c>
      <c r="AE334" s="83"/>
      <c r="AF334" s="64" t="str">
        <f>IF(AE334&lt;&gt;0,VLOOKUP(AE334,DM_NV,2,0),"")</f>
        <v/>
      </c>
    </row>
    <row r="335">
      <c r="A335" s="51"/>
      <c r="B335" s="52"/>
      <c r="C335" s="53" t="str">
        <f t="shared" si="2"/>
        <v>02/2022</v>
      </c>
      <c r="D335" s="99">
        <v>44620.0</v>
      </c>
      <c r="E335" s="107" t="s">
        <v>464</v>
      </c>
      <c r="F335" s="108"/>
      <c r="G335" s="109" t="s">
        <v>316</v>
      </c>
      <c r="H335" s="58" t="str">
        <f>IF(G335="","",VLOOKUP($G335,'Quy chuẩn hạch toán'!$B:$E,2,0))</f>
        <v>911</v>
      </c>
      <c r="I335" s="58" t="str">
        <f>IF(H335="","",VLOOKUP($G335,'Quy chuẩn hạch toán'!$B:$E,3,0))</f>
        <v>642</v>
      </c>
      <c r="J335" s="59">
        <v>1.1412135E7</v>
      </c>
      <c r="K335" s="60"/>
      <c r="L335" s="61"/>
      <c r="M335" s="62"/>
      <c r="N335" s="63"/>
      <c r="O335" s="64"/>
      <c r="P335" s="64"/>
      <c r="Q335" s="65"/>
      <c r="R335" s="64"/>
      <c r="S335" s="66"/>
      <c r="T335" s="64"/>
      <c r="U335" s="93"/>
      <c r="V335" s="64"/>
      <c r="W335" s="68"/>
      <c r="X335" s="64"/>
      <c r="Y335" s="69"/>
      <c r="Z335" s="64"/>
      <c r="AA335" s="70" t="s">
        <v>208</v>
      </c>
      <c r="AB335" s="64"/>
      <c r="AC335" s="70"/>
      <c r="AD335" s="64" t="str">
        <f>IF(AC335&lt;&gt;0,VLOOKUP(AC335,DM_NV,2,0),"")</f>
        <v/>
      </c>
      <c r="AE335" s="83"/>
      <c r="AF335" s="64" t="str">
        <f>IF(AE335&lt;&gt;0,VLOOKUP(AE335,DM_NV,2,0),"")</f>
        <v/>
      </c>
    </row>
    <row r="336">
      <c r="A336" s="51"/>
      <c r="B336" s="52"/>
      <c r="C336" s="53" t="str">
        <f t="shared" si="2"/>
        <v>02/2022</v>
      </c>
      <c r="D336" s="99">
        <v>44620.0</v>
      </c>
      <c r="E336" s="107" t="s">
        <v>465</v>
      </c>
      <c r="F336" s="108"/>
      <c r="G336" s="109" t="s">
        <v>321</v>
      </c>
      <c r="H336" s="58" t="str">
        <f>IF(G336="","",VLOOKUP($G336,'Quy chuẩn hạch toán'!$B:$E,2,0))</f>
        <v>911</v>
      </c>
      <c r="I336" s="58" t="str">
        <f>IF(H336="","",VLOOKUP($G336,'Quy chuẩn hạch toán'!$B:$E,3,0))</f>
        <v>641</v>
      </c>
      <c r="J336" s="59">
        <v>3.1129595E7</v>
      </c>
      <c r="K336" s="60"/>
      <c r="L336" s="61"/>
      <c r="M336" s="62"/>
      <c r="N336" s="63"/>
      <c r="O336" s="64"/>
      <c r="P336" s="64"/>
      <c r="Q336" s="65"/>
      <c r="R336" s="64"/>
      <c r="S336" s="66"/>
      <c r="T336" s="64"/>
      <c r="U336" s="93"/>
      <c r="V336" s="64"/>
      <c r="W336" s="68"/>
      <c r="X336" s="64"/>
      <c r="Y336" s="69"/>
      <c r="Z336" s="64"/>
      <c r="AA336" s="70" t="s">
        <v>210</v>
      </c>
      <c r="AB336" s="64"/>
      <c r="AC336" s="70"/>
      <c r="AD336" s="64" t="str">
        <f>IF(AC336&lt;&gt;0,VLOOKUP(AC336,DM_NV,2,0),"")</f>
        <v/>
      </c>
      <c r="AE336" s="83"/>
      <c r="AF336" s="64" t="str">
        <f>IF(AE336&lt;&gt;0,VLOOKUP(AE336,DM_NV,2,0),"")</f>
        <v/>
      </c>
    </row>
    <row r="337">
      <c r="A337" s="51"/>
      <c r="B337" s="52"/>
      <c r="C337" s="53" t="str">
        <f t="shared" si="2"/>
        <v>02/2022</v>
      </c>
      <c r="D337" s="99">
        <v>44620.0</v>
      </c>
      <c r="E337" s="107" t="s">
        <v>466</v>
      </c>
      <c r="F337" s="108"/>
      <c r="G337" s="109" t="s">
        <v>321</v>
      </c>
      <c r="H337" s="58" t="str">
        <f>IF(G337="","",VLOOKUP($G337,'Quy chuẩn hạch toán'!$B:$E,2,0))</f>
        <v>911</v>
      </c>
      <c r="I337" s="58" t="str">
        <f>IF(H337="","",VLOOKUP($G337,'Quy chuẩn hạch toán'!$B:$E,3,0))</f>
        <v>641</v>
      </c>
      <c r="J337" s="59">
        <v>2.3470238E7</v>
      </c>
      <c r="K337" s="60"/>
      <c r="L337" s="61"/>
      <c r="M337" s="62"/>
      <c r="N337" s="63"/>
      <c r="O337" s="64"/>
      <c r="P337" s="64"/>
      <c r="Q337" s="65"/>
      <c r="R337" s="64"/>
      <c r="S337" s="66"/>
      <c r="T337" s="64"/>
      <c r="U337" s="93"/>
      <c r="V337" s="64"/>
      <c r="W337" s="68"/>
      <c r="X337" s="64"/>
      <c r="Y337" s="69"/>
      <c r="Z337" s="64"/>
      <c r="AA337" s="70" t="s">
        <v>177</v>
      </c>
      <c r="AB337" s="64"/>
      <c r="AC337" s="70"/>
      <c r="AD337" s="64" t="str">
        <f>IF(AC337&lt;&gt;0,VLOOKUP(AC337,DM_NV,2,0),"")</f>
        <v/>
      </c>
      <c r="AE337" s="83"/>
      <c r="AF337" s="64" t="str">
        <f>IF(AE337&lt;&gt;0,VLOOKUP(AE337,DM_NV,2,0),"")</f>
        <v/>
      </c>
    </row>
    <row r="338">
      <c r="A338" s="51"/>
      <c r="B338" s="52"/>
      <c r="C338" s="53" t="str">
        <f t="shared" si="2"/>
        <v>02/2022</v>
      </c>
      <c r="D338" s="99">
        <v>44620.0</v>
      </c>
      <c r="E338" s="107" t="s">
        <v>467</v>
      </c>
      <c r="F338" s="108"/>
      <c r="G338" s="109" t="s">
        <v>321</v>
      </c>
      <c r="H338" s="58" t="str">
        <f>IF(G338="","",VLOOKUP($G338,'Quy chuẩn hạch toán'!$B:$E,2,0))</f>
        <v>911</v>
      </c>
      <c r="I338" s="58" t="str">
        <f>IF(H338="","",VLOOKUP($G338,'Quy chuẩn hạch toán'!$B:$E,3,0))</f>
        <v>641</v>
      </c>
      <c r="J338" s="59">
        <v>5.5605072E7</v>
      </c>
      <c r="K338" s="60"/>
      <c r="L338" s="61"/>
      <c r="M338" s="62"/>
      <c r="N338" s="63"/>
      <c r="O338" s="64"/>
      <c r="P338" s="64"/>
      <c r="Q338" s="65"/>
      <c r="R338" s="64"/>
      <c r="S338" s="66"/>
      <c r="T338" s="64"/>
      <c r="U338" s="93"/>
      <c r="V338" s="64"/>
      <c r="W338" s="68"/>
      <c r="X338" s="64"/>
      <c r="Y338" s="69"/>
      <c r="Z338" s="64"/>
      <c r="AA338" s="70" t="s">
        <v>183</v>
      </c>
      <c r="AB338" s="64"/>
      <c r="AC338" s="70"/>
      <c r="AD338" s="64" t="str">
        <f>IF(AC338&lt;&gt;0,VLOOKUP(AC338,DM_NV,2,0),"")</f>
        <v/>
      </c>
      <c r="AE338" s="83"/>
      <c r="AF338" s="64" t="str">
        <f>IF(AE338&lt;&gt;0,VLOOKUP(AE338,DM_NV,2,0),"")</f>
        <v/>
      </c>
    </row>
    <row r="339">
      <c r="A339" s="51"/>
      <c r="B339" s="52"/>
      <c r="C339" s="53" t="str">
        <f t="shared" si="2"/>
        <v>02/2022</v>
      </c>
      <c r="D339" s="99">
        <v>44620.0</v>
      </c>
      <c r="E339" s="107" t="s">
        <v>468</v>
      </c>
      <c r="F339" s="108"/>
      <c r="G339" s="109" t="s">
        <v>321</v>
      </c>
      <c r="H339" s="58" t="str">
        <f>IF(G339="","",VLOOKUP($G339,'Quy chuẩn hạch toán'!$B:$E,2,0))</f>
        <v>911</v>
      </c>
      <c r="I339" s="58" t="str">
        <f>IF(H339="","",VLOOKUP($G339,'Quy chuẩn hạch toán'!$B:$E,3,0))</f>
        <v>641</v>
      </c>
      <c r="J339" s="59">
        <v>5033428.0</v>
      </c>
      <c r="K339" s="60"/>
      <c r="L339" s="61"/>
      <c r="M339" s="62"/>
      <c r="N339" s="63"/>
      <c r="O339" s="64"/>
      <c r="P339" s="64"/>
      <c r="Q339" s="65"/>
      <c r="R339" s="64"/>
      <c r="S339" s="66"/>
      <c r="T339" s="64"/>
      <c r="U339" s="93"/>
      <c r="V339" s="64"/>
      <c r="W339" s="68"/>
      <c r="X339" s="64"/>
      <c r="Y339" s="69"/>
      <c r="Z339" s="64"/>
      <c r="AA339" s="70" t="s">
        <v>208</v>
      </c>
      <c r="AB339" s="64"/>
      <c r="AC339" s="70"/>
      <c r="AD339" s="64" t="str">
        <f>IF(AC339&lt;&gt;0,VLOOKUP(AC339,DM_NV,2,0),"")</f>
        <v/>
      </c>
      <c r="AE339" s="83"/>
      <c r="AF339" s="64" t="str">
        <f>IF(AE339&lt;&gt;0,VLOOKUP(AE339,DM_NV,2,0),"")</f>
        <v/>
      </c>
    </row>
    <row r="340">
      <c r="A340" s="51"/>
      <c r="B340" s="52"/>
      <c r="C340" s="53" t="str">
        <f t="shared" si="2"/>
        <v>02/2022</v>
      </c>
      <c r="D340" s="99">
        <v>44620.0</v>
      </c>
      <c r="E340" s="107" t="s">
        <v>469</v>
      </c>
      <c r="F340" s="108"/>
      <c r="G340" s="109" t="s">
        <v>326</v>
      </c>
      <c r="H340" s="58" t="str">
        <f>IF(G340="","",VLOOKUP($G340,'Quy chuẩn hạch toán'!$B:$E,2,0))</f>
        <v>911</v>
      </c>
      <c r="I340" s="58" t="str">
        <f>IF(H340="","",VLOOKUP($G340,'Quy chuẩn hạch toán'!$B:$E,3,0))</f>
        <v>632</v>
      </c>
      <c r="J340" s="59">
        <v>6.258E7</v>
      </c>
      <c r="K340" s="60"/>
      <c r="L340" s="61"/>
      <c r="M340" s="62"/>
      <c r="N340" s="63"/>
      <c r="O340" s="64"/>
      <c r="P340" s="64"/>
      <c r="Q340" s="65"/>
      <c r="R340" s="64"/>
      <c r="S340" s="66"/>
      <c r="T340" s="64"/>
      <c r="U340" s="93"/>
      <c r="V340" s="64"/>
      <c r="W340" s="68"/>
      <c r="X340" s="64"/>
      <c r="Y340" s="69"/>
      <c r="Z340" s="64"/>
      <c r="AA340" s="70" t="s">
        <v>210</v>
      </c>
      <c r="AB340" s="64"/>
      <c r="AC340" s="70"/>
      <c r="AD340" s="64" t="str">
        <f>IF(AC340&lt;&gt;0,VLOOKUP(AC340,DM_NV,2,0),"")</f>
        <v/>
      </c>
      <c r="AE340" s="83"/>
      <c r="AF340" s="64" t="str">
        <f>IF(AE340&lt;&gt;0,VLOOKUP(AE340,DM_NV,2,0),"")</f>
        <v/>
      </c>
    </row>
    <row r="341">
      <c r="A341" s="51"/>
      <c r="B341" s="52"/>
      <c r="C341" s="53" t="str">
        <f t="shared" si="2"/>
        <v>02/2022</v>
      </c>
      <c r="D341" s="99">
        <v>44620.0</v>
      </c>
      <c r="E341" s="107" t="s">
        <v>470</v>
      </c>
      <c r="F341" s="108"/>
      <c r="G341" s="109" t="s">
        <v>328</v>
      </c>
      <c r="H341" s="58" t="str">
        <f>IF(G341="","",VLOOKUP($G341,'Quy chuẩn hạch toán'!$B:$E,2,0))</f>
        <v>5113</v>
      </c>
      <c r="I341" s="58" t="str">
        <f>IF(H341="","",VLOOKUP($G341,'Quy chuẩn hạch toán'!$B:$E,3,0))</f>
        <v>911</v>
      </c>
      <c r="J341" s="59">
        <v>1.8E8</v>
      </c>
      <c r="K341" s="60"/>
      <c r="L341" s="61"/>
      <c r="M341" s="62"/>
      <c r="N341" s="63"/>
      <c r="O341" s="64"/>
      <c r="P341" s="64"/>
      <c r="Q341" s="65"/>
      <c r="R341" s="64"/>
      <c r="S341" s="66"/>
      <c r="T341" s="64"/>
      <c r="U341" s="93"/>
      <c r="V341" s="64"/>
      <c r="W341" s="68"/>
      <c r="X341" s="64"/>
      <c r="Y341" s="69"/>
      <c r="Z341" s="64"/>
      <c r="AA341" s="70" t="s">
        <v>210</v>
      </c>
      <c r="AB341" s="64"/>
      <c r="AC341" s="70"/>
      <c r="AD341" s="64" t="str">
        <f>IF(AC341&lt;&gt;0,VLOOKUP(AC341,DM_NV,2,0),"")</f>
        <v/>
      </c>
      <c r="AE341" s="83"/>
      <c r="AF341" s="64" t="str">
        <f>IF(AE341&lt;&gt;0,VLOOKUP(AE341,DM_NV,2,0),"")</f>
        <v/>
      </c>
    </row>
    <row r="342">
      <c r="A342" s="51"/>
      <c r="B342" s="52"/>
      <c r="C342" s="53" t="str">
        <f t="shared" si="2"/>
        <v>02/2022</v>
      </c>
      <c r="D342" s="99">
        <v>44620.0</v>
      </c>
      <c r="E342" s="107" t="s">
        <v>471</v>
      </c>
      <c r="F342" s="108"/>
      <c r="G342" s="109" t="s">
        <v>316</v>
      </c>
      <c r="H342" s="58" t="str">
        <f>IF(G342="","",VLOOKUP($G342,'Quy chuẩn hạch toán'!$B:$E,2,0))</f>
        <v>911</v>
      </c>
      <c r="I342" s="58" t="str">
        <f>IF(H342="","",VLOOKUP($G342,'Quy chuẩn hạch toán'!$B:$E,3,0))</f>
        <v>642</v>
      </c>
      <c r="J342" s="59"/>
      <c r="K342" s="60"/>
      <c r="L342" s="61"/>
      <c r="M342" s="62"/>
      <c r="N342" s="63"/>
      <c r="O342" s="64"/>
      <c r="P342" s="64"/>
      <c r="Q342" s="65"/>
      <c r="R342" s="64"/>
      <c r="S342" s="66"/>
      <c r="T342" s="64"/>
      <c r="U342" s="93"/>
      <c r="V342" s="64"/>
      <c r="W342" s="68"/>
      <c r="X342" s="64"/>
      <c r="Y342" s="69"/>
      <c r="Z342" s="64"/>
      <c r="AA342" s="70"/>
      <c r="AB342" s="64"/>
      <c r="AC342" s="70"/>
      <c r="AD342" s="64" t="str">
        <f>IF(AC342&lt;&gt;0,VLOOKUP(AC342,DM_NV,2,0),"")</f>
        <v/>
      </c>
      <c r="AE342" s="83"/>
      <c r="AF342" s="64" t="str">
        <f>IF(AE342&lt;&gt;0,VLOOKUP(AE342,DM_NV,2,0),"")</f>
        <v/>
      </c>
    </row>
    <row r="343">
      <c r="A343" s="51"/>
      <c r="B343" s="52"/>
      <c r="C343" s="53"/>
      <c r="D343" s="99">
        <v>44620.0</v>
      </c>
      <c r="E343" s="107" t="s">
        <v>472</v>
      </c>
      <c r="F343" s="108"/>
      <c r="G343" s="109"/>
      <c r="H343" s="58" t="str">
        <f>IF(G343="","",VLOOKUP($G343,'Quy chuẩn hạch toán'!$B:$E,2,0))</f>
        <v/>
      </c>
      <c r="I343" s="58" t="str">
        <f>IF(H343="","",VLOOKUP($G343,'Quy chuẩn hạch toán'!$B:$E,3,0))</f>
        <v/>
      </c>
      <c r="J343" s="59">
        <v>-5.1652176E7</v>
      </c>
      <c r="K343" s="60"/>
      <c r="L343" s="61"/>
      <c r="M343" s="62"/>
      <c r="N343" s="63"/>
      <c r="O343" s="64"/>
      <c r="P343" s="64"/>
      <c r="Q343" s="65"/>
      <c r="R343" s="64"/>
      <c r="S343" s="66"/>
      <c r="T343" s="64"/>
      <c r="U343" s="93"/>
      <c r="V343" s="64"/>
      <c r="W343" s="68"/>
      <c r="X343" s="64"/>
      <c r="Y343" s="69"/>
      <c r="Z343" s="64"/>
      <c r="AA343" s="70" t="s">
        <v>183</v>
      </c>
      <c r="AB343" s="64"/>
      <c r="AC343" s="70" t="s">
        <v>191</v>
      </c>
      <c r="AD343" s="64" t="str">
        <f>IF(AC343&lt;&gt;0,VLOOKUP(AC343,DM_NV,2,0),"")</f>
        <v>Nguyễn Anh Vy</v>
      </c>
      <c r="AE343" s="83"/>
      <c r="AF343" s="64" t="str">
        <f>IF(AE343&lt;&gt;0,VLOOKUP(AE343,DM_NV,2,0),"")</f>
        <v/>
      </c>
    </row>
    <row r="344">
      <c r="A344" s="51"/>
      <c r="B344" s="52"/>
      <c r="C344" s="53"/>
      <c r="D344" s="99">
        <v>44620.0</v>
      </c>
      <c r="E344" s="107" t="s">
        <v>473</v>
      </c>
      <c r="F344" s="108"/>
      <c r="G344" s="109"/>
      <c r="H344" s="58" t="str">
        <f>IF(G344="","",VLOOKUP($G344,'Quy chuẩn hạch toán'!$B:$E,2,0))</f>
        <v/>
      </c>
      <c r="I344" s="58" t="str">
        <f>IF(H344="","",VLOOKUP($G344,'Quy chuẩn hạch toán'!$B:$E,3,0))</f>
        <v/>
      </c>
      <c r="J344" s="59">
        <v>-5.3760428E7</v>
      </c>
      <c r="K344" s="60"/>
      <c r="L344" s="61"/>
      <c r="M344" s="62"/>
      <c r="N344" s="63"/>
      <c r="O344" s="64"/>
      <c r="P344" s="64"/>
      <c r="Q344" s="65"/>
      <c r="R344" s="64"/>
      <c r="S344" s="66"/>
      <c r="T344" s="64"/>
      <c r="U344" s="93"/>
      <c r="V344" s="64"/>
      <c r="W344" s="68"/>
      <c r="X344" s="64"/>
      <c r="Y344" s="69"/>
      <c r="Z344" s="64"/>
      <c r="AA344" s="70" t="s">
        <v>183</v>
      </c>
      <c r="AB344" s="64"/>
      <c r="AC344" s="70" t="s">
        <v>335</v>
      </c>
      <c r="AD344" s="64" t="str">
        <f>IF(AC344&lt;&gt;0,VLOOKUP(AC344,DM_NV,2,0),"")</f>
        <v>Trần Phước Thành</v>
      </c>
      <c r="AE344" s="83"/>
      <c r="AF344" s="64" t="str">
        <f>IF(AE344&lt;&gt;0,VLOOKUP(AE344,DM_NV,2,0),"")</f>
        <v/>
      </c>
    </row>
    <row r="345">
      <c r="A345" s="51"/>
      <c r="B345" s="52"/>
      <c r="C345" s="53"/>
      <c r="D345" s="99">
        <v>44620.0</v>
      </c>
      <c r="E345" s="107" t="s">
        <v>474</v>
      </c>
      <c r="F345" s="108"/>
      <c r="G345" s="109"/>
      <c r="H345" s="58" t="str">
        <f>IF(G345="","",VLOOKUP($G345,'Quy chuẩn hạch toán'!$B:$E,2,0))</f>
        <v/>
      </c>
      <c r="I345" s="58" t="str">
        <f>IF(H345="","",VLOOKUP($G345,'Quy chuẩn hạch toán'!$B:$E,3,0))</f>
        <v/>
      </c>
      <c r="J345" s="59">
        <v>-2.4167432E7</v>
      </c>
      <c r="K345" s="60"/>
      <c r="L345" s="61"/>
      <c r="M345" s="62"/>
      <c r="N345" s="63"/>
      <c r="O345" s="64"/>
      <c r="P345" s="64"/>
      <c r="Q345" s="65"/>
      <c r="R345" s="64"/>
      <c r="S345" s="66"/>
      <c r="T345" s="64"/>
      <c r="U345" s="93"/>
      <c r="V345" s="64"/>
      <c r="W345" s="68"/>
      <c r="X345" s="64"/>
      <c r="Y345" s="69"/>
      <c r="Z345" s="64"/>
      <c r="AA345" s="70" t="s">
        <v>177</v>
      </c>
      <c r="AB345" s="64"/>
      <c r="AC345" s="70" t="s">
        <v>178</v>
      </c>
      <c r="AD345" s="64" t="str">
        <f>IF(AC345&lt;&gt;0,VLOOKUP(AC345,DM_NV,2,0),"")</f>
        <v>Lê Hoàng Quân</v>
      </c>
      <c r="AE345" s="83"/>
      <c r="AF345" s="64" t="str">
        <f>IF(AE345&lt;&gt;0,VLOOKUP(AE345,DM_NV,2,0),"")</f>
        <v/>
      </c>
    </row>
    <row r="346">
      <c r="A346" s="51"/>
      <c r="B346" s="52"/>
      <c r="C346" s="53"/>
      <c r="D346" s="99">
        <v>44620.0</v>
      </c>
      <c r="E346" s="107" t="s">
        <v>475</v>
      </c>
      <c r="F346" s="108"/>
      <c r="G346" s="109"/>
      <c r="H346" s="58" t="str">
        <f>IF(G346="","",VLOOKUP($G346,'Quy chuẩn hạch toán'!$B:$E,2,0))</f>
        <v/>
      </c>
      <c r="I346" s="58" t="str">
        <f>IF(H346="","",VLOOKUP($G346,'Quy chuẩn hạch toán'!$B:$E,3,0))</f>
        <v/>
      </c>
      <c r="J346" s="59">
        <v>-2.5153858E7</v>
      </c>
      <c r="K346" s="60"/>
      <c r="L346" s="61"/>
      <c r="M346" s="62"/>
      <c r="N346" s="63"/>
      <c r="O346" s="64"/>
      <c r="P346" s="64"/>
      <c r="Q346" s="65"/>
      <c r="R346" s="64"/>
      <c r="S346" s="66"/>
      <c r="T346" s="64"/>
      <c r="U346" s="93"/>
      <c r="V346" s="64"/>
      <c r="W346" s="68"/>
      <c r="X346" s="64"/>
      <c r="Y346" s="69"/>
      <c r="Z346" s="64"/>
      <c r="AA346" s="70" t="s">
        <v>177</v>
      </c>
      <c r="AB346" s="64"/>
      <c r="AC346" s="70" t="s">
        <v>335</v>
      </c>
      <c r="AD346" s="64" t="str">
        <f>IF(AC346&lt;&gt;0,VLOOKUP(AC346,DM_NV,2,0),"")</f>
        <v>Trần Phước Thành</v>
      </c>
      <c r="AE346" s="83"/>
      <c r="AF346" s="64" t="str">
        <f>IF(AE346&lt;&gt;0,VLOOKUP(AE346,DM_NV,2,0),"")</f>
        <v/>
      </c>
    </row>
    <row r="347">
      <c r="A347" s="51"/>
      <c r="B347" s="52"/>
      <c r="C347" s="53"/>
      <c r="D347" s="99">
        <v>44620.0</v>
      </c>
      <c r="E347" s="107" t="s">
        <v>476</v>
      </c>
      <c r="F347" s="108"/>
      <c r="G347" s="109"/>
      <c r="H347" s="58" t="str">
        <f>IF(G347="","",VLOOKUP($G347,'Quy chuẩn hạch toán'!$B:$E,2,0))</f>
        <v/>
      </c>
      <c r="I347" s="58" t="str">
        <f>IF(H347="","",VLOOKUP($G347,'Quy chuẩn hạch toán'!$B:$E,3,0))</f>
        <v/>
      </c>
      <c r="J347" s="59">
        <v>-8004426.0</v>
      </c>
      <c r="K347" s="60"/>
      <c r="L347" s="61"/>
      <c r="M347" s="62"/>
      <c r="N347" s="63"/>
      <c r="O347" s="64"/>
      <c r="P347" s="64"/>
      <c r="Q347" s="65"/>
      <c r="R347" s="64"/>
      <c r="S347" s="66"/>
      <c r="T347" s="64"/>
      <c r="U347" s="93"/>
      <c r="V347" s="64"/>
      <c r="W347" s="68"/>
      <c r="X347" s="64"/>
      <c r="Y347" s="69"/>
      <c r="Z347" s="64"/>
      <c r="AA347" s="70" t="s">
        <v>208</v>
      </c>
      <c r="AB347" s="64"/>
      <c r="AC347" s="70" t="s">
        <v>217</v>
      </c>
      <c r="AD347" s="64" t="str">
        <f>IF(AC347&lt;&gt;0,VLOOKUP(AC347,DM_NV,2,0),"")</f>
        <v>Nguyễn Thị Mai Thu</v>
      </c>
      <c r="AE347" s="83"/>
      <c r="AF347" s="64" t="str">
        <f>IF(AE347&lt;&gt;0,VLOOKUP(AE347,DM_NV,2,0),"")</f>
        <v/>
      </c>
    </row>
    <row r="348">
      <c r="A348" s="51"/>
      <c r="B348" s="52"/>
      <c r="C348" s="53"/>
      <c r="D348" s="99">
        <v>44620.0</v>
      </c>
      <c r="E348" s="107" t="s">
        <v>477</v>
      </c>
      <c r="F348" s="108"/>
      <c r="G348" s="109"/>
      <c r="H348" s="58" t="str">
        <f>IF(G348="","",VLOOKUP($G348,'Quy chuẩn hạch toán'!$B:$E,2,0))</f>
        <v/>
      </c>
      <c r="I348" s="58" t="str">
        <f>IF(H348="","",VLOOKUP($G348,'Quy chuẩn hạch toán'!$B:$E,3,0))</f>
        <v/>
      </c>
      <c r="J348" s="59">
        <v>-8331138.0</v>
      </c>
      <c r="K348" s="60"/>
      <c r="L348" s="61"/>
      <c r="M348" s="62"/>
      <c r="N348" s="63"/>
      <c r="O348" s="64"/>
      <c r="P348" s="64"/>
      <c r="Q348" s="65"/>
      <c r="R348" s="64"/>
      <c r="S348" s="66"/>
      <c r="T348" s="64"/>
      <c r="U348" s="93"/>
      <c r="V348" s="64"/>
      <c r="W348" s="68"/>
      <c r="X348" s="64"/>
      <c r="Y348" s="69"/>
      <c r="Z348" s="64"/>
      <c r="AA348" s="70" t="s">
        <v>208</v>
      </c>
      <c r="AB348" s="64"/>
      <c r="AC348" s="70" t="s">
        <v>335</v>
      </c>
      <c r="AD348" s="64" t="str">
        <f>IF(AC348&lt;&gt;0,VLOOKUP(AC348,DM_NV,2,0),"")</f>
        <v>Trần Phước Thành</v>
      </c>
      <c r="AE348" s="83"/>
      <c r="AF348" s="64" t="str">
        <f>IF(AE348&lt;&gt;0,VLOOKUP(AE348,DM_NV,2,0),"")</f>
        <v/>
      </c>
    </row>
    <row r="349">
      <c r="A349" s="51"/>
      <c r="B349" s="52"/>
      <c r="C349" s="53"/>
      <c r="D349" s="99">
        <v>44620.0</v>
      </c>
      <c r="E349" s="107" t="s">
        <v>478</v>
      </c>
      <c r="F349" s="108"/>
      <c r="G349" s="109"/>
      <c r="H349" s="58" t="str">
        <f>IF(G349="","",VLOOKUP($G349,'Quy chuẩn hạch toán'!$B:$E,2,0))</f>
        <v/>
      </c>
      <c r="I349" s="58" t="str">
        <f>IF(H349="","",VLOOKUP($G349,'Quy chuẩn hạch toán'!$B:$E,3,0))</f>
        <v/>
      </c>
      <c r="J349" s="59">
        <v>3.3674706E7</v>
      </c>
      <c r="K349" s="60"/>
      <c r="L349" s="61"/>
      <c r="M349" s="62"/>
      <c r="N349" s="63"/>
      <c r="O349" s="64"/>
      <c r="P349" s="64"/>
      <c r="Q349" s="65"/>
      <c r="R349" s="64"/>
      <c r="S349" s="66"/>
      <c r="T349" s="64"/>
      <c r="U349" s="93"/>
      <c r="V349" s="64"/>
      <c r="W349" s="68"/>
      <c r="X349" s="64"/>
      <c r="Y349" s="69"/>
      <c r="Z349" s="64"/>
      <c r="AA349" s="70" t="s">
        <v>210</v>
      </c>
      <c r="AB349" s="64"/>
      <c r="AC349" s="70" t="s">
        <v>335</v>
      </c>
      <c r="AD349" s="64" t="str">
        <f>IF(AC349&lt;&gt;0,VLOOKUP(AC349,DM_NV,2,0),"")</f>
        <v>Trần Phước Thành</v>
      </c>
      <c r="AE349" s="83"/>
      <c r="AF349" s="64" t="str">
        <f>IF(AE349&lt;&gt;0,VLOOKUP(AE349,DM_NV,2,0),"")</f>
        <v/>
      </c>
    </row>
    <row r="350">
      <c r="A350" s="51"/>
      <c r="B350" s="52"/>
      <c r="C350" s="53" t="str">
        <f t="shared" ref="C350:C602" si="3">if(D350&lt;&gt;0,TEXT(D350,"mm/yyyy"),"")</f>
        <v/>
      </c>
      <c r="D350" s="99"/>
      <c r="E350" s="107"/>
      <c r="F350" s="108"/>
      <c r="G350" s="109"/>
      <c r="H350" s="58" t="str">
        <f>IF(G350="","",VLOOKUP($G350,'Quy chuẩn hạch toán'!$B:$E,2,0))</f>
        <v/>
      </c>
      <c r="I350" s="58" t="str">
        <f>IF(H350="","",VLOOKUP($G350,'Quy chuẩn hạch toán'!$B:$E,3,0))</f>
        <v/>
      </c>
      <c r="J350" s="59"/>
      <c r="K350" s="60"/>
      <c r="L350" s="61"/>
      <c r="M350" s="62"/>
      <c r="N350" s="63"/>
      <c r="O350" s="64"/>
      <c r="P350" s="64"/>
      <c r="Q350" s="65"/>
      <c r="R350" s="64"/>
      <c r="S350" s="66"/>
      <c r="T350" s="64"/>
      <c r="U350" s="93"/>
      <c r="V350" s="64"/>
      <c r="W350" s="68"/>
      <c r="X350" s="64"/>
      <c r="Y350" s="69"/>
      <c r="Z350" s="64"/>
      <c r="AA350" s="70"/>
      <c r="AB350" s="64"/>
      <c r="AC350" s="70"/>
      <c r="AD350" s="64" t="str">
        <f>IF(AC350&lt;&gt;0,VLOOKUP(AC350,DM_NV,2,0),"")</f>
        <v/>
      </c>
      <c r="AE350" s="83"/>
      <c r="AF350" s="64" t="str">
        <f>IF(AE350&lt;&gt;0,VLOOKUP(AE350,DM_NV,2,0),"")</f>
        <v/>
      </c>
    </row>
    <row r="351">
      <c r="A351" s="51"/>
      <c r="B351" s="52"/>
      <c r="C351" s="53" t="str">
        <f t="shared" si="3"/>
        <v>03/2022</v>
      </c>
      <c r="D351" s="114">
        <v>44631.0</v>
      </c>
      <c r="E351" s="115" t="s">
        <v>479</v>
      </c>
      <c r="F351" s="108"/>
      <c r="G351" s="57" t="s">
        <v>348</v>
      </c>
      <c r="H351" s="58" t="str">
        <f>IF(G351="","",VLOOKUP($G351,'Quy chuẩn hạch toán'!$B:$E,2,0))</f>
        <v>331</v>
      </c>
      <c r="I351" s="58" t="str">
        <f>IF(H351="","",VLOOKUP($G351,'Quy chuẩn hạch toán'!$B:$E,3,0))</f>
        <v>1111</v>
      </c>
      <c r="J351" s="59">
        <v>718838.0</v>
      </c>
      <c r="K351" s="60"/>
      <c r="L351" s="61"/>
      <c r="M351" s="62"/>
      <c r="N351" s="63"/>
      <c r="O351" s="64"/>
      <c r="P351" s="64"/>
      <c r="Q351" s="65"/>
      <c r="R351" s="64"/>
      <c r="S351" s="66"/>
      <c r="T351" s="64"/>
      <c r="U351" s="93"/>
      <c r="V351" s="64"/>
      <c r="W351" s="68"/>
      <c r="X351" s="64"/>
      <c r="Y351" s="69"/>
      <c r="Z351" s="64"/>
      <c r="AA351" s="70" t="s">
        <v>210</v>
      </c>
      <c r="AB351" s="64"/>
      <c r="AC351" s="70"/>
      <c r="AD351" s="64" t="str">
        <f>IF(AC351&lt;&gt;0,VLOOKUP(AC351,DM_NV,2,0),"")</f>
        <v/>
      </c>
      <c r="AE351" s="83" t="s">
        <v>343</v>
      </c>
      <c r="AF351" s="64" t="str">
        <f>IF(AE351&lt;&gt;0,VLOOKUP(AE351,DM_NV,2,0),"")</f>
        <v>#N/A</v>
      </c>
    </row>
    <row r="352">
      <c r="A352" s="51"/>
      <c r="B352" s="52"/>
      <c r="C352" s="53" t="str">
        <f t="shared" si="3"/>
        <v>03/2022</v>
      </c>
      <c r="D352" s="114">
        <v>44631.0</v>
      </c>
      <c r="E352" s="115" t="s">
        <v>480</v>
      </c>
      <c r="F352" s="108"/>
      <c r="G352" s="57" t="s">
        <v>348</v>
      </c>
      <c r="H352" s="58" t="str">
        <f>IF(G352="","",VLOOKUP($G352,'Quy chuẩn hạch toán'!$B:$E,2,0))</f>
        <v>331</v>
      </c>
      <c r="I352" s="58" t="str">
        <f>IF(H352="","",VLOOKUP($G352,'Quy chuẩn hạch toán'!$B:$E,3,0))</f>
        <v>1111</v>
      </c>
      <c r="J352" s="59">
        <v>2482833.0</v>
      </c>
      <c r="K352" s="60"/>
      <c r="L352" s="61"/>
      <c r="M352" s="62"/>
      <c r="N352" s="63"/>
      <c r="O352" s="64"/>
      <c r="P352" s="64"/>
      <c r="Q352" s="65"/>
      <c r="R352" s="64"/>
      <c r="S352" s="66"/>
      <c r="T352" s="64"/>
      <c r="U352" s="93"/>
      <c r="V352" s="64"/>
      <c r="W352" s="68"/>
      <c r="X352" s="64"/>
      <c r="Y352" s="69"/>
      <c r="Z352" s="64"/>
      <c r="AA352" s="70" t="s">
        <v>177</v>
      </c>
      <c r="AB352" s="64"/>
      <c r="AC352" s="70"/>
      <c r="AD352" s="64" t="str">
        <f>IF(AC352&lt;&gt;0,VLOOKUP(AC352,DM_NV,2,0),"")</f>
        <v/>
      </c>
      <c r="AE352" s="83" t="s">
        <v>343</v>
      </c>
      <c r="AF352" s="64" t="str">
        <f>IF(AE352&lt;&gt;0,VLOOKUP(AE352,DM_NV,2,0),"")</f>
        <v>#N/A</v>
      </c>
    </row>
    <row r="353">
      <c r="A353" s="51"/>
      <c r="B353" s="52"/>
      <c r="C353" s="53" t="str">
        <f t="shared" si="3"/>
        <v>03/2022</v>
      </c>
      <c r="D353" s="114">
        <v>44631.0</v>
      </c>
      <c r="E353" s="115" t="s">
        <v>481</v>
      </c>
      <c r="F353" s="108"/>
      <c r="G353" s="57" t="s">
        <v>348</v>
      </c>
      <c r="H353" s="58" t="str">
        <f>IF(G353="","",VLOOKUP($G353,'Quy chuẩn hạch toán'!$B:$E,2,0))</f>
        <v>331</v>
      </c>
      <c r="I353" s="58" t="str">
        <f>IF(H353="","",VLOOKUP($G353,'Quy chuẩn hạch toán'!$B:$E,3,0))</f>
        <v>1111</v>
      </c>
      <c r="J353" s="59">
        <v>7901096.0</v>
      </c>
      <c r="K353" s="60"/>
      <c r="L353" s="61"/>
      <c r="M353" s="62"/>
      <c r="N353" s="63"/>
      <c r="O353" s="64"/>
      <c r="P353" s="64"/>
      <c r="Q353" s="65"/>
      <c r="R353" s="64"/>
      <c r="S353" s="66"/>
      <c r="T353" s="64"/>
      <c r="U353" s="93"/>
      <c r="V353" s="64"/>
      <c r="W353" s="68"/>
      <c r="X353" s="64"/>
      <c r="Y353" s="69"/>
      <c r="Z353" s="64"/>
      <c r="AA353" s="70" t="s">
        <v>183</v>
      </c>
      <c r="AB353" s="64"/>
      <c r="AC353" s="70"/>
      <c r="AD353" s="64" t="str">
        <f>IF(AC353&lt;&gt;0,VLOOKUP(AC353,DM_NV,2,0),"")</f>
        <v/>
      </c>
      <c r="AE353" s="83" t="s">
        <v>343</v>
      </c>
      <c r="AF353" s="64" t="str">
        <f>IF(AE353&lt;&gt;0,VLOOKUP(AE353,DM_NV,2,0),"")</f>
        <v>#N/A</v>
      </c>
    </row>
    <row r="354">
      <c r="A354" s="51"/>
      <c r="B354" s="52"/>
      <c r="C354" s="53" t="str">
        <f t="shared" si="3"/>
        <v>03/2022</v>
      </c>
      <c r="D354" s="114">
        <v>44631.0</v>
      </c>
      <c r="E354" s="115" t="s">
        <v>482</v>
      </c>
      <c r="F354" s="108"/>
      <c r="G354" s="57" t="s">
        <v>348</v>
      </c>
      <c r="H354" s="58" t="str">
        <f>IF(G354="","",VLOOKUP($G354,'Quy chuẩn hạch toán'!$B:$E,2,0))</f>
        <v>331</v>
      </c>
      <c r="I354" s="58" t="str">
        <f>IF(H354="","",VLOOKUP($G354,'Quy chuẩn hạch toán'!$B:$E,3,0))</f>
        <v>1111</v>
      </c>
      <c r="J354" s="59">
        <v>5133.0</v>
      </c>
      <c r="K354" s="60"/>
      <c r="L354" s="61"/>
      <c r="M354" s="62"/>
      <c r="N354" s="63"/>
      <c r="O354" s="64"/>
      <c r="P354" s="64"/>
      <c r="Q354" s="65"/>
      <c r="R354" s="64"/>
      <c r="S354" s="66"/>
      <c r="T354" s="64"/>
      <c r="U354" s="93"/>
      <c r="V354" s="64"/>
      <c r="W354" s="68"/>
      <c r="X354" s="64"/>
      <c r="Y354" s="69"/>
      <c r="Z354" s="64"/>
      <c r="AA354" s="70" t="s">
        <v>208</v>
      </c>
      <c r="AB354" s="64"/>
      <c r="AC354" s="70"/>
      <c r="AD354" s="64" t="str">
        <f>IF(AC354&lt;&gt;0,VLOOKUP(AC354,DM_NV,2,0),"")</f>
        <v/>
      </c>
      <c r="AE354" s="83" t="s">
        <v>343</v>
      </c>
      <c r="AF354" s="64" t="str">
        <f>IF(AE354&lt;&gt;0,VLOOKUP(AE354,DM_NV,2,0),"")</f>
        <v>#N/A</v>
      </c>
    </row>
    <row r="355">
      <c r="A355" s="51"/>
      <c r="B355" s="52" t="str">
        <f>IF(D355="","",VLOOKUP(D355,'THAM CHIẾU'!$A:$B,2,0))</f>
        <v>#N/A</v>
      </c>
      <c r="C355" s="53" t="str">
        <f t="shared" si="3"/>
        <v>03/2022</v>
      </c>
      <c r="D355" s="114">
        <v>44631.0</v>
      </c>
      <c r="E355" s="115" t="s">
        <v>483</v>
      </c>
      <c r="F355" s="108"/>
      <c r="G355" s="57" t="s">
        <v>342</v>
      </c>
      <c r="H355" s="58" t="str">
        <f>IF(G355="","",VLOOKUP($G355,'Quy chuẩn hạch toán'!$B:$E,2,0))</f>
        <v>331</v>
      </c>
      <c r="I355" s="58" t="str">
        <f>IF(H355="","",VLOOKUP($G355,'Quy chuẩn hạch toán'!$B:$E,3,0))</f>
        <v>1111</v>
      </c>
      <c r="J355" s="59">
        <v>7592062.0</v>
      </c>
      <c r="K355" s="60"/>
      <c r="L355" s="61"/>
      <c r="M355" s="62"/>
      <c r="N355" s="63"/>
      <c r="O355" s="64" t="str">
        <f>IF($Q355&lt;&gt;0,VLOOKUP($Q355,DM_KM,3,0),"")</f>
        <v/>
      </c>
      <c r="P355" s="64" t="str">
        <f>IF($Q355&lt;&gt;0,VLOOKUP($Q355,DM_KM,5,0),"")</f>
        <v/>
      </c>
      <c r="Q355" s="65"/>
      <c r="R355" s="64" t="str">
        <f>IF(S355&lt;&gt;0,VLOOKUP(S355,DM_DUAN,3,0),"")</f>
        <v>#N/A</v>
      </c>
      <c r="S355" s="66" t="str">
        <f>IF(U355&lt;&gt;0,VLOOKUP(U355,DM_DUAN,3,0),"")</f>
        <v/>
      </c>
      <c r="T355" s="64"/>
      <c r="U355" s="93"/>
      <c r="V355" s="64" t="str">
        <f>IF(W355&lt;&gt;0,VLOOKUP(W355,DM_DUAN,3,0),"")</f>
        <v/>
      </c>
      <c r="W355" s="68"/>
      <c r="X355" s="64" t="str">
        <f>IF(Y355&lt;&gt;0,VLOOKUP(Y355,DM_DUAN,3,0),"")</f>
        <v/>
      </c>
      <c r="Y355" s="69"/>
      <c r="Z355" s="64" t="str">
        <f>IF(AA355&lt;&gt;0,VLOOKUP(AA355,DM_DUAN,3,0),"")</f>
        <v>#N/A</v>
      </c>
      <c r="AA355" s="70" t="s">
        <v>210</v>
      </c>
      <c r="AB355" s="64" t="str">
        <f>IF(AC355&lt;&gt;0,VLOOKUP(AC355,DM_DUAN,3,0),"")</f>
        <v/>
      </c>
      <c r="AC355" s="70"/>
      <c r="AD355" s="64" t="str">
        <f>IF(AC355&lt;&gt;0,VLOOKUP(AC355,DM_NV,2,0),"")</f>
        <v/>
      </c>
      <c r="AE355" s="83" t="s">
        <v>343</v>
      </c>
      <c r="AF355" s="64" t="str">
        <f>IF(AE355&lt;&gt;0,VLOOKUP(AE355,DM_NV,2,0),"")</f>
        <v>#N/A</v>
      </c>
    </row>
    <row r="356">
      <c r="A356" s="51"/>
      <c r="B356" s="52" t="str">
        <f>IF(D356="","",VLOOKUP(D356,'THAM CHIẾU'!$A:$B,2,0))</f>
        <v>#N/A</v>
      </c>
      <c r="C356" s="53" t="str">
        <f t="shared" si="3"/>
        <v>03/2022</v>
      </c>
      <c r="D356" s="114">
        <v>44631.0</v>
      </c>
      <c r="E356" s="115" t="s">
        <v>484</v>
      </c>
      <c r="F356" s="108"/>
      <c r="G356" s="57" t="s">
        <v>342</v>
      </c>
      <c r="H356" s="58" t="str">
        <f>IF(G356="","",VLOOKUP($G356,'Quy chuẩn hạch toán'!$B:$E,2,0))</f>
        <v>331</v>
      </c>
      <c r="I356" s="58" t="str">
        <f>IF(H356="","",VLOOKUP($G356,'Quy chuẩn hạch toán'!$B:$E,3,0))</f>
        <v>1111</v>
      </c>
      <c r="J356" s="59">
        <v>1.3561507E7</v>
      </c>
      <c r="K356" s="60"/>
      <c r="L356" s="61"/>
      <c r="M356" s="62"/>
      <c r="N356" s="63"/>
      <c r="O356" s="64"/>
      <c r="P356" s="64"/>
      <c r="Q356" s="65"/>
      <c r="R356" s="64"/>
      <c r="S356" s="66"/>
      <c r="T356" s="64"/>
      <c r="U356" s="67"/>
      <c r="V356" s="64"/>
      <c r="W356" s="68"/>
      <c r="X356" s="64"/>
      <c r="Y356" s="69"/>
      <c r="Z356" s="64"/>
      <c r="AA356" s="70" t="s">
        <v>177</v>
      </c>
      <c r="AB356" s="64"/>
      <c r="AC356" s="70"/>
      <c r="AD356" s="64" t="str">
        <f>IF(AC356&lt;&gt;0,VLOOKUP(AC356,DM_NV,2,0),"")</f>
        <v/>
      </c>
      <c r="AE356" s="83" t="s">
        <v>343</v>
      </c>
      <c r="AF356" s="64" t="str">
        <f>IF(AE356&lt;&gt;0,VLOOKUP(AE356,DM_NV,2,0),"")</f>
        <v>#N/A</v>
      </c>
    </row>
    <row r="357">
      <c r="A357" s="51"/>
      <c r="B357" s="52" t="str">
        <f>IF(D357="","",VLOOKUP(D357,'THAM CHIẾU'!$A:$B,2,0))</f>
        <v>#N/A</v>
      </c>
      <c r="C357" s="53" t="str">
        <f t="shared" si="3"/>
        <v>03/2022</v>
      </c>
      <c r="D357" s="114">
        <v>44631.0</v>
      </c>
      <c r="E357" s="115" t="s">
        <v>485</v>
      </c>
      <c r="F357" s="108"/>
      <c r="G357" s="57" t="s">
        <v>342</v>
      </c>
      <c r="H357" s="58" t="str">
        <f>IF(G357="","",VLOOKUP($G357,'Quy chuẩn hạch toán'!$B:$E,2,0))</f>
        <v>331</v>
      </c>
      <c r="I357" s="58" t="str">
        <f>IF(H357="","",VLOOKUP($G357,'Quy chuẩn hạch toán'!$B:$E,3,0))</f>
        <v>1111</v>
      </c>
      <c r="J357" s="59">
        <v>2.1694444E7</v>
      </c>
      <c r="K357" s="60"/>
      <c r="L357" s="61"/>
      <c r="M357" s="62"/>
      <c r="N357" s="63"/>
      <c r="O357" s="64"/>
      <c r="P357" s="64"/>
      <c r="Q357" s="65"/>
      <c r="R357" s="64"/>
      <c r="S357" s="66"/>
      <c r="T357" s="64"/>
      <c r="U357" s="67"/>
      <c r="V357" s="64"/>
      <c r="W357" s="68"/>
      <c r="X357" s="64"/>
      <c r="Y357" s="69"/>
      <c r="Z357" s="64"/>
      <c r="AA357" s="70" t="s">
        <v>183</v>
      </c>
      <c r="AB357" s="64"/>
      <c r="AC357" s="70"/>
      <c r="AD357" s="64" t="str">
        <f>IF(AC357&lt;&gt;0,VLOOKUP(AC357,DM_NV,2,0),"")</f>
        <v/>
      </c>
      <c r="AE357" s="83" t="s">
        <v>343</v>
      </c>
      <c r="AF357" s="64" t="str">
        <f>IF(AE357&lt;&gt;0,VLOOKUP(AE357,DM_NV,2,0),"")</f>
        <v>#N/A</v>
      </c>
    </row>
    <row r="358">
      <c r="A358" s="51"/>
      <c r="B358" s="52" t="str">
        <f>IF(D358="","",VLOOKUP(D358,'THAM CHIẾU'!$A:$B,2,0))</f>
        <v>#N/A</v>
      </c>
      <c r="C358" s="53" t="str">
        <f t="shared" si="3"/>
        <v>03/2022</v>
      </c>
      <c r="D358" s="114">
        <v>44631.0</v>
      </c>
      <c r="E358" s="115" t="s">
        <v>486</v>
      </c>
      <c r="F358" s="108"/>
      <c r="G358" s="57" t="s">
        <v>342</v>
      </c>
      <c r="H358" s="58" t="str">
        <f>IF(G358="","",VLOOKUP($G358,'Quy chuẩn hạch toán'!$B:$E,2,0))</f>
        <v>331</v>
      </c>
      <c r="I358" s="58" t="str">
        <f>IF(H358="","",VLOOKUP($G358,'Quy chuẩn hạch toán'!$B:$E,3,0))</f>
        <v>1111</v>
      </c>
      <c r="J358" s="59">
        <v>6510317.0</v>
      </c>
      <c r="K358" s="60"/>
      <c r="L358" s="61"/>
      <c r="M358" s="62"/>
      <c r="N358" s="63"/>
      <c r="O358" s="64"/>
      <c r="P358" s="64"/>
      <c r="Q358" s="65"/>
      <c r="R358" s="64"/>
      <c r="S358" s="66"/>
      <c r="T358" s="64"/>
      <c r="U358" s="67"/>
      <c r="V358" s="64"/>
      <c r="W358" s="68"/>
      <c r="X358" s="64"/>
      <c r="Y358" s="69"/>
      <c r="Z358" s="64"/>
      <c r="AA358" s="70" t="s">
        <v>208</v>
      </c>
      <c r="AB358" s="64"/>
      <c r="AC358" s="70"/>
      <c r="AD358" s="64" t="str">
        <f>IF(AC358&lt;&gt;0,VLOOKUP(AC358,DM_NV,2,0),"")</f>
        <v/>
      </c>
      <c r="AE358" s="83" t="s">
        <v>343</v>
      </c>
      <c r="AF358" s="64" t="str">
        <f>IF(AE358&lt;&gt;0,VLOOKUP(AE358,DM_NV,2,0),"")</f>
        <v>#N/A</v>
      </c>
    </row>
    <row r="359">
      <c r="A359" s="51"/>
      <c r="B359" s="52"/>
      <c r="C359" s="53" t="str">
        <f t="shared" si="3"/>
        <v>03/2022</v>
      </c>
      <c r="D359" s="114">
        <v>44631.0</v>
      </c>
      <c r="E359" s="115" t="s">
        <v>487</v>
      </c>
      <c r="F359" s="108"/>
      <c r="G359" s="57" t="s">
        <v>254</v>
      </c>
      <c r="H359" s="58" t="str">
        <f>IF(G359="","",VLOOKUP($G359,'Quy chuẩn hạch toán'!$B:$E,2,0))</f>
        <v>3341</v>
      </c>
      <c r="I359" s="58" t="str">
        <f>IF(H359="","",VLOOKUP($G359,'Quy chuẩn hạch toán'!$B:$E,3,0))</f>
        <v>1111</v>
      </c>
      <c r="J359" s="59">
        <v>3.2554728E7</v>
      </c>
      <c r="K359" s="60"/>
      <c r="L359" s="61"/>
      <c r="M359" s="62"/>
      <c r="N359" s="63"/>
      <c r="O359" s="64"/>
      <c r="P359" s="64"/>
      <c r="Q359" s="65"/>
      <c r="R359" s="64"/>
      <c r="S359" s="66"/>
      <c r="T359" s="64"/>
      <c r="U359" s="67"/>
      <c r="V359" s="64"/>
      <c r="W359" s="68"/>
      <c r="X359" s="64"/>
      <c r="Y359" s="69"/>
      <c r="Z359" s="64"/>
      <c r="AA359" s="70" t="s">
        <v>210</v>
      </c>
      <c r="AB359" s="64"/>
      <c r="AC359" s="70"/>
      <c r="AD359" s="64" t="str">
        <f>IF(AC359&lt;&gt;0,VLOOKUP(AC359,DM_NV,2,0),"")</f>
        <v/>
      </c>
      <c r="AE359" s="83" t="s">
        <v>256</v>
      </c>
      <c r="AF359" s="64" t="str">
        <f>IF(AE359&lt;&gt;0,VLOOKUP(AE359,DM_NV,2,0),"")</f>
        <v>#N/A</v>
      </c>
    </row>
    <row r="360">
      <c r="A360" s="51"/>
      <c r="B360" s="52"/>
      <c r="C360" s="53" t="str">
        <f t="shared" si="3"/>
        <v>03/2022</v>
      </c>
      <c r="D360" s="114">
        <v>44631.0</v>
      </c>
      <c r="E360" s="115" t="s">
        <v>488</v>
      </c>
      <c r="F360" s="108"/>
      <c r="G360" s="57" t="s">
        <v>254</v>
      </c>
      <c r="H360" s="58" t="str">
        <f>IF(G360="","",VLOOKUP($G360,'Quy chuẩn hạch toán'!$B:$E,2,0))</f>
        <v>3341</v>
      </c>
      <c r="I360" s="58" t="str">
        <f>IF(H360="","",VLOOKUP($G360,'Quy chuẩn hạch toán'!$B:$E,3,0))</f>
        <v>1111</v>
      </c>
      <c r="J360" s="59">
        <v>3.1167818E7</v>
      </c>
      <c r="K360" s="60"/>
      <c r="L360" s="61"/>
      <c r="M360" s="62"/>
      <c r="N360" s="63"/>
      <c r="O360" s="64"/>
      <c r="P360" s="64"/>
      <c r="Q360" s="65"/>
      <c r="R360" s="64"/>
      <c r="S360" s="66"/>
      <c r="T360" s="64"/>
      <c r="U360" s="67"/>
      <c r="V360" s="64"/>
      <c r="W360" s="68"/>
      <c r="X360" s="64"/>
      <c r="Y360" s="69"/>
      <c r="Z360" s="64"/>
      <c r="AA360" s="70" t="s">
        <v>177</v>
      </c>
      <c r="AB360" s="64"/>
      <c r="AC360" s="70"/>
      <c r="AD360" s="64" t="str">
        <f>IF(AC360&lt;&gt;0,VLOOKUP(AC360,DM_NV,2,0),"")</f>
        <v/>
      </c>
      <c r="AE360" s="83" t="s">
        <v>256</v>
      </c>
      <c r="AF360" s="64" t="str">
        <f>IF(AE360&lt;&gt;0,VLOOKUP(AE360,DM_NV,2,0),"")</f>
        <v>#N/A</v>
      </c>
    </row>
    <row r="361">
      <c r="A361" s="51"/>
      <c r="B361" s="52"/>
      <c r="C361" s="53" t="str">
        <f t="shared" si="3"/>
        <v>03/2022</v>
      </c>
      <c r="D361" s="114">
        <v>44631.0</v>
      </c>
      <c r="E361" s="115" t="s">
        <v>489</v>
      </c>
      <c r="F361" s="108"/>
      <c r="G361" s="57" t="s">
        <v>254</v>
      </c>
      <c r="H361" s="58" t="str">
        <f>IF(G361="","",VLOOKUP($G361,'Quy chuẩn hạch toán'!$B:$E,2,0))</f>
        <v>3341</v>
      </c>
      <c r="I361" s="58" t="str">
        <f>IF(H361="","",VLOOKUP($G361,'Quy chuẩn hạch toán'!$B:$E,3,0))</f>
        <v>1111</v>
      </c>
      <c r="J361" s="59">
        <v>5.4064803E7</v>
      </c>
      <c r="K361" s="60"/>
      <c r="L361" s="61"/>
      <c r="M361" s="62"/>
      <c r="N361" s="63"/>
      <c r="O361" s="64"/>
      <c r="P361" s="64"/>
      <c r="Q361" s="65"/>
      <c r="R361" s="64"/>
      <c r="S361" s="66"/>
      <c r="T361" s="64"/>
      <c r="U361" s="67"/>
      <c r="V361" s="64"/>
      <c r="W361" s="68"/>
      <c r="X361" s="64"/>
      <c r="Y361" s="69"/>
      <c r="Z361" s="64"/>
      <c r="AA361" s="70" t="s">
        <v>183</v>
      </c>
      <c r="AB361" s="64"/>
      <c r="AC361" s="70"/>
      <c r="AD361" s="64" t="str">
        <f>IF(AC361&lt;&gt;0,VLOOKUP(AC361,DM_NV,2,0),"")</f>
        <v/>
      </c>
      <c r="AE361" s="83" t="s">
        <v>256</v>
      </c>
      <c r="AF361" s="64" t="str">
        <f>IF(AE361&lt;&gt;0,VLOOKUP(AE361,DM_NV,2,0),"")</f>
        <v>#N/A</v>
      </c>
    </row>
    <row r="362">
      <c r="A362" s="51"/>
      <c r="B362" s="52"/>
      <c r="C362" s="53" t="str">
        <f t="shared" si="3"/>
        <v>03/2022</v>
      </c>
      <c r="D362" s="114">
        <v>44631.0</v>
      </c>
      <c r="E362" s="115" t="s">
        <v>490</v>
      </c>
      <c r="F362" s="108"/>
      <c r="G362" s="57" t="s">
        <v>254</v>
      </c>
      <c r="H362" s="58" t="str">
        <f>IF(G362="","",VLOOKUP($G362,'Quy chuẩn hạch toán'!$B:$E,2,0))</f>
        <v>3341</v>
      </c>
      <c r="I362" s="58" t="str">
        <f>IF(H362="","",VLOOKUP($G362,'Quy chuẩn hạch toán'!$B:$E,3,0))</f>
        <v>1111</v>
      </c>
      <c r="J362" s="59">
        <v>9100461.0</v>
      </c>
      <c r="K362" s="60"/>
      <c r="L362" s="61"/>
      <c r="M362" s="62"/>
      <c r="N362" s="63"/>
      <c r="O362" s="64"/>
      <c r="P362" s="64"/>
      <c r="Q362" s="65"/>
      <c r="R362" s="64"/>
      <c r="S362" s="66"/>
      <c r="T362" s="64"/>
      <c r="U362" s="67"/>
      <c r="V362" s="64"/>
      <c r="W362" s="68"/>
      <c r="X362" s="64"/>
      <c r="Y362" s="69"/>
      <c r="Z362" s="64"/>
      <c r="AA362" s="70" t="s">
        <v>208</v>
      </c>
      <c r="AB362" s="64"/>
      <c r="AC362" s="70"/>
      <c r="AD362" s="64" t="str">
        <f>IF(AC362&lt;&gt;0,VLOOKUP(AC362,DM_NV,2,0),"")</f>
        <v/>
      </c>
      <c r="AE362" s="83" t="s">
        <v>256</v>
      </c>
      <c r="AF362" s="64" t="str">
        <f>IF(AE362&lt;&gt;0,VLOOKUP(AE362,DM_NV,2,0),"")</f>
        <v>#N/A</v>
      </c>
    </row>
    <row r="363">
      <c r="A363" s="51"/>
      <c r="B363" s="52"/>
      <c r="C363" s="53" t="str">
        <f t="shared" si="3"/>
        <v>03/2022</v>
      </c>
      <c r="D363" s="114">
        <v>44631.0</v>
      </c>
      <c r="E363" s="115" t="s">
        <v>491</v>
      </c>
      <c r="F363" s="108"/>
      <c r="G363" s="57" t="s">
        <v>254</v>
      </c>
      <c r="H363" s="58" t="str">
        <f>IF(G363="","",VLOOKUP($G363,'Quy chuẩn hạch toán'!$B:$E,2,0))</f>
        <v>3341</v>
      </c>
      <c r="I363" s="58" t="str">
        <f>IF(H363="","",VLOOKUP($G363,'Quy chuẩn hạch toán'!$B:$E,3,0))</f>
        <v>1111</v>
      </c>
      <c r="J363" s="116">
        <f>4750000/2</f>
        <v>2375000</v>
      </c>
      <c r="K363" s="60"/>
      <c r="L363" s="61"/>
      <c r="M363" s="62"/>
      <c r="N363" s="63"/>
      <c r="O363" s="64"/>
      <c r="P363" s="64"/>
      <c r="Q363" s="65"/>
      <c r="R363" s="64"/>
      <c r="S363" s="66"/>
      <c r="T363" s="64"/>
      <c r="U363" s="67"/>
      <c r="V363" s="64"/>
      <c r="W363" s="68"/>
      <c r="X363" s="64"/>
      <c r="Y363" s="69"/>
      <c r="Z363" s="64"/>
      <c r="AA363" s="70"/>
      <c r="AB363" s="64"/>
      <c r="AC363" s="70"/>
      <c r="AD363" s="64" t="str">
        <f>IF(AC363&lt;&gt;0,VLOOKUP(AC363,DM_NV,2,0),"")</f>
        <v/>
      </c>
      <c r="AE363" s="83" t="s">
        <v>256</v>
      </c>
      <c r="AF363" s="64" t="str">
        <f>IF(AE363&lt;&gt;0,VLOOKUP(AE363,DM_NV,2,0),"")</f>
        <v>#N/A</v>
      </c>
    </row>
    <row r="364">
      <c r="A364" s="51"/>
      <c r="B364" s="52"/>
      <c r="C364" s="53" t="str">
        <f t="shared" si="3"/>
        <v>03/2022</v>
      </c>
      <c r="D364" s="114">
        <v>44631.0</v>
      </c>
      <c r="E364" s="115" t="s">
        <v>492</v>
      </c>
      <c r="F364" s="108"/>
      <c r="G364" s="109" t="s">
        <v>354</v>
      </c>
      <c r="H364" s="58" t="str">
        <f>IF(G364="","",VLOOKUP($G364,'Quy chuẩn hạch toán'!$B:$E,2,0))</f>
        <v>331</v>
      </c>
      <c r="I364" s="58" t="str">
        <f>IF(H364="","",VLOOKUP($G364,'Quy chuẩn hạch toán'!$B:$E,3,0))</f>
        <v>1111</v>
      </c>
      <c r="J364" s="59">
        <v>1.4E7</v>
      </c>
      <c r="K364" s="60"/>
      <c r="L364" s="61"/>
      <c r="M364" s="62"/>
      <c r="N364" s="63"/>
      <c r="O364" s="64"/>
      <c r="P364" s="64"/>
      <c r="Q364" s="65"/>
      <c r="R364" s="64"/>
      <c r="S364" s="66"/>
      <c r="T364" s="64"/>
      <c r="U364" s="67"/>
      <c r="V364" s="64"/>
      <c r="W364" s="68"/>
      <c r="X364" s="64"/>
      <c r="Y364" s="69"/>
      <c r="Z364" s="64"/>
      <c r="AA364" s="70" t="s">
        <v>183</v>
      </c>
      <c r="AB364" s="64"/>
      <c r="AC364" s="70"/>
      <c r="AD364" s="64" t="str">
        <f>IF(AC364&lt;&gt;0,VLOOKUP(AC364,DM_NV,2,0),"")</f>
        <v/>
      </c>
      <c r="AE364" s="83" t="s">
        <v>355</v>
      </c>
      <c r="AF364" s="64" t="str">
        <f>IF(AE364&lt;&gt;0,VLOOKUP(AE364,DM_NV,2,0),"")</f>
        <v>#N/A</v>
      </c>
    </row>
    <row r="365">
      <c r="A365" s="51"/>
      <c r="B365" s="52"/>
      <c r="C365" s="53" t="str">
        <f t="shared" si="3"/>
        <v>03/2022</v>
      </c>
      <c r="D365" s="114">
        <v>44631.0</v>
      </c>
      <c r="E365" s="115" t="s">
        <v>493</v>
      </c>
      <c r="F365" s="108"/>
      <c r="G365" s="109" t="s">
        <v>354</v>
      </c>
      <c r="H365" s="58" t="str">
        <f>IF(G365="","",VLOOKUP($G365,'Quy chuẩn hạch toán'!$B:$E,2,0))</f>
        <v>331</v>
      </c>
      <c r="I365" s="58" t="str">
        <f>IF(H365="","",VLOOKUP($G365,'Quy chuẩn hạch toán'!$B:$E,3,0))</f>
        <v>1111</v>
      </c>
      <c r="J365" s="59">
        <v>6000000.0</v>
      </c>
      <c r="K365" s="60"/>
      <c r="L365" s="61"/>
      <c r="M365" s="62"/>
      <c r="N365" s="63"/>
      <c r="O365" s="64"/>
      <c r="P365" s="64"/>
      <c r="Q365" s="65"/>
      <c r="R365" s="64"/>
      <c r="S365" s="66"/>
      <c r="T365" s="64"/>
      <c r="U365" s="67"/>
      <c r="V365" s="64"/>
      <c r="W365" s="68"/>
      <c r="X365" s="64"/>
      <c r="Y365" s="69"/>
      <c r="Z365" s="64"/>
      <c r="AA365" s="70" t="s">
        <v>177</v>
      </c>
      <c r="AB365" s="64"/>
      <c r="AC365" s="70"/>
      <c r="AD365" s="64" t="str">
        <f>IF(AC365&lt;&gt;0,VLOOKUP(AC365,DM_NV,2,0),"")</f>
        <v/>
      </c>
      <c r="AE365" s="83" t="s">
        <v>355</v>
      </c>
      <c r="AF365" s="64" t="str">
        <f>IF(AE365&lt;&gt;0,VLOOKUP(AE365,DM_NV,2,0),"")</f>
        <v>#N/A</v>
      </c>
    </row>
    <row r="366">
      <c r="A366" s="51"/>
      <c r="B366" s="52"/>
      <c r="C366" s="53" t="str">
        <f t="shared" si="3"/>
        <v>03/2022</v>
      </c>
      <c r="D366" s="114">
        <v>44631.0</v>
      </c>
      <c r="E366" s="55" t="s">
        <v>494</v>
      </c>
      <c r="F366" s="56"/>
      <c r="G366" s="57" t="s">
        <v>361</v>
      </c>
      <c r="H366" s="58" t="str">
        <f>IF(G366="","",VLOOKUP($G366,'Quy chuẩn hạch toán'!$B:$E,2,0))</f>
        <v>#N/A</v>
      </c>
      <c r="I366" s="58" t="str">
        <f>IF(H366="","",VLOOKUP($G366,'Quy chuẩn hạch toán'!$B:$E,3,0))</f>
        <v>#N/A</v>
      </c>
      <c r="J366" s="59">
        <v>-5.1652176E7</v>
      </c>
      <c r="K366" s="60"/>
      <c r="L366" s="61"/>
      <c r="M366" s="62"/>
      <c r="N366" s="63"/>
      <c r="O366" s="64"/>
      <c r="P366" s="64"/>
      <c r="Q366" s="65"/>
      <c r="R366" s="64"/>
      <c r="S366" s="66"/>
      <c r="T366" s="64"/>
      <c r="U366" s="67"/>
      <c r="V366" s="64"/>
      <c r="W366" s="68"/>
      <c r="X366" s="64"/>
      <c r="Y366" s="69"/>
      <c r="Z366" s="64"/>
      <c r="AA366" s="70" t="s">
        <v>183</v>
      </c>
      <c r="AB366" s="64"/>
      <c r="AC366" s="70" t="s">
        <v>191</v>
      </c>
      <c r="AD366" s="64" t="str">
        <f>IF(AC366&lt;&gt;0,VLOOKUP(AC366,DM_NV,2,0),"")</f>
        <v>Nguyễn Anh Vy</v>
      </c>
      <c r="AE366" s="68"/>
      <c r="AF366" s="64" t="str">
        <f>IF(AE366&lt;&gt;0,VLOOKUP(AE366,DM_NV,2,0),"")</f>
        <v/>
      </c>
    </row>
    <row r="367">
      <c r="A367" s="51"/>
      <c r="B367" s="52"/>
      <c r="C367" s="53" t="str">
        <f t="shared" si="3"/>
        <v>03/2022</v>
      </c>
      <c r="D367" s="114">
        <v>44631.0</v>
      </c>
      <c r="E367" s="55" t="s">
        <v>495</v>
      </c>
      <c r="F367" s="56"/>
      <c r="G367" s="57" t="s">
        <v>361</v>
      </c>
      <c r="H367" s="58" t="str">
        <f>IF(G367="","",VLOOKUP($G367,'Quy chuẩn hạch toán'!$B:$E,2,0))</f>
        <v>#N/A</v>
      </c>
      <c r="I367" s="58" t="str">
        <f>IF(H367="","",VLOOKUP($G367,'Quy chuẩn hạch toán'!$B:$E,3,0))</f>
        <v>#N/A</v>
      </c>
      <c r="J367" s="59">
        <v>-5.3760428E7</v>
      </c>
      <c r="K367" s="60"/>
      <c r="L367" s="61"/>
      <c r="M367" s="62"/>
      <c r="N367" s="63"/>
      <c r="O367" s="64"/>
      <c r="P367" s="64"/>
      <c r="Q367" s="65"/>
      <c r="R367" s="64"/>
      <c r="S367" s="66"/>
      <c r="T367" s="64"/>
      <c r="U367" s="67"/>
      <c r="V367" s="64"/>
      <c r="W367" s="68"/>
      <c r="X367" s="64"/>
      <c r="Y367" s="69"/>
      <c r="Z367" s="64"/>
      <c r="AA367" s="70" t="s">
        <v>183</v>
      </c>
      <c r="AB367" s="64"/>
      <c r="AC367" s="70" t="s">
        <v>335</v>
      </c>
      <c r="AD367" s="64" t="str">
        <f>IF(AC367&lt;&gt;0,VLOOKUP(AC367,DM_NV,2,0),"")</f>
        <v>Trần Phước Thành</v>
      </c>
      <c r="AE367" s="68"/>
      <c r="AF367" s="64" t="str">
        <f>IF(AE367&lt;&gt;0,VLOOKUP(AE367,DM_NV,2,0),"")</f>
        <v/>
      </c>
    </row>
    <row r="368">
      <c r="A368" s="51"/>
      <c r="B368" s="52"/>
      <c r="C368" s="53" t="str">
        <f t="shared" si="3"/>
        <v>03/2022</v>
      </c>
      <c r="D368" s="114">
        <v>44631.0</v>
      </c>
      <c r="E368" s="55" t="s">
        <v>496</v>
      </c>
      <c r="F368" s="56"/>
      <c r="G368" s="57" t="s">
        <v>361</v>
      </c>
      <c r="H368" s="58" t="str">
        <f>IF(G368="","",VLOOKUP($G368,'Quy chuẩn hạch toán'!$B:$E,2,0))</f>
        <v>#N/A</v>
      </c>
      <c r="I368" s="58" t="str">
        <f>IF(H368="","",VLOOKUP($G368,'Quy chuẩn hạch toán'!$B:$E,3,0))</f>
        <v>#N/A</v>
      </c>
      <c r="J368" s="59">
        <v>-2.4167432E7</v>
      </c>
      <c r="K368" s="60"/>
      <c r="L368" s="61"/>
      <c r="M368" s="62"/>
      <c r="N368" s="63"/>
      <c r="O368" s="64"/>
      <c r="P368" s="64"/>
      <c r="Q368" s="65"/>
      <c r="R368" s="64"/>
      <c r="S368" s="66"/>
      <c r="T368" s="64"/>
      <c r="U368" s="67"/>
      <c r="V368" s="64"/>
      <c r="W368" s="68"/>
      <c r="X368" s="64"/>
      <c r="Y368" s="69"/>
      <c r="Z368" s="64"/>
      <c r="AA368" s="70" t="s">
        <v>177</v>
      </c>
      <c r="AB368" s="64"/>
      <c r="AC368" s="70" t="s">
        <v>178</v>
      </c>
      <c r="AD368" s="64" t="str">
        <f>IF(AC368&lt;&gt;0,VLOOKUP(AC368,DM_NV,2,0),"")</f>
        <v>Lê Hoàng Quân</v>
      </c>
      <c r="AE368" s="68"/>
      <c r="AF368" s="64" t="str">
        <f>IF(AE368&lt;&gt;0,VLOOKUP(AE368,DM_NV,2,0),"")</f>
        <v/>
      </c>
    </row>
    <row r="369">
      <c r="A369" s="51"/>
      <c r="B369" s="52"/>
      <c r="C369" s="53" t="str">
        <f t="shared" si="3"/>
        <v>03/2022</v>
      </c>
      <c r="D369" s="114">
        <v>44631.0</v>
      </c>
      <c r="E369" s="55" t="s">
        <v>497</v>
      </c>
      <c r="F369" s="56"/>
      <c r="G369" s="57" t="s">
        <v>361</v>
      </c>
      <c r="H369" s="58" t="str">
        <f>IF(G369="","",VLOOKUP($G369,'Quy chuẩn hạch toán'!$B:$E,2,0))</f>
        <v>#N/A</v>
      </c>
      <c r="I369" s="58" t="str">
        <f>IF(H369="","",VLOOKUP($G369,'Quy chuẩn hạch toán'!$B:$E,3,0))</f>
        <v>#N/A</v>
      </c>
      <c r="J369" s="59">
        <v>-2.5153858E7</v>
      </c>
      <c r="K369" s="60"/>
      <c r="L369" s="61"/>
      <c r="M369" s="62"/>
      <c r="N369" s="63"/>
      <c r="O369" s="64"/>
      <c r="P369" s="64"/>
      <c r="Q369" s="65"/>
      <c r="R369" s="64"/>
      <c r="S369" s="66"/>
      <c r="T369" s="64"/>
      <c r="U369" s="67"/>
      <c r="V369" s="64"/>
      <c r="W369" s="68"/>
      <c r="X369" s="64"/>
      <c r="Y369" s="69"/>
      <c r="Z369" s="64"/>
      <c r="AA369" s="70" t="s">
        <v>177</v>
      </c>
      <c r="AB369" s="64"/>
      <c r="AC369" s="70" t="s">
        <v>335</v>
      </c>
      <c r="AD369" s="64" t="str">
        <f>IF(AC369&lt;&gt;0,VLOOKUP(AC369,DM_NV,2,0),"")</f>
        <v>Trần Phước Thành</v>
      </c>
      <c r="AE369" s="68"/>
      <c r="AF369" s="64" t="str">
        <f>IF(AE369&lt;&gt;0,VLOOKUP(AE369,DM_NV,2,0),"")</f>
        <v/>
      </c>
    </row>
    <row r="370">
      <c r="A370" s="51"/>
      <c r="B370" s="52"/>
      <c r="C370" s="53" t="str">
        <f t="shared" si="3"/>
        <v>03/2022</v>
      </c>
      <c r="D370" s="114">
        <v>44631.0</v>
      </c>
      <c r="E370" s="55" t="s">
        <v>498</v>
      </c>
      <c r="F370" s="56"/>
      <c r="G370" s="57" t="s">
        <v>361</v>
      </c>
      <c r="H370" s="58" t="str">
        <f>IF(G370="","",VLOOKUP($G370,'Quy chuẩn hạch toán'!$B:$E,2,0))</f>
        <v>#N/A</v>
      </c>
      <c r="I370" s="58" t="str">
        <f>IF(H370="","",VLOOKUP($G370,'Quy chuẩn hạch toán'!$B:$E,3,0))</f>
        <v>#N/A</v>
      </c>
      <c r="J370" s="59">
        <v>-8004426.0</v>
      </c>
      <c r="K370" s="60"/>
      <c r="L370" s="61"/>
      <c r="M370" s="62"/>
      <c r="N370" s="63"/>
      <c r="O370" s="64"/>
      <c r="P370" s="64"/>
      <c r="Q370" s="65"/>
      <c r="R370" s="64"/>
      <c r="S370" s="66"/>
      <c r="T370" s="64"/>
      <c r="U370" s="67"/>
      <c r="V370" s="64"/>
      <c r="W370" s="68"/>
      <c r="X370" s="64"/>
      <c r="Y370" s="69"/>
      <c r="Z370" s="64"/>
      <c r="AA370" s="70" t="s">
        <v>208</v>
      </c>
      <c r="AB370" s="64"/>
      <c r="AC370" s="70" t="s">
        <v>217</v>
      </c>
      <c r="AD370" s="64" t="str">
        <f>IF(AC370&lt;&gt;0,VLOOKUP(AC370,DM_NV,2,0),"")</f>
        <v>Nguyễn Thị Mai Thu</v>
      </c>
      <c r="AE370" s="68"/>
      <c r="AF370" s="64" t="str">
        <f>IF(AE370&lt;&gt;0,VLOOKUP(AE370,DM_NV,2,0),"")</f>
        <v/>
      </c>
    </row>
    <row r="371">
      <c r="A371" s="51"/>
      <c r="B371" s="52"/>
      <c r="C371" s="53" t="str">
        <f t="shared" si="3"/>
        <v>03/2022</v>
      </c>
      <c r="D371" s="114">
        <v>44631.0</v>
      </c>
      <c r="E371" s="55" t="s">
        <v>499</v>
      </c>
      <c r="F371" s="56"/>
      <c r="G371" s="57" t="s">
        <v>361</v>
      </c>
      <c r="H371" s="58" t="str">
        <f>IF(G371="","",VLOOKUP($G371,'Quy chuẩn hạch toán'!$B:$E,2,0))</f>
        <v>#N/A</v>
      </c>
      <c r="I371" s="58" t="str">
        <f>IF(H371="","",VLOOKUP($G371,'Quy chuẩn hạch toán'!$B:$E,3,0))</f>
        <v>#N/A</v>
      </c>
      <c r="J371" s="59">
        <v>-8331138.0</v>
      </c>
      <c r="K371" s="60"/>
      <c r="L371" s="61"/>
      <c r="M371" s="62"/>
      <c r="N371" s="63"/>
      <c r="O371" s="64"/>
      <c r="P371" s="64"/>
      <c r="Q371" s="65"/>
      <c r="R371" s="64"/>
      <c r="S371" s="66"/>
      <c r="T371" s="64"/>
      <c r="U371" s="67"/>
      <c r="V371" s="64"/>
      <c r="W371" s="68"/>
      <c r="X371" s="64"/>
      <c r="Y371" s="69"/>
      <c r="Z371" s="64"/>
      <c r="AA371" s="70" t="s">
        <v>208</v>
      </c>
      <c r="AB371" s="64"/>
      <c r="AC371" s="70" t="s">
        <v>335</v>
      </c>
      <c r="AD371" s="64" t="str">
        <f>IF(AC371&lt;&gt;0,VLOOKUP(AC371,DM_NV,2,0),"")</f>
        <v>Trần Phước Thành</v>
      </c>
      <c r="AE371" s="68"/>
      <c r="AF371" s="64" t="str">
        <f>IF(AE371&lt;&gt;0,VLOOKUP(AE371,DM_NV,2,0),"")</f>
        <v/>
      </c>
    </row>
    <row r="372">
      <c r="A372" s="51"/>
      <c r="B372" s="52"/>
      <c r="C372" s="53" t="str">
        <f t="shared" si="3"/>
        <v>03/2022</v>
      </c>
      <c r="D372" s="114">
        <v>44631.0</v>
      </c>
      <c r="E372" s="55" t="s">
        <v>500</v>
      </c>
      <c r="F372" s="56"/>
      <c r="G372" s="57" t="s">
        <v>361</v>
      </c>
      <c r="H372" s="58" t="str">
        <f>IF(G372="","",VLOOKUP($G372,'Quy chuẩn hạch toán'!$B:$E,2,0))</f>
        <v>#N/A</v>
      </c>
      <c r="I372" s="58" t="str">
        <f>IF(H372="","",VLOOKUP($G372,'Quy chuẩn hạch toán'!$B:$E,3,0))</f>
        <v>#N/A</v>
      </c>
      <c r="J372" s="59">
        <v>3.3674706E7</v>
      </c>
      <c r="K372" s="60"/>
      <c r="L372" s="61"/>
      <c r="M372" s="62"/>
      <c r="N372" s="63"/>
      <c r="O372" s="64"/>
      <c r="P372" s="64"/>
      <c r="Q372" s="65"/>
      <c r="R372" s="64"/>
      <c r="S372" s="66"/>
      <c r="T372" s="64"/>
      <c r="U372" s="67"/>
      <c r="V372" s="64"/>
      <c r="W372" s="68"/>
      <c r="X372" s="64"/>
      <c r="Y372" s="69"/>
      <c r="Z372" s="64"/>
      <c r="AA372" s="70" t="s">
        <v>210</v>
      </c>
      <c r="AB372" s="64"/>
      <c r="AC372" s="70" t="s">
        <v>335</v>
      </c>
      <c r="AD372" s="64" t="str">
        <f>IF(AC372&lt;&gt;0,VLOOKUP(AC372,DM_NV,2,0),"")</f>
        <v>Trần Phước Thành</v>
      </c>
      <c r="AE372" s="68"/>
      <c r="AF372" s="64" t="str">
        <f>IF(AE372&lt;&gt;0,VLOOKUP(AE372,DM_NV,2,0),"")</f>
        <v/>
      </c>
    </row>
    <row r="373">
      <c r="A373" s="51"/>
      <c r="B373" s="52"/>
      <c r="C373" s="53" t="str">
        <f t="shared" si="3"/>
        <v>03/2022</v>
      </c>
      <c r="D373" s="133">
        <v>44622.0</v>
      </c>
      <c r="E373" s="134" t="s">
        <v>501</v>
      </c>
      <c r="F373" s="112"/>
      <c r="G373" s="109" t="s">
        <v>371</v>
      </c>
      <c r="H373" s="58" t="str">
        <f>IF(G373="","",VLOOKUP($G373,'Quy chuẩn hạch toán'!$B:$E,2,0))</f>
        <v>642</v>
      </c>
      <c r="I373" s="58" t="str">
        <f>IF(H373="","",VLOOKUP($G373,'Quy chuẩn hạch toán'!$B:$E,3,0))</f>
        <v>1111</v>
      </c>
      <c r="J373" s="95">
        <v>1000000.0</v>
      </c>
      <c r="K373" s="60"/>
      <c r="L373" s="61"/>
      <c r="M373" s="62"/>
      <c r="N373" s="63"/>
      <c r="O373" s="64"/>
      <c r="P373" s="64"/>
      <c r="Q373" s="65" t="s">
        <v>382</v>
      </c>
      <c r="R373" s="64"/>
      <c r="S373" s="66"/>
      <c r="T373" s="64"/>
      <c r="U373" s="67"/>
      <c r="V373" s="64"/>
      <c r="W373" s="68"/>
      <c r="X373" s="64"/>
      <c r="Y373" s="69"/>
      <c r="Z373" s="64"/>
      <c r="AA373" s="70"/>
      <c r="AB373" s="64"/>
      <c r="AC373" s="70"/>
      <c r="AD373" s="64" t="str">
        <f>IF(AC373&lt;&gt;0,VLOOKUP(AC373,DM_NV,2,0),"")</f>
        <v/>
      </c>
      <c r="AE373" s="83" t="s">
        <v>263</v>
      </c>
      <c r="AF373" s="64" t="str">
        <f>IF(AE373&lt;&gt;0,VLOOKUP(AE373,DM_NV,2,0),"")</f>
        <v>#N/A</v>
      </c>
    </row>
    <row r="374">
      <c r="A374" s="51"/>
      <c r="B374" s="52"/>
      <c r="C374" s="53" t="str">
        <f t="shared" si="3"/>
        <v>03/2022</v>
      </c>
      <c r="D374" s="133">
        <v>44625.0</v>
      </c>
      <c r="E374" s="134" t="s">
        <v>502</v>
      </c>
      <c r="F374" s="112"/>
      <c r="G374" s="57" t="s">
        <v>373</v>
      </c>
      <c r="H374" s="58" t="str">
        <f>IF(G374="","",VLOOKUP($G374,'Quy chuẩn hạch toán'!$B:$E,2,0))</f>
        <v>641</v>
      </c>
      <c r="I374" s="58" t="str">
        <f>IF(H374="","",VLOOKUP($G374,'Quy chuẩn hạch toán'!$B:$E,3,0))</f>
        <v>1111</v>
      </c>
      <c r="J374" s="95">
        <v>2700000.0</v>
      </c>
      <c r="K374" s="60"/>
      <c r="L374" s="61"/>
      <c r="M374" s="62"/>
      <c r="N374" s="63"/>
      <c r="O374" s="64"/>
      <c r="P374" s="64"/>
      <c r="Q374" s="65" t="s">
        <v>374</v>
      </c>
      <c r="R374" s="64"/>
      <c r="S374" s="66"/>
      <c r="T374" s="64"/>
      <c r="U374" s="67"/>
      <c r="V374" s="64"/>
      <c r="W374" s="68"/>
      <c r="X374" s="64"/>
      <c r="Y374" s="69"/>
      <c r="Z374" s="64"/>
      <c r="AA374" s="70"/>
      <c r="AB374" s="64"/>
      <c r="AC374" s="70"/>
      <c r="AD374" s="64" t="str">
        <f>IF(AC374&lt;&gt;0,VLOOKUP(AC374,DM_NV,2,0),"")</f>
        <v/>
      </c>
      <c r="AE374" s="83" t="s">
        <v>375</v>
      </c>
      <c r="AF374" s="64" t="str">
        <f>IF(AE374&lt;&gt;0,VLOOKUP(AE374,DM_NV,2,0),"")</f>
        <v>#N/A</v>
      </c>
    </row>
    <row r="375">
      <c r="A375" s="51"/>
      <c r="B375" s="52"/>
      <c r="C375" s="53" t="str">
        <f t="shared" si="3"/>
        <v>03/2022</v>
      </c>
      <c r="D375" s="133">
        <v>44625.0</v>
      </c>
      <c r="E375" s="134" t="s">
        <v>503</v>
      </c>
      <c r="F375" s="112"/>
      <c r="G375" s="57" t="s">
        <v>504</v>
      </c>
      <c r="H375" s="58" t="str">
        <f>IF(G375="","",VLOOKUP($G375,'Quy chuẩn hạch toán'!$B:$E,2,0))</f>
        <v>641</v>
      </c>
      <c r="I375" s="58" t="str">
        <f>IF(H375="","",VLOOKUP($G375,'Quy chuẩn hạch toán'!$B:$E,3,0))</f>
        <v>1111</v>
      </c>
      <c r="J375" s="95">
        <v>1000000.0</v>
      </c>
      <c r="K375" s="60"/>
      <c r="L375" s="61"/>
      <c r="M375" s="62"/>
      <c r="N375" s="63"/>
      <c r="O375" s="64"/>
      <c r="P375" s="64"/>
      <c r="Q375" s="65" t="s">
        <v>419</v>
      </c>
      <c r="R375" s="64"/>
      <c r="S375" s="66"/>
      <c r="T375" s="64"/>
      <c r="U375" s="67"/>
      <c r="V375" s="64"/>
      <c r="W375" s="68"/>
      <c r="X375" s="64"/>
      <c r="Y375" s="69"/>
      <c r="Z375" s="64"/>
      <c r="AA375" s="70"/>
      <c r="AB375" s="64"/>
      <c r="AC375" s="70"/>
      <c r="AD375" s="64" t="str">
        <f>IF(AC375&lt;&gt;0,VLOOKUP(AC375,DM_NV,2,0),"")</f>
        <v/>
      </c>
      <c r="AE375" s="83" t="s">
        <v>258</v>
      </c>
      <c r="AF375" s="64" t="str">
        <f>IF(AE375&lt;&gt;0,VLOOKUP(AE375,DM_NV,2,0),"")</f>
        <v>#N/A</v>
      </c>
    </row>
    <row r="376">
      <c r="A376" s="51"/>
      <c r="B376" s="52"/>
      <c r="C376" s="53" t="str">
        <f t="shared" si="3"/>
        <v>03/2022</v>
      </c>
      <c r="D376" s="133">
        <v>44628.0</v>
      </c>
      <c r="E376" s="115" t="s">
        <v>505</v>
      </c>
      <c r="F376" s="108"/>
      <c r="G376" s="90"/>
      <c r="H376" s="58" t="str">
        <f>IF(G376="","",VLOOKUP($G376,'Quy chuẩn hạch toán'!$B:$E,2,0))</f>
        <v/>
      </c>
      <c r="I376" s="58" t="str">
        <f>IF(H376="","",VLOOKUP($G376,'Quy chuẩn hạch toán'!$B:$E,3,0))</f>
        <v/>
      </c>
      <c r="J376" s="95">
        <v>1750000.0</v>
      </c>
      <c r="K376" s="60"/>
      <c r="L376" s="61"/>
      <c r="M376" s="62"/>
      <c r="N376" s="63"/>
      <c r="O376" s="64"/>
      <c r="P376" s="64"/>
      <c r="Q376" s="65"/>
      <c r="R376" s="64"/>
      <c r="S376" s="66"/>
      <c r="T376" s="64"/>
      <c r="U376" s="67"/>
      <c r="V376" s="64"/>
      <c r="W376" s="68"/>
      <c r="X376" s="64"/>
      <c r="Y376" s="69"/>
      <c r="Z376" s="64"/>
      <c r="AA376" s="70"/>
      <c r="AB376" s="64"/>
      <c r="AC376" s="70"/>
      <c r="AD376" s="64" t="str">
        <f>IF(AC376&lt;&gt;0,VLOOKUP(AC376,DM_NV,2,0),"")</f>
        <v/>
      </c>
      <c r="AE376" s="83" t="s">
        <v>506</v>
      </c>
      <c r="AF376" s="64" t="str">
        <f>IF(AE376&lt;&gt;0,VLOOKUP(AE376,DM_NV,2,0),"")</f>
        <v>#N/A</v>
      </c>
    </row>
    <row r="377">
      <c r="A377" s="51"/>
      <c r="B377" s="52"/>
      <c r="C377" s="53" t="str">
        <f t="shared" si="3"/>
        <v>03/2022</v>
      </c>
      <c r="D377" s="133">
        <v>44630.0</v>
      </c>
      <c r="E377" s="134" t="s">
        <v>507</v>
      </c>
      <c r="F377" s="112"/>
      <c r="G377" s="57" t="s">
        <v>251</v>
      </c>
      <c r="H377" s="58" t="str">
        <f>IF(G377="","",VLOOKUP($G377,'Quy chuẩn hạch toán'!$B:$E,2,0))</f>
        <v>641</v>
      </c>
      <c r="I377" s="58" t="str">
        <f>IF(H377="","",VLOOKUP($G377,'Quy chuẩn hạch toán'!$B:$E,3,0))</f>
        <v>1111</v>
      </c>
      <c r="J377" s="95">
        <v>1000000.0</v>
      </c>
      <c r="K377" s="60"/>
      <c r="L377" s="61"/>
      <c r="M377" s="62"/>
      <c r="N377" s="63"/>
      <c r="O377" s="64"/>
      <c r="P377" s="64"/>
      <c r="Q377" s="65" t="s">
        <v>252</v>
      </c>
      <c r="R377" s="64"/>
      <c r="S377" s="66"/>
      <c r="T377" s="64"/>
      <c r="U377" s="67"/>
      <c r="V377" s="64"/>
      <c r="W377" s="68"/>
      <c r="X377" s="64"/>
      <c r="Y377" s="69"/>
      <c r="Z377" s="64"/>
      <c r="AA377" s="70"/>
      <c r="AB377" s="64"/>
      <c r="AC377" s="70"/>
      <c r="AD377" s="64" t="str">
        <f>IF(AC377&lt;&gt;0,VLOOKUP(AC377,DM_NV,2,0),"")</f>
        <v/>
      </c>
      <c r="AE377" s="83" t="s">
        <v>258</v>
      </c>
      <c r="AF377" s="64" t="str">
        <f>IF(AE377&lt;&gt;0,VLOOKUP(AE377,DM_NV,2,0),"")</f>
        <v>#N/A</v>
      </c>
    </row>
    <row r="378">
      <c r="A378" s="51"/>
      <c r="B378" s="52"/>
      <c r="C378" s="53" t="str">
        <f t="shared" si="3"/>
        <v>03/2022</v>
      </c>
      <c r="D378" s="133">
        <v>44630.0</v>
      </c>
      <c r="E378" s="134" t="s">
        <v>508</v>
      </c>
      <c r="F378" s="112"/>
      <c r="G378" s="57" t="s">
        <v>251</v>
      </c>
      <c r="H378" s="58" t="str">
        <f>IF(G378="","",VLOOKUP($G378,'Quy chuẩn hạch toán'!$B:$E,2,0))</f>
        <v>641</v>
      </c>
      <c r="I378" s="58" t="str">
        <f>IF(H378="","",VLOOKUP($G378,'Quy chuẩn hạch toán'!$B:$E,3,0))</f>
        <v>1111</v>
      </c>
      <c r="J378" s="95">
        <v>500000.0</v>
      </c>
      <c r="K378" s="60"/>
      <c r="L378" s="61"/>
      <c r="M378" s="62"/>
      <c r="N378" s="63"/>
      <c r="O378" s="64"/>
      <c r="P378" s="64"/>
      <c r="Q378" s="65" t="s">
        <v>252</v>
      </c>
      <c r="R378" s="64"/>
      <c r="S378" s="66"/>
      <c r="T378" s="64"/>
      <c r="U378" s="67"/>
      <c r="V378" s="64"/>
      <c r="W378" s="68"/>
      <c r="X378" s="64"/>
      <c r="Y378" s="69"/>
      <c r="Z378" s="64"/>
      <c r="AA378" s="70"/>
      <c r="AB378" s="64"/>
      <c r="AC378" s="70"/>
      <c r="AD378" s="64" t="str">
        <f>IF(AC378&lt;&gt;0,VLOOKUP(AC378,DM_NV,2,0),"")</f>
        <v/>
      </c>
      <c r="AE378" s="83" t="s">
        <v>258</v>
      </c>
      <c r="AF378" s="64" t="str">
        <f>IF(AE378&lt;&gt;0,VLOOKUP(AE378,DM_NV,2,0),"")</f>
        <v>#N/A</v>
      </c>
    </row>
    <row r="379">
      <c r="A379" s="51"/>
      <c r="B379" s="52"/>
      <c r="C379" s="53" t="str">
        <f t="shared" si="3"/>
        <v>03/2022</v>
      </c>
      <c r="D379" s="54">
        <v>44630.0</v>
      </c>
      <c r="E379" s="135" t="s">
        <v>509</v>
      </c>
      <c r="F379" s="136"/>
      <c r="G379" s="57" t="s">
        <v>510</v>
      </c>
      <c r="H379" s="58" t="str">
        <f>IF(G379="","",VLOOKUP($G379,'Quy chuẩn hạch toán'!$B:$E,2,0))</f>
        <v>642</v>
      </c>
      <c r="I379" s="58" t="str">
        <f>IF(H379="","",VLOOKUP($G379,'Quy chuẩn hạch toán'!$B:$E,3,0))</f>
        <v>1111</v>
      </c>
      <c r="J379" s="95">
        <v>2378000.0</v>
      </c>
      <c r="K379" s="60"/>
      <c r="L379" s="61"/>
      <c r="M379" s="62"/>
      <c r="N379" s="63"/>
      <c r="O379" s="64"/>
      <c r="P379" s="64"/>
      <c r="Q379" s="65" t="s">
        <v>382</v>
      </c>
      <c r="R379" s="64"/>
      <c r="S379" s="66"/>
      <c r="T379" s="64"/>
      <c r="U379" s="67"/>
      <c r="V379" s="64"/>
      <c r="W379" s="68"/>
      <c r="X379" s="64"/>
      <c r="Y379" s="69"/>
      <c r="Z379" s="64"/>
      <c r="AA379" s="70"/>
      <c r="AB379" s="64"/>
      <c r="AC379" s="70"/>
      <c r="AD379" s="64" t="str">
        <f>IF(AC379&lt;&gt;0,VLOOKUP(AC379,DM_NV,2,0),"")</f>
        <v/>
      </c>
      <c r="AE379" s="83" t="s">
        <v>263</v>
      </c>
      <c r="AF379" s="64" t="str">
        <f>IF(AE379&lt;&gt;0,VLOOKUP(AE379,DM_NV,2,0),"")</f>
        <v>#N/A</v>
      </c>
    </row>
    <row r="380">
      <c r="A380" s="51"/>
      <c r="B380" s="52"/>
      <c r="C380" s="53" t="str">
        <f t="shared" si="3"/>
        <v>03/2022</v>
      </c>
      <c r="D380" s="133">
        <v>44630.0</v>
      </c>
      <c r="E380" s="134" t="s">
        <v>511</v>
      </c>
      <c r="F380" s="112"/>
      <c r="G380" s="137" t="s">
        <v>306</v>
      </c>
      <c r="H380" s="58" t="str">
        <f>IF(G380="","",VLOOKUP($G380,'Quy chuẩn hạch toán'!$B:$E,2,0))</f>
        <v>3338</v>
      </c>
      <c r="I380" s="58" t="str">
        <f>IF(H380="","",VLOOKUP($G380,'Quy chuẩn hạch toán'!$B:$E,3,0))</f>
        <v>1111</v>
      </c>
      <c r="J380" s="95">
        <v>1000000.0</v>
      </c>
      <c r="K380" s="60"/>
      <c r="L380" s="61"/>
      <c r="M380" s="62"/>
      <c r="N380" s="63"/>
      <c r="O380" s="64"/>
      <c r="P380" s="64"/>
      <c r="Q380" s="65" t="s">
        <v>307</v>
      </c>
      <c r="R380" s="64"/>
      <c r="S380" s="66"/>
      <c r="T380" s="64"/>
      <c r="U380" s="67"/>
      <c r="V380" s="64"/>
      <c r="W380" s="68"/>
      <c r="X380" s="64"/>
      <c r="Y380" s="69"/>
      <c r="Z380" s="64"/>
      <c r="AA380" s="70"/>
      <c r="AB380" s="64"/>
      <c r="AC380" s="70"/>
      <c r="AD380" s="64" t="str">
        <f>IF(AC380&lt;&gt;0,VLOOKUP(AC380,DM_NV,2,0),"")</f>
        <v/>
      </c>
      <c r="AE380" s="83" t="s">
        <v>308</v>
      </c>
      <c r="AF380" s="64" t="str">
        <f>IF(AE380&lt;&gt;0,VLOOKUP(AE380,DM_NV,2,0),"")</f>
        <v>#N/A</v>
      </c>
    </row>
    <row r="381">
      <c r="A381" s="51"/>
      <c r="B381" s="52"/>
      <c r="C381" s="53" t="str">
        <f t="shared" si="3"/>
        <v>03/2022</v>
      </c>
      <c r="D381" s="133">
        <v>44635.0</v>
      </c>
      <c r="E381" s="134" t="s">
        <v>512</v>
      </c>
      <c r="F381" s="112"/>
      <c r="G381" s="57" t="s">
        <v>371</v>
      </c>
      <c r="H381" s="58" t="str">
        <f>IF(G381="","",VLOOKUP($G381,'Quy chuẩn hạch toán'!$B:$E,2,0))</f>
        <v>642</v>
      </c>
      <c r="I381" s="58" t="str">
        <f>IF(H381="","",VLOOKUP($G381,'Quy chuẩn hạch toán'!$B:$E,3,0))</f>
        <v>1111</v>
      </c>
      <c r="J381" s="95">
        <f>10000000+8000000+2000000</f>
        <v>20000000</v>
      </c>
      <c r="K381" s="60"/>
      <c r="L381" s="61"/>
      <c r="M381" s="62"/>
      <c r="N381" s="63"/>
      <c r="O381" s="64"/>
      <c r="P381" s="64"/>
      <c r="Q381" s="65" t="s">
        <v>267</v>
      </c>
      <c r="R381" s="64"/>
      <c r="S381" s="66"/>
      <c r="T381" s="64"/>
      <c r="U381" s="67"/>
      <c r="V381" s="64"/>
      <c r="W381" s="68"/>
      <c r="X381" s="64"/>
      <c r="Y381" s="69"/>
      <c r="Z381" s="64"/>
      <c r="AA381" s="70"/>
      <c r="AB381" s="64"/>
      <c r="AC381" s="70"/>
      <c r="AD381" s="64" t="str">
        <f>IF(AC381&lt;&gt;0,VLOOKUP(AC381,DM_NV,2,0),"")</f>
        <v/>
      </c>
      <c r="AE381" s="83" t="s">
        <v>256</v>
      </c>
      <c r="AF381" s="64" t="str">
        <f>IF(AE381&lt;&gt;0,VLOOKUP(AE381,DM_NV,2,0),"")</f>
        <v>#N/A</v>
      </c>
    </row>
    <row r="382">
      <c r="A382" s="51"/>
      <c r="B382" s="52"/>
      <c r="C382" s="53" t="str">
        <f t="shared" si="3"/>
        <v>03/2022</v>
      </c>
      <c r="D382" s="133">
        <v>44621.0</v>
      </c>
      <c r="E382" s="115" t="s">
        <v>513</v>
      </c>
      <c r="F382" s="108"/>
      <c r="G382" s="57" t="s">
        <v>205</v>
      </c>
      <c r="H382" s="58" t="str">
        <f>IF(G382="","",VLOOKUP($G382,'Quy chuẩn hạch toán'!$B:$E,2,0))</f>
        <v>642</v>
      </c>
      <c r="I382" s="58" t="str">
        <f>IF(H382="","",VLOOKUP($G382,'Quy chuẩn hạch toán'!$B:$E,3,0))</f>
        <v>1111</v>
      </c>
      <c r="J382" s="59">
        <v>12500.0</v>
      </c>
      <c r="K382" s="60"/>
      <c r="L382" s="61"/>
      <c r="M382" s="62"/>
      <c r="N382" s="63"/>
      <c r="O382" s="64" t="str">
        <f>IF($Q382&lt;&gt;0,VLOOKUP($Q382,DM_KM,3,0),"")</f>
        <v>#N/A</v>
      </c>
      <c r="P382" s="64" t="str">
        <f>IF($Q382&lt;&gt;0,VLOOKUP($Q382,DM_KM,5,0),"")</f>
        <v>#N/A</v>
      </c>
      <c r="Q382" s="65" t="s">
        <v>222</v>
      </c>
      <c r="R382" s="64" t="str">
        <f>IF(S382&lt;&gt;0,VLOOKUP(S382,DM_DUAN,3,0),"")</f>
        <v>#N/A</v>
      </c>
      <c r="S382" s="66" t="str">
        <f>IF(U382&lt;&gt;0,VLOOKUP(U382,DM_DUAN,3,0),"")</f>
        <v/>
      </c>
      <c r="T382" s="64"/>
      <c r="U382" s="93"/>
      <c r="V382" s="64" t="str">
        <f>IF(W382&lt;&gt;0,VLOOKUP(W382,DM_DUAN,3,0),"")</f>
        <v/>
      </c>
      <c r="W382" s="68"/>
      <c r="X382" s="64" t="str">
        <f>IF(Y382&lt;&gt;0,VLOOKUP(Y382,DM_DUAN,3,0),"")</f>
        <v>#N/A</v>
      </c>
      <c r="Y382" s="69" t="s">
        <v>207</v>
      </c>
      <c r="Z382" s="64" t="str">
        <f>IF(AA382&lt;&gt;0,VLOOKUP(AA382,DM_DUAN,3,0),"")</f>
        <v>#N/A</v>
      </c>
      <c r="AA382" s="70" t="s">
        <v>177</v>
      </c>
      <c r="AB382" s="64" t="str">
        <f>IF(AC382&lt;&gt;0,VLOOKUP(AC382,DM_DUAN,3,0),"")</f>
        <v/>
      </c>
      <c r="AC382" s="85"/>
      <c r="AD382" s="64" t="str">
        <f>IF(AC382&lt;&gt;0,VLOOKUP(AC382,DM_NV,2,0),"")</f>
        <v/>
      </c>
      <c r="AE382" s="83" t="s">
        <v>223</v>
      </c>
      <c r="AF382" s="64" t="str">
        <f>IF(AE382&lt;&gt;0,VLOOKUP(AE382,DM_NV,2,0),"")</f>
        <v>#N/A</v>
      </c>
    </row>
    <row r="383">
      <c r="A383" s="51"/>
      <c r="B383" s="52"/>
      <c r="C383" s="53" t="str">
        <f t="shared" si="3"/>
        <v>03/2022</v>
      </c>
      <c r="D383" s="133">
        <v>44621.0</v>
      </c>
      <c r="E383" s="115" t="s">
        <v>513</v>
      </c>
      <c r="F383" s="108"/>
      <c r="G383" s="57" t="s">
        <v>205</v>
      </c>
      <c r="H383" s="58" t="str">
        <f>IF(G383="","",VLOOKUP($G383,'Quy chuẩn hạch toán'!$B:$E,2,0))</f>
        <v>642</v>
      </c>
      <c r="I383" s="58" t="str">
        <f>IF(H383="","",VLOOKUP($G383,'Quy chuẩn hạch toán'!$B:$E,3,0))</f>
        <v>1111</v>
      </c>
      <c r="J383" s="59">
        <v>12500.0</v>
      </c>
      <c r="K383" s="60"/>
      <c r="L383" s="61"/>
      <c r="M383" s="62"/>
      <c r="N383" s="63"/>
      <c r="O383" s="64" t="str">
        <f>IF($Q383&lt;&gt;0,VLOOKUP($Q383,DM_KM,3,0),"")</f>
        <v>#N/A</v>
      </c>
      <c r="P383" s="64" t="str">
        <f>IF($Q383&lt;&gt;0,VLOOKUP($Q383,DM_KM,5,0),"")</f>
        <v>#N/A</v>
      </c>
      <c r="Q383" s="89" t="s">
        <v>222</v>
      </c>
      <c r="R383" s="64" t="str">
        <f>IF(S383&lt;&gt;0,VLOOKUP(S383,DM_DUAN,3,0),"")</f>
        <v>#N/A</v>
      </c>
      <c r="S383" s="66" t="str">
        <f>IF(U383&lt;&gt;0,VLOOKUP(U383,DM_DUAN,3,0),"")</f>
        <v/>
      </c>
      <c r="T383" s="64"/>
      <c r="U383" s="93"/>
      <c r="V383" s="64" t="str">
        <f>IF(W383&lt;&gt;0,VLOOKUP(W383,DM_DUAN,3,0),"")</f>
        <v/>
      </c>
      <c r="W383" s="68"/>
      <c r="X383" s="64" t="str">
        <f>IF(Y383&lt;&gt;0,VLOOKUP(Y383,DM_DUAN,3,0),"")</f>
        <v>#N/A</v>
      </c>
      <c r="Y383" s="69" t="s">
        <v>207</v>
      </c>
      <c r="Z383" s="64" t="str">
        <f>IF(AA383&lt;&gt;0,VLOOKUP(AA383,DM_DUAN,3,0),"")</f>
        <v>#N/A</v>
      </c>
      <c r="AA383" s="131" t="s">
        <v>210</v>
      </c>
      <c r="AB383" s="64" t="str">
        <f>IF(AC383&lt;&gt;0,VLOOKUP(AC383,DM_DUAN,3,0),"")</f>
        <v/>
      </c>
      <c r="AC383" s="85"/>
      <c r="AD383" s="64" t="str">
        <f>IF(AC383&lt;&gt;0,VLOOKUP(AC383,DM_NV,2,0),"")</f>
        <v/>
      </c>
      <c r="AE383" s="83" t="s">
        <v>223</v>
      </c>
      <c r="AF383" s="64" t="str">
        <f>IF(AE383&lt;&gt;0,VLOOKUP(AE383,DM_NV,2,0),"")</f>
        <v>#N/A</v>
      </c>
    </row>
    <row r="384">
      <c r="A384" s="51"/>
      <c r="B384" s="52"/>
      <c r="C384" s="53" t="str">
        <f t="shared" si="3"/>
        <v>03/2022</v>
      </c>
      <c r="D384" s="54">
        <v>44621.0</v>
      </c>
      <c r="E384" s="125" t="s">
        <v>513</v>
      </c>
      <c r="F384" s="126"/>
      <c r="G384" s="57" t="s">
        <v>205</v>
      </c>
      <c r="H384" s="58" t="str">
        <f>IF(G384="","",VLOOKUP($G384,'Quy chuẩn hạch toán'!$B:$E,2,0))</f>
        <v>642</v>
      </c>
      <c r="I384" s="58" t="str">
        <f>IF(H384="","",VLOOKUP($G384,'Quy chuẩn hạch toán'!$B:$E,3,0))</f>
        <v>1111</v>
      </c>
      <c r="J384" s="59">
        <v>3571.0</v>
      </c>
      <c r="K384" s="60"/>
      <c r="L384" s="61"/>
      <c r="M384" s="62"/>
      <c r="N384" s="63"/>
      <c r="O384" s="64" t="str">
        <f>IF($Q384&lt;&gt;0,VLOOKUP($Q384,DM_KM,3,0),"")</f>
        <v>#N/A</v>
      </c>
      <c r="P384" s="64" t="str">
        <f>IF($Q384&lt;&gt;0,VLOOKUP($Q384,DM_KM,5,0),"")</f>
        <v>#N/A</v>
      </c>
      <c r="Q384" s="89" t="s">
        <v>222</v>
      </c>
      <c r="R384" s="64" t="str">
        <f>IF(S384&lt;&gt;0,VLOOKUP(S384,DM_DUAN,3,0),"")</f>
        <v>#N/A</v>
      </c>
      <c r="S384" s="66" t="str">
        <f>IF(U384&lt;&gt;0,VLOOKUP(U384,DM_DUAN,3,0),"")</f>
        <v/>
      </c>
      <c r="T384" s="64"/>
      <c r="U384" s="93"/>
      <c r="V384" s="64" t="str">
        <f>IF(W384&lt;&gt;0,VLOOKUP(W384,DM_DUAN,3,0),"")</f>
        <v/>
      </c>
      <c r="W384" s="68"/>
      <c r="X384" s="64" t="str">
        <f>IF(Y384&lt;&gt;0,VLOOKUP(Y384,DM_DUAN,3,0),"")</f>
        <v>#N/A</v>
      </c>
      <c r="Y384" s="69" t="s">
        <v>207</v>
      </c>
      <c r="Z384" s="64" t="str">
        <f>IF(AA384&lt;&gt;0,VLOOKUP(AA384,DM_DUAN,3,0),"")</f>
        <v>#N/A</v>
      </c>
      <c r="AA384" s="70" t="s">
        <v>514</v>
      </c>
      <c r="AB384" s="64" t="str">
        <f>IF(AC384&lt;&gt;0,VLOOKUP(AC384,DM_DUAN,3,0),"")</f>
        <v/>
      </c>
      <c r="AC384" s="85"/>
      <c r="AD384" s="64" t="str">
        <f>IF(AC384&lt;&gt;0,VLOOKUP(AC384,DM_NV,2,0),"")</f>
        <v/>
      </c>
      <c r="AE384" s="83" t="s">
        <v>223</v>
      </c>
      <c r="AF384" s="64" t="str">
        <f>IF(AE384&lt;&gt;0,VLOOKUP(AE384,DM_NV,2,0),"")</f>
        <v>#N/A</v>
      </c>
    </row>
    <row r="385">
      <c r="A385" s="51"/>
      <c r="B385" s="52"/>
      <c r="C385" s="53" t="str">
        <f t="shared" si="3"/>
        <v>03/2022</v>
      </c>
      <c r="D385" s="133">
        <v>44621.0</v>
      </c>
      <c r="E385" s="115" t="s">
        <v>515</v>
      </c>
      <c r="F385" s="108"/>
      <c r="G385" s="57" t="s">
        <v>189</v>
      </c>
      <c r="H385" s="58" t="str">
        <f>IF(G385="","",VLOOKUP($G385,'Quy chuẩn hạch toán'!$B:$E,2,0))</f>
        <v>154</v>
      </c>
      <c r="I385" s="58" t="str">
        <f>IF(H385="","",VLOOKUP($G385,'Quy chuẩn hạch toán'!$B:$E,3,0))</f>
        <v>3345</v>
      </c>
      <c r="J385" s="59">
        <f>45000000-15907500</f>
        <v>29092500</v>
      </c>
      <c r="K385" s="60"/>
      <c r="L385" s="61"/>
      <c r="M385" s="62"/>
      <c r="N385" s="63"/>
      <c r="O385" s="64" t="str">
        <f>IF($Q385&lt;&gt;0,VLOOKUP($Q385,DM_KM,3,0),"")</f>
        <v>#N/A</v>
      </c>
      <c r="P385" s="64" t="str">
        <f>IF($Q385&lt;&gt;0,VLOOKUP($Q385,DM_KM,5,0),"")</f>
        <v>#N/A</v>
      </c>
      <c r="Q385" s="89" t="s">
        <v>190</v>
      </c>
      <c r="R385" s="64" t="str">
        <f>IF(S385&lt;&gt;0,VLOOKUP(S385,DM_DUAN,3,0),"")</f>
        <v>#N/A</v>
      </c>
      <c r="S385" s="66" t="str">
        <f>IF(U385&lt;&gt;0,VLOOKUP(U385,DM_DUAN,3,0),"")</f>
        <v>THANHNAM</v>
      </c>
      <c r="T385" s="64"/>
      <c r="U385" s="93" t="s">
        <v>175</v>
      </c>
      <c r="V385" s="64" t="str">
        <f>IF(W385&lt;&gt;0,VLOOKUP(W385,DM_DUAN,3,0),"")</f>
        <v>#N/A</v>
      </c>
      <c r="W385" s="83" t="s">
        <v>516</v>
      </c>
      <c r="X385" s="64" t="str">
        <f>IF(Y385&lt;&gt;0,VLOOKUP(Y385,DM_DUAN,3,0),"")</f>
        <v>#N/A</v>
      </c>
      <c r="Y385" s="84" t="s">
        <v>176</v>
      </c>
      <c r="Z385" s="64" t="str">
        <f>IF(AA385&lt;&gt;0,VLOOKUP(AA385,DM_DUAN,3,0),"")</f>
        <v>#N/A</v>
      </c>
      <c r="AA385" s="131" t="s">
        <v>183</v>
      </c>
      <c r="AB385" s="64" t="str">
        <f>IF(AC385&lt;&gt;0,VLOOKUP(AC385,DM_DUAN,3,0),"")</f>
        <v>#N/A</v>
      </c>
      <c r="AC385" s="85" t="s">
        <v>388</v>
      </c>
      <c r="AD385" s="64" t="str">
        <f>IF(AC385&lt;&gt;0,VLOOKUP(AC385,DM_NV,2,0),"")</f>
        <v>Lâm Hồ Tiểu Ngọc</v>
      </c>
      <c r="AE385" s="68"/>
      <c r="AF385" s="64" t="str">
        <f>IF(AE385&lt;&gt;0,VLOOKUP(AE385,DM_NV,2,0),"")</f>
        <v/>
      </c>
    </row>
    <row r="386">
      <c r="A386" s="51"/>
      <c r="B386" s="52"/>
      <c r="C386" s="53" t="str">
        <f t="shared" si="3"/>
        <v>03/2022</v>
      </c>
      <c r="D386" s="133">
        <v>44621.0</v>
      </c>
      <c r="E386" s="115" t="s">
        <v>517</v>
      </c>
      <c r="F386" s="108"/>
      <c r="G386" s="57" t="s">
        <v>186</v>
      </c>
      <c r="H386" s="58" t="str">
        <f>IF(G386="","",VLOOKUP($G386,'Quy chuẩn hạch toán'!$B:$E,2,0))</f>
        <v>131</v>
      </c>
      <c r="I386" s="58" t="str">
        <f>IF(H386="","",VLOOKUP($G386,'Quy chuẩn hạch toán'!$B:$E,3,0))</f>
        <v>5113</v>
      </c>
      <c r="J386" s="59">
        <v>1.5E8</v>
      </c>
      <c r="K386" s="60"/>
      <c r="L386" s="61"/>
      <c r="M386" s="62"/>
      <c r="N386" s="63"/>
      <c r="O386" s="64" t="str">
        <f>IF($Q386&lt;&gt;0,VLOOKUP($Q386,DM_KM,3,0),"")</f>
        <v>511_TK</v>
      </c>
      <c r="P386" s="64">
        <f>IF($Q386&lt;&gt;0,VLOOKUP($Q386,DM_KM,5,0),"")</f>
        <v>511</v>
      </c>
      <c r="Q386" s="65" t="s">
        <v>187</v>
      </c>
      <c r="R386" s="64" t="str">
        <f>IF(S386&lt;&gt;0,VLOOKUP(S386,DM_DUAN,3,0),"")</f>
        <v>#N/A</v>
      </c>
      <c r="S386" s="66" t="str">
        <f>IF(U386&lt;&gt;0,VLOOKUP(U386,DM_DUAN,3,0),"")</f>
        <v>THANHNAM</v>
      </c>
      <c r="T386" s="64"/>
      <c r="U386" s="93" t="s">
        <v>175</v>
      </c>
      <c r="V386" s="64" t="str">
        <f>IF(W386&lt;&gt;0,VLOOKUP(W386,DM_DUAN,3,0),"")</f>
        <v>#N/A</v>
      </c>
      <c r="W386" s="83" t="s">
        <v>516</v>
      </c>
      <c r="X386" s="64" t="str">
        <f>IF(Y386&lt;&gt;0,VLOOKUP(Y386,DM_DUAN,3,0),"")</f>
        <v>#N/A</v>
      </c>
      <c r="Y386" s="84" t="s">
        <v>176</v>
      </c>
      <c r="Z386" s="64" t="str">
        <f>IF(AA386&lt;&gt;0,VLOOKUP(AA386,DM_DUAN,3,0),"")</f>
        <v>#N/A</v>
      </c>
      <c r="AA386" s="131" t="s">
        <v>183</v>
      </c>
      <c r="AB386" s="64" t="str">
        <f>IF(AC386&lt;&gt;0,VLOOKUP(AC386,DM_DUAN,3,0),"")</f>
        <v/>
      </c>
      <c r="AC386" s="85"/>
      <c r="AD386" s="64" t="str">
        <f>IF(AC386&lt;&gt;0,VLOOKUP(AC386,DM_NV,2,0),"")</f>
        <v/>
      </c>
      <c r="AE386" s="68"/>
      <c r="AF386" s="64" t="str">
        <f>IF(AE386&lt;&gt;0,VLOOKUP(AE386,DM_NV,2,0),"")</f>
        <v/>
      </c>
    </row>
    <row r="387">
      <c r="A387" s="51"/>
      <c r="B387" s="52"/>
      <c r="C387" s="53" t="str">
        <f t="shared" si="3"/>
        <v>03/2022</v>
      </c>
      <c r="D387" s="133">
        <v>44621.0</v>
      </c>
      <c r="E387" s="115" t="s">
        <v>518</v>
      </c>
      <c r="F387" s="108"/>
      <c r="G387" s="57" t="s">
        <v>180</v>
      </c>
      <c r="H387" s="58" t="str">
        <f>IF(G387="","",VLOOKUP($G387,'Quy chuẩn hạch toán'!$B:$E,2,0))</f>
        <v>521</v>
      </c>
      <c r="I387" s="58" t="str">
        <f>IF(H387="","",VLOOKUP($G387,'Quy chuẩn hạch toán'!$B:$E,3,0))</f>
        <v>131</v>
      </c>
      <c r="J387" s="59">
        <f>15907500*2</f>
        <v>31815000</v>
      </c>
      <c r="K387" s="60"/>
      <c r="L387" s="61"/>
      <c r="M387" s="62"/>
      <c r="N387" s="63"/>
      <c r="O387" s="64" t="str">
        <f>IF($Q387&lt;&gt;0,VLOOKUP($Q387,DM_KM,3,0),"")</f>
        <v>#N/A</v>
      </c>
      <c r="P387" s="64" t="str">
        <f>IF($Q387&lt;&gt;0,VLOOKUP($Q387,DM_KM,5,0),"")</f>
        <v>#N/A</v>
      </c>
      <c r="Q387" s="89" t="s">
        <v>181</v>
      </c>
      <c r="R387" s="64" t="str">
        <f>IF(S387&lt;&gt;0,VLOOKUP(S387,DM_DUAN,3,0),"")</f>
        <v>#N/A</v>
      </c>
      <c r="S387" s="66" t="str">
        <f>IF(U387&lt;&gt;0,VLOOKUP(U387,DM_DUAN,3,0),"")</f>
        <v>THANHNAM</v>
      </c>
      <c r="T387" s="64"/>
      <c r="U387" s="93" t="s">
        <v>175</v>
      </c>
      <c r="V387" s="64" t="str">
        <f>IF(W387&lt;&gt;0,VLOOKUP(W387,DM_DUAN,3,0),"")</f>
        <v>#N/A</v>
      </c>
      <c r="W387" s="83" t="s">
        <v>516</v>
      </c>
      <c r="X387" s="64" t="str">
        <f>IF(Y387&lt;&gt;0,VLOOKUP(Y387,DM_DUAN,3,0),"")</f>
        <v>#N/A</v>
      </c>
      <c r="Y387" s="84" t="s">
        <v>176</v>
      </c>
      <c r="Z387" s="64" t="str">
        <f>IF(AA387&lt;&gt;0,VLOOKUP(AA387,DM_DUAN,3,0),"")</f>
        <v>#N/A</v>
      </c>
      <c r="AA387" s="131" t="s">
        <v>183</v>
      </c>
      <c r="AB387" s="64" t="str">
        <f>IF(AC387&lt;&gt;0,VLOOKUP(AC387,DM_DUAN,3,0),"")</f>
        <v/>
      </c>
      <c r="AC387" s="85"/>
      <c r="AD387" s="64" t="str">
        <f>IF(AC387&lt;&gt;0,VLOOKUP(AC387,DM_NV,2,0),"")</f>
        <v/>
      </c>
      <c r="AE387" s="68"/>
      <c r="AF387" s="64" t="str">
        <f>IF(AE387&lt;&gt;0,VLOOKUP(AE387,DM_NV,2,0),"")</f>
        <v/>
      </c>
    </row>
    <row r="388">
      <c r="A388" s="51"/>
      <c r="B388" s="52"/>
      <c r="C388" s="53" t="str">
        <f t="shared" si="3"/>
        <v>03/2022</v>
      </c>
      <c r="D388" s="133">
        <v>44621.0</v>
      </c>
      <c r="E388" s="115" t="s">
        <v>519</v>
      </c>
      <c r="F388" s="108"/>
      <c r="G388" s="57" t="s">
        <v>197</v>
      </c>
      <c r="H388" s="58" t="str">
        <f>IF(G388="","",VLOOKUP($G388,'Quy chuẩn hạch toán'!$B:$E,2,0))</f>
        <v>#N/A</v>
      </c>
      <c r="I388" s="58" t="str">
        <f>IF(H388="","",VLOOKUP($G388,'Quy chuẩn hạch toán'!$B:$E,3,0))</f>
        <v>#N/A</v>
      </c>
      <c r="J388" s="59">
        <v>3.089685E9</v>
      </c>
      <c r="K388" s="60"/>
      <c r="L388" s="61"/>
      <c r="M388" s="62"/>
      <c r="N388" s="63"/>
      <c r="O388" s="64" t="str">
        <f>IF($Q388&lt;&gt;0,VLOOKUP($Q388,DM_KM,3,0),"")</f>
        <v>#N/A</v>
      </c>
      <c r="P388" s="64" t="str">
        <f>IF($Q388&lt;&gt;0,VLOOKUP($Q388,DM_KM,5,0),"")</f>
        <v>#N/A</v>
      </c>
      <c r="Q388" s="89" t="s">
        <v>198</v>
      </c>
      <c r="R388" s="64" t="str">
        <f>IF(S388&lt;&gt;0,VLOOKUP(S388,DM_DUAN,3,0),"")</f>
        <v>#N/A</v>
      </c>
      <c r="S388" s="66" t="str">
        <f>IF(U388&lt;&gt;0,VLOOKUP(U388,DM_DUAN,3,0),"")</f>
        <v>THANHNAM</v>
      </c>
      <c r="T388" s="64"/>
      <c r="U388" s="93" t="s">
        <v>175</v>
      </c>
      <c r="V388" s="64" t="str">
        <f>IF(W388&lt;&gt;0,VLOOKUP(W388,DM_DUAN,3,0),"")</f>
        <v>#N/A</v>
      </c>
      <c r="W388" s="83" t="s">
        <v>516</v>
      </c>
      <c r="X388" s="64" t="str">
        <f>IF(Y388&lt;&gt;0,VLOOKUP(Y388,DM_DUAN,3,0),"")</f>
        <v>#N/A</v>
      </c>
      <c r="Y388" s="84" t="s">
        <v>176</v>
      </c>
      <c r="Z388" s="64" t="str">
        <f>IF(AA388&lt;&gt;0,VLOOKUP(AA388,DM_DUAN,3,0),"")</f>
        <v>#N/A</v>
      </c>
      <c r="AA388" s="131" t="s">
        <v>183</v>
      </c>
      <c r="AB388" s="64" t="str">
        <f>IF(AC388&lt;&gt;0,VLOOKUP(AC388,DM_DUAN,3,0),"")</f>
        <v>#N/A</v>
      </c>
      <c r="AC388" s="85" t="s">
        <v>388</v>
      </c>
      <c r="AD388" s="64" t="str">
        <f>IF(AC388&lt;&gt;0,VLOOKUP(AC388,DM_NV,2,0),"")</f>
        <v>Lâm Hồ Tiểu Ngọc</v>
      </c>
      <c r="AE388" s="68"/>
      <c r="AF388" s="64" t="str">
        <f>IF(AE388&lt;&gt;0,VLOOKUP(AE388,DM_NV,2,0),"")</f>
        <v/>
      </c>
    </row>
    <row r="389">
      <c r="A389" s="51"/>
      <c r="B389" s="52"/>
      <c r="C389" s="53" t="str">
        <f t="shared" si="3"/>
        <v>03/2022</v>
      </c>
      <c r="D389" s="133">
        <v>44621.0</v>
      </c>
      <c r="E389" s="55" t="s">
        <v>520</v>
      </c>
      <c r="F389" s="56"/>
      <c r="G389" s="57" t="s">
        <v>200</v>
      </c>
      <c r="H389" s="58" t="str">
        <f>IF(G389="","",VLOOKUP($G389,'Quy chuẩn hạch toán'!$B:$E,2,0))</f>
        <v>154</v>
      </c>
      <c r="I389" s="58" t="str">
        <f>IF(H389="","",VLOOKUP($G389,'Quy chuẩn hạch toán'!$B:$E,3,0))</f>
        <v>3343</v>
      </c>
      <c r="J389" s="59">
        <v>1000000.0</v>
      </c>
      <c r="K389" s="60"/>
      <c r="L389" s="61"/>
      <c r="M389" s="62"/>
      <c r="N389" s="63"/>
      <c r="O389" s="64" t="str">
        <f>IF($Q389&lt;&gt;0,VLOOKUP($Q389,DM_KM,3,0),"")</f>
        <v>#N/A</v>
      </c>
      <c r="P389" s="64" t="str">
        <f>IF($Q389&lt;&gt;0,VLOOKUP($Q389,DM_KM,5,0),"")</f>
        <v>#N/A</v>
      </c>
      <c r="Q389" s="65" t="s">
        <v>201</v>
      </c>
      <c r="R389" s="64" t="str">
        <f>IF(S389&lt;&gt;0,VLOOKUP(S389,DM_DUAN,3,0),"")</f>
        <v>#N/A</v>
      </c>
      <c r="S389" s="66" t="str">
        <f>IF(U389&lt;&gt;0,VLOOKUP(U389,DM_DUAN,3,0),"")</f>
        <v>THANHNAM</v>
      </c>
      <c r="T389" s="64"/>
      <c r="U389" s="93" t="s">
        <v>175</v>
      </c>
      <c r="V389" s="64" t="str">
        <f>IF(W389&lt;&gt;0,VLOOKUP(W389,DM_DUAN,3,0),"")</f>
        <v>#N/A</v>
      </c>
      <c r="W389" s="83" t="s">
        <v>516</v>
      </c>
      <c r="X389" s="64" t="str">
        <f>IF(Y389&lt;&gt;0,VLOOKUP(Y389,DM_DUAN,3,0),"")</f>
        <v>#N/A</v>
      </c>
      <c r="Y389" s="84" t="s">
        <v>176</v>
      </c>
      <c r="Z389" s="64" t="str">
        <f>IF(AA389&lt;&gt;0,VLOOKUP(AA389,DM_DUAN,3,0),"")</f>
        <v>#N/A</v>
      </c>
      <c r="AA389" s="131" t="s">
        <v>183</v>
      </c>
      <c r="AB389" s="64" t="str">
        <f>IF(AC389&lt;&gt;0,VLOOKUP(AC389,DM_DUAN,3,0),"")</f>
        <v/>
      </c>
      <c r="AC389" s="85"/>
      <c r="AD389" s="64" t="str">
        <f>IF(AC389&lt;&gt;0,VLOOKUP(AC389,DM_NV,2,0),"")</f>
        <v/>
      </c>
      <c r="AE389" s="68"/>
      <c r="AF389" s="64" t="str">
        <f>IF(AE389&lt;&gt;0,VLOOKUP(AE389,DM_NV,2,0),"")</f>
        <v/>
      </c>
    </row>
    <row r="390">
      <c r="A390" s="51"/>
      <c r="B390" s="52" t="str">
        <f>IF(D390="","",VLOOKUP(D390,'THAM CHIẾU'!$A:$B,2,0))</f>
        <v>#N/A</v>
      </c>
      <c r="C390" s="53" t="str">
        <f t="shared" si="3"/>
        <v>03/2022</v>
      </c>
      <c r="D390" s="54">
        <v>44621.0</v>
      </c>
      <c r="E390" s="55" t="s">
        <v>521</v>
      </c>
      <c r="F390" s="56"/>
      <c r="G390" s="90"/>
      <c r="H390" s="58" t="str">
        <f>IF(G390="","",VLOOKUP($G390,'Quy chuẩn hạch toán'!$B:$E,2,0))</f>
        <v/>
      </c>
      <c r="I390" s="58" t="str">
        <f>IF(H390="","",VLOOKUP($G390,'Quy chuẩn hạch toán'!$B:$E,3,0))</f>
        <v/>
      </c>
      <c r="J390" s="59">
        <v>1.2E7</v>
      </c>
      <c r="K390" s="60"/>
      <c r="L390" s="61"/>
      <c r="M390" s="62"/>
      <c r="N390" s="63"/>
      <c r="O390" s="64" t="str">
        <f>IF($Q390&lt;&gt;0,VLOOKUP($Q390,DM_KM,3,0),"")</f>
        <v>#N/A</v>
      </c>
      <c r="P390" s="64" t="str">
        <f>IF($Q390&lt;&gt;0,VLOOKUP($Q390,DM_KM,5,0),"")</f>
        <v>#N/A</v>
      </c>
      <c r="Q390" s="65" t="s">
        <v>203</v>
      </c>
      <c r="R390" s="64" t="str">
        <f>IF(S390&lt;&gt;0,VLOOKUP(S390,DM_DUAN,3,0),"")</f>
        <v>#N/A</v>
      </c>
      <c r="S390" s="66" t="str">
        <f>IF(U390&lt;&gt;0,VLOOKUP(U390,DM_DUAN,3,0),"")</f>
        <v>THANHNAM</v>
      </c>
      <c r="T390" s="64"/>
      <c r="U390" s="93" t="s">
        <v>175</v>
      </c>
      <c r="V390" s="64" t="str">
        <f>IF(W390&lt;&gt;0,VLOOKUP(W390,DM_DUAN,3,0),"")</f>
        <v>#N/A</v>
      </c>
      <c r="W390" s="83" t="s">
        <v>516</v>
      </c>
      <c r="X390" s="64" t="str">
        <f>IF(Y390&lt;&gt;0,VLOOKUP(Y390,DM_DUAN,3,0),"")</f>
        <v>#N/A</v>
      </c>
      <c r="Y390" s="84" t="s">
        <v>176</v>
      </c>
      <c r="Z390" s="64" t="str">
        <f>IF(AA390&lt;&gt;0,VLOOKUP(AA390,DM_DUAN,3,0),"")</f>
        <v>#N/A</v>
      </c>
      <c r="AA390" s="131" t="s">
        <v>183</v>
      </c>
      <c r="AB390" s="64" t="str">
        <f>IF(AC390&lt;&gt;0,VLOOKUP(AC390,DM_DUAN,3,0),"")</f>
        <v/>
      </c>
      <c r="AC390" s="85"/>
      <c r="AD390" s="64" t="str">
        <f>IF(AC390&lt;&gt;0,VLOOKUP(AC390,DM_NV,2,0),"")</f>
        <v/>
      </c>
      <c r="AE390" s="68"/>
      <c r="AF390" s="64" t="str">
        <f>IF(AE390&lt;&gt;0,VLOOKUP(AE390,DM_NV,2,0),"")</f>
        <v/>
      </c>
    </row>
    <row r="391">
      <c r="A391" s="51"/>
      <c r="B391" s="52" t="str">
        <f>IF(D391="","",VLOOKUP(D391,'THAM CHIẾU'!$A:$B,2,0))</f>
        <v>#N/A</v>
      </c>
      <c r="C391" s="53" t="str">
        <f t="shared" si="3"/>
        <v>03/2022</v>
      </c>
      <c r="D391" s="54">
        <v>44621.0</v>
      </c>
      <c r="E391" s="55" t="s">
        <v>522</v>
      </c>
      <c r="F391" s="56"/>
      <c r="G391" s="57" t="s">
        <v>249</v>
      </c>
      <c r="H391" s="58" t="str">
        <f>IF(G391="","",VLOOKUP($G391,'Quy chuẩn hạch toán'!$B:$E,2,0))</f>
        <v>642</v>
      </c>
      <c r="I391" s="58" t="str">
        <f>IF(H391="","",VLOOKUP($G391,'Quy chuẩn hạch toán'!$B:$E,3,0))</f>
        <v>331</v>
      </c>
      <c r="J391" s="59">
        <v>159250.0</v>
      </c>
      <c r="K391" s="60"/>
      <c r="L391" s="61"/>
      <c r="M391" s="62"/>
      <c r="N391" s="63"/>
      <c r="O391" s="64" t="str">
        <f>IF($Q391&lt;&gt;0,VLOOKUP($Q391,DM_KM,3,0),"")</f>
        <v>#N/A</v>
      </c>
      <c r="P391" s="64" t="str">
        <f>IF($Q391&lt;&gt;0,VLOOKUP($Q391,DM_KM,5,0),"")</f>
        <v>#N/A</v>
      </c>
      <c r="Q391" s="89" t="s">
        <v>174</v>
      </c>
      <c r="R391" s="64" t="str">
        <f>IF(S391&lt;&gt;0,VLOOKUP(S391,DM_DUAN,3,0),"")</f>
        <v>#N/A</v>
      </c>
      <c r="S391" s="66" t="str">
        <f>IF(U391&lt;&gt;0,VLOOKUP(U391,DM_DUAN,3,0),"")</f>
        <v/>
      </c>
      <c r="T391" s="64"/>
      <c r="U391" s="93"/>
      <c r="V391" s="64" t="str">
        <f>IF(W391&lt;&gt;0,VLOOKUP(W391,DM_DUAN,3,0),"")</f>
        <v/>
      </c>
      <c r="W391" s="68"/>
      <c r="X391" s="64" t="str">
        <f>IF(Y391&lt;&gt;0,VLOOKUP(Y391,DM_DUAN,3,0),"")</f>
        <v>#N/A</v>
      </c>
      <c r="Y391" s="69" t="s">
        <v>523</v>
      </c>
      <c r="Z391" s="64" t="str">
        <f>IF(AA391&lt;&gt;0,VLOOKUP(AA391,DM_DUAN,3,0),"")</f>
        <v>#N/A</v>
      </c>
      <c r="AA391" s="131" t="s">
        <v>183</v>
      </c>
      <c r="AB391" s="64" t="str">
        <f>IF(AC391&lt;&gt;0,VLOOKUP(AC391,DM_DUAN,3,0),"")</f>
        <v/>
      </c>
      <c r="AC391" s="85"/>
      <c r="AD391" s="64" t="str">
        <f>IF(AC391&lt;&gt;0,VLOOKUP(AC391,DM_NV,2,0),"")</f>
        <v/>
      </c>
      <c r="AE391" s="68"/>
      <c r="AF391" s="64" t="str">
        <f>IF(AE391&lt;&gt;0,VLOOKUP(AE391,DM_NV,2,0),"")</f>
        <v/>
      </c>
    </row>
    <row r="392">
      <c r="A392" s="51"/>
      <c r="B392" s="52" t="str">
        <f>IF(D392="","",VLOOKUP(D392,'THAM CHIẾU'!$A:$B,2,0))</f>
        <v>#N/A</v>
      </c>
      <c r="C392" s="53" t="str">
        <f t="shared" si="3"/>
        <v>03/2022</v>
      </c>
      <c r="D392" s="54">
        <v>44621.0</v>
      </c>
      <c r="E392" s="55" t="s">
        <v>522</v>
      </c>
      <c r="F392" s="56"/>
      <c r="G392" s="57" t="s">
        <v>249</v>
      </c>
      <c r="H392" s="58" t="str">
        <f>IF(G392="","",VLOOKUP($G392,'Quy chuẩn hạch toán'!$B:$E,2,0))</f>
        <v>642</v>
      </c>
      <c r="I392" s="58" t="str">
        <f>IF(H392="","",VLOOKUP($G392,'Quy chuẩn hạch toán'!$B:$E,3,0))</f>
        <v>331</v>
      </c>
      <c r="J392" s="59">
        <v>85750.0</v>
      </c>
      <c r="K392" s="60"/>
      <c r="L392" s="61"/>
      <c r="M392" s="62"/>
      <c r="N392" s="63"/>
      <c r="O392" s="64" t="str">
        <f>IF($Q392&lt;&gt;0,VLOOKUP($Q392,DM_KM,3,0),"")</f>
        <v>#N/A</v>
      </c>
      <c r="P392" s="64" t="str">
        <f>IF($Q392&lt;&gt;0,VLOOKUP($Q392,DM_KM,5,0),"")</f>
        <v>#N/A</v>
      </c>
      <c r="Q392" s="65" t="s">
        <v>174</v>
      </c>
      <c r="R392" s="64" t="str">
        <f>IF(S392&lt;&gt;0,VLOOKUP(S392,DM_DUAN,3,0),"")</f>
        <v>#N/A</v>
      </c>
      <c r="S392" s="66" t="str">
        <f>IF(U392&lt;&gt;0,VLOOKUP(U392,DM_DUAN,3,0),"")</f>
        <v/>
      </c>
      <c r="T392" s="64"/>
      <c r="U392" s="67"/>
      <c r="V392" s="64" t="str">
        <f>IF(W392&lt;&gt;0,VLOOKUP(W392,DM_DUAN,3,0),"")</f>
        <v/>
      </c>
      <c r="W392" s="68"/>
      <c r="X392" s="64" t="str">
        <f>IF(Y392&lt;&gt;0,VLOOKUP(Y392,DM_DUAN,3,0),"")</f>
        <v>#N/A</v>
      </c>
      <c r="Y392" s="69" t="s">
        <v>207</v>
      </c>
      <c r="Z392" s="64" t="str">
        <f>IF(AA392&lt;&gt;0,VLOOKUP(AA392,DM_DUAN,3,0),"")</f>
        <v>#N/A</v>
      </c>
      <c r="AA392" s="70" t="s">
        <v>177</v>
      </c>
      <c r="AB392" s="64" t="str">
        <f>IF(AC392&lt;&gt;0,VLOOKUP(AC392,DM_DUAN,3,0),"")</f>
        <v/>
      </c>
      <c r="AC392" s="70"/>
      <c r="AD392" s="64" t="str">
        <f>IF(AC392&lt;&gt;0,VLOOKUP(AC392,DM_NV,2,0),"")</f>
        <v/>
      </c>
      <c r="AE392" s="68"/>
      <c r="AF392" s="64" t="str">
        <f>IF(AE392&lt;&gt;0,VLOOKUP(AE392,DM_NV,2,0),"")</f>
        <v/>
      </c>
    </row>
    <row r="393">
      <c r="A393" s="51"/>
      <c r="B393" s="52" t="str">
        <f>IF(D393="","",VLOOKUP(D393,'THAM CHIẾU'!$A:$B,2,0))</f>
        <v>#N/A</v>
      </c>
      <c r="C393" s="53" t="str">
        <f t="shared" si="3"/>
        <v>03/2022</v>
      </c>
      <c r="D393" s="54">
        <v>44621.0</v>
      </c>
      <c r="E393" s="55" t="s">
        <v>522</v>
      </c>
      <c r="F393" s="56"/>
      <c r="G393" s="57" t="s">
        <v>249</v>
      </c>
      <c r="H393" s="58" t="str">
        <f>IF(G393="","",VLOOKUP($G393,'Quy chuẩn hạch toán'!$B:$E,2,0))</f>
        <v>642</v>
      </c>
      <c r="I393" s="58" t="str">
        <f>IF(H393="","",VLOOKUP($G393,'Quy chuẩn hạch toán'!$B:$E,3,0))</f>
        <v>331</v>
      </c>
      <c r="J393" s="59">
        <v>85750.0</v>
      </c>
      <c r="K393" s="60"/>
      <c r="L393" s="61"/>
      <c r="M393" s="62"/>
      <c r="N393" s="63"/>
      <c r="O393" s="64" t="str">
        <f>IF($Q393&lt;&gt;0,VLOOKUP($Q393,DM_KM,3,0),"")</f>
        <v>#N/A</v>
      </c>
      <c r="P393" s="64" t="str">
        <f>IF($Q393&lt;&gt;0,VLOOKUP($Q393,DM_KM,5,0),"")</f>
        <v>#N/A</v>
      </c>
      <c r="Q393" s="89" t="s">
        <v>174</v>
      </c>
      <c r="R393" s="64" t="str">
        <f>IF(S393&lt;&gt;0,VLOOKUP(S393,DM_DUAN,3,0),"")</f>
        <v>#N/A</v>
      </c>
      <c r="S393" s="66" t="str">
        <f>IF(U393&lt;&gt;0,VLOOKUP(U393,DM_DUAN,3,0),"")</f>
        <v/>
      </c>
      <c r="T393" s="64"/>
      <c r="U393" s="93"/>
      <c r="V393" s="64" t="str">
        <f>IF(W393&lt;&gt;0,VLOOKUP(W393,DM_DUAN,3,0),"")</f>
        <v/>
      </c>
      <c r="W393" s="68"/>
      <c r="X393" s="64" t="str">
        <f>IF(Y393&lt;&gt;0,VLOOKUP(Y393,DM_DUAN,3,0),"")</f>
        <v>#N/A</v>
      </c>
      <c r="Y393" s="69" t="s">
        <v>207</v>
      </c>
      <c r="Z393" s="64" t="str">
        <f>IF(AA393&lt;&gt;0,VLOOKUP(AA393,DM_DUAN,3,0),"")</f>
        <v>#N/A</v>
      </c>
      <c r="AA393" s="131" t="s">
        <v>210</v>
      </c>
      <c r="AB393" s="64" t="str">
        <f>IF(AC393&lt;&gt;0,VLOOKUP(AC393,DM_DUAN,3,0),"")</f>
        <v/>
      </c>
      <c r="AC393" s="85"/>
      <c r="AD393" s="64" t="str">
        <f>IF(AC393&lt;&gt;0,VLOOKUP(AC393,DM_NV,2,0),"")</f>
        <v/>
      </c>
      <c r="AE393" s="68"/>
      <c r="AF393" s="64" t="str">
        <f>IF(AE393&lt;&gt;0,VLOOKUP(AE393,DM_NV,2,0),"")</f>
        <v/>
      </c>
    </row>
    <row r="394">
      <c r="A394" s="51"/>
      <c r="B394" s="52" t="str">
        <f>IF(D394="","",VLOOKUP(D394,'THAM CHIẾU'!$A:$B,2,0))</f>
        <v>#N/A</v>
      </c>
      <c r="C394" s="53" t="str">
        <f t="shared" si="3"/>
        <v>03/2022</v>
      </c>
      <c r="D394" s="54">
        <v>44621.0</v>
      </c>
      <c r="E394" s="55" t="s">
        <v>522</v>
      </c>
      <c r="F394" s="56"/>
      <c r="G394" s="57" t="s">
        <v>249</v>
      </c>
      <c r="H394" s="58" t="str">
        <f>IF(G394="","",VLOOKUP($G394,'Quy chuẩn hạch toán'!$B:$E,2,0))</f>
        <v>642</v>
      </c>
      <c r="I394" s="58" t="str">
        <f>IF(H394="","",VLOOKUP($G394,'Quy chuẩn hạch toán'!$B:$E,3,0))</f>
        <v>331</v>
      </c>
      <c r="J394" s="59">
        <v>24500.0</v>
      </c>
      <c r="K394" s="60"/>
      <c r="L394" s="61"/>
      <c r="M394" s="62"/>
      <c r="N394" s="63"/>
      <c r="O394" s="64" t="str">
        <f>IF($Q394&lt;&gt;0,VLOOKUP($Q394,DM_KM,3,0),"")</f>
        <v>#N/A</v>
      </c>
      <c r="P394" s="64" t="str">
        <f>IF($Q394&lt;&gt;0,VLOOKUP($Q394,DM_KM,5,0),"")</f>
        <v>#N/A</v>
      </c>
      <c r="Q394" s="89" t="s">
        <v>174</v>
      </c>
      <c r="R394" s="64" t="str">
        <f>IF(S394&lt;&gt;0,VLOOKUP(S394,DM_DUAN,3,0),"")</f>
        <v>#N/A</v>
      </c>
      <c r="S394" s="66" t="str">
        <f>IF(U394&lt;&gt;0,VLOOKUP(U394,DM_DUAN,3,0),"")</f>
        <v/>
      </c>
      <c r="T394" s="64"/>
      <c r="U394" s="93"/>
      <c r="V394" s="64" t="str">
        <f>IF(W394&lt;&gt;0,VLOOKUP(W394,DM_DUAN,3,0),"")</f>
        <v/>
      </c>
      <c r="W394" s="68"/>
      <c r="X394" s="64" t="str">
        <f>IF(Y394&lt;&gt;0,VLOOKUP(Y394,DM_DUAN,3,0),"")</f>
        <v>#N/A</v>
      </c>
      <c r="Y394" s="69" t="s">
        <v>207</v>
      </c>
      <c r="Z394" s="64" t="str">
        <f>IF(AA394&lt;&gt;0,VLOOKUP(AA394,DM_DUAN,3,0),"")</f>
        <v>#N/A</v>
      </c>
      <c r="AA394" s="70" t="s">
        <v>514</v>
      </c>
      <c r="AB394" s="64" t="str">
        <f>IF(AC394&lt;&gt;0,VLOOKUP(AC394,DM_DUAN,3,0),"")</f>
        <v/>
      </c>
      <c r="AC394" s="85"/>
      <c r="AD394" s="64" t="str">
        <f>IF(AC394&lt;&gt;0,VLOOKUP(AC394,DM_NV,2,0),"")</f>
        <v/>
      </c>
      <c r="AE394" s="68"/>
      <c r="AF394" s="64" t="str">
        <f>IF(AE394&lt;&gt;0,VLOOKUP(AE394,DM_NV,2,0),"")</f>
        <v/>
      </c>
    </row>
    <row r="395">
      <c r="A395" s="51"/>
      <c r="B395" s="52" t="str">
        <f>IF(D395="","",VLOOKUP(D395,'THAM CHIẾU'!$A:$B,2,0))</f>
        <v>#N/A</v>
      </c>
      <c r="C395" s="53" t="str">
        <f t="shared" si="3"/>
        <v>03/2022</v>
      </c>
      <c r="D395" s="54">
        <v>44622.0</v>
      </c>
      <c r="E395" s="55" t="s">
        <v>524</v>
      </c>
      <c r="F395" s="56"/>
      <c r="G395" s="57" t="s">
        <v>205</v>
      </c>
      <c r="H395" s="58" t="str">
        <f>IF(G395="","",VLOOKUP($G395,'Quy chuẩn hạch toán'!$B:$E,2,0))</f>
        <v>642</v>
      </c>
      <c r="I395" s="58" t="str">
        <f>IF(H395="","",VLOOKUP($G395,'Quy chuẩn hạch toán'!$B:$E,3,0))</f>
        <v>1111</v>
      </c>
      <c r="J395" s="59">
        <v>97500.0</v>
      </c>
      <c r="K395" s="60"/>
      <c r="L395" s="61"/>
      <c r="M395" s="62"/>
      <c r="N395" s="63"/>
      <c r="O395" s="64" t="str">
        <f>IF($Q395&lt;&gt;0,VLOOKUP($Q395,DM_KM,3,0),"")</f>
        <v>#N/A</v>
      </c>
      <c r="P395" s="64" t="str">
        <f>IF($Q395&lt;&gt;0,VLOOKUP($Q395,DM_KM,5,0),"")</f>
        <v>#N/A</v>
      </c>
      <c r="Q395" s="65" t="s">
        <v>377</v>
      </c>
      <c r="R395" s="64" t="str">
        <f>IF(S395&lt;&gt;0,VLOOKUP(S395,DM_DUAN,3,0),"")</f>
        <v>#N/A</v>
      </c>
      <c r="S395" s="66" t="str">
        <f>IF(U395&lt;&gt;0,VLOOKUP(U395,DM_DUAN,3,0),"")</f>
        <v/>
      </c>
      <c r="T395" s="64"/>
      <c r="U395" s="93"/>
      <c r="V395" s="64" t="str">
        <f>IF(W395&lt;&gt;0,VLOOKUP(W395,DM_DUAN,3,0),"")</f>
        <v/>
      </c>
      <c r="W395" s="68"/>
      <c r="X395" s="64" t="str">
        <f>IF(Y395&lt;&gt;0,VLOOKUP(Y395,DM_DUAN,3,0),"")</f>
        <v>#N/A</v>
      </c>
      <c r="Y395" s="69" t="s">
        <v>207</v>
      </c>
      <c r="Z395" s="64" t="str">
        <f>IF(AA395&lt;&gt;0,VLOOKUP(AA395,DM_DUAN,3,0),"")</f>
        <v>#N/A</v>
      </c>
      <c r="AA395" s="70" t="s">
        <v>183</v>
      </c>
      <c r="AB395" s="64" t="str">
        <f>IF(AC395&lt;&gt;0,VLOOKUP(AC395,DM_DUAN,3,0),"")</f>
        <v/>
      </c>
      <c r="AC395" s="85"/>
      <c r="AD395" s="64" t="str">
        <f>IF(AC395&lt;&gt;0,VLOOKUP(AC395,DM_NV,2,0),"")</f>
        <v/>
      </c>
      <c r="AE395" s="83" t="s">
        <v>349</v>
      </c>
      <c r="AF395" s="64" t="str">
        <f>IF(AE395&lt;&gt;0,VLOOKUP(AE395,DM_NV,2,0),"")</f>
        <v>#N/A</v>
      </c>
    </row>
    <row r="396">
      <c r="A396" s="51"/>
      <c r="B396" s="52" t="str">
        <f>IF(D396="","",VLOOKUP(D396,'THAM CHIẾU'!$A:$B,2,0))</f>
        <v>#N/A</v>
      </c>
      <c r="C396" s="53" t="str">
        <f t="shared" si="3"/>
        <v>03/2022</v>
      </c>
      <c r="D396" s="54">
        <v>44622.0</v>
      </c>
      <c r="E396" s="55" t="s">
        <v>524</v>
      </c>
      <c r="F396" s="56"/>
      <c r="G396" s="57" t="s">
        <v>205</v>
      </c>
      <c r="H396" s="58" t="str">
        <f>IF(G396="","",VLOOKUP($G396,'Quy chuẩn hạch toán'!$B:$E,2,0))</f>
        <v>642</v>
      </c>
      <c r="I396" s="58" t="str">
        <f>IF(H396="","",VLOOKUP($G396,'Quy chuẩn hạch toán'!$B:$E,3,0))</f>
        <v>1111</v>
      </c>
      <c r="J396" s="59">
        <v>52500.0</v>
      </c>
      <c r="K396" s="60"/>
      <c r="L396" s="61"/>
      <c r="M396" s="62"/>
      <c r="N396" s="63"/>
      <c r="O396" s="64" t="str">
        <f>IF($Q396&lt;&gt;0,VLOOKUP($Q396,DM_KM,3,0),"")</f>
        <v>#N/A</v>
      </c>
      <c r="P396" s="64" t="str">
        <f>IF($Q396&lt;&gt;0,VLOOKUP($Q396,DM_KM,5,0),"")</f>
        <v>#N/A</v>
      </c>
      <c r="Q396" s="65" t="s">
        <v>377</v>
      </c>
      <c r="R396" s="64" t="str">
        <f>IF(S396&lt;&gt;0,VLOOKUP(S396,DM_DUAN,3,0),"")</f>
        <v>#N/A</v>
      </c>
      <c r="S396" s="66" t="str">
        <f>IF(U396&lt;&gt;0,VLOOKUP(U396,DM_DUAN,3,0),"")</f>
        <v/>
      </c>
      <c r="T396" s="64"/>
      <c r="U396" s="93"/>
      <c r="V396" s="64" t="str">
        <f>IF(W396&lt;&gt;0,VLOOKUP(W396,DM_DUAN,3,0),"")</f>
        <v/>
      </c>
      <c r="W396" s="68"/>
      <c r="X396" s="64" t="str">
        <f>IF(Y396&lt;&gt;0,VLOOKUP(Y396,DM_DUAN,3,0),"")</f>
        <v>#N/A</v>
      </c>
      <c r="Y396" s="69" t="s">
        <v>207</v>
      </c>
      <c r="Z396" s="64" t="str">
        <f>IF(AA396&lt;&gt;0,VLOOKUP(AA396,DM_DUAN,3,0),"")</f>
        <v>#N/A</v>
      </c>
      <c r="AA396" s="70" t="s">
        <v>177</v>
      </c>
      <c r="AB396" s="64" t="str">
        <f>IF(AC396&lt;&gt;0,VLOOKUP(AC396,DM_DUAN,3,0),"")</f>
        <v/>
      </c>
      <c r="AC396" s="85"/>
      <c r="AD396" s="64" t="str">
        <f>IF(AC396&lt;&gt;0,VLOOKUP(AC396,DM_NV,2,0),"")</f>
        <v/>
      </c>
      <c r="AE396" s="83" t="s">
        <v>349</v>
      </c>
      <c r="AF396" s="64" t="str">
        <f>IF(AE396&lt;&gt;0,VLOOKUP(AE396,DM_NV,2,0),"")</f>
        <v>#N/A</v>
      </c>
    </row>
    <row r="397">
      <c r="A397" s="51"/>
      <c r="B397" s="52" t="str">
        <f>IF(D397="","",VLOOKUP(D397,'THAM CHIẾU'!$A:$B,2,0))</f>
        <v>#N/A</v>
      </c>
      <c r="C397" s="53" t="str">
        <f t="shared" si="3"/>
        <v>03/2022</v>
      </c>
      <c r="D397" s="54">
        <v>44622.0</v>
      </c>
      <c r="E397" s="55" t="s">
        <v>524</v>
      </c>
      <c r="F397" s="56"/>
      <c r="G397" s="57" t="s">
        <v>205</v>
      </c>
      <c r="H397" s="58" t="str">
        <f>IF(G397="","",VLOOKUP($G397,'Quy chuẩn hạch toán'!$B:$E,2,0))</f>
        <v>642</v>
      </c>
      <c r="I397" s="58" t="str">
        <f>IF(H397="","",VLOOKUP($G397,'Quy chuẩn hạch toán'!$B:$E,3,0))</f>
        <v>1111</v>
      </c>
      <c r="J397" s="59">
        <v>52500.0</v>
      </c>
      <c r="K397" s="60"/>
      <c r="L397" s="61"/>
      <c r="M397" s="62"/>
      <c r="N397" s="63"/>
      <c r="O397" s="64" t="str">
        <f>IF($Q397&lt;&gt;0,VLOOKUP($Q397,DM_KM,3,0),"")</f>
        <v>#N/A</v>
      </c>
      <c r="P397" s="64" t="str">
        <f>IF($Q397&lt;&gt;0,VLOOKUP($Q397,DM_KM,5,0),"")</f>
        <v>#N/A</v>
      </c>
      <c r="Q397" s="89" t="s">
        <v>377</v>
      </c>
      <c r="R397" s="64" t="str">
        <f>IF(S397&lt;&gt;0,VLOOKUP(S397,DM_DUAN,3,0),"")</f>
        <v>#N/A</v>
      </c>
      <c r="S397" s="66" t="str">
        <f>IF(U397&lt;&gt;0,VLOOKUP(U397,DM_DUAN,3,0),"")</f>
        <v/>
      </c>
      <c r="T397" s="64"/>
      <c r="U397" s="93"/>
      <c r="V397" s="64" t="str">
        <f>IF(W397&lt;&gt;0,VLOOKUP(W397,DM_DUAN,3,0),"")</f>
        <v/>
      </c>
      <c r="W397" s="68"/>
      <c r="X397" s="64" t="str">
        <f>IF(Y397&lt;&gt;0,VLOOKUP(Y397,DM_DUAN,3,0),"")</f>
        <v>#N/A</v>
      </c>
      <c r="Y397" s="69" t="s">
        <v>207</v>
      </c>
      <c r="Z397" s="64" t="str">
        <f>IF(AA397&lt;&gt;0,VLOOKUP(AA397,DM_DUAN,3,0),"")</f>
        <v>#N/A</v>
      </c>
      <c r="AA397" s="131" t="s">
        <v>210</v>
      </c>
      <c r="AB397" s="64" t="str">
        <f>IF(AC397&lt;&gt;0,VLOOKUP(AC397,DM_DUAN,3,0),"")</f>
        <v/>
      </c>
      <c r="AC397" s="85"/>
      <c r="AD397" s="64" t="str">
        <f>IF(AC397&lt;&gt;0,VLOOKUP(AC397,DM_NV,2,0),"")</f>
        <v/>
      </c>
      <c r="AE397" s="83" t="s">
        <v>349</v>
      </c>
      <c r="AF397" s="64" t="str">
        <f>IF(AE397&lt;&gt;0,VLOOKUP(AE397,DM_NV,2,0),"")</f>
        <v>#N/A</v>
      </c>
    </row>
    <row r="398">
      <c r="A398" s="51"/>
      <c r="B398" s="52" t="str">
        <f>IF(D398="","",VLOOKUP(D398,'THAM CHIẾU'!$A:$B,2,0))</f>
        <v>#N/A</v>
      </c>
      <c r="C398" s="53" t="str">
        <f t="shared" si="3"/>
        <v>03/2022</v>
      </c>
      <c r="D398" s="54">
        <v>44622.0</v>
      </c>
      <c r="E398" s="55" t="s">
        <v>524</v>
      </c>
      <c r="F398" s="56"/>
      <c r="G398" s="57" t="s">
        <v>205</v>
      </c>
      <c r="H398" s="58" t="str">
        <f>IF(G398="","",VLOOKUP($G398,'Quy chuẩn hạch toán'!$B:$E,2,0))</f>
        <v>642</v>
      </c>
      <c r="I398" s="58" t="str">
        <f>IF(H398="","",VLOOKUP($G398,'Quy chuẩn hạch toán'!$B:$E,3,0))</f>
        <v>1111</v>
      </c>
      <c r="J398" s="59">
        <v>15000.0</v>
      </c>
      <c r="K398" s="60"/>
      <c r="L398" s="61"/>
      <c r="M398" s="62"/>
      <c r="N398" s="63"/>
      <c r="O398" s="64" t="str">
        <f>IF($Q398&lt;&gt;0,VLOOKUP($Q398,DM_KM,3,0),"")</f>
        <v>#N/A</v>
      </c>
      <c r="P398" s="64" t="str">
        <f>IF($Q398&lt;&gt;0,VLOOKUP($Q398,DM_KM,5,0),"")</f>
        <v>#N/A</v>
      </c>
      <c r="Q398" s="89" t="s">
        <v>377</v>
      </c>
      <c r="R398" s="64" t="str">
        <f>IF(S398&lt;&gt;0,VLOOKUP(S398,DM_DUAN,3,0),"")</f>
        <v>#N/A</v>
      </c>
      <c r="S398" s="66" t="str">
        <f>IF(U398&lt;&gt;0,VLOOKUP(U398,DM_DUAN,3,0),"")</f>
        <v/>
      </c>
      <c r="T398" s="64"/>
      <c r="U398" s="93"/>
      <c r="V398" s="64" t="str">
        <f>IF(W398&lt;&gt;0,VLOOKUP(W398,DM_DUAN,3,0),"")</f>
        <v/>
      </c>
      <c r="W398" s="68"/>
      <c r="X398" s="64" t="str">
        <f>IF(Y398&lt;&gt;0,VLOOKUP(Y398,DM_DUAN,3,0),"")</f>
        <v>#N/A</v>
      </c>
      <c r="Y398" s="69" t="s">
        <v>207</v>
      </c>
      <c r="Z398" s="64" t="str">
        <f>IF(AA398&lt;&gt;0,VLOOKUP(AA398,DM_DUAN,3,0),"")</f>
        <v>#N/A</v>
      </c>
      <c r="AA398" s="70" t="s">
        <v>514</v>
      </c>
      <c r="AB398" s="64" t="str">
        <f>IF(AC398&lt;&gt;0,VLOOKUP(AC398,DM_DUAN,3,0),"")</f>
        <v/>
      </c>
      <c r="AC398" s="85"/>
      <c r="AD398" s="64" t="str">
        <f>IF(AC398&lt;&gt;0,VLOOKUP(AC398,DM_NV,2,0),"")</f>
        <v/>
      </c>
      <c r="AE398" s="83" t="s">
        <v>349</v>
      </c>
      <c r="AF398" s="64" t="str">
        <f>IF(AE398&lt;&gt;0,VLOOKUP(AE398,DM_NV,2,0),"")</f>
        <v>#N/A</v>
      </c>
    </row>
    <row r="399">
      <c r="A399" s="51"/>
      <c r="B399" s="52" t="str">
        <f>IF(D399="","",VLOOKUP(D399,'THAM CHIẾU'!$A:$B,2,0))</f>
        <v>#N/A</v>
      </c>
      <c r="C399" s="53" t="str">
        <f t="shared" si="3"/>
        <v>03/2022</v>
      </c>
      <c r="D399" s="54">
        <v>44623.0</v>
      </c>
      <c r="E399" s="55" t="s">
        <v>525</v>
      </c>
      <c r="F399" s="56"/>
      <c r="G399" s="57" t="s">
        <v>205</v>
      </c>
      <c r="H399" s="58" t="str">
        <f>IF(G399="","",VLOOKUP($G399,'Quy chuẩn hạch toán'!$B:$E,2,0))</f>
        <v>642</v>
      </c>
      <c r="I399" s="58" t="str">
        <f>IF(H399="","",VLOOKUP($G399,'Quy chuẩn hạch toán'!$B:$E,3,0))</f>
        <v>1111</v>
      </c>
      <c r="J399" s="59">
        <v>186179.0</v>
      </c>
      <c r="K399" s="60"/>
      <c r="L399" s="61"/>
      <c r="M399" s="62"/>
      <c r="N399" s="63"/>
      <c r="O399" s="64" t="str">
        <f>IF($Q399&lt;&gt;0,VLOOKUP($Q399,DM_KM,3,0),"")</f>
        <v>#N/A</v>
      </c>
      <c r="P399" s="64" t="str">
        <f>IF($Q399&lt;&gt;0,VLOOKUP($Q399,DM_KM,5,0),"")</f>
        <v>#N/A</v>
      </c>
      <c r="Q399" s="65" t="s">
        <v>226</v>
      </c>
      <c r="R399" s="64" t="str">
        <f>IF(S399&lt;&gt;0,VLOOKUP(S399,DM_DUAN,3,0),"")</f>
        <v>#N/A</v>
      </c>
      <c r="S399" s="66" t="str">
        <f>IF(U399&lt;&gt;0,VLOOKUP(U399,DM_DUAN,3,0),"")</f>
        <v/>
      </c>
      <c r="T399" s="64"/>
      <c r="U399" s="93"/>
      <c r="V399" s="64" t="str">
        <f>IF(W399&lt;&gt;0,VLOOKUP(W399,DM_DUAN,3,0),"")</f>
        <v/>
      </c>
      <c r="W399" s="68"/>
      <c r="X399" s="64" t="str">
        <f>IF(Y399&lt;&gt;0,VLOOKUP(Y399,DM_DUAN,3,0),"")</f>
        <v>#N/A</v>
      </c>
      <c r="Y399" s="69" t="s">
        <v>207</v>
      </c>
      <c r="Z399" s="64" t="str">
        <f>IF(AA399&lt;&gt;0,VLOOKUP(AA399,DM_DUAN,3,0),"")</f>
        <v>#N/A</v>
      </c>
      <c r="AA399" s="70" t="s">
        <v>183</v>
      </c>
      <c r="AB399" s="64" t="str">
        <f>IF(AC399&lt;&gt;0,VLOOKUP(AC399,DM_DUAN,3,0),"")</f>
        <v/>
      </c>
      <c r="AC399" s="85"/>
      <c r="AD399" s="64" t="str">
        <f>IF(AC399&lt;&gt;0,VLOOKUP(AC399,DM_NV,2,0),"")</f>
        <v/>
      </c>
      <c r="AE399" s="83" t="s">
        <v>227</v>
      </c>
      <c r="AF399" s="64" t="str">
        <f>IF(AE399&lt;&gt;0,VLOOKUP(AE399,DM_NV,2,0),"")</f>
        <v>#N/A</v>
      </c>
    </row>
    <row r="400">
      <c r="A400" s="51"/>
      <c r="B400" s="52" t="str">
        <f>IF(D400="","",VLOOKUP(D400,'THAM CHIẾU'!$A:$B,2,0))</f>
        <v>#N/A</v>
      </c>
      <c r="C400" s="53" t="str">
        <f t="shared" si="3"/>
        <v>03/2022</v>
      </c>
      <c r="D400" s="54">
        <v>44623.0</v>
      </c>
      <c r="E400" s="55" t="s">
        <v>525</v>
      </c>
      <c r="F400" s="56"/>
      <c r="G400" s="57" t="s">
        <v>205</v>
      </c>
      <c r="H400" s="58" t="str">
        <f>IF(G400="","",VLOOKUP($G400,'Quy chuẩn hạch toán'!$B:$E,2,0))</f>
        <v>642</v>
      </c>
      <c r="I400" s="58" t="str">
        <f>IF(H400="","",VLOOKUP($G400,'Quy chuẩn hạch toán'!$B:$E,3,0))</f>
        <v>1111</v>
      </c>
      <c r="J400" s="59">
        <v>100250.0</v>
      </c>
      <c r="K400" s="60"/>
      <c r="L400" s="61"/>
      <c r="M400" s="62"/>
      <c r="N400" s="63"/>
      <c r="O400" s="64" t="str">
        <f>IF($Q400&lt;&gt;0,VLOOKUP($Q400,DM_KM,3,0),"")</f>
        <v>#N/A</v>
      </c>
      <c r="P400" s="64" t="str">
        <f>IF($Q400&lt;&gt;0,VLOOKUP($Q400,DM_KM,5,0),"")</f>
        <v>#N/A</v>
      </c>
      <c r="Q400" s="65" t="s">
        <v>226</v>
      </c>
      <c r="R400" s="64" t="str">
        <f>IF(S400&lt;&gt;0,VLOOKUP(S400,DM_DUAN,3,0),"")</f>
        <v>#N/A</v>
      </c>
      <c r="S400" s="66" t="str">
        <f>IF(U400&lt;&gt;0,VLOOKUP(U400,DM_DUAN,3,0),"")</f>
        <v/>
      </c>
      <c r="T400" s="64"/>
      <c r="U400" s="93"/>
      <c r="V400" s="64" t="str">
        <f>IF(W400&lt;&gt;0,VLOOKUP(W400,DM_DUAN,3,0),"")</f>
        <v/>
      </c>
      <c r="W400" s="68"/>
      <c r="X400" s="64" t="str">
        <f>IF(Y400&lt;&gt;0,VLOOKUP(Y400,DM_DUAN,3,0),"")</f>
        <v>#N/A</v>
      </c>
      <c r="Y400" s="69" t="s">
        <v>207</v>
      </c>
      <c r="Z400" s="64" t="str">
        <f>IF(AA400&lt;&gt;0,VLOOKUP(AA400,DM_DUAN,3,0),"")</f>
        <v>#N/A</v>
      </c>
      <c r="AA400" s="70" t="s">
        <v>177</v>
      </c>
      <c r="AB400" s="64" t="str">
        <f>IF(AC400&lt;&gt;0,VLOOKUP(AC400,DM_DUAN,3,0),"")</f>
        <v/>
      </c>
      <c r="AC400" s="85"/>
      <c r="AD400" s="64" t="str">
        <f>IF(AC400&lt;&gt;0,VLOOKUP(AC400,DM_NV,2,0),"")</f>
        <v/>
      </c>
      <c r="AE400" s="83" t="s">
        <v>227</v>
      </c>
      <c r="AF400" s="64" t="str">
        <f>IF(AE400&lt;&gt;0,VLOOKUP(AE400,DM_NV,2,0),"")</f>
        <v>#N/A</v>
      </c>
    </row>
    <row r="401">
      <c r="A401" s="51"/>
      <c r="B401" s="52" t="str">
        <f>IF(D401="","",VLOOKUP(D401,'THAM CHIẾU'!$A:$B,2,0))</f>
        <v>#N/A</v>
      </c>
      <c r="C401" s="53" t="str">
        <f t="shared" si="3"/>
        <v>03/2022</v>
      </c>
      <c r="D401" s="54">
        <v>44623.0</v>
      </c>
      <c r="E401" s="55" t="s">
        <v>525</v>
      </c>
      <c r="F401" s="56"/>
      <c r="G401" s="57" t="s">
        <v>205</v>
      </c>
      <c r="H401" s="58" t="str">
        <f>IF(G401="","",VLOOKUP($G401,'Quy chuẩn hạch toán'!$B:$E,2,0))</f>
        <v>642</v>
      </c>
      <c r="I401" s="58" t="str">
        <f>IF(H401="","",VLOOKUP($G401,'Quy chuẩn hạch toán'!$B:$E,3,0))</f>
        <v>1111</v>
      </c>
      <c r="J401" s="59">
        <v>100250.0</v>
      </c>
      <c r="K401" s="60"/>
      <c r="L401" s="61"/>
      <c r="M401" s="62"/>
      <c r="N401" s="63"/>
      <c r="O401" s="64" t="str">
        <f>IF($Q401&lt;&gt;0,VLOOKUP($Q401,DM_KM,3,0),"")</f>
        <v>#N/A</v>
      </c>
      <c r="P401" s="64" t="str">
        <f>IF($Q401&lt;&gt;0,VLOOKUP($Q401,DM_KM,5,0),"")</f>
        <v>#N/A</v>
      </c>
      <c r="Q401" s="89" t="s">
        <v>226</v>
      </c>
      <c r="R401" s="64" t="str">
        <f>IF(S401&lt;&gt;0,VLOOKUP(S401,DM_DUAN,3,0),"")</f>
        <v>#N/A</v>
      </c>
      <c r="S401" s="66" t="str">
        <f>IF(U401&lt;&gt;0,VLOOKUP(U401,DM_DUAN,3,0),"")</f>
        <v/>
      </c>
      <c r="T401" s="64"/>
      <c r="U401" s="93"/>
      <c r="V401" s="64" t="str">
        <f>IF(W401&lt;&gt;0,VLOOKUP(W401,DM_DUAN,3,0),"")</f>
        <v/>
      </c>
      <c r="W401" s="68"/>
      <c r="X401" s="64" t="str">
        <f>IF(Y401&lt;&gt;0,VLOOKUP(Y401,DM_DUAN,3,0),"")</f>
        <v>#N/A</v>
      </c>
      <c r="Y401" s="69" t="s">
        <v>207</v>
      </c>
      <c r="Z401" s="64" t="str">
        <f>IF(AA401&lt;&gt;0,VLOOKUP(AA401,DM_DUAN,3,0),"")</f>
        <v>#N/A</v>
      </c>
      <c r="AA401" s="131" t="s">
        <v>210</v>
      </c>
      <c r="AB401" s="64" t="str">
        <f>IF(AC401&lt;&gt;0,VLOOKUP(AC401,DM_DUAN,3,0),"")</f>
        <v/>
      </c>
      <c r="AC401" s="85"/>
      <c r="AD401" s="64" t="str">
        <f>IF(AC401&lt;&gt;0,VLOOKUP(AC401,DM_NV,2,0),"")</f>
        <v/>
      </c>
      <c r="AE401" s="83" t="s">
        <v>227</v>
      </c>
      <c r="AF401" s="64" t="str">
        <f>IF(AE401&lt;&gt;0,VLOOKUP(AE401,DM_NV,2,0),"")</f>
        <v>#N/A</v>
      </c>
    </row>
    <row r="402">
      <c r="A402" s="51"/>
      <c r="B402" s="52" t="str">
        <f>IF(D402="","",VLOOKUP(D402,'THAM CHIẾU'!$A:$B,2,0))</f>
        <v>#N/A</v>
      </c>
      <c r="C402" s="53" t="str">
        <f t="shared" si="3"/>
        <v>03/2022</v>
      </c>
      <c r="D402" s="54">
        <v>44623.0</v>
      </c>
      <c r="E402" s="55" t="s">
        <v>525</v>
      </c>
      <c r="F402" s="56"/>
      <c r="G402" s="57" t="s">
        <v>205</v>
      </c>
      <c r="H402" s="58" t="str">
        <f>IF(G402="","",VLOOKUP($G402,'Quy chuẩn hạch toán'!$B:$E,2,0))</f>
        <v>642</v>
      </c>
      <c r="I402" s="58" t="str">
        <f>IF(H402="","",VLOOKUP($G402,'Quy chuẩn hạch toán'!$B:$E,3,0))</f>
        <v>1111</v>
      </c>
      <c r="J402" s="59">
        <v>28643.0</v>
      </c>
      <c r="K402" s="60"/>
      <c r="L402" s="61"/>
      <c r="M402" s="62"/>
      <c r="N402" s="63"/>
      <c r="O402" s="64" t="str">
        <f>IF($Q402&lt;&gt;0,VLOOKUP($Q402,DM_KM,3,0),"")</f>
        <v>#N/A</v>
      </c>
      <c r="P402" s="64" t="str">
        <f>IF($Q402&lt;&gt;0,VLOOKUP($Q402,DM_KM,5,0),"")</f>
        <v>#N/A</v>
      </c>
      <c r="Q402" s="89" t="s">
        <v>226</v>
      </c>
      <c r="R402" s="64" t="str">
        <f>IF(S402&lt;&gt;0,VLOOKUP(S402,DM_DUAN,3,0),"")</f>
        <v>#N/A</v>
      </c>
      <c r="S402" s="66" t="str">
        <f>IF(U402&lt;&gt;0,VLOOKUP(U402,DM_DUAN,3,0),"")</f>
        <v/>
      </c>
      <c r="T402" s="64"/>
      <c r="U402" s="93"/>
      <c r="V402" s="64" t="str">
        <f>IF(W402&lt;&gt;0,VLOOKUP(W402,DM_DUAN,3,0),"")</f>
        <v/>
      </c>
      <c r="W402" s="68"/>
      <c r="X402" s="64" t="str">
        <f>IF(Y402&lt;&gt;0,VLOOKUP(Y402,DM_DUAN,3,0),"")</f>
        <v>#N/A</v>
      </c>
      <c r="Y402" s="69" t="s">
        <v>207</v>
      </c>
      <c r="Z402" s="64" t="str">
        <f>IF(AA402&lt;&gt;0,VLOOKUP(AA402,DM_DUAN,3,0),"")</f>
        <v>#N/A</v>
      </c>
      <c r="AA402" s="70" t="s">
        <v>514</v>
      </c>
      <c r="AB402" s="64" t="str">
        <f>IF(AC402&lt;&gt;0,VLOOKUP(AC402,DM_DUAN,3,0),"")</f>
        <v/>
      </c>
      <c r="AC402" s="85"/>
      <c r="AD402" s="64" t="str">
        <f>IF(AC402&lt;&gt;0,VLOOKUP(AC402,DM_NV,2,0),"")</f>
        <v/>
      </c>
      <c r="AE402" s="83" t="s">
        <v>227</v>
      </c>
      <c r="AF402" s="64" t="str">
        <f>IF(AE402&lt;&gt;0,VLOOKUP(AE402,DM_NV,2,0),"")</f>
        <v>#N/A</v>
      </c>
    </row>
    <row r="403">
      <c r="A403" s="51"/>
      <c r="B403" s="52"/>
      <c r="C403" s="53" t="str">
        <f t="shared" si="3"/>
        <v>03/2022</v>
      </c>
      <c r="D403" s="54">
        <v>44623.0</v>
      </c>
      <c r="E403" s="55" t="s">
        <v>526</v>
      </c>
      <c r="F403" s="56"/>
      <c r="G403" s="57" t="s">
        <v>205</v>
      </c>
      <c r="H403" s="58" t="str">
        <f>IF(G403="","",VLOOKUP($G403,'Quy chuẩn hạch toán'!$B:$E,2,0))</f>
        <v>642</v>
      </c>
      <c r="I403" s="58" t="str">
        <f>IF(H403="","",VLOOKUP($G403,'Quy chuẩn hạch toán'!$B:$E,3,0))</f>
        <v>1111</v>
      </c>
      <c r="J403" s="59">
        <v>27793.0</v>
      </c>
      <c r="K403" s="60"/>
      <c r="L403" s="61"/>
      <c r="M403" s="62"/>
      <c r="N403" s="63"/>
      <c r="O403" s="64" t="str">
        <f>IF($Q403&lt;&gt;0,VLOOKUP($Q403,DM_KM,3,0),"")</f>
        <v>#N/A</v>
      </c>
      <c r="P403" s="64" t="str">
        <f>IF($Q403&lt;&gt;0,VLOOKUP($Q403,DM_KM,5,0),"")</f>
        <v>#N/A</v>
      </c>
      <c r="Q403" s="65" t="s">
        <v>219</v>
      </c>
      <c r="R403" s="64" t="str">
        <f>IF(S403&lt;&gt;0,VLOOKUP(S403,DM_DUAN,3,0),"")</f>
        <v>#N/A</v>
      </c>
      <c r="S403" s="66" t="str">
        <f>IF(U403&lt;&gt;0,VLOOKUP(U403,DM_DUAN,3,0),"")</f>
        <v/>
      </c>
      <c r="T403" s="64"/>
      <c r="U403" s="93"/>
      <c r="V403" s="64" t="str">
        <f>IF(W403&lt;&gt;0,VLOOKUP(W403,DM_DUAN,3,0),"")</f>
        <v/>
      </c>
      <c r="W403" s="68"/>
      <c r="X403" s="64" t="str">
        <f>IF(Y403&lt;&gt;0,VLOOKUP(Y403,DM_DUAN,3,0),"")</f>
        <v>#N/A</v>
      </c>
      <c r="Y403" s="69" t="s">
        <v>207</v>
      </c>
      <c r="Z403" s="64" t="str">
        <f>IF(AA403&lt;&gt;0,VLOOKUP(AA403,DM_DUAN,3,0),"")</f>
        <v>#N/A</v>
      </c>
      <c r="AA403" s="70" t="s">
        <v>183</v>
      </c>
      <c r="AB403" s="64" t="str">
        <f>IF(AC403&lt;&gt;0,VLOOKUP(AC403,DM_DUAN,3,0),"")</f>
        <v/>
      </c>
      <c r="AC403" s="85"/>
      <c r="AD403" s="64" t="str">
        <f>IF(AC403&lt;&gt;0,VLOOKUP(AC403,DM_NV,2,0),"")</f>
        <v/>
      </c>
      <c r="AE403" s="83" t="s">
        <v>220</v>
      </c>
      <c r="AF403" s="64" t="str">
        <f>IF(AE403&lt;&gt;0,VLOOKUP(AE403,DM_NV,2,0),"")</f>
        <v>#N/A</v>
      </c>
    </row>
    <row r="404">
      <c r="A404" s="51"/>
      <c r="B404" s="52"/>
      <c r="C404" s="53" t="str">
        <f t="shared" si="3"/>
        <v>03/2022</v>
      </c>
      <c r="D404" s="54">
        <v>44623.0</v>
      </c>
      <c r="E404" s="55" t="s">
        <v>526</v>
      </c>
      <c r="F404" s="56"/>
      <c r="G404" s="57" t="s">
        <v>205</v>
      </c>
      <c r="H404" s="58" t="str">
        <f>IF(G404="","",VLOOKUP($G404,'Quy chuẩn hạch toán'!$B:$E,2,0))</f>
        <v>642</v>
      </c>
      <c r="I404" s="58" t="str">
        <f>IF(H404="","",VLOOKUP($G404,'Quy chuẩn hạch toán'!$B:$E,3,0))</f>
        <v>1111</v>
      </c>
      <c r="J404" s="59">
        <v>14966.0</v>
      </c>
      <c r="K404" s="60"/>
      <c r="L404" s="61"/>
      <c r="M404" s="62"/>
      <c r="N404" s="63"/>
      <c r="O404" s="64" t="str">
        <f>IF($Q404&lt;&gt;0,VLOOKUP($Q404,DM_KM,3,0),"")</f>
        <v>#N/A</v>
      </c>
      <c r="P404" s="64" t="str">
        <f>IF($Q404&lt;&gt;0,VLOOKUP($Q404,DM_KM,5,0),"")</f>
        <v>#N/A</v>
      </c>
      <c r="Q404" s="89" t="s">
        <v>219</v>
      </c>
      <c r="R404" s="64" t="str">
        <f>IF(S404&lt;&gt;0,VLOOKUP(S404,DM_DUAN,3,0),"")</f>
        <v>#N/A</v>
      </c>
      <c r="S404" s="66" t="str">
        <f>IF(U404&lt;&gt;0,VLOOKUP(U404,DM_DUAN,3,0),"")</f>
        <v/>
      </c>
      <c r="T404" s="64"/>
      <c r="U404" s="93"/>
      <c r="V404" s="64" t="str">
        <f>IF(W404&lt;&gt;0,VLOOKUP(W404,DM_DUAN,3,0),"")</f>
        <v/>
      </c>
      <c r="W404" s="68"/>
      <c r="X404" s="64" t="str">
        <f>IF(Y404&lt;&gt;0,VLOOKUP(Y404,DM_DUAN,3,0),"")</f>
        <v>#N/A</v>
      </c>
      <c r="Y404" s="69" t="s">
        <v>207</v>
      </c>
      <c r="Z404" s="64" t="str">
        <f>IF(AA404&lt;&gt;0,VLOOKUP(AA404,DM_DUAN,3,0),"")</f>
        <v>#N/A</v>
      </c>
      <c r="AA404" s="131" t="s">
        <v>177</v>
      </c>
      <c r="AB404" s="64" t="str">
        <f>IF(AC404&lt;&gt;0,VLOOKUP(AC404,DM_DUAN,3,0),"")</f>
        <v/>
      </c>
      <c r="AC404" s="85"/>
      <c r="AD404" s="64" t="str">
        <f>IF(AC404&lt;&gt;0,VLOOKUP(AC404,DM_NV,2,0),"")</f>
        <v/>
      </c>
      <c r="AE404" s="83" t="s">
        <v>220</v>
      </c>
      <c r="AF404" s="64" t="str">
        <f>IF(AE404&lt;&gt;0,VLOOKUP(AE404,DM_NV,2,0),"")</f>
        <v>#N/A</v>
      </c>
    </row>
    <row r="405">
      <c r="A405" s="51"/>
      <c r="B405" s="52" t="str">
        <f>IF(D405="","",VLOOKUP(D405,'THAM CHIẾU'!$A:$B,2,0))</f>
        <v>#N/A</v>
      </c>
      <c r="C405" s="53" t="str">
        <f t="shared" si="3"/>
        <v>03/2022</v>
      </c>
      <c r="D405" s="54">
        <v>44623.0</v>
      </c>
      <c r="E405" s="55" t="s">
        <v>526</v>
      </c>
      <c r="F405" s="56"/>
      <c r="G405" s="57" t="s">
        <v>205</v>
      </c>
      <c r="H405" s="58" t="str">
        <f>IF(G405="","",VLOOKUP($G405,'Quy chuẩn hạch toán'!$B:$E,2,0))</f>
        <v>642</v>
      </c>
      <c r="I405" s="58" t="str">
        <f>IF(H405="","",VLOOKUP($G405,'Quy chuẩn hạch toán'!$B:$E,3,0))</f>
        <v>1111</v>
      </c>
      <c r="J405" s="59">
        <v>14966.0</v>
      </c>
      <c r="K405" s="60"/>
      <c r="L405" s="61"/>
      <c r="M405" s="62"/>
      <c r="N405" s="63"/>
      <c r="O405" s="64" t="str">
        <f>IF($Q405&lt;&gt;0,VLOOKUP($Q405,DM_KM,3,0),"")</f>
        <v>#N/A</v>
      </c>
      <c r="P405" s="64" t="str">
        <f>IF($Q405&lt;&gt;0,VLOOKUP($Q405,DM_KM,5,0),"")</f>
        <v>#N/A</v>
      </c>
      <c r="Q405" s="65" t="s">
        <v>219</v>
      </c>
      <c r="R405" s="64" t="str">
        <f>IF(S405&lt;&gt;0,VLOOKUP(S405,DM_DUAN,3,0),"")</f>
        <v>#N/A</v>
      </c>
      <c r="S405" s="66" t="str">
        <f>IF(U405&lt;&gt;0,VLOOKUP(U405,DM_DUAN,3,0),"")</f>
        <v/>
      </c>
      <c r="T405" s="64"/>
      <c r="U405" s="67"/>
      <c r="V405" s="64" t="str">
        <f>IF(W405&lt;&gt;0,VLOOKUP(W405,DM_DUAN,3,0),"")</f>
        <v/>
      </c>
      <c r="W405" s="68"/>
      <c r="X405" s="64" t="str">
        <f>IF(Y405&lt;&gt;0,VLOOKUP(Y405,DM_DUAN,3,0),"")</f>
        <v>#N/A</v>
      </c>
      <c r="Y405" s="69" t="s">
        <v>207</v>
      </c>
      <c r="Z405" s="64" t="str">
        <f>IF(AA405&lt;&gt;0,VLOOKUP(AA405,DM_DUAN,3,0),"")</f>
        <v>#N/A</v>
      </c>
      <c r="AA405" s="70" t="s">
        <v>210</v>
      </c>
      <c r="AB405" s="64" t="str">
        <f>IF(AC405&lt;&gt;0,VLOOKUP(AC405,DM_DUAN,3,0),"")</f>
        <v/>
      </c>
      <c r="AC405" s="85"/>
      <c r="AD405" s="64" t="str">
        <f>IF(AC405&lt;&gt;0,VLOOKUP(AC405,DM_NV,2,0),"")</f>
        <v/>
      </c>
      <c r="AE405" s="83" t="s">
        <v>220</v>
      </c>
      <c r="AF405" s="64" t="str">
        <f>IF(AE405&lt;&gt;0,VLOOKUP(AE405,DM_NV,2,0),"")</f>
        <v>#N/A</v>
      </c>
    </row>
    <row r="406">
      <c r="A406" s="51"/>
      <c r="B406" s="52" t="str">
        <f>IF(D406="","",VLOOKUP(D406,'THAM CHIẾU'!$A:$B,2,0))</f>
        <v>#N/A</v>
      </c>
      <c r="C406" s="53" t="str">
        <f t="shared" si="3"/>
        <v>03/2022</v>
      </c>
      <c r="D406" s="54">
        <v>44623.0</v>
      </c>
      <c r="E406" s="55" t="s">
        <v>526</v>
      </c>
      <c r="F406" s="56"/>
      <c r="G406" s="57" t="s">
        <v>205</v>
      </c>
      <c r="H406" s="58" t="str">
        <f>IF(G406="","",VLOOKUP($G406,'Quy chuẩn hạch toán'!$B:$E,2,0))</f>
        <v>642</v>
      </c>
      <c r="I406" s="58" t="str">
        <f>IF(H406="","",VLOOKUP($G406,'Quy chuẩn hạch toán'!$B:$E,3,0))</f>
        <v>1111</v>
      </c>
      <c r="J406" s="59">
        <v>4276.0</v>
      </c>
      <c r="K406" s="60"/>
      <c r="L406" s="61"/>
      <c r="M406" s="62"/>
      <c r="N406" s="63"/>
      <c r="O406" s="64" t="str">
        <f>IF($Q406&lt;&gt;0,VLOOKUP($Q406,DM_KM,3,0),"")</f>
        <v>#N/A</v>
      </c>
      <c r="P406" s="64" t="str">
        <f>IF($Q406&lt;&gt;0,VLOOKUP($Q406,DM_KM,5,0),"")</f>
        <v>#N/A</v>
      </c>
      <c r="Q406" s="89" t="s">
        <v>219</v>
      </c>
      <c r="R406" s="64" t="str">
        <f>IF(S406&lt;&gt;0,VLOOKUP(S406,DM_DUAN,3,0),"")</f>
        <v>#N/A</v>
      </c>
      <c r="S406" s="66" t="str">
        <f>IF(U406&lt;&gt;0,VLOOKUP(U406,DM_DUAN,3,0),"")</f>
        <v/>
      </c>
      <c r="T406" s="64"/>
      <c r="U406" s="93"/>
      <c r="V406" s="64" t="str">
        <f>IF(W406&lt;&gt;0,VLOOKUP(W406,DM_DUAN,3,0),"")</f>
        <v/>
      </c>
      <c r="W406" s="68"/>
      <c r="X406" s="64" t="str">
        <f>IF(Y406&lt;&gt;0,VLOOKUP(Y406,DM_DUAN,3,0),"")</f>
        <v>#N/A</v>
      </c>
      <c r="Y406" s="69" t="s">
        <v>207</v>
      </c>
      <c r="Z406" s="64" t="str">
        <f>IF(AA406&lt;&gt;0,VLOOKUP(AA406,DM_DUAN,3,0),"")</f>
        <v>#N/A</v>
      </c>
      <c r="AA406" s="70" t="s">
        <v>514</v>
      </c>
      <c r="AB406" s="64" t="str">
        <f>IF(AC406&lt;&gt;0,VLOOKUP(AC406,DM_DUAN,3,0),"")</f>
        <v/>
      </c>
      <c r="AC406" s="85"/>
      <c r="AD406" s="64" t="str">
        <f>IF(AC406&lt;&gt;0,VLOOKUP(AC406,DM_NV,2,0),"")</f>
        <v/>
      </c>
      <c r="AE406" s="83" t="s">
        <v>220</v>
      </c>
      <c r="AF406" s="64" t="str">
        <f>IF(AE406&lt;&gt;0,VLOOKUP(AE406,DM_NV,2,0),"")</f>
        <v>#N/A</v>
      </c>
    </row>
    <row r="407">
      <c r="A407" s="51"/>
      <c r="B407" s="52" t="str">
        <f>IF(D407="","",VLOOKUP(D407,'THAM CHIẾU'!$A:$B,2,0))</f>
        <v>#N/A</v>
      </c>
      <c r="C407" s="53" t="str">
        <f t="shared" si="3"/>
        <v>03/2022</v>
      </c>
      <c r="D407" s="54">
        <v>44623.0</v>
      </c>
      <c r="E407" s="55" t="s">
        <v>527</v>
      </c>
      <c r="F407" s="56"/>
      <c r="G407" s="57" t="s">
        <v>205</v>
      </c>
      <c r="H407" s="58" t="str">
        <f>IF(G407="","",VLOOKUP($G407,'Quy chuẩn hạch toán'!$B:$E,2,0))</f>
        <v>642</v>
      </c>
      <c r="I407" s="58" t="str">
        <f>IF(H407="","",VLOOKUP($G407,'Quy chuẩn hạch toán'!$B:$E,3,0))</f>
        <v>1111</v>
      </c>
      <c r="J407" s="59">
        <v>44828.0</v>
      </c>
      <c r="K407" s="60"/>
      <c r="L407" s="61"/>
      <c r="M407" s="62"/>
      <c r="N407" s="63"/>
      <c r="O407" s="64" t="str">
        <f>IF($Q407&lt;&gt;0,VLOOKUP($Q407,DM_KM,3,0),"")</f>
        <v>#N/A</v>
      </c>
      <c r="P407" s="64" t="str">
        <f>IF($Q407&lt;&gt;0,VLOOKUP($Q407,DM_KM,5,0),"")</f>
        <v>#N/A</v>
      </c>
      <c r="Q407" s="65" t="s">
        <v>222</v>
      </c>
      <c r="R407" s="64" t="str">
        <f>IF(S407&lt;&gt;0,VLOOKUP(S407,DM_DUAN,3,0),"")</f>
        <v>#N/A</v>
      </c>
      <c r="S407" s="66" t="str">
        <f>IF(U407&lt;&gt;0,VLOOKUP(U407,DM_DUAN,3,0),"")</f>
        <v/>
      </c>
      <c r="T407" s="64"/>
      <c r="U407" s="93"/>
      <c r="V407" s="64" t="str">
        <f>IF(W407&lt;&gt;0,VLOOKUP(W407,DM_DUAN,3,0),"")</f>
        <v/>
      </c>
      <c r="W407" s="68"/>
      <c r="X407" s="64" t="str">
        <f>IF(Y407&lt;&gt;0,VLOOKUP(Y407,DM_DUAN,3,0),"")</f>
        <v>#N/A</v>
      </c>
      <c r="Y407" s="69" t="s">
        <v>207</v>
      </c>
      <c r="Z407" s="64" t="str">
        <f>IF(AA407&lt;&gt;0,VLOOKUP(AA407,DM_DUAN,3,0),"")</f>
        <v>#N/A</v>
      </c>
      <c r="AA407" s="70" t="s">
        <v>183</v>
      </c>
      <c r="AB407" s="64" t="str">
        <f>IF(AC407&lt;&gt;0,VLOOKUP(AC407,DM_DUAN,3,0),"")</f>
        <v/>
      </c>
      <c r="AC407" s="85"/>
      <c r="AD407" s="64" t="str">
        <f>IF(AC407&lt;&gt;0,VLOOKUP(AC407,DM_NV,2,0),"")</f>
        <v/>
      </c>
      <c r="AE407" s="83" t="s">
        <v>223</v>
      </c>
      <c r="AF407" s="64" t="str">
        <f>IF(AE407&lt;&gt;0,VLOOKUP(AE407,DM_NV,2,0),"")</f>
        <v>#N/A</v>
      </c>
    </row>
    <row r="408">
      <c r="A408" s="51"/>
      <c r="B408" s="52" t="str">
        <f>IF(D408="","",VLOOKUP(D408,'THAM CHIẾU'!$A:$B,2,0))</f>
        <v>#N/A</v>
      </c>
      <c r="C408" s="53" t="str">
        <f t="shared" si="3"/>
        <v>03/2022</v>
      </c>
      <c r="D408" s="54">
        <v>44623.0</v>
      </c>
      <c r="E408" s="55" t="s">
        <v>527</v>
      </c>
      <c r="F408" s="56"/>
      <c r="G408" s="57" t="s">
        <v>205</v>
      </c>
      <c r="H408" s="58" t="str">
        <f>IF(G408="","",VLOOKUP($G408,'Quy chuẩn hạch toán'!$B:$E,2,0))</f>
        <v>642</v>
      </c>
      <c r="I408" s="58" t="str">
        <f>IF(H408="","",VLOOKUP($G408,'Quy chuẩn hạch toán'!$B:$E,3,0))</f>
        <v>1111</v>
      </c>
      <c r="J408" s="59">
        <v>24138.0</v>
      </c>
      <c r="K408" s="60"/>
      <c r="L408" s="61"/>
      <c r="M408" s="62"/>
      <c r="N408" s="63"/>
      <c r="O408" s="64" t="str">
        <f>IF($Q408&lt;&gt;0,VLOOKUP($Q408,DM_KM,3,0),"")</f>
        <v>#N/A</v>
      </c>
      <c r="P408" s="64" t="str">
        <f>IF($Q408&lt;&gt;0,VLOOKUP($Q408,DM_KM,5,0),"")</f>
        <v>#N/A</v>
      </c>
      <c r="Q408" s="65" t="s">
        <v>222</v>
      </c>
      <c r="R408" s="64" t="str">
        <f>IF(S408&lt;&gt;0,VLOOKUP(S408,DM_DUAN,3,0),"")</f>
        <v>#N/A</v>
      </c>
      <c r="S408" s="66" t="str">
        <f>IF(U408&lt;&gt;0,VLOOKUP(U408,DM_DUAN,3,0),"")</f>
        <v/>
      </c>
      <c r="T408" s="64"/>
      <c r="U408" s="93"/>
      <c r="V408" s="64" t="str">
        <f>IF(W408&lt;&gt;0,VLOOKUP(W408,DM_DUAN,3,0),"")</f>
        <v/>
      </c>
      <c r="W408" s="68"/>
      <c r="X408" s="64" t="str">
        <f>IF(Y408&lt;&gt;0,VLOOKUP(Y408,DM_DUAN,3,0),"")</f>
        <v>#N/A</v>
      </c>
      <c r="Y408" s="69" t="s">
        <v>207</v>
      </c>
      <c r="Z408" s="64" t="str">
        <f>IF(AA408&lt;&gt;0,VLOOKUP(AA408,DM_DUAN,3,0),"")</f>
        <v>#N/A</v>
      </c>
      <c r="AA408" s="70" t="s">
        <v>177</v>
      </c>
      <c r="AB408" s="64" t="str">
        <f>IF(AC408&lt;&gt;0,VLOOKUP(AC408,DM_DUAN,3,0),"")</f>
        <v/>
      </c>
      <c r="AC408" s="85"/>
      <c r="AD408" s="64" t="str">
        <f>IF(AC408&lt;&gt;0,VLOOKUP(AC408,DM_NV,2,0),"")</f>
        <v/>
      </c>
      <c r="AE408" s="83" t="s">
        <v>223</v>
      </c>
      <c r="AF408" s="64" t="str">
        <f>IF(AE408&lt;&gt;0,VLOOKUP(AE408,DM_NV,2,0),"")</f>
        <v>#N/A</v>
      </c>
    </row>
    <row r="409">
      <c r="A409" s="51"/>
      <c r="B409" s="52" t="str">
        <f>IF(D409="","",VLOOKUP(D409,'THAM CHIẾU'!$A:$B,2,0))</f>
        <v>#N/A</v>
      </c>
      <c r="C409" s="53" t="str">
        <f t="shared" si="3"/>
        <v>03/2022</v>
      </c>
      <c r="D409" s="54">
        <v>44623.0</v>
      </c>
      <c r="E409" s="55" t="s">
        <v>527</v>
      </c>
      <c r="F409" s="56"/>
      <c r="G409" s="57" t="s">
        <v>205</v>
      </c>
      <c r="H409" s="58" t="str">
        <f>IF(G409="","",VLOOKUP($G409,'Quy chuẩn hạch toán'!$B:$E,2,0))</f>
        <v>642</v>
      </c>
      <c r="I409" s="58" t="str">
        <f>IF(H409="","",VLOOKUP($G409,'Quy chuẩn hạch toán'!$B:$E,3,0))</f>
        <v>1111</v>
      </c>
      <c r="J409" s="59">
        <v>24138.0</v>
      </c>
      <c r="K409" s="60"/>
      <c r="L409" s="61"/>
      <c r="M409" s="62"/>
      <c r="N409" s="63"/>
      <c r="O409" s="64" t="str">
        <f>IF($Q409&lt;&gt;0,VLOOKUP($Q409,DM_KM,3,0),"")</f>
        <v>#N/A</v>
      </c>
      <c r="P409" s="64" t="str">
        <f>IF($Q409&lt;&gt;0,VLOOKUP($Q409,DM_KM,5,0),"")</f>
        <v>#N/A</v>
      </c>
      <c r="Q409" s="89" t="s">
        <v>222</v>
      </c>
      <c r="R409" s="64" t="str">
        <f>IF(S409&lt;&gt;0,VLOOKUP(S409,DM_DUAN,3,0),"")</f>
        <v>#N/A</v>
      </c>
      <c r="S409" s="66" t="str">
        <f>IF(U409&lt;&gt;0,VLOOKUP(U409,DM_DUAN,3,0),"")</f>
        <v/>
      </c>
      <c r="T409" s="64"/>
      <c r="U409" s="93"/>
      <c r="V409" s="64" t="str">
        <f>IF(W409&lt;&gt;0,VLOOKUP(W409,DM_DUAN,3,0),"")</f>
        <v/>
      </c>
      <c r="W409" s="68"/>
      <c r="X409" s="64" t="str">
        <f>IF(Y409&lt;&gt;0,VLOOKUP(Y409,DM_DUAN,3,0),"")</f>
        <v>#N/A</v>
      </c>
      <c r="Y409" s="69" t="s">
        <v>207</v>
      </c>
      <c r="Z409" s="64" t="str">
        <f>IF(AA409&lt;&gt;0,VLOOKUP(AA409,DM_DUAN,3,0),"")</f>
        <v>#N/A</v>
      </c>
      <c r="AA409" s="131" t="s">
        <v>210</v>
      </c>
      <c r="AB409" s="64" t="str">
        <f>IF(AC409&lt;&gt;0,VLOOKUP(AC409,DM_DUAN,3,0),"")</f>
        <v/>
      </c>
      <c r="AC409" s="85"/>
      <c r="AD409" s="64" t="str">
        <f>IF(AC409&lt;&gt;0,VLOOKUP(AC409,DM_NV,2,0),"")</f>
        <v/>
      </c>
      <c r="AE409" s="83" t="s">
        <v>223</v>
      </c>
      <c r="AF409" s="64" t="str">
        <f>IF(AE409&lt;&gt;0,VLOOKUP(AE409,DM_NV,2,0),"")</f>
        <v>#N/A</v>
      </c>
    </row>
    <row r="410">
      <c r="A410" s="51"/>
      <c r="B410" s="52" t="str">
        <f>IF(D410="","",VLOOKUP(D410,'THAM CHIẾU'!$A:$B,2,0))</f>
        <v>#N/A</v>
      </c>
      <c r="C410" s="53" t="str">
        <f t="shared" si="3"/>
        <v>03/2022</v>
      </c>
      <c r="D410" s="54">
        <v>44623.0</v>
      </c>
      <c r="E410" s="55" t="s">
        <v>527</v>
      </c>
      <c r="F410" s="56"/>
      <c r="G410" s="57" t="s">
        <v>205</v>
      </c>
      <c r="H410" s="58" t="str">
        <f>IF(G410="","",VLOOKUP($G410,'Quy chuẩn hạch toán'!$B:$E,2,0))</f>
        <v>642</v>
      </c>
      <c r="I410" s="58" t="str">
        <f>IF(H410="","",VLOOKUP($G410,'Quy chuẩn hạch toán'!$B:$E,3,0))</f>
        <v>1111</v>
      </c>
      <c r="J410" s="59">
        <v>6897.0</v>
      </c>
      <c r="K410" s="60"/>
      <c r="L410" s="61"/>
      <c r="M410" s="62"/>
      <c r="N410" s="63"/>
      <c r="O410" s="64" t="str">
        <f>IF($Q410&lt;&gt;0,VLOOKUP($Q410,DM_KM,3,0),"")</f>
        <v>#N/A</v>
      </c>
      <c r="P410" s="64" t="str">
        <f>IF($Q410&lt;&gt;0,VLOOKUP($Q410,DM_KM,5,0),"")</f>
        <v>#N/A</v>
      </c>
      <c r="Q410" s="89" t="s">
        <v>222</v>
      </c>
      <c r="R410" s="64" t="str">
        <f>IF(S410&lt;&gt;0,VLOOKUP(S410,DM_DUAN,3,0),"")</f>
        <v>#N/A</v>
      </c>
      <c r="S410" s="66" t="str">
        <f>IF(U410&lt;&gt;0,VLOOKUP(U410,DM_DUAN,3,0),"")</f>
        <v/>
      </c>
      <c r="T410" s="64"/>
      <c r="U410" s="93"/>
      <c r="V410" s="64" t="str">
        <f>IF(W410&lt;&gt;0,VLOOKUP(W410,DM_DUAN,3,0),"")</f>
        <v/>
      </c>
      <c r="W410" s="68"/>
      <c r="X410" s="64" t="str">
        <f>IF(Y410&lt;&gt;0,VLOOKUP(Y410,DM_DUAN,3,0),"")</f>
        <v>#N/A</v>
      </c>
      <c r="Y410" s="69" t="s">
        <v>207</v>
      </c>
      <c r="Z410" s="64" t="str">
        <f>IF(AA410&lt;&gt;0,VLOOKUP(AA410,DM_DUAN,3,0),"")</f>
        <v>#N/A</v>
      </c>
      <c r="AA410" s="70" t="s">
        <v>514</v>
      </c>
      <c r="AB410" s="64" t="str">
        <f>IF(AC410&lt;&gt;0,VLOOKUP(AC410,DM_DUAN,3,0),"")</f>
        <v/>
      </c>
      <c r="AC410" s="85"/>
      <c r="AD410" s="64" t="str">
        <f>IF(AC410&lt;&gt;0,VLOOKUP(AC410,DM_NV,2,0),"")</f>
        <v/>
      </c>
      <c r="AE410" s="83" t="s">
        <v>223</v>
      </c>
      <c r="AF410" s="64" t="str">
        <f>IF(AE410&lt;&gt;0,VLOOKUP(AE410,DM_NV,2,0),"")</f>
        <v>#N/A</v>
      </c>
    </row>
    <row r="411">
      <c r="A411" s="51"/>
      <c r="B411" s="52" t="str">
        <f>IF(D411="","",VLOOKUP(D411,'THAM CHIẾU'!$A:$B,2,0))</f>
        <v>#N/A</v>
      </c>
      <c r="C411" s="53" t="str">
        <f t="shared" si="3"/>
        <v>03/2022</v>
      </c>
      <c r="D411" s="54">
        <v>44623.0</v>
      </c>
      <c r="E411" s="55" t="s">
        <v>204</v>
      </c>
      <c r="F411" s="56"/>
      <c r="G411" s="57" t="s">
        <v>205</v>
      </c>
      <c r="H411" s="58" t="str">
        <f>IF(G411="","",VLOOKUP($G411,'Quy chuẩn hạch toán'!$B:$E,2,0))</f>
        <v>642</v>
      </c>
      <c r="I411" s="58" t="str">
        <f>IF(H411="","",VLOOKUP($G411,'Quy chuẩn hạch toán'!$B:$E,3,0))</f>
        <v>1111</v>
      </c>
      <c r="J411" s="59">
        <v>89655.0</v>
      </c>
      <c r="K411" s="60"/>
      <c r="L411" s="61"/>
      <c r="M411" s="62"/>
      <c r="N411" s="63"/>
      <c r="O411" s="64" t="str">
        <f>IF($Q411&lt;&gt;0,VLOOKUP($Q411,DM_KM,3,0),"")</f>
        <v>#N/A</v>
      </c>
      <c r="P411" s="64" t="str">
        <f>IF($Q411&lt;&gt;0,VLOOKUP($Q411,DM_KM,5,0),"")</f>
        <v>#N/A</v>
      </c>
      <c r="Q411" s="65" t="s">
        <v>206</v>
      </c>
      <c r="R411" s="64" t="str">
        <f>IF(S411&lt;&gt;0,VLOOKUP(S411,DM_DUAN,3,0),"")</f>
        <v>#N/A</v>
      </c>
      <c r="S411" s="66" t="str">
        <f>IF(U411&lt;&gt;0,VLOOKUP(U411,DM_DUAN,3,0),"")</f>
        <v/>
      </c>
      <c r="T411" s="64"/>
      <c r="U411" s="93"/>
      <c r="V411" s="64" t="str">
        <f>IF(W411&lt;&gt;0,VLOOKUP(W411,DM_DUAN,3,0),"")</f>
        <v/>
      </c>
      <c r="W411" s="68"/>
      <c r="X411" s="64" t="str">
        <f>IF(Y411&lt;&gt;0,VLOOKUP(Y411,DM_DUAN,3,0),"")</f>
        <v>#N/A</v>
      </c>
      <c r="Y411" s="69" t="s">
        <v>207</v>
      </c>
      <c r="Z411" s="64" t="str">
        <f>IF(AA411&lt;&gt;0,VLOOKUP(AA411,DM_DUAN,3,0),"")</f>
        <v>#N/A</v>
      </c>
      <c r="AA411" s="70" t="s">
        <v>183</v>
      </c>
      <c r="AB411" s="64" t="str">
        <f>IF(AC411&lt;&gt;0,VLOOKUP(AC411,DM_DUAN,3,0),"")</f>
        <v/>
      </c>
      <c r="AC411" s="85"/>
      <c r="AD411" s="64" t="str">
        <f>IF(AC411&lt;&gt;0,VLOOKUP(AC411,DM_NV,2,0),"")</f>
        <v/>
      </c>
      <c r="AE411" s="83" t="s">
        <v>209</v>
      </c>
      <c r="AF411" s="64" t="str">
        <f>IF(AE411&lt;&gt;0,VLOOKUP(AE411,DM_NV,2,0),"")</f>
        <v>#N/A</v>
      </c>
    </row>
    <row r="412">
      <c r="A412" s="51"/>
      <c r="B412" s="52" t="str">
        <f>IF(D412="","",VLOOKUP(D412,'THAM CHIẾU'!$A:$B,2,0))</f>
        <v>#N/A</v>
      </c>
      <c r="C412" s="53" t="str">
        <f t="shared" si="3"/>
        <v>03/2022</v>
      </c>
      <c r="D412" s="54">
        <v>44623.0</v>
      </c>
      <c r="E412" s="55" t="s">
        <v>204</v>
      </c>
      <c r="F412" s="56"/>
      <c r="G412" s="57" t="s">
        <v>205</v>
      </c>
      <c r="H412" s="58" t="str">
        <f>IF(G412="","",VLOOKUP($G412,'Quy chuẩn hạch toán'!$B:$E,2,0))</f>
        <v>642</v>
      </c>
      <c r="I412" s="58" t="str">
        <f>IF(H412="","",VLOOKUP($G412,'Quy chuẩn hạch toán'!$B:$E,3,0))</f>
        <v>1111</v>
      </c>
      <c r="J412" s="59">
        <v>48276.0</v>
      </c>
      <c r="K412" s="60"/>
      <c r="L412" s="61"/>
      <c r="M412" s="62"/>
      <c r="N412" s="63"/>
      <c r="O412" s="64" t="str">
        <f>IF($Q412&lt;&gt;0,VLOOKUP($Q412,DM_KM,3,0),"")</f>
        <v>#N/A</v>
      </c>
      <c r="P412" s="64" t="str">
        <f>IF($Q412&lt;&gt;0,VLOOKUP($Q412,DM_KM,5,0),"")</f>
        <v>#N/A</v>
      </c>
      <c r="Q412" s="65" t="s">
        <v>206</v>
      </c>
      <c r="R412" s="64" t="str">
        <f>IF(S412&lt;&gt;0,VLOOKUP(S412,DM_DUAN,3,0),"")</f>
        <v>#N/A</v>
      </c>
      <c r="S412" s="66" t="str">
        <f>IF(U412&lt;&gt;0,VLOOKUP(U412,DM_DUAN,3,0),"")</f>
        <v/>
      </c>
      <c r="T412" s="64"/>
      <c r="U412" s="93"/>
      <c r="V412" s="64" t="str">
        <f>IF(W412&lt;&gt;0,VLOOKUP(W412,DM_DUAN,3,0),"")</f>
        <v/>
      </c>
      <c r="W412" s="68"/>
      <c r="X412" s="64" t="str">
        <f>IF(Y412&lt;&gt;0,VLOOKUP(Y412,DM_DUAN,3,0),"")</f>
        <v>#N/A</v>
      </c>
      <c r="Y412" s="69" t="s">
        <v>207</v>
      </c>
      <c r="Z412" s="64" t="str">
        <f>IF(AA412&lt;&gt;0,VLOOKUP(AA412,DM_DUAN,3,0),"")</f>
        <v>#N/A</v>
      </c>
      <c r="AA412" s="70" t="s">
        <v>177</v>
      </c>
      <c r="AB412" s="64" t="str">
        <f>IF(AC412&lt;&gt;0,VLOOKUP(AC412,DM_DUAN,3,0),"")</f>
        <v/>
      </c>
      <c r="AC412" s="85"/>
      <c r="AD412" s="64" t="str">
        <f>IF(AC412&lt;&gt;0,VLOOKUP(AC412,DM_NV,2,0),"")</f>
        <v/>
      </c>
      <c r="AE412" s="83" t="s">
        <v>209</v>
      </c>
      <c r="AF412" s="64" t="str">
        <f>IF(AE412&lt;&gt;0,VLOOKUP(AE412,DM_NV,2,0),"")</f>
        <v>#N/A</v>
      </c>
    </row>
    <row r="413">
      <c r="A413" s="51"/>
      <c r="B413" s="52" t="str">
        <f>IF(D413="","",VLOOKUP(D413,'THAM CHIẾU'!$A:$B,2,0))</f>
        <v>#N/A</v>
      </c>
      <c r="C413" s="53" t="str">
        <f t="shared" si="3"/>
        <v>03/2022</v>
      </c>
      <c r="D413" s="54">
        <v>44623.0</v>
      </c>
      <c r="E413" s="55" t="s">
        <v>204</v>
      </c>
      <c r="F413" s="56"/>
      <c r="G413" s="57" t="s">
        <v>205</v>
      </c>
      <c r="H413" s="58" t="str">
        <f>IF(G413="","",VLOOKUP($G413,'Quy chuẩn hạch toán'!$B:$E,2,0))</f>
        <v>642</v>
      </c>
      <c r="I413" s="58" t="str">
        <f>IF(H413="","",VLOOKUP($G413,'Quy chuẩn hạch toán'!$B:$E,3,0))</f>
        <v>1111</v>
      </c>
      <c r="J413" s="59">
        <v>48276.0</v>
      </c>
      <c r="K413" s="60"/>
      <c r="L413" s="61"/>
      <c r="M413" s="62"/>
      <c r="N413" s="63"/>
      <c r="O413" s="64" t="str">
        <f>IF($Q413&lt;&gt;0,VLOOKUP($Q413,DM_KM,3,0),"")</f>
        <v>#N/A</v>
      </c>
      <c r="P413" s="64" t="str">
        <f>IF($Q413&lt;&gt;0,VLOOKUP($Q413,DM_KM,5,0),"")</f>
        <v>#N/A</v>
      </c>
      <c r="Q413" s="89" t="s">
        <v>206</v>
      </c>
      <c r="R413" s="64" t="str">
        <f>IF(S413&lt;&gt;0,VLOOKUP(S413,DM_DUAN,3,0),"")</f>
        <v>#N/A</v>
      </c>
      <c r="S413" s="66" t="str">
        <f>IF(U413&lt;&gt;0,VLOOKUP(U413,DM_DUAN,3,0),"")</f>
        <v/>
      </c>
      <c r="T413" s="64"/>
      <c r="U413" s="67"/>
      <c r="V413" s="64" t="str">
        <f>IF(W413&lt;&gt;0,VLOOKUP(W413,DM_DUAN,3,0),"")</f>
        <v/>
      </c>
      <c r="W413" s="68"/>
      <c r="X413" s="64" t="str">
        <f>IF(Y413&lt;&gt;0,VLOOKUP(Y413,DM_DUAN,3,0),"")</f>
        <v>#N/A</v>
      </c>
      <c r="Y413" s="69" t="s">
        <v>207</v>
      </c>
      <c r="Z413" s="64" t="str">
        <f>IF(AA413&lt;&gt;0,VLOOKUP(AA413,DM_DUAN,3,0),"")</f>
        <v>#N/A</v>
      </c>
      <c r="AA413" s="70" t="s">
        <v>210</v>
      </c>
      <c r="AB413" s="64" t="str">
        <f>IF(AC413&lt;&gt;0,VLOOKUP(AC413,DM_DUAN,3,0),"")</f>
        <v/>
      </c>
      <c r="AC413" s="85"/>
      <c r="AD413" s="64" t="str">
        <f>IF(AC413&lt;&gt;0,VLOOKUP(AC413,DM_NV,2,0),"")</f>
        <v/>
      </c>
      <c r="AE413" s="83" t="s">
        <v>209</v>
      </c>
      <c r="AF413" s="64" t="str">
        <f>IF(AE413&lt;&gt;0,VLOOKUP(AE413,DM_NV,2,0),"")</f>
        <v>#N/A</v>
      </c>
    </row>
    <row r="414">
      <c r="A414" s="51"/>
      <c r="B414" s="52" t="str">
        <f>IF(D414="","",VLOOKUP(D414,'THAM CHIẾU'!$A:$B,2,0))</f>
        <v>#N/A</v>
      </c>
      <c r="C414" s="53" t="str">
        <f t="shared" si="3"/>
        <v>03/2022</v>
      </c>
      <c r="D414" s="54">
        <v>44623.0</v>
      </c>
      <c r="E414" s="55" t="s">
        <v>204</v>
      </c>
      <c r="F414" s="56"/>
      <c r="G414" s="57" t="s">
        <v>205</v>
      </c>
      <c r="H414" s="58" t="str">
        <f>IF(G414="","",VLOOKUP($G414,'Quy chuẩn hạch toán'!$B:$E,2,0))</f>
        <v>642</v>
      </c>
      <c r="I414" s="58" t="str">
        <f>IF(H414="","",VLOOKUP($G414,'Quy chuẩn hạch toán'!$B:$E,3,0))</f>
        <v>1111</v>
      </c>
      <c r="J414" s="59">
        <v>13793.0</v>
      </c>
      <c r="K414" s="60"/>
      <c r="L414" s="61"/>
      <c r="M414" s="62"/>
      <c r="N414" s="63"/>
      <c r="O414" s="64" t="str">
        <f>IF($Q414&lt;&gt;0,VLOOKUP($Q414,DM_KM,3,0),"")</f>
        <v>#N/A</v>
      </c>
      <c r="P414" s="64" t="str">
        <f>IF($Q414&lt;&gt;0,VLOOKUP($Q414,DM_KM,5,0),"")</f>
        <v>#N/A</v>
      </c>
      <c r="Q414" s="89" t="s">
        <v>206</v>
      </c>
      <c r="R414" s="64" t="str">
        <f>IF(S414&lt;&gt;0,VLOOKUP(S414,DM_DUAN,3,0),"")</f>
        <v>#N/A</v>
      </c>
      <c r="S414" s="66" t="str">
        <f>IF(U414&lt;&gt;0,VLOOKUP(U414,DM_DUAN,3,0),"")</f>
        <v/>
      </c>
      <c r="T414" s="64"/>
      <c r="U414" s="93"/>
      <c r="V414" s="64" t="str">
        <f>IF(W414&lt;&gt;0,VLOOKUP(W414,DM_DUAN,3,0),"")</f>
        <v/>
      </c>
      <c r="W414" s="68"/>
      <c r="X414" s="64" t="str">
        <f>IF(Y414&lt;&gt;0,VLOOKUP(Y414,DM_DUAN,3,0),"")</f>
        <v>#N/A</v>
      </c>
      <c r="Y414" s="69" t="s">
        <v>207</v>
      </c>
      <c r="Z414" s="64" t="str">
        <f>IF(AA414&lt;&gt;0,VLOOKUP(AA414,DM_DUAN,3,0),"")</f>
        <v>#N/A</v>
      </c>
      <c r="AA414" s="70" t="s">
        <v>514</v>
      </c>
      <c r="AB414" s="64" t="str">
        <f>IF(AC414&lt;&gt;0,VLOOKUP(AC414,DM_DUAN,3,0),"")</f>
        <v/>
      </c>
      <c r="AC414" s="85"/>
      <c r="AD414" s="64" t="str">
        <f>IF(AC414&lt;&gt;0,VLOOKUP(AC414,DM_NV,2,0),"")</f>
        <v/>
      </c>
      <c r="AE414" s="83" t="s">
        <v>209</v>
      </c>
      <c r="AF414" s="64" t="str">
        <f>IF(AE414&lt;&gt;0,VLOOKUP(AE414,DM_NV,2,0),"")</f>
        <v>#N/A</v>
      </c>
    </row>
    <row r="415">
      <c r="A415" s="51"/>
      <c r="B415" s="52" t="str">
        <f>IF(D415="","",VLOOKUP(D415,'THAM CHIẾU'!$A:$B,2,0))</f>
        <v>#N/A</v>
      </c>
      <c r="C415" s="53" t="str">
        <f t="shared" si="3"/>
        <v>03/2022</v>
      </c>
      <c r="D415" s="54">
        <v>44623.0</v>
      </c>
      <c r="E415" s="55" t="s">
        <v>212</v>
      </c>
      <c r="F415" s="56"/>
      <c r="G415" s="57" t="s">
        <v>205</v>
      </c>
      <c r="H415" s="58" t="str">
        <f>IF(G415="","",VLOOKUP($G415,'Quy chuẩn hạch toán'!$B:$E,2,0))</f>
        <v>642</v>
      </c>
      <c r="I415" s="58" t="str">
        <f>IF(H415="","",VLOOKUP($G415,'Quy chuẩn hạch toán'!$B:$E,3,0))</f>
        <v>1111</v>
      </c>
      <c r="J415" s="59">
        <v>394483.0</v>
      </c>
      <c r="K415" s="60"/>
      <c r="L415" s="61"/>
      <c r="M415" s="62"/>
      <c r="N415" s="63"/>
      <c r="O415" s="64" t="str">
        <f>IF($Q415&lt;&gt;0,VLOOKUP($Q415,DM_KM,3,0),"")</f>
        <v>#N/A</v>
      </c>
      <c r="P415" s="64" t="str">
        <f>IF($Q415&lt;&gt;0,VLOOKUP($Q415,DM_KM,5,0),"")</f>
        <v>#N/A</v>
      </c>
      <c r="Q415" s="65" t="s">
        <v>206</v>
      </c>
      <c r="R415" s="64" t="str">
        <f>IF(S415&lt;&gt;0,VLOOKUP(S415,DM_DUAN,3,0),"")</f>
        <v>#N/A</v>
      </c>
      <c r="S415" s="66" t="str">
        <f>IF(U415&lt;&gt;0,VLOOKUP(U415,DM_DUAN,3,0),"")</f>
        <v/>
      </c>
      <c r="T415" s="64"/>
      <c r="U415" s="93"/>
      <c r="V415" s="64" t="str">
        <f>IF(W415&lt;&gt;0,VLOOKUP(W415,DM_DUAN,3,0),"")</f>
        <v/>
      </c>
      <c r="W415" s="68"/>
      <c r="X415" s="64" t="str">
        <f>IF(Y415&lt;&gt;0,VLOOKUP(Y415,DM_DUAN,3,0),"")</f>
        <v>#N/A</v>
      </c>
      <c r="Y415" s="69" t="s">
        <v>207</v>
      </c>
      <c r="Z415" s="64" t="str">
        <f>IF(AA415&lt;&gt;0,VLOOKUP(AA415,DM_DUAN,3,0),"")</f>
        <v>#N/A</v>
      </c>
      <c r="AA415" s="70" t="s">
        <v>183</v>
      </c>
      <c r="AB415" s="64" t="str">
        <f>IF(AC415&lt;&gt;0,VLOOKUP(AC415,DM_DUAN,3,0),"")</f>
        <v/>
      </c>
      <c r="AC415" s="85"/>
      <c r="AD415" s="64" t="str">
        <f>IF(AC415&lt;&gt;0,VLOOKUP(AC415,DM_NV,2,0),"")</f>
        <v/>
      </c>
      <c r="AE415" s="83" t="s">
        <v>209</v>
      </c>
      <c r="AF415" s="64" t="str">
        <f>IF(AE415&lt;&gt;0,VLOOKUP(AE415,DM_NV,2,0),"")</f>
        <v>#N/A</v>
      </c>
    </row>
    <row r="416">
      <c r="A416" s="51"/>
      <c r="B416" s="52" t="str">
        <f>IF(D416="","",VLOOKUP(D416,'THAM CHIẾU'!$A:$B,2,0))</f>
        <v>#N/A</v>
      </c>
      <c r="C416" s="53" t="str">
        <f t="shared" si="3"/>
        <v>03/2022</v>
      </c>
      <c r="D416" s="54">
        <v>44623.0</v>
      </c>
      <c r="E416" s="55" t="s">
        <v>212</v>
      </c>
      <c r="F416" s="56"/>
      <c r="G416" s="57" t="s">
        <v>205</v>
      </c>
      <c r="H416" s="58" t="str">
        <f>IF(G416="","",VLOOKUP($G416,'Quy chuẩn hạch toán'!$B:$E,2,0))</f>
        <v>642</v>
      </c>
      <c r="I416" s="58" t="str">
        <f>IF(H416="","",VLOOKUP($G416,'Quy chuẩn hạch toán'!$B:$E,3,0))</f>
        <v>1111</v>
      </c>
      <c r="J416" s="59">
        <v>212414.0</v>
      </c>
      <c r="K416" s="60"/>
      <c r="L416" s="61"/>
      <c r="M416" s="62"/>
      <c r="N416" s="63"/>
      <c r="O416" s="64" t="str">
        <f>IF($Q416&lt;&gt;0,VLOOKUP($Q416,DM_KM,3,0),"")</f>
        <v>#N/A</v>
      </c>
      <c r="P416" s="64" t="str">
        <f>IF($Q416&lt;&gt;0,VLOOKUP($Q416,DM_KM,5,0),"")</f>
        <v>#N/A</v>
      </c>
      <c r="Q416" s="65" t="s">
        <v>206</v>
      </c>
      <c r="R416" s="64" t="str">
        <f>IF(S416&lt;&gt;0,VLOOKUP(S416,DM_DUAN,3,0),"")</f>
        <v>#N/A</v>
      </c>
      <c r="S416" s="66" t="str">
        <f>IF(U416&lt;&gt;0,VLOOKUP(U416,DM_DUAN,3,0),"")</f>
        <v/>
      </c>
      <c r="T416" s="64"/>
      <c r="U416" s="93"/>
      <c r="V416" s="64" t="str">
        <f>IF(W416&lt;&gt;0,VLOOKUP(W416,DM_DUAN,3,0),"")</f>
        <v/>
      </c>
      <c r="W416" s="68"/>
      <c r="X416" s="64" t="str">
        <f>IF(Y416&lt;&gt;0,VLOOKUP(Y416,DM_DUAN,3,0),"")</f>
        <v>#N/A</v>
      </c>
      <c r="Y416" s="69" t="s">
        <v>207</v>
      </c>
      <c r="Z416" s="64" t="str">
        <f>IF(AA416&lt;&gt;0,VLOOKUP(AA416,DM_DUAN,3,0),"")</f>
        <v>#N/A</v>
      </c>
      <c r="AA416" s="70" t="s">
        <v>177</v>
      </c>
      <c r="AB416" s="64" t="str">
        <f>IF(AC416&lt;&gt;0,VLOOKUP(AC416,DM_DUAN,3,0),"")</f>
        <v/>
      </c>
      <c r="AC416" s="85"/>
      <c r="AD416" s="64" t="str">
        <f>IF(AC416&lt;&gt;0,VLOOKUP(AC416,DM_NV,2,0),"")</f>
        <v/>
      </c>
      <c r="AE416" s="83" t="s">
        <v>209</v>
      </c>
      <c r="AF416" s="64" t="str">
        <f>IF(AE416&lt;&gt;0,VLOOKUP(AE416,DM_NV,2,0),"")</f>
        <v>#N/A</v>
      </c>
    </row>
    <row r="417">
      <c r="A417" s="51"/>
      <c r="B417" s="52" t="str">
        <f>IF(D417="","",VLOOKUP(D417,'THAM CHIẾU'!$A:$B,2,0))</f>
        <v>#N/A</v>
      </c>
      <c r="C417" s="53" t="str">
        <f t="shared" si="3"/>
        <v>03/2022</v>
      </c>
      <c r="D417" s="54">
        <v>44623.0</v>
      </c>
      <c r="E417" s="55" t="s">
        <v>212</v>
      </c>
      <c r="F417" s="56"/>
      <c r="G417" s="57" t="s">
        <v>205</v>
      </c>
      <c r="H417" s="58" t="str">
        <f>IF(G417="","",VLOOKUP($G417,'Quy chuẩn hạch toán'!$B:$E,2,0))</f>
        <v>642</v>
      </c>
      <c r="I417" s="58" t="str">
        <f>IF(H417="","",VLOOKUP($G417,'Quy chuẩn hạch toán'!$B:$E,3,0))</f>
        <v>1111</v>
      </c>
      <c r="J417" s="59">
        <v>212414.0</v>
      </c>
      <c r="K417" s="60"/>
      <c r="L417" s="61"/>
      <c r="M417" s="62"/>
      <c r="N417" s="63"/>
      <c r="O417" s="64" t="str">
        <f>IF($Q417&lt;&gt;0,VLOOKUP($Q417,DM_KM,3,0),"")</f>
        <v>#N/A</v>
      </c>
      <c r="P417" s="64" t="str">
        <f>IF($Q417&lt;&gt;0,VLOOKUP($Q417,DM_KM,5,0),"")</f>
        <v>#N/A</v>
      </c>
      <c r="Q417" s="89" t="s">
        <v>206</v>
      </c>
      <c r="R417" s="64" t="str">
        <f>IF(S417&lt;&gt;0,VLOOKUP(S417,DM_DUAN,3,0),"")</f>
        <v>#N/A</v>
      </c>
      <c r="S417" s="66" t="str">
        <f>IF(U417&lt;&gt;0,VLOOKUP(U417,DM_DUAN,3,0),"")</f>
        <v/>
      </c>
      <c r="T417" s="64"/>
      <c r="U417" s="93"/>
      <c r="V417" s="64" t="str">
        <f>IF(W417&lt;&gt;0,VLOOKUP(W417,DM_DUAN,3,0),"")</f>
        <v/>
      </c>
      <c r="W417" s="68"/>
      <c r="X417" s="64" t="str">
        <f>IF(Y417&lt;&gt;0,VLOOKUP(Y417,DM_DUAN,3,0),"")</f>
        <v>#N/A</v>
      </c>
      <c r="Y417" s="69" t="s">
        <v>207</v>
      </c>
      <c r="Z417" s="64" t="str">
        <f>IF(AA417&lt;&gt;0,VLOOKUP(AA417,DM_DUAN,3,0),"")</f>
        <v>#N/A</v>
      </c>
      <c r="AA417" s="131" t="s">
        <v>210</v>
      </c>
      <c r="AB417" s="64" t="str">
        <f>IF(AC417&lt;&gt;0,VLOOKUP(AC417,DM_DUAN,3,0),"")</f>
        <v/>
      </c>
      <c r="AC417" s="85"/>
      <c r="AD417" s="64" t="str">
        <f>IF(AC417&lt;&gt;0,VLOOKUP(AC417,DM_NV,2,0),"")</f>
        <v/>
      </c>
      <c r="AE417" s="83" t="s">
        <v>209</v>
      </c>
      <c r="AF417" s="64" t="str">
        <f>IF(AE417&lt;&gt;0,VLOOKUP(AE417,DM_NV,2,0),"")</f>
        <v>#N/A</v>
      </c>
    </row>
    <row r="418">
      <c r="A418" s="51"/>
      <c r="B418" s="52" t="str">
        <f>IF(D418="","",VLOOKUP(D418,'THAM CHIẾU'!$A:$B,2,0))</f>
        <v>#N/A</v>
      </c>
      <c r="C418" s="53" t="str">
        <f t="shared" si="3"/>
        <v>03/2022</v>
      </c>
      <c r="D418" s="54">
        <v>44623.0</v>
      </c>
      <c r="E418" s="55" t="s">
        <v>212</v>
      </c>
      <c r="F418" s="56"/>
      <c r="G418" s="57" t="s">
        <v>205</v>
      </c>
      <c r="H418" s="58" t="str">
        <f>IF(G418="","",VLOOKUP($G418,'Quy chuẩn hạch toán'!$B:$E,2,0))</f>
        <v>642</v>
      </c>
      <c r="I418" s="58" t="str">
        <f>IF(H418="","",VLOOKUP($G418,'Quy chuẩn hạch toán'!$B:$E,3,0))</f>
        <v>1111</v>
      </c>
      <c r="J418" s="59">
        <v>60690.0</v>
      </c>
      <c r="K418" s="60"/>
      <c r="L418" s="61"/>
      <c r="M418" s="62"/>
      <c r="N418" s="63"/>
      <c r="O418" s="64" t="str">
        <f>IF($Q418&lt;&gt;0,VLOOKUP($Q418,DM_KM,3,0),"")</f>
        <v>#N/A</v>
      </c>
      <c r="P418" s="64" t="str">
        <f>IF($Q418&lt;&gt;0,VLOOKUP($Q418,DM_KM,5,0),"")</f>
        <v>#N/A</v>
      </c>
      <c r="Q418" s="89" t="s">
        <v>206</v>
      </c>
      <c r="R418" s="64" t="str">
        <f>IF(S418&lt;&gt;0,VLOOKUP(S418,DM_DUAN,3,0),"")</f>
        <v>#N/A</v>
      </c>
      <c r="S418" s="66" t="str">
        <f>IF(U418&lt;&gt;0,VLOOKUP(U418,DM_DUAN,3,0),"")</f>
        <v/>
      </c>
      <c r="T418" s="64"/>
      <c r="U418" s="93"/>
      <c r="V418" s="64" t="str">
        <f>IF(W418&lt;&gt;0,VLOOKUP(W418,DM_DUAN,3,0),"")</f>
        <v/>
      </c>
      <c r="W418" s="68"/>
      <c r="X418" s="64" t="str">
        <f>IF(Y418&lt;&gt;0,VLOOKUP(Y418,DM_DUAN,3,0),"")</f>
        <v>#N/A</v>
      </c>
      <c r="Y418" s="69" t="s">
        <v>207</v>
      </c>
      <c r="Z418" s="64" t="str">
        <f>IF(AA418&lt;&gt;0,VLOOKUP(AA418,DM_DUAN,3,0),"")</f>
        <v>#N/A</v>
      </c>
      <c r="AA418" s="70" t="s">
        <v>514</v>
      </c>
      <c r="AB418" s="64" t="str">
        <f>IF(AC418&lt;&gt;0,VLOOKUP(AC418,DM_DUAN,3,0),"")</f>
        <v/>
      </c>
      <c r="AC418" s="85"/>
      <c r="AD418" s="64" t="str">
        <f>IF(AC418&lt;&gt;0,VLOOKUP(AC418,DM_NV,2,0),"")</f>
        <v/>
      </c>
      <c r="AE418" s="83" t="s">
        <v>209</v>
      </c>
      <c r="AF418" s="64" t="str">
        <f>IF(AE418&lt;&gt;0,VLOOKUP(AE418,DM_NV,2,0),"")</f>
        <v>#N/A</v>
      </c>
    </row>
    <row r="419">
      <c r="A419" s="51"/>
      <c r="B419" s="52" t="str">
        <f>IF(D419="","",VLOOKUP(D419,'THAM CHIẾU'!$A:$B,2,0))</f>
        <v>#N/A</v>
      </c>
      <c r="C419" s="53" t="str">
        <f t="shared" si="3"/>
        <v>03/2022</v>
      </c>
      <c r="D419" s="54">
        <v>44624.0</v>
      </c>
      <c r="E419" s="55" t="s">
        <v>528</v>
      </c>
      <c r="F419" s="56"/>
      <c r="G419" s="57" t="s">
        <v>205</v>
      </c>
      <c r="H419" s="58" t="str">
        <f>IF(G419="","",VLOOKUP($G419,'Quy chuẩn hạch toán'!$B:$E,2,0))</f>
        <v>642</v>
      </c>
      <c r="I419" s="58" t="str">
        <f>IF(H419="","",VLOOKUP($G419,'Quy chuẩn hạch toán'!$B:$E,3,0))</f>
        <v>1111</v>
      </c>
      <c r="J419" s="59">
        <v>324071.0</v>
      </c>
      <c r="K419" s="60"/>
      <c r="L419" s="61"/>
      <c r="M419" s="62"/>
      <c r="N419" s="63"/>
      <c r="O419" s="64" t="str">
        <f>IF($Q419&lt;&gt;0,VLOOKUP($Q419,DM_KM,3,0),"")</f>
        <v>#N/A</v>
      </c>
      <c r="P419" s="64" t="str">
        <f>IF($Q419&lt;&gt;0,VLOOKUP($Q419,DM_KM,5,0),"")</f>
        <v>#N/A</v>
      </c>
      <c r="Q419" s="65" t="s">
        <v>410</v>
      </c>
      <c r="R419" s="64" t="str">
        <f>IF(S419&lt;&gt;0,VLOOKUP(S419,DM_DUAN,3,0),"")</f>
        <v>#N/A</v>
      </c>
      <c r="S419" s="66" t="str">
        <f>IF(U419&lt;&gt;0,VLOOKUP(U419,DM_DUAN,3,0),"")</f>
        <v/>
      </c>
      <c r="T419" s="64"/>
      <c r="U419" s="93"/>
      <c r="V419" s="64" t="str">
        <f>IF(W419&lt;&gt;0,VLOOKUP(W419,DM_DUAN,3,0),"")</f>
        <v/>
      </c>
      <c r="W419" s="68"/>
      <c r="X419" s="64" t="str">
        <f>IF(Y419&lt;&gt;0,VLOOKUP(Y419,DM_DUAN,3,0),"")</f>
        <v>#N/A</v>
      </c>
      <c r="Y419" s="69" t="s">
        <v>207</v>
      </c>
      <c r="Z419" s="64" t="str">
        <f>IF(AA419&lt;&gt;0,VLOOKUP(AA419,DM_DUAN,3,0),"")</f>
        <v>#N/A</v>
      </c>
      <c r="AA419" s="70" t="s">
        <v>183</v>
      </c>
      <c r="AB419" s="64" t="str">
        <f>IF(AC419&lt;&gt;0,VLOOKUP(AC419,DM_DUAN,3,0),"")</f>
        <v/>
      </c>
      <c r="AC419" s="85"/>
      <c r="AD419" s="64" t="str">
        <f>IF(AC419&lt;&gt;0,VLOOKUP(AC419,DM_NV,2,0),"")</f>
        <v/>
      </c>
      <c r="AE419" s="83" t="s">
        <v>411</v>
      </c>
      <c r="AF419" s="64" t="str">
        <f>IF(AE419&lt;&gt;0,VLOOKUP(AE419,DM_NV,2,0),"")</f>
        <v>#N/A</v>
      </c>
    </row>
    <row r="420">
      <c r="A420" s="51"/>
      <c r="B420" s="52" t="str">
        <f>IF(D420="","",VLOOKUP(D420,'THAM CHIẾU'!$A:$B,2,0))</f>
        <v>#N/A</v>
      </c>
      <c r="C420" s="53" t="str">
        <f t="shared" si="3"/>
        <v>03/2022</v>
      </c>
      <c r="D420" s="54">
        <v>44624.0</v>
      </c>
      <c r="E420" s="55" t="s">
        <v>528</v>
      </c>
      <c r="F420" s="56"/>
      <c r="G420" s="57" t="s">
        <v>205</v>
      </c>
      <c r="H420" s="58" t="str">
        <f>IF(G420="","",VLOOKUP($G420,'Quy chuẩn hạch toán'!$B:$E,2,0))</f>
        <v>642</v>
      </c>
      <c r="I420" s="58" t="str">
        <f>IF(H420="","",VLOOKUP($G420,'Quy chuẩn hạch toán'!$B:$E,3,0))</f>
        <v>1111</v>
      </c>
      <c r="J420" s="59">
        <v>174500.0</v>
      </c>
      <c r="K420" s="60"/>
      <c r="L420" s="61"/>
      <c r="M420" s="62"/>
      <c r="N420" s="63"/>
      <c r="O420" s="64" t="str">
        <f>IF($Q420&lt;&gt;0,VLOOKUP($Q420,DM_KM,3,0),"")</f>
        <v>#N/A</v>
      </c>
      <c r="P420" s="64" t="str">
        <f>IF($Q420&lt;&gt;0,VLOOKUP($Q420,DM_KM,5,0),"")</f>
        <v>#N/A</v>
      </c>
      <c r="Q420" s="65" t="s">
        <v>410</v>
      </c>
      <c r="R420" s="64" t="str">
        <f>IF(S420&lt;&gt;0,VLOOKUP(S420,DM_DUAN,3,0),"")</f>
        <v>#N/A</v>
      </c>
      <c r="S420" s="66" t="str">
        <f>IF(U420&lt;&gt;0,VLOOKUP(U420,DM_DUAN,3,0),"")</f>
        <v/>
      </c>
      <c r="T420" s="64"/>
      <c r="U420" s="93"/>
      <c r="V420" s="64" t="str">
        <f>IF(W420&lt;&gt;0,VLOOKUP(W420,DM_DUAN,3,0),"")</f>
        <v/>
      </c>
      <c r="W420" s="68"/>
      <c r="X420" s="64" t="str">
        <f>IF(Y420&lt;&gt;0,VLOOKUP(Y420,DM_DUAN,3,0),"")</f>
        <v>#N/A</v>
      </c>
      <c r="Y420" s="69" t="s">
        <v>207</v>
      </c>
      <c r="Z420" s="64" t="str">
        <f>IF(AA420&lt;&gt;0,VLOOKUP(AA420,DM_DUAN,3,0),"")</f>
        <v>#N/A</v>
      </c>
      <c r="AA420" s="70" t="s">
        <v>177</v>
      </c>
      <c r="AB420" s="64" t="str">
        <f>IF(AC420&lt;&gt;0,VLOOKUP(AC420,DM_DUAN,3,0),"")</f>
        <v/>
      </c>
      <c r="AC420" s="85"/>
      <c r="AD420" s="64" t="str">
        <f>IF(AC420&lt;&gt;0,VLOOKUP(AC420,DM_NV,2,0),"")</f>
        <v/>
      </c>
      <c r="AE420" s="83" t="s">
        <v>411</v>
      </c>
      <c r="AF420" s="64" t="str">
        <f>IF(AE420&lt;&gt;0,VLOOKUP(AE420,DM_NV,2,0),"")</f>
        <v>#N/A</v>
      </c>
    </row>
    <row r="421">
      <c r="A421" s="51"/>
      <c r="B421" s="52" t="str">
        <f>IF(D421="","",VLOOKUP(D421,'THAM CHIẾU'!$A:$B,2,0))</f>
        <v>#N/A</v>
      </c>
      <c r="C421" s="53" t="str">
        <f t="shared" si="3"/>
        <v>03/2022</v>
      </c>
      <c r="D421" s="54">
        <v>44624.0</v>
      </c>
      <c r="E421" s="55" t="s">
        <v>528</v>
      </c>
      <c r="F421" s="56"/>
      <c r="G421" s="57" t="s">
        <v>205</v>
      </c>
      <c r="H421" s="58" t="str">
        <f>IF(G421="","",VLOOKUP($G421,'Quy chuẩn hạch toán'!$B:$E,2,0))</f>
        <v>642</v>
      </c>
      <c r="I421" s="58" t="str">
        <f>IF(H421="","",VLOOKUP($G421,'Quy chuẩn hạch toán'!$B:$E,3,0))</f>
        <v>1111</v>
      </c>
      <c r="J421" s="59">
        <v>174500.0</v>
      </c>
      <c r="K421" s="60"/>
      <c r="L421" s="61"/>
      <c r="M421" s="62"/>
      <c r="N421" s="63"/>
      <c r="O421" s="64" t="str">
        <f>IF($Q421&lt;&gt;0,VLOOKUP($Q421,DM_KM,3,0),"")</f>
        <v>#N/A</v>
      </c>
      <c r="P421" s="64" t="str">
        <f>IF($Q421&lt;&gt;0,VLOOKUP($Q421,DM_KM,5,0),"")</f>
        <v>#N/A</v>
      </c>
      <c r="Q421" s="89" t="s">
        <v>410</v>
      </c>
      <c r="R421" s="64" t="str">
        <f>IF(S421&lt;&gt;0,VLOOKUP(S421,DM_DUAN,3,0),"")</f>
        <v>#N/A</v>
      </c>
      <c r="S421" s="66" t="str">
        <f>IF(U421&lt;&gt;0,VLOOKUP(U421,DM_DUAN,3,0),"")</f>
        <v/>
      </c>
      <c r="T421" s="64"/>
      <c r="U421" s="93"/>
      <c r="V421" s="64" t="str">
        <f>IF(W421&lt;&gt;0,VLOOKUP(W421,DM_DUAN,3,0),"")</f>
        <v/>
      </c>
      <c r="W421" s="68"/>
      <c r="X421" s="64" t="str">
        <f>IF(Y421&lt;&gt;0,VLOOKUP(Y421,DM_DUAN,3,0),"")</f>
        <v>#N/A</v>
      </c>
      <c r="Y421" s="69" t="s">
        <v>207</v>
      </c>
      <c r="Z421" s="64" t="str">
        <f>IF(AA421&lt;&gt;0,VLOOKUP(AA421,DM_DUAN,3,0),"")</f>
        <v>#N/A</v>
      </c>
      <c r="AA421" s="131" t="s">
        <v>210</v>
      </c>
      <c r="AB421" s="64" t="str">
        <f>IF(AC421&lt;&gt;0,VLOOKUP(AC421,DM_DUAN,3,0),"")</f>
        <v/>
      </c>
      <c r="AC421" s="85"/>
      <c r="AD421" s="64" t="str">
        <f>IF(AC421&lt;&gt;0,VLOOKUP(AC421,DM_NV,2,0),"")</f>
        <v/>
      </c>
      <c r="AE421" s="83" t="s">
        <v>411</v>
      </c>
      <c r="AF421" s="64" t="str">
        <f>IF(AE421&lt;&gt;0,VLOOKUP(AE421,DM_NV,2,0),"")</f>
        <v>#N/A</v>
      </c>
    </row>
    <row r="422">
      <c r="A422" s="51"/>
      <c r="B422" s="52" t="str">
        <f>IF(D422="","",VLOOKUP(D422,'THAM CHIẾU'!$A:$B,2,0))</f>
        <v>#N/A</v>
      </c>
      <c r="C422" s="53" t="str">
        <f t="shared" si="3"/>
        <v>03/2022</v>
      </c>
      <c r="D422" s="54">
        <v>44624.0</v>
      </c>
      <c r="E422" s="55" t="s">
        <v>528</v>
      </c>
      <c r="F422" s="56"/>
      <c r="G422" s="57" t="s">
        <v>205</v>
      </c>
      <c r="H422" s="58" t="str">
        <f>IF(G422="","",VLOOKUP($G422,'Quy chuẩn hạch toán'!$B:$E,2,0))</f>
        <v>642</v>
      </c>
      <c r="I422" s="58" t="str">
        <f>IF(H422="","",VLOOKUP($G422,'Quy chuẩn hạch toán'!$B:$E,3,0))</f>
        <v>1111</v>
      </c>
      <c r="J422" s="59">
        <v>49857.0</v>
      </c>
      <c r="K422" s="60"/>
      <c r="L422" s="61"/>
      <c r="M422" s="62"/>
      <c r="N422" s="63"/>
      <c r="O422" s="64" t="str">
        <f>IF($Q422&lt;&gt;0,VLOOKUP($Q422,DM_KM,3,0),"")</f>
        <v>#N/A</v>
      </c>
      <c r="P422" s="64" t="str">
        <f>IF($Q422&lt;&gt;0,VLOOKUP($Q422,DM_KM,5,0),"")</f>
        <v>#N/A</v>
      </c>
      <c r="Q422" s="89" t="s">
        <v>410</v>
      </c>
      <c r="R422" s="64" t="str">
        <f>IF(S422&lt;&gt;0,VLOOKUP(S422,DM_DUAN,3,0),"")</f>
        <v>#N/A</v>
      </c>
      <c r="S422" s="66" t="str">
        <f>IF(U422&lt;&gt;0,VLOOKUP(U422,DM_DUAN,3,0),"")</f>
        <v/>
      </c>
      <c r="T422" s="64"/>
      <c r="U422" s="93"/>
      <c r="V422" s="64" t="str">
        <f>IF(W422&lt;&gt;0,VLOOKUP(W422,DM_DUAN,3,0),"")</f>
        <v/>
      </c>
      <c r="W422" s="68"/>
      <c r="X422" s="64" t="str">
        <f>IF(Y422&lt;&gt;0,VLOOKUP(Y422,DM_DUAN,3,0),"")</f>
        <v>#N/A</v>
      </c>
      <c r="Y422" s="69" t="s">
        <v>207</v>
      </c>
      <c r="Z422" s="64" t="str">
        <f>IF(AA422&lt;&gt;0,VLOOKUP(AA422,DM_DUAN,3,0),"")</f>
        <v>#N/A</v>
      </c>
      <c r="AA422" s="70" t="s">
        <v>514</v>
      </c>
      <c r="AB422" s="64" t="str">
        <f>IF(AC422&lt;&gt;0,VLOOKUP(AC422,DM_DUAN,3,0),"")</f>
        <v/>
      </c>
      <c r="AC422" s="85"/>
      <c r="AD422" s="64" t="str">
        <f>IF(AC422&lt;&gt;0,VLOOKUP(AC422,DM_NV,2,0),"")</f>
        <v/>
      </c>
      <c r="AE422" s="83" t="s">
        <v>411</v>
      </c>
      <c r="AF422" s="64" t="str">
        <f>IF(AE422&lt;&gt;0,VLOOKUP(AE422,DM_NV,2,0),"")</f>
        <v>#N/A</v>
      </c>
    </row>
    <row r="423">
      <c r="A423" s="51"/>
      <c r="B423" s="52" t="str">
        <f>IF(D423="","",VLOOKUP(D423,'THAM CHIẾU'!$A:$B,2,0))</f>
        <v>#N/A</v>
      </c>
      <c r="C423" s="53" t="str">
        <f t="shared" si="3"/>
        <v>03/2022</v>
      </c>
      <c r="D423" s="54">
        <v>44626.0</v>
      </c>
      <c r="E423" s="55" t="s">
        <v>529</v>
      </c>
      <c r="F423" s="56"/>
      <c r="G423" s="57" t="s">
        <v>173</v>
      </c>
      <c r="H423" s="58" t="str">
        <f>IF(G423="","",VLOOKUP($G423,'Quy chuẩn hạch toán'!$B:$E,2,0))</f>
        <v>641</v>
      </c>
      <c r="I423" s="58" t="str">
        <f>IF(H423="","",VLOOKUP($G423,'Quy chuẩn hạch toán'!$B:$E,3,0))</f>
        <v>331</v>
      </c>
      <c r="J423" s="59">
        <v>2912000.0</v>
      </c>
      <c r="K423" s="60"/>
      <c r="L423" s="61"/>
      <c r="M423" s="62"/>
      <c r="N423" s="63"/>
      <c r="O423" s="64" t="str">
        <f>IF($Q423&lt;&gt;0,VLOOKUP($Q423,DM_KM,3,0),"")</f>
        <v>#N/A</v>
      </c>
      <c r="P423" s="64" t="str">
        <f>IF($Q423&lt;&gt;0,VLOOKUP($Q423,DM_KM,5,0),"")</f>
        <v>#N/A</v>
      </c>
      <c r="Q423" s="65" t="s">
        <v>174</v>
      </c>
      <c r="R423" s="64" t="str">
        <f>IF(S423&lt;&gt;0,VLOOKUP(S423,DM_DUAN,3,0),"")</f>
        <v>#N/A</v>
      </c>
      <c r="S423" s="66" t="str">
        <f>IF(U423&lt;&gt;0,VLOOKUP(U423,DM_DUAN,3,0),"")</f>
        <v>THANHNAM</v>
      </c>
      <c r="T423" s="64"/>
      <c r="U423" s="67" t="s">
        <v>530</v>
      </c>
      <c r="V423" s="64" t="str">
        <f>IF(W423&lt;&gt;0,VLOOKUP(W423,DM_DUAN,3,0),"")</f>
        <v/>
      </c>
      <c r="W423" s="68"/>
      <c r="X423" s="64" t="str">
        <f>IF(Y423&lt;&gt;0,VLOOKUP(Y423,DM_DUAN,3,0),"")</f>
        <v>#N/A</v>
      </c>
      <c r="Y423" s="69" t="s">
        <v>176</v>
      </c>
      <c r="Z423" s="64" t="str">
        <f>IF(AA423&lt;&gt;0,VLOOKUP(AA423,DM_DUAN,3,0),"")</f>
        <v>#N/A</v>
      </c>
      <c r="AA423" s="70" t="s">
        <v>183</v>
      </c>
      <c r="AB423" s="64" t="str">
        <f>IF(AC423&lt;&gt;0,VLOOKUP(AC423,DM_DUAN,3,0),"")</f>
        <v/>
      </c>
      <c r="AC423" s="85"/>
      <c r="AD423" s="64" t="str">
        <f>IF(AC423&lt;&gt;0,VLOOKUP(AC423,DM_NV,2,0),"")</f>
        <v/>
      </c>
      <c r="AE423" s="68"/>
      <c r="AF423" s="64" t="str">
        <f>IF(AE423&lt;&gt;0,VLOOKUP(AE423,DM_NV,2,0),"")</f>
        <v/>
      </c>
    </row>
    <row r="424">
      <c r="A424" s="51"/>
      <c r="B424" s="52" t="str">
        <f>IF(D424="","",VLOOKUP(D424,'THAM CHIẾU'!$A:$B,2,0))</f>
        <v>#N/A</v>
      </c>
      <c r="C424" s="53" t="str">
        <f t="shared" si="3"/>
        <v>03/2022</v>
      </c>
      <c r="D424" s="54">
        <v>44628.0</v>
      </c>
      <c r="E424" s="55" t="s">
        <v>531</v>
      </c>
      <c r="F424" s="56"/>
      <c r="G424" s="57" t="s">
        <v>205</v>
      </c>
      <c r="H424" s="58" t="str">
        <f>IF(G424="","",VLOOKUP($G424,'Quy chuẩn hạch toán'!$B:$E,2,0))</f>
        <v>642</v>
      </c>
      <c r="I424" s="58" t="str">
        <f>IF(H424="","",VLOOKUP($G424,'Quy chuẩn hạch toán'!$B:$E,3,0))</f>
        <v>1111</v>
      </c>
      <c r="J424" s="59">
        <v>224138.0</v>
      </c>
      <c r="K424" s="60"/>
      <c r="L424" s="61"/>
      <c r="M424" s="62"/>
      <c r="N424" s="63"/>
      <c r="O424" s="64" t="str">
        <f>IF($Q424&lt;&gt;0,VLOOKUP($Q424,DM_KM,3,0),"")</f>
        <v>#N/A</v>
      </c>
      <c r="P424" s="64" t="str">
        <f>IF($Q424&lt;&gt;0,VLOOKUP($Q424,DM_KM,5,0),"")</f>
        <v>#N/A</v>
      </c>
      <c r="Q424" s="65" t="s">
        <v>413</v>
      </c>
      <c r="R424" s="64" t="str">
        <f>IF(S424&lt;&gt;0,VLOOKUP(S424,DM_DUAN,3,0),"")</f>
        <v>#N/A</v>
      </c>
      <c r="S424" s="66" t="str">
        <f>IF(U424&lt;&gt;0,VLOOKUP(U424,DM_DUAN,3,0),"")</f>
        <v/>
      </c>
      <c r="T424" s="64"/>
      <c r="U424" s="93"/>
      <c r="V424" s="64" t="str">
        <f>IF(W424&lt;&gt;0,VLOOKUP(W424,DM_DUAN,3,0),"")</f>
        <v/>
      </c>
      <c r="W424" s="68"/>
      <c r="X424" s="64" t="str">
        <f>IF(Y424&lt;&gt;0,VLOOKUP(Y424,DM_DUAN,3,0),"")</f>
        <v>#N/A</v>
      </c>
      <c r="Y424" s="69" t="s">
        <v>207</v>
      </c>
      <c r="Z424" s="64" t="str">
        <f>IF(AA424&lt;&gt;0,VLOOKUP(AA424,DM_DUAN,3,0),"")</f>
        <v>#N/A</v>
      </c>
      <c r="AA424" s="70" t="s">
        <v>183</v>
      </c>
      <c r="AB424" s="64" t="str">
        <f>IF(AC424&lt;&gt;0,VLOOKUP(AC424,DM_DUAN,3,0),"")</f>
        <v/>
      </c>
      <c r="AC424" s="85"/>
      <c r="AD424" s="64" t="str">
        <f>IF(AC424&lt;&gt;0,VLOOKUP(AC424,DM_NV,2,0),"")</f>
        <v/>
      </c>
      <c r="AE424" s="83" t="s">
        <v>378</v>
      </c>
      <c r="AF424" s="64" t="str">
        <f>IF(AE424&lt;&gt;0,VLOOKUP(AE424,DM_NV,2,0),"")</f>
        <v>#N/A</v>
      </c>
    </row>
    <row r="425">
      <c r="A425" s="51"/>
      <c r="B425" s="52" t="str">
        <f>IF(D425="","",VLOOKUP(D425,'THAM CHIẾU'!$A:$B,2,0))</f>
        <v>#N/A</v>
      </c>
      <c r="C425" s="53" t="str">
        <f t="shared" si="3"/>
        <v>03/2022</v>
      </c>
      <c r="D425" s="54">
        <v>44628.0</v>
      </c>
      <c r="E425" s="55" t="s">
        <v>531</v>
      </c>
      <c r="F425" s="56"/>
      <c r="G425" s="57" t="s">
        <v>205</v>
      </c>
      <c r="H425" s="58" t="str">
        <f>IF(G425="","",VLOOKUP($G425,'Quy chuẩn hạch toán'!$B:$E,2,0))</f>
        <v>642</v>
      </c>
      <c r="I425" s="58" t="str">
        <f>IF(H425="","",VLOOKUP($G425,'Quy chuẩn hạch toán'!$B:$E,3,0))</f>
        <v>1111</v>
      </c>
      <c r="J425" s="59">
        <v>120690.0</v>
      </c>
      <c r="K425" s="60"/>
      <c r="L425" s="61"/>
      <c r="M425" s="62"/>
      <c r="N425" s="63"/>
      <c r="O425" s="64" t="str">
        <f>IF($Q425&lt;&gt;0,VLOOKUP($Q425,DM_KM,3,0),"")</f>
        <v>#N/A</v>
      </c>
      <c r="P425" s="64" t="str">
        <f>IF($Q425&lt;&gt;0,VLOOKUP($Q425,DM_KM,5,0),"")</f>
        <v>#N/A</v>
      </c>
      <c r="Q425" s="65" t="s">
        <v>413</v>
      </c>
      <c r="R425" s="64" t="str">
        <f>IF(S425&lt;&gt;0,VLOOKUP(S425,DM_DUAN,3,0),"")</f>
        <v>#N/A</v>
      </c>
      <c r="S425" s="66" t="str">
        <f>IF(U425&lt;&gt;0,VLOOKUP(U425,DM_DUAN,3,0),"")</f>
        <v/>
      </c>
      <c r="T425" s="64"/>
      <c r="U425" s="93"/>
      <c r="V425" s="64" t="str">
        <f>IF(W425&lt;&gt;0,VLOOKUP(W425,DM_DUAN,3,0),"")</f>
        <v/>
      </c>
      <c r="W425" s="68"/>
      <c r="X425" s="64" t="str">
        <f>IF(Y425&lt;&gt;0,VLOOKUP(Y425,DM_DUAN,3,0),"")</f>
        <v>#N/A</v>
      </c>
      <c r="Y425" s="69" t="s">
        <v>207</v>
      </c>
      <c r="Z425" s="64" t="str">
        <f>IF(AA425&lt;&gt;0,VLOOKUP(AA425,DM_DUAN,3,0),"")</f>
        <v>#N/A</v>
      </c>
      <c r="AA425" s="70" t="s">
        <v>177</v>
      </c>
      <c r="AB425" s="64" t="str">
        <f>IF(AC425&lt;&gt;0,VLOOKUP(AC425,DM_DUAN,3,0),"")</f>
        <v/>
      </c>
      <c r="AC425" s="85"/>
      <c r="AD425" s="64" t="str">
        <f>IF(AC425&lt;&gt;0,VLOOKUP(AC425,DM_NV,2,0),"")</f>
        <v/>
      </c>
      <c r="AE425" s="83" t="s">
        <v>378</v>
      </c>
      <c r="AF425" s="64" t="str">
        <f>IF(AE425&lt;&gt;0,VLOOKUP(AE425,DM_NV,2,0),"")</f>
        <v>#N/A</v>
      </c>
    </row>
    <row r="426">
      <c r="A426" s="51"/>
      <c r="B426" s="52" t="str">
        <f>IF(D426="","",VLOOKUP(D426,'THAM CHIẾU'!$A:$B,2,0))</f>
        <v>#N/A</v>
      </c>
      <c r="C426" s="53" t="str">
        <f t="shared" si="3"/>
        <v>03/2022</v>
      </c>
      <c r="D426" s="54">
        <v>44628.0</v>
      </c>
      <c r="E426" s="55" t="s">
        <v>531</v>
      </c>
      <c r="F426" s="56"/>
      <c r="G426" s="57" t="s">
        <v>205</v>
      </c>
      <c r="H426" s="58" t="str">
        <f>IF(G426="","",VLOOKUP($G426,'Quy chuẩn hạch toán'!$B:$E,2,0))</f>
        <v>642</v>
      </c>
      <c r="I426" s="58" t="str">
        <f>IF(H426="","",VLOOKUP($G426,'Quy chuẩn hạch toán'!$B:$E,3,0))</f>
        <v>1111</v>
      </c>
      <c r="J426" s="59">
        <v>120690.0</v>
      </c>
      <c r="K426" s="60"/>
      <c r="L426" s="61"/>
      <c r="M426" s="62"/>
      <c r="N426" s="63"/>
      <c r="O426" s="64" t="str">
        <f>IF($Q426&lt;&gt;0,VLOOKUP($Q426,DM_KM,3,0),"")</f>
        <v>#N/A</v>
      </c>
      <c r="P426" s="64" t="str">
        <f>IF($Q426&lt;&gt;0,VLOOKUP($Q426,DM_KM,5,0),"")</f>
        <v>#N/A</v>
      </c>
      <c r="Q426" s="89" t="s">
        <v>413</v>
      </c>
      <c r="R426" s="64" t="str">
        <f>IF(S426&lt;&gt;0,VLOOKUP(S426,DM_DUAN,3,0),"")</f>
        <v>#N/A</v>
      </c>
      <c r="S426" s="66" t="str">
        <f>IF(U426&lt;&gt;0,VLOOKUP(U426,DM_DUAN,3,0),"")</f>
        <v/>
      </c>
      <c r="T426" s="64"/>
      <c r="U426" s="93"/>
      <c r="V426" s="64" t="str">
        <f>IF(W426&lt;&gt;0,VLOOKUP(W426,DM_DUAN,3,0),"")</f>
        <v/>
      </c>
      <c r="W426" s="68"/>
      <c r="X426" s="64" t="str">
        <f>IF(Y426&lt;&gt;0,VLOOKUP(Y426,DM_DUAN,3,0),"")</f>
        <v>#N/A</v>
      </c>
      <c r="Y426" s="69" t="s">
        <v>207</v>
      </c>
      <c r="Z426" s="64" t="str">
        <f>IF(AA426&lt;&gt;0,VLOOKUP(AA426,DM_DUAN,3,0),"")</f>
        <v>#N/A</v>
      </c>
      <c r="AA426" s="131" t="s">
        <v>210</v>
      </c>
      <c r="AB426" s="64" t="str">
        <f>IF(AC426&lt;&gt;0,VLOOKUP(AC426,DM_DUAN,3,0),"")</f>
        <v/>
      </c>
      <c r="AC426" s="85"/>
      <c r="AD426" s="64" t="str">
        <f>IF(AC426&lt;&gt;0,VLOOKUP(AC426,DM_NV,2,0),"")</f>
        <v/>
      </c>
      <c r="AE426" s="83" t="s">
        <v>378</v>
      </c>
      <c r="AF426" s="64" t="str">
        <f>IF(AE426&lt;&gt;0,VLOOKUP(AE426,DM_NV,2,0),"")</f>
        <v>#N/A</v>
      </c>
    </row>
    <row r="427">
      <c r="A427" s="51"/>
      <c r="B427" s="52" t="str">
        <f>IF(D427="","",VLOOKUP(D427,'THAM CHIẾU'!$A:$B,2,0))</f>
        <v>#N/A</v>
      </c>
      <c r="C427" s="53" t="str">
        <f t="shared" si="3"/>
        <v>03/2022</v>
      </c>
      <c r="D427" s="54">
        <v>44628.0</v>
      </c>
      <c r="E427" s="55" t="s">
        <v>531</v>
      </c>
      <c r="F427" s="56"/>
      <c r="G427" s="57" t="s">
        <v>205</v>
      </c>
      <c r="H427" s="58" t="str">
        <f>IF(G427="","",VLOOKUP($G427,'Quy chuẩn hạch toán'!$B:$E,2,0))</f>
        <v>642</v>
      </c>
      <c r="I427" s="58" t="str">
        <f>IF(H427="","",VLOOKUP($G427,'Quy chuẩn hạch toán'!$B:$E,3,0))</f>
        <v>1111</v>
      </c>
      <c r="J427" s="59">
        <v>34483.0</v>
      </c>
      <c r="K427" s="60"/>
      <c r="L427" s="61"/>
      <c r="M427" s="62"/>
      <c r="N427" s="63"/>
      <c r="O427" s="64" t="str">
        <f>IF($Q427&lt;&gt;0,VLOOKUP($Q427,DM_KM,3,0),"")</f>
        <v>#N/A</v>
      </c>
      <c r="P427" s="64" t="str">
        <f>IF($Q427&lt;&gt;0,VLOOKUP($Q427,DM_KM,5,0),"")</f>
        <v>#N/A</v>
      </c>
      <c r="Q427" s="89" t="s">
        <v>413</v>
      </c>
      <c r="R427" s="64" t="str">
        <f>IF(S427&lt;&gt;0,VLOOKUP(S427,DM_DUAN,3,0),"")</f>
        <v>#N/A</v>
      </c>
      <c r="S427" s="66" t="str">
        <f>IF(U427&lt;&gt;0,VLOOKUP(U427,DM_DUAN,3,0),"")</f>
        <v/>
      </c>
      <c r="T427" s="64"/>
      <c r="U427" s="93"/>
      <c r="V427" s="64" t="str">
        <f>IF(W427&lt;&gt;0,VLOOKUP(W427,DM_DUAN,3,0),"")</f>
        <v/>
      </c>
      <c r="W427" s="68"/>
      <c r="X427" s="64" t="str">
        <f>IF(Y427&lt;&gt;0,VLOOKUP(Y427,DM_DUAN,3,0),"")</f>
        <v>#N/A</v>
      </c>
      <c r="Y427" s="69" t="s">
        <v>207</v>
      </c>
      <c r="Z427" s="64" t="str">
        <f>IF(AA427&lt;&gt;0,VLOOKUP(AA427,DM_DUAN,3,0),"")</f>
        <v>#N/A</v>
      </c>
      <c r="AA427" s="70" t="s">
        <v>514</v>
      </c>
      <c r="AB427" s="64" t="str">
        <f>IF(AC427&lt;&gt;0,VLOOKUP(AC427,DM_DUAN,3,0),"")</f>
        <v/>
      </c>
      <c r="AC427" s="85"/>
      <c r="AD427" s="64" t="str">
        <f>IF(AC427&lt;&gt;0,VLOOKUP(AC427,DM_NV,2,0),"")</f>
        <v/>
      </c>
      <c r="AE427" s="83" t="s">
        <v>378</v>
      </c>
      <c r="AF427" s="64" t="str">
        <f>IF(AE427&lt;&gt;0,VLOOKUP(AE427,DM_NV,2,0),"")</f>
        <v>#N/A</v>
      </c>
    </row>
    <row r="428">
      <c r="A428" s="51"/>
      <c r="B428" s="52" t="str">
        <f>IF(D428="","",VLOOKUP(D428,'THAM CHIẾU'!$A:$B,2,0))</f>
        <v>#N/A</v>
      </c>
      <c r="C428" s="53" t="str">
        <f t="shared" si="3"/>
        <v>03/2022</v>
      </c>
      <c r="D428" s="54">
        <v>44628.0</v>
      </c>
      <c r="E428" s="55" t="s">
        <v>532</v>
      </c>
      <c r="F428" s="56"/>
      <c r="G428" s="57" t="s">
        <v>173</v>
      </c>
      <c r="H428" s="58" t="str">
        <f>IF(G428="","",VLOOKUP($G428,'Quy chuẩn hạch toán'!$B:$E,2,0))</f>
        <v>641</v>
      </c>
      <c r="I428" s="58" t="str">
        <f>IF(H428="","",VLOOKUP($G428,'Quy chuẩn hạch toán'!$B:$E,3,0))</f>
        <v>331</v>
      </c>
      <c r="J428" s="59">
        <v>1312000.0</v>
      </c>
      <c r="K428" s="60"/>
      <c r="L428" s="61"/>
      <c r="M428" s="62"/>
      <c r="N428" s="63"/>
      <c r="O428" s="64" t="str">
        <f>IF($Q428&lt;&gt;0,VLOOKUP($Q428,DM_KM,3,0),"")</f>
        <v>#N/A</v>
      </c>
      <c r="P428" s="64" t="str">
        <f>IF($Q428&lt;&gt;0,VLOOKUP($Q428,DM_KM,5,0),"")</f>
        <v>#N/A</v>
      </c>
      <c r="Q428" s="65" t="s">
        <v>174</v>
      </c>
      <c r="R428" s="64" t="str">
        <f>IF(S428&lt;&gt;0,VLOOKUP(S428,DM_DUAN,3,0),"")</f>
        <v>#N/A</v>
      </c>
      <c r="S428" s="66" t="str">
        <f>IF(U428&lt;&gt;0,VLOOKUP(U428,DM_DUAN,3,0),"")</f>
        <v>THANGLOI</v>
      </c>
      <c r="T428" s="64"/>
      <c r="U428" s="67" t="s">
        <v>533</v>
      </c>
      <c r="V428" s="64" t="str">
        <f>IF(W428&lt;&gt;0,VLOOKUP(W428,DM_DUAN,3,0),"")</f>
        <v/>
      </c>
      <c r="W428" s="68"/>
      <c r="X428" s="64" t="str">
        <f>IF(Y428&lt;&gt;0,VLOOKUP(Y428,DM_DUAN,3,0),"")</f>
        <v>#N/A</v>
      </c>
      <c r="Y428" s="69" t="s">
        <v>176</v>
      </c>
      <c r="Z428" s="64" t="str">
        <f>IF(AA428&lt;&gt;0,VLOOKUP(AA428,DM_DUAN,3,0),"")</f>
        <v>#N/A</v>
      </c>
      <c r="AA428" s="70" t="s">
        <v>177</v>
      </c>
      <c r="AB428" s="64" t="str">
        <f>IF(AC428&lt;&gt;0,VLOOKUP(AC428,DM_DUAN,3,0),"")</f>
        <v/>
      </c>
      <c r="AC428" s="70"/>
      <c r="AD428" s="64" t="str">
        <f>IF(AC428&lt;&gt;0,VLOOKUP(AC428,DM_NV,2,0),"")</f>
        <v/>
      </c>
      <c r="AE428" s="68"/>
      <c r="AF428" s="64" t="str">
        <f>IF(AE428&lt;&gt;0,VLOOKUP(AE428,DM_NV,2,0),"")</f>
        <v/>
      </c>
    </row>
    <row r="429">
      <c r="A429" s="51"/>
      <c r="B429" s="52" t="str">
        <f>IF(D429="","",VLOOKUP(D429,'THAM CHIẾU'!$A:$B,2,0))</f>
        <v>#N/A</v>
      </c>
      <c r="C429" s="53" t="str">
        <f t="shared" si="3"/>
        <v>03/2022</v>
      </c>
      <c r="D429" s="54">
        <v>44629.0</v>
      </c>
      <c r="E429" s="55" t="s">
        <v>534</v>
      </c>
      <c r="F429" s="56"/>
      <c r="G429" s="57" t="s">
        <v>205</v>
      </c>
      <c r="H429" s="58" t="str">
        <f>IF(G429="","",VLOOKUP($G429,'Quy chuẩn hạch toán'!$B:$E,2,0))</f>
        <v>642</v>
      </c>
      <c r="I429" s="58" t="str">
        <f>IF(H429="","",VLOOKUP($G429,'Quy chuẩn hạch toán'!$B:$E,3,0))</f>
        <v>1111</v>
      </c>
      <c r="J429" s="59">
        <v>197241.0</v>
      </c>
      <c r="K429" s="60"/>
      <c r="L429" s="61"/>
      <c r="M429" s="62"/>
      <c r="N429" s="63"/>
      <c r="O429" s="64" t="str">
        <f>IF($Q429&lt;&gt;0,VLOOKUP($Q429,DM_KM,3,0),"")</f>
        <v>VHVP</v>
      </c>
      <c r="P429" s="64">
        <f>IF($Q429&lt;&gt;0,VLOOKUP($Q429,DM_KM,5,0),"")</f>
        <v>642</v>
      </c>
      <c r="Q429" s="65" t="s">
        <v>382</v>
      </c>
      <c r="R429" s="64" t="str">
        <f>IF(S429&lt;&gt;0,VLOOKUP(S429,DM_DUAN,3,0),"")</f>
        <v>#N/A</v>
      </c>
      <c r="S429" s="66" t="str">
        <f>IF(U429&lt;&gt;0,VLOOKUP(U429,DM_DUAN,3,0),"")</f>
        <v/>
      </c>
      <c r="T429" s="64"/>
      <c r="U429" s="93"/>
      <c r="V429" s="64" t="str">
        <f>IF(W429&lt;&gt;0,VLOOKUP(W429,DM_DUAN,3,0),"")</f>
        <v/>
      </c>
      <c r="W429" s="68"/>
      <c r="X429" s="64" t="str">
        <f>IF(Y429&lt;&gt;0,VLOOKUP(Y429,DM_DUAN,3,0),"")</f>
        <v>#N/A</v>
      </c>
      <c r="Y429" s="69" t="s">
        <v>207</v>
      </c>
      <c r="Z429" s="64" t="str">
        <f>IF(AA429&lt;&gt;0,VLOOKUP(AA429,DM_DUAN,3,0),"")</f>
        <v>#N/A</v>
      </c>
      <c r="AA429" s="70" t="s">
        <v>183</v>
      </c>
      <c r="AB429" s="64" t="str">
        <f>IF(AC429&lt;&gt;0,VLOOKUP(AC429,DM_DUAN,3,0),"")</f>
        <v/>
      </c>
      <c r="AC429" s="85"/>
      <c r="AD429" s="64" t="str">
        <f>IF(AC429&lt;&gt;0,VLOOKUP(AC429,DM_NV,2,0),"")</f>
        <v/>
      </c>
      <c r="AE429" s="83" t="s">
        <v>223</v>
      </c>
      <c r="AF429" s="64" t="str">
        <f>IF(AE429&lt;&gt;0,VLOOKUP(AE429,DM_NV,2,0),"")</f>
        <v>#N/A</v>
      </c>
    </row>
    <row r="430">
      <c r="A430" s="51"/>
      <c r="B430" s="52" t="str">
        <f>IF(D430="","",VLOOKUP(D430,'THAM CHIẾU'!$A:$B,2,0))</f>
        <v>#N/A</v>
      </c>
      <c r="C430" s="53" t="str">
        <f t="shared" si="3"/>
        <v>03/2022</v>
      </c>
      <c r="D430" s="54">
        <v>44629.0</v>
      </c>
      <c r="E430" s="55" t="s">
        <v>534</v>
      </c>
      <c r="F430" s="56"/>
      <c r="G430" s="57" t="s">
        <v>205</v>
      </c>
      <c r="H430" s="58" t="str">
        <f>IF(G430="","",VLOOKUP($G430,'Quy chuẩn hạch toán'!$B:$E,2,0))</f>
        <v>642</v>
      </c>
      <c r="I430" s="58" t="str">
        <f>IF(H430="","",VLOOKUP($G430,'Quy chuẩn hạch toán'!$B:$E,3,0))</f>
        <v>1111</v>
      </c>
      <c r="J430" s="59">
        <v>106207.0</v>
      </c>
      <c r="K430" s="60"/>
      <c r="L430" s="61"/>
      <c r="M430" s="62"/>
      <c r="N430" s="63"/>
      <c r="O430" s="64" t="str">
        <f>IF($Q430&lt;&gt;0,VLOOKUP($Q430,DM_KM,3,0),"")</f>
        <v>VHVP</v>
      </c>
      <c r="P430" s="64">
        <f>IF($Q430&lt;&gt;0,VLOOKUP($Q430,DM_KM,5,0),"")</f>
        <v>642</v>
      </c>
      <c r="Q430" s="65" t="s">
        <v>382</v>
      </c>
      <c r="R430" s="64" t="str">
        <f>IF(S430&lt;&gt;0,VLOOKUP(S430,DM_DUAN,3,0),"")</f>
        <v>#N/A</v>
      </c>
      <c r="S430" s="66" t="str">
        <f>IF(U430&lt;&gt;0,VLOOKUP(U430,DM_DUAN,3,0),"")</f>
        <v/>
      </c>
      <c r="T430" s="64"/>
      <c r="U430" s="93"/>
      <c r="V430" s="64" t="str">
        <f>IF(W430&lt;&gt;0,VLOOKUP(W430,DM_DUAN,3,0),"")</f>
        <v/>
      </c>
      <c r="W430" s="68"/>
      <c r="X430" s="64" t="str">
        <f>IF(Y430&lt;&gt;0,VLOOKUP(Y430,DM_DUAN,3,0),"")</f>
        <v>#N/A</v>
      </c>
      <c r="Y430" s="69" t="s">
        <v>207</v>
      </c>
      <c r="Z430" s="64" t="str">
        <f>IF(AA430&lt;&gt;0,VLOOKUP(AA430,DM_DUAN,3,0),"")</f>
        <v>#N/A</v>
      </c>
      <c r="AA430" s="70" t="s">
        <v>177</v>
      </c>
      <c r="AB430" s="64" t="str">
        <f>IF(AC430&lt;&gt;0,VLOOKUP(AC430,DM_DUAN,3,0),"")</f>
        <v/>
      </c>
      <c r="AC430" s="85"/>
      <c r="AD430" s="64" t="str">
        <f>IF(AC430&lt;&gt;0,VLOOKUP(AC430,DM_NV,2,0),"")</f>
        <v/>
      </c>
      <c r="AE430" s="83" t="s">
        <v>223</v>
      </c>
      <c r="AF430" s="64" t="str">
        <f>IF(AE430&lt;&gt;0,VLOOKUP(AE430,DM_NV,2,0),"")</f>
        <v>#N/A</v>
      </c>
    </row>
    <row r="431">
      <c r="A431" s="51"/>
      <c r="B431" s="52" t="str">
        <f>IF(D431="","",VLOOKUP(D431,'THAM CHIẾU'!$A:$B,2,0))</f>
        <v>#N/A</v>
      </c>
      <c r="C431" s="53" t="str">
        <f t="shared" si="3"/>
        <v>03/2022</v>
      </c>
      <c r="D431" s="54">
        <v>44629.0</v>
      </c>
      <c r="E431" s="55" t="s">
        <v>534</v>
      </c>
      <c r="F431" s="56"/>
      <c r="G431" s="57" t="s">
        <v>205</v>
      </c>
      <c r="H431" s="58" t="str">
        <f>IF(G431="","",VLOOKUP($G431,'Quy chuẩn hạch toán'!$B:$E,2,0))</f>
        <v>642</v>
      </c>
      <c r="I431" s="58" t="str">
        <f>IF(H431="","",VLOOKUP($G431,'Quy chuẩn hạch toán'!$B:$E,3,0))</f>
        <v>1111</v>
      </c>
      <c r="J431" s="59">
        <v>106207.0</v>
      </c>
      <c r="K431" s="60"/>
      <c r="L431" s="61"/>
      <c r="M431" s="62"/>
      <c r="N431" s="63"/>
      <c r="O431" s="64" t="str">
        <f>IF($Q431&lt;&gt;0,VLOOKUP($Q431,DM_KM,3,0),"")</f>
        <v>VHVP</v>
      </c>
      <c r="P431" s="64">
        <f>IF($Q431&lt;&gt;0,VLOOKUP($Q431,DM_KM,5,0),"")</f>
        <v>642</v>
      </c>
      <c r="Q431" s="89" t="s">
        <v>382</v>
      </c>
      <c r="R431" s="64" t="str">
        <f>IF(S431&lt;&gt;0,VLOOKUP(S431,DM_DUAN,3,0),"")</f>
        <v>#N/A</v>
      </c>
      <c r="S431" s="66" t="str">
        <f>IF(U431&lt;&gt;0,VLOOKUP(U431,DM_DUAN,3,0),"")</f>
        <v/>
      </c>
      <c r="T431" s="64"/>
      <c r="U431" s="93"/>
      <c r="V431" s="64" t="str">
        <f>IF(W431&lt;&gt;0,VLOOKUP(W431,DM_DUAN,3,0),"")</f>
        <v/>
      </c>
      <c r="W431" s="68"/>
      <c r="X431" s="64" t="str">
        <f>IF(Y431&lt;&gt;0,VLOOKUP(Y431,DM_DUAN,3,0),"")</f>
        <v>#N/A</v>
      </c>
      <c r="Y431" s="69" t="s">
        <v>207</v>
      </c>
      <c r="Z431" s="64" t="str">
        <f>IF(AA431&lt;&gt;0,VLOOKUP(AA431,DM_DUAN,3,0),"")</f>
        <v>#N/A</v>
      </c>
      <c r="AA431" s="131" t="s">
        <v>210</v>
      </c>
      <c r="AB431" s="64" t="str">
        <f>IF(AC431&lt;&gt;0,VLOOKUP(AC431,DM_DUAN,3,0),"")</f>
        <v/>
      </c>
      <c r="AC431" s="85"/>
      <c r="AD431" s="64" t="str">
        <f>IF(AC431&lt;&gt;0,VLOOKUP(AC431,DM_NV,2,0),"")</f>
        <v/>
      </c>
      <c r="AE431" s="83" t="s">
        <v>223</v>
      </c>
      <c r="AF431" s="64" t="str">
        <f>IF(AE431&lt;&gt;0,VLOOKUP(AE431,DM_NV,2,0),"")</f>
        <v>#N/A</v>
      </c>
    </row>
    <row r="432">
      <c r="A432" s="51"/>
      <c r="B432" s="52" t="str">
        <f>IF(D432="","",VLOOKUP(D432,'THAM CHIẾU'!$A:$B,2,0))</f>
        <v>#N/A</v>
      </c>
      <c r="C432" s="53" t="str">
        <f t="shared" si="3"/>
        <v>03/2022</v>
      </c>
      <c r="D432" s="54">
        <v>44629.0</v>
      </c>
      <c r="E432" s="55" t="s">
        <v>534</v>
      </c>
      <c r="F432" s="56"/>
      <c r="G432" s="57" t="s">
        <v>205</v>
      </c>
      <c r="H432" s="58" t="str">
        <f>IF(G432="","",VLOOKUP($G432,'Quy chuẩn hạch toán'!$B:$E,2,0))</f>
        <v>642</v>
      </c>
      <c r="I432" s="58" t="str">
        <f>IF(H432="","",VLOOKUP($G432,'Quy chuẩn hạch toán'!$B:$E,3,0))</f>
        <v>1111</v>
      </c>
      <c r="J432" s="59">
        <v>30345.0</v>
      </c>
      <c r="K432" s="60"/>
      <c r="L432" s="61"/>
      <c r="M432" s="62"/>
      <c r="N432" s="63"/>
      <c r="O432" s="64" t="str">
        <f>IF($Q432&lt;&gt;0,VLOOKUP($Q432,DM_KM,3,0),"")</f>
        <v>VHVP</v>
      </c>
      <c r="P432" s="64">
        <f>IF($Q432&lt;&gt;0,VLOOKUP($Q432,DM_KM,5,0),"")</f>
        <v>642</v>
      </c>
      <c r="Q432" s="89" t="s">
        <v>382</v>
      </c>
      <c r="R432" s="64" t="str">
        <f>IF(S432&lt;&gt;0,VLOOKUP(S432,DM_DUAN,3,0),"")</f>
        <v>#N/A</v>
      </c>
      <c r="S432" s="66" t="str">
        <f>IF(U432&lt;&gt;0,VLOOKUP(U432,DM_DUAN,3,0),"")</f>
        <v/>
      </c>
      <c r="T432" s="64"/>
      <c r="U432" s="93"/>
      <c r="V432" s="64" t="str">
        <f>IF(W432&lt;&gt;0,VLOOKUP(W432,DM_DUAN,3,0),"")</f>
        <v/>
      </c>
      <c r="W432" s="68"/>
      <c r="X432" s="64" t="str">
        <f>IF(Y432&lt;&gt;0,VLOOKUP(Y432,DM_DUAN,3,0),"")</f>
        <v>#N/A</v>
      </c>
      <c r="Y432" s="69" t="s">
        <v>207</v>
      </c>
      <c r="Z432" s="64" t="str">
        <f>IF(AA432&lt;&gt;0,VLOOKUP(AA432,DM_DUAN,3,0),"")</f>
        <v>#N/A</v>
      </c>
      <c r="AA432" s="70" t="s">
        <v>514</v>
      </c>
      <c r="AB432" s="64" t="str">
        <f>IF(AC432&lt;&gt;0,VLOOKUP(AC432,DM_DUAN,3,0),"")</f>
        <v/>
      </c>
      <c r="AC432" s="85"/>
      <c r="AD432" s="64" t="str">
        <f>IF(AC432&lt;&gt;0,VLOOKUP(AC432,DM_NV,2,0),"")</f>
        <v/>
      </c>
      <c r="AE432" s="83" t="s">
        <v>223</v>
      </c>
      <c r="AF432" s="64" t="str">
        <f>IF(AE432&lt;&gt;0,VLOOKUP(AE432,DM_NV,2,0),"")</f>
        <v>#N/A</v>
      </c>
    </row>
    <row r="433">
      <c r="A433" s="51"/>
      <c r="B433" s="52" t="str">
        <f>IF(D433="","",VLOOKUP(D433,'THAM CHIẾU'!$A:$B,2,0))</f>
        <v>#N/A</v>
      </c>
      <c r="C433" s="53" t="str">
        <f t="shared" si="3"/>
        <v>03/2022</v>
      </c>
      <c r="D433" s="54">
        <v>44629.0</v>
      </c>
      <c r="E433" s="55" t="s">
        <v>535</v>
      </c>
      <c r="F433" s="56"/>
      <c r="G433" s="57" t="s">
        <v>205</v>
      </c>
      <c r="H433" s="58" t="str">
        <f>IF(G433="","",VLOOKUP($G433,'Quy chuẩn hạch toán'!$B:$E,2,0))</f>
        <v>642</v>
      </c>
      <c r="I433" s="58" t="str">
        <f>IF(H433="","",VLOOKUP($G433,'Quy chuẩn hạch toán'!$B:$E,3,0))</f>
        <v>1111</v>
      </c>
      <c r="J433" s="59">
        <v>123268.0</v>
      </c>
      <c r="K433" s="60"/>
      <c r="L433" s="61"/>
      <c r="M433" s="62"/>
      <c r="N433" s="63"/>
      <c r="O433" s="64" t="str">
        <f>IF($Q433&lt;&gt;0,VLOOKUP($Q433,DM_KM,3,0),"")</f>
        <v>#N/A</v>
      </c>
      <c r="P433" s="64" t="str">
        <f>IF($Q433&lt;&gt;0,VLOOKUP($Q433,DM_KM,5,0),"")</f>
        <v>#N/A</v>
      </c>
      <c r="Q433" s="65" t="s">
        <v>410</v>
      </c>
      <c r="R433" s="64" t="str">
        <f>IF(S433&lt;&gt;0,VLOOKUP(S433,DM_DUAN,3,0),"")</f>
        <v>#N/A</v>
      </c>
      <c r="S433" s="66" t="str">
        <f>IF(U433&lt;&gt;0,VLOOKUP(U433,DM_DUAN,3,0),"")</f>
        <v/>
      </c>
      <c r="T433" s="64"/>
      <c r="U433" s="93"/>
      <c r="V433" s="64" t="str">
        <f>IF(W433&lt;&gt;0,VLOOKUP(W433,DM_DUAN,3,0),"")</f>
        <v/>
      </c>
      <c r="W433" s="68"/>
      <c r="X433" s="64" t="str">
        <f>IF(Y433&lt;&gt;0,VLOOKUP(Y433,DM_DUAN,3,0),"")</f>
        <v>#N/A</v>
      </c>
      <c r="Y433" s="69" t="s">
        <v>207</v>
      </c>
      <c r="Z433" s="64" t="str">
        <f>IF(AA433&lt;&gt;0,VLOOKUP(AA433,DM_DUAN,3,0),"")</f>
        <v>#N/A</v>
      </c>
      <c r="AA433" s="70" t="s">
        <v>183</v>
      </c>
      <c r="AB433" s="64" t="str">
        <f>IF(AC433&lt;&gt;0,VLOOKUP(AC433,DM_DUAN,3,0),"")</f>
        <v/>
      </c>
      <c r="AC433" s="85"/>
      <c r="AD433" s="64" t="str">
        <f>IF(AC433&lt;&gt;0,VLOOKUP(AC433,DM_NV,2,0),"")</f>
        <v/>
      </c>
      <c r="AE433" s="83" t="s">
        <v>411</v>
      </c>
      <c r="AF433" s="64" t="str">
        <f>IF(AE433&lt;&gt;0,VLOOKUP(AE433,DM_NV,2,0),"")</f>
        <v>#N/A</v>
      </c>
    </row>
    <row r="434">
      <c r="A434" s="51"/>
      <c r="B434" s="52" t="str">
        <f>IF(D434="","",VLOOKUP(D434,'THAM CHIẾU'!$A:$B,2,0))</f>
        <v>#N/A</v>
      </c>
      <c r="C434" s="53" t="str">
        <f t="shared" si="3"/>
        <v>03/2022</v>
      </c>
      <c r="D434" s="54">
        <v>44629.0</v>
      </c>
      <c r="E434" s="55" t="s">
        <v>535</v>
      </c>
      <c r="F434" s="56"/>
      <c r="G434" s="57" t="s">
        <v>205</v>
      </c>
      <c r="H434" s="58" t="str">
        <f>IF(G434="","",VLOOKUP($G434,'Quy chuẩn hạch toán'!$B:$E,2,0))</f>
        <v>642</v>
      </c>
      <c r="I434" s="58" t="str">
        <f>IF(H434="","",VLOOKUP($G434,'Quy chuẩn hạch toán'!$B:$E,3,0))</f>
        <v>1111</v>
      </c>
      <c r="J434" s="59">
        <v>66375.0</v>
      </c>
      <c r="K434" s="60"/>
      <c r="L434" s="61"/>
      <c r="M434" s="62"/>
      <c r="N434" s="63"/>
      <c r="O434" s="64" t="str">
        <f>IF($Q434&lt;&gt;0,VLOOKUP($Q434,DM_KM,3,0),"")</f>
        <v>#N/A</v>
      </c>
      <c r="P434" s="64" t="str">
        <f>IF($Q434&lt;&gt;0,VLOOKUP($Q434,DM_KM,5,0),"")</f>
        <v>#N/A</v>
      </c>
      <c r="Q434" s="65" t="s">
        <v>410</v>
      </c>
      <c r="R434" s="64" t="str">
        <f>IF(S434&lt;&gt;0,VLOOKUP(S434,DM_DUAN,3,0),"")</f>
        <v>#N/A</v>
      </c>
      <c r="S434" s="66" t="str">
        <f>IF(U434&lt;&gt;0,VLOOKUP(U434,DM_DUAN,3,0),"")</f>
        <v/>
      </c>
      <c r="T434" s="64"/>
      <c r="U434" s="93"/>
      <c r="V434" s="64" t="str">
        <f>IF(W434&lt;&gt;0,VLOOKUP(W434,DM_DUAN,3,0),"")</f>
        <v/>
      </c>
      <c r="W434" s="68"/>
      <c r="X434" s="64" t="str">
        <f>IF(Y434&lt;&gt;0,VLOOKUP(Y434,DM_DUAN,3,0),"")</f>
        <v>#N/A</v>
      </c>
      <c r="Y434" s="69" t="s">
        <v>207</v>
      </c>
      <c r="Z434" s="64" t="str">
        <f>IF(AA434&lt;&gt;0,VLOOKUP(AA434,DM_DUAN,3,0),"")</f>
        <v>#N/A</v>
      </c>
      <c r="AA434" s="70" t="s">
        <v>177</v>
      </c>
      <c r="AB434" s="64" t="str">
        <f>IF(AC434&lt;&gt;0,VLOOKUP(AC434,DM_DUAN,3,0),"")</f>
        <v/>
      </c>
      <c r="AC434" s="85"/>
      <c r="AD434" s="64" t="str">
        <f>IF(AC434&lt;&gt;0,VLOOKUP(AC434,DM_NV,2,0),"")</f>
        <v/>
      </c>
      <c r="AE434" s="83" t="s">
        <v>411</v>
      </c>
      <c r="AF434" s="64" t="str">
        <f>IF(AE434&lt;&gt;0,VLOOKUP(AE434,DM_NV,2,0),"")</f>
        <v>#N/A</v>
      </c>
    </row>
    <row r="435">
      <c r="A435" s="51"/>
      <c r="B435" s="52" t="str">
        <f>IF(D435="","",VLOOKUP(D435,'THAM CHIẾU'!$A:$B,2,0))</f>
        <v>#N/A</v>
      </c>
      <c r="C435" s="53" t="str">
        <f t="shared" si="3"/>
        <v>03/2022</v>
      </c>
      <c r="D435" s="54">
        <v>44629.0</v>
      </c>
      <c r="E435" s="55" t="s">
        <v>535</v>
      </c>
      <c r="F435" s="56"/>
      <c r="G435" s="57" t="s">
        <v>205</v>
      </c>
      <c r="H435" s="58" t="str">
        <f>IF(G435="","",VLOOKUP($G435,'Quy chuẩn hạch toán'!$B:$E,2,0))</f>
        <v>642</v>
      </c>
      <c r="I435" s="58" t="str">
        <f>IF(H435="","",VLOOKUP($G435,'Quy chuẩn hạch toán'!$B:$E,3,0))</f>
        <v>1111</v>
      </c>
      <c r="J435" s="59">
        <v>66375.0</v>
      </c>
      <c r="K435" s="60"/>
      <c r="L435" s="61"/>
      <c r="M435" s="62"/>
      <c r="N435" s="63"/>
      <c r="O435" s="64" t="str">
        <f>IF($Q435&lt;&gt;0,VLOOKUP($Q435,DM_KM,3,0),"")</f>
        <v>#N/A</v>
      </c>
      <c r="P435" s="64" t="str">
        <f>IF($Q435&lt;&gt;0,VLOOKUP($Q435,DM_KM,5,0),"")</f>
        <v>#N/A</v>
      </c>
      <c r="Q435" s="89" t="s">
        <v>410</v>
      </c>
      <c r="R435" s="64" t="str">
        <f>IF(S435&lt;&gt;0,VLOOKUP(S435,DM_DUAN,3,0),"")</f>
        <v>#N/A</v>
      </c>
      <c r="S435" s="66" t="str">
        <f>IF(U435&lt;&gt;0,VLOOKUP(U435,DM_DUAN,3,0),"")</f>
        <v/>
      </c>
      <c r="T435" s="64"/>
      <c r="U435" s="93"/>
      <c r="V435" s="64" t="str">
        <f>IF(W435&lt;&gt;0,VLOOKUP(W435,DM_DUAN,3,0),"")</f>
        <v/>
      </c>
      <c r="W435" s="68"/>
      <c r="X435" s="64" t="str">
        <f>IF(Y435&lt;&gt;0,VLOOKUP(Y435,DM_DUAN,3,0),"")</f>
        <v>#N/A</v>
      </c>
      <c r="Y435" s="69" t="s">
        <v>207</v>
      </c>
      <c r="Z435" s="64" t="str">
        <f>IF(AA435&lt;&gt;0,VLOOKUP(AA435,DM_DUAN,3,0),"")</f>
        <v>#N/A</v>
      </c>
      <c r="AA435" s="131" t="s">
        <v>210</v>
      </c>
      <c r="AB435" s="64" t="str">
        <f>IF(AC435&lt;&gt;0,VLOOKUP(AC435,DM_DUAN,3,0),"")</f>
        <v/>
      </c>
      <c r="AC435" s="85"/>
      <c r="AD435" s="64" t="str">
        <f>IF(AC435&lt;&gt;0,VLOOKUP(AC435,DM_NV,2,0),"")</f>
        <v/>
      </c>
      <c r="AE435" s="83" t="s">
        <v>411</v>
      </c>
      <c r="AF435" s="64" t="str">
        <f>IF(AE435&lt;&gt;0,VLOOKUP(AE435,DM_NV,2,0),"")</f>
        <v>#N/A</v>
      </c>
    </row>
    <row r="436">
      <c r="A436" s="51"/>
      <c r="B436" s="52" t="str">
        <f>IF(D436="","",VLOOKUP(D436,'THAM CHIẾU'!$A:$B,2,0))</f>
        <v>#N/A</v>
      </c>
      <c r="C436" s="53" t="str">
        <f t="shared" si="3"/>
        <v>03/2022</v>
      </c>
      <c r="D436" s="54">
        <v>44629.0</v>
      </c>
      <c r="E436" s="55" t="s">
        <v>535</v>
      </c>
      <c r="F436" s="56"/>
      <c r="G436" s="57" t="s">
        <v>205</v>
      </c>
      <c r="H436" s="58" t="str">
        <f>IF(G436="","",VLOOKUP($G436,'Quy chuẩn hạch toán'!$B:$E,2,0))</f>
        <v>642</v>
      </c>
      <c r="I436" s="58" t="str">
        <f>IF(H436="","",VLOOKUP($G436,'Quy chuẩn hạch toán'!$B:$E,3,0))</f>
        <v>1111</v>
      </c>
      <c r="J436" s="59">
        <v>18964.0</v>
      </c>
      <c r="K436" s="60"/>
      <c r="L436" s="61"/>
      <c r="M436" s="62"/>
      <c r="N436" s="63"/>
      <c r="O436" s="64" t="str">
        <f>IF($Q436&lt;&gt;0,VLOOKUP($Q436,DM_KM,3,0),"")</f>
        <v>#N/A</v>
      </c>
      <c r="P436" s="64" t="str">
        <f>IF($Q436&lt;&gt;0,VLOOKUP($Q436,DM_KM,5,0),"")</f>
        <v>#N/A</v>
      </c>
      <c r="Q436" s="89" t="s">
        <v>410</v>
      </c>
      <c r="R436" s="64" t="str">
        <f>IF(S436&lt;&gt;0,VLOOKUP(S436,DM_DUAN,3,0),"")</f>
        <v>#N/A</v>
      </c>
      <c r="S436" s="66" t="str">
        <f>IF(U436&lt;&gt;0,VLOOKUP(U436,DM_DUAN,3,0),"")</f>
        <v/>
      </c>
      <c r="T436" s="64"/>
      <c r="U436" s="93"/>
      <c r="V436" s="64" t="str">
        <f>IF(W436&lt;&gt;0,VLOOKUP(W436,DM_DUAN,3,0),"")</f>
        <v/>
      </c>
      <c r="W436" s="68"/>
      <c r="X436" s="64" t="str">
        <f>IF(Y436&lt;&gt;0,VLOOKUP(Y436,DM_DUAN,3,0),"")</f>
        <v>#N/A</v>
      </c>
      <c r="Y436" s="69" t="s">
        <v>207</v>
      </c>
      <c r="Z436" s="64" t="str">
        <f>IF(AA436&lt;&gt;0,VLOOKUP(AA436,DM_DUAN,3,0),"")</f>
        <v>#N/A</v>
      </c>
      <c r="AA436" s="70" t="s">
        <v>514</v>
      </c>
      <c r="AB436" s="64" t="str">
        <f>IF(AC436&lt;&gt;0,VLOOKUP(AC436,DM_DUAN,3,0),"")</f>
        <v/>
      </c>
      <c r="AC436" s="85"/>
      <c r="AD436" s="64" t="str">
        <f>IF(AC436&lt;&gt;0,VLOOKUP(AC436,DM_NV,2,0),"")</f>
        <v/>
      </c>
      <c r="AE436" s="83" t="s">
        <v>411</v>
      </c>
      <c r="AF436" s="64" t="str">
        <f>IF(AE436&lt;&gt;0,VLOOKUP(AE436,DM_NV,2,0),"")</f>
        <v>#N/A</v>
      </c>
    </row>
    <row r="437">
      <c r="A437" s="51"/>
      <c r="B437" s="52" t="str">
        <f>IF(D437="","",VLOOKUP(D437,'THAM CHIẾU'!$A:$B,2,0))</f>
        <v>#N/A</v>
      </c>
      <c r="C437" s="53" t="str">
        <f t="shared" si="3"/>
        <v>03/2022</v>
      </c>
      <c r="D437" s="54">
        <v>44630.0</v>
      </c>
      <c r="E437" s="55" t="s">
        <v>536</v>
      </c>
      <c r="F437" s="56"/>
      <c r="G437" s="57" t="s">
        <v>205</v>
      </c>
      <c r="H437" s="58" t="str">
        <f>IF(G437="","",VLOOKUP($G437,'Quy chuẩn hạch toán'!$B:$E,2,0))</f>
        <v>642</v>
      </c>
      <c r="I437" s="58" t="str">
        <f>IF(H437="","",VLOOKUP($G437,'Quy chuẩn hạch toán'!$B:$E,3,0))</f>
        <v>1111</v>
      </c>
      <c r="J437" s="59">
        <v>394643.0</v>
      </c>
      <c r="K437" s="60"/>
      <c r="L437" s="61"/>
      <c r="M437" s="62"/>
      <c r="N437" s="63"/>
      <c r="O437" s="64" t="str">
        <f>IF($Q437&lt;&gt;0,VLOOKUP($Q437,DM_KM,3,0),"")</f>
        <v>#N/A</v>
      </c>
      <c r="P437" s="64" t="str">
        <f>IF($Q437&lt;&gt;0,VLOOKUP($Q437,DM_KM,5,0),"")</f>
        <v>#N/A</v>
      </c>
      <c r="Q437" s="65" t="s">
        <v>272</v>
      </c>
      <c r="R437" s="64" t="str">
        <f>IF(S437&lt;&gt;0,VLOOKUP(S437,DM_DUAN,3,0),"")</f>
        <v>#N/A</v>
      </c>
      <c r="S437" s="66" t="str">
        <f>IF(U437&lt;&gt;0,VLOOKUP(U437,DM_DUAN,3,0),"")</f>
        <v/>
      </c>
      <c r="T437" s="64"/>
      <c r="U437" s="93"/>
      <c r="V437" s="64" t="str">
        <f>IF(W437&lt;&gt;0,VLOOKUP(W437,DM_DUAN,3,0),"")</f>
        <v/>
      </c>
      <c r="W437" s="68"/>
      <c r="X437" s="64" t="str">
        <f>IF(Y437&lt;&gt;0,VLOOKUP(Y437,DM_DUAN,3,0),"")</f>
        <v>#N/A</v>
      </c>
      <c r="Y437" s="69" t="s">
        <v>207</v>
      </c>
      <c r="Z437" s="64" t="str">
        <f>IF(AA437&lt;&gt;0,VLOOKUP(AA437,DM_DUAN,3,0),"")</f>
        <v>#N/A</v>
      </c>
      <c r="AA437" s="70" t="s">
        <v>183</v>
      </c>
      <c r="AB437" s="64" t="str">
        <f>IF(AC437&lt;&gt;0,VLOOKUP(AC437,DM_DUAN,3,0),"")</f>
        <v/>
      </c>
      <c r="AC437" s="85"/>
      <c r="AD437" s="64" t="str">
        <f>IF(AC437&lt;&gt;0,VLOOKUP(AC437,DM_NV,2,0),"")</f>
        <v/>
      </c>
      <c r="AE437" s="83" t="s">
        <v>227</v>
      </c>
      <c r="AF437" s="64" t="str">
        <f>IF(AE437&lt;&gt;0,VLOOKUP(AE437,DM_NV,2,0),"")</f>
        <v>#N/A</v>
      </c>
    </row>
    <row r="438">
      <c r="A438" s="51"/>
      <c r="B438" s="52" t="str">
        <f>IF(D438="","",VLOOKUP(D438,'THAM CHIẾU'!$A:$B,2,0))</f>
        <v>#N/A</v>
      </c>
      <c r="C438" s="53" t="str">
        <f t="shared" si="3"/>
        <v>03/2022</v>
      </c>
      <c r="D438" s="54">
        <v>44630.0</v>
      </c>
      <c r="E438" s="55" t="s">
        <v>536</v>
      </c>
      <c r="F438" s="56"/>
      <c r="G438" s="57" t="s">
        <v>205</v>
      </c>
      <c r="H438" s="58" t="str">
        <f>IF(G438="","",VLOOKUP($G438,'Quy chuẩn hạch toán'!$B:$E,2,0))</f>
        <v>642</v>
      </c>
      <c r="I438" s="58" t="str">
        <f>IF(H438="","",VLOOKUP($G438,'Quy chuẩn hạch toán'!$B:$E,3,0))</f>
        <v>1111</v>
      </c>
      <c r="J438" s="59">
        <v>212500.0</v>
      </c>
      <c r="K438" s="60"/>
      <c r="L438" s="61"/>
      <c r="M438" s="62"/>
      <c r="N438" s="63"/>
      <c r="O438" s="64" t="str">
        <f>IF($Q438&lt;&gt;0,VLOOKUP($Q438,DM_KM,3,0),"")</f>
        <v>#N/A</v>
      </c>
      <c r="P438" s="64" t="str">
        <f>IF($Q438&lt;&gt;0,VLOOKUP($Q438,DM_KM,5,0),"")</f>
        <v>#N/A</v>
      </c>
      <c r="Q438" s="65" t="s">
        <v>272</v>
      </c>
      <c r="R438" s="64" t="str">
        <f>IF(S438&lt;&gt;0,VLOOKUP(S438,DM_DUAN,3,0),"")</f>
        <v>#N/A</v>
      </c>
      <c r="S438" s="66" t="str">
        <f>IF(U438&lt;&gt;0,VLOOKUP(U438,DM_DUAN,3,0),"")</f>
        <v/>
      </c>
      <c r="T438" s="64"/>
      <c r="U438" s="93"/>
      <c r="V438" s="64" t="str">
        <f>IF(W438&lt;&gt;0,VLOOKUP(W438,DM_DUAN,3,0),"")</f>
        <v/>
      </c>
      <c r="W438" s="68"/>
      <c r="X438" s="64" t="str">
        <f>IF(Y438&lt;&gt;0,VLOOKUP(Y438,DM_DUAN,3,0),"")</f>
        <v>#N/A</v>
      </c>
      <c r="Y438" s="69" t="s">
        <v>207</v>
      </c>
      <c r="Z438" s="64" t="str">
        <f>IF(AA438&lt;&gt;0,VLOOKUP(AA438,DM_DUAN,3,0),"")</f>
        <v>#N/A</v>
      </c>
      <c r="AA438" s="70" t="s">
        <v>177</v>
      </c>
      <c r="AB438" s="64" t="str">
        <f>IF(AC438&lt;&gt;0,VLOOKUP(AC438,DM_DUAN,3,0),"")</f>
        <v/>
      </c>
      <c r="AC438" s="85"/>
      <c r="AD438" s="64" t="str">
        <f>IF(AC438&lt;&gt;0,VLOOKUP(AC438,DM_NV,2,0),"")</f>
        <v/>
      </c>
      <c r="AE438" s="83" t="s">
        <v>227</v>
      </c>
      <c r="AF438" s="64" t="str">
        <f>IF(AE438&lt;&gt;0,VLOOKUP(AE438,DM_NV,2,0),"")</f>
        <v>#N/A</v>
      </c>
    </row>
    <row r="439">
      <c r="A439" s="51"/>
      <c r="B439" s="52" t="str">
        <f>IF(D439="","",VLOOKUP(D439,'THAM CHIẾU'!$A:$B,2,0))</f>
        <v>#N/A</v>
      </c>
      <c r="C439" s="53" t="str">
        <f t="shared" si="3"/>
        <v>03/2022</v>
      </c>
      <c r="D439" s="54">
        <v>44630.0</v>
      </c>
      <c r="E439" s="55" t="s">
        <v>536</v>
      </c>
      <c r="F439" s="56"/>
      <c r="G439" s="57" t="s">
        <v>205</v>
      </c>
      <c r="H439" s="58" t="str">
        <f>IF(G439="","",VLOOKUP($G439,'Quy chuẩn hạch toán'!$B:$E,2,0))</f>
        <v>642</v>
      </c>
      <c r="I439" s="58" t="str">
        <f>IF(H439="","",VLOOKUP($G439,'Quy chuẩn hạch toán'!$B:$E,3,0))</f>
        <v>1111</v>
      </c>
      <c r="J439" s="59">
        <v>212500.0</v>
      </c>
      <c r="K439" s="60"/>
      <c r="L439" s="61"/>
      <c r="M439" s="62"/>
      <c r="N439" s="63"/>
      <c r="O439" s="64" t="str">
        <f>IF($Q439&lt;&gt;0,VLOOKUP($Q439,DM_KM,3,0),"")</f>
        <v>#N/A</v>
      </c>
      <c r="P439" s="64" t="str">
        <f>IF($Q439&lt;&gt;0,VLOOKUP($Q439,DM_KM,5,0),"")</f>
        <v>#N/A</v>
      </c>
      <c r="Q439" s="89" t="s">
        <v>272</v>
      </c>
      <c r="R439" s="64" t="str">
        <f>IF(S439&lt;&gt;0,VLOOKUP(S439,DM_DUAN,3,0),"")</f>
        <v>#N/A</v>
      </c>
      <c r="S439" s="66" t="str">
        <f>IF(U439&lt;&gt;0,VLOOKUP(U439,DM_DUAN,3,0),"")</f>
        <v/>
      </c>
      <c r="T439" s="64"/>
      <c r="U439" s="93"/>
      <c r="V439" s="64" t="str">
        <f>IF(W439&lt;&gt;0,VLOOKUP(W439,DM_DUAN,3,0),"")</f>
        <v/>
      </c>
      <c r="W439" s="68"/>
      <c r="X439" s="64" t="str">
        <f>IF(Y439&lt;&gt;0,VLOOKUP(Y439,DM_DUAN,3,0),"")</f>
        <v>#N/A</v>
      </c>
      <c r="Y439" s="69" t="s">
        <v>207</v>
      </c>
      <c r="Z439" s="64" t="str">
        <f>IF(AA439&lt;&gt;0,VLOOKUP(AA439,DM_DUAN,3,0),"")</f>
        <v>#N/A</v>
      </c>
      <c r="AA439" s="131" t="s">
        <v>210</v>
      </c>
      <c r="AB439" s="64" t="str">
        <f>IF(AC439&lt;&gt;0,VLOOKUP(AC439,DM_DUAN,3,0),"")</f>
        <v/>
      </c>
      <c r="AC439" s="85"/>
      <c r="AD439" s="64" t="str">
        <f>IF(AC439&lt;&gt;0,VLOOKUP(AC439,DM_NV,2,0),"")</f>
        <v/>
      </c>
      <c r="AE439" s="83" t="s">
        <v>227</v>
      </c>
      <c r="AF439" s="64" t="str">
        <f>IF(AE439&lt;&gt;0,VLOOKUP(AE439,DM_NV,2,0),"")</f>
        <v>#N/A</v>
      </c>
    </row>
    <row r="440">
      <c r="A440" s="51"/>
      <c r="B440" s="52" t="str">
        <f>IF(D440="","",VLOOKUP(D440,'THAM CHIẾU'!$A:$B,2,0))</f>
        <v>#N/A</v>
      </c>
      <c r="C440" s="53" t="str">
        <f t="shared" si="3"/>
        <v>03/2022</v>
      </c>
      <c r="D440" s="54">
        <v>44630.0</v>
      </c>
      <c r="E440" s="55" t="s">
        <v>536</v>
      </c>
      <c r="F440" s="56"/>
      <c r="G440" s="57" t="s">
        <v>205</v>
      </c>
      <c r="H440" s="58" t="str">
        <f>IF(G440="","",VLOOKUP($G440,'Quy chuẩn hạch toán'!$B:$E,2,0))</f>
        <v>642</v>
      </c>
      <c r="I440" s="58" t="str">
        <f>IF(H440="","",VLOOKUP($G440,'Quy chuẩn hạch toán'!$B:$E,3,0))</f>
        <v>1111</v>
      </c>
      <c r="J440" s="59">
        <v>60714.0</v>
      </c>
      <c r="K440" s="60"/>
      <c r="L440" s="61"/>
      <c r="M440" s="62"/>
      <c r="N440" s="63"/>
      <c r="O440" s="64" t="str">
        <f>IF($Q440&lt;&gt;0,VLOOKUP($Q440,DM_KM,3,0),"")</f>
        <v>#N/A</v>
      </c>
      <c r="P440" s="64" t="str">
        <f>IF($Q440&lt;&gt;0,VLOOKUP($Q440,DM_KM,5,0),"")</f>
        <v>#N/A</v>
      </c>
      <c r="Q440" s="89" t="s">
        <v>272</v>
      </c>
      <c r="R440" s="64" t="str">
        <f>IF(S440&lt;&gt;0,VLOOKUP(S440,DM_DUAN,3,0),"")</f>
        <v>#N/A</v>
      </c>
      <c r="S440" s="66" t="str">
        <f>IF(U440&lt;&gt;0,VLOOKUP(U440,DM_DUAN,3,0),"")</f>
        <v/>
      </c>
      <c r="T440" s="64"/>
      <c r="U440" s="93"/>
      <c r="V440" s="64" t="str">
        <f>IF(W440&lt;&gt;0,VLOOKUP(W440,DM_DUAN,3,0),"")</f>
        <v/>
      </c>
      <c r="W440" s="68"/>
      <c r="X440" s="64" t="str">
        <f>IF(Y440&lt;&gt;0,VLOOKUP(Y440,DM_DUAN,3,0),"")</f>
        <v>#N/A</v>
      </c>
      <c r="Y440" s="69" t="s">
        <v>207</v>
      </c>
      <c r="Z440" s="64" t="str">
        <f>IF(AA440&lt;&gt;0,VLOOKUP(AA440,DM_DUAN,3,0),"")</f>
        <v>#N/A</v>
      </c>
      <c r="AA440" s="70" t="s">
        <v>514</v>
      </c>
      <c r="AB440" s="64" t="str">
        <f>IF(AC440&lt;&gt;0,VLOOKUP(AC440,DM_DUAN,3,0),"")</f>
        <v/>
      </c>
      <c r="AC440" s="85"/>
      <c r="AD440" s="64" t="str">
        <f>IF(AC440&lt;&gt;0,VLOOKUP(AC440,DM_NV,2,0),"")</f>
        <v/>
      </c>
      <c r="AE440" s="83" t="s">
        <v>227</v>
      </c>
      <c r="AF440" s="64" t="str">
        <f>IF(AE440&lt;&gt;0,VLOOKUP(AE440,DM_NV,2,0),"")</f>
        <v>#N/A</v>
      </c>
    </row>
    <row r="441">
      <c r="A441" s="51"/>
      <c r="B441" s="52" t="str">
        <f>IF(D441="","",VLOOKUP(D441,'THAM CHIẾU'!$A:$B,2,0))</f>
        <v>#N/A</v>
      </c>
      <c r="C441" s="53" t="str">
        <f t="shared" si="3"/>
        <v>03/2022</v>
      </c>
      <c r="D441" s="54">
        <v>44630.0</v>
      </c>
      <c r="E441" s="55" t="s">
        <v>537</v>
      </c>
      <c r="F441" s="56"/>
      <c r="G441" s="57" t="s">
        <v>173</v>
      </c>
      <c r="H441" s="58" t="str">
        <f>IF(G441="","",VLOOKUP($G441,'Quy chuẩn hạch toán'!$B:$E,2,0))</f>
        <v>641</v>
      </c>
      <c r="I441" s="58" t="str">
        <f>IF(H441="","",VLOOKUP($G441,'Quy chuẩn hạch toán'!$B:$E,3,0))</f>
        <v>331</v>
      </c>
      <c r="J441" s="59">
        <v>2800000.0</v>
      </c>
      <c r="K441" s="60"/>
      <c r="L441" s="61"/>
      <c r="M441" s="62"/>
      <c r="N441" s="63"/>
      <c r="O441" s="64" t="str">
        <f>IF($Q441&lt;&gt;0,VLOOKUP($Q441,DM_KM,3,0),"")</f>
        <v>#N/A</v>
      </c>
      <c r="P441" s="64" t="str">
        <f>IF($Q441&lt;&gt;0,VLOOKUP($Q441,DM_KM,5,0),"")</f>
        <v>#N/A</v>
      </c>
      <c r="Q441" s="65" t="s">
        <v>174</v>
      </c>
      <c r="R441" s="64" t="str">
        <f>IF(S441&lt;&gt;0,VLOOKUP(S441,DM_DUAN,3,0),"")</f>
        <v>#N/A</v>
      </c>
      <c r="S441" s="66" t="str">
        <f>IF(U441&lt;&gt;0,VLOOKUP(U441,DM_DUAN,3,0),"")</f>
        <v>THANHNAM</v>
      </c>
      <c r="T441" s="64"/>
      <c r="U441" s="67" t="s">
        <v>175</v>
      </c>
      <c r="V441" s="64" t="str">
        <f>IF(W441&lt;&gt;0,VLOOKUP(W441,DM_DUAN,3,0),"")</f>
        <v/>
      </c>
      <c r="W441" s="68"/>
      <c r="X441" s="64" t="str">
        <f>IF(Y441&lt;&gt;0,VLOOKUP(Y441,DM_DUAN,3,0),"")</f>
        <v>#N/A</v>
      </c>
      <c r="Y441" s="69" t="s">
        <v>176</v>
      </c>
      <c r="Z441" s="64" t="str">
        <f>IF(AA441&lt;&gt;0,VLOOKUP(AA441,DM_DUAN,3,0),"")</f>
        <v>#N/A</v>
      </c>
      <c r="AA441" s="70" t="s">
        <v>183</v>
      </c>
      <c r="AB441" s="64" t="str">
        <f>IF(AC441&lt;&gt;0,VLOOKUP(AC441,DM_DUAN,3,0),"")</f>
        <v/>
      </c>
      <c r="AC441" s="85"/>
      <c r="AD441" s="64" t="str">
        <f>IF(AC441&lt;&gt;0,VLOOKUP(AC441,DM_NV,2,0),"")</f>
        <v/>
      </c>
      <c r="AE441" s="68"/>
      <c r="AF441" s="64" t="str">
        <f>IF(AE441&lt;&gt;0,VLOOKUP(AE441,DM_NV,2,0),"")</f>
        <v/>
      </c>
    </row>
    <row r="442">
      <c r="A442" s="51"/>
      <c r="B442" s="52" t="str">
        <f>IF(D442="","",VLOOKUP(D442,'THAM CHIẾU'!$A:$B,2,0))</f>
        <v>#N/A</v>
      </c>
      <c r="C442" s="53" t="str">
        <f t="shared" si="3"/>
        <v>03/2022</v>
      </c>
      <c r="D442" s="54">
        <v>44630.0</v>
      </c>
      <c r="E442" s="55" t="s">
        <v>538</v>
      </c>
      <c r="F442" s="56"/>
      <c r="G442" s="57" t="s">
        <v>173</v>
      </c>
      <c r="H442" s="58" t="str">
        <f>IF(G442="","",VLOOKUP($G442,'Quy chuẩn hạch toán'!$B:$E,2,0))</f>
        <v>641</v>
      </c>
      <c r="I442" s="58" t="str">
        <f>IF(H442="","",VLOOKUP($G442,'Quy chuẩn hạch toán'!$B:$E,3,0))</f>
        <v>331</v>
      </c>
      <c r="J442" s="59">
        <v>2744000.0</v>
      </c>
      <c r="K442" s="60"/>
      <c r="L442" s="61"/>
      <c r="M442" s="62"/>
      <c r="N442" s="63"/>
      <c r="O442" s="64" t="str">
        <f>IF($Q442&lt;&gt;0,VLOOKUP($Q442,DM_KM,3,0),"")</f>
        <v>#N/A</v>
      </c>
      <c r="P442" s="64" t="str">
        <f>IF($Q442&lt;&gt;0,VLOOKUP($Q442,DM_KM,5,0),"")</f>
        <v>#N/A</v>
      </c>
      <c r="Q442" s="65" t="s">
        <v>174</v>
      </c>
      <c r="R442" s="64" t="str">
        <f>IF(S442&lt;&gt;0,VLOOKUP(S442,DM_DUAN,3,0),"")</f>
        <v>#N/A</v>
      </c>
      <c r="S442" s="66" t="str">
        <f>IF(U442&lt;&gt;0,VLOOKUP(U442,DM_DUAN,3,0),"")</f>
        <v>THANHNAM</v>
      </c>
      <c r="T442" s="64"/>
      <c r="U442" s="67" t="s">
        <v>530</v>
      </c>
      <c r="V442" s="64" t="str">
        <f>IF(W442&lt;&gt;0,VLOOKUP(W442,DM_DUAN,3,0),"")</f>
        <v/>
      </c>
      <c r="W442" s="68"/>
      <c r="X442" s="64" t="str">
        <f>IF(Y442&lt;&gt;0,VLOOKUP(Y442,DM_DUAN,3,0),"")</f>
        <v>#N/A</v>
      </c>
      <c r="Y442" s="69" t="s">
        <v>176</v>
      </c>
      <c r="Z442" s="64" t="str">
        <f>IF(AA442&lt;&gt;0,VLOOKUP(AA442,DM_DUAN,3,0),"")</f>
        <v>#N/A</v>
      </c>
      <c r="AA442" s="70" t="s">
        <v>177</v>
      </c>
      <c r="AB442" s="64" t="str">
        <f>IF(AC442&lt;&gt;0,VLOOKUP(AC442,DM_DUAN,3,0),"")</f>
        <v/>
      </c>
      <c r="AC442" s="70"/>
      <c r="AD442" s="64" t="str">
        <f>IF(AC442&lt;&gt;0,VLOOKUP(AC442,DM_NV,2,0),"")</f>
        <v/>
      </c>
      <c r="AE442" s="68"/>
      <c r="AF442" s="64" t="str">
        <f>IF(AE442&lt;&gt;0,VLOOKUP(AE442,DM_NV,2,0),"")</f>
        <v/>
      </c>
    </row>
    <row r="443">
      <c r="A443" s="51"/>
      <c r="B443" s="52" t="str">
        <f>IF(D443="","",VLOOKUP(D443,'THAM CHIẾU'!$A:$B,2,0))</f>
        <v>#N/A</v>
      </c>
      <c r="C443" s="53" t="str">
        <f t="shared" si="3"/>
        <v>03/2022</v>
      </c>
      <c r="D443" s="54">
        <v>44631.0</v>
      </c>
      <c r="E443" s="55" t="s">
        <v>539</v>
      </c>
      <c r="F443" s="56"/>
      <c r="G443" s="57" t="s">
        <v>205</v>
      </c>
      <c r="H443" s="58" t="str">
        <f>IF(G443="","",VLOOKUP($G443,'Quy chuẩn hạch toán'!$B:$E,2,0))</f>
        <v>642</v>
      </c>
      <c r="I443" s="58" t="str">
        <f>IF(H443="","",VLOOKUP($G443,'Quy chuẩn hạch toán'!$B:$E,3,0))</f>
        <v>1111</v>
      </c>
      <c r="J443" s="59">
        <v>512603.0</v>
      </c>
      <c r="K443" s="60"/>
      <c r="L443" s="61"/>
      <c r="M443" s="62"/>
      <c r="N443" s="63"/>
      <c r="O443" s="64" t="str">
        <f>IF($Q443&lt;&gt;0,VLOOKUP($Q443,DM_KM,3,0),"")</f>
        <v>#N/A</v>
      </c>
      <c r="P443" s="64" t="str">
        <f>IF($Q443&lt;&gt;0,VLOOKUP($Q443,DM_KM,5,0),"")</f>
        <v>#N/A</v>
      </c>
      <c r="Q443" s="65" t="s">
        <v>262</v>
      </c>
      <c r="R443" s="64" t="str">
        <f>IF(S443&lt;&gt;0,VLOOKUP(S443,DM_DUAN,3,0),"")</f>
        <v>#N/A</v>
      </c>
      <c r="S443" s="66" t="str">
        <f>IF(U443&lt;&gt;0,VLOOKUP(U443,DM_DUAN,3,0),"")</f>
        <v/>
      </c>
      <c r="T443" s="64"/>
      <c r="U443" s="93"/>
      <c r="V443" s="64" t="str">
        <f>IF(W443&lt;&gt;0,VLOOKUP(W443,DM_DUAN,3,0),"")</f>
        <v/>
      </c>
      <c r="W443" s="68"/>
      <c r="X443" s="64" t="str">
        <f>IF(Y443&lt;&gt;0,VLOOKUP(Y443,DM_DUAN,3,0),"")</f>
        <v>#N/A</v>
      </c>
      <c r="Y443" s="69" t="s">
        <v>207</v>
      </c>
      <c r="Z443" s="64" t="str">
        <f>IF(AA443&lt;&gt;0,VLOOKUP(AA443,DM_DUAN,3,0),"")</f>
        <v>#N/A</v>
      </c>
      <c r="AA443" s="70" t="s">
        <v>183</v>
      </c>
      <c r="AB443" s="64" t="str">
        <f>IF(AC443&lt;&gt;0,VLOOKUP(AC443,DM_DUAN,3,0),"")</f>
        <v/>
      </c>
      <c r="AC443" s="85"/>
      <c r="AD443" s="64" t="str">
        <f>IF(AC443&lt;&gt;0,VLOOKUP(AC443,DM_NV,2,0),"")</f>
        <v/>
      </c>
      <c r="AE443" s="83" t="s">
        <v>263</v>
      </c>
      <c r="AF443" s="64" t="str">
        <f>IF(AE443&lt;&gt;0,VLOOKUP(AE443,DM_NV,2,0),"")</f>
        <v>#N/A</v>
      </c>
    </row>
    <row r="444">
      <c r="A444" s="51"/>
      <c r="B444" s="52" t="str">
        <f>IF(D444="","",VLOOKUP(D444,'THAM CHIẾU'!$A:$B,2,0))</f>
        <v>#N/A</v>
      </c>
      <c r="C444" s="53" t="str">
        <f t="shared" si="3"/>
        <v>03/2022</v>
      </c>
      <c r="D444" s="54">
        <v>44631.0</v>
      </c>
      <c r="E444" s="55" t="s">
        <v>539</v>
      </c>
      <c r="F444" s="56"/>
      <c r="G444" s="57" t="s">
        <v>205</v>
      </c>
      <c r="H444" s="58" t="str">
        <f>IF(G444="","",VLOOKUP($G444,'Quy chuẩn hạch toán'!$B:$E,2,0))</f>
        <v>642</v>
      </c>
      <c r="I444" s="58" t="str">
        <f>IF(H444="","",VLOOKUP($G444,'Quy chuẩn hạch toán'!$B:$E,3,0))</f>
        <v>1111</v>
      </c>
      <c r="J444" s="59">
        <v>276017.0</v>
      </c>
      <c r="K444" s="60"/>
      <c r="L444" s="61"/>
      <c r="M444" s="62"/>
      <c r="N444" s="63"/>
      <c r="O444" s="64" t="str">
        <f>IF($Q444&lt;&gt;0,VLOOKUP($Q444,DM_KM,3,0),"")</f>
        <v>#N/A</v>
      </c>
      <c r="P444" s="64" t="str">
        <f>IF($Q444&lt;&gt;0,VLOOKUP($Q444,DM_KM,5,0),"")</f>
        <v>#N/A</v>
      </c>
      <c r="Q444" s="65" t="s">
        <v>262</v>
      </c>
      <c r="R444" s="64" t="str">
        <f>IF(S444&lt;&gt;0,VLOOKUP(S444,DM_DUAN,3,0),"")</f>
        <v>#N/A</v>
      </c>
      <c r="S444" s="66" t="str">
        <f>IF(U444&lt;&gt;0,VLOOKUP(U444,DM_DUAN,3,0),"")</f>
        <v/>
      </c>
      <c r="T444" s="64"/>
      <c r="U444" s="93"/>
      <c r="V444" s="64" t="str">
        <f>IF(W444&lt;&gt;0,VLOOKUP(W444,DM_DUAN,3,0),"")</f>
        <v/>
      </c>
      <c r="W444" s="68"/>
      <c r="X444" s="64" t="str">
        <f>IF(Y444&lt;&gt;0,VLOOKUP(Y444,DM_DUAN,3,0),"")</f>
        <v>#N/A</v>
      </c>
      <c r="Y444" s="69" t="s">
        <v>207</v>
      </c>
      <c r="Z444" s="64" t="str">
        <f>IF(AA444&lt;&gt;0,VLOOKUP(AA444,DM_DUAN,3,0),"")</f>
        <v>#N/A</v>
      </c>
      <c r="AA444" s="70" t="s">
        <v>177</v>
      </c>
      <c r="AB444" s="64" t="str">
        <f>IF(AC444&lt;&gt;0,VLOOKUP(AC444,DM_DUAN,3,0),"")</f>
        <v/>
      </c>
      <c r="AC444" s="85"/>
      <c r="AD444" s="64" t="str">
        <f>IF(AC444&lt;&gt;0,VLOOKUP(AC444,DM_NV,2,0),"")</f>
        <v/>
      </c>
      <c r="AE444" s="83" t="s">
        <v>263</v>
      </c>
      <c r="AF444" s="64" t="str">
        <f>IF(AE444&lt;&gt;0,VLOOKUP(AE444,DM_NV,2,0),"")</f>
        <v>#N/A</v>
      </c>
    </row>
    <row r="445">
      <c r="A445" s="51"/>
      <c r="B445" s="52" t="str">
        <f>IF(D445="","",VLOOKUP(D445,'THAM CHIẾU'!$A:$B,2,0))</f>
        <v>#N/A</v>
      </c>
      <c r="C445" s="53" t="str">
        <f t="shared" si="3"/>
        <v>03/2022</v>
      </c>
      <c r="D445" s="54">
        <v>44631.0</v>
      </c>
      <c r="E445" s="55" t="s">
        <v>539</v>
      </c>
      <c r="F445" s="56"/>
      <c r="G445" s="57" t="s">
        <v>205</v>
      </c>
      <c r="H445" s="58" t="str">
        <f>IF(G445="","",VLOOKUP($G445,'Quy chuẩn hạch toán'!$B:$E,2,0))</f>
        <v>642</v>
      </c>
      <c r="I445" s="58" t="str">
        <f>IF(H445="","",VLOOKUP($G445,'Quy chuẩn hạch toán'!$B:$E,3,0))</f>
        <v>1111</v>
      </c>
      <c r="J445" s="59">
        <v>276017.0</v>
      </c>
      <c r="K445" s="60"/>
      <c r="L445" s="61"/>
      <c r="M445" s="62"/>
      <c r="N445" s="63"/>
      <c r="O445" s="64" t="str">
        <f>IF($Q445&lt;&gt;0,VLOOKUP($Q445,DM_KM,3,0),"")</f>
        <v>#N/A</v>
      </c>
      <c r="P445" s="64" t="str">
        <f>IF($Q445&lt;&gt;0,VLOOKUP($Q445,DM_KM,5,0),"")</f>
        <v>#N/A</v>
      </c>
      <c r="Q445" s="89" t="s">
        <v>262</v>
      </c>
      <c r="R445" s="64" t="str">
        <f>IF(S445&lt;&gt;0,VLOOKUP(S445,DM_DUAN,3,0),"")</f>
        <v>#N/A</v>
      </c>
      <c r="S445" s="66" t="str">
        <f>IF(U445&lt;&gt;0,VLOOKUP(U445,DM_DUAN,3,0),"")</f>
        <v/>
      </c>
      <c r="T445" s="64"/>
      <c r="U445" s="93"/>
      <c r="V445" s="64" t="str">
        <f>IF(W445&lt;&gt;0,VLOOKUP(W445,DM_DUAN,3,0),"")</f>
        <v/>
      </c>
      <c r="W445" s="68"/>
      <c r="X445" s="64" t="str">
        <f>IF(Y445&lt;&gt;0,VLOOKUP(Y445,DM_DUAN,3,0),"")</f>
        <v>#N/A</v>
      </c>
      <c r="Y445" s="69" t="s">
        <v>207</v>
      </c>
      <c r="Z445" s="64" t="str">
        <f>IF(AA445&lt;&gt;0,VLOOKUP(AA445,DM_DUAN,3,0),"")</f>
        <v>#N/A</v>
      </c>
      <c r="AA445" s="131" t="s">
        <v>210</v>
      </c>
      <c r="AB445" s="64" t="str">
        <f>IF(AC445&lt;&gt;0,VLOOKUP(AC445,DM_DUAN,3,0),"")</f>
        <v/>
      </c>
      <c r="AC445" s="85"/>
      <c r="AD445" s="64" t="str">
        <f>IF(AC445&lt;&gt;0,VLOOKUP(AC445,DM_NV,2,0),"")</f>
        <v/>
      </c>
      <c r="AE445" s="83" t="s">
        <v>263</v>
      </c>
      <c r="AF445" s="64" t="str">
        <f>IF(AE445&lt;&gt;0,VLOOKUP(AE445,DM_NV,2,0),"")</f>
        <v>#N/A</v>
      </c>
    </row>
    <row r="446">
      <c r="A446" s="51"/>
      <c r="B446" s="52" t="str">
        <f>IF(D446="","",VLOOKUP(D446,'THAM CHIẾU'!$A:$B,2,0))</f>
        <v>#N/A</v>
      </c>
      <c r="C446" s="53" t="str">
        <f t="shared" si="3"/>
        <v>03/2022</v>
      </c>
      <c r="D446" s="54">
        <v>44631.0</v>
      </c>
      <c r="E446" s="55" t="s">
        <v>539</v>
      </c>
      <c r="F446" s="56"/>
      <c r="G446" s="57" t="s">
        <v>205</v>
      </c>
      <c r="H446" s="58" t="str">
        <f>IF(G446="","",VLOOKUP($G446,'Quy chuẩn hạch toán'!$B:$E,2,0))</f>
        <v>642</v>
      </c>
      <c r="I446" s="58" t="str">
        <f>IF(H446="","",VLOOKUP($G446,'Quy chuẩn hạch toán'!$B:$E,3,0))</f>
        <v>1111</v>
      </c>
      <c r="J446" s="59">
        <v>78862.0</v>
      </c>
      <c r="K446" s="60"/>
      <c r="L446" s="61"/>
      <c r="M446" s="62"/>
      <c r="N446" s="63"/>
      <c r="O446" s="64" t="str">
        <f>IF($Q446&lt;&gt;0,VLOOKUP($Q446,DM_KM,3,0),"")</f>
        <v>#N/A</v>
      </c>
      <c r="P446" s="64" t="str">
        <f>IF($Q446&lt;&gt;0,VLOOKUP($Q446,DM_KM,5,0),"")</f>
        <v>#N/A</v>
      </c>
      <c r="Q446" s="89" t="s">
        <v>262</v>
      </c>
      <c r="R446" s="64" t="str">
        <f>IF(S446&lt;&gt;0,VLOOKUP(S446,DM_DUAN,3,0),"")</f>
        <v>#N/A</v>
      </c>
      <c r="S446" s="66" t="str">
        <f>IF(U446&lt;&gt;0,VLOOKUP(U446,DM_DUAN,3,0),"")</f>
        <v/>
      </c>
      <c r="T446" s="64"/>
      <c r="U446" s="93"/>
      <c r="V446" s="64" t="str">
        <f>IF(W446&lt;&gt;0,VLOOKUP(W446,DM_DUAN,3,0),"")</f>
        <v/>
      </c>
      <c r="W446" s="68"/>
      <c r="X446" s="64" t="str">
        <f>IF(Y446&lt;&gt;0,VLOOKUP(Y446,DM_DUAN,3,0),"")</f>
        <v>#N/A</v>
      </c>
      <c r="Y446" s="69" t="s">
        <v>207</v>
      </c>
      <c r="Z446" s="64" t="str">
        <f>IF(AA446&lt;&gt;0,VLOOKUP(AA446,DM_DUAN,3,0),"")</f>
        <v>#N/A</v>
      </c>
      <c r="AA446" s="70" t="s">
        <v>514</v>
      </c>
      <c r="AB446" s="64" t="str">
        <f>IF(AC446&lt;&gt;0,VLOOKUP(AC446,DM_DUAN,3,0),"")</f>
        <v/>
      </c>
      <c r="AC446" s="85"/>
      <c r="AD446" s="64" t="str">
        <f>IF(AC446&lt;&gt;0,VLOOKUP(AC446,DM_NV,2,0),"")</f>
        <v/>
      </c>
      <c r="AE446" s="83" t="s">
        <v>263</v>
      </c>
      <c r="AF446" s="64" t="str">
        <f>IF(AE446&lt;&gt;0,VLOOKUP(AE446,DM_NV,2,0),"")</f>
        <v>#N/A</v>
      </c>
    </row>
    <row r="447">
      <c r="A447" s="51"/>
      <c r="B447" s="52" t="str">
        <f>IF(D447="","",VLOOKUP(D447,'THAM CHIẾU'!$A:$B,2,0))</f>
        <v>#N/A</v>
      </c>
      <c r="C447" s="53" t="str">
        <f t="shared" si="3"/>
        <v>03/2022</v>
      </c>
      <c r="D447" s="54">
        <v>44632.0</v>
      </c>
      <c r="E447" s="55" t="s">
        <v>540</v>
      </c>
      <c r="F447" s="56"/>
      <c r="G447" s="57" t="s">
        <v>205</v>
      </c>
      <c r="H447" s="58" t="str">
        <f>IF(G447="","",VLOOKUP($G447,'Quy chuẩn hạch toán'!$B:$E,2,0))</f>
        <v>642</v>
      </c>
      <c r="I447" s="58" t="str">
        <f>IF(H447="","",VLOOKUP($G447,'Quy chuẩn hạch toán'!$B:$E,3,0))</f>
        <v>1111</v>
      </c>
      <c r="J447" s="59">
        <v>87414.0</v>
      </c>
      <c r="K447" s="60"/>
      <c r="L447" s="61"/>
      <c r="M447" s="62"/>
      <c r="N447" s="63"/>
      <c r="O447" s="64" t="str">
        <f>IF($Q447&lt;&gt;0,VLOOKUP($Q447,DM_KM,3,0),"")</f>
        <v>#N/A</v>
      </c>
      <c r="P447" s="64" t="str">
        <f>IF($Q447&lt;&gt;0,VLOOKUP($Q447,DM_KM,5,0),"")</f>
        <v>#N/A</v>
      </c>
      <c r="Q447" s="65" t="s">
        <v>219</v>
      </c>
      <c r="R447" s="64" t="str">
        <f>IF(S447&lt;&gt;0,VLOOKUP(S447,DM_DUAN,3,0),"")</f>
        <v>#N/A</v>
      </c>
      <c r="S447" s="66" t="str">
        <f>IF(U447&lt;&gt;0,VLOOKUP(U447,DM_DUAN,3,0),"")</f>
        <v/>
      </c>
      <c r="T447" s="64"/>
      <c r="U447" s="93"/>
      <c r="V447" s="64" t="str">
        <f>IF(W447&lt;&gt;0,VLOOKUP(W447,DM_DUAN,3,0),"")</f>
        <v/>
      </c>
      <c r="W447" s="68"/>
      <c r="X447" s="64" t="str">
        <f>IF(Y447&lt;&gt;0,VLOOKUP(Y447,DM_DUAN,3,0),"")</f>
        <v>#N/A</v>
      </c>
      <c r="Y447" s="69" t="s">
        <v>207</v>
      </c>
      <c r="Z447" s="64" t="str">
        <f>IF(AA447&lt;&gt;0,VLOOKUP(AA447,DM_DUAN,3,0),"")</f>
        <v>#N/A</v>
      </c>
      <c r="AA447" s="70" t="s">
        <v>183</v>
      </c>
      <c r="AB447" s="64" t="str">
        <f>IF(AC447&lt;&gt;0,VLOOKUP(AC447,DM_DUAN,3,0),"")</f>
        <v/>
      </c>
      <c r="AC447" s="85"/>
      <c r="AD447" s="64" t="str">
        <f>IF(AC447&lt;&gt;0,VLOOKUP(AC447,DM_NV,2,0),"")</f>
        <v/>
      </c>
      <c r="AE447" s="83" t="s">
        <v>220</v>
      </c>
      <c r="AF447" s="64" t="str">
        <f>IF(AE447&lt;&gt;0,VLOOKUP(AE447,DM_NV,2,0),"")</f>
        <v>#N/A</v>
      </c>
    </row>
    <row r="448">
      <c r="A448" s="51"/>
      <c r="B448" s="52" t="str">
        <f>IF(D448="","",VLOOKUP(D448,'THAM CHIẾU'!$A:$B,2,0))</f>
        <v>#N/A</v>
      </c>
      <c r="C448" s="53" t="str">
        <f t="shared" si="3"/>
        <v>03/2022</v>
      </c>
      <c r="D448" s="54">
        <v>44632.0</v>
      </c>
      <c r="E448" s="55" t="s">
        <v>540</v>
      </c>
      <c r="F448" s="56"/>
      <c r="G448" s="57" t="s">
        <v>205</v>
      </c>
      <c r="H448" s="58" t="str">
        <f>IF(G448="","",VLOOKUP($G448,'Quy chuẩn hạch toán'!$B:$E,2,0))</f>
        <v>642</v>
      </c>
      <c r="I448" s="58" t="str">
        <f>IF(H448="","",VLOOKUP($G448,'Quy chuẩn hạch toán'!$B:$E,3,0))</f>
        <v>1111</v>
      </c>
      <c r="J448" s="59">
        <v>47069.0</v>
      </c>
      <c r="K448" s="60"/>
      <c r="L448" s="61"/>
      <c r="M448" s="62"/>
      <c r="N448" s="63"/>
      <c r="O448" s="64" t="str">
        <f>IF($Q448&lt;&gt;0,VLOOKUP($Q448,DM_KM,3,0),"")</f>
        <v>#N/A</v>
      </c>
      <c r="P448" s="64" t="str">
        <f>IF($Q448&lt;&gt;0,VLOOKUP($Q448,DM_KM,5,0),"")</f>
        <v>#N/A</v>
      </c>
      <c r="Q448" s="65" t="s">
        <v>219</v>
      </c>
      <c r="R448" s="64" t="str">
        <f>IF(S448&lt;&gt;0,VLOOKUP(S448,DM_DUAN,3,0),"")</f>
        <v>#N/A</v>
      </c>
      <c r="S448" s="66" t="str">
        <f>IF(U448&lt;&gt;0,VLOOKUP(U448,DM_DUAN,3,0),"")</f>
        <v/>
      </c>
      <c r="T448" s="64"/>
      <c r="U448" s="93"/>
      <c r="V448" s="64" t="str">
        <f>IF(W448&lt;&gt;0,VLOOKUP(W448,DM_DUAN,3,0),"")</f>
        <v/>
      </c>
      <c r="W448" s="68"/>
      <c r="X448" s="64" t="str">
        <f>IF(Y448&lt;&gt;0,VLOOKUP(Y448,DM_DUAN,3,0),"")</f>
        <v>#N/A</v>
      </c>
      <c r="Y448" s="69" t="s">
        <v>207</v>
      </c>
      <c r="Z448" s="64" t="str">
        <f>IF(AA448&lt;&gt;0,VLOOKUP(AA448,DM_DUAN,3,0),"")</f>
        <v>#N/A</v>
      </c>
      <c r="AA448" s="70" t="s">
        <v>177</v>
      </c>
      <c r="AB448" s="64" t="str">
        <f>IF(AC448&lt;&gt;0,VLOOKUP(AC448,DM_DUAN,3,0),"")</f>
        <v/>
      </c>
      <c r="AC448" s="85"/>
      <c r="AD448" s="64" t="str">
        <f>IF(AC448&lt;&gt;0,VLOOKUP(AC448,DM_NV,2,0),"")</f>
        <v/>
      </c>
      <c r="AE448" s="83" t="s">
        <v>220</v>
      </c>
      <c r="AF448" s="64" t="str">
        <f>IF(AE448&lt;&gt;0,VLOOKUP(AE448,DM_NV,2,0),"")</f>
        <v>#N/A</v>
      </c>
    </row>
    <row r="449">
      <c r="A449" s="51"/>
      <c r="B449" s="52" t="str">
        <f>IF(D449="","",VLOOKUP(D449,'THAM CHIẾU'!$A:$B,2,0))</f>
        <v>#N/A</v>
      </c>
      <c r="C449" s="53" t="str">
        <f t="shared" si="3"/>
        <v>03/2022</v>
      </c>
      <c r="D449" s="54">
        <v>44632.0</v>
      </c>
      <c r="E449" s="55" t="s">
        <v>540</v>
      </c>
      <c r="F449" s="56"/>
      <c r="G449" s="57" t="s">
        <v>205</v>
      </c>
      <c r="H449" s="58" t="str">
        <f>IF(G449="","",VLOOKUP($G449,'Quy chuẩn hạch toán'!$B:$E,2,0))</f>
        <v>642</v>
      </c>
      <c r="I449" s="58" t="str">
        <f>IF(H449="","",VLOOKUP($G449,'Quy chuẩn hạch toán'!$B:$E,3,0))</f>
        <v>1111</v>
      </c>
      <c r="J449" s="59">
        <v>47069.0</v>
      </c>
      <c r="K449" s="60"/>
      <c r="L449" s="61"/>
      <c r="M449" s="62"/>
      <c r="N449" s="63"/>
      <c r="O449" s="64" t="str">
        <f>IF($Q449&lt;&gt;0,VLOOKUP($Q449,DM_KM,3,0),"")</f>
        <v>#N/A</v>
      </c>
      <c r="P449" s="64" t="str">
        <f>IF($Q449&lt;&gt;0,VLOOKUP($Q449,DM_KM,5,0),"")</f>
        <v>#N/A</v>
      </c>
      <c r="Q449" s="89" t="s">
        <v>219</v>
      </c>
      <c r="R449" s="64" t="str">
        <f>IF(S449&lt;&gt;0,VLOOKUP(S449,DM_DUAN,3,0),"")</f>
        <v>#N/A</v>
      </c>
      <c r="S449" s="66" t="str">
        <f>IF(U449&lt;&gt;0,VLOOKUP(U449,DM_DUAN,3,0),"")</f>
        <v/>
      </c>
      <c r="T449" s="64"/>
      <c r="U449" s="93"/>
      <c r="V449" s="64" t="str">
        <f>IF(W449&lt;&gt;0,VLOOKUP(W449,DM_DUAN,3,0),"")</f>
        <v/>
      </c>
      <c r="W449" s="68"/>
      <c r="X449" s="64" t="str">
        <f>IF(Y449&lt;&gt;0,VLOOKUP(Y449,DM_DUAN,3,0),"")</f>
        <v>#N/A</v>
      </c>
      <c r="Y449" s="69" t="s">
        <v>207</v>
      </c>
      <c r="Z449" s="64" t="str">
        <f>IF(AA449&lt;&gt;0,VLOOKUP(AA449,DM_DUAN,3,0),"")</f>
        <v>#N/A</v>
      </c>
      <c r="AA449" s="131" t="s">
        <v>210</v>
      </c>
      <c r="AB449" s="64" t="str">
        <f>IF(AC449&lt;&gt;0,VLOOKUP(AC449,DM_DUAN,3,0),"")</f>
        <v/>
      </c>
      <c r="AC449" s="85"/>
      <c r="AD449" s="64" t="str">
        <f>IF(AC449&lt;&gt;0,VLOOKUP(AC449,DM_NV,2,0),"")</f>
        <v/>
      </c>
      <c r="AE449" s="83" t="s">
        <v>220</v>
      </c>
      <c r="AF449" s="64" t="str">
        <f>IF(AE449&lt;&gt;0,VLOOKUP(AE449,DM_NV,2,0),"")</f>
        <v>#N/A</v>
      </c>
    </row>
    <row r="450">
      <c r="A450" s="51"/>
      <c r="B450" s="52" t="str">
        <f>IF(D450="","",VLOOKUP(D450,'THAM CHIẾU'!$A:$B,2,0))</f>
        <v>#N/A</v>
      </c>
      <c r="C450" s="53" t="str">
        <f t="shared" si="3"/>
        <v>03/2022</v>
      </c>
      <c r="D450" s="54">
        <v>44632.0</v>
      </c>
      <c r="E450" s="55" t="s">
        <v>540</v>
      </c>
      <c r="F450" s="56"/>
      <c r="G450" s="57" t="s">
        <v>205</v>
      </c>
      <c r="H450" s="58" t="str">
        <f>IF(G450="","",VLOOKUP($G450,'Quy chuẩn hạch toán'!$B:$E,2,0))</f>
        <v>642</v>
      </c>
      <c r="I450" s="58" t="str">
        <f>IF(H450="","",VLOOKUP($G450,'Quy chuẩn hạch toán'!$B:$E,3,0))</f>
        <v>1111</v>
      </c>
      <c r="J450" s="59">
        <v>13448.0</v>
      </c>
      <c r="K450" s="60"/>
      <c r="L450" s="61"/>
      <c r="M450" s="62"/>
      <c r="N450" s="63"/>
      <c r="O450" s="64" t="str">
        <f>IF($Q450&lt;&gt;0,VLOOKUP($Q450,DM_KM,3,0),"")</f>
        <v>#N/A</v>
      </c>
      <c r="P450" s="64" t="str">
        <f>IF($Q450&lt;&gt;0,VLOOKUP($Q450,DM_KM,5,0),"")</f>
        <v>#N/A</v>
      </c>
      <c r="Q450" s="89" t="s">
        <v>219</v>
      </c>
      <c r="R450" s="64" t="str">
        <f>IF(S450&lt;&gt;0,VLOOKUP(S450,DM_DUAN,3,0),"")</f>
        <v>#N/A</v>
      </c>
      <c r="S450" s="66" t="str">
        <f>IF(U450&lt;&gt;0,VLOOKUP(U450,DM_DUAN,3,0),"")</f>
        <v/>
      </c>
      <c r="T450" s="64"/>
      <c r="U450" s="93"/>
      <c r="V450" s="64" t="str">
        <f>IF(W450&lt;&gt;0,VLOOKUP(W450,DM_DUAN,3,0),"")</f>
        <v/>
      </c>
      <c r="W450" s="68"/>
      <c r="X450" s="64" t="str">
        <f>IF(Y450&lt;&gt;0,VLOOKUP(Y450,DM_DUAN,3,0),"")</f>
        <v>#N/A</v>
      </c>
      <c r="Y450" s="69" t="s">
        <v>207</v>
      </c>
      <c r="Z450" s="64" t="str">
        <f>IF(AA450&lt;&gt;0,VLOOKUP(AA450,DM_DUAN,3,0),"")</f>
        <v>#N/A</v>
      </c>
      <c r="AA450" s="70" t="s">
        <v>514</v>
      </c>
      <c r="AB450" s="64" t="str">
        <f>IF(AC450&lt;&gt;0,VLOOKUP(AC450,DM_DUAN,3,0),"")</f>
        <v/>
      </c>
      <c r="AC450" s="85"/>
      <c r="AD450" s="64" t="str">
        <f>IF(AC450&lt;&gt;0,VLOOKUP(AC450,DM_NV,2,0),"")</f>
        <v/>
      </c>
      <c r="AE450" s="83" t="s">
        <v>220</v>
      </c>
      <c r="AF450" s="64" t="str">
        <f>IF(AE450&lt;&gt;0,VLOOKUP(AE450,DM_NV,2,0),"")</f>
        <v>#N/A</v>
      </c>
    </row>
    <row r="451">
      <c r="A451" s="51"/>
      <c r="B451" s="52" t="str">
        <f>IF(D451="","",VLOOKUP(D451,'THAM CHIẾU'!$A:$B,2,0))</f>
        <v>#N/A</v>
      </c>
      <c r="C451" s="53" t="str">
        <f t="shared" si="3"/>
        <v>03/2022</v>
      </c>
      <c r="D451" s="54">
        <v>44632.0</v>
      </c>
      <c r="E451" s="55" t="s">
        <v>541</v>
      </c>
      <c r="F451" s="56"/>
      <c r="G451" s="57" t="s">
        <v>173</v>
      </c>
      <c r="H451" s="58" t="str">
        <f>IF(G451="","",VLOOKUP($G451,'Quy chuẩn hạch toán'!$B:$E,2,0))</f>
        <v>641</v>
      </c>
      <c r="I451" s="58" t="str">
        <f>IF(H451="","",VLOOKUP($G451,'Quy chuẩn hạch toán'!$B:$E,3,0))</f>
        <v>331</v>
      </c>
      <c r="J451" s="59">
        <v>2800000.0</v>
      </c>
      <c r="K451" s="60"/>
      <c r="L451" s="61"/>
      <c r="M451" s="62"/>
      <c r="N451" s="63"/>
      <c r="O451" s="64" t="str">
        <f>IF($Q451&lt;&gt;0,VLOOKUP($Q451,DM_KM,3,0),"")</f>
        <v>#N/A</v>
      </c>
      <c r="P451" s="64" t="str">
        <f>IF($Q451&lt;&gt;0,VLOOKUP($Q451,DM_KM,5,0),"")</f>
        <v>#N/A</v>
      </c>
      <c r="Q451" s="65" t="s">
        <v>174</v>
      </c>
      <c r="R451" s="64" t="str">
        <f>IF(S451&lt;&gt;0,VLOOKUP(S451,DM_DUAN,3,0),"")</f>
        <v>#N/A</v>
      </c>
      <c r="S451" s="66" t="str">
        <f>IF(U451&lt;&gt;0,VLOOKUP(U451,DM_DUAN,3,0),"")</f>
        <v>THANHNAM</v>
      </c>
      <c r="T451" s="64"/>
      <c r="U451" s="67" t="s">
        <v>530</v>
      </c>
      <c r="V451" s="64" t="str">
        <f>IF(W451&lt;&gt;0,VLOOKUP(W451,DM_DUAN,3,0),"")</f>
        <v/>
      </c>
      <c r="W451" s="68"/>
      <c r="X451" s="64" t="str">
        <f>IF(Y451&lt;&gt;0,VLOOKUP(Y451,DM_DUAN,3,0),"")</f>
        <v>#N/A</v>
      </c>
      <c r="Y451" s="69" t="s">
        <v>176</v>
      </c>
      <c r="Z451" s="64" t="str">
        <f>IF(AA451&lt;&gt;0,VLOOKUP(AA451,DM_DUAN,3,0),"")</f>
        <v>#N/A</v>
      </c>
      <c r="AA451" s="70" t="s">
        <v>177</v>
      </c>
      <c r="AB451" s="64" t="str">
        <f>IF(AC451&lt;&gt;0,VLOOKUP(AC451,DM_DUAN,3,0),"")</f>
        <v/>
      </c>
      <c r="AC451" s="70"/>
      <c r="AD451" s="64" t="str">
        <f>IF(AC451&lt;&gt;0,VLOOKUP(AC451,DM_NV,2,0),"")</f>
        <v/>
      </c>
      <c r="AE451" s="68"/>
      <c r="AF451" s="64" t="str">
        <f>IF(AE451&lt;&gt;0,VLOOKUP(AE451,DM_NV,2,0),"")</f>
        <v/>
      </c>
    </row>
    <row r="452">
      <c r="A452" s="51"/>
      <c r="B452" s="52" t="str">
        <f>IF(D452="","",VLOOKUP(D452,'THAM CHIẾU'!$A:$B,2,0))</f>
        <v>#N/A</v>
      </c>
      <c r="C452" s="53" t="str">
        <f t="shared" si="3"/>
        <v>03/2022</v>
      </c>
      <c r="D452" s="54">
        <v>44632.0</v>
      </c>
      <c r="E452" s="55" t="s">
        <v>542</v>
      </c>
      <c r="F452" s="56"/>
      <c r="G452" s="57" t="s">
        <v>173</v>
      </c>
      <c r="H452" s="58" t="str">
        <f>IF(G452="","",VLOOKUP($G452,'Quy chuẩn hạch toán'!$B:$E,2,0))</f>
        <v>641</v>
      </c>
      <c r="I452" s="58" t="str">
        <f>IF(H452="","",VLOOKUP($G452,'Quy chuẩn hạch toán'!$B:$E,3,0))</f>
        <v>331</v>
      </c>
      <c r="J452" s="59">
        <v>434000.0</v>
      </c>
      <c r="K452" s="60"/>
      <c r="L452" s="61"/>
      <c r="M452" s="62"/>
      <c r="N452" s="63"/>
      <c r="O452" s="64" t="str">
        <f>IF($Q452&lt;&gt;0,VLOOKUP($Q452,DM_KM,3,0),"")</f>
        <v>#N/A</v>
      </c>
      <c r="P452" s="64" t="str">
        <f>IF($Q452&lt;&gt;0,VLOOKUP($Q452,DM_KM,5,0),"")</f>
        <v>#N/A</v>
      </c>
      <c r="Q452" s="65" t="s">
        <v>174</v>
      </c>
      <c r="R452" s="64" t="str">
        <f>IF(S452&lt;&gt;0,VLOOKUP(S452,DM_DUAN,3,0),"")</f>
        <v>#N/A</v>
      </c>
      <c r="S452" s="66" t="str">
        <f>IF(U452&lt;&gt;0,VLOOKUP(U452,DM_DUAN,3,0),"")</f>
        <v>THANHNAM</v>
      </c>
      <c r="T452" s="64"/>
      <c r="U452" s="67" t="s">
        <v>175</v>
      </c>
      <c r="V452" s="64" t="str">
        <f>IF(W452&lt;&gt;0,VLOOKUP(W452,DM_DUAN,3,0),"")</f>
        <v/>
      </c>
      <c r="W452" s="68"/>
      <c r="X452" s="64" t="str">
        <f>IF(Y452&lt;&gt;0,VLOOKUP(Y452,DM_DUAN,3,0),"")</f>
        <v>#N/A</v>
      </c>
      <c r="Y452" s="69" t="s">
        <v>176</v>
      </c>
      <c r="Z452" s="64" t="str">
        <f>IF(AA452&lt;&gt;0,VLOOKUP(AA452,DM_DUAN,3,0),"")</f>
        <v>#N/A</v>
      </c>
      <c r="AA452" s="70" t="s">
        <v>183</v>
      </c>
      <c r="AB452" s="64" t="str">
        <f>IF(AC452&lt;&gt;0,VLOOKUP(AC452,DM_DUAN,3,0),"")</f>
        <v/>
      </c>
      <c r="AC452" s="85"/>
      <c r="AD452" s="64" t="str">
        <f>IF(AC452&lt;&gt;0,VLOOKUP(AC452,DM_NV,2,0),"")</f>
        <v/>
      </c>
      <c r="AE452" s="68"/>
      <c r="AF452" s="64" t="str">
        <f>IF(AE452&lt;&gt;0,VLOOKUP(AE452,DM_NV,2,0),"")</f>
        <v/>
      </c>
    </row>
    <row r="453">
      <c r="A453" s="51"/>
      <c r="B453" s="52" t="str">
        <f>IF(D453="","",VLOOKUP(D453,'THAM CHIẾU'!$A:$B,2,0))</f>
        <v>#N/A</v>
      </c>
      <c r="C453" s="53" t="str">
        <f t="shared" si="3"/>
        <v>03/2022</v>
      </c>
      <c r="D453" s="54">
        <v>44633.0</v>
      </c>
      <c r="E453" s="55" t="s">
        <v>543</v>
      </c>
      <c r="F453" s="56"/>
      <c r="G453" s="57" t="s">
        <v>173</v>
      </c>
      <c r="H453" s="58" t="str">
        <f>IF(G453="","",VLOOKUP($G453,'Quy chuẩn hạch toán'!$B:$E,2,0))</f>
        <v>641</v>
      </c>
      <c r="I453" s="58" t="str">
        <f>IF(H453="","",VLOOKUP($G453,'Quy chuẩn hạch toán'!$B:$E,3,0))</f>
        <v>331</v>
      </c>
      <c r="J453" s="59">
        <v>2800000.0</v>
      </c>
      <c r="K453" s="60"/>
      <c r="L453" s="61"/>
      <c r="M453" s="62"/>
      <c r="N453" s="63"/>
      <c r="O453" s="64" t="str">
        <f>IF($Q453&lt;&gt;0,VLOOKUP($Q453,DM_KM,3,0),"")</f>
        <v>#N/A</v>
      </c>
      <c r="P453" s="64" t="str">
        <f>IF($Q453&lt;&gt;0,VLOOKUP($Q453,DM_KM,5,0),"")</f>
        <v>#N/A</v>
      </c>
      <c r="Q453" s="65" t="s">
        <v>174</v>
      </c>
      <c r="R453" s="64" t="str">
        <f>IF(S453&lt;&gt;0,VLOOKUP(S453,DM_DUAN,3,0),"")</f>
        <v>#N/A</v>
      </c>
      <c r="S453" s="66" t="str">
        <f>IF(U453&lt;&gt;0,VLOOKUP(U453,DM_DUAN,3,0),"")</f>
        <v>THANHNAM</v>
      </c>
      <c r="T453" s="64"/>
      <c r="U453" s="67" t="s">
        <v>175</v>
      </c>
      <c r="V453" s="64" t="str">
        <f>IF(W453&lt;&gt;0,VLOOKUP(W453,DM_DUAN,3,0),"")</f>
        <v/>
      </c>
      <c r="W453" s="68"/>
      <c r="X453" s="64" t="str">
        <f>IF(Y453&lt;&gt;0,VLOOKUP(Y453,DM_DUAN,3,0),"")</f>
        <v>#N/A</v>
      </c>
      <c r="Y453" s="69" t="s">
        <v>176</v>
      </c>
      <c r="Z453" s="64" t="str">
        <f>IF(AA453&lt;&gt;0,VLOOKUP(AA453,DM_DUAN,3,0),"")</f>
        <v>#N/A</v>
      </c>
      <c r="AA453" s="70" t="s">
        <v>183</v>
      </c>
      <c r="AB453" s="64" t="str">
        <f>IF(AC453&lt;&gt;0,VLOOKUP(AC453,DM_DUAN,3,0),"")</f>
        <v/>
      </c>
      <c r="AC453" s="85"/>
      <c r="AD453" s="64" t="str">
        <f>IF(AC453&lt;&gt;0,VLOOKUP(AC453,DM_NV,2,0),"")</f>
        <v/>
      </c>
      <c r="AE453" s="68"/>
      <c r="AF453" s="64" t="str">
        <f>IF(AE453&lt;&gt;0,VLOOKUP(AE453,DM_NV,2,0),"")</f>
        <v/>
      </c>
    </row>
    <row r="454">
      <c r="A454" s="51"/>
      <c r="B454" s="52" t="str">
        <f>IF(D454="","",VLOOKUP(D454,'THAM CHIẾU'!$A:$B,2,0))</f>
        <v>#N/A</v>
      </c>
      <c r="C454" s="53" t="str">
        <f t="shared" si="3"/>
        <v>03/2022</v>
      </c>
      <c r="D454" s="54">
        <v>44633.0</v>
      </c>
      <c r="E454" s="55" t="s">
        <v>544</v>
      </c>
      <c r="F454" s="56"/>
      <c r="G454" s="57" t="s">
        <v>173</v>
      </c>
      <c r="H454" s="58" t="str">
        <f>IF(G454="","",VLOOKUP($G454,'Quy chuẩn hạch toán'!$B:$E,2,0))</f>
        <v>641</v>
      </c>
      <c r="I454" s="58" t="str">
        <f>IF(H454="","",VLOOKUP($G454,'Quy chuẩn hạch toán'!$B:$E,3,0))</f>
        <v>331</v>
      </c>
      <c r="J454" s="59">
        <v>3152000.0</v>
      </c>
      <c r="K454" s="60"/>
      <c r="L454" s="61"/>
      <c r="M454" s="62"/>
      <c r="N454" s="63"/>
      <c r="O454" s="64" t="str">
        <f>IF($Q454&lt;&gt;0,VLOOKUP($Q454,DM_KM,3,0),"")</f>
        <v>#N/A</v>
      </c>
      <c r="P454" s="64" t="str">
        <f>IF($Q454&lt;&gt;0,VLOOKUP($Q454,DM_KM,5,0),"")</f>
        <v>#N/A</v>
      </c>
      <c r="Q454" s="89" t="s">
        <v>174</v>
      </c>
      <c r="R454" s="64" t="str">
        <f>IF(S454&lt;&gt;0,VLOOKUP(S454,DM_DUAN,3,0),"")</f>
        <v>#N/A</v>
      </c>
      <c r="S454" s="66" t="str">
        <f>IF(U454&lt;&gt;0,VLOOKUP(U454,DM_DUAN,3,0),"")</f>
        <v>THANHNAM</v>
      </c>
      <c r="T454" s="64"/>
      <c r="U454" s="67" t="s">
        <v>530</v>
      </c>
      <c r="V454" s="64" t="str">
        <f>IF(W454&lt;&gt;0,VLOOKUP(W454,DM_DUAN,3,0),"")</f>
        <v/>
      </c>
      <c r="W454" s="68"/>
      <c r="X454" s="64" t="str">
        <f>IF(Y454&lt;&gt;0,VLOOKUP(Y454,DM_DUAN,3,0),"")</f>
        <v>#N/A</v>
      </c>
      <c r="Y454" s="69" t="s">
        <v>176</v>
      </c>
      <c r="Z454" s="64" t="str">
        <f>IF(AA454&lt;&gt;0,VLOOKUP(AA454,DM_DUAN,3,0),"")</f>
        <v>#N/A</v>
      </c>
      <c r="AA454" s="131" t="s">
        <v>210</v>
      </c>
      <c r="AB454" s="64" t="str">
        <f>IF(AC454&lt;&gt;0,VLOOKUP(AC454,DM_DUAN,3,0),"")</f>
        <v/>
      </c>
      <c r="AC454" s="85"/>
      <c r="AD454" s="64" t="str">
        <f>IF(AC454&lt;&gt;0,VLOOKUP(AC454,DM_NV,2,0),"")</f>
        <v/>
      </c>
      <c r="AE454" s="68"/>
      <c r="AF454" s="64" t="str">
        <f>IF(AE454&lt;&gt;0,VLOOKUP(AE454,DM_NV,2,0),"")</f>
        <v/>
      </c>
    </row>
    <row r="455">
      <c r="A455" s="51"/>
      <c r="B455" s="52" t="str">
        <f>IF(D455="","",VLOOKUP(D455,'THAM CHIẾU'!$A:$B,2,0))</f>
        <v>#N/A</v>
      </c>
      <c r="C455" s="53" t="str">
        <f t="shared" si="3"/>
        <v>03/2022</v>
      </c>
      <c r="D455" s="54">
        <v>44633.0</v>
      </c>
      <c r="E455" s="55" t="s">
        <v>545</v>
      </c>
      <c r="F455" s="56"/>
      <c r="G455" s="57" t="s">
        <v>173</v>
      </c>
      <c r="H455" s="58" t="str">
        <f>IF(G455="","",VLOOKUP($G455,'Quy chuẩn hạch toán'!$B:$E,2,0))</f>
        <v>641</v>
      </c>
      <c r="I455" s="58" t="str">
        <f>IF(H455="","",VLOOKUP($G455,'Quy chuẩn hạch toán'!$B:$E,3,0))</f>
        <v>331</v>
      </c>
      <c r="J455" s="59">
        <v>2688000.0</v>
      </c>
      <c r="K455" s="60"/>
      <c r="L455" s="61"/>
      <c r="M455" s="62"/>
      <c r="N455" s="63"/>
      <c r="O455" s="64" t="str">
        <f>IF($Q455&lt;&gt;0,VLOOKUP($Q455,DM_KM,3,0),"")</f>
        <v>#N/A</v>
      </c>
      <c r="P455" s="64" t="str">
        <f>IF($Q455&lt;&gt;0,VLOOKUP($Q455,DM_KM,5,0),"")</f>
        <v>#N/A</v>
      </c>
      <c r="Q455" s="65" t="s">
        <v>174</v>
      </c>
      <c r="R455" s="64" t="str">
        <f>IF(S455&lt;&gt;0,VLOOKUP(S455,DM_DUAN,3,0),"")</f>
        <v>#N/A</v>
      </c>
      <c r="S455" s="66" t="str">
        <f>IF(U455&lt;&gt;0,VLOOKUP(U455,DM_DUAN,3,0),"")</f>
        <v>THANHNAM</v>
      </c>
      <c r="T455" s="64"/>
      <c r="U455" s="67" t="s">
        <v>530</v>
      </c>
      <c r="V455" s="64" t="str">
        <f>IF(W455&lt;&gt;0,VLOOKUP(W455,DM_DUAN,3,0),"")</f>
        <v/>
      </c>
      <c r="W455" s="68"/>
      <c r="X455" s="64" t="str">
        <f>IF(Y455&lt;&gt;0,VLOOKUP(Y455,DM_DUAN,3,0),"")</f>
        <v>#N/A</v>
      </c>
      <c r="Y455" s="69" t="s">
        <v>176</v>
      </c>
      <c r="Z455" s="64" t="str">
        <f>IF(AA455&lt;&gt;0,VLOOKUP(AA455,DM_DUAN,3,0),"")</f>
        <v>#N/A</v>
      </c>
      <c r="AA455" s="70" t="s">
        <v>177</v>
      </c>
      <c r="AB455" s="64" t="str">
        <f>IF(AC455&lt;&gt;0,VLOOKUP(AC455,DM_DUAN,3,0),"")</f>
        <v/>
      </c>
      <c r="AC455" s="70"/>
      <c r="AD455" s="64" t="str">
        <f>IF(AC455&lt;&gt;0,VLOOKUP(AC455,DM_NV,2,0),"")</f>
        <v/>
      </c>
      <c r="AE455" s="68"/>
      <c r="AF455" s="64" t="str">
        <f>IF(AE455&lt;&gt;0,VLOOKUP(AE455,DM_NV,2,0),"")</f>
        <v/>
      </c>
    </row>
    <row r="456">
      <c r="A456" s="51"/>
      <c r="B456" s="52" t="str">
        <f>IF(D456="","",VLOOKUP(D456,'THAM CHIẾU'!$A:$B,2,0))</f>
        <v>#N/A</v>
      </c>
      <c r="C456" s="53" t="str">
        <f t="shared" si="3"/>
        <v>03/2022</v>
      </c>
      <c r="D456" s="54">
        <v>44635.0</v>
      </c>
      <c r="E456" s="55" t="s">
        <v>546</v>
      </c>
      <c r="F456" s="56"/>
      <c r="G456" s="57" t="s">
        <v>205</v>
      </c>
      <c r="H456" s="58" t="str">
        <f>IF(G456="","",VLOOKUP($G456,'Quy chuẩn hạch toán'!$B:$E,2,0))</f>
        <v>642</v>
      </c>
      <c r="I456" s="58" t="str">
        <f>IF(H456="","",VLOOKUP($G456,'Quy chuẩn hạch toán'!$B:$E,3,0))</f>
        <v>1111</v>
      </c>
      <c r="J456" s="59">
        <v>83571.0</v>
      </c>
      <c r="K456" s="60"/>
      <c r="L456" s="61"/>
      <c r="M456" s="62"/>
      <c r="N456" s="63"/>
      <c r="O456" s="64" t="str">
        <f>IF($Q456&lt;&gt;0,VLOOKUP($Q456,DM_KM,3,0),"")</f>
        <v>#N/A</v>
      </c>
      <c r="P456" s="64" t="str">
        <f>IF($Q456&lt;&gt;0,VLOOKUP($Q456,DM_KM,5,0),"")</f>
        <v>#N/A</v>
      </c>
      <c r="Q456" s="65" t="s">
        <v>262</v>
      </c>
      <c r="R456" s="64" t="str">
        <f>IF(S456&lt;&gt;0,VLOOKUP(S456,DM_DUAN,3,0),"")</f>
        <v>#N/A</v>
      </c>
      <c r="S456" s="66" t="str">
        <f>IF(U456&lt;&gt;0,VLOOKUP(U456,DM_DUAN,3,0),"")</f>
        <v/>
      </c>
      <c r="T456" s="64"/>
      <c r="U456" s="93"/>
      <c r="V456" s="64" t="str">
        <f>IF(W456&lt;&gt;0,VLOOKUP(W456,DM_DUAN,3,0),"")</f>
        <v/>
      </c>
      <c r="W456" s="68"/>
      <c r="X456" s="64" t="str">
        <f>IF(Y456&lt;&gt;0,VLOOKUP(Y456,DM_DUAN,3,0),"")</f>
        <v>#N/A</v>
      </c>
      <c r="Y456" s="69" t="s">
        <v>207</v>
      </c>
      <c r="Z456" s="64" t="str">
        <f>IF(AA456&lt;&gt;0,VLOOKUP(AA456,DM_DUAN,3,0),"")</f>
        <v>#N/A</v>
      </c>
      <c r="AA456" s="70" t="s">
        <v>183</v>
      </c>
      <c r="AB456" s="64" t="str">
        <f>IF(AC456&lt;&gt;0,VLOOKUP(AC456,DM_DUAN,3,0),"")</f>
        <v/>
      </c>
      <c r="AC456" s="85"/>
      <c r="AD456" s="64" t="str">
        <f>IF(AC456&lt;&gt;0,VLOOKUP(AC456,DM_NV,2,0),"")</f>
        <v/>
      </c>
      <c r="AE456" s="83" t="s">
        <v>263</v>
      </c>
      <c r="AF456" s="64" t="str">
        <f>IF(AE456&lt;&gt;0,VLOOKUP(AE456,DM_NV,2,0),"")</f>
        <v>#N/A</v>
      </c>
    </row>
    <row r="457">
      <c r="A457" s="51"/>
      <c r="B457" s="52" t="str">
        <f>IF(D457="","",VLOOKUP(D457,'THAM CHIẾU'!$A:$B,2,0))</f>
        <v>#N/A</v>
      </c>
      <c r="C457" s="53" t="str">
        <f t="shared" si="3"/>
        <v>03/2022</v>
      </c>
      <c r="D457" s="54">
        <v>44635.0</v>
      </c>
      <c r="E457" s="55" t="s">
        <v>546</v>
      </c>
      <c r="F457" s="56"/>
      <c r="G457" s="57" t="s">
        <v>205</v>
      </c>
      <c r="H457" s="58" t="str">
        <f>IF(G457="","",VLOOKUP($G457,'Quy chuẩn hạch toán'!$B:$E,2,0))</f>
        <v>642</v>
      </c>
      <c r="I457" s="58" t="str">
        <f>IF(H457="","",VLOOKUP($G457,'Quy chuẩn hạch toán'!$B:$E,3,0))</f>
        <v>1111</v>
      </c>
      <c r="J457" s="59">
        <v>45000.0</v>
      </c>
      <c r="K457" s="60"/>
      <c r="L457" s="61"/>
      <c r="M457" s="62"/>
      <c r="N457" s="63"/>
      <c r="O457" s="64" t="str">
        <f>IF($Q457&lt;&gt;0,VLOOKUP($Q457,DM_KM,3,0),"")</f>
        <v>#N/A</v>
      </c>
      <c r="P457" s="64" t="str">
        <f>IF($Q457&lt;&gt;0,VLOOKUP($Q457,DM_KM,5,0),"")</f>
        <v>#N/A</v>
      </c>
      <c r="Q457" s="65" t="s">
        <v>262</v>
      </c>
      <c r="R457" s="64" t="str">
        <f>IF(S457&lt;&gt;0,VLOOKUP(S457,DM_DUAN,3,0),"")</f>
        <v>#N/A</v>
      </c>
      <c r="S457" s="66" t="str">
        <f>IF(U457&lt;&gt;0,VLOOKUP(U457,DM_DUAN,3,0),"")</f>
        <v/>
      </c>
      <c r="T457" s="64"/>
      <c r="U457" s="67"/>
      <c r="V457" s="64" t="str">
        <f>IF(W457&lt;&gt;0,VLOOKUP(W457,DM_DUAN,3,0),"")</f>
        <v/>
      </c>
      <c r="W457" s="68"/>
      <c r="X457" s="64" t="str">
        <f>IF(Y457&lt;&gt;0,VLOOKUP(Y457,DM_DUAN,3,0),"")</f>
        <v>#N/A</v>
      </c>
      <c r="Y457" s="69" t="s">
        <v>207</v>
      </c>
      <c r="Z457" s="64" t="str">
        <f>IF(AA457&lt;&gt;0,VLOOKUP(AA457,DM_DUAN,3,0),"")</f>
        <v>#N/A</v>
      </c>
      <c r="AA457" s="70" t="s">
        <v>177</v>
      </c>
      <c r="AB457" s="64" t="str">
        <f>IF(AC457&lt;&gt;0,VLOOKUP(AC457,DM_DUAN,3,0),"")</f>
        <v/>
      </c>
      <c r="AC457" s="70"/>
      <c r="AD457" s="64" t="str">
        <f>IF(AC457&lt;&gt;0,VLOOKUP(AC457,DM_NV,2,0),"")</f>
        <v/>
      </c>
      <c r="AE457" s="83" t="s">
        <v>263</v>
      </c>
      <c r="AF457" s="64" t="str">
        <f>IF(AE457&lt;&gt;0,VLOOKUP(AE457,DM_NV,2,0),"")</f>
        <v>#N/A</v>
      </c>
    </row>
    <row r="458">
      <c r="A458" s="51"/>
      <c r="B458" s="52" t="str">
        <f>IF(D458="","",VLOOKUP(D458,'THAM CHIẾU'!$A:$B,2,0))</f>
        <v>#N/A</v>
      </c>
      <c r="C458" s="53" t="str">
        <f t="shared" si="3"/>
        <v>03/2022</v>
      </c>
      <c r="D458" s="54">
        <v>44635.0</v>
      </c>
      <c r="E458" s="55" t="s">
        <v>546</v>
      </c>
      <c r="F458" s="56"/>
      <c r="G458" s="57" t="s">
        <v>205</v>
      </c>
      <c r="H458" s="58" t="str">
        <f>IF(G458="","",VLOOKUP($G458,'Quy chuẩn hạch toán'!$B:$E,2,0))</f>
        <v>642</v>
      </c>
      <c r="I458" s="58" t="str">
        <f>IF(H458="","",VLOOKUP($G458,'Quy chuẩn hạch toán'!$B:$E,3,0))</f>
        <v>1111</v>
      </c>
      <c r="J458" s="59">
        <v>45000.0</v>
      </c>
      <c r="K458" s="60"/>
      <c r="L458" s="61"/>
      <c r="M458" s="62"/>
      <c r="N458" s="63"/>
      <c r="O458" s="64" t="str">
        <f>IF($Q458&lt;&gt;0,VLOOKUP($Q458,DM_KM,3,0),"")</f>
        <v>#N/A</v>
      </c>
      <c r="P458" s="64" t="str">
        <f>IF($Q458&lt;&gt;0,VLOOKUP($Q458,DM_KM,5,0),"")</f>
        <v>#N/A</v>
      </c>
      <c r="Q458" s="65" t="s">
        <v>262</v>
      </c>
      <c r="R458" s="64" t="str">
        <f>IF(S458&lt;&gt;0,VLOOKUP(S458,DM_DUAN,3,0),"")</f>
        <v>#N/A</v>
      </c>
      <c r="S458" s="66" t="str">
        <f>IF(U458&lt;&gt;0,VLOOKUP(U458,DM_DUAN,3,0),"")</f>
        <v/>
      </c>
      <c r="T458" s="64"/>
      <c r="U458" s="93"/>
      <c r="V458" s="64" t="str">
        <f>IF(W458&lt;&gt;0,VLOOKUP(W458,DM_DUAN,3,0),"")</f>
        <v/>
      </c>
      <c r="W458" s="68"/>
      <c r="X458" s="64" t="str">
        <f>IF(Y458&lt;&gt;0,VLOOKUP(Y458,DM_DUAN,3,0),"")</f>
        <v>#N/A</v>
      </c>
      <c r="Y458" s="69" t="s">
        <v>207</v>
      </c>
      <c r="Z458" s="64" t="str">
        <f>IF(AA458&lt;&gt;0,VLOOKUP(AA458,DM_DUAN,3,0),"")</f>
        <v>#N/A</v>
      </c>
      <c r="AA458" s="131" t="s">
        <v>210</v>
      </c>
      <c r="AB458" s="64" t="str">
        <f>IF(AC458&lt;&gt;0,VLOOKUP(AC458,DM_DUAN,3,0),"")</f>
        <v/>
      </c>
      <c r="AC458" s="85"/>
      <c r="AD458" s="64" t="str">
        <f>IF(AC458&lt;&gt;0,VLOOKUP(AC458,DM_NV,2,0),"")</f>
        <v/>
      </c>
      <c r="AE458" s="83" t="s">
        <v>263</v>
      </c>
      <c r="AF458" s="64" t="str">
        <f>IF(AE458&lt;&gt;0,VLOOKUP(AE458,DM_NV,2,0),"")</f>
        <v>#N/A</v>
      </c>
    </row>
    <row r="459">
      <c r="A459" s="51"/>
      <c r="B459" s="52" t="str">
        <f>IF(D459="","",VLOOKUP(D459,'THAM CHIẾU'!$A:$B,2,0))</f>
        <v>#N/A</v>
      </c>
      <c r="C459" s="53" t="str">
        <f t="shared" si="3"/>
        <v>03/2022</v>
      </c>
      <c r="D459" s="54">
        <v>44635.0</v>
      </c>
      <c r="E459" s="55" t="s">
        <v>546</v>
      </c>
      <c r="F459" s="56"/>
      <c r="G459" s="57" t="s">
        <v>205</v>
      </c>
      <c r="H459" s="58" t="str">
        <f>IF(G459="","",VLOOKUP($G459,'Quy chuẩn hạch toán'!$B:$E,2,0))</f>
        <v>642</v>
      </c>
      <c r="I459" s="58" t="str">
        <f>IF(H459="","",VLOOKUP($G459,'Quy chuẩn hạch toán'!$B:$E,3,0))</f>
        <v>1111</v>
      </c>
      <c r="J459" s="59">
        <v>12857.0</v>
      </c>
      <c r="K459" s="60"/>
      <c r="L459" s="61"/>
      <c r="M459" s="62"/>
      <c r="N459" s="63"/>
      <c r="O459" s="64" t="str">
        <f>IF($Q459&lt;&gt;0,VLOOKUP($Q459,DM_KM,3,0),"")</f>
        <v>#N/A</v>
      </c>
      <c r="P459" s="64" t="str">
        <f>IF($Q459&lt;&gt;0,VLOOKUP($Q459,DM_KM,5,0),"")</f>
        <v>#N/A</v>
      </c>
      <c r="Q459" s="65" t="s">
        <v>262</v>
      </c>
      <c r="R459" s="64" t="str">
        <f>IF(S459&lt;&gt;0,VLOOKUP(S459,DM_DUAN,3,0),"")</f>
        <v>#N/A</v>
      </c>
      <c r="S459" s="66" t="str">
        <f>IF(U459&lt;&gt;0,VLOOKUP(U459,DM_DUAN,3,0),"")</f>
        <v/>
      </c>
      <c r="T459" s="64"/>
      <c r="U459" s="93"/>
      <c r="V459" s="64" t="str">
        <f>IF(W459&lt;&gt;0,VLOOKUP(W459,DM_DUAN,3,0),"")</f>
        <v/>
      </c>
      <c r="W459" s="68"/>
      <c r="X459" s="64" t="str">
        <f>IF(Y459&lt;&gt;0,VLOOKUP(Y459,DM_DUAN,3,0),"")</f>
        <v>#N/A</v>
      </c>
      <c r="Y459" s="69" t="s">
        <v>207</v>
      </c>
      <c r="Z459" s="64" t="str">
        <f>IF(AA459&lt;&gt;0,VLOOKUP(AA459,DM_DUAN,3,0),"")</f>
        <v>#N/A</v>
      </c>
      <c r="AA459" s="70" t="s">
        <v>514</v>
      </c>
      <c r="AB459" s="64" t="str">
        <f>IF(AC459&lt;&gt;0,VLOOKUP(AC459,DM_DUAN,3,0),"")</f>
        <v/>
      </c>
      <c r="AC459" s="85"/>
      <c r="AD459" s="64" t="str">
        <f>IF(AC459&lt;&gt;0,VLOOKUP(AC459,DM_NV,2,0),"")</f>
        <v/>
      </c>
      <c r="AE459" s="83" t="s">
        <v>263</v>
      </c>
      <c r="AF459" s="64" t="str">
        <f>IF(AE459&lt;&gt;0,VLOOKUP(AE459,DM_NV,2,0),"")</f>
        <v>#N/A</v>
      </c>
    </row>
    <row r="460">
      <c r="A460" s="51"/>
      <c r="B460" s="52" t="str">
        <f>IF(D460="","",VLOOKUP(D460,'THAM CHIẾU'!$A:$B,2,0))</f>
        <v>#N/A</v>
      </c>
      <c r="C460" s="53" t="str">
        <f t="shared" si="3"/>
        <v>03/2022</v>
      </c>
      <c r="D460" s="54">
        <v>44635.0</v>
      </c>
      <c r="E460" s="55" t="s">
        <v>547</v>
      </c>
      <c r="F460" s="56"/>
      <c r="G460" s="57" t="s">
        <v>205</v>
      </c>
      <c r="H460" s="58" t="str">
        <f>IF(G460="","",VLOOKUP($G460,'Quy chuẩn hạch toán'!$B:$E,2,0))</f>
        <v>642</v>
      </c>
      <c r="I460" s="58" t="str">
        <f>IF(H460="","",VLOOKUP($G460,'Quy chuẩn hạch toán'!$B:$E,3,0))</f>
        <v>1111</v>
      </c>
      <c r="J460" s="59">
        <v>190357.0</v>
      </c>
      <c r="K460" s="60"/>
      <c r="L460" s="61"/>
      <c r="M460" s="62"/>
      <c r="N460" s="63"/>
      <c r="O460" s="64" t="str">
        <f>IF($Q460&lt;&gt;0,VLOOKUP($Q460,DM_KM,3,0),"")</f>
        <v>#N/A</v>
      </c>
      <c r="P460" s="64" t="str">
        <f>IF($Q460&lt;&gt;0,VLOOKUP($Q460,DM_KM,5,0),"")</f>
        <v>#N/A</v>
      </c>
      <c r="Q460" s="65" t="s">
        <v>226</v>
      </c>
      <c r="R460" s="64" t="str">
        <f>IF(S460&lt;&gt;0,VLOOKUP(S460,DM_DUAN,3,0),"")</f>
        <v>#N/A</v>
      </c>
      <c r="S460" s="66" t="str">
        <f>IF(U460&lt;&gt;0,VLOOKUP(U460,DM_DUAN,3,0),"")</f>
        <v/>
      </c>
      <c r="T460" s="64"/>
      <c r="U460" s="93"/>
      <c r="V460" s="64" t="str">
        <f>IF(W460&lt;&gt;0,VLOOKUP(W460,DM_DUAN,3,0),"")</f>
        <v/>
      </c>
      <c r="W460" s="68"/>
      <c r="X460" s="64" t="str">
        <f>IF(Y460&lt;&gt;0,VLOOKUP(Y460,DM_DUAN,3,0),"")</f>
        <v>#N/A</v>
      </c>
      <c r="Y460" s="69" t="s">
        <v>207</v>
      </c>
      <c r="Z460" s="64" t="str">
        <f>IF(AA460&lt;&gt;0,VLOOKUP(AA460,DM_DUAN,3,0),"")</f>
        <v>#N/A</v>
      </c>
      <c r="AA460" s="70" t="s">
        <v>183</v>
      </c>
      <c r="AB460" s="64" t="str">
        <f>IF(AC460&lt;&gt;0,VLOOKUP(AC460,DM_DUAN,3,0),"")</f>
        <v/>
      </c>
      <c r="AC460" s="85"/>
      <c r="AD460" s="64" t="str">
        <f>IF(AC460&lt;&gt;0,VLOOKUP(AC460,DM_NV,2,0),"")</f>
        <v/>
      </c>
      <c r="AE460" s="83" t="s">
        <v>227</v>
      </c>
      <c r="AF460" s="64" t="str">
        <f>IF(AE460&lt;&gt;0,VLOOKUP(AE460,DM_NV,2,0),"")</f>
        <v>#N/A</v>
      </c>
    </row>
    <row r="461">
      <c r="A461" s="51"/>
      <c r="B461" s="52" t="str">
        <f>IF(D461="","",VLOOKUP(D461,'THAM CHIẾU'!$A:$B,2,0))</f>
        <v>#N/A</v>
      </c>
      <c r="C461" s="53" t="str">
        <f t="shared" si="3"/>
        <v>03/2022</v>
      </c>
      <c r="D461" s="54">
        <v>44635.0</v>
      </c>
      <c r="E461" s="55" t="s">
        <v>547</v>
      </c>
      <c r="F461" s="56"/>
      <c r="G461" s="57" t="s">
        <v>205</v>
      </c>
      <c r="H461" s="58" t="str">
        <f>IF(G461="","",VLOOKUP($G461,'Quy chuẩn hạch toán'!$B:$E,2,0))</f>
        <v>642</v>
      </c>
      <c r="I461" s="58" t="str">
        <f>IF(H461="","",VLOOKUP($G461,'Quy chuẩn hạch toán'!$B:$E,3,0))</f>
        <v>1111</v>
      </c>
      <c r="J461" s="59">
        <v>102500.0</v>
      </c>
      <c r="K461" s="60"/>
      <c r="L461" s="61"/>
      <c r="M461" s="62"/>
      <c r="N461" s="63"/>
      <c r="O461" s="64" t="str">
        <f>IF($Q461&lt;&gt;0,VLOOKUP($Q461,DM_KM,3,0),"")</f>
        <v>#N/A</v>
      </c>
      <c r="P461" s="64" t="str">
        <f>IF($Q461&lt;&gt;0,VLOOKUP($Q461,DM_KM,5,0),"")</f>
        <v>#N/A</v>
      </c>
      <c r="Q461" s="65" t="s">
        <v>226</v>
      </c>
      <c r="R461" s="64" t="str">
        <f>IF(S461&lt;&gt;0,VLOOKUP(S461,DM_DUAN,3,0),"")</f>
        <v>#N/A</v>
      </c>
      <c r="S461" s="66" t="str">
        <f>IF(U461&lt;&gt;0,VLOOKUP(U461,DM_DUAN,3,0),"")</f>
        <v/>
      </c>
      <c r="T461" s="64"/>
      <c r="U461" s="67"/>
      <c r="V461" s="64" t="str">
        <f>IF(W461&lt;&gt;0,VLOOKUP(W461,DM_DUAN,3,0),"")</f>
        <v/>
      </c>
      <c r="W461" s="68"/>
      <c r="X461" s="64" t="str">
        <f>IF(Y461&lt;&gt;0,VLOOKUP(Y461,DM_DUAN,3,0),"")</f>
        <v>#N/A</v>
      </c>
      <c r="Y461" s="69" t="s">
        <v>207</v>
      </c>
      <c r="Z461" s="64" t="str">
        <f>IF(AA461&lt;&gt;0,VLOOKUP(AA461,DM_DUAN,3,0),"")</f>
        <v>#N/A</v>
      </c>
      <c r="AA461" s="70" t="s">
        <v>177</v>
      </c>
      <c r="AB461" s="64" t="str">
        <f>IF(AC461&lt;&gt;0,VLOOKUP(AC461,DM_DUAN,3,0),"")</f>
        <v/>
      </c>
      <c r="AC461" s="70"/>
      <c r="AD461" s="64" t="str">
        <f>IF(AC461&lt;&gt;0,VLOOKUP(AC461,DM_NV,2,0),"")</f>
        <v/>
      </c>
      <c r="AE461" s="83" t="s">
        <v>227</v>
      </c>
      <c r="AF461" s="64" t="str">
        <f>IF(AE461&lt;&gt;0,VLOOKUP(AE461,DM_NV,2,0),"")</f>
        <v>#N/A</v>
      </c>
    </row>
    <row r="462">
      <c r="A462" s="51"/>
      <c r="B462" s="52" t="str">
        <f>IF(D462="","",VLOOKUP(D462,'THAM CHIẾU'!$A:$B,2,0))</f>
        <v>#N/A</v>
      </c>
      <c r="C462" s="53" t="str">
        <f t="shared" si="3"/>
        <v>03/2022</v>
      </c>
      <c r="D462" s="54">
        <v>44635.0</v>
      </c>
      <c r="E462" s="55" t="s">
        <v>547</v>
      </c>
      <c r="F462" s="56"/>
      <c r="G462" s="57" t="s">
        <v>205</v>
      </c>
      <c r="H462" s="58" t="str">
        <f>IF(G462="","",VLOOKUP($G462,'Quy chuẩn hạch toán'!$B:$E,2,0))</f>
        <v>642</v>
      </c>
      <c r="I462" s="58" t="str">
        <f>IF(H462="","",VLOOKUP($G462,'Quy chuẩn hạch toán'!$B:$E,3,0))</f>
        <v>1111</v>
      </c>
      <c r="J462" s="59">
        <v>102500.0</v>
      </c>
      <c r="K462" s="60"/>
      <c r="L462" s="61"/>
      <c r="M462" s="62"/>
      <c r="N462" s="63"/>
      <c r="O462" s="64" t="str">
        <f>IF($Q462&lt;&gt;0,VLOOKUP($Q462,DM_KM,3,0),"")</f>
        <v>#N/A</v>
      </c>
      <c r="P462" s="64" t="str">
        <f>IF($Q462&lt;&gt;0,VLOOKUP($Q462,DM_KM,5,0),"")</f>
        <v>#N/A</v>
      </c>
      <c r="Q462" s="89" t="s">
        <v>226</v>
      </c>
      <c r="R462" s="64" t="str">
        <f>IF(S462&lt;&gt;0,VLOOKUP(S462,DM_DUAN,3,0),"")</f>
        <v>#N/A</v>
      </c>
      <c r="S462" s="66" t="str">
        <f>IF(U462&lt;&gt;0,VLOOKUP(U462,DM_DUAN,3,0),"")</f>
        <v/>
      </c>
      <c r="T462" s="64"/>
      <c r="U462" s="93"/>
      <c r="V462" s="64" t="str">
        <f>IF(W462&lt;&gt;0,VLOOKUP(W462,DM_DUAN,3,0),"")</f>
        <v/>
      </c>
      <c r="W462" s="68"/>
      <c r="X462" s="64" t="str">
        <f>IF(Y462&lt;&gt;0,VLOOKUP(Y462,DM_DUAN,3,0),"")</f>
        <v>#N/A</v>
      </c>
      <c r="Y462" s="69" t="s">
        <v>207</v>
      </c>
      <c r="Z462" s="64" t="str">
        <f>IF(AA462&lt;&gt;0,VLOOKUP(AA462,DM_DUAN,3,0),"")</f>
        <v>#N/A</v>
      </c>
      <c r="AA462" s="131" t="s">
        <v>210</v>
      </c>
      <c r="AB462" s="64" t="str">
        <f>IF(AC462&lt;&gt;0,VLOOKUP(AC462,DM_DUAN,3,0),"")</f>
        <v/>
      </c>
      <c r="AC462" s="85"/>
      <c r="AD462" s="64" t="str">
        <f>IF(AC462&lt;&gt;0,VLOOKUP(AC462,DM_NV,2,0),"")</f>
        <v/>
      </c>
      <c r="AE462" s="83" t="s">
        <v>227</v>
      </c>
      <c r="AF462" s="64" t="str">
        <f>IF(AE462&lt;&gt;0,VLOOKUP(AE462,DM_NV,2,0),"")</f>
        <v>#N/A</v>
      </c>
    </row>
    <row r="463">
      <c r="A463" s="51"/>
      <c r="B463" s="52" t="str">
        <f>IF(D463="","",VLOOKUP(D463,'THAM CHIẾU'!$A:$B,2,0))</f>
        <v>#N/A</v>
      </c>
      <c r="C463" s="53" t="str">
        <f t="shared" si="3"/>
        <v>03/2022</v>
      </c>
      <c r="D463" s="54">
        <v>44635.0</v>
      </c>
      <c r="E463" s="55" t="s">
        <v>547</v>
      </c>
      <c r="F463" s="56"/>
      <c r="G463" s="57" t="s">
        <v>205</v>
      </c>
      <c r="H463" s="58" t="str">
        <f>IF(G463="","",VLOOKUP($G463,'Quy chuẩn hạch toán'!$B:$E,2,0))</f>
        <v>642</v>
      </c>
      <c r="I463" s="58" t="str">
        <f>IF(H463="","",VLOOKUP($G463,'Quy chuẩn hạch toán'!$B:$E,3,0))</f>
        <v>1111</v>
      </c>
      <c r="J463" s="59">
        <v>29286.0</v>
      </c>
      <c r="K463" s="60"/>
      <c r="L463" s="61"/>
      <c r="M463" s="62"/>
      <c r="N463" s="63"/>
      <c r="O463" s="64" t="str">
        <f>IF($Q463&lt;&gt;0,VLOOKUP($Q463,DM_KM,3,0),"")</f>
        <v>#N/A</v>
      </c>
      <c r="P463" s="64" t="str">
        <f>IF($Q463&lt;&gt;0,VLOOKUP($Q463,DM_KM,5,0),"")</f>
        <v>#N/A</v>
      </c>
      <c r="Q463" s="89" t="s">
        <v>226</v>
      </c>
      <c r="R463" s="64" t="str">
        <f>IF(S463&lt;&gt;0,VLOOKUP(S463,DM_DUAN,3,0),"")</f>
        <v>#N/A</v>
      </c>
      <c r="S463" s="66" t="str">
        <f>IF(U463&lt;&gt;0,VLOOKUP(U463,DM_DUAN,3,0),"")</f>
        <v/>
      </c>
      <c r="T463" s="64"/>
      <c r="U463" s="93"/>
      <c r="V463" s="64" t="str">
        <f>IF(W463&lt;&gt;0,VLOOKUP(W463,DM_DUAN,3,0),"")</f>
        <v/>
      </c>
      <c r="W463" s="68"/>
      <c r="X463" s="64" t="str">
        <f>IF(Y463&lt;&gt;0,VLOOKUP(Y463,DM_DUAN,3,0),"")</f>
        <v>#N/A</v>
      </c>
      <c r="Y463" s="69" t="s">
        <v>207</v>
      </c>
      <c r="Z463" s="64" t="str">
        <f>IF(AA463&lt;&gt;0,VLOOKUP(AA463,DM_DUAN,3,0),"")</f>
        <v>#N/A</v>
      </c>
      <c r="AA463" s="70" t="s">
        <v>514</v>
      </c>
      <c r="AB463" s="64" t="str">
        <f>IF(AC463&lt;&gt;0,VLOOKUP(AC463,DM_DUAN,3,0),"")</f>
        <v/>
      </c>
      <c r="AC463" s="85"/>
      <c r="AD463" s="64" t="str">
        <f>IF(AC463&lt;&gt;0,VLOOKUP(AC463,DM_NV,2,0),"")</f>
        <v/>
      </c>
      <c r="AE463" s="83" t="s">
        <v>227</v>
      </c>
      <c r="AF463" s="64" t="str">
        <f>IF(AE463&lt;&gt;0,VLOOKUP(AE463,DM_NV,2,0),"")</f>
        <v>#N/A</v>
      </c>
    </row>
    <row r="464">
      <c r="A464" s="51"/>
      <c r="B464" s="52" t="str">
        <f>IF(D464="","",VLOOKUP(D464,'THAM CHIẾU'!$A:$B,2,0))</f>
        <v>#N/A</v>
      </c>
      <c r="C464" s="53" t="str">
        <f t="shared" si="3"/>
        <v>03/2022</v>
      </c>
      <c r="D464" s="54">
        <v>44636.0</v>
      </c>
      <c r="E464" s="55" t="s">
        <v>548</v>
      </c>
      <c r="F464" s="56"/>
      <c r="G464" s="57" t="s">
        <v>205</v>
      </c>
      <c r="H464" s="58" t="str">
        <f>IF(G464="","",VLOOKUP($G464,'Quy chuẩn hạch toán'!$B:$E,2,0))</f>
        <v>642</v>
      </c>
      <c r="I464" s="58" t="str">
        <f>IF(H464="","",VLOOKUP($G464,'Quy chuẩn hạch toán'!$B:$E,3,0))</f>
        <v>1111</v>
      </c>
      <c r="J464" s="59">
        <v>91897.0</v>
      </c>
      <c r="K464" s="60"/>
      <c r="L464" s="61"/>
      <c r="M464" s="62"/>
      <c r="N464" s="63"/>
      <c r="O464" s="64" t="str">
        <f>IF($Q464&lt;&gt;0,VLOOKUP($Q464,DM_KM,3,0),"")</f>
        <v>VHVP</v>
      </c>
      <c r="P464" s="64">
        <f>IF($Q464&lt;&gt;0,VLOOKUP($Q464,DM_KM,5,0),"")</f>
        <v>642</v>
      </c>
      <c r="Q464" s="65" t="s">
        <v>382</v>
      </c>
      <c r="R464" s="64" t="str">
        <f>IF(S464&lt;&gt;0,VLOOKUP(S464,DM_DUAN,3,0),"")</f>
        <v>#N/A</v>
      </c>
      <c r="S464" s="66" t="str">
        <f>IF(U464&lt;&gt;0,VLOOKUP(U464,DM_DUAN,3,0),"")</f>
        <v/>
      </c>
      <c r="T464" s="64"/>
      <c r="U464" s="93"/>
      <c r="V464" s="64" t="str">
        <f>IF(W464&lt;&gt;0,VLOOKUP(W464,DM_DUAN,3,0),"")</f>
        <v/>
      </c>
      <c r="W464" s="68"/>
      <c r="X464" s="64" t="str">
        <f>IF(Y464&lt;&gt;0,VLOOKUP(Y464,DM_DUAN,3,0),"")</f>
        <v>#N/A</v>
      </c>
      <c r="Y464" s="69" t="s">
        <v>207</v>
      </c>
      <c r="Z464" s="64" t="str">
        <f>IF(AA464&lt;&gt;0,VLOOKUP(AA464,DM_DUAN,3,0),"")</f>
        <v>#N/A</v>
      </c>
      <c r="AA464" s="70" t="s">
        <v>183</v>
      </c>
      <c r="AB464" s="64" t="str">
        <f>IF(AC464&lt;&gt;0,VLOOKUP(AC464,DM_DUAN,3,0),"")</f>
        <v/>
      </c>
      <c r="AC464" s="85"/>
      <c r="AD464" s="64" t="str">
        <f>IF(AC464&lt;&gt;0,VLOOKUP(AC464,DM_NV,2,0),"")</f>
        <v/>
      </c>
      <c r="AE464" s="83" t="s">
        <v>223</v>
      </c>
      <c r="AF464" s="64" t="str">
        <f>IF(AE464&lt;&gt;0,VLOOKUP(AE464,DM_NV,2,0),"")</f>
        <v>#N/A</v>
      </c>
    </row>
    <row r="465">
      <c r="A465" s="51"/>
      <c r="B465" s="52" t="str">
        <f>IF(D465="","",VLOOKUP(D465,'THAM CHIẾU'!$A:$B,2,0))</f>
        <v>#N/A</v>
      </c>
      <c r="C465" s="53" t="str">
        <f t="shared" si="3"/>
        <v>03/2022</v>
      </c>
      <c r="D465" s="54">
        <v>44636.0</v>
      </c>
      <c r="E465" s="55" t="s">
        <v>548</v>
      </c>
      <c r="F465" s="56"/>
      <c r="G465" s="57" t="s">
        <v>205</v>
      </c>
      <c r="H465" s="58" t="str">
        <f>IF(G465="","",VLOOKUP($G465,'Quy chuẩn hạch toán'!$B:$E,2,0))</f>
        <v>642</v>
      </c>
      <c r="I465" s="58" t="str">
        <f>IF(H465="","",VLOOKUP($G465,'Quy chuẩn hạch toán'!$B:$E,3,0))</f>
        <v>1111</v>
      </c>
      <c r="J465" s="59">
        <v>49483.0</v>
      </c>
      <c r="K465" s="60"/>
      <c r="L465" s="61"/>
      <c r="M465" s="62"/>
      <c r="N465" s="63"/>
      <c r="O465" s="64" t="str">
        <f>IF($Q465&lt;&gt;0,VLOOKUP($Q465,DM_KM,3,0),"")</f>
        <v>VHVP</v>
      </c>
      <c r="P465" s="64">
        <f>IF($Q465&lt;&gt;0,VLOOKUP($Q465,DM_KM,5,0),"")</f>
        <v>642</v>
      </c>
      <c r="Q465" s="65" t="s">
        <v>382</v>
      </c>
      <c r="R465" s="64" t="str">
        <f>IF(S465&lt;&gt;0,VLOOKUP(S465,DM_DUAN,3,0),"")</f>
        <v>#N/A</v>
      </c>
      <c r="S465" s="66" t="str">
        <f>IF(U465&lt;&gt;0,VLOOKUP(U465,DM_DUAN,3,0),"")</f>
        <v/>
      </c>
      <c r="T465" s="64"/>
      <c r="U465" s="93"/>
      <c r="V465" s="64" t="str">
        <f>IF(W465&lt;&gt;0,VLOOKUP(W465,DM_DUAN,3,0),"")</f>
        <v/>
      </c>
      <c r="W465" s="68"/>
      <c r="X465" s="64" t="str">
        <f>IF(Y465&lt;&gt;0,VLOOKUP(Y465,DM_DUAN,3,0),"")</f>
        <v>#N/A</v>
      </c>
      <c r="Y465" s="69" t="s">
        <v>207</v>
      </c>
      <c r="Z465" s="64" t="str">
        <f>IF(AA465&lt;&gt;0,VLOOKUP(AA465,DM_DUAN,3,0),"")</f>
        <v>#N/A</v>
      </c>
      <c r="AA465" s="70" t="s">
        <v>177</v>
      </c>
      <c r="AB465" s="64" t="str">
        <f>IF(AC465&lt;&gt;0,VLOOKUP(AC465,DM_DUAN,3,0),"")</f>
        <v/>
      </c>
      <c r="AC465" s="85"/>
      <c r="AD465" s="64" t="str">
        <f>IF(AC465&lt;&gt;0,VLOOKUP(AC465,DM_NV,2,0),"")</f>
        <v/>
      </c>
      <c r="AE465" s="83" t="s">
        <v>223</v>
      </c>
      <c r="AF465" s="64" t="str">
        <f>IF(AE465&lt;&gt;0,VLOOKUP(AE465,DM_NV,2,0),"")</f>
        <v>#N/A</v>
      </c>
    </row>
    <row r="466">
      <c r="A466" s="51"/>
      <c r="B466" s="52" t="str">
        <f>IF(D466="","",VLOOKUP(D466,'THAM CHIẾU'!$A:$B,2,0))</f>
        <v>#N/A</v>
      </c>
      <c r="C466" s="53" t="str">
        <f t="shared" si="3"/>
        <v>03/2022</v>
      </c>
      <c r="D466" s="54">
        <v>44636.0</v>
      </c>
      <c r="E466" s="55" t="s">
        <v>548</v>
      </c>
      <c r="F466" s="56"/>
      <c r="G466" s="57" t="s">
        <v>205</v>
      </c>
      <c r="H466" s="58" t="str">
        <f>IF(G466="","",VLOOKUP($G466,'Quy chuẩn hạch toán'!$B:$E,2,0))</f>
        <v>642</v>
      </c>
      <c r="I466" s="58" t="str">
        <f>IF(H466="","",VLOOKUP($G466,'Quy chuẩn hạch toán'!$B:$E,3,0))</f>
        <v>1111</v>
      </c>
      <c r="J466" s="59">
        <v>49483.0</v>
      </c>
      <c r="K466" s="60"/>
      <c r="L466" s="61"/>
      <c r="M466" s="62"/>
      <c r="N466" s="63"/>
      <c r="O466" s="64" t="str">
        <f>IF($Q466&lt;&gt;0,VLOOKUP($Q466,DM_KM,3,0),"")</f>
        <v>VHVP</v>
      </c>
      <c r="P466" s="64">
        <f>IF($Q466&lt;&gt;0,VLOOKUP($Q466,DM_KM,5,0),"")</f>
        <v>642</v>
      </c>
      <c r="Q466" s="89" t="s">
        <v>382</v>
      </c>
      <c r="R466" s="64" t="str">
        <f>IF(S466&lt;&gt;0,VLOOKUP(S466,DM_DUAN,3,0),"")</f>
        <v>#N/A</v>
      </c>
      <c r="S466" s="66" t="str">
        <f>IF(U466&lt;&gt;0,VLOOKUP(U466,DM_DUAN,3,0),"")</f>
        <v/>
      </c>
      <c r="T466" s="64"/>
      <c r="U466" s="93"/>
      <c r="V466" s="64" t="str">
        <f>IF(W466&lt;&gt;0,VLOOKUP(W466,DM_DUAN,3,0),"")</f>
        <v/>
      </c>
      <c r="W466" s="68"/>
      <c r="X466" s="64" t="str">
        <f>IF(Y466&lt;&gt;0,VLOOKUP(Y466,DM_DUAN,3,0),"")</f>
        <v>#N/A</v>
      </c>
      <c r="Y466" s="69" t="s">
        <v>207</v>
      </c>
      <c r="Z466" s="64" t="str">
        <f>IF(AA466&lt;&gt;0,VLOOKUP(AA466,DM_DUAN,3,0),"")</f>
        <v>#N/A</v>
      </c>
      <c r="AA466" s="131" t="s">
        <v>210</v>
      </c>
      <c r="AB466" s="64" t="str">
        <f>IF(AC466&lt;&gt;0,VLOOKUP(AC466,DM_DUAN,3,0),"")</f>
        <v/>
      </c>
      <c r="AC466" s="85"/>
      <c r="AD466" s="64" t="str">
        <f>IF(AC466&lt;&gt;0,VLOOKUP(AC466,DM_NV,2,0),"")</f>
        <v/>
      </c>
      <c r="AE466" s="83" t="s">
        <v>223</v>
      </c>
      <c r="AF466" s="64" t="str">
        <f>IF(AE466&lt;&gt;0,VLOOKUP(AE466,DM_NV,2,0),"")</f>
        <v>#N/A</v>
      </c>
    </row>
    <row r="467">
      <c r="A467" s="51"/>
      <c r="B467" s="52" t="str">
        <f>IF(D467="","",VLOOKUP(D467,'THAM CHIẾU'!$A:$B,2,0))</f>
        <v>#N/A</v>
      </c>
      <c r="C467" s="53" t="str">
        <f t="shared" si="3"/>
        <v>03/2022</v>
      </c>
      <c r="D467" s="54">
        <v>44636.0</v>
      </c>
      <c r="E467" s="55" t="s">
        <v>548</v>
      </c>
      <c r="F467" s="56"/>
      <c r="G467" s="57" t="s">
        <v>205</v>
      </c>
      <c r="H467" s="58" t="str">
        <f>IF(G467="","",VLOOKUP($G467,'Quy chuẩn hạch toán'!$B:$E,2,0))</f>
        <v>642</v>
      </c>
      <c r="I467" s="58" t="str">
        <f>IF(H467="","",VLOOKUP($G467,'Quy chuẩn hạch toán'!$B:$E,3,0))</f>
        <v>1111</v>
      </c>
      <c r="J467" s="59">
        <v>14138.0</v>
      </c>
      <c r="K467" s="60"/>
      <c r="L467" s="61"/>
      <c r="M467" s="62"/>
      <c r="N467" s="63"/>
      <c r="O467" s="64" t="str">
        <f>IF($Q467&lt;&gt;0,VLOOKUP($Q467,DM_KM,3,0),"")</f>
        <v>VHVP</v>
      </c>
      <c r="P467" s="64">
        <f>IF($Q467&lt;&gt;0,VLOOKUP($Q467,DM_KM,5,0),"")</f>
        <v>642</v>
      </c>
      <c r="Q467" s="89" t="s">
        <v>382</v>
      </c>
      <c r="R467" s="64" t="str">
        <f>IF(S467&lt;&gt;0,VLOOKUP(S467,DM_DUAN,3,0),"")</f>
        <v>#N/A</v>
      </c>
      <c r="S467" s="66" t="str">
        <f>IF(U467&lt;&gt;0,VLOOKUP(U467,DM_DUAN,3,0),"")</f>
        <v/>
      </c>
      <c r="T467" s="64"/>
      <c r="U467" s="93"/>
      <c r="V467" s="64" t="str">
        <f>IF(W467&lt;&gt;0,VLOOKUP(W467,DM_DUAN,3,0),"")</f>
        <v/>
      </c>
      <c r="W467" s="68"/>
      <c r="X467" s="64" t="str">
        <f>IF(Y467&lt;&gt;0,VLOOKUP(Y467,DM_DUAN,3,0),"")</f>
        <v>#N/A</v>
      </c>
      <c r="Y467" s="69" t="s">
        <v>207</v>
      </c>
      <c r="Z467" s="64" t="str">
        <f>IF(AA467&lt;&gt;0,VLOOKUP(AA467,DM_DUAN,3,0),"")</f>
        <v>#N/A</v>
      </c>
      <c r="AA467" s="70" t="s">
        <v>514</v>
      </c>
      <c r="AB467" s="64" t="str">
        <f>IF(AC467&lt;&gt;0,VLOOKUP(AC467,DM_DUAN,3,0),"")</f>
        <v/>
      </c>
      <c r="AC467" s="85"/>
      <c r="AD467" s="64" t="str">
        <f>IF(AC467&lt;&gt;0,VLOOKUP(AC467,DM_NV,2,0),"")</f>
        <v/>
      </c>
      <c r="AE467" s="83" t="s">
        <v>223</v>
      </c>
      <c r="AF467" s="64" t="str">
        <f>IF(AE467&lt;&gt;0,VLOOKUP(AE467,DM_NV,2,0),"")</f>
        <v>#N/A</v>
      </c>
    </row>
    <row r="468">
      <c r="A468" s="51"/>
      <c r="B468" s="52" t="str">
        <f>IF(D468="","",VLOOKUP(D468,'THAM CHIẾU'!$A:$B,2,0))</f>
        <v>#N/A</v>
      </c>
      <c r="C468" s="53" t="str">
        <f t="shared" si="3"/>
        <v>03/2022</v>
      </c>
      <c r="D468" s="54">
        <v>44637.0</v>
      </c>
      <c r="E468" s="55" t="s">
        <v>549</v>
      </c>
      <c r="F468" s="56"/>
      <c r="G468" s="57" t="s">
        <v>205</v>
      </c>
      <c r="H468" s="58" t="str">
        <f>IF(G468="","",VLOOKUP($G468,'Quy chuẩn hạch toán'!$B:$E,2,0))</f>
        <v>642</v>
      </c>
      <c r="I468" s="58" t="str">
        <f>IF(H468="","",VLOOKUP($G468,'Quy chuẩn hạch toán'!$B:$E,3,0))</f>
        <v>1111</v>
      </c>
      <c r="J468" s="59">
        <v>34821.0</v>
      </c>
      <c r="K468" s="60"/>
      <c r="L468" s="61"/>
      <c r="M468" s="62"/>
      <c r="N468" s="63"/>
      <c r="O468" s="64" t="str">
        <f>IF($Q468&lt;&gt;0,VLOOKUP($Q468,DM_KM,3,0),"")</f>
        <v>VHVP</v>
      </c>
      <c r="P468" s="64">
        <f>IF($Q468&lt;&gt;0,VLOOKUP($Q468,DM_KM,5,0),"")</f>
        <v>642</v>
      </c>
      <c r="Q468" s="65" t="s">
        <v>382</v>
      </c>
      <c r="R468" s="64" t="str">
        <f>IF(S468&lt;&gt;0,VLOOKUP(S468,DM_DUAN,3,0),"")</f>
        <v>#N/A</v>
      </c>
      <c r="S468" s="66" t="str">
        <f>IF(U468&lt;&gt;0,VLOOKUP(U468,DM_DUAN,3,0),"")</f>
        <v/>
      </c>
      <c r="T468" s="64"/>
      <c r="U468" s="93"/>
      <c r="V468" s="64" t="str">
        <f>IF(W468&lt;&gt;0,VLOOKUP(W468,DM_DUAN,3,0),"")</f>
        <v/>
      </c>
      <c r="W468" s="68"/>
      <c r="X468" s="64" t="str">
        <f>IF(Y468&lt;&gt;0,VLOOKUP(Y468,DM_DUAN,3,0),"")</f>
        <v>#N/A</v>
      </c>
      <c r="Y468" s="69" t="s">
        <v>207</v>
      </c>
      <c r="Z468" s="64" t="str">
        <f>IF(AA468&lt;&gt;0,VLOOKUP(AA468,DM_DUAN,3,0),"")</f>
        <v>#N/A</v>
      </c>
      <c r="AA468" s="70" t="s">
        <v>183</v>
      </c>
      <c r="AB468" s="64" t="str">
        <f>IF(AC468&lt;&gt;0,VLOOKUP(AC468,DM_DUAN,3,0),"")</f>
        <v/>
      </c>
      <c r="AC468" s="85"/>
      <c r="AD468" s="64" t="str">
        <f>IF(AC468&lt;&gt;0,VLOOKUP(AC468,DM_NV,2,0),"")</f>
        <v/>
      </c>
      <c r="AE468" s="83" t="s">
        <v>378</v>
      </c>
      <c r="AF468" s="64" t="str">
        <f>IF(AE468&lt;&gt;0,VLOOKUP(AE468,DM_NV,2,0),"")</f>
        <v>#N/A</v>
      </c>
    </row>
    <row r="469">
      <c r="A469" s="51"/>
      <c r="B469" s="52" t="str">
        <f>IF(D469="","",VLOOKUP(D469,'THAM CHIẾU'!$A:$B,2,0))</f>
        <v>#N/A</v>
      </c>
      <c r="C469" s="53" t="str">
        <f t="shared" si="3"/>
        <v>03/2022</v>
      </c>
      <c r="D469" s="54">
        <v>44637.0</v>
      </c>
      <c r="E469" s="55" t="s">
        <v>549</v>
      </c>
      <c r="F469" s="56"/>
      <c r="G469" s="57" t="s">
        <v>205</v>
      </c>
      <c r="H469" s="58" t="str">
        <f>IF(G469="","",VLOOKUP($G469,'Quy chuẩn hạch toán'!$B:$E,2,0))</f>
        <v>642</v>
      </c>
      <c r="I469" s="58" t="str">
        <f>IF(H469="","",VLOOKUP($G469,'Quy chuẩn hạch toán'!$B:$E,3,0))</f>
        <v>1111</v>
      </c>
      <c r="J469" s="59">
        <v>18750.0</v>
      </c>
      <c r="K469" s="60"/>
      <c r="L469" s="61"/>
      <c r="M469" s="62"/>
      <c r="N469" s="63"/>
      <c r="O469" s="64" t="str">
        <f>IF($Q469&lt;&gt;0,VLOOKUP($Q469,DM_KM,3,0),"")</f>
        <v>VHVP</v>
      </c>
      <c r="P469" s="64">
        <f>IF($Q469&lt;&gt;0,VLOOKUP($Q469,DM_KM,5,0),"")</f>
        <v>642</v>
      </c>
      <c r="Q469" s="65" t="s">
        <v>382</v>
      </c>
      <c r="R469" s="64" t="str">
        <f>IF(S469&lt;&gt;0,VLOOKUP(S469,DM_DUAN,3,0),"")</f>
        <v>#N/A</v>
      </c>
      <c r="S469" s="66" t="str">
        <f>IF(U469&lt;&gt;0,VLOOKUP(U469,DM_DUAN,3,0),"")</f>
        <v/>
      </c>
      <c r="T469" s="64"/>
      <c r="U469" s="67"/>
      <c r="V469" s="64" t="str">
        <f>IF(W469&lt;&gt;0,VLOOKUP(W469,DM_DUAN,3,0),"")</f>
        <v/>
      </c>
      <c r="W469" s="68"/>
      <c r="X469" s="64" t="str">
        <f>IF(Y469&lt;&gt;0,VLOOKUP(Y469,DM_DUAN,3,0),"")</f>
        <v>#N/A</v>
      </c>
      <c r="Y469" s="69" t="s">
        <v>207</v>
      </c>
      <c r="Z469" s="64" t="str">
        <f>IF(AA469&lt;&gt;0,VLOOKUP(AA469,DM_DUAN,3,0),"")</f>
        <v>#N/A</v>
      </c>
      <c r="AA469" s="70" t="s">
        <v>177</v>
      </c>
      <c r="AB469" s="64" t="str">
        <f>IF(AC469&lt;&gt;0,VLOOKUP(AC469,DM_DUAN,3,0),"")</f>
        <v/>
      </c>
      <c r="AC469" s="70"/>
      <c r="AD469" s="64" t="str">
        <f>IF(AC469&lt;&gt;0,VLOOKUP(AC469,DM_NV,2,0),"")</f>
        <v/>
      </c>
      <c r="AE469" s="83" t="s">
        <v>378</v>
      </c>
      <c r="AF469" s="64" t="str">
        <f>IF(AE469&lt;&gt;0,VLOOKUP(AE469,DM_NV,2,0),"")</f>
        <v>#N/A</v>
      </c>
    </row>
    <row r="470">
      <c r="A470" s="51"/>
      <c r="B470" s="52" t="str">
        <f>IF(D470="","",VLOOKUP(D470,'THAM CHIẾU'!$A:$B,2,0))</f>
        <v>#N/A</v>
      </c>
      <c r="C470" s="53" t="str">
        <f t="shared" si="3"/>
        <v>03/2022</v>
      </c>
      <c r="D470" s="54">
        <v>44637.0</v>
      </c>
      <c r="E470" s="55" t="s">
        <v>549</v>
      </c>
      <c r="F470" s="56"/>
      <c r="G470" s="57" t="s">
        <v>205</v>
      </c>
      <c r="H470" s="58" t="str">
        <f>IF(G470="","",VLOOKUP($G470,'Quy chuẩn hạch toán'!$B:$E,2,0))</f>
        <v>642</v>
      </c>
      <c r="I470" s="58" t="str">
        <f>IF(H470="","",VLOOKUP($G470,'Quy chuẩn hạch toán'!$B:$E,3,0))</f>
        <v>1111</v>
      </c>
      <c r="J470" s="59">
        <v>18750.0</v>
      </c>
      <c r="K470" s="60"/>
      <c r="L470" s="61"/>
      <c r="M470" s="62"/>
      <c r="N470" s="63"/>
      <c r="O470" s="64" t="str">
        <f>IF($Q470&lt;&gt;0,VLOOKUP($Q470,DM_KM,3,0),"")</f>
        <v>VHVP</v>
      </c>
      <c r="P470" s="64">
        <f>IF($Q470&lt;&gt;0,VLOOKUP($Q470,DM_KM,5,0),"")</f>
        <v>642</v>
      </c>
      <c r="Q470" s="89" t="s">
        <v>382</v>
      </c>
      <c r="R470" s="64" t="str">
        <f>IF(S470&lt;&gt;0,VLOOKUP(S470,DM_DUAN,3,0),"")</f>
        <v>#N/A</v>
      </c>
      <c r="S470" s="66" t="str">
        <f>IF(U470&lt;&gt;0,VLOOKUP(U470,DM_DUAN,3,0),"")</f>
        <v/>
      </c>
      <c r="T470" s="64"/>
      <c r="U470" s="93"/>
      <c r="V470" s="64" t="str">
        <f>IF(W470&lt;&gt;0,VLOOKUP(W470,DM_DUAN,3,0),"")</f>
        <v/>
      </c>
      <c r="W470" s="68"/>
      <c r="X470" s="64" t="str">
        <f>IF(Y470&lt;&gt;0,VLOOKUP(Y470,DM_DUAN,3,0),"")</f>
        <v>#N/A</v>
      </c>
      <c r="Y470" s="69" t="s">
        <v>207</v>
      </c>
      <c r="Z470" s="64" t="str">
        <f>IF(AA470&lt;&gt;0,VLOOKUP(AA470,DM_DUAN,3,0),"")</f>
        <v>#N/A</v>
      </c>
      <c r="AA470" s="131" t="s">
        <v>210</v>
      </c>
      <c r="AB470" s="64" t="str">
        <f>IF(AC470&lt;&gt;0,VLOOKUP(AC470,DM_DUAN,3,0),"")</f>
        <v/>
      </c>
      <c r="AC470" s="85"/>
      <c r="AD470" s="64" t="str">
        <f>IF(AC470&lt;&gt;0,VLOOKUP(AC470,DM_NV,2,0),"")</f>
        <v/>
      </c>
      <c r="AE470" s="83" t="s">
        <v>378</v>
      </c>
      <c r="AF470" s="64" t="str">
        <f>IF(AE470&lt;&gt;0,VLOOKUP(AE470,DM_NV,2,0),"")</f>
        <v>#N/A</v>
      </c>
    </row>
    <row r="471">
      <c r="A471" s="51"/>
      <c r="B471" s="52" t="str">
        <f>IF(D471="","",VLOOKUP(D471,'THAM CHIẾU'!$A:$B,2,0))</f>
        <v>#N/A</v>
      </c>
      <c r="C471" s="53" t="str">
        <f t="shared" si="3"/>
        <v>03/2022</v>
      </c>
      <c r="D471" s="54">
        <v>44637.0</v>
      </c>
      <c r="E471" s="55" t="s">
        <v>549</v>
      </c>
      <c r="F471" s="56"/>
      <c r="G471" s="57" t="s">
        <v>205</v>
      </c>
      <c r="H471" s="58" t="str">
        <f>IF(G471="","",VLOOKUP($G471,'Quy chuẩn hạch toán'!$B:$E,2,0))</f>
        <v>642</v>
      </c>
      <c r="I471" s="58" t="str">
        <f>IF(H471="","",VLOOKUP($G471,'Quy chuẩn hạch toán'!$B:$E,3,0))</f>
        <v>1111</v>
      </c>
      <c r="J471" s="59">
        <v>5357.0</v>
      </c>
      <c r="K471" s="60"/>
      <c r="L471" s="61"/>
      <c r="M471" s="62"/>
      <c r="N471" s="63"/>
      <c r="O471" s="64" t="str">
        <f>IF($Q471&lt;&gt;0,VLOOKUP($Q471,DM_KM,3,0),"")</f>
        <v>VHVP</v>
      </c>
      <c r="P471" s="64">
        <f>IF($Q471&lt;&gt;0,VLOOKUP($Q471,DM_KM,5,0),"")</f>
        <v>642</v>
      </c>
      <c r="Q471" s="89" t="s">
        <v>382</v>
      </c>
      <c r="R471" s="64" t="str">
        <f>IF(S471&lt;&gt;0,VLOOKUP(S471,DM_DUAN,3,0),"")</f>
        <v>#N/A</v>
      </c>
      <c r="S471" s="66" t="str">
        <f>IF(U471&lt;&gt;0,VLOOKUP(U471,DM_DUAN,3,0),"")</f>
        <v/>
      </c>
      <c r="T471" s="64"/>
      <c r="U471" s="93"/>
      <c r="V471" s="64" t="str">
        <f>IF(W471&lt;&gt;0,VLOOKUP(W471,DM_DUAN,3,0),"")</f>
        <v/>
      </c>
      <c r="W471" s="68"/>
      <c r="X471" s="64" t="str">
        <f>IF(Y471&lt;&gt;0,VLOOKUP(Y471,DM_DUAN,3,0),"")</f>
        <v>#N/A</v>
      </c>
      <c r="Y471" s="69" t="s">
        <v>207</v>
      </c>
      <c r="Z471" s="64" t="str">
        <f>IF(AA471&lt;&gt;0,VLOOKUP(AA471,DM_DUAN,3,0),"")</f>
        <v>#N/A</v>
      </c>
      <c r="AA471" s="70" t="s">
        <v>514</v>
      </c>
      <c r="AB471" s="64" t="str">
        <f>IF(AC471&lt;&gt;0,VLOOKUP(AC471,DM_DUAN,3,0),"")</f>
        <v/>
      </c>
      <c r="AC471" s="85"/>
      <c r="AD471" s="64" t="str">
        <f>IF(AC471&lt;&gt;0,VLOOKUP(AC471,DM_NV,2,0),"")</f>
        <v/>
      </c>
      <c r="AE471" s="83" t="s">
        <v>378</v>
      </c>
      <c r="AF471" s="64" t="str">
        <f>IF(AE471&lt;&gt;0,VLOOKUP(AE471,DM_NV,2,0),"")</f>
        <v>#N/A</v>
      </c>
    </row>
    <row r="472">
      <c r="A472" s="51"/>
      <c r="B472" s="52" t="str">
        <f>IF(D472="","",VLOOKUP(D472,'THAM CHIẾU'!$A:$B,2,0))</f>
        <v>#N/A</v>
      </c>
      <c r="C472" s="53" t="str">
        <f t="shared" si="3"/>
        <v>03/2022</v>
      </c>
      <c r="D472" s="54">
        <v>44637.0</v>
      </c>
      <c r="E472" s="55" t="s">
        <v>550</v>
      </c>
      <c r="F472" s="56"/>
      <c r="G472" s="57" t="s">
        <v>205</v>
      </c>
      <c r="H472" s="58" t="str">
        <f>IF(G472="","",VLOOKUP($G472,'Quy chuẩn hạch toán'!$B:$E,2,0))</f>
        <v>642</v>
      </c>
      <c r="I472" s="58" t="str">
        <f>IF(H472="","",VLOOKUP($G472,'Quy chuẩn hạch toán'!$B:$E,3,0))</f>
        <v>1111</v>
      </c>
      <c r="J472" s="59">
        <v>58276.0</v>
      </c>
      <c r="K472" s="60"/>
      <c r="L472" s="61"/>
      <c r="M472" s="62"/>
      <c r="N472" s="63"/>
      <c r="O472" s="64" t="str">
        <f>IF($Q472&lt;&gt;0,VLOOKUP($Q472,DM_KM,3,0),"")</f>
        <v>#N/A</v>
      </c>
      <c r="P472" s="64" t="str">
        <f>IF($Q472&lt;&gt;0,VLOOKUP($Q472,DM_KM,5,0),"")</f>
        <v>#N/A</v>
      </c>
      <c r="Q472" s="65" t="s">
        <v>219</v>
      </c>
      <c r="R472" s="64" t="str">
        <f>IF(S472&lt;&gt;0,VLOOKUP(S472,DM_DUAN,3,0),"")</f>
        <v>#N/A</v>
      </c>
      <c r="S472" s="66" t="str">
        <f>IF(U472&lt;&gt;0,VLOOKUP(U472,DM_DUAN,3,0),"")</f>
        <v/>
      </c>
      <c r="T472" s="64"/>
      <c r="U472" s="93"/>
      <c r="V472" s="64" t="str">
        <f>IF(W472&lt;&gt;0,VLOOKUP(W472,DM_DUAN,3,0),"")</f>
        <v/>
      </c>
      <c r="W472" s="68"/>
      <c r="X472" s="64" t="str">
        <f>IF(Y472&lt;&gt;0,VLOOKUP(Y472,DM_DUAN,3,0),"")</f>
        <v>#N/A</v>
      </c>
      <c r="Y472" s="69" t="s">
        <v>207</v>
      </c>
      <c r="Z472" s="64" t="str">
        <f>IF(AA472&lt;&gt;0,VLOOKUP(AA472,DM_DUAN,3,0),"")</f>
        <v>#N/A</v>
      </c>
      <c r="AA472" s="70" t="s">
        <v>183</v>
      </c>
      <c r="AB472" s="64" t="str">
        <f>IF(AC472&lt;&gt;0,VLOOKUP(AC472,DM_DUAN,3,0),"")</f>
        <v/>
      </c>
      <c r="AC472" s="85"/>
      <c r="AD472" s="64" t="str">
        <f>IF(AC472&lt;&gt;0,VLOOKUP(AC472,DM_NV,2,0),"")</f>
        <v/>
      </c>
      <c r="AE472" s="83" t="s">
        <v>220</v>
      </c>
      <c r="AF472" s="64" t="str">
        <f>IF(AE472&lt;&gt;0,VLOOKUP(AE472,DM_NV,2,0),"")</f>
        <v>#N/A</v>
      </c>
    </row>
    <row r="473">
      <c r="A473" s="51"/>
      <c r="B473" s="52" t="str">
        <f>IF(D473="","",VLOOKUP(D473,'THAM CHIẾU'!$A:$B,2,0))</f>
        <v>#N/A</v>
      </c>
      <c r="C473" s="53" t="str">
        <f t="shared" si="3"/>
        <v>03/2022</v>
      </c>
      <c r="D473" s="54">
        <v>44637.0</v>
      </c>
      <c r="E473" s="55" t="s">
        <v>550</v>
      </c>
      <c r="F473" s="56"/>
      <c r="G473" s="57" t="s">
        <v>205</v>
      </c>
      <c r="H473" s="58" t="str">
        <f>IF(G473="","",VLOOKUP($G473,'Quy chuẩn hạch toán'!$B:$E,2,0))</f>
        <v>642</v>
      </c>
      <c r="I473" s="58" t="str">
        <f>IF(H473="","",VLOOKUP($G473,'Quy chuẩn hạch toán'!$B:$E,3,0))</f>
        <v>1111</v>
      </c>
      <c r="J473" s="59">
        <v>31379.0</v>
      </c>
      <c r="K473" s="60"/>
      <c r="L473" s="61"/>
      <c r="M473" s="62"/>
      <c r="N473" s="63"/>
      <c r="O473" s="64" t="str">
        <f>IF($Q473&lt;&gt;0,VLOOKUP($Q473,DM_KM,3,0),"")</f>
        <v>#N/A</v>
      </c>
      <c r="P473" s="64" t="str">
        <f>IF($Q473&lt;&gt;0,VLOOKUP($Q473,DM_KM,5,0),"")</f>
        <v>#N/A</v>
      </c>
      <c r="Q473" s="65" t="s">
        <v>219</v>
      </c>
      <c r="R473" s="64" t="str">
        <f>IF(S473&lt;&gt;0,VLOOKUP(S473,DM_DUAN,3,0),"")</f>
        <v>#N/A</v>
      </c>
      <c r="S473" s="66" t="str">
        <f>IF(U473&lt;&gt;0,VLOOKUP(U473,DM_DUAN,3,0),"")</f>
        <v/>
      </c>
      <c r="T473" s="64"/>
      <c r="U473" s="93"/>
      <c r="V473" s="64" t="str">
        <f>IF(W473&lt;&gt;0,VLOOKUP(W473,DM_DUAN,3,0),"")</f>
        <v/>
      </c>
      <c r="W473" s="68"/>
      <c r="X473" s="64" t="str">
        <f>IF(Y473&lt;&gt;0,VLOOKUP(Y473,DM_DUAN,3,0),"")</f>
        <v>#N/A</v>
      </c>
      <c r="Y473" s="69" t="s">
        <v>207</v>
      </c>
      <c r="Z473" s="64" t="str">
        <f>IF(AA473&lt;&gt;0,VLOOKUP(AA473,DM_DUAN,3,0),"")</f>
        <v>#N/A</v>
      </c>
      <c r="AA473" s="70" t="s">
        <v>177</v>
      </c>
      <c r="AB473" s="64" t="str">
        <f>IF(AC473&lt;&gt;0,VLOOKUP(AC473,DM_DUAN,3,0),"")</f>
        <v/>
      </c>
      <c r="AC473" s="85"/>
      <c r="AD473" s="64" t="str">
        <f>IF(AC473&lt;&gt;0,VLOOKUP(AC473,DM_NV,2,0),"")</f>
        <v/>
      </c>
      <c r="AE473" s="83" t="s">
        <v>220</v>
      </c>
      <c r="AF473" s="64" t="str">
        <f>IF(AE473&lt;&gt;0,VLOOKUP(AE473,DM_NV,2,0),"")</f>
        <v>#N/A</v>
      </c>
    </row>
    <row r="474">
      <c r="A474" s="51"/>
      <c r="B474" s="52" t="str">
        <f>IF(D474="","",VLOOKUP(D474,'THAM CHIẾU'!$A:$B,2,0))</f>
        <v>#N/A</v>
      </c>
      <c r="C474" s="53" t="str">
        <f t="shared" si="3"/>
        <v>03/2022</v>
      </c>
      <c r="D474" s="54">
        <v>44637.0</v>
      </c>
      <c r="E474" s="55" t="s">
        <v>550</v>
      </c>
      <c r="F474" s="56"/>
      <c r="G474" s="57" t="s">
        <v>205</v>
      </c>
      <c r="H474" s="58" t="str">
        <f>IF(G474="","",VLOOKUP($G474,'Quy chuẩn hạch toán'!$B:$E,2,0))</f>
        <v>642</v>
      </c>
      <c r="I474" s="58" t="str">
        <f>IF(H474="","",VLOOKUP($G474,'Quy chuẩn hạch toán'!$B:$E,3,0))</f>
        <v>1111</v>
      </c>
      <c r="J474" s="59">
        <v>31379.0</v>
      </c>
      <c r="K474" s="60"/>
      <c r="L474" s="61"/>
      <c r="M474" s="62"/>
      <c r="N474" s="63"/>
      <c r="O474" s="64" t="str">
        <f>IF($Q474&lt;&gt;0,VLOOKUP($Q474,DM_KM,3,0),"")</f>
        <v>#N/A</v>
      </c>
      <c r="P474" s="64" t="str">
        <f>IF($Q474&lt;&gt;0,VLOOKUP($Q474,DM_KM,5,0),"")</f>
        <v>#N/A</v>
      </c>
      <c r="Q474" s="89" t="s">
        <v>219</v>
      </c>
      <c r="R474" s="64" t="str">
        <f>IF(S474&lt;&gt;0,VLOOKUP(S474,DM_DUAN,3,0),"")</f>
        <v>#N/A</v>
      </c>
      <c r="S474" s="66" t="str">
        <f>IF(U474&lt;&gt;0,VLOOKUP(U474,DM_DUAN,3,0),"")</f>
        <v/>
      </c>
      <c r="T474" s="64"/>
      <c r="U474" s="93"/>
      <c r="V474" s="64" t="str">
        <f>IF(W474&lt;&gt;0,VLOOKUP(W474,DM_DUAN,3,0),"")</f>
        <v/>
      </c>
      <c r="W474" s="68"/>
      <c r="X474" s="64" t="str">
        <f>IF(Y474&lt;&gt;0,VLOOKUP(Y474,DM_DUAN,3,0),"")</f>
        <v>#N/A</v>
      </c>
      <c r="Y474" s="69" t="s">
        <v>207</v>
      </c>
      <c r="Z474" s="64" t="str">
        <f>IF(AA474&lt;&gt;0,VLOOKUP(AA474,DM_DUAN,3,0),"")</f>
        <v>#N/A</v>
      </c>
      <c r="AA474" s="131" t="s">
        <v>210</v>
      </c>
      <c r="AB474" s="64" t="str">
        <f>IF(AC474&lt;&gt;0,VLOOKUP(AC474,DM_DUAN,3,0),"")</f>
        <v/>
      </c>
      <c r="AC474" s="85"/>
      <c r="AD474" s="64" t="str">
        <f>IF(AC474&lt;&gt;0,VLOOKUP(AC474,DM_NV,2,0),"")</f>
        <v/>
      </c>
      <c r="AE474" s="83" t="s">
        <v>220</v>
      </c>
      <c r="AF474" s="64" t="str">
        <f>IF(AE474&lt;&gt;0,VLOOKUP(AE474,DM_NV,2,0),"")</f>
        <v>#N/A</v>
      </c>
    </row>
    <row r="475">
      <c r="A475" s="51"/>
      <c r="B475" s="52" t="str">
        <f>IF(D475="","",VLOOKUP(D475,'THAM CHIẾU'!$A:$B,2,0))</f>
        <v>#N/A</v>
      </c>
      <c r="C475" s="53" t="str">
        <f t="shared" si="3"/>
        <v>03/2022</v>
      </c>
      <c r="D475" s="54">
        <v>44637.0</v>
      </c>
      <c r="E475" s="55" t="s">
        <v>550</v>
      </c>
      <c r="F475" s="56"/>
      <c r="G475" s="57" t="s">
        <v>205</v>
      </c>
      <c r="H475" s="58" t="str">
        <f>IF(G475="","",VLOOKUP($G475,'Quy chuẩn hạch toán'!$B:$E,2,0))</f>
        <v>642</v>
      </c>
      <c r="I475" s="58" t="str">
        <f>IF(H475="","",VLOOKUP($G475,'Quy chuẩn hạch toán'!$B:$E,3,0))</f>
        <v>1111</v>
      </c>
      <c r="J475" s="59">
        <v>8966.0</v>
      </c>
      <c r="K475" s="60"/>
      <c r="L475" s="61"/>
      <c r="M475" s="62"/>
      <c r="N475" s="63"/>
      <c r="O475" s="64" t="str">
        <f>IF($Q475&lt;&gt;0,VLOOKUP($Q475,DM_KM,3,0),"")</f>
        <v>#N/A</v>
      </c>
      <c r="P475" s="64" t="str">
        <f>IF($Q475&lt;&gt;0,VLOOKUP($Q475,DM_KM,5,0),"")</f>
        <v>#N/A</v>
      </c>
      <c r="Q475" s="89" t="s">
        <v>219</v>
      </c>
      <c r="R475" s="64" t="str">
        <f>IF(S475&lt;&gt;0,VLOOKUP(S475,DM_DUAN,3,0),"")</f>
        <v>#N/A</v>
      </c>
      <c r="S475" s="66" t="str">
        <f>IF(U475&lt;&gt;0,VLOOKUP(U475,DM_DUAN,3,0),"")</f>
        <v/>
      </c>
      <c r="T475" s="64"/>
      <c r="U475" s="93"/>
      <c r="V475" s="64" t="str">
        <f>IF(W475&lt;&gt;0,VLOOKUP(W475,DM_DUAN,3,0),"")</f>
        <v/>
      </c>
      <c r="W475" s="68"/>
      <c r="X475" s="64" t="str">
        <f>IF(Y475&lt;&gt;0,VLOOKUP(Y475,DM_DUAN,3,0),"")</f>
        <v>#N/A</v>
      </c>
      <c r="Y475" s="69" t="s">
        <v>207</v>
      </c>
      <c r="Z475" s="64" t="str">
        <f>IF(AA475&lt;&gt;0,VLOOKUP(AA475,DM_DUAN,3,0),"")</f>
        <v>#N/A</v>
      </c>
      <c r="AA475" s="70" t="s">
        <v>514</v>
      </c>
      <c r="AB475" s="64" t="str">
        <f>IF(AC475&lt;&gt;0,VLOOKUP(AC475,DM_DUAN,3,0),"")</f>
        <v/>
      </c>
      <c r="AC475" s="85"/>
      <c r="AD475" s="64" t="str">
        <f>IF(AC475&lt;&gt;0,VLOOKUP(AC475,DM_NV,2,0),"")</f>
        <v/>
      </c>
      <c r="AE475" s="83" t="s">
        <v>220</v>
      </c>
      <c r="AF475" s="64" t="str">
        <f>IF(AE475&lt;&gt;0,VLOOKUP(AE475,DM_NV,2,0),"")</f>
        <v>#N/A</v>
      </c>
    </row>
    <row r="476">
      <c r="A476" s="51"/>
      <c r="B476" s="52" t="str">
        <f>IF(D476="","",VLOOKUP(D476,'THAM CHIẾU'!$A:$B,2,0))</f>
        <v>#N/A</v>
      </c>
      <c r="C476" s="53" t="str">
        <f t="shared" si="3"/>
        <v>03/2022</v>
      </c>
      <c r="D476" s="54">
        <v>44638.0</v>
      </c>
      <c r="E476" s="55" t="s">
        <v>551</v>
      </c>
      <c r="F476" s="56"/>
      <c r="G476" s="57" t="s">
        <v>205</v>
      </c>
      <c r="H476" s="58" t="str">
        <f>IF(G476="","",VLOOKUP($G476,'Quy chuẩn hạch toán'!$B:$E,2,0))</f>
        <v>642</v>
      </c>
      <c r="I476" s="58" t="str">
        <f>IF(H476="","",VLOOKUP($G476,'Quy chuẩn hạch toán'!$B:$E,3,0))</f>
        <v>1111</v>
      </c>
      <c r="J476" s="59">
        <v>2305034.0</v>
      </c>
      <c r="K476" s="60"/>
      <c r="L476" s="61"/>
      <c r="M476" s="62"/>
      <c r="N476" s="63"/>
      <c r="O476" s="64" t="str">
        <f>IF($Q476&lt;&gt;0,VLOOKUP($Q476,DM_KM,3,0),"")</f>
        <v>#N/A</v>
      </c>
      <c r="P476" s="64" t="str">
        <f>IF($Q476&lt;&gt;0,VLOOKUP($Q476,DM_KM,5,0),"")</f>
        <v>#N/A</v>
      </c>
      <c r="Q476" s="65" t="s">
        <v>272</v>
      </c>
      <c r="R476" s="64" t="str">
        <f>IF(S476&lt;&gt;0,VLOOKUP(S476,DM_DUAN,3,0),"")</f>
        <v>#N/A</v>
      </c>
      <c r="S476" s="66" t="str">
        <f>IF(U476&lt;&gt;0,VLOOKUP(U476,DM_DUAN,3,0),"")</f>
        <v/>
      </c>
      <c r="T476" s="64"/>
      <c r="U476" s="93"/>
      <c r="V476" s="64" t="str">
        <f>IF(W476&lt;&gt;0,VLOOKUP(W476,DM_DUAN,3,0),"")</f>
        <v/>
      </c>
      <c r="W476" s="68"/>
      <c r="X476" s="64" t="str">
        <f>IF(Y476&lt;&gt;0,VLOOKUP(Y476,DM_DUAN,3,0),"")</f>
        <v>#N/A</v>
      </c>
      <c r="Y476" s="69" t="s">
        <v>207</v>
      </c>
      <c r="Z476" s="64" t="str">
        <f>IF(AA476&lt;&gt;0,VLOOKUP(AA476,DM_DUAN,3,0),"")</f>
        <v>#N/A</v>
      </c>
      <c r="AA476" s="70" t="s">
        <v>183</v>
      </c>
      <c r="AB476" s="64" t="str">
        <f>IF(AC476&lt;&gt;0,VLOOKUP(AC476,DM_DUAN,3,0),"")</f>
        <v/>
      </c>
      <c r="AC476" s="85"/>
      <c r="AD476" s="64" t="str">
        <f>IF(AC476&lt;&gt;0,VLOOKUP(AC476,DM_NV,2,0),"")</f>
        <v/>
      </c>
      <c r="AE476" s="83" t="s">
        <v>227</v>
      </c>
      <c r="AF476" s="64" t="str">
        <f>IF(AE476&lt;&gt;0,VLOOKUP(AE476,DM_NV,2,0),"")</f>
        <v>#N/A</v>
      </c>
    </row>
    <row r="477">
      <c r="A477" s="51"/>
      <c r="B477" s="52" t="str">
        <f>IF(D477="","",VLOOKUP(D477,'THAM CHIẾU'!$A:$B,2,0))</f>
        <v>#N/A</v>
      </c>
      <c r="C477" s="53" t="str">
        <f t="shared" si="3"/>
        <v>03/2022</v>
      </c>
      <c r="D477" s="54">
        <v>44638.0</v>
      </c>
      <c r="E477" s="55" t="s">
        <v>551</v>
      </c>
      <c r="F477" s="56"/>
      <c r="G477" s="57" t="s">
        <v>205</v>
      </c>
      <c r="H477" s="58" t="str">
        <f>IF(G477="","",VLOOKUP($G477,'Quy chuẩn hạch toán'!$B:$E,2,0))</f>
        <v>642</v>
      </c>
      <c r="I477" s="58" t="str">
        <f>IF(H477="","",VLOOKUP($G477,'Quy chuẩn hạch toán'!$B:$E,3,0))</f>
        <v>1111</v>
      </c>
      <c r="J477" s="59">
        <v>1241172.0</v>
      </c>
      <c r="K477" s="60"/>
      <c r="L477" s="61"/>
      <c r="M477" s="62"/>
      <c r="N477" s="63"/>
      <c r="O477" s="64" t="str">
        <f>IF($Q477&lt;&gt;0,VLOOKUP($Q477,DM_KM,3,0),"")</f>
        <v>#N/A</v>
      </c>
      <c r="P477" s="64" t="str">
        <f>IF($Q477&lt;&gt;0,VLOOKUP($Q477,DM_KM,5,0),"")</f>
        <v>#N/A</v>
      </c>
      <c r="Q477" s="65" t="s">
        <v>272</v>
      </c>
      <c r="R477" s="64" t="str">
        <f>IF(S477&lt;&gt;0,VLOOKUP(S477,DM_DUAN,3,0),"")</f>
        <v>#N/A</v>
      </c>
      <c r="S477" s="66" t="str">
        <f>IF(U477&lt;&gt;0,VLOOKUP(U477,DM_DUAN,3,0),"")</f>
        <v/>
      </c>
      <c r="T477" s="64"/>
      <c r="U477" s="93"/>
      <c r="V477" s="64" t="str">
        <f>IF(W477&lt;&gt;0,VLOOKUP(W477,DM_DUAN,3,0),"")</f>
        <v/>
      </c>
      <c r="W477" s="68"/>
      <c r="X477" s="64" t="str">
        <f>IF(Y477&lt;&gt;0,VLOOKUP(Y477,DM_DUAN,3,0),"")</f>
        <v>#N/A</v>
      </c>
      <c r="Y477" s="69" t="s">
        <v>207</v>
      </c>
      <c r="Z477" s="64" t="str">
        <f>IF(AA477&lt;&gt;0,VLOOKUP(AA477,DM_DUAN,3,0),"")</f>
        <v>#N/A</v>
      </c>
      <c r="AA477" s="70" t="s">
        <v>177</v>
      </c>
      <c r="AB477" s="64" t="str">
        <f>IF(AC477&lt;&gt;0,VLOOKUP(AC477,DM_DUAN,3,0),"")</f>
        <v/>
      </c>
      <c r="AC477" s="85"/>
      <c r="AD477" s="64" t="str">
        <f>IF(AC477&lt;&gt;0,VLOOKUP(AC477,DM_NV,2,0),"")</f>
        <v/>
      </c>
      <c r="AE477" s="83" t="s">
        <v>227</v>
      </c>
      <c r="AF477" s="64" t="str">
        <f>IF(AE477&lt;&gt;0,VLOOKUP(AE477,DM_NV,2,0),"")</f>
        <v>#N/A</v>
      </c>
    </row>
    <row r="478">
      <c r="A478" s="51"/>
      <c r="B478" s="52" t="str">
        <f>IF(D478="","",VLOOKUP(D478,'THAM CHIẾU'!$A:$B,2,0))</f>
        <v>#N/A</v>
      </c>
      <c r="C478" s="53" t="str">
        <f t="shared" si="3"/>
        <v>03/2022</v>
      </c>
      <c r="D478" s="54">
        <v>44638.0</v>
      </c>
      <c r="E478" s="55" t="s">
        <v>551</v>
      </c>
      <c r="F478" s="56"/>
      <c r="G478" s="57" t="s">
        <v>205</v>
      </c>
      <c r="H478" s="58" t="str">
        <f>IF(G478="","",VLOOKUP($G478,'Quy chuẩn hạch toán'!$B:$E,2,0))</f>
        <v>642</v>
      </c>
      <c r="I478" s="58" t="str">
        <f>IF(H478="","",VLOOKUP($G478,'Quy chuẩn hạch toán'!$B:$E,3,0))</f>
        <v>1111</v>
      </c>
      <c r="J478" s="59">
        <v>1241172.0</v>
      </c>
      <c r="K478" s="60"/>
      <c r="L478" s="61"/>
      <c r="M478" s="62"/>
      <c r="N478" s="63"/>
      <c r="O478" s="64" t="str">
        <f>IF($Q478&lt;&gt;0,VLOOKUP($Q478,DM_KM,3,0),"")</f>
        <v>#N/A</v>
      </c>
      <c r="P478" s="64" t="str">
        <f>IF($Q478&lt;&gt;0,VLOOKUP($Q478,DM_KM,5,0),"")</f>
        <v>#N/A</v>
      </c>
      <c r="Q478" s="89" t="s">
        <v>272</v>
      </c>
      <c r="R478" s="64" t="str">
        <f>IF(S478&lt;&gt;0,VLOOKUP(S478,DM_DUAN,3,0),"")</f>
        <v>#N/A</v>
      </c>
      <c r="S478" s="66" t="str">
        <f>IF(U478&lt;&gt;0,VLOOKUP(U478,DM_DUAN,3,0),"")</f>
        <v/>
      </c>
      <c r="T478" s="64"/>
      <c r="U478" s="93"/>
      <c r="V478" s="64" t="str">
        <f>IF(W478&lt;&gt;0,VLOOKUP(W478,DM_DUAN,3,0),"")</f>
        <v/>
      </c>
      <c r="W478" s="68"/>
      <c r="X478" s="64" t="str">
        <f>IF(Y478&lt;&gt;0,VLOOKUP(Y478,DM_DUAN,3,0),"")</f>
        <v>#N/A</v>
      </c>
      <c r="Y478" s="69" t="s">
        <v>207</v>
      </c>
      <c r="Z478" s="64" t="str">
        <f>IF(AA478&lt;&gt;0,VLOOKUP(AA478,DM_DUAN,3,0),"")</f>
        <v>#N/A</v>
      </c>
      <c r="AA478" s="131" t="s">
        <v>210</v>
      </c>
      <c r="AB478" s="64" t="str">
        <f>IF(AC478&lt;&gt;0,VLOOKUP(AC478,DM_DUAN,3,0),"")</f>
        <v/>
      </c>
      <c r="AC478" s="85"/>
      <c r="AD478" s="64" t="str">
        <f>IF(AC478&lt;&gt;0,VLOOKUP(AC478,DM_NV,2,0),"")</f>
        <v/>
      </c>
      <c r="AE478" s="83" t="s">
        <v>227</v>
      </c>
      <c r="AF478" s="64" t="str">
        <f>IF(AE478&lt;&gt;0,VLOOKUP(AE478,DM_NV,2,0),"")</f>
        <v>#N/A</v>
      </c>
    </row>
    <row r="479">
      <c r="A479" s="51"/>
      <c r="B479" s="52" t="str">
        <f>IF(D479="","",VLOOKUP(D479,'THAM CHIẾU'!$A:$B,2,0))</f>
        <v>#N/A</v>
      </c>
      <c r="C479" s="53" t="str">
        <f t="shared" si="3"/>
        <v>03/2022</v>
      </c>
      <c r="D479" s="54">
        <v>44638.0</v>
      </c>
      <c r="E479" s="55" t="s">
        <v>551</v>
      </c>
      <c r="F479" s="56"/>
      <c r="G479" s="57" t="s">
        <v>205</v>
      </c>
      <c r="H479" s="58" t="str">
        <f>IF(G479="","",VLOOKUP($G479,'Quy chuẩn hạch toán'!$B:$E,2,0))</f>
        <v>642</v>
      </c>
      <c r="I479" s="58" t="str">
        <f>IF(H479="","",VLOOKUP($G479,'Quy chuẩn hạch toán'!$B:$E,3,0))</f>
        <v>1111</v>
      </c>
      <c r="J479" s="59">
        <v>354621.0</v>
      </c>
      <c r="K479" s="60"/>
      <c r="L479" s="61"/>
      <c r="M479" s="62"/>
      <c r="N479" s="63"/>
      <c r="O479" s="64" t="str">
        <f>IF($Q479&lt;&gt;0,VLOOKUP($Q479,DM_KM,3,0),"")</f>
        <v>#N/A</v>
      </c>
      <c r="P479" s="64" t="str">
        <f>IF($Q479&lt;&gt;0,VLOOKUP($Q479,DM_KM,5,0),"")</f>
        <v>#N/A</v>
      </c>
      <c r="Q479" s="89" t="s">
        <v>272</v>
      </c>
      <c r="R479" s="64" t="str">
        <f>IF(S479&lt;&gt;0,VLOOKUP(S479,DM_DUAN,3,0),"")</f>
        <v>#N/A</v>
      </c>
      <c r="S479" s="66" t="str">
        <f>IF(U479&lt;&gt;0,VLOOKUP(U479,DM_DUAN,3,0),"")</f>
        <v/>
      </c>
      <c r="T479" s="64"/>
      <c r="U479" s="93"/>
      <c r="V479" s="64" t="str">
        <f>IF(W479&lt;&gt;0,VLOOKUP(W479,DM_DUAN,3,0),"")</f>
        <v/>
      </c>
      <c r="W479" s="68"/>
      <c r="X479" s="64" t="str">
        <f>IF(Y479&lt;&gt;0,VLOOKUP(Y479,DM_DUAN,3,0),"")</f>
        <v>#N/A</v>
      </c>
      <c r="Y479" s="69" t="s">
        <v>207</v>
      </c>
      <c r="Z479" s="64" t="str">
        <f>IF(AA479&lt;&gt;0,VLOOKUP(AA479,DM_DUAN,3,0),"")</f>
        <v>#N/A</v>
      </c>
      <c r="AA479" s="70" t="s">
        <v>514</v>
      </c>
      <c r="AB479" s="64" t="str">
        <f>IF(AC479&lt;&gt;0,VLOOKUP(AC479,DM_DUAN,3,0),"")</f>
        <v/>
      </c>
      <c r="AC479" s="85"/>
      <c r="AD479" s="64" t="str">
        <f>IF(AC479&lt;&gt;0,VLOOKUP(AC479,DM_NV,2,0),"")</f>
        <v/>
      </c>
      <c r="AE479" s="83" t="s">
        <v>227</v>
      </c>
      <c r="AF479" s="64" t="str">
        <f>IF(AE479&lt;&gt;0,VLOOKUP(AE479,DM_NV,2,0),"")</f>
        <v>#N/A</v>
      </c>
    </row>
    <row r="480">
      <c r="A480" s="51"/>
      <c r="B480" s="52" t="str">
        <f>IF(D480="","",VLOOKUP(D480,'THAM CHIẾU'!$A:$B,2,0))</f>
        <v>#N/A</v>
      </c>
      <c r="C480" s="53" t="str">
        <f t="shared" si="3"/>
        <v>03/2022</v>
      </c>
      <c r="D480" s="54">
        <v>44638.0</v>
      </c>
      <c r="E480" s="55" t="s">
        <v>552</v>
      </c>
      <c r="F480" s="56"/>
      <c r="G480" s="57" t="s">
        <v>205</v>
      </c>
      <c r="H480" s="58" t="str">
        <f>IF(G480="","",VLOOKUP($G480,'Quy chuẩn hạch toán'!$B:$E,2,0))</f>
        <v>642</v>
      </c>
      <c r="I480" s="58" t="str">
        <f>IF(H480="","",VLOOKUP($G480,'Quy chuẩn hạch toán'!$B:$E,3,0))</f>
        <v>1111</v>
      </c>
      <c r="J480" s="59">
        <v>4000000.0</v>
      </c>
      <c r="K480" s="60"/>
      <c r="L480" s="61"/>
      <c r="M480" s="62"/>
      <c r="N480" s="63"/>
      <c r="O480" s="64" t="str">
        <f>IF($Q480&lt;&gt;0,VLOOKUP($Q480,DM_KM,3,0),"")</f>
        <v>VHVP</v>
      </c>
      <c r="P480" s="64">
        <f>IF($Q480&lt;&gt;0,VLOOKUP($Q480,DM_KM,5,0),"")</f>
        <v>642</v>
      </c>
      <c r="Q480" s="65" t="s">
        <v>382</v>
      </c>
      <c r="R480" s="64" t="str">
        <f>IF(S480&lt;&gt;0,VLOOKUP(S480,DM_DUAN,3,0),"")</f>
        <v>#N/A</v>
      </c>
      <c r="S480" s="66" t="str">
        <f>IF(U480&lt;&gt;0,VLOOKUP(U480,DM_DUAN,3,0),"")</f>
        <v/>
      </c>
      <c r="T480" s="64"/>
      <c r="U480" s="93"/>
      <c r="V480" s="64" t="str">
        <f>IF(W480&lt;&gt;0,VLOOKUP(W480,DM_DUAN,3,0),"")</f>
        <v/>
      </c>
      <c r="W480" s="68"/>
      <c r="X480" s="64" t="str">
        <f>IF(Y480&lt;&gt;0,VLOOKUP(Y480,DM_DUAN,3,0),"")</f>
        <v>#N/A</v>
      </c>
      <c r="Y480" s="69" t="s">
        <v>207</v>
      </c>
      <c r="Z480" s="64" t="str">
        <f>IF(AA480&lt;&gt;0,VLOOKUP(AA480,DM_DUAN,3,0),"")</f>
        <v>#N/A</v>
      </c>
      <c r="AA480" s="70" t="s">
        <v>177</v>
      </c>
      <c r="AB480" s="64" t="str">
        <f>IF(AC480&lt;&gt;0,VLOOKUP(AC480,DM_DUAN,3,0),"")</f>
        <v/>
      </c>
      <c r="AC480" s="85"/>
      <c r="AD480" s="64" t="str">
        <f>IF(AC480&lt;&gt;0,VLOOKUP(AC480,DM_NV,2,0),"")</f>
        <v/>
      </c>
      <c r="AE480" s="83" t="s">
        <v>378</v>
      </c>
      <c r="AF480" s="64" t="str">
        <f>IF(AE480&lt;&gt;0,VLOOKUP(AE480,DM_NV,2,0),"")</f>
        <v>#N/A</v>
      </c>
    </row>
    <row r="481">
      <c r="A481" s="51"/>
      <c r="B481" s="52" t="str">
        <f>IF(D481="","",VLOOKUP(D481,'THAM CHIẾU'!$A:$B,2,0))</f>
        <v>#N/A</v>
      </c>
      <c r="C481" s="53" t="str">
        <f t="shared" si="3"/>
        <v>03/2022</v>
      </c>
      <c r="D481" s="54">
        <v>44638.0</v>
      </c>
      <c r="E481" s="55" t="s">
        <v>553</v>
      </c>
      <c r="F481" s="56"/>
      <c r="G481" s="57" t="s">
        <v>205</v>
      </c>
      <c r="H481" s="58" t="str">
        <f>IF(G481="","",VLOOKUP($G481,'Quy chuẩn hạch toán'!$B:$E,2,0))</f>
        <v>642</v>
      </c>
      <c r="I481" s="58" t="str">
        <f>IF(H481="","",VLOOKUP($G481,'Quy chuẩn hạch toán'!$B:$E,3,0))</f>
        <v>1111</v>
      </c>
      <c r="J481" s="59">
        <v>44828.0</v>
      </c>
      <c r="K481" s="60"/>
      <c r="L481" s="61"/>
      <c r="M481" s="62"/>
      <c r="N481" s="63"/>
      <c r="O481" s="64" t="str">
        <f>IF($Q481&lt;&gt;0,VLOOKUP($Q481,DM_KM,3,0),"")</f>
        <v>#N/A</v>
      </c>
      <c r="P481" s="64" t="str">
        <f>IF($Q481&lt;&gt;0,VLOOKUP($Q481,DM_KM,5,0),"")</f>
        <v>#N/A</v>
      </c>
      <c r="Q481" s="65" t="s">
        <v>222</v>
      </c>
      <c r="R481" s="64" t="str">
        <f>IF(S481&lt;&gt;0,VLOOKUP(S481,DM_DUAN,3,0),"")</f>
        <v>#N/A</v>
      </c>
      <c r="S481" s="66" t="str">
        <f>IF(U481&lt;&gt;0,VLOOKUP(U481,DM_DUAN,3,0),"")</f>
        <v/>
      </c>
      <c r="T481" s="64"/>
      <c r="U481" s="93"/>
      <c r="V481" s="64" t="str">
        <f>IF(W481&lt;&gt;0,VLOOKUP(W481,DM_DUAN,3,0),"")</f>
        <v/>
      </c>
      <c r="W481" s="68"/>
      <c r="X481" s="64" t="str">
        <f>IF(Y481&lt;&gt;0,VLOOKUP(Y481,DM_DUAN,3,0),"")</f>
        <v>#N/A</v>
      </c>
      <c r="Y481" s="69" t="s">
        <v>207</v>
      </c>
      <c r="Z481" s="64" t="str">
        <f>IF(AA481&lt;&gt;0,VLOOKUP(AA481,DM_DUAN,3,0),"")</f>
        <v>#N/A</v>
      </c>
      <c r="AA481" s="70" t="s">
        <v>183</v>
      </c>
      <c r="AB481" s="64" t="str">
        <f>IF(AC481&lt;&gt;0,VLOOKUP(AC481,DM_DUAN,3,0),"")</f>
        <v/>
      </c>
      <c r="AC481" s="85"/>
      <c r="AD481" s="64" t="str">
        <f>IF(AC481&lt;&gt;0,VLOOKUP(AC481,DM_NV,2,0),"")</f>
        <v/>
      </c>
      <c r="AE481" s="83" t="s">
        <v>223</v>
      </c>
      <c r="AF481" s="64" t="str">
        <f>IF(AE481&lt;&gt;0,VLOOKUP(AE481,DM_NV,2,0),"")</f>
        <v>#N/A</v>
      </c>
    </row>
    <row r="482">
      <c r="A482" s="51"/>
      <c r="B482" s="52" t="str">
        <f>IF(D482="","",VLOOKUP(D482,'THAM CHIẾU'!$A:$B,2,0))</f>
        <v>#N/A</v>
      </c>
      <c r="C482" s="53" t="str">
        <f t="shared" si="3"/>
        <v>03/2022</v>
      </c>
      <c r="D482" s="54">
        <v>44638.0</v>
      </c>
      <c r="E482" s="55" t="s">
        <v>553</v>
      </c>
      <c r="F482" s="56"/>
      <c r="G482" s="57" t="s">
        <v>205</v>
      </c>
      <c r="H482" s="58" t="str">
        <f>IF(G482="","",VLOOKUP($G482,'Quy chuẩn hạch toán'!$B:$E,2,0))</f>
        <v>642</v>
      </c>
      <c r="I482" s="58" t="str">
        <f>IF(H482="","",VLOOKUP($G482,'Quy chuẩn hạch toán'!$B:$E,3,0))</f>
        <v>1111</v>
      </c>
      <c r="J482" s="59">
        <v>24138.0</v>
      </c>
      <c r="K482" s="60"/>
      <c r="L482" s="61"/>
      <c r="M482" s="62"/>
      <c r="N482" s="63"/>
      <c r="O482" s="64" t="str">
        <f>IF($Q482&lt;&gt;0,VLOOKUP($Q482,DM_KM,3,0),"")</f>
        <v>#N/A</v>
      </c>
      <c r="P482" s="64" t="str">
        <f>IF($Q482&lt;&gt;0,VLOOKUP($Q482,DM_KM,5,0),"")</f>
        <v>#N/A</v>
      </c>
      <c r="Q482" s="65" t="s">
        <v>222</v>
      </c>
      <c r="R482" s="64" t="str">
        <f>IF(S482&lt;&gt;0,VLOOKUP(S482,DM_DUAN,3,0),"")</f>
        <v>#N/A</v>
      </c>
      <c r="S482" s="66" t="str">
        <f>IF(U482&lt;&gt;0,VLOOKUP(U482,DM_DUAN,3,0),"")</f>
        <v/>
      </c>
      <c r="T482" s="64"/>
      <c r="U482" s="93"/>
      <c r="V482" s="64" t="str">
        <f>IF(W482&lt;&gt;0,VLOOKUP(W482,DM_DUAN,3,0),"")</f>
        <v/>
      </c>
      <c r="W482" s="68"/>
      <c r="X482" s="64" t="str">
        <f>IF(Y482&lt;&gt;0,VLOOKUP(Y482,DM_DUAN,3,0),"")</f>
        <v>#N/A</v>
      </c>
      <c r="Y482" s="69" t="s">
        <v>207</v>
      </c>
      <c r="Z482" s="64" t="str">
        <f>IF(AA482&lt;&gt;0,VLOOKUP(AA482,DM_DUAN,3,0),"")</f>
        <v>#N/A</v>
      </c>
      <c r="AA482" s="70" t="s">
        <v>177</v>
      </c>
      <c r="AB482" s="64" t="str">
        <f>IF(AC482&lt;&gt;0,VLOOKUP(AC482,DM_DUAN,3,0),"")</f>
        <v/>
      </c>
      <c r="AC482" s="85"/>
      <c r="AD482" s="64" t="str">
        <f>IF(AC482&lt;&gt;0,VLOOKUP(AC482,DM_NV,2,0),"")</f>
        <v/>
      </c>
      <c r="AE482" s="83" t="s">
        <v>223</v>
      </c>
      <c r="AF482" s="64" t="str">
        <f>IF(AE482&lt;&gt;0,VLOOKUP(AE482,DM_NV,2,0),"")</f>
        <v>#N/A</v>
      </c>
    </row>
    <row r="483">
      <c r="A483" s="51"/>
      <c r="B483" s="52" t="str">
        <f>IF(D483="","",VLOOKUP(D483,'THAM CHIẾU'!$A:$B,2,0))</f>
        <v>#N/A</v>
      </c>
      <c r="C483" s="53" t="str">
        <f t="shared" si="3"/>
        <v>03/2022</v>
      </c>
      <c r="D483" s="54">
        <v>44638.0</v>
      </c>
      <c r="E483" s="55" t="s">
        <v>553</v>
      </c>
      <c r="F483" s="56"/>
      <c r="G483" s="57" t="s">
        <v>205</v>
      </c>
      <c r="H483" s="58" t="str">
        <f>IF(G483="","",VLOOKUP($G483,'Quy chuẩn hạch toán'!$B:$E,2,0))</f>
        <v>642</v>
      </c>
      <c r="I483" s="58" t="str">
        <f>IF(H483="","",VLOOKUP($G483,'Quy chuẩn hạch toán'!$B:$E,3,0))</f>
        <v>1111</v>
      </c>
      <c r="J483" s="59">
        <v>24138.0</v>
      </c>
      <c r="K483" s="60"/>
      <c r="L483" s="61"/>
      <c r="M483" s="62"/>
      <c r="N483" s="63"/>
      <c r="O483" s="64" t="str">
        <f>IF($Q483&lt;&gt;0,VLOOKUP($Q483,DM_KM,3,0),"")</f>
        <v>#N/A</v>
      </c>
      <c r="P483" s="64" t="str">
        <f>IF($Q483&lt;&gt;0,VLOOKUP($Q483,DM_KM,5,0),"")</f>
        <v>#N/A</v>
      </c>
      <c r="Q483" s="89" t="s">
        <v>222</v>
      </c>
      <c r="R483" s="64" t="str">
        <f>IF(S483&lt;&gt;0,VLOOKUP(S483,DM_DUAN,3,0),"")</f>
        <v>#N/A</v>
      </c>
      <c r="S483" s="66" t="str">
        <f>IF(U483&lt;&gt;0,VLOOKUP(U483,DM_DUAN,3,0),"")</f>
        <v/>
      </c>
      <c r="T483" s="64"/>
      <c r="U483" s="93"/>
      <c r="V483" s="64" t="str">
        <f>IF(W483&lt;&gt;0,VLOOKUP(W483,DM_DUAN,3,0),"")</f>
        <v/>
      </c>
      <c r="W483" s="68"/>
      <c r="X483" s="64" t="str">
        <f>IF(Y483&lt;&gt;0,VLOOKUP(Y483,DM_DUAN,3,0),"")</f>
        <v>#N/A</v>
      </c>
      <c r="Y483" s="69" t="s">
        <v>207</v>
      </c>
      <c r="Z483" s="64" t="str">
        <f>IF(AA483&lt;&gt;0,VLOOKUP(AA483,DM_DUAN,3,0),"")</f>
        <v>#N/A</v>
      </c>
      <c r="AA483" s="131" t="s">
        <v>210</v>
      </c>
      <c r="AB483" s="64" t="str">
        <f>IF(AC483&lt;&gt;0,VLOOKUP(AC483,DM_DUAN,3,0),"")</f>
        <v/>
      </c>
      <c r="AC483" s="85"/>
      <c r="AD483" s="64" t="str">
        <f>IF(AC483&lt;&gt;0,VLOOKUP(AC483,DM_NV,2,0),"")</f>
        <v/>
      </c>
      <c r="AE483" s="83" t="s">
        <v>223</v>
      </c>
      <c r="AF483" s="64" t="str">
        <f>IF(AE483&lt;&gt;0,VLOOKUP(AE483,DM_NV,2,0),"")</f>
        <v>#N/A</v>
      </c>
    </row>
    <row r="484">
      <c r="A484" s="51"/>
      <c r="B484" s="52" t="str">
        <f>IF(D484="","",VLOOKUP(D484,'THAM CHIẾU'!$A:$B,2,0))</f>
        <v>#N/A</v>
      </c>
      <c r="C484" s="53" t="str">
        <f t="shared" si="3"/>
        <v>03/2022</v>
      </c>
      <c r="D484" s="54">
        <v>44638.0</v>
      </c>
      <c r="E484" s="55" t="s">
        <v>553</v>
      </c>
      <c r="F484" s="56"/>
      <c r="G484" s="57" t="s">
        <v>205</v>
      </c>
      <c r="H484" s="58" t="str">
        <f>IF(G484="","",VLOOKUP($G484,'Quy chuẩn hạch toán'!$B:$E,2,0))</f>
        <v>642</v>
      </c>
      <c r="I484" s="58" t="str">
        <f>IF(H484="","",VLOOKUP($G484,'Quy chuẩn hạch toán'!$B:$E,3,0))</f>
        <v>1111</v>
      </c>
      <c r="J484" s="59">
        <v>6897.0</v>
      </c>
      <c r="K484" s="60"/>
      <c r="L484" s="61"/>
      <c r="M484" s="62"/>
      <c r="N484" s="63"/>
      <c r="O484" s="64" t="str">
        <f>IF($Q484&lt;&gt;0,VLOOKUP($Q484,DM_KM,3,0),"")</f>
        <v>#N/A</v>
      </c>
      <c r="P484" s="64" t="str">
        <f>IF($Q484&lt;&gt;0,VLOOKUP($Q484,DM_KM,5,0),"")</f>
        <v>#N/A</v>
      </c>
      <c r="Q484" s="89" t="s">
        <v>222</v>
      </c>
      <c r="R484" s="64" t="str">
        <f>IF(S484&lt;&gt;0,VLOOKUP(S484,DM_DUAN,3,0),"")</f>
        <v>#N/A</v>
      </c>
      <c r="S484" s="66" t="str">
        <f>IF(U484&lt;&gt;0,VLOOKUP(U484,DM_DUAN,3,0),"")</f>
        <v/>
      </c>
      <c r="T484" s="64"/>
      <c r="U484" s="93"/>
      <c r="V484" s="64" t="str">
        <f>IF(W484&lt;&gt;0,VLOOKUP(W484,DM_DUAN,3,0),"")</f>
        <v/>
      </c>
      <c r="W484" s="68"/>
      <c r="X484" s="64" t="str">
        <f>IF(Y484&lt;&gt;0,VLOOKUP(Y484,DM_DUAN,3,0),"")</f>
        <v>#N/A</v>
      </c>
      <c r="Y484" s="69" t="s">
        <v>207</v>
      </c>
      <c r="Z484" s="64" t="str">
        <f>IF(AA484&lt;&gt;0,VLOOKUP(AA484,DM_DUAN,3,0),"")</f>
        <v>#N/A</v>
      </c>
      <c r="AA484" s="70" t="s">
        <v>514</v>
      </c>
      <c r="AB484" s="64" t="str">
        <f>IF(AC484&lt;&gt;0,VLOOKUP(AC484,DM_DUAN,3,0),"")</f>
        <v/>
      </c>
      <c r="AC484" s="85"/>
      <c r="AD484" s="64" t="str">
        <f>IF(AC484&lt;&gt;0,VLOOKUP(AC484,DM_NV,2,0),"")</f>
        <v/>
      </c>
      <c r="AE484" s="83" t="s">
        <v>223</v>
      </c>
      <c r="AF484" s="64" t="str">
        <f>IF(AE484&lt;&gt;0,VLOOKUP(AE484,DM_NV,2,0),"")</f>
        <v>#N/A</v>
      </c>
    </row>
    <row r="485">
      <c r="A485" s="51"/>
      <c r="B485" s="52" t="str">
        <f>IF(D485="","",VLOOKUP(D485,'THAM CHIẾU'!$A:$B,2,0))</f>
        <v>#N/A</v>
      </c>
      <c r="C485" s="53" t="str">
        <f t="shared" si="3"/>
        <v>03/2022</v>
      </c>
      <c r="D485" s="54">
        <v>44638.0</v>
      </c>
      <c r="E485" s="55" t="s">
        <v>554</v>
      </c>
      <c r="F485" s="56"/>
      <c r="G485" s="57" t="s">
        <v>205</v>
      </c>
      <c r="H485" s="58" t="str">
        <f>IF(G485="","",VLOOKUP($G485,'Quy chuẩn hạch toán'!$B:$E,2,0))</f>
        <v>642</v>
      </c>
      <c r="I485" s="58" t="str">
        <f>IF(H485="","",VLOOKUP($G485,'Quy chuẩn hạch toán'!$B:$E,3,0))</f>
        <v>1111</v>
      </c>
      <c r="J485" s="59">
        <v>98621.0</v>
      </c>
      <c r="K485" s="60"/>
      <c r="L485" s="61"/>
      <c r="M485" s="62"/>
      <c r="N485" s="63"/>
      <c r="O485" s="64" t="str">
        <f>IF($Q485&lt;&gt;0,VLOOKUP($Q485,DM_KM,3,0),"")</f>
        <v>VHVP</v>
      </c>
      <c r="P485" s="64">
        <f>IF($Q485&lt;&gt;0,VLOOKUP($Q485,DM_KM,5,0),"")</f>
        <v>642</v>
      </c>
      <c r="Q485" s="65" t="s">
        <v>382</v>
      </c>
      <c r="R485" s="64" t="str">
        <f>IF(S485&lt;&gt;0,VLOOKUP(S485,DM_DUAN,3,0),"")</f>
        <v>#N/A</v>
      </c>
      <c r="S485" s="66" t="str">
        <f>IF(U485&lt;&gt;0,VLOOKUP(U485,DM_DUAN,3,0),"")</f>
        <v/>
      </c>
      <c r="T485" s="64"/>
      <c r="U485" s="93"/>
      <c r="V485" s="64" t="str">
        <f>IF(W485&lt;&gt;0,VLOOKUP(W485,DM_DUAN,3,0),"")</f>
        <v/>
      </c>
      <c r="W485" s="68"/>
      <c r="X485" s="64" t="str">
        <f>IF(Y485&lt;&gt;0,VLOOKUP(Y485,DM_DUAN,3,0),"")</f>
        <v>#N/A</v>
      </c>
      <c r="Y485" s="69" t="s">
        <v>207</v>
      </c>
      <c r="Z485" s="64" t="str">
        <f>IF(AA485&lt;&gt;0,VLOOKUP(AA485,DM_DUAN,3,0),"")</f>
        <v>#N/A</v>
      </c>
      <c r="AA485" s="70" t="s">
        <v>183</v>
      </c>
      <c r="AB485" s="64" t="str">
        <f>IF(AC485&lt;&gt;0,VLOOKUP(AC485,DM_DUAN,3,0),"")</f>
        <v/>
      </c>
      <c r="AC485" s="85"/>
      <c r="AD485" s="64" t="str">
        <f>IF(AC485&lt;&gt;0,VLOOKUP(AC485,DM_NV,2,0),"")</f>
        <v/>
      </c>
      <c r="AE485" s="83" t="s">
        <v>223</v>
      </c>
      <c r="AF485" s="64" t="str">
        <f>IF(AE485&lt;&gt;0,VLOOKUP(AE485,DM_NV,2,0),"")</f>
        <v>#N/A</v>
      </c>
    </row>
    <row r="486">
      <c r="A486" s="51"/>
      <c r="B486" s="52" t="str">
        <f>IF(D486="","",VLOOKUP(D486,'THAM CHIẾU'!$A:$B,2,0))</f>
        <v>#N/A</v>
      </c>
      <c r="C486" s="53" t="str">
        <f t="shared" si="3"/>
        <v>03/2022</v>
      </c>
      <c r="D486" s="54">
        <v>44638.0</v>
      </c>
      <c r="E486" s="55" t="s">
        <v>554</v>
      </c>
      <c r="F486" s="56"/>
      <c r="G486" s="57" t="s">
        <v>205</v>
      </c>
      <c r="H486" s="58" t="str">
        <f>IF(G486="","",VLOOKUP($G486,'Quy chuẩn hạch toán'!$B:$E,2,0))</f>
        <v>642</v>
      </c>
      <c r="I486" s="58" t="str">
        <f>IF(H486="","",VLOOKUP($G486,'Quy chuẩn hạch toán'!$B:$E,3,0))</f>
        <v>1111</v>
      </c>
      <c r="J486" s="59">
        <v>53103.0</v>
      </c>
      <c r="K486" s="60"/>
      <c r="L486" s="61"/>
      <c r="M486" s="62"/>
      <c r="N486" s="63"/>
      <c r="O486" s="64" t="str">
        <f>IF($Q486&lt;&gt;0,VLOOKUP($Q486,DM_KM,3,0),"")</f>
        <v>VHVP</v>
      </c>
      <c r="P486" s="64">
        <f>IF($Q486&lt;&gt;0,VLOOKUP($Q486,DM_KM,5,0),"")</f>
        <v>642</v>
      </c>
      <c r="Q486" s="65" t="s">
        <v>382</v>
      </c>
      <c r="R486" s="64" t="str">
        <f>IF(S486&lt;&gt;0,VLOOKUP(S486,DM_DUAN,3,0),"")</f>
        <v>#N/A</v>
      </c>
      <c r="S486" s="66" t="str">
        <f>IF(U486&lt;&gt;0,VLOOKUP(U486,DM_DUAN,3,0),"")</f>
        <v/>
      </c>
      <c r="T486" s="64"/>
      <c r="U486" s="93"/>
      <c r="V486" s="64" t="str">
        <f>IF(W486&lt;&gt;0,VLOOKUP(W486,DM_DUAN,3,0),"")</f>
        <v/>
      </c>
      <c r="W486" s="68"/>
      <c r="X486" s="64" t="str">
        <f>IF(Y486&lt;&gt;0,VLOOKUP(Y486,DM_DUAN,3,0),"")</f>
        <v>#N/A</v>
      </c>
      <c r="Y486" s="69" t="s">
        <v>207</v>
      </c>
      <c r="Z486" s="64" t="str">
        <f>IF(AA486&lt;&gt;0,VLOOKUP(AA486,DM_DUAN,3,0),"")</f>
        <v>#N/A</v>
      </c>
      <c r="AA486" s="70" t="s">
        <v>177</v>
      </c>
      <c r="AB486" s="64" t="str">
        <f>IF(AC486&lt;&gt;0,VLOOKUP(AC486,DM_DUAN,3,0),"")</f>
        <v/>
      </c>
      <c r="AC486" s="85"/>
      <c r="AD486" s="64" t="str">
        <f>IF(AC486&lt;&gt;0,VLOOKUP(AC486,DM_NV,2,0),"")</f>
        <v/>
      </c>
      <c r="AE486" s="83" t="s">
        <v>223</v>
      </c>
      <c r="AF486" s="64" t="str">
        <f>IF(AE486&lt;&gt;0,VLOOKUP(AE486,DM_NV,2,0),"")</f>
        <v>#N/A</v>
      </c>
    </row>
    <row r="487">
      <c r="A487" s="51"/>
      <c r="B487" s="52" t="str">
        <f>IF(D487="","",VLOOKUP(D487,'THAM CHIẾU'!$A:$B,2,0))</f>
        <v>#N/A</v>
      </c>
      <c r="C487" s="53" t="str">
        <f t="shared" si="3"/>
        <v>03/2022</v>
      </c>
      <c r="D487" s="54">
        <v>44638.0</v>
      </c>
      <c r="E487" s="55" t="s">
        <v>554</v>
      </c>
      <c r="F487" s="56"/>
      <c r="G487" s="57" t="s">
        <v>205</v>
      </c>
      <c r="H487" s="58" t="str">
        <f>IF(G487="","",VLOOKUP($G487,'Quy chuẩn hạch toán'!$B:$E,2,0))</f>
        <v>642</v>
      </c>
      <c r="I487" s="58" t="str">
        <f>IF(H487="","",VLOOKUP($G487,'Quy chuẩn hạch toán'!$B:$E,3,0))</f>
        <v>1111</v>
      </c>
      <c r="J487" s="59">
        <v>53103.0</v>
      </c>
      <c r="K487" s="60"/>
      <c r="L487" s="61"/>
      <c r="M487" s="62"/>
      <c r="N487" s="63"/>
      <c r="O487" s="64" t="str">
        <f>IF($Q487&lt;&gt;0,VLOOKUP($Q487,DM_KM,3,0),"")</f>
        <v>VHVP</v>
      </c>
      <c r="P487" s="64">
        <f>IF($Q487&lt;&gt;0,VLOOKUP($Q487,DM_KM,5,0),"")</f>
        <v>642</v>
      </c>
      <c r="Q487" s="89" t="s">
        <v>382</v>
      </c>
      <c r="R487" s="64" t="str">
        <f>IF(S487&lt;&gt;0,VLOOKUP(S487,DM_DUAN,3,0),"")</f>
        <v>#N/A</v>
      </c>
      <c r="S487" s="66" t="str">
        <f>IF(U487&lt;&gt;0,VLOOKUP(U487,DM_DUAN,3,0),"")</f>
        <v/>
      </c>
      <c r="T487" s="64"/>
      <c r="U487" s="93"/>
      <c r="V487" s="64" t="str">
        <f>IF(W487&lt;&gt;0,VLOOKUP(W487,DM_DUAN,3,0),"")</f>
        <v/>
      </c>
      <c r="W487" s="68"/>
      <c r="X487" s="64" t="str">
        <f>IF(Y487&lt;&gt;0,VLOOKUP(Y487,DM_DUAN,3,0),"")</f>
        <v>#N/A</v>
      </c>
      <c r="Y487" s="69" t="s">
        <v>207</v>
      </c>
      <c r="Z487" s="64" t="str">
        <f>IF(AA487&lt;&gt;0,VLOOKUP(AA487,DM_DUAN,3,0),"")</f>
        <v>#N/A</v>
      </c>
      <c r="AA487" s="131" t="s">
        <v>210</v>
      </c>
      <c r="AB487" s="64" t="str">
        <f>IF(AC487&lt;&gt;0,VLOOKUP(AC487,DM_DUAN,3,0),"")</f>
        <v/>
      </c>
      <c r="AC487" s="85"/>
      <c r="AD487" s="64" t="str">
        <f>IF(AC487&lt;&gt;0,VLOOKUP(AC487,DM_NV,2,0),"")</f>
        <v/>
      </c>
      <c r="AE487" s="83" t="s">
        <v>223</v>
      </c>
      <c r="AF487" s="64" t="str">
        <f>IF(AE487&lt;&gt;0,VLOOKUP(AE487,DM_NV,2,0),"")</f>
        <v>#N/A</v>
      </c>
    </row>
    <row r="488">
      <c r="A488" s="51"/>
      <c r="B488" s="52" t="str">
        <f>IF(D488="","",VLOOKUP(D488,'THAM CHIẾU'!$A:$B,2,0))</f>
        <v>#N/A</v>
      </c>
      <c r="C488" s="53" t="str">
        <f t="shared" si="3"/>
        <v>03/2022</v>
      </c>
      <c r="D488" s="54">
        <v>44638.0</v>
      </c>
      <c r="E488" s="55" t="s">
        <v>554</v>
      </c>
      <c r="F488" s="56"/>
      <c r="G488" s="57" t="s">
        <v>205</v>
      </c>
      <c r="H488" s="58" t="str">
        <f>IF(G488="","",VLOOKUP($G488,'Quy chuẩn hạch toán'!$B:$E,2,0))</f>
        <v>642</v>
      </c>
      <c r="I488" s="58" t="str">
        <f>IF(H488="","",VLOOKUP($G488,'Quy chuẩn hạch toán'!$B:$E,3,0))</f>
        <v>1111</v>
      </c>
      <c r="J488" s="59">
        <v>15172.0</v>
      </c>
      <c r="K488" s="60"/>
      <c r="L488" s="61"/>
      <c r="M488" s="62"/>
      <c r="N488" s="63"/>
      <c r="O488" s="64" t="str">
        <f>IF($Q488&lt;&gt;0,VLOOKUP($Q488,DM_KM,3,0),"")</f>
        <v>VHVP</v>
      </c>
      <c r="P488" s="64">
        <f>IF($Q488&lt;&gt;0,VLOOKUP($Q488,DM_KM,5,0),"")</f>
        <v>642</v>
      </c>
      <c r="Q488" s="89" t="s">
        <v>382</v>
      </c>
      <c r="R488" s="64" t="str">
        <f>IF(S488&lt;&gt;0,VLOOKUP(S488,DM_DUAN,3,0),"")</f>
        <v>#N/A</v>
      </c>
      <c r="S488" s="66" t="str">
        <f>IF(U488&lt;&gt;0,VLOOKUP(U488,DM_DUAN,3,0),"")</f>
        <v/>
      </c>
      <c r="T488" s="64"/>
      <c r="U488" s="93"/>
      <c r="V488" s="64" t="str">
        <f>IF(W488&lt;&gt;0,VLOOKUP(W488,DM_DUAN,3,0),"")</f>
        <v/>
      </c>
      <c r="W488" s="68"/>
      <c r="X488" s="64" t="str">
        <f>IF(Y488&lt;&gt;0,VLOOKUP(Y488,DM_DUAN,3,0),"")</f>
        <v>#N/A</v>
      </c>
      <c r="Y488" s="69" t="s">
        <v>207</v>
      </c>
      <c r="Z488" s="64" t="str">
        <f>IF(AA488&lt;&gt;0,VLOOKUP(AA488,DM_DUAN,3,0),"")</f>
        <v>#N/A</v>
      </c>
      <c r="AA488" s="70" t="s">
        <v>514</v>
      </c>
      <c r="AB488" s="64" t="str">
        <f>IF(AC488&lt;&gt;0,VLOOKUP(AC488,DM_DUAN,3,0),"")</f>
        <v/>
      </c>
      <c r="AC488" s="85"/>
      <c r="AD488" s="64" t="str">
        <f>IF(AC488&lt;&gt;0,VLOOKUP(AC488,DM_NV,2,0),"")</f>
        <v/>
      </c>
      <c r="AE488" s="83" t="s">
        <v>223</v>
      </c>
      <c r="AF488" s="64" t="str">
        <f>IF(AE488&lt;&gt;0,VLOOKUP(AE488,DM_NV,2,0),"")</f>
        <v>#N/A</v>
      </c>
    </row>
    <row r="489">
      <c r="A489" s="51"/>
      <c r="B489" s="52" t="str">
        <f>IF(D489="","",VLOOKUP(D489,'THAM CHIẾU'!$A:$B,2,0))</f>
        <v>#N/A</v>
      </c>
      <c r="C489" s="53" t="str">
        <f t="shared" si="3"/>
        <v>03/2022</v>
      </c>
      <c r="D489" s="54">
        <v>44639.0</v>
      </c>
      <c r="E489" s="55" t="s">
        <v>555</v>
      </c>
      <c r="F489" s="56"/>
      <c r="G489" s="57" t="s">
        <v>225</v>
      </c>
      <c r="H489" s="58" t="str">
        <f>IF(G489="","",VLOOKUP($G489,'Quy chuẩn hạch toán'!$B:$E,2,0))</f>
        <v>154</v>
      </c>
      <c r="I489" s="58" t="str">
        <f>IF(H489="","",VLOOKUP($G489,'Quy chuẩn hạch toán'!$B:$E,3,0))</f>
        <v>1111</v>
      </c>
      <c r="J489" s="59">
        <v>174828.0</v>
      </c>
      <c r="K489" s="60"/>
      <c r="L489" s="61"/>
      <c r="M489" s="62"/>
      <c r="N489" s="63"/>
      <c r="O489" s="64" t="str">
        <f>IF($Q489&lt;&gt;0,VLOOKUP($Q489,DM_KM,3,0),"")</f>
        <v>#N/A</v>
      </c>
      <c r="P489" s="64" t="str">
        <f>IF($Q489&lt;&gt;0,VLOOKUP($Q489,DM_KM,5,0),"")</f>
        <v>#N/A</v>
      </c>
      <c r="Q489" s="65" t="s">
        <v>226</v>
      </c>
      <c r="R489" s="64" t="str">
        <f>IF(S489&lt;&gt;0,VLOOKUP(S489,DM_DUAN,3,0),"")</f>
        <v>#N/A</v>
      </c>
      <c r="S489" s="66" t="str">
        <f>IF(U489&lt;&gt;0,VLOOKUP(U489,DM_DUAN,3,0),"")</f>
        <v/>
      </c>
      <c r="T489" s="64"/>
      <c r="U489" s="93"/>
      <c r="V489" s="64" t="str">
        <f>IF(W489&lt;&gt;0,VLOOKUP(W489,DM_DUAN,3,0),"")</f>
        <v/>
      </c>
      <c r="W489" s="68"/>
      <c r="X489" s="64" t="str">
        <f>IF(Y489&lt;&gt;0,VLOOKUP(Y489,DM_DUAN,3,0),"")</f>
        <v>#N/A</v>
      </c>
      <c r="Y489" s="69" t="s">
        <v>176</v>
      </c>
      <c r="Z489" s="64" t="str">
        <f>IF(AA489&lt;&gt;0,VLOOKUP(AA489,DM_DUAN,3,0),"")</f>
        <v>#N/A</v>
      </c>
      <c r="AA489" s="70" t="s">
        <v>183</v>
      </c>
      <c r="AB489" s="64" t="str">
        <f>IF(AC489&lt;&gt;0,VLOOKUP(AC489,DM_DUAN,3,0),"")</f>
        <v/>
      </c>
      <c r="AC489" s="85"/>
      <c r="AD489" s="64" t="str">
        <f>IF(AC489&lt;&gt;0,VLOOKUP(AC489,DM_NV,2,0),"")</f>
        <v/>
      </c>
      <c r="AE489" s="83" t="s">
        <v>227</v>
      </c>
      <c r="AF489" s="64" t="str">
        <f>IF(AE489&lt;&gt;0,VLOOKUP(AE489,DM_NV,2,0),"")</f>
        <v>#N/A</v>
      </c>
    </row>
    <row r="490">
      <c r="A490" s="51"/>
      <c r="B490" s="52" t="str">
        <f>IF(D490="","",VLOOKUP(D490,'THAM CHIẾU'!$A:$B,2,0))</f>
        <v>#N/A</v>
      </c>
      <c r="C490" s="53" t="str">
        <f t="shared" si="3"/>
        <v>03/2022</v>
      </c>
      <c r="D490" s="54">
        <v>44639.0</v>
      </c>
      <c r="E490" s="55" t="s">
        <v>555</v>
      </c>
      <c r="F490" s="56"/>
      <c r="G490" s="57" t="s">
        <v>225</v>
      </c>
      <c r="H490" s="58" t="str">
        <f>IF(G490="","",VLOOKUP($G490,'Quy chuẩn hạch toán'!$B:$E,2,0))</f>
        <v>154</v>
      </c>
      <c r="I490" s="58" t="str">
        <f>IF(H490="","",VLOOKUP($G490,'Quy chuẩn hạch toán'!$B:$E,3,0))</f>
        <v>1111</v>
      </c>
      <c r="J490" s="59">
        <v>94138.0</v>
      </c>
      <c r="K490" s="60"/>
      <c r="L490" s="61"/>
      <c r="M490" s="62"/>
      <c r="N490" s="63"/>
      <c r="O490" s="64" t="str">
        <f>IF($Q490&lt;&gt;0,VLOOKUP($Q490,DM_KM,3,0),"")</f>
        <v>#N/A</v>
      </c>
      <c r="P490" s="64" t="str">
        <f>IF($Q490&lt;&gt;0,VLOOKUP($Q490,DM_KM,5,0),"")</f>
        <v>#N/A</v>
      </c>
      <c r="Q490" s="65" t="s">
        <v>226</v>
      </c>
      <c r="R490" s="64" t="str">
        <f>IF(S490&lt;&gt;0,VLOOKUP(S490,DM_DUAN,3,0),"")</f>
        <v>#N/A</v>
      </c>
      <c r="S490" s="66" t="str">
        <f>IF(U490&lt;&gt;0,VLOOKUP(U490,DM_DUAN,3,0),"")</f>
        <v/>
      </c>
      <c r="T490" s="64"/>
      <c r="U490" s="93"/>
      <c r="V490" s="64" t="str">
        <f>IF(W490&lt;&gt;0,VLOOKUP(W490,DM_DUAN,3,0),"")</f>
        <v/>
      </c>
      <c r="W490" s="68"/>
      <c r="X490" s="64" t="str">
        <f>IF(Y490&lt;&gt;0,VLOOKUP(Y490,DM_DUAN,3,0),"")</f>
        <v>#N/A</v>
      </c>
      <c r="Y490" s="69" t="s">
        <v>176</v>
      </c>
      <c r="Z490" s="64" t="str">
        <f>IF(AA490&lt;&gt;0,VLOOKUP(AA490,DM_DUAN,3,0),"")</f>
        <v>#N/A</v>
      </c>
      <c r="AA490" s="70" t="s">
        <v>177</v>
      </c>
      <c r="AB490" s="64" t="str">
        <f>IF(AC490&lt;&gt;0,VLOOKUP(AC490,DM_DUAN,3,0),"")</f>
        <v/>
      </c>
      <c r="AC490" s="85"/>
      <c r="AD490" s="64" t="str">
        <f>IF(AC490&lt;&gt;0,VLOOKUP(AC490,DM_NV,2,0),"")</f>
        <v/>
      </c>
      <c r="AE490" s="83" t="s">
        <v>227</v>
      </c>
      <c r="AF490" s="64" t="str">
        <f>IF(AE490&lt;&gt;0,VLOOKUP(AE490,DM_NV,2,0),"")</f>
        <v>#N/A</v>
      </c>
    </row>
    <row r="491">
      <c r="A491" s="51"/>
      <c r="B491" s="52" t="str">
        <f>IF(D491="","",VLOOKUP(D491,'THAM CHIẾU'!$A:$B,2,0))</f>
        <v>#N/A</v>
      </c>
      <c r="C491" s="53" t="str">
        <f t="shared" si="3"/>
        <v>03/2022</v>
      </c>
      <c r="D491" s="54">
        <v>44639.0</v>
      </c>
      <c r="E491" s="55" t="s">
        <v>555</v>
      </c>
      <c r="F491" s="56"/>
      <c r="G491" s="57" t="s">
        <v>225</v>
      </c>
      <c r="H491" s="58" t="str">
        <f>IF(G491="","",VLOOKUP($G491,'Quy chuẩn hạch toán'!$B:$E,2,0))</f>
        <v>154</v>
      </c>
      <c r="I491" s="58" t="str">
        <f>IF(H491="","",VLOOKUP($G491,'Quy chuẩn hạch toán'!$B:$E,3,0))</f>
        <v>1111</v>
      </c>
      <c r="J491" s="59">
        <v>94138.0</v>
      </c>
      <c r="K491" s="60"/>
      <c r="L491" s="61"/>
      <c r="M491" s="62"/>
      <c r="N491" s="63"/>
      <c r="O491" s="64" t="str">
        <f>IF($Q491&lt;&gt;0,VLOOKUP($Q491,DM_KM,3,0),"")</f>
        <v>#N/A</v>
      </c>
      <c r="P491" s="64" t="str">
        <f>IF($Q491&lt;&gt;0,VLOOKUP($Q491,DM_KM,5,0),"")</f>
        <v>#N/A</v>
      </c>
      <c r="Q491" s="89" t="s">
        <v>226</v>
      </c>
      <c r="R491" s="64" t="str">
        <f>IF(S491&lt;&gt;0,VLOOKUP(S491,DM_DUAN,3,0),"")</f>
        <v>#N/A</v>
      </c>
      <c r="S491" s="66" t="str">
        <f>IF(U491&lt;&gt;0,VLOOKUP(U491,DM_DUAN,3,0),"")</f>
        <v/>
      </c>
      <c r="T491" s="64"/>
      <c r="U491" s="93"/>
      <c r="V491" s="64" t="str">
        <f>IF(W491&lt;&gt;0,VLOOKUP(W491,DM_DUAN,3,0),"")</f>
        <v/>
      </c>
      <c r="W491" s="68"/>
      <c r="X491" s="64" t="str">
        <f>IF(Y491&lt;&gt;0,VLOOKUP(Y491,DM_DUAN,3,0),"")</f>
        <v>#N/A</v>
      </c>
      <c r="Y491" s="69" t="s">
        <v>176</v>
      </c>
      <c r="Z491" s="64" t="str">
        <f>IF(AA491&lt;&gt;0,VLOOKUP(AA491,DM_DUAN,3,0),"")</f>
        <v>#N/A</v>
      </c>
      <c r="AA491" s="131" t="s">
        <v>210</v>
      </c>
      <c r="AB491" s="64" t="str">
        <f>IF(AC491&lt;&gt;0,VLOOKUP(AC491,DM_DUAN,3,0),"")</f>
        <v/>
      </c>
      <c r="AC491" s="85"/>
      <c r="AD491" s="64" t="str">
        <f>IF(AC491&lt;&gt;0,VLOOKUP(AC491,DM_NV,2,0),"")</f>
        <v/>
      </c>
      <c r="AE491" s="83" t="s">
        <v>227</v>
      </c>
      <c r="AF491" s="64" t="str">
        <f>IF(AE491&lt;&gt;0,VLOOKUP(AE491,DM_NV,2,0),"")</f>
        <v>#N/A</v>
      </c>
    </row>
    <row r="492">
      <c r="A492" s="51"/>
      <c r="B492" s="52" t="str">
        <f>IF(D492="","",VLOOKUP(D492,'THAM CHIẾU'!$A:$B,2,0))</f>
        <v>#N/A</v>
      </c>
      <c r="C492" s="53" t="str">
        <f t="shared" si="3"/>
        <v>03/2022</v>
      </c>
      <c r="D492" s="54">
        <v>44639.0</v>
      </c>
      <c r="E492" s="55" t="s">
        <v>555</v>
      </c>
      <c r="F492" s="56"/>
      <c r="G492" s="57" t="s">
        <v>225</v>
      </c>
      <c r="H492" s="58" t="str">
        <f>IF(G492="","",VLOOKUP($G492,'Quy chuẩn hạch toán'!$B:$E,2,0))</f>
        <v>154</v>
      </c>
      <c r="I492" s="58" t="str">
        <f>IF(H492="","",VLOOKUP($G492,'Quy chuẩn hạch toán'!$B:$E,3,0))</f>
        <v>1111</v>
      </c>
      <c r="J492" s="59">
        <v>26897.0</v>
      </c>
      <c r="K492" s="60"/>
      <c r="L492" s="61"/>
      <c r="M492" s="62"/>
      <c r="N492" s="63"/>
      <c r="O492" s="64" t="str">
        <f>IF($Q492&lt;&gt;0,VLOOKUP($Q492,DM_KM,3,0),"")</f>
        <v>#N/A</v>
      </c>
      <c r="P492" s="64" t="str">
        <f>IF($Q492&lt;&gt;0,VLOOKUP($Q492,DM_KM,5,0),"")</f>
        <v>#N/A</v>
      </c>
      <c r="Q492" s="89" t="s">
        <v>226</v>
      </c>
      <c r="R492" s="64" t="str">
        <f>IF(S492&lt;&gt;0,VLOOKUP(S492,DM_DUAN,3,0),"")</f>
        <v>#N/A</v>
      </c>
      <c r="S492" s="66" t="str">
        <f>IF(U492&lt;&gt;0,VLOOKUP(U492,DM_DUAN,3,0),"")</f>
        <v/>
      </c>
      <c r="T492" s="64"/>
      <c r="U492" s="93"/>
      <c r="V492" s="64" t="str">
        <f>IF(W492&lt;&gt;0,VLOOKUP(W492,DM_DUAN,3,0),"")</f>
        <v/>
      </c>
      <c r="W492" s="68"/>
      <c r="X492" s="64" t="str">
        <f>IF(Y492&lt;&gt;0,VLOOKUP(Y492,DM_DUAN,3,0),"")</f>
        <v>#N/A</v>
      </c>
      <c r="Y492" s="69" t="s">
        <v>176</v>
      </c>
      <c r="Z492" s="64" t="str">
        <f>IF(AA492&lt;&gt;0,VLOOKUP(AA492,DM_DUAN,3,0),"")</f>
        <v>#N/A</v>
      </c>
      <c r="AA492" s="70" t="s">
        <v>514</v>
      </c>
      <c r="AB492" s="64" t="str">
        <f>IF(AC492&lt;&gt;0,VLOOKUP(AC492,DM_DUAN,3,0),"")</f>
        <v/>
      </c>
      <c r="AC492" s="85"/>
      <c r="AD492" s="64" t="str">
        <f>IF(AC492&lt;&gt;0,VLOOKUP(AC492,DM_NV,2,0),"")</f>
        <v/>
      </c>
      <c r="AE492" s="83" t="s">
        <v>227</v>
      </c>
      <c r="AF492" s="64" t="str">
        <f>IF(AE492&lt;&gt;0,VLOOKUP(AE492,DM_NV,2,0),"")</f>
        <v>#N/A</v>
      </c>
    </row>
    <row r="493">
      <c r="A493" s="51"/>
      <c r="B493" s="52" t="str">
        <f>IF(D493="","",VLOOKUP(D493,'THAM CHIẾU'!$A:$B,2,0))</f>
        <v>#N/A</v>
      </c>
      <c r="C493" s="53" t="str">
        <f t="shared" si="3"/>
        <v>03/2022</v>
      </c>
      <c r="D493" s="54">
        <v>44639.0</v>
      </c>
      <c r="E493" s="55" t="s">
        <v>556</v>
      </c>
      <c r="F493" s="56"/>
      <c r="G493" s="57" t="s">
        <v>205</v>
      </c>
      <c r="H493" s="58" t="str">
        <f>IF(G493="","",VLOOKUP($G493,'Quy chuẩn hạch toán'!$B:$E,2,0))</f>
        <v>642</v>
      </c>
      <c r="I493" s="58" t="str">
        <f>IF(H493="","",VLOOKUP($G493,'Quy chuẩn hạch toán'!$B:$E,3,0))</f>
        <v>1111</v>
      </c>
      <c r="J493" s="59">
        <v>280893.0</v>
      </c>
      <c r="K493" s="60"/>
      <c r="L493" s="61"/>
      <c r="M493" s="62"/>
      <c r="N493" s="63"/>
      <c r="O493" s="64" t="str">
        <f>IF($Q493&lt;&gt;0,VLOOKUP($Q493,DM_KM,3,0),"")</f>
        <v>#N/A</v>
      </c>
      <c r="P493" s="64" t="str">
        <f>IF($Q493&lt;&gt;0,VLOOKUP($Q493,DM_KM,5,0),"")</f>
        <v>#N/A</v>
      </c>
      <c r="Q493" s="65" t="s">
        <v>206</v>
      </c>
      <c r="R493" s="64" t="str">
        <f>IF(S493&lt;&gt;0,VLOOKUP(S493,DM_DUAN,3,0),"")</f>
        <v>#N/A</v>
      </c>
      <c r="S493" s="66" t="str">
        <f>IF(U493&lt;&gt;0,VLOOKUP(U493,DM_DUAN,3,0),"")</f>
        <v/>
      </c>
      <c r="T493" s="64"/>
      <c r="U493" s="93"/>
      <c r="V493" s="64" t="str">
        <f>IF(W493&lt;&gt;0,VLOOKUP(W493,DM_DUAN,3,0),"")</f>
        <v/>
      </c>
      <c r="W493" s="68"/>
      <c r="X493" s="64" t="str">
        <f>IF(Y493&lt;&gt;0,VLOOKUP(Y493,DM_DUAN,3,0),"")</f>
        <v>#N/A</v>
      </c>
      <c r="Y493" s="69" t="s">
        <v>207</v>
      </c>
      <c r="Z493" s="64" t="str">
        <f>IF(AA493&lt;&gt;0,VLOOKUP(AA493,DM_DUAN,3,0),"")</f>
        <v>#N/A</v>
      </c>
      <c r="AA493" s="70" t="s">
        <v>183</v>
      </c>
      <c r="AB493" s="64" t="str">
        <f>IF(AC493&lt;&gt;0,VLOOKUP(AC493,DM_DUAN,3,0),"")</f>
        <v/>
      </c>
      <c r="AC493" s="85"/>
      <c r="AD493" s="64" t="str">
        <f>IF(AC493&lt;&gt;0,VLOOKUP(AC493,DM_NV,2,0),"")</f>
        <v/>
      </c>
      <c r="AE493" s="83" t="s">
        <v>263</v>
      </c>
      <c r="AF493" s="64" t="str">
        <f>IF(AE493&lt;&gt;0,VLOOKUP(AE493,DM_NV,2,0),"")</f>
        <v>#N/A</v>
      </c>
    </row>
    <row r="494">
      <c r="A494" s="51"/>
      <c r="B494" s="52" t="str">
        <f>IF(D494="","",VLOOKUP(D494,'THAM CHIẾU'!$A:$B,2,0))</f>
        <v>#N/A</v>
      </c>
      <c r="C494" s="53" t="str">
        <f t="shared" si="3"/>
        <v>03/2022</v>
      </c>
      <c r="D494" s="54">
        <v>44639.0</v>
      </c>
      <c r="E494" s="55" t="s">
        <v>556</v>
      </c>
      <c r="F494" s="56"/>
      <c r="G494" s="57" t="s">
        <v>205</v>
      </c>
      <c r="H494" s="58" t="str">
        <f>IF(G494="","",VLOOKUP($G494,'Quy chuẩn hạch toán'!$B:$E,2,0))</f>
        <v>642</v>
      </c>
      <c r="I494" s="58" t="str">
        <f>IF(H494="","",VLOOKUP($G494,'Quy chuẩn hạch toán'!$B:$E,3,0))</f>
        <v>1111</v>
      </c>
      <c r="J494" s="59">
        <v>151250.0</v>
      </c>
      <c r="K494" s="60"/>
      <c r="L494" s="61"/>
      <c r="M494" s="62"/>
      <c r="N494" s="63"/>
      <c r="O494" s="64" t="str">
        <f>IF($Q494&lt;&gt;0,VLOOKUP($Q494,DM_KM,3,0),"")</f>
        <v>#N/A</v>
      </c>
      <c r="P494" s="64" t="str">
        <f>IF($Q494&lt;&gt;0,VLOOKUP($Q494,DM_KM,5,0),"")</f>
        <v>#N/A</v>
      </c>
      <c r="Q494" s="65" t="s">
        <v>206</v>
      </c>
      <c r="R494" s="64" t="str">
        <f>IF(S494&lt;&gt;0,VLOOKUP(S494,DM_DUAN,3,0),"")</f>
        <v>#N/A</v>
      </c>
      <c r="S494" s="66" t="str">
        <f>IF(U494&lt;&gt;0,VLOOKUP(U494,DM_DUAN,3,0),"")</f>
        <v/>
      </c>
      <c r="T494" s="64"/>
      <c r="U494" s="93"/>
      <c r="V494" s="64" t="str">
        <f>IF(W494&lt;&gt;0,VLOOKUP(W494,DM_DUAN,3,0),"")</f>
        <v/>
      </c>
      <c r="W494" s="68"/>
      <c r="X494" s="64" t="str">
        <f>IF(Y494&lt;&gt;0,VLOOKUP(Y494,DM_DUAN,3,0),"")</f>
        <v>#N/A</v>
      </c>
      <c r="Y494" s="69" t="s">
        <v>207</v>
      </c>
      <c r="Z494" s="64" t="str">
        <f>IF(AA494&lt;&gt;0,VLOOKUP(AA494,DM_DUAN,3,0),"")</f>
        <v>#N/A</v>
      </c>
      <c r="AA494" s="70" t="s">
        <v>177</v>
      </c>
      <c r="AB494" s="64" t="str">
        <f>IF(AC494&lt;&gt;0,VLOOKUP(AC494,DM_DUAN,3,0),"")</f>
        <v/>
      </c>
      <c r="AC494" s="85"/>
      <c r="AD494" s="64" t="str">
        <f>IF(AC494&lt;&gt;0,VLOOKUP(AC494,DM_NV,2,0),"")</f>
        <v/>
      </c>
      <c r="AE494" s="83" t="s">
        <v>263</v>
      </c>
      <c r="AF494" s="64" t="str">
        <f>IF(AE494&lt;&gt;0,VLOOKUP(AE494,DM_NV,2,0),"")</f>
        <v>#N/A</v>
      </c>
    </row>
    <row r="495">
      <c r="A495" s="51"/>
      <c r="B495" s="52" t="str">
        <f>IF(D495="","",VLOOKUP(D495,'THAM CHIẾU'!$A:$B,2,0))</f>
        <v>#N/A</v>
      </c>
      <c r="C495" s="53" t="str">
        <f t="shared" si="3"/>
        <v>03/2022</v>
      </c>
      <c r="D495" s="54">
        <v>44639.0</v>
      </c>
      <c r="E495" s="55" t="s">
        <v>556</v>
      </c>
      <c r="F495" s="56"/>
      <c r="G495" s="57" t="s">
        <v>205</v>
      </c>
      <c r="H495" s="58" t="str">
        <f>IF(G495="","",VLOOKUP($G495,'Quy chuẩn hạch toán'!$B:$E,2,0))</f>
        <v>642</v>
      </c>
      <c r="I495" s="58" t="str">
        <f>IF(H495="","",VLOOKUP($G495,'Quy chuẩn hạch toán'!$B:$E,3,0))</f>
        <v>1111</v>
      </c>
      <c r="J495" s="59">
        <v>151250.0</v>
      </c>
      <c r="K495" s="60"/>
      <c r="L495" s="61"/>
      <c r="M495" s="62"/>
      <c r="N495" s="63"/>
      <c r="O495" s="64" t="str">
        <f>IF($Q495&lt;&gt;0,VLOOKUP($Q495,DM_KM,3,0),"")</f>
        <v>#N/A</v>
      </c>
      <c r="P495" s="64" t="str">
        <f>IF($Q495&lt;&gt;0,VLOOKUP($Q495,DM_KM,5,0),"")</f>
        <v>#N/A</v>
      </c>
      <c r="Q495" s="89" t="s">
        <v>206</v>
      </c>
      <c r="R495" s="64" t="str">
        <f>IF(S495&lt;&gt;0,VLOOKUP(S495,DM_DUAN,3,0),"")</f>
        <v>#N/A</v>
      </c>
      <c r="S495" s="66" t="str">
        <f>IF(U495&lt;&gt;0,VLOOKUP(U495,DM_DUAN,3,0),"")</f>
        <v/>
      </c>
      <c r="T495" s="64"/>
      <c r="U495" s="93"/>
      <c r="V495" s="64" t="str">
        <f>IF(W495&lt;&gt;0,VLOOKUP(W495,DM_DUAN,3,0),"")</f>
        <v/>
      </c>
      <c r="W495" s="68"/>
      <c r="X495" s="64" t="str">
        <f>IF(Y495&lt;&gt;0,VLOOKUP(Y495,DM_DUAN,3,0),"")</f>
        <v>#N/A</v>
      </c>
      <c r="Y495" s="69" t="s">
        <v>207</v>
      </c>
      <c r="Z495" s="64" t="str">
        <f>IF(AA495&lt;&gt;0,VLOOKUP(AA495,DM_DUAN,3,0),"")</f>
        <v>#N/A</v>
      </c>
      <c r="AA495" s="131" t="s">
        <v>210</v>
      </c>
      <c r="AB495" s="64" t="str">
        <f>IF(AC495&lt;&gt;0,VLOOKUP(AC495,DM_DUAN,3,0),"")</f>
        <v/>
      </c>
      <c r="AC495" s="85"/>
      <c r="AD495" s="64" t="str">
        <f>IF(AC495&lt;&gt;0,VLOOKUP(AC495,DM_NV,2,0),"")</f>
        <v/>
      </c>
      <c r="AE495" s="83" t="s">
        <v>263</v>
      </c>
      <c r="AF495" s="64" t="str">
        <f>IF(AE495&lt;&gt;0,VLOOKUP(AE495,DM_NV,2,0),"")</f>
        <v>#N/A</v>
      </c>
    </row>
    <row r="496">
      <c r="A496" s="51"/>
      <c r="B496" s="52" t="str">
        <f>IF(D496="","",VLOOKUP(D496,'THAM CHIẾU'!$A:$B,2,0))</f>
        <v>#N/A</v>
      </c>
      <c r="C496" s="53" t="str">
        <f t="shared" si="3"/>
        <v>03/2022</v>
      </c>
      <c r="D496" s="54">
        <v>44639.0</v>
      </c>
      <c r="E496" s="55" t="s">
        <v>556</v>
      </c>
      <c r="F496" s="56"/>
      <c r="G496" s="57" t="s">
        <v>205</v>
      </c>
      <c r="H496" s="58" t="str">
        <f>IF(G496="","",VLOOKUP($G496,'Quy chuẩn hạch toán'!$B:$E,2,0))</f>
        <v>642</v>
      </c>
      <c r="I496" s="58" t="str">
        <f>IF(H496="","",VLOOKUP($G496,'Quy chuẩn hạch toán'!$B:$E,3,0))</f>
        <v>1111</v>
      </c>
      <c r="J496" s="59">
        <v>43214.0</v>
      </c>
      <c r="K496" s="60"/>
      <c r="L496" s="61"/>
      <c r="M496" s="62"/>
      <c r="N496" s="63"/>
      <c r="O496" s="64" t="str">
        <f>IF($Q496&lt;&gt;0,VLOOKUP($Q496,DM_KM,3,0),"")</f>
        <v>#N/A</v>
      </c>
      <c r="P496" s="64" t="str">
        <f>IF($Q496&lt;&gt;0,VLOOKUP($Q496,DM_KM,5,0),"")</f>
        <v>#N/A</v>
      </c>
      <c r="Q496" s="89" t="s">
        <v>206</v>
      </c>
      <c r="R496" s="64" t="str">
        <f>IF(S496&lt;&gt;0,VLOOKUP(S496,DM_DUAN,3,0),"")</f>
        <v>#N/A</v>
      </c>
      <c r="S496" s="66" t="str">
        <f>IF(U496&lt;&gt;0,VLOOKUP(U496,DM_DUAN,3,0),"")</f>
        <v/>
      </c>
      <c r="T496" s="64"/>
      <c r="U496" s="93"/>
      <c r="V496" s="64" t="str">
        <f>IF(W496&lt;&gt;0,VLOOKUP(W496,DM_DUAN,3,0),"")</f>
        <v/>
      </c>
      <c r="W496" s="68"/>
      <c r="X496" s="64" t="str">
        <f>IF(Y496&lt;&gt;0,VLOOKUP(Y496,DM_DUAN,3,0),"")</f>
        <v>#N/A</v>
      </c>
      <c r="Y496" s="69" t="s">
        <v>207</v>
      </c>
      <c r="Z496" s="64" t="str">
        <f>IF(AA496&lt;&gt;0,VLOOKUP(AA496,DM_DUAN,3,0),"")</f>
        <v>#N/A</v>
      </c>
      <c r="AA496" s="70" t="s">
        <v>514</v>
      </c>
      <c r="AB496" s="64" t="str">
        <f>IF(AC496&lt;&gt;0,VLOOKUP(AC496,DM_DUAN,3,0),"")</f>
        <v/>
      </c>
      <c r="AC496" s="85"/>
      <c r="AD496" s="64" t="str">
        <f>IF(AC496&lt;&gt;0,VLOOKUP(AC496,DM_NV,2,0),"")</f>
        <v/>
      </c>
      <c r="AE496" s="83" t="s">
        <v>263</v>
      </c>
      <c r="AF496" s="64" t="str">
        <f>IF(AE496&lt;&gt;0,VLOOKUP(AE496,DM_NV,2,0),"")</f>
        <v>#N/A</v>
      </c>
    </row>
    <row r="497">
      <c r="A497" s="51"/>
      <c r="B497" s="52" t="str">
        <f>IF(D497="","",VLOOKUP(D497,'THAM CHIẾU'!$A:$B,2,0))</f>
        <v>#N/A</v>
      </c>
      <c r="C497" s="53" t="str">
        <f t="shared" si="3"/>
        <v>03/2022</v>
      </c>
      <c r="D497" s="54">
        <v>44639.0</v>
      </c>
      <c r="E497" s="55" t="s">
        <v>557</v>
      </c>
      <c r="F497" s="56"/>
      <c r="G497" s="57" t="s">
        <v>173</v>
      </c>
      <c r="H497" s="58" t="str">
        <f>IF(G497="","",VLOOKUP($G497,'Quy chuẩn hạch toán'!$B:$E,2,0))</f>
        <v>641</v>
      </c>
      <c r="I497" s="58" t="str">
        <f>IF(H497="","",VLOOKUP($G497,'Quy chuẩn hạch toán'!$B:$E,3,0))</f>
        <v>331</v>
      </c>
      <c r="J497" s="59">
        <v>3048000.0</v>
      </c>
      <c r="K497" s="60"/>
      <c r="L497" s="61"/>
      <c r="M497" s="62"/>
      <c r="N497" s="63"/>
      <c r="O497" s="64" t="str">
        <f>IF($Q497&lt;&gt;0,VLOOKUP($Q497,DM_KM,3,0),"")</f>
        <v>#N/A</v>
      </c>
      <c r="P497" s="64" t="str">
        <f>IF($Q497&lt;&gt;0,VLOOKUP($Q497,DM_KM,5,0),"")</f>
        <v>#N/A</v>
      </c>
      <c r="Q497" s="89" t="s">
        <v>174</v>
      </c>
      <c r="R497" s="64" t="str">
        <f>IF(S497&lt;&gt;0,VLOOKUP(S497,DM_DUAN,3,0),"")</f>
        <v>#N/A</v>
      </c>
      <c r="S497" s="66" t="str">
        <f>IF(U497&lt;&gt;0,VLOOKUP(U497,DM_DUAN,3,0),"")</f>
        <v>THANHNAM</v>
      </c>
      <c r="T497" s="64"/>
      <c r="U497" s="67" t="s">
        <v>530</v>
      </c>
      <c r="V497" s="64" t="str">
        <f>IF(W497&lt;&gt;0,VLOOKUP(W497,DM_DUAN,3,0),"")</f>
        <v/>
      </c>
      <c r="W497" s="68"/>
      <c r="X497" s="64" t="str">
        <f>IF(Y497&lt;&gt;0,VLOOKUP(Y497,DM_DUAN,3,0),"")</f>
        <v>#N/A</v>
      </c>
      <c r="Y497" s="69" t="s">
        <v>176</v>
      </c>
      <c r="Z497" s="64" t="str">
        <f>IF(AA497&lt;&gt;0,VLOOKUP(AA497,DM_DUAN,3,0),"")</f>
        <v>#N/A</v>
      </c>
      <c r="AA497" s="131" t="s">
        <v>210</v>
      </c>
      <c r="AB497" s="64" t="str">
        <f>IF(AC497&lt;&gt;0,VLOOKUP(AC497,DM_DUAN,3,0),"")</f>
        <v/>
      </c>
      <c r="AC497" s="85"/>
      <c r="AD497" s="64" t="str">
        <f>IF(AC497&lt;&gt;0,VLOOKUP(AC497,DM_NV,2,0),"")</f>
        <v/>
      </c>
      <c r="AE497" s="68"/>
      <c r="AF497" s="64" t="str">
        <f>IF(AE497&lt;&gt;0,VLOOKUP(AE497,DM_NV,2,0),"")</f>
        <v/>
      </c>
    </row>
    <row r="498">
      <c r="A498" s="51"/>
      <c r="B498" s="52" t="str">
        <f>IF(D498="","",VLOOKUP(D498,'THAM CHIẾU'!$A:$B,2,0))</f>
        <v>#N/A</v>
      </c>
      <c r="C498" s="53" t="str">
        <f t="shared" si="3"/>
        <v>03/2022</v>
      </c>
      <c r="D498" s="54">
        <v>44640.0</v>
      </c>
      <c r="E498" s="55" t="s">
        <v>537</v>
      </c>
      <c r="F498" s="56"/>
      <c r="G498" s="57" t="s">
        <v>173</v>
      </c>
      <c r="H498" s="58" t="str">
        <f>IF(G498="","",VLOOKUP($G498,'Quy chuẩn hạch toán'!$B:$E,2,0))</f>
        <v>641</v>
      </c>
      <c r="I498" s="58" t="str">
        <f>IF(H498="","",VLOOKUP($G498,'Quy chuẩn hạch toán'!$B:$E,3,0))</f>
        <v>331</v>
      </c>
      <c r="J498" s="59">
        <v>2800000.0</v>
      </c>
      <c r="K498" s="60"/>
      <c r="L498" s="61"/>
      <c r="M498" s="62"/>
      <c r="N498" s="63"/>
      <c r="O498" s="64" t="str">
        <f>IF($Q498&lt;&gt;0,VLOOKUP($Q498,DM_KM,3,0),"")</f>
        <v>#N/A</v>
      </c>
      <c r="P498" s="64" t="str">
        <f>IF($Q498&lt;&gt;0,VLOOKUP($Q498,DM_KM,5,0),"")</f>
        <v>#N/A</v>
      </c>
      <c r="Q498" s="65" t="s">
        <v>174</v>
      </c>
      <c r="R498" s="64" t="str">
        <f>IF(S498&lt;&gt;0,VLOOKUP(S498,DM_DUAN,3,0),"")</f>
        <v>#N/A</v>
      </c>
      <c r="S498" s="66" t="str">
        <f>IF(U498&lt;&gt;0,VLOOKUP(U498,DM_DUAN,3,0),"")</f>
        <v>THANHNAM</v>
      </c>
      <c r="T498" s="64"/>
      <c r="U498" s="67" t="s">
        <v>175</v>
      </c>
      <c r="V498" s="64" t="str">
        <f>IF(W498&lt;&gt;0,VLOOKUP(W498,DM_DUAN,3,0),"")</f>
        <v/>
      </c>
      <c r="W498" s="68"/>
      <c r="X498" s="64" t="str">
        <f>IF(Y498&lt;&gt;0,VLOOKUP(Y498,DM_DUAN,3,0),"")</f>
        <v>#N/A</v>
      </c>
      <c r="Y498" s="69" t="s">
        <v>176</v>
      </c>
      <c r="Z498" s="64" t="str">
        <f>IF(AA498&lt;&gt;0,VLOOKUP(AA498,DM_DUAN,3,0),"")</f>
        <v>#N/A</v>
      </c>
      <c r="AA498" s="70" t="s">
        <v>183</v>
      </c>
      <c r="AB498" s="64" t="str">
        <f>IF(AC498&lt;&gt;0,VLOOKUP(AC498,DM_DUAN,3,0),"")</f>
        <v/>
      </c>
      <c r="AC498" s="85"/>
      <c r="AD498" s="64" t="str">
        <f>IF(AC498&lt;&gt;0,VLOOKUP(AC498,DM_NV,2,0),"")</f>
        <v/>
      </c>
      <c r="AE498" s="68"/>
      <c r="AF498" s="64" t="str">
        <f>IF(AE498&lt;&gt;0,VLOOKUP(AE498,DM_NV,2,0),"")</f>
        <v/>
      </c>
    </row>
    <row r="499">
      <c r="A499" s="51"/>
      <c r="B499" s="52" t="str">
        <f>IF(D499="","",VLOOKUP(D499,'THAM CHIẾU'!$A:$B,2,0))</f>
        <v>#N/A</v>
      </c>
      <c r="C499" s="53" t="str">
        <f t="shared" si="3"/>
        <v>03/2022</v>
      </c>
      <c r="D499" s="54">
        <v>44640.0</v>
      </c>
      <c r="E499" s="55" t="s">
        <v>558</v>
      </c>
      <c r="F499" s="56"/>
      <c r="G499" s="57" t="s">
        <v>173</v>
      </c>
      <c r="H499" s="58" t="str">
        <f>IF(G499="","",VLOOKUP($G499,'Quy chuẩn hạch toán'!$B:$E,2,0))</f>
        <v>641</v>
      </c>
      <c r="I499" s="58" t="str">
        <f>IF(H499="","",VLOOKUP($G499,'Quy chuẩn hạch toán'!$B:$E,3,0))</f>
        <v>331</v>
      </c>
      <c r="J499" s="59">
        <v>3032000.0</v>
      </c>
      <c r="K499" s="60"/>
      <c r="L499" s="61"/>
      <c r="M499" s="62"/>
      <c r="N499" s="63"/>
      <c r="O499" s="64" t="str">
        <f>IF($Q499&lt;&gt;0,VLOOKUP($Q499,DM_KM,3,0),"")</f>
        <v>#N/A</v>
      </c>
      <c r="P499" s="64" t="str">
        <f>IF($Q499&lt;&gt;0,VLOOKUP($Q499,DM_KM,5,0),"")</f>
        <v>#N/A</v>
      </c>
      <c r="Q499" s="65" t="s">
        <v>174</v>
      </c>
      <c r="R499" s="64" t="str">
        <f>IF(S499&lt;&gt;0,VLOOKUP(S499,DM_DUAN,3,0),"")</f>
        <v>#N/A</v>
      </c>
      <c r="S499" s="66" t="str">
        <f>IF(U499&lt;&gt;0,VLOOKUP(U499,DM_DUAN,3,0),"")</f>
        <v>THANHNAM</v>
      </c>
      <c r="T499" s="64"/>
      <c r="U499" s="67" t="s">
        <v>530</v>
      </c>
      <c r="V499" s="64" t="str">
        <f>IF(W499&lt;&gt;0,VLOOKUP(W499,DM_DUAN,3,0),"")</f>
        <v/>
      </c>
      <c r="W499" s="68"/>
      <c r="X499" s="64" t="str">
        <f>IF(Y499&lt;&gt;0,VLOOKUP(Y499,DM_DUAN,3,0),"")</f>
        <v>#N/A</v>
      </c>
      <c r="Y499" s="69" t="s">
        <v>176</v>
      </c>
      <c r="Z499" s="64" t="str">
        <f>IF(AA499&lt;&gt;0,VLOOKUP(AA499,DM_DUAN,3,0),"")</f>
        <v>#N/A</v>
      </c>
      <c r="AA499" s="70" t="s">
        <v>177</v>
      </c>
      <c r="AB499" s="64" t="str">
        <f>IF(AC499&lt;&gt;0,VLOOKUP(AC499,DM_DUAN,3,0),"")</f>
        <v/>
      </c>
      <c r="AC499" s="70"/>
      <c r="AD499" s="64" t="str">
        <f>IF(AC499&lt;&gt;0,VLOOKUP(AC499,DM_NV,2,0),"")</f>
        <v/>
      </c>
      <c r="AE499" s="68"/>
      <c r="AF499" s="64" t="str">
        <f>IF(AE499&lt;&gt;0,VLOOKUP(AE499,DM_NV,2,0),"")</f>
        <v/>
      </c>
    </row>
    <row r="500">
      <c r="A500" s="51"/>
      <c r="B500" s="52" t="str">
        <f>IF(D500="","",VLOOKUP(D500,'THAM CHIẾU'!$A:$B,2,0))</f>
        <v>#N/A</v>
      </c>
      <c r="C500" s="53" t="str">
        <f t="shared" si="3"/>
        <v>03/2022</v>
      </c>
      <c r="D500" s="54">
        <v>44641.0</v>
      </c>
      <c r="E500" s="55" t="s">
        <v>559</v>
      </c>
      <c r="F500" s="56"/>
      <c r="G500" s="57" t="s">
        <v>205</v>
      </c>
      <c r="H500" s="58" t="str">
        <f>IF(G500="","",VLOOKUP($G500,'Quy chuẩn hạch toán'!$B:$E,2,0))</f>
        <v>642</v>
      </c>
      <c r="I500" s="58" t="str">
        <f>IF(H500="","",VLOOKUP($G500,'Quy chuẩn hạch toán'!$B:$E,3,0))</f>
        <v>1111</v>
      </c>
      <c r="J500" s="59">
        <v>330828.0</v>
      </c>
      <c r="K500" s="60"/>
      <c r="L500" s="61"/>
      <c r="M500" s="62"/>
      <c r="N500" s="63"/>
      <c r="O500" s="64" t="str">
        <f>IF($Q500&lt;&gt;0,VLOOKUP($Q500,DM_KM,3,0),"")</f>
        <v>#N/A</v>
      </c>
      <c r="P500" s="64" t="str">
        <f>IF($Q500&lt;&gt;0,VLOOKUP($Q500,DM_KM,5,0),"")</f>
        <v>#N/A</v>
      </c>
      <c r="Q500" s="65" t="s">
        <v>222</v>
      </c>
      <c r="R500" s="64" t="str">
        <f>IF(S500&lt;&gt;0,VLOOKUP(S500,DM_DUAN,3,0),"")</f>
        <v>#N/A</v>
      </c>
      <c r="S500" s="66" t="str">
        <f>IF(U500&lt;&gt;0,VLOOKUP(U500,DM_DUAN,3,0),"")</f>
        <v/>
      </c>
      <c r="T500" s="64"/>
      <c r="U500" s="93"/>
      <c r="V500" s="64" t="str">
        <f>IF(W500&lt;&gt;0,VLOOKUP(W500,DM_DUAN,3,0),"")</f>
        <v/>
      </c>
      <c r="W500" s="68"/>
      <c r="X500" s="64" t="str">
        <f>IF(Y500&lt;&gt;0,VLOOKUP(Y500,DM_DUAN,3,0),"")</f>
        <v>#N/A</v>
      </c>
      <c r="Y500" s="69" t="s">
        <v>207</v>
      </c>
      <c r="Z500" s="64" t="str">
        <f>IF(AA500&lt;&gt;0,VLOOKUP(AA500,DM_DUAN,3,0),"")</f>
        <v>#N/A</v>
      </c>
      <c r="AA500" s="70" t="s">
        <v>183</v>
      </c>
      <c r="AB500" s="64" t="str">
        <f>IF(AC500&lt;&gt;0,VLOOKUP(AC500,DM_DUAN,3,0),"")</f>
        <v/>
      </c>
      <c r="AC500" s="85"/>
      <c r="AD500" s="64" t="str">
        <f>IF(AC500&lt;&gt;0,VLOOKUP(AC500,DM_NV,2,0),"")</f>
        <v/>
      </c>
      <c r="AE500" s="83" t="s">
        <v>223</v>
      </c>
      <c r="AF500" s="64" t="str">
        <f>IF(AE500&lt;&gt;0,VLOOKUP(AE500,DM_NV,2,0),"")</f>
        <v>#N/A</v>
      </c>
    </row>
    <row r="501">
      <c r="A501" s="51"/>
      <c r="B501" s="52" t="str">
        <f>IF(D501="","",VLOOKUP(D501,'THAM CHIẾU'!$A:$B,2,0))</f>
        <v>#N/A</v>
      </c>
      <c r="C501" s="53" t="str">
        <f t="shared" si="3"/>
        <v>03/2022</v>
      </c>
      <c r="D501" s="54">
        <v>44641.0</v>
      </c>
      <c r="E501" s="55" t="s">
        <v>559</v>
      </c>
      <c r="F501" s="56"/>
      <c r="G501" s="57" t="s">
        <v>205</v>
      </c>
      <c r="H501" s="58" t="str">
        <f>IF(G501="","",VLOOKUP($G501,'Quy chuẩn hạch toán'!$B:$E,2,0))</f>
        <v>642</v>
      </c>
      <c r="I501" s="58" t="str">
        <f>IF(H501="","",VLOOKUP($G501,'Quy chuẩn hạch toán'!$B:$E,3,0))</f>
        <v>1111</v>
      </c>
      <c r="J501" s="59">
        <v>178138.0</v>
      </c>
      <c r="K501" s="60"/>
      <c r="L501" s="61"/>
      <c r="M501" s="62"/>
      <c r="N501" s="63"/>
      <c r="O501" s="64" t="str">
        <f>IF($Q501&lt;&gt;0,VLOOKUP($Q501,DM_KM,3,0),"")</f>
        <v>#N/A</v>
      </c>
      <c r="P501" s="64" t="str">
        <f>IF($Q501&lt;&gt;0,VLOOKUP($Q501,DM_KM,5,0),"")</f>
        <v>#N/A</v>
      </c>
      <c r="Q501" s="65" t="s">
        <v>222</v>
      </c>
      <c r="R501" s="64" t="str">
        <f>IF(S501&lt;&gt;0,VLOOKUP(S501,DM_DUAN,3,0),"")</f>
        <v>#N/A</v>
      </c>
      <c r="S501" s="66" t="str">
        <f>IF(U501&lt;&gt;0,VLOOKUP(U501,DM_DUAN,3,0),"")</f>
        <v/>
      </c>
      <c r="T501" s="64"/>
      <c r="U501" s="93"/>
      <c r="V501" s="64" t="str">
        <f>IF(W501&lt;&gt;0,VLOOKUP(W501,DM_DUAN,3,0),"")</f>
        <v/>
      </c>
      <c r="W501" s="68"/>
      <c r="X501" s="64" t="str">
        <f>IF(Y501&lt;&gt;0,VLOOKUP(Y501,DM_DUAN,3,0),"")</f>
        <v>#N/A</v>
      </c>
      <c r="Y501" s="69" t="s">
        <v>207</v>
      </c>
      <c r="Z501" s="64" t="str">
        <f>IF(AA501&lt;&gt;0,VLOOKUP(AA501,DM_DUAN,3,0),"")</f>
        <v>#N/A</v>
      </c>
      <c r="AA501" s="70" t="s">
        <v>177</v>
      </c>
      <c r="AB501" s="64" t="str">
        <f>IF(AC501&lt;&gt;0,VLOOKUP(AC501,DM_DUAN,3,0),"")</f>
        <v/>
      </c>
      <c r="AC501" s="85"/>
      <c r="AD501" s="64" t="str">
        <f>IF(AC501&lt;&gt;0,VLOOKUP(AC501,DM_NV,2,0),"")</f>
        <v/>
      </c>
      <c r="AE501" s="83" t="s">
        <v>223</v>
      </c>
      <c r="AF501" s="64" t="str">
        <f>IF(AE501&lt;&gt;0,VLOOKUP(AE501,DM_NV,2,0),"")</f>
        <v>#N/A</v>
      </c>
    </row>
    <row r="502">
      <c r="A502" s="51"/>
      <c r="B502" s="52" t="str">
        <f>IF(D502="","",VLOOKUP(D502,'THAM CHIẾU'!$A:$B,2,0))</f>
        <v>#N/A</v>
      </c>
      <c r="C502" s="53" t="str">
        <f t="shared" si="3"/>
        <v>03/2022</v>
      </c>
      <c r="D502" s="54">
        <v>44641.0</v>
      </c>
      <c r="E502" s="55" t="s">
        <v>559</v>
      </c>
      <c r="F502" s="56"/>
      <c r="G502" s="57" t="s">
        <v>205</v>
      </c>
      <c r="H502" s="58" t="str">
        <f>IF(G502="","",VLOOKUP($G502,'Quy chuẩn hạch toán'!$B:$E,2,0))</f>
        <v>642</v>
      </c>
      <c r="I502" s="58" t="str">
        <f>IF(H502="","",VLOOKUP($G502,'Quy chuẩn hạch toán'!$B:$E,3,0))</f>
        <v>1111</v>
      </c>
      <c r="J502" s="59">
        <v>178138.0</v>
      </c>
      <c r="K502" s="60"/>
      <c r="L502" s="61"/>
      <c r="M502" s="62"/>
      <c r="N502" s="63"/>
      <c r="O502" s="64" t="str">
        <f>IF($Q502&lt;&gt;0,VLOOKUP($Q502,DM_KM,3,0),"")</f>
        <v>#N/A</v>
      </c>
      <c r="P502" s="64" t="str">
        <f>IF($Q502&lt;&gt;0,VLOOKUP($Q502,DM_KM,5,0),"")</f>
        <v>#N/A</v>
      </c>
      <c r="Q502" s="89" t="s">
        <v>222</v>
      </c>
      <c r="R502" s="64" t="str">
        <f>IF(S502&lt;&gt;0,VLOOKUP(S502,DM_DUAN,3,0),"")</f>
        <v>#N/A</v>
      </c>
      <c r="S502" s="66" t="str">
        <f>IF(U502&lt;&gt;0,VLOOKUP(U502,DM_DUAN,3,0),"")</f>
        <v/>
      </c>
      <c r="T502" s="64"/>
      <c r="U502" s="93"/>
      <c r="V502" s="64" t="str">
        <f>IF(W502&lt;&gt;0,VLOOKUP(W502,DM_DUAN,3,0),"")</f>
        <v/>
      </c>
      <c r="W502" s="68"/>
      <c r="X502" s="64" t="str">
        <f>IF(Y502&lt;&gt;0,VLOOKUP(Y502,DM_DUAN,3,0),"")</f>
        <v>#N/A</v>
      </c>
      <c r="Y502" s="69" t="s">
        <v>207</v>
      </c>
      <c r="Z502" s="64" t="str">
        <f>IF(AA502&lt;&gt;0,VLOOKUP(AA502,DM_DUAN,3,0),"")</f>
        <v>#N/A</v>
      </c>
      <c r="AA502" s="131" t="s">
        <v>210</v>
      </c>
      <c r="AB502" s="64" t="str">
        <f>IF(AC502&lt;&gt;0,VLOOKUP(AC502,DM_DUAN,3,0),"")</f>
        <v/>
      </c>
      <c r="AC502" s="85"/>
      <c r="AD502" s="64" t="str">
        <f>IF(AC502&lt;&gt;0,VLOOKUP(AC502,DM_NV,2,0),"")</f>
        <v/>
      </c>
      <c r="AE502" s="83" t="s">
        <v>223</v>
      </c>
      <c r="AF502" s="64" t="str">
        <f>IF(AE502&lt;&gt;0,VLOOKUP(AE502,DM_NV,2,0),"")</f>
        <v>#N/A</v>
      </c>
    </row>
    <row r="503">
      <c r="A503" s="51"/>
      <c r="B503" s="52" t="str">
        <f>IF(D503="","",VLOOKUP(D503,'THAM CHIẾU'!$A:$B,2,0))</f>
        <v>#N/A</v>
      </c>
      <c r="C503" s="53" t="str">
        <f t="shared" si="3"/>
        <v>03/2022</v>
      </c>
      <c r="D503" s="54">
        <v>44641.0</v>
      </c>
      <c r="E503" s="55" t="s">
        <v>559</v>
      </c>
      <c r="F503" s="56"/>
      <c r="G503" s="57" t="s">
        <v>205</v>
      </c>
      <c r="H503" s="58" t="str">
        <f>IF(G503="","",VLOOKUP($G503,'Quy chuẩn hạch toán'!$B:$E,2,0))</f>
        <v>642</v>
      </c>
      <c r="I503" s="58" t="str">
        <f>IF(H503="","",VLOOKUP($G503,'Quy chuẩn hạch toán'!$B:$E,3,0))</f>
        <v>1111</v>
      </c>
      <c r="J503" s="59">
        <v>50897.0</v>
      </c>
      <c r="K503" s="60"/>
      <c r="L503" s="61"/>
      <c r="M503" s="62"/>
      <c r="N503" s="63"/>
      <c r="O503" s="64" t="str">
        <f>IF($Q503&lt;&gt;0,VLOOKUP($Q503,DM_KM,3,0),"")</f>
        <v>#N/A</v>
      </c>
      <c r="P503" s="64" t="str">
        <f>IF($Q503&lt;&gt;0,VLOOKUP($Q503,DM_KM,5,0),"")</f>
        <v>#N/A</v>
      </c>
      <c r="Q503" s="89" t="s">
        <v>222</v>
      </c>
      <c r="R503" s="64" t="str">
        <f>IF(S503&lt;&gt;0,VLOOKUP(S503,DM_DUAN,3,0),"")</f>
        <v>#N/A</v>
      </c>
      <c r="S503" s="66" t="str">
        <f>IF(U503&lt;&gt;0,VLOOKUP(U503,DM_DUAN,3,0),"")</f>
        <v/>
      </c>
      <c r="T503" s="64"/>
      <c r="U503" s="93"/>
      <c r="V503" s="64" t="str">
        <f>IF(W503&lt;&gt;0,VLOOKUP(W503,DM_DUAN,3,0),"")</f>
        <v/>
      </c>
      <c r="W503" s="68"/>
      <c r="X503" s="64" t="str">
        <f>IF(Y503&lt;&gt;0,VLOOKUP(Y503,DM_DUAN,3,0),"")</f>
        <v>#N/A</v>
      </c>
      <c r="Y503" s="69" t="s">
        <v>207</v>
      </c>
      <c r="Z503" s="64" t="str">
        <f>IF(AA503&lt;&gt;0,VLOOKUP(AA503,DM_DUAN,3,0),"")</f>
        <v>#N/A</v>
      </c>
      <c r="AA503" s="70" t="s">
        <v>514</v>
      </c>
      <c r="AB503" s="64" t="str">
        <f>IF(AC503&lt;&gt;0,VLOOKUP(AC503,DM_DUAN,3,0),"")</f>
        <v/>
      </c>
      <c r="AC503" s="85"/>
      <c r="AD503" s="64" t="str">
        <f>IF(AC503&lt;&gt;0,VLOOKUP(AC503,DM_NV,2,0),"")</f>
        <v/>
      </c>
      <c r="AE503" s="83" t="s">
        <v>223</v>
      </c>
      <c r="AF503" s="64" t="str">
        <f>IF(AE503&lt;&gt;0,VLOOKUP(AE503,DM_NV,2,0),"")</f>
        <v>#N/A</v>
      </c>
    </row>
    <row r="504">
      <c r="A504" s="51"/>
      <c r="B504" s="52" t="str">
        <f>IF(D504="","",VLOOKUP(D504,'THAM CHIẾU'!$A:$B,2,0))</f>
        <v>#N/A</v>
      </c>
      <c r="C504" s="53" t="str">
        <f t="shared" si="3"/>
        <v>03/2022</v>
      </c>
      <c r="D504" s="54">
        <v>44642.0</v>
      </c>
      <c r="E504" s="55" t="s">
        <v>560</v>
      </c>
      <c r="F504" s="56"/>
      <c r="G504" s="57" t="s">
        <v>173</v>
      </c>
      <c r="H504" s="58" t="str">
        <f>IF(G504="","",VLOOKUP($G504,'Quy chuẩn hạch toán'!$B:$E,2,0))</f>
        <v>641</v>
      </c>
      <c r="I504" s="58" t="str">
        <f>IF(H504="","",VLOOKUP($G504,'Quy chuẩn hạch toán'!$B:$E,3,0))</f>
        <v>331</v>
      </c>
      <c r="J504" s="59">
        <v>2936000.0</v>
      </c>
      <c r="K504" s="60"/>
      <c r="L504" s="61"/>
      <c r="M504" s="62"/>
      <c r="N504" s="63"/>
      <c r="O504" s="64" t="str">
        <f>IF($Q504&lt;&gt;0,VLOOKUP($Q504,DM_KM,3,0),"")</f>
        <v>#N/A</v>
      </c>
      <c r="P504" s="64" t="str">
        <f>IF($Q504&lt;&gt;0,VLOOKUP($Q504,DM_KM,5,0),"")</f>
        <v>#N/A</v>
      </c>
      <c r="Q504" s="65" t="s">
        <v>174</v>
      </c>
      <c r="R504" s="64" t="str">
        <f>IF(S504&lt;&gt;0,VLOOKUP(S504,DM_DUAN,3,0),"")</f>
        <v>#N/A</v>
      </c>
      <c r="S504" s="66" t="str">
        <f>IF(U504&lt;&gt;0,VLOOKUP(U504,DM_DUAN,3,0),"")</f>
        <v>THANHNAM</v>
      </c>
      <c r="T504" s="64"/>
      <c r="U504" s="67" t="s">
        <v>530</v>
      </c>
      <c r="V504" s="64" t="str">
        <f>IF(W504&lt;&gt;0,VLOOKUP(W504,DM_DUAN,3,0),"")</f>
        <v/>
      </c>
      <c r="W504" s="68"/>
      <c r="X504" s="64" t="str">
        <f>IF(Y504&lt;&gt;0,VLOOKUP(Y504,DM_DUAN,3,0),"")</f>
        <v>#N/A</v>
      </c>
      <c r="Y504" s="69" t="s">
        <v>176</v>
      </c>
      <c r="Z504" s="64" t="str">
        <f>IF(AA504&lt;&gt;0,VLOOKUP(AA504,DM_DUAN,3,0),"")</f>
        <v>#N/A</v>
      </c>
      <c r="AA504" s="70" t="s">
        <v>183</v>
      </c>
      <c r="AB504" s="64" t="str">
        <f>IF(AC504&lt;&gt;0,VLOOKUP(AC504,DM_DUAN,3,0),"")</f>
        <v/>
      </c>
      <c r="AC504" s="85"/>
      <c r="AD504" s="64" t="str">
        <f>IF(AC504&lt;&gt;0,VLOOKUP(AC504,DM_NV,2,0),"")</f>
        <v/>
      </c>
      <c r="AE504" s="68"/>
      <c r="AF504" s="64" t="str">
        <f>IF(AE504&lt;&gt;0,VLOOKUP(AE504,DM_NV,2,0),"")</f>
        <v/>
      </c>
    </row>
    <row r="505">
      <c r="A505" s="51"/>
      <c r="B505" s="52" t="str">
        <f>IF(D505="","",VLOOKUP(D505,'THAM CHIẾU'!$A:$B,2,0))</f>
        <v>#N/A</v>
      </c>
      <c r="C505" s="53" t="str">
        <f t="shared" si="3"/>
        <v>03/2022</v>
      </c>
      <c r="D505" s="54">
        <v>44644.0</v>
      </c>
      <c r="E505" s="55" t="s">
        <v>561</v>
      </c>
      <c r="F505" s="56"/>
      <c r="G505" s="57" t="s">
        <v>173</v>
      </c>
      <c r="H505" s="58" t="str">
        <f>IF(G505="","",VLOOKUP($G505,'Quy chuẩn hạch toán'!$B:$E,2,0))</f>
        <v>641</v>
      </c>
      <c r="I505" s="58" t="str">
        <f>IF(H505="","",VLOOKUP($G505,'Quy chuẩn hạch toán'!$B:$E,3,0))</f>
        <v>331</v>
      </c>
      <c r="J505" s="59">
        <v>1260000.0</v>
      </c>
      <c r="K505" s="60"/>
      <c r="L505" s="61"/>
      <c r="M505" s="62"/>
      <c r="N505" s="63"/>
      <c r="O505" s="64" t="str">
        <f>IF($Q505&lt;&gt;0,VLOOKUP($Q505,DM_KM,3,0),"")</f>
        <v>#N/A</v>
      </c>
      <c r="P505" s="64" t="str">
        <f>IF($Q505&lt;&gt;0,VLOOKUP($Q505,DM_KM,5,0),"")</f>
        <v>#N/A</v>
      </c>
      <c r="Q505" s="65" t="s">
        <v>174</v>
      </c>
      <c r="R505" s="64" t="str">
        <f>IF(S505&lt;&gt;0,VLOOKUP(S505,DM_DUAN,3,0),"")</f>
        <v>#N/A</v>
      </c>
      <c r="S505" s="66" t="str">
        <f>IF(U505&lt;&gt;0,VLOOKUP(U505,DM_DUAN,3,0),"")</f>
        <v>NAMSAIGON</v>
      </c>
      <c r="T505" s="64"/>
      <c r="U505" s="67" t="s">
        <v>215</v>
      </c>
      <c r="V505" s="64" t="str">
        <f>IF(W505&lt;&gt;0,VLOOKUP(W505,DM_DUAN,3,0),"")</f>
        <v/>
      </c>
      <c r="W505" s="68"/>
      <c r="X505" s="64" t="str">
        <f>IF(Y505&lt;&gt;0,VLOOKUP(Y505,DM_DUAN,3,0),"")</f>
        <v>#N/A</v>
      </c>
      <c r="Y505" s="69" t="s">
        <v>176</v>
      </c>
      <c r="Z505" s="64" t="str">
        <f>IF(AA505&lt;&gt;0,VLOOKUP(AA505,DM_DUAN,3,0),"")</f>
        <v>#N/A</v>
      </c>
      <c r="AA505" s="70" t="s">
        <v>177</v>
      </c>
      <c r="AB505" s="64" t="str">
        <f>IF(AC505&lt;&gt;0,VLOOKUP(AC505,DM_DUAN,3,0),"")</f>
        <v/>
      </c>
      <c r="AC505" s="70"/>
      <c r="AD505" s="64" t="str">
        <f>IF(AC505&lt;&gt;0,VLOOKUP(AC505,DM_NV,2,0),"")</f>
        <v/>
      </c>
      <c r="AE505" s="68"/>
      <c r="AF505" s="64" t="str">
        <f>IF(AE505&lt;&gt;0,VLOOKUP(AE505,DM_NV,2,0),"")</f>
        <v/>
      </c>
    </row>
    <row r="506">
      <c r="A506" s="51"/>
      <c r="B506" s="52" t="str">
        <f>IF(D506="","",VLOOKUP(D506,'THAM CHIẾU'!$A:$B,2,0))</f>
        <v>#N/A</v>
      </c>
      <c r="C506" s="53" t="str">
        <f t="shared" si="3"/>
        <v>03/2022</v>
      </c>
      <c r="D506" s="99">
        <v>44645.0</v>
      </c>
      <c r="E506" s="55" t="s">
        <v>562</v>
      </c>
      <c r="F506" s="56"/>
      <c r="G506" s="57" t="s">
        <v>280</v>
      </c>
      <c r="H506" s="58" t="str">
        <f>IF(G506="","",VLOOKUP($G506,'Quy chuẩn hạch toán'!$B:$E,2,0))</f>
        <v>521</v>
      </c>
      <c r="I506" s="58" t="str">
        <f>IF(H506="","",VLOOKUP($G506,'Quy chuẩn hạch toán'!$B:$E,3,0))</f>
        <v>1111</v>
      </c>
      <c r="J506" s="59">
        <f>15907500*2</f>
        <v>31815000</v>
      </c>
      <c r="K506" s="60"/>
      <c r="L506" s="61"/>
      <c r="M506" s="62"/>
      <c r="N506" s="63"/>
      <c r="O506" s="64" t="str">
        <f>IF($Q506&lt;&gt;0,VLOOKUP($Q506,DM_KM,3,0),"")</f>
        <v/>
      </c>
      <c r="P506" s="64" t="str">
        <f>IF($Q506&lt;&gt;0,VLOOKUP($Q506,DM_KM,5,0),"")</f>
        <v/>
      </c>
      <c r="Q506" s="89"/>
      <c r="R506" s="64" t="str">
        <f>IF(S506&lt;&gt;0,VLOOKUP(S506,DM_DUAN,3,0),"")</f>
        <v>#N/A</v>
      </c>
      <c r="S506" s="66" t="str">
        <f>IF(U506&lt;&gt;0,VLOOKUP(U506,DM_DUAN,3,0),"")</f>
        <v>THANHNAM</v>
      </c>
      <c r="T506" s="64"/>
      <c r="U506" s="67" t="s">
        <v>175</v>
      </c>
      <c r="V506" s="64" t="str">
        <f>IF(W506&lt;&gt;0,VLOOKUP(W506,DM_DUAN,3,0),"")</f>
        <v>#N/A</v>
      </c>
      <c r="W506" s="83" t="s">
        <v>516</v>
      </c>
      <c r="X506" s="64" t="str">
        <f>IF(Y506&lt;&gt;0,VLOOKUP(Y506,DM_DUAN,3,0),"")</f>
        <v>#N/A</v>
      </c>
      <c r="Y506" s="84" t="s">
        <v>176</v>
      </c>
      <c r="Z506" s="64" t="str">
        <f>IF(AA506&lt;&gt;0,VLOOKUP(AA506,DM_DUAN,3,0),"")</f>
        <v>#N/A</v>
      </c>
      <c r="AA506" s="131" t="s">
        <v>183</v>
      </c>
      <c r="AB506" s="64" t="str">
        <f>IF(AC506&lt;&gt;0,VLOOKUP(AC506,DM_DUAN,3,0),"")</f>
        <v/>
      </c>
      <c r="AC506" s="85"/>
      <c r="AD506" s="64" t="str">
        <f>IF(AC506&lt;&gt;0,VLOOKUP(AC506,DM_NV,2,0),"")</f>
        <v/>
      </c>
      <c r="AE506" s="83" t="s">
        <v>181</v>
      </c>
      <c r="AF506" s="64" t="str">
        <f>IF(AE506&lt;&gt;0,VLOOKUP(AE506,DM_NV,2,0),"")</f>
        <v>#N/A</v>
      </c>
    </row>
    <row r="507">
      <c r="A507" s="51"/>
      <c r="B507" s="52" t="str">
        <f>IF(D507="","",VLOOKUP(D507,'THAM CHIẾU'!$A:$B,2,0))</f>
        <v>#N/A</v>
      </c>
      <c r="C507" s="53" t="str">
        <f t="shared" si="3"/>
        <v>03/2022</v>
      </c>
      <c r="D507" s="99">
        <v>44645.0</v>
      </c>
      <c r="E507" s="55" t="s">
        <v>563</v>
      </c>
      <c r="F507" s="56"/>
      <c r="G507" s="57" t="s">
        <v>275</v>
      </c>
      <c r="H507" s="58" t="str">
        <f>IF(G507="","",VLOOKUP($G507,'Quy chuẩn hạch toán'!$B:$E,2,0))</f>
        <v>3341</v>
      </c>
      <c r="I507" s="58" t="str">
        <f>IF(H507="","",VLOOKUP($G507,'Quy chuẩn hạch toán'!$B:$E,3,0))</f>
        <v>1111</v>
      </c>
      <c r="J507" s="59">
        <f>45000000-15907500</f>
        <v>29092500</v>
      </c>
      <c r="K507" s="60"/>
      <c r="L507" s="61"/>
      <c r="M507" s="62"/>
      <c r="N507" s="63"/>
      <c r="O507" s="64" t="str">
        <f>IF($Q507&lt;&gt;0,VLOOKUP($Q507,DM_KM,3,0),"")</f>
        <v/>
      </c>
      <c r="P507" s="64" t="str">
        <f>IF($Q507&lt;&gt;0,VLOOKUP($Q507,DM_KM,5,0),"")</f>
        <v/>
      </c>
      <c r="Q507" s="65"/>
      <c r="R507" s="64" t="str">
        <f>IF(S507&lt;&gt;0,VLOOKUP(S507,DM_DUAN,3,0),"")</f>
        <v>#N/A</v>
      </c>
      <c r="S507" s="66" t="str">
        <f>IF(U507&lt;&gt;0,VLOOKUP(U507,DM_DUAN,3,0),"")</f>
        <v>THANHNAM</v>
      </c>
      <c r="T507" s="64"/>
      <c r="U507" s="93" t="s">
        <v>175</v>
      </c>
      <c r="V507" s="64" t="str">
        <f>IF(W507&lt;&gt;0,VLOOKUP(W507,DM_DUAN,3,0),"")</f>
        <v>#N/A</v>
      </c>
      <c r="W507" s="83" t="s">
        <v>516</v>
      </c>
      <c r="X507" s="64" t="str">
        <f>IF(Y507&lt;&gt;0,VLOOKUP(Y507,DM_DUAN,3,0),"")</f>
        <v>#N/A</v>
      </c>
      <c r="Y507" s="84" t="s">
        <v>176</v>
      </c>
      <c r="Z507" s="64" t="str">
        <f>IF(AA507&lt;&gt;0,VLOOKUP(AA507,DM_DUAN,3,0),"")</f>
        <v>#N/A</v>
      </c>
      <c r="AA507" s="131" t="s">
        <v>183</v>
      </c>
      <c r="AB507" s="64" t="str">
        <f>IF(AC507&lt;&gt;0,VLOOKUP(AC507,DM_DUAN,3,0),"")</f>
        <v>#N/A</v>
      </c>
      <c r="AC507" s="85" t="s">
        <v>388</v>
      </c>
      <c r="AD507" s="64" t="str">
        <f>IF(AC507&lt;&gt;0,VLOOKUP(AC507,DM_NV,2,0),"")</f>
        <v>Lâm Hồ Tiểu Ngọc</v>
      </c>
      <c r="AE507" s="83" t="s">
        <v>276</v>
      </c>
      <c r="AF507" s="64" t="str">
        <f>IF(AE507&lt;&gt;0,VLOOKUP(AE507,DM_NV,2,0),"")</f>
        <v>#N/A</v>
      </c>
    </row>
    <row r="508">
      <c r="A508" s="51"/>
      <c r="B508" s="52" t="str">
        <f>IF(D508="","",VLOOKUP(D508,'THAM CHIẾU'!$A:$B,2,0))</f>
        <v>#N/A</v>
      </c>
      <c r="C508" s="53" t="str">
        <f t="shared" si="3"/>
        <v>03/2022</v>
      </c>
      <c r="D508" s="99">
        <v>44645.0</v>
      </c>
      <c r="E508" s="55" t="s">
        <v>564</v>
      </c>
      <c r="F508" s="56"/>
      <c r="G508" s="57" t="s">
        <v>200</v>
      </c>
      <c r="H508" s="58" t="str">
        <f>IF(G508="","",VLOOKUP($G508,'Quy chuẩn hạch toán'!$B:$E,2,0))</f>
        <v>154</v>
      </c>
      <c r="I508" s="58" t="str">
        <f>IF(H508="","",VLOOKUP($G508,'Quy chuẩn hạch toán'!$B:$E,3,0))</f>
        <v>3343</v>
      </c>
      <c r="J508" s="59">
        <v>1000000.0</v>
      </c>
      <c r="K508" s="60"/>
      <c r="L508" s="61"/>
      <c r="M508" s="62"/>
      <c r="N508" s="63"/>
      <c r="O508" s="64" t="str">
        <f>IF($Q508&lt;&gt;0,VLOOKUP($Q508,DM_KM,3,0),"")</f>
        <v/>
      </c>
      <c r="P508" s="64" t="str">
        <f>IF($Q508&lt;&gt;0,VLOOKUP($Q508,DM_KM,5,0),"")</f>
        <v/>
      </c>
      <c r="Q508" s="65"/>
      <c r="R508" s="64" t="str">
        <f>IF(S508&lt;&gt;0,VLOOKUP(S508,DM_DUAN,3,0),"")</f>
        <v>#N/A</v>
      </c>
      <c r="S508" s="66" t="str">
        <f>IF(U508&lt;&gt;0,VLOOKUP(U508,DM_DUAN,3,0),"")</f>
        <v>THANHNAM</v>
      </c>
      <c r="T508" s="64"/>
      <c r="U508" s="93" t="s">
        <v>175</v>
      </c>
      <c r="V508" s="64" t="str">
        <f>IF(W508&lt;&gt;0,VLOOKUP(W508,DM_DUAN,3,0),"")</f>
        <v>#N/A</v>
      </c>
      <c r="W508" s="83" t="s">
        <v>516</v>
      </c>
      <c r="X508" s="64" t="str">
        <f>IF(Y508&lt;&gt;0,VLOOKUP(Y508,DM_DUAN,3,0),"")</f>
        <v>#N/A</v>
      </c>
      <c r="Y508" s="84" t="s">
        <v>176</v>
      </c>
      <c r="Z508" s="64" t="str">
        <f>IF(AA508&lt;&gt;0,VLOOKUP(AA508,DM_DUAN,3,0),"")</f>
        <v>#N/A</v>
      </c>
      <c r="AA508" s="131" t="s">
        <v>183</v>
      </c>
      <c r="AB508" s="64" t="str">
        <f>IF(AC508&lt;&gt;0,VLOOKUP(AC508,DM_DUAN,3,0),"")</f>
        <v/>
      </c>
      <c r="AC508" s="85"/>
      <c r="AD508" s="64" t="str">
        <f>IF(AC508&lt;&gt;0,VLOOKUP(AC508,DM_NV,2,0),"")</f>
        <v/>
      </c>
      <c r="AE508" s="68"/>
      <c r="AF508" s="64" t="str">
        <f>IF(AE508&lt;&gt;0,VLOOKUP(AE508,DM_NV,2,0),"")</f>
        <v/>
      </c>
    </row>
    <row r="509">
      <c r="A509" s="51"/>
      <c r="B509" s="52" t="str">
        <f>IF(D509="","",VLOOKUP(D509,'THAM CHIẾU'!$A:$B,2,0))</f>
        <v>#N/A</v>
      </c>
      <c r="C509" s="53" t="str">
        <f t="shared" si="3"/>
        <v>03/2022</v>
      </c>
      <c r="D509" s="99">
        <v>44645.0</v>
      </c>
      <c r="E509" s="55" t="s">
        <v>565</v>
      </c>
      <c r="F509" s="56"/>
      <c r="G509" s="57" t="s">
        <v>282</v>
      </c>
      <c r="H509" s="58" t="str">
        <f>IF(G509="","",VLOOKUP($G509,'Quy chuẩn hạch toán'!$B:$E,2,0))</f>
        <v>1111</v>
      </c>
      <c r="I509" s="58" t="str">
        <f>IF(H509="","",VLOOKUP($G509,'Quy chuẩn hạch toán'!$B:$E,3,0))</f>
        <v>131</v>
      </c>
      <c r="J509" s="59">
        <v>1.5E8</v>
      </c>
      <c r="K509" s="60"/>
      <c r="L509" s="61"/>
      <c r="M509" s="62"/>
      <c r="N509" s="63"/>
      <c r="O509" s="64" t="str">
        <f>IF($Q509&lt;&gt;0,VLOOKUP($Q509,DM_KM,3,0),"")</f>
        <v/>
      </c>
      <c r="P509" s="64" t="str">
        <f>IF($Q509&lt;&gt;0,VLOOKUP($Q509,DM_KM,5,0),"")</f>
        <v/>
      </c>
      <c r="Q509" s="89"/>
      <c r="R509" s="64" t="str">
        <f>IF(S509&lt;&gt;0,VLOOKUP(S509,DM_DUAN,3,0),"")</f>
        <v>#N/A</v>
      </c>
      <c r="S509" s="66" t="str">
        <f>IF(U509&lt;&gt;0,VLOOKUP(U509,DM_DUAN,3,0),"")</f>
        <v>THANHNAM</v>
      </c>
      <c r="T509" s="64"/>
      <c r="U509" s="93" t="s">
        <v>175</v>
      </c>
      <c r="V509" s="64" t="str">
        <f>IF(W509&lt;&gt;0,VLOOKUP(W509,DM_DUAN,3,0),"")</f>
        <v>#N/A</v>
      </c>
      <c r="W509" s="83" t="s">
        <v>516</v>
      </c>
      <c r="X509" s="64" t="str">
        <f>IF(Y509&lt;&gt;0,VLOOKUP(Y509,DM_DUAN,3,0),"")</f>
        <v>#N/A</v>
      </c>
      <c r="Y509" s="84" t="s">
        <v>176</v>
      </c>
      <c r="Z509" s="64" t="str">
        <f>IF(AA509&lt;&gt;0,VLOOKUP(AA509,DM_DUAN,3,0),"")</f>
        <v>#N/A</v>
      </c>
      <c r="AA509" s="70" t="s">
        <v>183</v>
      </c>
      <c r="AB509" s="64" t="str">
        <f>IF(AC509&lt;&gt;0,VLOOKUP(AC509,DM_DUAN,3,0),"")</f>
        <v/>
      </c>
      <c r="AC509" s="85"/>
      <c r="AD509" s="64" t="str">
        <f>IF(AC509&lt;&gt;0,VLOOKUP(AC509,DM_NV,2,0),"")</f>
        <v/>
      </c>
      <c r="AE509" s="83" t="s">
        <v>276</v>
      </c>
      <c r="AF509" s="64" t="str">
        <f>IF(AE509&lt;&gt;0,VLOOKUP(AE509,DM_NV,2,0),"")</f>
        <v>#N/A</v>
      </c>
    </row>
    <row r="510">
      <c r="A510" s="51"/>
      <c r="B510" s="52" t="str">
        <f>IF(D510="","",VLOOKUP(D510,'THAM CHIẾU'!$A:$B,2,0))</f>
        <v>#N/A</v>
      </c>
      <c r="C510" s="53" t="str">
        <f t="shared" si="3"/>
        <v>03/2022</v>
      </c>
      <c r="D510" s="54">
        <v>44645.0</v>
      </c>
      <c r="E510" s="55" t="s">
        <v>566</v>
      </c>
      <c r="F510" s="56"/>
      <c r="G510" s="57" t="s">
        <v>173</v>
      </c>
      <c r="H510" s="58" t="str">
        <f>IF(G510="","",VLOOKUP($G510,'Quy chuẩn hạch toán'!$B:$E,2,0))</f>
        <v>641</v>
      </c>
      <c r="I510" s="58" t="str">
        <f>IF(H510="","",VLOOKUP($G510,'Quy chuẩn hạch toán'!$B:$E,3,0))</f>
        <v>331</v>
      </c>
      <c r="J510" s="59">
        <v>2400000.0</v>
      </c>
      <c r="K510" s="60"/>
      <c r="L510" s="61"/>
      <c r="M510" s="62"/>
      <c r="N510" s="63"/>
      <c r="O510" s="64" t="str">
        <f>IF($Q510&lt;&gt;0,VLOOKUP($Q510,DM_KM,3,0),"")</f>
        <v>#N/A</v>
      </c>
      <c r="P510" s="64" t="str">
        <f>IF($Q510&lt;&gt;0,VLOOKUP($Q510,DM_KM,5,0),"")</f>
        <v>#N/A</v>
      </c>
      <c r="Q510" s="65" t="s">
        <v>174</v>
      </c>
      <c r="R510" s="64" t="str">
        <f>IF(S510&lt;&gt;0,VLOOKUP(S510,DM_DUAN,3,0),"")</f>
        <v>#N/A</v>
      </c>
      <c r="S510" s="66" t="str">
        <f>IF(U510&lt;&gt;0,VLOOKUP(U510,DM_DUAN,3,0),"")</f>
        <v>THANHNAM</v>
      </c>
      <c r="T510" s="64"/>
      <c r="U510" s="67" t="s">
        <v>530</v>
      </c>
      <c r="V510" s="64" t="str">
        <f>IF(W510&lt;&gt;0,VLOOKUP(W510,DM_DUAN,3,0),"")</f>
        <v/>
      </c>
      <c r="W510" s="68"/>
      <c r="X510" s="64" t="str">
        <f>IF(Y510&lt;&gt;0,VLOOKUP(Y510,DM_DUAN,3,0),"")</f>
        <v>#N/A</v>
      </c>
      <c r="Y510" s="69" t="s">
        <v>176</v>
      </c>
      <c r="Z510" s="64" t="str">
        <f>IF(AA510&lt;&gt;0,VLOOKUP(AA510,DM_DUAN,3,0),"")</f>
        <v>#N/A</v>
      </c>
      <c r="AA510" s="70" t="s">
        <v>183</v>
      </c>
      <c r="AB510" s="64" t="str">
        <f>IF(AC510&lt;&gt;0,VLOOKUP(AC510,DM_DUAN,3,0),"")</f>
        <v/>
      </c>
      <c r="AC510" s="85"/>
      <c r="AD510" s="64" t="str">
        <f>IF(AC510&lt;&gt;0,VLOOKUP(AC510,DM_NV,2,0),"")</f>
        <v/>
      </c>
      <c r="AE510" s="68"/>
      <c r="AF510" s="64" t="str">
        <f>IF(AE510&lt;&gt;0,VLOOKUP(AE510,DM_NV,2,0),"")</f>
        <v/>
      </c>
    </row>
    <row r="511">
      <c r="A511" s="51"/>
      <c r="B511" s="52" t="str">
        <f>IF(D511="","",VLOOKUP(D511,'THAM CHIẾU'!$A:$B,2,0))</f>
        <v>#N/A</v>
      </c>
      <c r="C511" s="53" t="str">
        <f t="shared" si="3"/>
        <v>03/2022</v>
      </c>
      <c r="D511" s="54">
        <v>44646.0</v>
      </c>
      <c r="E511" s="55" t="s">
        <v>513</v>
      </c>
      <c r="F511" s="56"/>
      <c r="G511" s="137" t="s">
        <v>567</v>
      </c>
      <c r="H511" s="58" t="str">
        <f>IF(G511="","",VLOOKUP($G511,'Quy chuẩn hạch toán'!$B:$E,2,0))</f>
        <v>154</v>
      </c>
      <c r="I511" s="58" t="str">
        <f>IF(H511="","",VLOOKUP($G511,'Quy chuẩn hạch toán'!$B:$E,3,0))</f>
        <v>1111</v>
      </c>
      <c r="J511" s="59">
        <v>23214.0</v>
      </c>
      <c r="K511" s="60"/>
      <c r="L511" s="61"/>
      <c r="M511" s="62"/>
      <c r="N511" s="63"/>
      <c r="O511" s="64" t="str">
        <f>IF($Q511&lt;&gt;0,VLOOKUP($Q511,DM_KM,3,0),"")</f>
        <v>#N/A</v>
      </c>
      <c r="P511" s="64" t="str">
        <f>IF($Q511&lt;&gt;0,VLOOKUP($Q511,DM_KM,5,0),"")</f>
        <v>#N/A</v>
      </c>
      <c r="Q511" s="65" t="s">
        <v>222</v>
      </c>
      <c r="R511" s="64" t="str">
        <f>IF(S511&lt;&gt;0,VLOOKUP(S511,DM_DUAN,3,0),"")</f>
        <v>#N/A</v>
      </c>
      <c r="S511" s="66" t="str">
        <f>IF(U511&lt;&gt;0,VLOOKUP(U511,DM_DUAN,3,0),"")</f>
        <v/>
      </c>
      <c r="T511" s="64"/>
      <c r="U511" s="93"/>
      <c r="V511" s="64" t="str">
        <f>IF(W511&lt;&gt;0,VLOOKUP(W511,DM_DUAN,3,0),"")</f>
        <v/>
      </c>
      <c r="W511" s="68"/>
      <c r="X511" s="64" t="str">
        <f>IF(Y511&lt;&gt;0,VLOOKUP(Y511,DM_DUAN,3,0),"")</f>
        <v>#N/A</v>
      </c>
      <c r="Y511" s="69" t="s">
        <v>207</v>
      </c>
      <c r="Z511" s="64" t="str">
        <f>IF(AA511&lt;&gt;0,VLOOKUP(AA511,DM_DUAN,3,0),"")</f>
        <v>#N/A</v>
      </c>
      <c r="AA511" s="70" t="s">
        <v>183</v>
      </c>
      <c r="AB511" s="64" t="str">
        <f>IF(AC511&lt;&gt;0,VLOOKUP(AC511,DM_DUAN,3,0),"")</f>
        <v/>
      </c>
      <c r="AC511" s="85"/>
      <c r="AD511" s="64" t="str">
        <f>IF(AC511&lt;&gt;0,VLOOKUP(AC511,DM_NV,2,0),"")</f>
        <v/>
      </c>
      <c r="AE511" s="68"/>
      <c r="AF511" s="64" t="str">
        <f>IF(AE511&lt;&gt;0,VLOOKUP(AE511,DM_NV,2,0),"")</f>
        <v/>
      </c>
    </row>
    <row r="512">
      <c r="A512" s="51"/>
      <c r="B512" s="52" t="str">
        <f>IF(D512="","",VLOOKUP(D512,'THAM CHIẾU'!$A:$B,2,0))</f>
        <v>#N/A</v>
      </c>
      <c r="C512" s="53" t="str">
        <f t="shared" si="3"/>
        <v>03/2022</v>
      </c>
      <c r="D512" s="54">
        <v>44646.0</v>
      </c>
      <c r="E512" s="55" t="s">
        <v>568</v>
      </c>
      <c r="F512" s="56"/>
      <c r="G512" s="57" t="s">
        <v>173</v>
      </c>
      <c r="H512" s="58" t="str">
        <f>IF(G512="","",VLOOKUP($G512,'Quy chuẩn hạch toán'!$B:$E,2,0))</f>
        <v>641</v>
      </c>
      <c r="I512" s="58" t="str">
        <f>IF(H512="","",VLOOKUP($G512,'Quy chuẩn hạch toán'!$B:$E,3,0))</f>
        <v>331</v>
      </c>
      <c r="J512" s="59">
        <v>1676000.0</v>
      </c>
      <c r="K512" s="60"/>
      <c r="L512" s="61"/>
      <c r="M512" s="62"/>
      <c r="N512" s="63"/>
      <c r="O512" s="64" t="str">
        <f>IF($Q512&lt;&gt;0,VLOOKUP($Q512,DM_KM,3,0),"")</f>
        <v>#N/A</v>
      </c>
      <c r="P512" s="64" t="str">
        <f>IF($Q512&lt;&gt;0,VLOOKUP($Q512,DM_KM,5,0),"")</f>
        <v>#N/A</v>
      </c>
      <c r="Q512" s="65" t="s">
        <v>174</v>
      </c>
      <c r="R512" s="64" t="str">
        <f>IF(S512&lt;&gt;0,VLOOKUP(S512,DM_DUAN,3,0),"")</f>
        <v>#N/A</v>
      </c>
      <c r="S512" s="66" t="str">
        <f>IF(U512&lt;&gt;0,VLOOKUP(U512,DM_DUAN,3,0),"")</f>
        <v>NAMSAIGON</v>
      </c>
      <c r="T512" s="64"/>
      <c r="U512" s="67" t="s">
        <v>215</v>
      </c>
      <c r="V512" s="64" t="str">
        <f>IF(W512&lt;&gt;0,VLOOKUP(W512,DM_DUAN,3,0),"")</f>
        <v/>
      </c>
      <c r="W512" s="68"/>
      <c r="X512" s="64" t="str">
        <f>IF(Y512&lt;&gt;0,VLOOKUP(Y512,DM_DUAN,3,0),"")</f>
        <v>#N/A</v>
      </c>
      <c r="Y512" s="69" t="s">
        <v>176</v>
      </c>
      <c r="Z512" s="64" t="str">
        <f>IF(AA512&lt;&gt;0,VLOOKUP(AA512,DM_DUAN,3,0),"")</f>
        <v>#N/A</v>
      </c>
      <c r="AA512" s="70" t="s">
        <v>177</v>
      </c>
      <c r="AB512" s="64" t="str">
        <f>IF(AC512&lt;&gt;0,VLOOKUP(AC512,DM_DUAN,3,0),"")</f>
        <v/>
      </c>
      <c r="AC512" s="70"/>
      <c r="AD512" s="64" t="str">
        <f>IF(AC512&lt;&gt;0,VLOOKUP(AC512,DM_NV,2,0),"")</f>
        <v/>
      </c>
      <c r="AE512" s="68"/>
      <c r="AF512" s="64" t="str">
        <f>IF(AE512&lt;&gt;0,VLOOKUP(AE512,DM_NV,2,0),"")</f>
        <v/>
      </c>
    </row>
    <row r="513">
      <c r="A513" s="51"/>
      <c r="B513" s="52" t="str">
        <f>IF(D513="","",VLOOKUP(D513,'THAM CHIẾU'!$A:$B,2,0))</f>
        <v>#N/A</v>
      </c>
      <c r="C513" s="53" t="str">
        <f t="shared" si="3"/>
        <v>03/2022</v>
      </c>
      <c r="D513" s="54">
        <v>44647.0</v>
      </c>
      <c r="E513" s="55" t="s">
        <v>543</v>
      </c>
      <c r="F513" s="56"/>
      <c r="G513" s="57" t="s">
        <v>173</v>
      </c>
      <c r="H513" s="58" t="str">
        <f>IF(G513="","",VLOOKUP($G513,'Quy chuẩn hạch toán'!$B:$E,2,0))</f>
        <v>641</v>
      </c>
      <c r="I513" s="58" t="str">
        <f>IF(H513="","",VLOOKUP($G513,'Quy chuẩn hạch toán'!$B:$E,3,0))</f>
        <v>331</v>
      </c>
      <c r="J513" s="59">
        <v>2800000.0</v>
      </c>
      <c r="K513" s="60"/>
      <c r="L513" s="61"/>
      <c r="M513" s="62"/>
      <c r="N513" s="63"/>
      <c r="O513" s="64" t="str">
        <f>IF($Q513&lt;&gt;0,VLOOKUP($Q513,DM_KM,3,0),"")</f>
        <v>#N/A</v>
      </c>
      <c r="P513" s="64" t="str">
        <f>IF($Q513&lt;&gt;0,VLOOKUP($Q513,DM_KM,5,0),"")</f>
        <v>#N/A</v>
      </c>
      <c r="Q513" s="65" t="s">
        <v>174</v>
      </c>
      <c r="R513" s="64" t="str">
        <f>IF(S513&lt;&gt;0,VLOOKUP(S513,DM_DUAN,3,0),"")</f>
        <v>#N/A</v>
      </c>
      <c r="S513" s="66" t="str">
        <f>IF(U513&lt;&gt;0,VLOOKUP(U513,DM_DUAN,3,0),"")</f>
        <v>THANHNAM</v>
      </c>
      <c r="T513" s="64"/>
      <c r="U513" s="67" t="s">
        <v>175</v>
      </c>
      <c r="V513" s="64" t="str">
        <f>IF(W513&lt;&gt;0,VLOOKUP(W513,DM_DUAN,3,0),"")</f>
        <v/>
      </c>
      <c r="W513" s="68"/>
      <c r="X513" s="64" t="str">
        <f>IF(Y513&lt;&gt;0,VLOOKUP(Y513,DM_DUAN,3,0),"")</f>
        <v>#N/A</v>
      </c>
      <c r="Y513" s="69" t="s">
        <v>176</v>
      </c>
      <c r="Z513" s="64" t="str">
        <f>IF(AA513&lt;&gt;0,VLOOKUP(AA513,DM_DUAN,3,0),"")</f>
        <v>#N/A</v>
      </c>
      <c r="AA513" s="70" t="s">
        <v>183</v>
      </c>
      <c r="AB513" s="64" t="str">
        <f>IF(AC513&lt;&gt;0,VLOOKUP(AC513,DM_DUAN,3,0),"")</f>
        <v/>
      </c>
      <c r="AC513" s="85"/>
      <c r="AD513" s="64" t="str">
        <f>IF(AC513&lt;&gt;0,VLOOKUP(AC513,DM_NV,2,0),"")</f>
        <v/>
      </c>
      <c r="AE513" s="68"/>
      <c r="AF513" s="64" t="str">
        <f>IF(AE513&lt;&gt;0,VLOOKUP(AE513,DM_NV,2,0),"")</f>
        <v/>
      </c>
    </row>
    <row r="514">
      <c r="A514" s="51"/>
      <c r="B514" s="52" t="str">
        <f>IF(D514="","",VLOOKUP(D514,'THAM CHIẾU'!$A:$B,2,0))</f>
        <v>#N/A</v>
      </c>
      <c r="C514" s="53" t="str">
        <f t="shared" si="3"/>
        <v>03/2022</v>
      </c>
      <c r="D514" s="54">
        <v>44647.0</v>
      </c>
      <c r="E514" s="55" t="s">
        <v>569</v>
      </c>
      <c r="F514" s="56"/>
      <c r="G514" s="57" t="s">
        <v>173</v>
      </c>
      <c r="H514" s="58" t="str">
        <f>IF(G514="","",VLOOKUP($G514,'Quy chuẩn hạch toán'!$B:$E,2,0))</f>
        <v>641</v>
      </c>
      <c r="I514" s="58" t="str">
        <f>IF(H514="","",VLOOKUP($G514,'Quy chuẩn hạch toán'!$B:$E,3,0))</f>
        <v>331</v>
      </c>
      <c r="J514" s="59">
        <v>300000.0</v>
      </c>
      <c r="K514" s="60"/>
      <c r="L514" s="61"/>
      <c r="M514" s="62"/>
      <c r="N514" s="63"/>
      <c r="O514" s="64" t="str">
        <f>IF($Q514&lt;&gt;0,VLOOKUP($Q514,DM_KM,3,0),"")</f>
        <v>#N/A</v>
      </c>
      <c r="P514" s="64" t="str">
        <f>IF($Q514&lt;&gt;0,VLOOKUP($Q514,DM_KM,5,0),"")</f>
        <v>#N/A</v>
      </c>
      <c r="Q514" s="65" t="s">
        <v>174</v>
      </c>
      <c r="R514" s="64" t="str">
        <f>IF(S514&lt;&gt;0,VLOOKUP(S514,DM_DUAN,3,0),"")</f>
        <v>#N/A</v>
      </c>
      <c r="S514" s="66" t="str">
        <f>IF(U514&lt;&gt;0,VLOOKUP(U514,DM_DUAN,3,0),"")</f>
        <v/>
      </c>
      <c r="T514" s="64"/>
      <c r="U514" s="93"/>
      <c r="V514" s="64" t="str">
        <f>IF(W514&lt;&gt;0,VLOOKUP(W514,DM_DUAN,3,0),"")</f>
        <v/>
      </c>
      <c r="W514" s="68"/>
      <c r="X514" s="64" t="str">
        <f>IF(Y514&lt;&gt;0,VLOOKUP(Y514,DM_DUAN,3,0),"")</f>
        <v>#N/A</v>
      </c>
      <c r="Y514" s="69" t="s">
        <v>176</v>
      </c>
      <c r="Z514" s="64" t="str">
        <f>IF(AA514&lt;&gt;0,VLOOKUP(AA514,DM_DUAN,3,0),"")</f>
        <v>#N/A</v>
      </c>
      <c r="AA514" s="70" t="s">
        <v>183</v>
      </c>
      <c r="AB514" s="64" t="str">
        <f>IF(AC514&lt;&gt;0,VLOOKUP(AC514,DM_DUAN,3,0),"")</f>
        <v/>
      </c>
      <c r="AC514" s="85"/>
      <c r="AD514" s="64" t="str">
        <f>IF(AC514&lt;&gt;0,VLOOKUP(AC514,DM_NV,2,0),"")</f>
        <v/>
      </c>
      <c r="AE514" s="68"/>
      <c r="AF514" s="64" t="str">
        <f>IF(AE514&lt;&gt;0,VLOOKUP(AE514,DM_NV,2,0),"")</f>
        <v/>
      </c>
    </row>
    <row r="515">
      <c r="A515" s="51"/>
      <c r="B515" s="52" t="str">
        <f>IF(D515="","",VLOOKUP(D515,'THAM CHIẾU'!$A:$B,2,0))</f>
        <v>#N/A</v>
      </c>
      <c r="C515" s="53" t="str">
        <f t="shared" si="3"/>
        <v>03/2022</v>
      </c>
      <c r="D515" s="54">
        <v>44647.0</v>
      </c>
      <c r="E515" s="55" t="s">
        <v>570</v>
      </c>
      <c r="F515" s="56"/>
      <c r="G515" s="57" t="s">
        <v>173</v>
      </c>
      <c r="H515" s="58" t="str">
        <f>IF(G515="","",VLOOKUP($G515,'Quy chuẩn hạch toán'!$B:$E,2,0))</f>
        <v>641</v>
      </c>
      <c r="I515" s="58" t="str">
        <f>IF(H515="","",VLOOKUP($G515,'Quy chuẩn hạch toán'!$B:$E,3,0))</f>
        <v>331</v>
      </c>
      <c r="J515" s="59">
        <v>3056000.0</v>
      </c>
      <c r="K515" s="60"/>
      <c r="L515" s="61"/>
      <c r="M515" s="62"/>
      <c r="N515" s="63"/>
      <c r="O515" s="64" t="str">
        <f>IF($Q515&lt;&gt;0,VLOOKUP($Q515,DM_KM,3,0),"")</f>
        <v>#N/A</v>
      </c>
      <c r="P515" s="64" t="str">
        <f>IF($Q515&lt;&gt;0,VLOOKUP($Q515,DM_KM,5,0),"")</f>
        <v>#N/A</v>
      </c>
      <c r="Q515" s="65" t="s">
        <v>174</v>
      </c>
      <c r="R515" s="64" t="str">
        <f>IF(S515&lt;&gt;0,VLOOKUP(S515,DM_DUAN,3,0),"")</f>
        <v>#N/A</v>
      </c>
      <c r="S515" s="66" t="str">
        <f>IF(U515&lt;&gt;0,VLOOKUP(U515,DM_DUAN,3,0),"")</f>
        <v>THANHNAM</v>
      </c>
      <c r="T515" s="64"/>
      <c r="U515" s="67" t="s">
        <v>530</v>
      </c>
      <c r="V515" s="64" t="str">
        <f>IF(W515&lt;&gt;0,VLOOKUP(W515,DM_DUAN,3,0),"")</f>
        <v/>
      </c>
      <c r="W515" s="68"/>
      <c r="X515" s="64" t="str">
        <f>IF(Y515&lt;&gt;0,VLOOKUP(Y515,DM_DUAN,3,0),"")</f>
        <v>#N/A</v>
      </c>
      <c r="Y515" s="69" t="s">
        <v>176</v>
      </c>
      <c r="Z515" s="64" t="str">
        <f>IF(AA515&lt;&gt;0,VLOOKUP(AA515,DM_DUAN,3,0),"")</f>
        <v>#N/A</v>
      </c>
      <c r="AA515" s="70" t="s">
        <v>183</v>
      </c>
      <c r="AB515" s="64" t="str">
        <f>IF(AC515&lt;&gt;0,VLOOKUP(AC515,DM_DUAN,3,0),"")</f>
        <v/>
      </c>
      <c r="AC515" s="85"/>
      <c r="AD515" s="64" t="str">
        <f>IF(AC515&lt;&gt;0,VLOOKUP(AC515,DM_NV,2,0),"")</f>
        <v/>
      </c>
      <c r="AE515" s="68"/>
      <c r="AF515" s="64" t="str">
        <f>IF(AE515&lt;&gt;0,VLOOKUP(AE515,DM_NV,2,0),"")</f>
        <v/>
      </c>
    </row>
    <row r="516">
      <c r="A516" s="51"/>
      <c r="B516" s="52" t="str">
        <f>IF(D516="","",VLOOKUP(D516,'THAM CHIẾU'!$A:$B,2,0))</f>
        <v>#N/A</v>
      </c>
      <c r="C516" s="53" t="str">
        <f t="shared" si="3"/>
        <v>03/2022</v>
      </c>
      <c r="D516" s="54">
        <v>44647.0</v>
      </c>
      <c r="E516" s="55" t="s">
        <v>571</v>
      </c>
      <c r="F516" s="56"/>
      <c r="G516" s="57" t="s">
        <v>173</v>
      </c>
      <c r="H516" s="58" t="str">
        <f>IF(G516="","",VLOOKUP($G516,'Quy chuẩn hạch toán'!$B:$E,2,0))</f>
        <v>641</v>
      </c>
      <c r="I516" s="58" t="str">
        <f>IF(H516="","",VLOOKUP($G516,'Quy chuẩn hạch toán'!$B:$E,3,0))</f>
        <v>331</v>
      </c>
      <c r="J516" s="59">
        <v>3616000.0</v>
      </c>
      <c r="K516" s="60"/>
      <c r="L516" s="61"/>
      <c r="M516" s="62"/>
      <c r="N516" s="63"/>
      <c r="O516" s="64" t="str">
        <f>IF($Q516&lt;&gt;0,VLOOKUP($Q516,DM_KM,3,0),"")</f>
        <v>#N/A</v>
      </c>
      <c r="P516" s="64" t="str">
        <f>IF($Q516&lt;&gt;0,VLOOKUP($Q516,DM_KM,5,0),"")</f>
        <v>#N/A</v>
      </c>
      <c r="Q516" s="65" t="s">
        <v>174</v>
      </c>
      <c r="R516" s="64" t="str">
        <f>IF(S516&lt;&gt;0,VLOOKUP(S516,DM_DUAN,3,0),"")</f>
        <v>#N/A</v>
      </c>
      <c r="S516" s="66" t="str">
        <f>IF(U516&lt;&gt;0,VLOOKUP(U516,DM_DUAN,3,0),"")</f>
        <v>THANHNAM</v>
      </c>
      <c r="T516" s="64"/>
      <c r="U516" s="67" t="s">
        <v>530</v>
      </c>
      <c r="V516" s="64" t="str">
        <f>IF(W516&lt;&gt;0,VLOOKUP(W516,DM_DUAN,3,0),"")</f>
        <v/>
      </c>
      <c r="W516" s="68"/>
      <c r="X516" s="64" t="str">
        <f>IF(Y516&lt;&gt;0,VLOOKUP(Y516,DM_DUAN,3,0),"")</f>
        <v>#N/A</v>
      </c>
      <c r="Y516" s="69" t="s">
        <v>176</v>
      </c>
      <c r="Z516" s="64" t="str">
        <f>IF(AA516&lt;&gt;0,VLOOKUP(AA516,DM_DUAN,3,0),"")</f>
        <v>#N/A</v>
      </c>
      <c r="AA516" s="70" t="s">
        <v>177</v>
      </c>
      <c r="AB516" s="64" t="str">
        <f>IF(AC516&lt;&gt;0,VLOOKUP(AC516,DM_DUAN,3,0),"")</f>
        <v/>
      </c>
      <c r="AC516" s="70"/>
      <c r="AD516" s="64" t="str">
        <f>IF(AC516&lt;&gt;0,VLOOKUP(AC516,DM_NV,2,0),"")</f>
        <v/>
      </c>
      <c r="AE516" s="68"/>
      <c r="AF516" s="64" t="str">
        <f>IF(AE516&lt;&gt;0,VLOOKUP(AE516,DM_NV,2,0),"")</f>
        <v/>
      </c>
    </row>
    <row r="517">
      <c r="A517" s="51"/>
      <c r="B517" s="52" t="str">
        <f>IF(D517="","",VLOOKUP(D517,'THAM CHIẾU'!$A:$B,2,0))</f>
        <v>#N/A</v>
      </c>
      <c r="C517" s="53" t="str">
        <f t="shared" si="3"/>
        <v>03/2022</v>
      </c>
      <c r="D517" s="54">
        <v>44648.0</v>
      </c>
      <c r="E517" s="55" t="s">
        <v>572</v>
      </c>
      <c r="F517" s="56"/>
      <c r="G517" s="57" t="s">
        <v>205</v>
      </c>
      <c r="H517" s="58" t="str">
        <f>IF(G517="","",VLOOKUP($G517,'Quy chuẩn hạch toán'!$B:$E,2,0))</f>
        <v>642</v>
      </c>
      <c r="I517" s="58" t="str">
        <f>IF(H517="","",VLOOKUP($G517,'Quy chuẩn hạch toán'!$B:$E,3,0))</f>
        <v>1111</v>
      </c>
      <c r="J517" s="59">
        <v>69034.0</v>
      </c>
      <c r="K517" s="60"/>
      <c r="L517" s="61"/>
      <c r="M517" s="62"/>
      <c r="N517" s="63"/>
      <c r="O517" s="64" t="str">
        <f>IF($Q517&lt;&gt;0,VLOOKUP($Q517,DM_KM,3,0),"")</f>
        <v>#N/A</v>
      </c>
      <c r="P517" s="64" t="str">
        <f>IF($Q517&lt;&gt;0,VLOOKUP($Q517,DM_KM,5,0),"")</f>
        <v>#N/A</v>
      </c>
      <c r="Q517" s="138" t="s">
        <v>573</v>
      </c>
      <c r="R517" s="64" t="str">
        <f>IF(S517&lt;&gt;0,VLOOKUP(S517,DM_DUAN,3,0),"")</f>
        <v>#N/A</v>
      </c>
      <c r="S517" s="66" t="str">
        <f>IF(U517&lt;&gt;0,VLOOKUP(U517,DM_DUAN,3,0),"")</f>
        <v/>
      </c>
      <c r="T517" s="64"/>
      <c r="U517" s="93"/>
      <c r="V517" s="64" t="str">
        <f>IF(W517&lt;&gt;0,VLOOKUP(W517,DM_DUAN,3,0),"")</f>
        <v/>
      </c>
      <c r="W517" s="68"/>
      <c r="X517" s="64" t="str">
        <f>IF(Y517&lt;&gt;0,VLOOKUP(Y517,DM_DUAN,3,0),"")</f>
        <v>#N/A</v>
      </c>
      <c r="Y517" s="69" t="s">
        <v>207</v>
      </c>
      <c r="Z517" s="64" t="str">
        <f>IF(AA517&lt;&gt;0,VLOOKUP(AA517,DM_DUAN,3,0),"")</f>
        <v>#N/A</v>
      </c>
      <c r="AA517" s="70" t="s">
        <v>183</v>
      </c>
      <c r="AB517" s="64" t="str">
        <f>IF(AC517&lt;&gt;0,VLOOKUP(AC517,DM_DUAN,3,0),"")</f>
        <v/>
      </c>
      <c r="AC517" s="85"/>
      <c r="AD517" s="64" t="str">
        <f>IF(AC517&lt;&gt;0,VLOOKUP(AC517,DM_NV,2,0),"")</f>
        <v/>
      </c>
      <c r="AE517" s="83" t="s">
        <v>227</v>
      </c>
      <c r="AF517" s="64" t="str">
        <f>IF(AE517&lt;&gt;0,VLOOKUP(AE517,DM_NV,2,0),"")</f>
        <v>#N/A</v>
      </c>
    </row>
    <row r="518">
      <c r="A518" s="51"/>
      <c r="B518" s="52" t="str">
        <f>IF(D518="","",VLOOKUP(D518,'THAM CHIẾU'!$A:$B,2,0))</f>
        <v>#N/A</v>
      </c>
      <c r="C518" s="53" t="str">
        <f t="shared" si="3"/>
        <v>03/2022</v>
      </c>
      <c r="D518" s="54">
        <v>44648.0</v>
      </c>
      <c r="E518" s="55" t="s">
        <v>572</v>
      </c>
      <c r="F518" s="56"/>
      <c r="G518" s="57" t="s">
        <v>205</v>
      </c>
      <c r="H518" s="58" t="str">
        <f>IF(G518="","",VLOOKUP($G518,'Quy chuẩn hạch toán'!$B:$E,2,0))</f>
        <v>642</v>
      </c>
      <c r="I518" s="58" t="str">
        <f>IF(H518="","",VLOOKUP($G518,'Quy chuẩn hạch toán'!$B:$E,3,0))</f>
        <v>1111</v>
      </c>
      <c r="J518" s="59">
        <v>37172.0</v>
      </c>
      <c r="K518" s="60"/>
      <c r="L518" s="61"/>
      <c r="M518" s="62"/>
      <c r="N518" s="63"/>
      <c r="O518" s="64" t="str">
        <f>IF($Q518&lt;&gt;0,VLOOKUP($Q518,DM_KM,3,0),"")</f>
        <v>#N/A</v>
      </c>
      <c r="P518" s="64" t="str">
        <f>IF($Q518&lt;&gt;0,VLOOKUP($Q518,DM_KM,5,0),"")</f>
        <v>#N/A</v>
      </c>
      <c r="Q518" s="138" t="s">
        <v>573</v>
      </c>
      <c r="R518" s="64" t="str">
        <f>IF(S518&lt;&gt;0,VLOOKUP(S518,DM_DUAN,3,0),"")</f>
        <v>#N/A</v>
      </c>
      <c r="S518" s="66" t="str">
        <f>IF(U518&lt;&gt;0,VLOOKUP(U518,DM_DUAN,3,0),"")</f>
        <v/>
      </c>
      <c r="T518" s="64"/>
      <c r="U518" s="67"/>
      <c r="V518" s="64" t="str">
        <f>IF(W518&lt;&gt;0,VLOOKUP(W518,DM_DUAN,3,0),"")</f>
        <v/>
      </c>
      <c r="W518" s="68"/>
      <c r="X518" s="64" t="str">
        <f>IF(Y518&lt;&gt;0,VLOOKUP(Y518,DM_DUAN,3,0),"")</f>
        <v>#N/A</v>
      </c>
      <c r="Y518" s="69" t="s">
        <v>207</v>
      </c>
      <c r="Z518" s="64" t="str">
        <f>IF(AA518&lt;&gt;0,VLOOKUP(AA518,DM_DUAN,3,0),"")</f>
        <v>#N/A</v>
      </c>
      <c r="AA518" s="70" t="s">
        <v>177</v>
      </c>
      <c r="AB518" s="64" t="str">
        <f>IF(AC518&lt;&gt;0,VLOOKUP(AC518,DM_DUAN,3,0),"")</f>
        <v/>
      </c>
      <c r="AC518" s="70"/>
      <c r="AD518" s="64" t="str">
        <f>IF(AC518&lt;&gt;0,VLOOKUP(AC518,DM_NV,2,0),"")</f>
        <v/>
      </c>
      <c r="AE518" s="83" t="s">
        <v>227</v>
      </c>
      <c r="AF518" s="64" t="str">
        <f>IF(AE518&lt;&gt;0,VLOOKUP(AE518,DM_NV,2,0),"")</f>
        <v>#N/A</v>
      </c>
    </row>
    <row r="519">
      <c r="A519" s="51"/>
      <c r="B519" s="52" t="str">
        <f>IF(D519="","",VLOOKUP(D519,'THAM CHIẾU'!$A:$B,2,0))</f>
        <v>#N/A</v>
      </c>
      <c r="C519" s="53" t="str">
        <f t="shared" si="3"/>
        <v>03/2022</v>
      </c>
      <c r="D519" s="54">
        <v>44648.0</v>
      </c>
      <c r="E519" s="55" t="s">
        <v>572</v>
      </c>
      <c r="F519" s="56"/>
      <c r="G519" s="57" t="s">
        <v>205</v>
      </c>
      <c r="H519" s="58" t="str">
        <f>IF(G519="","",VLOOKUP($G519,'Quy chuẩn hạch toán'!$B:$E,2,0))</f>
        <v>642</v>
      </c>
      <c r="I519" s="58" t="str">
        <f>IF(H519="","",VLOOKUP($G519,'Quy chuẩn hạch toán'!$B:$E,3,0))</f>
        <v>1111</v>
      </c>
      <c r="J519" s="59">
        <v>37172.0</v>
      </c>
      <c r="K519" s="60"/>
      <c r="L519" s="61"/>
      <c r="M519" s="62"/>
      <c r="N519" s="63"/>
      <c r="O519" s="64" t="str">
        <f>IF($Q519&lt;&gt;0,VLOOKUP($Q519,DM_KM,3,0),"")</f>
        <v>#N/A</v>
      </c>
      <c r="P519" s="64" t="str">
        <f>IF($Q519&lt;&gt;0,VLOOKUP($Q519,DM_KM,5,0),"")</f>
        <v>#N/A</v>
      </c>
      <c r="Q519" s="139" t="s">
        <v>573</v>
      </c>
      <c r="R519" s="64" t="str">
        <f>IF(S519&lt;&gt;0,VLOOKUP(S519,DM_DUAN,3,0),"")</f>
        <v>#N/A</v>
      </c>
      <c r="S519" s="66" t="str">
        <f>IF(U519&lt;&gt;0,VLOOKUP(U519,DM_DUAN,3,0),"")</f>
        <v/>
      </c>
      <c r="T519" s="64"/>
      <c r="U519" s="93"/>
      <c r="V519" s="64" t="str">
        <f>IF(W519&lt;&gt;0,VLOOKUP(W519,DM_DUAN,3,0),"")</f>
        <v/>
      </c>
      <c r="W519" s="68"/>
      <c r="X519" s="64" t="str">
        <f>IF(Y519&lt;&gt;0,VLOOKUP(Y519,DM_DUAN,3,0),"")</f>
        <v>#N/A</v>
      </c>
      <c r="Y519" s="69" t="s">
        <v>207</v>
      </c>
      <c r="Z519" s="64" t="str">
        <f>IF(AA519&lt;&gt;0,VLOOKUP(AA519,DM_DUAN,3,0),"")</f>
        <v>#N/A</v>
      </c>
      <c r="AA519" s="131" t="s">
        <v>210</v>
      </c>
      <c r="AB519" s="64" t="str">
        <f>IF(AC519&lt;&gt;0,VLOOKUP(AC519,DM_DUAN,3,0),"")</f>
        <v/>
      </c>
      <c r="AC519" s="85"/>
      <c r="AD519" s="64" t="str">
        <f>IF(AC519&lt;&gt;0,VLOOKUP(AC519,DM_NV,2,0),"")</f>
        <v/>
      </c>
      <c r="AE519" s="83" t="s">
        <v>227</v>
      </c>
      <c r="AF519" s="64" t="str">
        <f>IF(AE519&lt;&gt;0,VLOOKUP(AE519,DM_NV,2,0),"")</f>
        <v>#N/A</v>
      </c>
    </row>
    <row r="520">
      <c r="A520" s="51"/>
      <c r="B520" s="52" t="str">
        <f>IF(D520="","",VLOOKUP(D520,'THAM CHIẾU'!$A:$B,2,0))</f>
        <v>#N/A</v>
      </c>
      <c r="C520" s="53" t="str">
        <f t="shared" si="3"/>
        <v>03/2022</v>
      </c>
      <c r="D520" s="54">
        <v>44648.0</v>
      </c>
      <c r="E520" s="55" t="s">
        <v>572</v>
      </c>
      <c r="F520" s="56"/>
      <c r="G520" s="57" t="s">
        <v>205</v>
      </c>
      <c r="H520" s="58" t="str">
        <f>IF(G520="","",VLOOKUP($G520,'Quy chuẩn hạch toán'!$B:$E,2,0))</f>
        <v>642</v>
      </c>
      <c r="I520" s="58" t="str">
        <f>IF(H520="","",VLOOKUP($G520,'Quy chuẩn hạch toán'!$B:$E,3,0))</f>
        <v>1111</v>
      </c>
      <c r="J520" s="59">
        <v>10621.0</v>
      </c>
      <c r="K520" s="60"/>
      <c r="L520" s="61"/>
      <c r="M520" s="62"/>
      <c r="N520" s="63"/>
      <c r="O520" s="64" t="str">
        <f>IF($Q520&lt;&gt;0,VLOOKUP($Q520,DM_KM,3,0),"")</f>
        <v>#N/A</v>
      </c>
      <c r="P520" s="64" t="str">
        <f>IF($Q520&lt;&gt;0,VLOOKUP($Q520,DM_KM,5,0),"")</f>
        <v>#N/A</v>
      </c>
      <c r="Q520" s="139" t="s">
        <v>573</v>
      </c>
      <c r="R520" s="64" t="str">
        <f>IF(S520&lt;&gt;0,VLOOKUP(S520,DM_DUAN,3,0),"")</f>
        <v>#N/A</v>
      </c>
      <c r="S520" s="66" t="str">
        <f>IF(U520&lt;&gt;0,VLOOKUP(U520,DM_DUAN,3,0),"")</f>
        <v/>
      </c>
      <c r="T520" s="64"/>
      <c r="U520" s="93"/>
      <c r="V520" s="64" t="str">
        <f>IF(W520&lt;&gt;0,VLOOKUP(W520,DM_DUAN,3,0),"")</f>
        <v/>
      </c>
      <c r="W520" s="68"/>
      <c r="X520" s="64" t="str">
        <f>IF(Y520&lt;&gt;0,VLOOKUP(Y520,DM_DUAN,3,0),"")</f>
        <v>#N/A</v>
      </c>
      <c r="Y520" s="69" t="s">
        <v>207</v>
      </c>
      <c r="Z520" s="64" t="str">
        <f>IF(AA520&lt;&gt;0,VLOOKUP(AA520,DM_DUAN,3,0),"")</f>
        <v>#N/A</v>
      </c>
      <c r="AA520" s="70" t="s">
        <v>514</v>
      </c>
      <c r="AB520" s="64" t="str">
        <f>IF(AC520&lt;&gt;0,VLOOKUP(AC520,DM_DUAN,3,0),"")</f>
        <v/>
      </c>
      <c r="AC520" s="85"/>
      <c r="AD520" s="64" t="str">
        <f>IF(AC520&lt;&gt;0,VLOOKUP(AC520,DM_NV,2,0),"")</f>
        <v/>
      </c>
      <c r="AE520" s="83" t="s">
        <v>227</v>
      </c>
      <c r="AF520" s="64" t="str">
        <f>IF(AE520&lt;&gt;0,VLOOKUP(AE520,DM_NV,2,0),"")</f>
        <v>#N/A</v>
      </c>
    </row>
    <row r="521">
      <c r="A521" s="51"/>
      <c r="B521" s="52" t="str">
        <f>IF(D521="","",VLOOKUP(D521,'THAM CHIẾU'!$A:$B,2,0))</f>
        <v>#N/A</v>
      </c>
      <c r="C521" s="53" t="str">
        <f t="shared" si="3"/>
        <v>03/2022</v>
      </c>
      <c r="D521" s="99">
        <v>44650.0</v>
      </c>
      <c r="E521" s="55" t="s">
        <v>574</v>
      </c>
      <c r="F521" s="56"/>
      <c r="G521" s="57" t="s">
        <v>197</v>
      </c>
      <c r="H521" s="58" t="str">
        <f>IF(G521="","",VLOOKUP($G521,'Quy chuẩn hạch toán'!$B:$E,2,0))</f>
        <v>#N/A</v>
      </c>
      <c r="I521" s="58" t="str">
        <f>IF(H521="","",VLOOKUP($G521,'Quy chuẩn hạch toán'!$B:$E,3,0))</f>
        <v>#N/A</v>
      </c>
      <c r="J521" s="59">
        <v>1.86762E9</v>
      </c>
      <c r="K521" s="60"/>
      <c r="L521" s="61"/>
      <c r="M521" s="62"/>
      <c r="N521" s="63"/>
      <c r="O521" s="64" t="str">
        <f>IF($Q521&lt;&gt;0,VLOOKUP($Q521,DM_KM,3,0),"")</f>
        <v>#N/A</v>
      </c>
      <c r="P521" s="64" t="str">
        <f>IF($Q521&lt;&gt;0,VLOOKUP($Q521,DM_KM,5,0),"")</f>
        <v>#N/A</v>
      </c>
      <c r="Q521" s="65" t="s">
        <v>198</v>
      </c>
      <c r="R521" s="64" t="str">
        <f>IF(S521&lt;&gt;0,VLOOKUP(S521,DM_DUAN,3,0),"")</f>
        <v>#N/A</v>
      </c>
      <c r="S521" s="66" t="str">
        <f>IF(U521&lt;&gt;0,VLOOKUP(U521,DM_DUAN,3,0),"")</f>
        <v>THANHNAM</v>
      </c>
      <c r="T521" s="64"/>
      <c r="U521" s="67" t="s">
        <v>530</v>
      </c>
      <c r="V521" s="64" t="str">
        <f>IF(W521&lt;&gt;0,VLOOKUP(W521,DM_DUAN,3,0),"")</f>
        <v>#N/A</v>
      </c>
      <c r="W521" s="83" t="s">
        <v>575</v>
      </c>
      <c r="X521" s="64" t="str">
        <f>IF(Y521&lt;&gt;0,VLOOKUP(Y521,DM_DUAN,3,0),"")</f>
        <v>#N/A</v>
      </c>
      <c r="Y521" s="84" t="s">
        <v>176</v>
      </c>
      <c r="Z521" s="64" t="str">
        <f>IF(AA521&lt;&gt;0,VLOOKUP(AA521,DM_DUAN,3,0),"")</f>
        <v>#N/A</v>
      </c>
      <c r="AA521" s="131" t="s">
        <v>210</v>
      </c>
      <c r="AB521" s="64" t="str">
        <f>IF(AC521&lt;&gt;0,VLOOKUP(AC521,DM_DUAN,3,0),"")</f>
        <v>#N/A</v>
      </c>
      <c r="AC521" s="85" t="s">
        <v>436</v>
      </c>
      <c r="AD521" s="64" t="str">
        <f>IF(AC521&lt;&gt;0,VLOOKUP(AC521,DM_NV,2,0),"")</f>
        <v>Đinh Hoàng Nam</v>
      </c>
      <c r="AE521" s="68"/>
      <c r="AF521" s="64" t="str">
        <f>IF(AE521&lt;&gt;0,VLOOKUP(AE521,DM_NV,2,0),"")</f>
        <v/>
      </c>
    </row>
    <row r="522">
      <c r="A522" s="51"/>
      <c r="B522" s="52" t="str">
        <f>IF(D522="","",VLOOKUP(D522,'THAM CHIẾU'!$A:$B,2,0))</f>
        <v>#N/A</v>
      </c>
      <c r="C522" s="53" t="str">
        <f t="shared" si="3"/>
        <v>03/2022</v>
      </c>
      <c r="D522" s="99">
        <v>44650.0</v>
      </c>
      <c r="E522" s="79" t="s">
        <v>576</v>
      </c>
      <c r="F522" s="80"/>
      <c r="G522" s="57" t="s">
        <v>577</v>
      </c>
      <c r="H522" s="58" t="str">
        <f>IF(G522="","",VLOOKUP($G522,'Quy chuẩn hạch toán'!$B:$E,2,0))</f>
        <v>154</v>
      </c>
      <c r="I522" s="58" t="str">
        <f>IF(H522="","",VLOOKUP($G522,'Quy chuẩn hạch toán'!$B:$E,3,0))</f>
        <v>3348</v>
      </c>
      <c r="J522" s="59">
        <v>6.5E7</v>
      </c>
      <c r="K522" s="60"/>
      <c r="L522" s="61"/>
      <c r="M522" s="62"/>
      <c r="N522" s="63"/>
      <c r="O522" s="64" t="str">
        <f>IF($Q522&lt;&gt;0,VLOOKUP($Q522,DM_KM,3,0),"")</f>
        <v>#N/A</v>
      </c>
      <c r="P522" s="64" t="str">
        <f>IF($Q522&lt;&gt;0,VLOOKUP($Q522,DM_KM,5,0),"")</f>
        <v>#N/A</v>
      </c>
      <c r="Q522" s="65" t="s">
        <v>181</v>
      </c>
      <c r="R522" s="64" t="str">
        <f>IF(S522&lt;&gt;0,VLOOKUP(S522,DM_DUAN,3,0),"")</f>
        <v>#N/A</v>
      </c>
      <c r="S522" s="66" t="str">
        <f>IF(U522&lt;&gt;0,VLOOKUP(U522,DM_DUAN,3,0),"")</f>
        <v>THANHNAM</v>
      </c>
      <c r="T522" s="64"/>
      <c r="U522" s="67" t="s">
        <v>530</v>
      </c>
      <c r="V522" s="64" t="str">
        <f>IF(W522&lt;&gt;0,VLOOKUP(W522,DM_DUAN,3,0),"")</f>
        <v>#N/A</v>
      </c>
      <c r="W522" s="83" t="s">
        <v>575</v>
      </c>
      <c r="X522" s="64" t="str">
        <f>IF(Y522&lt;&gt;0,VLOOKUP(Y522,DM_DUAN,3,0),"")</f>
        <v>#N/A</v>
      </c>
      <c r="Y522" s="69" t="s">
        <v>176</v>
      </c>
      <c r="Z522" s="64" t="str">
        <f>IF(AA522&lt;&gt;0,VLOOKUP(AA522,DM_DUAN,3,0),"")</f>
        <v>#N/A</v>
      </c>
      <c r="AA522" s="70" t="s">
        <v>210</v>
      </c>
      <c r="AB522" s="64" t="str">
        <f>IF(AC522&lt;&gt;0,VLOOKUP(AC522,DM_DUAN,3,0),"")</f>
        <v/>
      </c>
      <c r="AC522" s="85"/>
      <c r="AD522" s="64" t="str">
        <f>IF(AC522&lt;&gt;0,VLOOKUP(AC522,DM_NV,2,0),"")</f>
        <v/>
      </c>
      <c r="AE522" s="68"/>
      <c r="AF522" s="64" t="str">
        <f>IF(AE522&lt;&gt;0,VLOOKUP(AE522,DM_NV,2,0),"")</f>
        <v/>
      </c>
    </row>
    <row r="523">
      <c r="A523" s="51"/>
      <c r="B523" s="52" t="str">
        <f>IF(D523="","",VLOOKUP(D523,'THAM CHIẾU'!$A:$B,2,0))</f>
        <v>#N/A</v>
      </c>
      <c r="C523" s="53" t="str">
        <f t="shared" si="3"/>
        <v>03/2022</v>
      </c>
      <c r="D523" s="99">
        <v>44650.0</v>
      </c>
      <c r="E523" s="79" t="s">
        <v>578</v>
      </c>
      <c r="F523" s="80"/>
      <c r="G523" s="57" t="s">
        <v>189</v>
      </c>
      <c r="H523" s="58" t="str">
        <f>IF(G523="","",VLOOKUP($G523,'Quy chuẩn hạch toán'!$B:$E,2,0))</f>
        <v>154</v>
      </c>
      <c r="I523" s="58" t="str">
        <f>IF(H523="","",VLOOKUP($G523,'Quy chuẩn hạch toán'!$B:$E,3,0))</f>
        <v>3345</v>
      </c>
      <c r="J523" s="59">
        <v>4.8E7</v>
      </c>
      <c r="K523" s="60"/>
      <c r="L523" s="61"/>
      <c r="M523" s="62"/>
      <c r="N523" s="63"/>
      <c r="O523" s="64" t="str">
        <f>IF($Q523&lt;&gt;0,VLOOKUP($Q523,DM_KM,3,0),"")</f>
        <v>#N/A</v>
      </c>
      <c r="P523" s="64" t="str">
        <f>IF($Q523&lt;&gt;0,VLOOKUP($Q523,DM_KM,5,0),"")</f>
        <v>#N/A</v>
      </c>
      <c r="Q523" s="65" t="s">
        <v>190</v>
      </c>
      <c r="R523" s="64" t="str">
        <f>IF(S523&lt;&gt;0,VLOOKUP(S523,DM_DUAN,3,0),"")</f>
        <v>#N/A</v>
      </c>
      <c r="S523" s="66" t="str">
        <f>IF(U523&lt;&gt;0,VLOOKUP(U523,DM_DUAN,3,0),"")</f>
        <v>THANHNAM</v>
      </c>
      <c r="T523" s="64"/>
      <c r="U523" s="67" t="s">
        <v>530</v>
      </c>
      <c r="V523" s="64" t="str">
        <f>IF(W523&lt;&gt;0,VLOOKUP(W523,DM_DUAN,3,0),"")</f>
        <v>#N/A</v>
      </c>
      <c r="W523" s="83" t="s">
        <v>575</v>
      </c>
      <c r="X523" s="64" t="str">
        <f>IF(Y523&lt;&gt;0,VLOOKUP(Y523,DM_DUAN,3,0),"")</f>
        <v>#N/A</v>
      </c>
      <c r="Y523" s="69" t="s">
        <v>176</v>
      </c>
      <c r="Z523" s="64" t="str">
        <f>IF(AA523&lt;&gt;0,VLOOKUP(AA523,DM_DUAN,3,0),"")</f>
        <v>#N/A</v>
      </c>
      <c r="AA523" s="70" t="s">
        <v>210</v>
      </c>
      <c r="AB523" s="64" t="str">
        <f>IF(AC523&lt;&gt;0,VLOOKUP(AC523,DM_DUAN,3,0),"")</f>
        <v>#N/A</v>
      </c>
      <c r="AC523" s="70" t="s">
        <v>436</v>
      </c>
      <c r="AD523" s="64" t="str">
        <f>IF(AC523&lt;&gt;0,VLOOKUP(AC523,DM_NV,2,0),"")</f>
        <v>Đinh Hoàng Nam</v>
      </c>
      <c r="AE523" s="68"/>
      <c r="AF523" s="64" t="str">
        <f>IF(AE523&lt;&gt;0,VLOOKUP(AE523,DM_NV,2,0),"")</f>
        <v/>
      </c>
    </row>
    <row r="524">
      <c r="A524" s="51"/>
      <c r="B524" s="52" t="str">
        <f>IF(D524="","",VLOOKUP(D524,'THAM CHIẾU'!$A:$B,2,0))</f>
        <v>#N/A</v>
      </c>
      <c r="C524" s="53" t="str">
        <f t="shared" si="3"/>
        <v>03/2022</v>
      </c>
      <c r="D524" s="99">
        <v>44650.0</v>
      </c>
      <c r="E524" s="55" t="s">
        <v>579</v>
      </c>
      <c r="F524" s="56"/>
      <c r="G524" s="57" t="s">
        <v>186</v>
      </c>
      <c r="H524" s="58" t="str">
        <f>IF(G524="","",VLOOKUP($G524,'Quy chuẩn hạch toán'!$B:$E,2,0))</f>
        <v>131</v>
      </c>
      <c r="I524" s="58" t="str">
        <f>IF(H524="","",VLOOKUP($G524,'Quy chuẩn hạch toán'!$B:$E,3,0))</f>
        <v>5113</v>
      </c>
      <c r="J524" s="59">
        <v>1.71E8</v>
      </c>
      <c r="K524" s="60"/>
      <c r="L524" s="61"/>
      <c r="M524" s="62"/>
      <c r="N524" s="63"/>
      <c r="O524" s="64" t="str">
        <f>IF($Q524&lt;&gt;0,VLOOKUP($Q524,DM_KM,3,0),"")</f>
        <v>511_TK</v>
      </c>
      <c r="P524" s="64">
        <f>IF($Q524&lt;&gt;0,VLOOKUP($Q524,DM_KM,5,0),"")</f>
        <v>511</v>
      </c>
      <c r="Q524" s="65" t="s">
        <v>187</v>
      </c>
      <c r="R524" s="64" t="str">
        <f>IF(S524&lt;&gt;0,VLOOKUP(S524,DM_DUAN,3,0),"")</f>
        <v>#N/A</v>
      </c>
      <c r="S524" s="66" t="str">
        <f>IF(U524&lt;&gt;0,VLOOKUP(U524,DM_DUAN,3,0),"")</f>
        <v>THANHNAM</v>
      </c>
      <c r="T524" s="64"/>
      <c r="U524" s="67" t="s">
        <v>530</v>
      </c>
      <c r="V524" s="64" t="str">
        <f>IF(W524&lt;&gt;0,VLOOKUP(W524,DM_DUAN,3,0),"")</f>
        <v>#N/A</v>
      </c>
      <c r="W524" s="83" t="s">
        <v>575</v>
      </c>
      <c r="X524" s="64" t="str">
        <f>IF(Y524&lt;&gt;0,VLOOKUP(Y524,DM_DUAN,3,0),"")</f>
        <v>#N/A</v>
      </c>
      <c r="Y524" s="69" t="s">
        <v>176</v>
      </c>
      <c r="Z524" s="64" t="str">
        <f>IF(AA524&lt;&gt;0,VLOOKUP(AA524,DM_DUAN,3,0),"")</f>
        <v>#N/A</v>
      </c>
      <c r="AA524" s="70" t="s">
        <v>210</v>
      </c>
      <c r="AB524" s="64" t="str">
        <f>IF(AC524&lt;&gt;0,VLOOKUP(AC524,DM_DUAN,3,0),"")</f>
        <v/>
      </c>
      <c r="AC524" s="85"/>
      <c r="AD524" s="64" t="str">
        <f>IF(AC524&lt;&gt;0,VLOOKUP(AC524,DM_NV,2,0),"")</f>
        <v/>
      </c>
      <c r="AE524" s="68"/>
      <c r="AF524" s="64" t="str">
        <f>IF(AE524&lt;&gt;0,VLOOKUP(AE524,DM_NV,2,0),"")</f>
        <v/>
      </c>
    </row>
    <row r="525">
      <c r="A525" s="51"/>
      <c r="B525" s="52" t="str">
        <f>IF(D525="","",VLOOKUP(D525,'THAM CHIẾU'!$A:$B,2,0))</f>
        <v>#N/A</v>
      </c>
      <c r="C525" s="53" t="str">
        <f t="shared" si="3"/>
        <v>03/2022</v>
      </c>
      <c r="D525" s="99">
        <v>44650.0</v>
      </c>
      <c r="E525" s="79"/>
      <c r="F525" s="80"/>
      <c r="G525" s="90"/>
      <c r="H525" s="58" t="str">
        <f>IF(G525="","",VLOOKUP($G525,'Quy chuẩn hạch toán'!$B:$E,2,0))</f>
        <v/>
      </c>
      <c r="I525" s="58" t="str">
        <f>IF(H525="","",VLOOKUP($G525,'Quy chuẩn hạch toán'!$B:$E,3,0))</f>
        <v/>
      </c>
      <c r="J525" s="95"/>
      <c r="K525" s="60"/>
      <c r="L525" s="61"/>
      <c r="M525" s="62"/>
      <c r="N525" s="63"/>
      <c r="O525" s="64" t="str">
        <f>IF($Q525&lt;&gt;0,VLOOKUP($Q525,DM_KM,3,0),"")</f>
        <v/>
      </c>
      <c r="P525" s="64" t="str">
        <f>IF($Q525&lt;&gt;0,VLOOKUP($Q525,DM_KM,5,0),"")</f>
        <v/>
      </c>
      <c r="Q525" s="65"/>
      <c r="R525" s="64" t="str">
        <f>IF(S525&lt;&gt;0,VLOOKUP(S525,DM_DUAN,3,0),"")</f>
        <v>#N/A</v>
      </c>
      <c r="S525" s="66" t="str">
        <f>IF(U525&lt;&gt;0,VLOOKUP(U525,DM_DUAN,3,0),"")</f>
        <v>THANHNAM</v>
      </c>
      <c r="T525" s="64"/>
      <c r="U525" s="67" t="s">
        <v>530</v>
      </c>
      <c r="V525" s="64" t="str">
        <f>IF(W525&lt;&gt;0,VLOOKUP(W525,DM_DUAN,3,0),"")</f>
        <v>#N/A</v>
      </c>
      <c r="W525" s="83" t="s">
        <v>575</v>
      </c>
      <c r="X525" s="64" t="str">
        <f>IF(Y525&lt;&gt;0,VLOOKUP(Y525,DM_DUAN,3,0),"")</f>
        <v>#N/A</v>
      </c>
      <c r="Y525" s="69" t="s">
        <v>176</v>
      </c>
      <c r="Z525" s="64" t="str">
        <f>IF(AA525&lt;&gt;0,VLOOKUP(AA525,DM_DUAN,3,0),"")</f>
        <v>#N/A</v>
      </c>
      <c r="AA525" s="70" t="s">
        <v>210</v>
      </c>
      <c r="AB525" s="64" t="str">
        <f>IF(AC525&lt;&gt;0,VLOOKUP(AC525,DM_DUAN,3,0),"")</f>
        <v/>
      </c>
      <c r="AC525" s="85"/>
      <c r="AD525" s="64" t="str">
        <f>IF(AC525&lt;&gt;0,VLOOKUP(AC525,DM_NV,2,0),"")</f>
        <v/>
      </c>
      <c r="AE525" s="68"/>
      <c r="AF525" s="64" t="str">
        <f>IF(AE525&lt;&gt;0,VLOOKUP(AE525,DM_NV,2,0),"")</f>
        <v/>
      </c>
    </row>
    <row r="526">
      <c r="A526" s="51"/>
      <c r="B526" s="52" t="str">
        <f>IF(D526="","",VLOOKUP(D526,'THAM CHIẾU'!$A:$B,2,0))</f>
        <v>#N/A</v>
      </c>
      <c r="C526" s="53" t="str">
        <f t="shared" si="3"/>
        <v>03/2022</v>
      </c>
      <c r="D526" s="99">
        <v>44650.0</v>
      </c>
      <c r="E526" s="79" t="s">
        <v>580</v>
      </c>
      <c r="F526" s="80"/>
      <c r="G526" s="57" t="s">
        <v>200</v>
      </c>
      <c r="H526" s="58" t="str">
        <f>IF(G526="","",VLOOKUP($G526,'Quy chuẩn hạch toán'!$B:$E,2,0))</f>
        <v>154</v>
      </c>
      <c r="I526" s="58" t="str">
        <f>IF(H526="","",VLOOKUP($G526,'Quy chuẩn hạch toán'!$B:$E,3,0))</f>
        <v>3343</v>
      </c>
      <c r="J526" s="59">
        <v>1000000.0</v>
      </c>
      <c r="K526" s="60"/>
      <c r="L526" s="61"/>
      <c r="M526" s="62"/>
      <c r="N526" s="63"/>
      <c r="O526" s="64" t="str">
        <f>IF($Q526&lt;&gt;0,VLOOKUP($Q526,DM_KM,3,0),"")</f>
        <v>#N/A</v>
      </c>
      <c r="P526" s="64" t="str">
        <f>IF($Q526&lt;&gt;0,VLOOKUP($Q526,DM_KM,5,0),"")</f>
        <v>#N/A</v>
      </c>
      <c r="Q526" s="65" t="s">
        <v>201</v>
      </c>
      <c r="R526" s="64" t="str">
        <f>IF(S526&lt;&gt;0,VLOOKUP(S526,DM_DUAN,3,0),"")</f>
        <v>#N/A</v>
      </c>
      <c r="S526" s="66" t="str">
        <f>IF(U526&lt;&gt;0,VLOOKUP(U526,DM_DUAN,3,0),"")</f>
        <v>THANHNAM</v>
      </c>
      <c r="T526" s="64"/>
      <c r="U526" s="67" t="s">
        <v>530</v>
      </c>
      <c r="V526" s="64" t="str">
        <f>IF(W526&lt;&gt;0,VLOOKUP(W526,DM_DUAN,3,0),"")</f>
        <v>#N/A</v>
      </c>
      <c r="W526" s="83" t="s">
        <v>575</v>
      </c>
      <c r="X526" s="64" t="str">
        <f>IF(Y526&lt;&gt;0,VLOOKUP(Y526,DM_DUAN,3,0),"")</f>
        <v>#N/A</v>
      </c>
      <c r="Y526" s="69" t="s">
        <v>176</v>
      </c>
      <c r="Z526" s="64" t="str">
        <f>IF(AA526&lt;&gt;0,VLOOKUP(AA526,DM_DUAN,3,0),"")</f>
        <v>#N/A</v>
      </c>
      <c r="AA526" s="70" t="s">
        <v>210</v>
      </c>
      <c r="AB526" s="64" t="str">
        <f>IF(AC526&lt;&gt;0,VLOOKUP(AC526,DM_DUAN,3,0),"")</f>
        <v/>
      </c>
      <c r="AC526" s="85"/>
      <c r="AD526" s="64" t="str">
        <f>IF(AC526&lt;&gt;0,VLOOKUP(AC526,DM_NV,2,0),"")</f>
        <v/>
      </c>
      <c r="AE526" s="68"/>
      <c r="AF526" s="64" t="str">
        <f>IF(AE526&lt;&gt;0,VLOOKUP(AE526,DM_NV,2,0),"")</f>
        <v/>
      </c>
    </row>
    <row r="527">
      <c r="A527" s="51"/>
      <c r="B527" s="52" t="str">
        <f>IF(D527="","",VLOOKUP(D527,'THAM CHIẾU'!$A:$B,2,0))</f>
        <v>#N/A</v>
      </c>
      <c r="C527" s="53" t="str">
        <f t="shared" si="3"/>
        <v>03/2022</v>
      </c>
      <c r="D527" s="99">
        <v>44650.0</v>
      </c>
      <c r="E527" s="79" t="s">
        <v>581</v>
      </c>
      <c r="F527" s="80"/>
      <c r="G527" s="57" t="s">
        <v>582</v>
      </c>
      <c r="H527" s="58" t="str">
        <f>IF(G527="","",VLOOKUP($G527,'Quy chuẩn hạch toán'!$B:$E,2,0))</f>
        <v>154</v>
      </c>
      <c r="I527" s="58" t="str">
        <f>IF(H527="","",VLOOKUP($G527,'Quy chuẩn hạch toán'!$B:$E,3,0))</f>
        <v>3346</v>
      </c>
      <c r="J527" s="59">
        <v>1.2E7</v>
      </c>
      <c r="K527" s="60"/>
      <c r="L527" s="61"/>
      <c r="M527" s="62"/>
      <c r="N527" s="63"/>
      <c r="O527" s="64" t="str">
        <f>IF($Q527&lt;&gt;0,VLOOKUP($Q527,DM_KM,3,0),"")</f>
        <v>#N/A</v>
      </c>
      <c r="P527" s="64" t="str">
        <f>IF($Q527&lt;&gt;0,VLOOKUP($Q527,DM_KM,5,0),"")</f>
        <v>#N/A</v>
      </c>
      <c r="Q527" s="65" t="s">
        <v>190</v>
      </c>
      <c r="R527" s="64" t="str">
        <f>IF(S527&lt;&gt;0,VLOOKUP(S527,DM_DUAN,3,0),"")</f>
        <v>#N/A</v>
      </c>
      <c r="S527" s="66" t="str">
        <f>IF(U527&lt;&gt;0,VLOOKUP(U527,DM_DUAN,3,0),"")</f>
        <v>THANHNAM</v>
      </c>
      <c r="T527" s="64"/>
      <c r="U527" s="67" t="s">
        <v>530</v>
      </c>
      <c r="V527" s="64" t="str">
        <f>IF(W527&lt;&gt;0,VLOOKUP(W527,DM_DUAN,3,0),"")</f>
        <v>#N/A</v>
      </c>
      <c r="W527" s="83" t="s">
        <v>575</v>
      </c>
      <c r="X527" s="64" t="str">
        <f>IF(Y527&lt;&gt;0,VLOOKUP(Y527,DM_DUAN,3,0),"")</f>
        <v>#N/A</v>
      </c>
      <c r="Y527" s="69" t="s">
        <v>176</v>
      </c>
      <c r="Z527" s="64" t="str">
        <f>IF(AA527&lt;&gt;0,VLOOKUP(AA527,DM_DUAN,3,0),"")</f>
        <v>#N/A</v>
      </c>
      <c r="AA527" s="70" t="s">
        <v>210</v>
      </c>
      <c r="AB527" s="64" t="str">
        <f>IF(AC527&lt;&gt;0,VLOOKUP(AC527,DM_DUAN,3,0),"")</f>
        <v>#N/A</v>
      </c>
      <c r="AC527" s="70" t="s">
        <v>436</v>
      </c>
      <c r="AD527" s="64" t="str">
        <f>IF(AC527&lt;&gt;0,VLOOKUP(AC527,DM_NV,2,0),"")</f>
        <v>Đinh Hoàng Nam</v>
      </c>
      <c r="AE527" s="68"/>
      <c r="AF527" s="64" t="str">
        <f>IF(AE527&lt;&gt;0,VLOOKUP(AE527,DM_NV,2,0),"")</f>
        <v/>
      </c>
    </row>
    <row r="528">
      <c r="A528" s="51"/>
      <c r="B528" s="52" t="str">
        <f>IF(D528="","",VLOOKUP(D528,'THAM CHIẾU'!$A:$B,2,0))</f>
        <v>#N/A</v>
      </c>
      <c r="C528" s="53" t="str">
        <f t="shared" si="3"/>
        <v>03/2022</v>
      </c>
      <c r="D528" s="99">
        <v>44650.0</v>
      </c>
      <c r="E528" s="79" t="s">
        <v>583</v>
      </c>
      <c r="F528" s="80"/>
      <c r="G528" s="90"/>
      <c r="H528" s="58" t="str">
        <f>IF(G528="","",VLOOKUP($G528,'Quy chuẩn hạch toán'!$B:$E,2,0))</f>
        <v/>
      </c>
      <c r="I528" s="58" t="str">
        <f>IF(H528="","",VLOOKUP($G528,'Quy chuẩn hạch toán'!$B:$E,3,0))</f>
        <v/>
      </c>
      <c r="J528" s="59">
        <v>8800000.0</v>
      </c>
      <c r="K528" s="60"/>
      <c r="L528" s="61"/>
      <c r="M528" s="62"/>
      <c r="N528" s="63"/>
      <c r="O528" s="64" t="str">
        <f>IF($Q528&lt;&gt;0,VLOOKUP($Q528,DM_KM,3,0),"")</f>
        <v>#N/A</v>
      </c>
      <c r="P528" s="64" t="str">
        <f>IF($Q528&lt;&gt;0,VLOOKUP($Q528,DM_KM,5,0),"")</f>
        <v>#N/A</v>
      </c>
      <c r="Q528" s="65" t="s">
        <v>203</v>
      </c>
      <c r="R528" s="64" t="str">
        <f>IF(S528&lt;&gt;0,VLOOKUP(S528,DM_DUAN,3,0),"")</f>
        <v>#N/A</v>
      </c>
      <c r="S528" s="66" t="str">
        <f>IF(U528&lt;&gt;0,VLOOKUP(U528,DM_DUAN,3,0),"")</f>
        <v>THANHNAM</v>
      </c>
      <c r="T528" s="64"/>
      <c r="U528" s="67" t="s">
        <v>530</v>
      </c>
      <c r="V528" s="64" t="str">
        <f>IF(W528&lt;&gt;0,VLOOKUP(W528,DM_DUAN,3,0),"")</f>
        <v>#N/A</v>
      </c>
      <c r="W528" s="83" t="s">
        <v>575</v>
      </c>
      <c r="X528" s="64" t="str">
        <f>IF(Y528&lt;&gt;0,VLOOKUP(Y528,DM_DUAN,3,0),"")</f>
        <v>#N/A</v>
      </c>
      <c r="Y528" s="69" t="s">
        <v>176</v>
      </c>
      <c r="Z528" s="64" t="str">
        <f>IF(AA528&lt;&gt;0,VLOOKUP(AA528,DM_DUAN,3,0),"")</f>
        <v>#N/A</v>
      </c>
      <c r="AA528" s="70" t="s">
        <v>210</v>
      </c>
      <c r="AB528" s="64" t="str">
        <f>IF(AC528&lt;&gt;0,VLOOKUP(AC528,DM_DUAN,3,0),"")</f>
        <v/>
      </c>
      <c r="AC528" s="85"/>
      <c r="AD528" s="64" t="str">
        <f>IF(AC528&lt;&gt;0,VLOOKUP(AC528,DM_NV,2,0),"")</f>
        <v/>
      </c>
      <c r="AE528" s="68"/>
      <c r="AF528" s="64" t="str">
        <f>IF(AE528&lt;&gt;0,VLOOKUP(AE528,DM_NV,2,0),"")</f>
        <v/>
      </c>
    </row>
    <row r="529">
      <c r="A529" s="51"/>
      <c r="B529" s="52" t="str">
        <f>IF(D529="","",VLOOKUP(D529,'THAM CHIẾU'!$A:$B,2,0))</f>
        <v>#N/A</v>
      </c>
      <c r="C529" s="53" t="str">
        <f t="shared" si="3"/>
        <v>03/2022</v>
      </c>
      <c r="D529" s="99">
        <v>44650.0</v>
      </c>
      <c r="E529" s="55" t="s">
        <v>584</v>
      </c>
      <c r="F529" s="56"/>
      <c r="G529" s="57" t="s">
        <v>197</v>
      </c>
      <c r="H529" s="58" t="str">
        <f>IF(G529="","",VLOOKUP($G529,'Quy chuẩn hạch toán'!$B:$E,2,0))</f>
        <v>#N/A</v>
      </c>
      <c r="I529" s="58" t="str">
        <f>IF(H529="","",VLOOKUP($G529,'Quy chuẩn hạch toán'!$B:$E,3,0))</f>
        <v>#N/A</v>
      </c>
      <c r="J529" s="59">
        <v>2.0174E9</v>
      </c>
      <c r="K529" s="60"/>
      <c r="L529" s="61"/>
      <c r="M529" s="62"/>
      <c r="N529" s="63"/>
      <c r="O529" s="64" t="str">
        <f>IF($Q529&lt;&gt;0,VLOOKUP($Q529,DM_KM,3,0),"")</f>
        <v>#N/A</v>
      </c>
      <c r="P529" s="64" t="str">
        <f>IF($Q529&lt;&gt;0,VLOOKUP($Q529,DM_KM,5,0),"")</f>
        <v>#N/A</v>
      </c>
      <c r="Q529" s="65" t="s">
        <v>198</v>
      </c>
      <c r="R529" s="64" t="str">
        <f>IF(S529&lt;&gt;0,VLOOKUP(S529,DM_DUAN,3,0),"")</f>
        <v>#N/A</v>
      </c>
      <c r="S529" s="66" t="str">
        <f>IF(U529&lt;&gt;0,VLOOKUP(U529,DM_DUAN,3,0),"")</f>
        <v>THANHNAM</v>
      </c>
      <c r="T529" s="64"/>
      <c r="U529" s="67" t="s">
        <v>530</v>
      </c>
      <c r="V529" s="64" t="str">
        <f>IF(W529&lt;&gt;0,VLOOKUP(W529,DM_DUAN,3,0),"")</f>
        <v>#N/A</v>
      </c>
      <c r="W529" s="83" t="s">
        <v>585</v>
      </c>
      <c r="X529" s="64" t="str">
        <f>IF(Y529&lt;&gt;0,VLOOKUP(Y529,DM_DUAN,3,0),"")</f>
        <v>#N/A</v>
      </c>
      <c r="Y529" s="84" t="s">
        <v>176</v>
      </c>
      <c r="Z529" s="64" t="str">
        <f>IF(AA529&lt;&gt;0,VLOOKUP(AA529,DM_DUAN,3,0),"")</f>
        <v>#N/A</v>
      </c>
      <c r="AA529" s="131" t="s">
        <v>210</v>
      </c>
      <c r="AB529" s="64" t="str">
        <f>IF(AC529&lt;&gt;0,VLOOKUP(AC529,DM_DUAN,3,0),"")</f>
        <v>#N/A</v>
      </c>
      <c r="AC529" s="85" t="s">
        <v>436</v>
      </c>
      <c r="AD529" s="64" t="str">
        <f>IF(AC529&lt;&gt;0,VLOOKUP(AC529,DM_NV,2,0),"")</f>
        <v>Đinh Hoàng Nam</v>
      </c>
      <c r="AE529" s="68"/>
      <c r="AF529" s="64" t="str">
        <f>IF(AE529&lt;&gt;0,VLOOKUP(AE529,DM_NV,2,0),"")</f>
        <v/>
      </c>
    </row>
    <row r="530">
      <c r="A530" s="51"/>
      <c r="B530" s="52" t="str">
        <f>IF(D530="","",VLOOKUP(D530,'THAM CHIẾU'!$A:$B,2,0))</f>
        <v>#N/A</v>
      </c>
      <c r="C530" s="53" t="str">
        <f t="shared" si="3"/>
        <v>03/2022</v>
      </c>
      <c r="D530" s="99">
        <v>44650.0</v>
      </c>
      <c r="E530" s="55" t="s">
        <v>586</v>
      </c>
      <c r="F530" s="56"/>
      <c r="G530" s="57" t="s">
        <v>577</v>
      </c>
      <c r="H530" s="58" t="str">
        <f>IF(G530="","",VLOOKUP($G530,'Quy chuẩn hạch toán'!$B:$E,2,0))</f>
        <v>154</v>
      </c>
      <c r="I530" s="58" t="str">
        <f>IF(H530="","",VLOOKUP($G530,'Quy chuẩn hạch toán'!$B:$E,3,0))</f>
        <v>3348</v>
      </c>
      <c r="J530" s="59">
        <v>6.5E7</v>
      </c>
      <c r="K530" s="60"/>
      <c r="L530" s="61"/>
      <c r="M530" s="62"/>
      <c r="N530" s="63"/>
      <c r="O530" s="64" t="str">
        <f>IF($Q530&lt;&gt;0,VLOOKUP($Q530,DM_KM,3,0),"")</f>
        <v>#N/A</v>
      </c>
      <c r="P530" s="64" t="str">
        <f>IF($Q530&lt;&gt;0,VLOOKUP($Q530,DM_KM,5,0),"")</f>
        <v>#N/A</v>
      </c>
      <c r="Q530" s="65" t="s">
        <v>181</v>
      </c>
      <c r="R530" s="64" t="str">
        <f>IF(S530&lt;&gt;0,VLOOKUP(S530,DM_DUAN,3,0),"")</f>
        <v>#N/A</v>
      </c>
      <c r="S530" s="66" t="str">
        <f>IF(U530&lt;&gt;0,VLOOKUP(U530,DM_DUAN,3,0),"")</f>
        <v>THANHNAM</v>
      </c>
      <c r="T530" s="64"/>
      <c r="U530" s="67" t="s">
        <v>530</v>
      </c>
      <c r="V530" s="64" t="str">
        <f>IF(W530&lt;&gt;0,VLOOKUP(W530,DM_DUAN,3,0),"")</f>
        <v>#N/A</v>
      </c>
      <c r="W530" s="83" t="s">
        <v>585</v>
      </c>
      <c r="X530" s="64" t="str">
        <f>IF(Y530&lt;&gt;0,VLOOKUP(Y530,DM_DUAN,3,0),"")</f>
        <v>#N/A</v>
      </c>
      <c r="Y530" s="69" t="s">
        <v>176</v>
      </c>
      <c r="Z530" s="64" t="str">
        <f>IF(AA530&lt;&gt;0,VLOOKUP(AA530,DM_DUAN,3,0),"")</f>
        <v>#N/A</v>
      </c>
      <c r="AA530" s="70" t="s">
        <v>210</v>
      </c>
      <c r="AB530" s="64" t="str">
        <f>IF(AC530&lt;&gt;0,VLOOKUP(AC530,DM_DUAN,3,0),"")</f>
        <v/>
      </c>
      <c r="AC530" s="85"/>
      <c r="AD530" s="64" t="str">
        <f>IF(AC530&lt;&gt;0,VLOOKUP(AC530,DM_NV,2,0),"")</f>
        <v/>
      </c>
      <c r="AE530" s="68"/>
      <c r="AF530" s="64" t="str">
        <f>IF(AE530&lt;&gt;0,VLOOKUP(AE530,DM_NV,2,0),"")</f>
        <v/>
      </c>
    </row>
    <row r="531">
      <c r="A531" s="51"/>
      <c r="B531" s="52" t="str">
        <f>IF(D531="","",VLOOKUP(D531,'THAM CHIẾU'!$A:$B,2,0))</f>
        <v>#N/A</v>
      </c>
      <c r="C531" s="53" t="str">
        <f t="shared" si="3"/>
        <v>03/2022</v>
      </c>
      <c r="D531" s="99">
        <v>44650.0</v>
      </c>
      <c r="E531" s="79" t="s">
        <v>587</v>
      </c>
      <c r="F531" s="80"/>
      <c r="G531" s="57" t="s">
        <v>189</v>
      </c>
      <c r="H531" s="58" t="str">
        <f>IF(G531="","",VLOOKUP($G531,'Quy chuẩn hạch toán'!$B:$E,2,0))</f>
        <v>154</v>
      </c>
      <c r="I531" s="58" t="str">
        <f>IF(H531="","",VLOOKUP($G531,'Quy chuẩn hạch toán'!$B:$E,3,0))</f>
        <v>3345</v>
      </c>
      <c r="J531" s="59">
        <v>4.8E7</v>
      </c>
      <c r="K531" s="60"/>
      <c r="L531" s="61"/>
      <c r="M531" s="62"/>
      <c r="N531" s="63"/>
      <c r="O531" s="64" t="str">
        <f>IF($Q531&lt;&gt;0,VLOOKUP($Q531,DM_KM,3,0),"")</f>
        <v>#N/A</v>
      </c>
      <c r="P531" s="64" t="str">
        <f>IF($Q531&lt;&gt;0,VLOOKUP($Q531,DM_KM,5,0),"")</f>
        <v>#N/A</v>
      </c>
      <c r="Q531" s="65" t="s">
        <v>190</v>
      </c>
      <c r="R531" s="64" t="str">
        <f>IF(S531&lt;&gt;0,VLOOKUP(S531,DM_DUAN,3,0),"")</f>
        <v>#N/A</v>
      </c>
      <c r="S531" s="66" t="str">
        <f>IF(U531&lt;&gt;0,VLOOKUP(U531,DM_DUAN,3,0),"")</f>
        <v>THANHNAM</v>
      </c>
      <c r="T531" s="64"/>
      <c r="U531" s="67" t="s">
        <v>530</v>
      </c>
      <c r="V531" s="64" t="str">
        <f>IF(W531&lt;&gt;0,VLOOKUP(W531,DM_DUAN,3,0),"")</f>
        <v>#N/A</v>
      </c>
      <c r="W531" s="83" t="s">
        <v>585</v>
      </c>
      <c r="X531" s="64" t="str">
        <f>IF(Y531&lt;&gt;0,VLOOKUP(Y531,DM_DUAN,3,0),"")</f>
        <v>#N/A</v>
      </c>
      <c r="Y531" s="69" t="s">
        <v>176</v>
      </c>
      <c r="Z531" s="64" t="str">
        <f>IF(AA531&lt;&gt;0,VLOOKUP(AA531,DM_DUAN,3,0),"")</f>
        <v>#N/A</v>
      </c>
      <c r="AA531" s="70" t="s">
        <v>210</v>
      </c>
      <c r="AB531" s="64" t="str">
        <f>IF(AC531&lt;&gt;0,VLOOKUP(AC531,DM_DUAN,3,0),"")</f>
        <v>#N/A</v>
      </c>
      <c r="AC531" s="70" t="s">
        <v>436</v>
      </c>
      <c r="AD531" s="64" t="str">
        <f>IF(AC531&lt;&gt;0,VLOOKUP(AC531,DM_NV,2,0),"")</f>
        <v>Đinh Hoàng Nam</v>
      </c>
      <c r="AE531" s="68"/>
      <c r="AF531" s="64" t="str">
        <f>IF(AE531&lt;&gt;0,VLOOKUP(AE531,DM_NV,2,0),"")</f>
        <v/>
      </c>
    </row>
    <row r="532">
      <c r="A532" s="51"/>
      <c r="B532" s="52" t="str">
        <f>IF(D532="","",VLOOKUP(D532,'THAM CHIẾU'!$A:$B,2,0))</f>
        <v>#N/A</v>
      </c>
      <c r="C532" s="53" t="str">
        <f t="shared" si="3"/>
        <v>03/2022</v>
      </c>
      <c r="D532" s="99">
        <v>44650.0</v>
      </c>
      <c r="E532" s="55" t="s">
        <v>588</v>
      </c>
      <c r="F532" s="56"/>
      <c r="G532" s="57" t="s">
        <v>186</v>
      </c>
      <c r="H532" s="58" t="str">
        <f>IF(G532="","",VLOOKUP($G532,'Quy chuẩn hạch toán'!$B:$E,2,0))</f>
        <v>131</v>
      </c>
      <c r="I532" s="58" t="str">
        <f>IF(H532="","",VLOOKUP($G532,'Quy chuẩn hạch toán'!$B:$E,3,0))</f>
        <v>5113</v>
      </c>
      <c r="J532" s="59">
        <v>1.71E8</v>
      </c>
      <c r="K532" s="60"/>
      <c r="L532" s="61"/>
      <c r="M532" s="62"/>
      <c r="N532" s="63"/>
      <c r="O532" s="64" t="str">
        <f>IF($Q532&lt;&gt;0,VLOOKUP($Q532,DM_KM,3,0),"")</f>
        <v>511_TK</v>
      </c>
      <c r="P532" s="64">
        <f>IF($Q532&lt;&gt;0,VLOOKUP($Q532,DM_KM,5,0),"")</f>
        <v>511</v>
      </c>
      <c r="Q532" s="65" t="s">
        <v>187</v>
      </c>
      <c r="R532" s="64" t="str">
        <f>IF(S532&lt;&gt;0,VLOOKUP(S532,DM_DUAN,3,0),"")</f>
        <v>#N/A</v>
      </c>
      <c r="S532" s="66" t="str">
        <f>IF(U532&lt;&gt;0,VLOOKUP(U532,DM_DUAN,3,0),"")</f>
        <v>THANHNAM</v>
      </c>
      <c r="T532" s="64"/>
      <c r="U532" s="67" t="s">
        <v>530</v>
      </c>
      <c r="V532" s="64" t="str">
        <f>IF(W532&lt;&gt;0,VLOOKUP(W532,DM_DUAN,3,0),"")</f>
        <v>#N/A</v>
      </c>
      <c r="W532" s="83" t="s">
        <v>585</v>
      </c>
      <c r="X532" s="64" t="str">
        <f>IF(Y532&lt;&gt;0,VLOOKUP(Y532,DM_DUAN,3,0),"")</f>
        <v>#N/A</v>
      </c>
      <c r="Y532" s="69" t="s">
        <v>176</v>
      </c>
      <c r="Z532" s="64" t="str">
        <f>IF(AA532&lt;&gt;0,VLOOKUP(AA532,DM_DUAN,3,0),"")</f>
        <v>#N/A</v>
      </c>
      <c r="AA532" s="70" t="s">
        <v>210</v>
      </c>
      <c r="AB532" s="64" t="str">
        <f>IF(AC532&lt;&gt;0,VLOOKUP(AC532,DM_DUAN,3,0),"")</f>
        <v/>
      </c>
      <c r="AC532" s="85"/>
      <c r="AD532" s="64" t="str">
        <f>IF(AC532&lt;&gt;0,VLOOKUP(AC532,DM_NV,2,0),"")</f>
        <v/>
      </c>
      <c r="AE532" s="68"/>
      <c r="AF532" s="64" t="str">
        <f>IF(AE532&lt;&gt;0,VLOOKUP(AE532,DM_NV,2,0),"")</f>
        <v/>
      </c>
    </row>
    <row r="533">
      <c r="A533" s="51"/>
      <c r="B533" s="52" t="str">
        <f>IF(D533="","",VLOOKUP(D533,'THAM CHIẾU'!$A:$B,2,0))</f>
        <v>#N/A</v>
      </c>
      <c r="C533" s="53" t="str">
        <f t="shared" si="3"/>
        <v>03/2022</v>
      </c>
      <c r="D533" s="99">
        <v>44650.0</v>
      </c>
      <c r="E533" s="79"/>
      <c r="F533" s="80"/>
      <c r="G533" s="90"/>
      <c r="H533" s="58" t="str">
        <f>IF(G533="","",VLOOKUP($G533,'Quy chuẩn hạch toán'!$B:$E,2,0))</f>
        <v/>
      </c>
      <c r="I533" s="58" t="str">
        <f>IF(H533="","",VLOOKUP($G533,'Quy chuẩn hạch toán'!$B:$E,3,0))</f>
        <v/>
      </c>
      <c r="J533" s="95"/>
      <c r="K533" s="60"/>
      <c r="L533" s="61"/>
      <c r="M533" s="62"/>
      <c r="N533" s="63"/>
      <c r="O533" s="64" t="str">
        <f>IF($Q533&lt;&gt;0,VLOOKUP($Q533,DM_KM,3,0),"")</f>
        <v/>
      </c>
      <c r="P533" s="64" t="str">
        <f>IF($Q533&lt;&gt;0,VLOOKUP($Q533,DM_KM,5,0),"")</f>
        <v/>
      </c>
      <c r="Q533" s="65"/>
      <c r="R533" s="64" t="str">
        <f>IF(S533&lt;&gt;0,VLOOKUP(S533,DM_DUAN,3,0),"")</f>
        <v>#N/A</v>
      </c>
      <c r="S533" s="66" t="str">
        <f>IF(U533&lt;&gt;0,VLOOKUP(U533,DM_DUAN,3,0),"")</f>
        <v>THANHNAM</v>
      </c>
      <c r="T533" s="64"/>
      <c r="U533" s="67" t="s">
        <v>530</v>
      </c>
      <c r="V533" s="64" t="str">
        <f>IF(W533&lt;&gt;0,VLOOKUP(W533,DM_DUAN,3,0),"")</f>
        <v>#N/A</v>
      </c>
      <c r="W533" s="83" t="s">
        <v>585</v>
      </c>
      <c r="X533" s="64" t="str">
        <f>IF(Y533&lt;&gt;0,VLOOKUP(Y533,DM_DUAN,3,0),"")</f>
        <v>#N/A</v>
      </c>
      <c r="Y533" s="69" t="s">
        <v>176</v>
      </c>
      <c r="Z533" s="64" t="str">
        <f>IF(AA533&lt;&gt;0,VLOOKUP(AA533,DM_DUAN,3,0),"")</f>
        <v>#N/A</v>
      </c>
      <c r="AA533" s="70" t="s">
        <v>210</v>
      </c>
      <c r="AB533" s="64" t="str">
        <f>IF(AC533&lt;&gt;0,VLOOKUP(AC533,DM_DUAN,3,0),"")</f>
        <v/>
      </c>
      <c r="AC533" s="85"/>
      <c r="AD533" s="64" t="str">
        <f>IF(AC533&lt;&gt;0,VLOOKUP(AC533,DM_NV,2,0),"")</f>
        <v/>
      </c>
      <c r="AE533" s="68"/>
      <c r="AF533" s="64" t="str">
        <f>IF(AE533&lt;&gt;0,VLOOKUP(AE533,DM_NV,2,0),"")</f>
        <v/>
      </c>
    </row>
    <row r="534">
      <c r="A534" s="51"/>
      <c r="B534" s="52" t="str">
        <f>IF(D534="","",VLOOKUP(D534,'THAM CHIẾU'!$A:$B,2,0))</f>
        <v>#N/A</v>
      </c>
      <c r="C534" s="53" t="str">
        <f t="shared" si="3"/>
        <v>03/2022</v>
      </c>
      <c r="D534" s="99">
        <v>44650.0</v>
      </c>
      <c r="E534" s="79" t="s">
        <v>589</v>
      </c>
      <c r="F534" s="80"/>
      <c r="G534" s="57" t="s">
        <v>200</v>
      </c>
      <c r="H534" s="58" t="str">
        <f>IF(G534="","",VLOOKUP($G534,'Quy chuẩn hạch toán'!$B:$E,2,0))</f>
        <v>154</v>
      </c>
      <c r="I534" s="58" t="str">
        <f>IF(H534="","",VLOOKUP($G534,'Quy chuẩn hạch toán'!$B:$E,3,0))</f>
        <v>3343</v>
      </c>
      <c r="J534" s="59">
        <v>1000000.0</v>
      </c>
      <c r="K534" s="60"/>
      <c r="L534" s="61"/>
      <c r="M534" s="62"/>
      <c r="N534" s="63"/>
      <c r="O534" s="64" t="str">
        <f>IF($Q534&lt;&gt;0,VLOOKUP($Q534,DM_KM,3,0),"")</f>
        <v>#N/A</v>
      </c>
      <c r="P534" s="64" t="str">
        <f>IF($Q534&lt;&gt;0,VLOOKUP($Q534,DM_KM,5,0),"")</f>
        <v>#N/A</v>
      </c>
      <c r="Q534" s="65" t="s">
        <v>201</v>
      </c>
      <c r="R534" s="64" t="str">
        <f>IF(S534&lt;&gt;0,VLOOKUP(S534,DM_DUAN,3,0),"")</f>
        <v>#N/A</v>
      </c>
      <c r="S534" s="66" t="str">
        <f>IF(U534&lt;&gt;0,VLOOKUP(U534,DM_DUAN,3,0),"")</f>
        <v>THANHNAM</v>
      </c>
      <c r="T534" s="64"/>
      <c r="U534" s="67" t="s">
        <v>530</v>
      </c>
      <c r="V534" s="64" t="str">
        <f>IF(W534&lt;&gt;0,VLOOKUP(W534,DM_DUAN,3,0),"")</f>
        <v>#N/A</v>
      </c>
      <c r="W534" s="83" t="s">
        <v>585</v>
      </c>
      <c r="X534" s="64" t="str">
        <f>IF(Y534&lt;&gt;0,VLOOKUP(Y534,DM_DUAN,3,0),"")</f>
        <v>#N/A</v>
      </c>
      <c r="Y534" s="69" t="s">
        <v>176</v>
      </c>
      <c r="Z534" s="64" t="str">
        <f>IF(AA534&lt;&gt;0,VLOOKUP(AA534,DM_DUAN,3,0),"")</f>
        <v>#N/A</v>
      </c>
      <c r="AA534" s="70" t="s">
        <v>210</v>
      </c>
      <c r="AB534" s="64" t="str">
        <f>IF(AC534&lt;&gt;0,VLOOKUP(AC534,DM_DUAN,3,0),"")</f>
        <v/>
      </c>
      <c r="AC534" s="85"/>
      <c r="AD534" s="64" t="str">
        <f>IF(AC534&lt;&gt;0,VLOOKUP(AC534,DM_NV,2,0),"")</f>
        <v/>
      </c>
      <c r="AE534" s="68"/>
      <c r="AF534" s="64" t="str">
        <f>IF(AE534&lt;&gt;0,VLOOKUP(AE534,DM_NV,2,0),"")</f>
        <v/>
      </c>
    </row>
    <row r="535">
      <c r="A535" s="51"/>
      <c r="B535" s="52" t="str">
        <f>IF(D535="","",VLOOKUP(D535,'THAM CHIẾU'!$A:$B,2,0))</f>
        <v/>
      </c>
      <c r="C535" s="53" t="str">
        <f t="shared" si="3"/>
        <v/>
      </c>
      <c r="D535" s="99"/>
      <c r="E535" s="79"/>
      <c r="F535" s="80"/>
      <c r="G535" s="140"/>
      <c r="H535" s="58" t="str">
        <f>IF(G535="","",VLOOKUP($G535,'Quy chuẩn hạch toán'!$B:$E,2,0))</f>
        <v/>
      </c>
      <c r="I535" s="58" t="str">
        <f>IF(H535="","",VLOOKUP($G535,'Quy chuẩn hạch toán'!$B:$E,3,0))</f>
        <v/>
      </c>
      <c r="J535" s="101"/>
      <c r="K535" s="60"/>
      <c r="L535" s="61"/>
      <c r="M535" s="62"/>
      <c r="N535" s="63"/>
      <c r="O535" s="64"/>
      <c r="P535" s="64"/>
      <c r="Q535" s="89"/>
      <c r="R535" s="64"/>
      <c r="S535" s="66"/>
      <c r="T535" s="64"/>
      <c r="U535" s="67"/>
      <c r="V535" s="64"/>
      <c r="W535" s="83"/>
      <c r="X535" s="64"/>
      <c r="Y535" s="69"/>
      <c r="Z535" s="64"/>
      <c r="AA535" s="70"/>
      <c r="AB535" s="64"/>
      <c r="AC535" s="85"/>
      <c r="AD535" s="64" t="str">
        <f>IF(AC535&lt;&gt;0,VLOOKUP(AC535,DM_NV,2,0),"")</f>
        <v/>
      </c>
      <c r="AE535" s="68"/>
      <c r="AF535" s="64" t="str">
        <f>IF(AE535&lt;&gt;0,VLOOKUP(AE535,DM_NV,2,0),"")</f>
        <v/>
      </c>
    </row>
    <row r="536">
      <c r="A536" s="51"/>
      <c r="B536" s="52" t="str">
        <f>IF(D536="","",VLOOKUP(D536,'THAM CHIẾU'!$A:$B,2,0))</f>
        <v>#N/A</v>
      </c>
      <c r="C536" s="53" t="str">
        <f t="shared" si="3"/>
        <v>03/2022</v>
      </c>
      <c r="D536" s="99">
        <v>44650.0</v>
      </c>
      <c r="E536" s="79" t="s">
        <v>590</v>
      </c>
      <c r="F536" s="80"/>
      <c r="G536" s="57" t="s">
        <v>582</v>
      </c>
      <c r="H536" s="58" t="str">
        <f>IF(G536="","",VLOOKUP($G536,'Quy chuẩn hạch toán'!$B:$E,2,0))</f>
        <v>154</v>
      </c>
      <c r="I536" s="58" t="str">
        <f>IF(H536="","",VLOOKUP($G536,'Quy chuẩn hạch toán'!$B:$E,3,0))</f>
        <v>3346</v>
      </c>
      <c r="J536" s="59">
        <v>1.2E7</v>
      </c>
      <c r="K536" s="60"/>
      <c r="L536" s="61"/>
      <c r="M536" s="62"/>
      <c r="N536" s="63"/>
      <c r="O536" s="64" t="str">
        <f>IF($Q536&lt;&gt;0,VLOOKUP($Q536,DM_KM,3,0),"")</f>
        <v>#N/A</v>
      </c>
      <c r="P536" s="64" t="str">
        <f>IF($Q536&lt;&gt;0,VLOOKUP($Q536,DM_KM,5,0),"")</f>
        <v>#N/A</v>
      </c>
      <c r="Q536" s="65" t="s">
        <v>190</v>
      </c>
      <c r="R536" s="64" t="str">
        <f>IF(S536&lt;&gt;0,VLOOKUP(S536,DM_DUAN,3,0),"")</f>
        <v>#N/A</v>
      </c>
      <c r="S536" s="66" t="str">
        <f>IF(U536&lt;&gt;0,VLOOKUP(U536,DM_DUAN,3,0),"")</f>
        <v>THANHNAM</v>
      </c>
      <c r="T536" s="64"/>
      <c r="U536" s="67" t="s">
        <v>530</v>
      </c>
      <c r="V536" s="64" t="str">
        <f>IF(W536&lt;&gt;0,VLOOKUP(W536,DM_DUAN,3,0),"")</f>
        <v>#N/A</v>
      </c>
      <c r="W536" s="83" t="s">
        <v>585</v>
      </c>
      <c r="X536" s="64" t="str">
        <f>IF(Y536&lt;&gt;0,VLOOKUP(Y536,DM_DUAN,3,0),"")</f>
        <v>#N/A</v>
      </c>
      <c r="Y536" s="69" t="s">
        <v>176</v>
      </c>
      <c r="Z536" s="64" t="str">
        <f>IF(AA536&lt;&gt;0,VLOOKUP(AA536,DM_DUAN,3,0),"")</f>
        <v>#N/A</v>
      </c>
      <c r="AA536" s="70" t="s">
        <v>210</v>
      </c>
      <c r="AB536" s="64" t="str">
        <f>IF(AC536&lt;&gt;0,VLOOKUP(AC536,DM_DUAN,3,0),"")</f>
        <v>#N/A</v>
      </c>
      <c r="AC536" s="70" t="s">
        <v>436</v>
      </c>
      <c r="AD536" s="64" t="str">
        <f>IF(AC536&lt;&gt;0,VLOOKUP(AC536,DM_NV,2,0),"")</f>
        <v>Đinh Hoàng Nam</v>
      </c>
      <c r="AE536" s="68"/>
      <c r="AF536" s="64" t="str">
        <f>IF(AE536&lt;&gt;0,VLOOKUP(AE536,DM_NV,2,0),"")</f>
        <v/>
      </c>
    </row>
    <row r="537">
      <c r="A537" s="51"/>
      <c r="B537" s="52" t="str">
        <f>IF(D537="","",VLOOKUP(D537,'THAM CHIẾU'!$A:$B,2,0))</f>
        <v>#N/A</v>
      </c>
      <c r="C537" s="53" t="str">
        <f t="shared" si="3"/>
        <v>03/2022</v>
      </c>
      <c r="D537" s="99">
        <v>44650.0</v>
      </c>
      <c r="E537" s="79" t="s">
        <v>591</v>
      </c>
      <c r="F537" s="80"/>
      <c r="G537" s="90"/>
      <c r="H537" s="58" t="str">
        <f>IF(G537="","",VLOOKUP($G537,'Quy chuẩn hạch toán'!$B:$E,2,0))</f>
        <v/>
      </c>
      <c r="I537" s="58" t="str">
        <f>IF(H537="","",VLOOKUP($G537,'Quy chuẩn hạch toán'!$B:$E,3,0))</f>
        <v/>
      </c>
      <c r="J537" s="59">
        <v>8800000.0</v>
      </c>
      <c r="K537" s="60"/>
      <c r="L537" s="61"/>
      <c r="M537" s="62"/>
      <c r="N537" s="63"/>
      <c r="O537" s="64" t="str">
        <f>IF($Q537&lt;&gt;0,VLOOKUP($Q537,DM_KM,3,0),"")</f>
        <v>#N/A</v>
      </c>
      <c r="P537" s="64" t="str">
        <f>IF($Q537&lt;&gt;0,VLOOKUP($Q537,DM_KM,5,0),"")</f>
        <v>#N/A</v>
      </c>
      <c r="Q537" s="65" t="s">
        <v>203</v>
      </c>
      <c r="R537" s="64" t="str">
        <f>IF(S537&lt;&gt;0,VLOOKUP(S537,DM_DUAN,3,0),"")</f>
        <v>#N/A</v>
      </c>
      <c r="S537" s="66" t="str">
        <f>IF(U537&lt;&gt;0,VLOOKUP(U537,DM_DUAN,3,0),"")</f>
        <v>THANHNAM</v>
      </c>
      <c r="T537" s="64"/>
      <c r="U537" s="67" t="s">
        <v>530</v>
      </c>
      <c r="V537" s="64" t="str">
        <f>IF(W537&lt;&gt;0,VLOOKUP(W537,DM_DUAN,3,0),"")</f>
        <v>#N/A</v>
      </c>
      <c r="W537" s="83" t="s">
        <v>585</v>
      </c>
      <c r="X537" s="64" t="str">
        <f>IF(Y537&lt;&gt;0,VLOOKUP(Y537,DM_DUAN,3,0),"")</f>
        <v>#N/A</v>
      </c>
      <c r="Y537" s="69" t="s">
        <v>176</v>
      </c>
      <c r="Z537" s="64" t="str">
        <f>IF(AA537&lt;&gt;0,VLOOKUP(AA537,DM_DUAN,3,0),"")</f>
        <v>#N/A</v>
      </c>
      <c r="AA537" s="70" t="s">
        <v>210</v>
      </c>
      <c r="AB537" s="64" t="str">
        <f>IF(AC537&lt;&gt;0,VLOOKUP(AC537,DM_DUAN,3,0),"")</f>
        <v/>
      </c>
      <c r="AC537" s="85"/>
      <c r="AD537" s="64" t="str">
        <f>IF(AC537&lt;&gt;0,VLOOKUP(AC537,DM_NV,2,0),"")</f>
        <v/>
      </c>
      <c r="AE537" s="68"/>
      <c r="AF537" s="64" t="str">
        <f>IF(AE537&lt;&gt;0,VLOOKUP(AE537,DM_NV,2,0),"")</f>
        <v/>
      </c>
    </row>
    <row r="538">
      <c r="A538" s="51"/>
      <c r="B538" s="52" t="str">
        <f>IF(D538="","",VLOOKUP(D538,'THAM CHIẾU'!$A:$B,2,0))</f>
        <v>#N/A</v>
      </c>
      <c r="C538" s="53" t="str">
        <f t="shared" si="3"/>
        <v>03/2022</v>
      </c>
      <c r="D538" s="54">
        <v>44650.0</v>
      </c>
      <c r="E538" s="55" t="s">
        <v>453</v>
      </c>
      <c r="F538" s="56"/>
      <c r="G538" s="57" t="s">
        <v>249</v>
      </c>
      <c r="H538" s="58" t="str">
        <f>IF(G538="","",VLOOKUP($G538,'Quy chuẩn hạch toán'!$B:$E,2,0))</f>
        <v>642</v>
      </c>
      <c r="I538" s="58" t="str">
        <f>IF(H538="","",VLOOKUP($G538,'Quy chuẩn hạch toán'!$B:$E,3,0))</f>
        <v>331</v>
      </c>
      <c r="J538" s="59">
        <v>1942379.0</v>
      </c>
      <c r="K538" s="60"/>
      <c r="L538" s="61"/>
      <c r="M538" s="62"/>
      <c r="N538" s="63"/>
      <c r="O538" s="64" t="str">
        <f>IF($Q538&lt;&gt;0,VLOOKUP($Q538,DM_KM,3,0),"")</f>
        <v>THUEVP</v>
      </c>
      <c r="P538" s="64">
        <f>IF($Q538&lt;&gt;0,VLOOKUP($Q538,DM_KM,5,0),"")</f>
        <v>642</v>
      </c>
      <c r="Q538" s="65" t="s">
        <v>270</v>
      </c>
      <c r="R538" s="64" t="str">
        <f>IF(S538&lt;&gt;0,VLOOKUP(S538,DM_DUAN,3,0),"")</f>
        <v>#N/A</v>
      </c>
      <c r="S538" s="66" t="str">
        <f>IF(U538&lt;&gt;0,VLOOKUP(U538,DM_DUAN,3,0),"")</f>
        <v/>
      </c>
      <c r="T538" s="64"/>
      <c r="U538" s="93"/>
      <c r="V538" s="64" t="str">
        <f>IF(W538&lt;&gt;0,VLOOKUP(W538,DM_DUAN,3,0),"")</f>
        <v/>
      </c>
      <c r="W538" s="68"/>
      <c r="X538" s="64" t="str">
        <f>IF(Y538&lt;&gt;0,VLOOKUP(Y538,DM_DUAN,3,0),"")</f>
        <v>#N/A</v>
      </c>
      <c r="Y538" s="69" t="s">
        <v>176</v>
      </c>
      <c r="Z538" s="64" t="str">
        <f>IF(AA538&lt;&gt;0,VLOOKUP(AA538,DM_DUAN,3,0),"")</f>
        <v>#N/A</v>
      </c>
      <c r="AA538" s="70" t="s">
        <v>183</v>
      </c>
      <c r="AB538" s="64" t="str">
        <f>IF(AC538&lt;&gt;0,VLOOKUP(AC538,DM_DUAN,3,0),"")</f>
        <v/>
      </c>
      <c r="AC538" s="85"/>
      <c r="AD538" s="64" t="str">
        <f>IF(AC538&lt;&gt;0,VLOOKUP(AC538,DM_NV,2,0),"")</f>
        <v/>
      </c>
      <c r="AE538" s="68"/>
      <c r="AF538" s="64" t="str">
        <f>IF(AE538&lt;&gt;0,VLOOKUP(AE538,DM_NV,2,0),"")</f>
        <v/>
      </c>
    </row>
    <row r="539">
      <c r="A539" s="51"/>
      <c r="B539" s="52" t="str">
        <f>IF(D539="","",VLOOKUP(D539,'THAM CHIẾU'!$A:$B,2,0))</f>
        <v>#N/A</v>
      </c>
      <c r="C539" s="53" t="str">
        <f t="shared" si="3"/>
        <v>03/2022</v>
      </c>
      <c r="D539" s="54">
        <v>44650.0</v>
      </c>
      <c r="E539" s="55" t="s">
        <v>453</v>
      </c>
      <c r="F539" s="56"/>
      <c r="G539" s="57" t="s">
        <v>249</v>
      </c>
      <c r="H539" s="58" t="str">
        <f>IF(G539="","",VLOOKUP($G539,'Quy chuẩn hạch toán'!$B:$E,2,0))</f>
        <v>642</v>
      </c>
      <c r="I539" s="58" t="str">
        <f>IF(H539="","",VLOOKUP($G539,'Quy chuẩn hạch toán'!$B:$E,3,0))</f>
        <v>331</v>
      </c>
      <c r="J539" s="59">
        <v>1045897.0</v>
      </c>
      <c r="K539" s="60"/>
      <c r="L539" s="61"/>
      <c r="M539" s="62"/>
      <c r="N539" s="63"/>
      <c r="O539" s="64" t="str">
        <f>IF($Q539&lt;&gt;0,VLOOKUP($Q539,DM_KM,3,0),"")</f>
        <v>THUEVP</v>
      </c>
      <c r="P539" s="64">
        <f>IF($Q539&lt;&gt;0,VLOOKUP($Q539,DM_KM,5,0),"")</f>
        <v>642</v>
      </c>
      <c r="Q539" s="65" t="s">
        <v>270</v>
      </c>
      <c r="R539" s="64" t="str">
        <f>IF(S539&lt;&gt;0,VLOOKUP(S539,DM_DUAN,3,0),"")</f>
        <v>#N/A</v>
      </c>
      <c r="S539" s="66" t="str">
        <f>IF(U539&lt;&gt;0,VLOOKUP(U539,DM_DUAN,3,0),"")</f>
        <v/>
      </c>
      <c r="T539" s="64"/>
      <c r="U539" s="93"/>
      <c r="V539" s="64" t="str">
        <f>IF(W539&lt;&gt;0,VLOOKUP(W539,DM_DUAN,3,0),"")</f>
        <v/>
      </c>
      <c r="W539" s="68"/>
      <c r="X539" s="64" t="str">
        <f>IF(Y539&lt;&gt;0,VLOOKUP(Y539,DM_DUAN,3,0),"")</f>
        <v>#N/A</v>
      </c>
      <c r="Y539" s="69" t="s">
        <v>176</v>
      </c>
      <c r="Z539" s="64" t="str">
        <f>IF(AA539&lt;&gt;0,VLOOKUP(AA539,DM_DUAN,3,0),"")</f>
        <v>#N/A</v>
      </c>
      <c r="AA539" s="70" t="s">
        <v>177</v>
      </c>
      <c r="AB539" s="64" t="str">
        <f>IF(AC539&lt;&gt;0,VLOOKUP(AC539,DM_DUAN,3,0),"")</f>
        <v/>
      </c>
      <c r="AC539" s="85"/>
      <c r="AD539" s="64" t="str">
        <f>IF(AC539&lt;&gt;0,VLOOKUP(AC539,DM_NV,2,0),"")</f>
        <v/>
      </c>
      <c r="AE539" s="68"/>
      <c r="AF539" s="64" t="str">
        <f>IF(AE539&lt;&gt;0,VLOOKUP(AE539,DM_NV,2,0),"")</f>
        <v/>
      </c>
    </row>
    <row r="540">
      <c r="A540" s="51"/>
      <c r="B540" s="52" t="str">
        <f>IF(D540="","",VLOOKUP(D540,'THAM CHIẾU'!$A:$B,2,0))</f>
        <v>#N/A</v>
      </c>
      <c r="C540" s="53" t="str">
        <f t="shared" si="3"/>
        <v>03/2022</v>
      </c>
      <c r="D540" s="54">
        <v>44650.0</v>
      </c>
      <c r="E540" s="55" t="s">
        <v>453</v>
      </c>
      <c r="F540" s="56"/>
      <c r="G540" s="57" t="s">
        <v>249</v>
      </c>
      <c r="H540" s="58" t="str">
        <f>IF(G540="","",VLOOKUP($G540,'Quy chuẩn hạch toán'!$B:$E,2,0))</f>
        <v>642</v>
      </c>
      <c r="I540" s="58" t="str">
        <f>IF(H540="","",VLOOKUP($G540,'Quy chuẩn hạch toán'!$B:$E,3,0))</f>
        <v>331</v>
      </c>
      <c r="J540" s="59">
        <v>1045897.0</v>
      </c>
      <c r="K540" s="60"/>
      <c r="L540" s="61"/>
      <c r="M540" s="62"/>
      <c r="N540" s="63"/>
      <c r="O540" s="64" t="str">
        <f>IF($Q540&lt;&gt;0,VLOOKUP($Q540,DM_KM,3,0),"")</f>
        <v>THUEVP</v>
      </c>
      <c r="P540" s="64">
        <f>IF($Q540&lt;&gt;0,VLOOKUP($Q540,DM_KM,5,0),"")</f>
        <v>642</v>
      </c>
      <c r="Q540" s="89" t="s">
        <v>270</v>
      </c>
      <c r="R540" s="64" t="str">
        <f>IF(S540&lt;&gt;0,VLOOKUP(S540,DM_DUAN,3,0),"")</f>
        <v>#N/A</v>
      </c>
      <c r="S540" s="66" t="str">
        <f>IF(U540&lt;&gt;0,VLOOKUP(U540,DM_DUAN,3,0),"")</f>
        <v/>
      </c>
      <c r="T540" s="64"/>
      <c r="U540" s="93"/>
      <c r="V540" s="64" t="str">
        <f>IF(W540&lt;&gt;0,VLOOKUP(W540,DM_DUAN,3,0),"")</f>
        <v/>
      </c>
      <c r="W540" s="68"/>
      <c r="X540" s="64" t="str">
        <f>IF(Y540&lt;&gt;0,VLOOKUP(Y540,DM_DUAN,3,0),"")</f>
        <v>#N/A</v>
      </c>
      <c r="Y540" s="69" t="s">
        <v>176</v>
      </c>
      <c r="Z540" s="64" t="str">
        <f>IF(AA540&lt;&gt;0,VLOOKUP(AA540,DM_DUAN,3,0),"")</f>
        <v>#N/A</v>
      </c>
      <c r="AA540" s="131" t="s">
        <v>210</v>
      </c>
      <c r="AB540" s="64" t="str">
        <f>IF(AC540&lt;&gt;0,VLOOKUP(AC540,DM_DUAN,3,0),"")</f>
        <v/>
      </c>
      <c r="AC540" s="85"/>
      <c r="AD540" s="64" t="str">
        <f>IF(AC540&lt;&gt;0,VLOOKUP(AC540,DM_NV,2,0),"")</f>
        <v/>
      </c>
      <c r="AE540" s="68"/>
      <c r="AF540" s="64" t="str">
        <f>IF(AE540&lt;&gt;0,VLOOKUP(AE540,DM_NV,2,0),"")</f>
        <v/>
      </c>
    </row>
    <row r="541">
      <c r="A541" s="51"/>
      <c r="B541" s="52" t="str">
        <f>IF(D541="","",VLOOKUP(D541,'THAM CHIẾU'!$A:$B,2,0))</f>
        <v>#N/A</v>
      </c>
      <c r="C541" s="53" t="str">
        <f t="shared" si="3"/>
        <v>03/2022</v>
      </c>
      <c r="D541" s="54">
        <v>44650.0</v>
      </c>
      <c r="E541" s="55" t="s">
        <v>453</v>
      </c>
      <c r="F541" s="56"/>
      <c r="G541" s="57" t="s">
        <v>249</v>
      </c>
      <c r="H541" s="58" t="str">
        <f>IF(G541="","",VLOOKUP($G541,'Quy chuẩn hạch toán'!$B:$E,2,0))</f>
        <v>642</v>
      </c>
      <c r="I541" s="58" t="str">
        <f>IF(H541="","",VLOOKUP($G541,'Quy chuẩn hạch toán'!$B:$E,3,0))</f>
        <v>331</v>
      </c>
      <c r="J541" s="59">
        <v>298828.0</v>
      </c>
      <c r="K541" s="60"/>
      <c r="L541" s="61"/>
      <c r="M541" s="62"/>
      <c r="N541" s="63"/>
      <c r="O541" s="64" t="str">
        <f>IF($Q541&lt;&gt;0,VLOOKUP($Q541,DM_KM,3,0),"")</f>
        <v>THUEVP</v>
      </c>
      <c r="P541" s="64">
        <f>IF($Q541&lt;&gt;0,VLOOKUP($Q541,DM_KM,5,0),"")</f>
        <v>642</v>
      </c>
      <c r="Q541" s="89" t="s">
        <v>270</v>
      </c>
      <c r="R541" s="64" t="str">
        <f>IF(S541&lt;&gt;0,VLOOKUP(S541,DM_DUAN,3,0),"")</f>
        <v>#N/A</v>
      </c>
      <c r="S541" s="66" t="str">
        <f>IF(U541&lt;&gt;0,VLOOKUP(U541,DM_DUAN,3,0),"")</f>
        <v/>
      </c>
      <c r="T541" s="64"/>
      <c r="U541" s="93"/>
      <c r="V541" s="64" t="str">
        <f>IF(W541&lt;&gt;0,VLOOKUP(W541,DM_DUAN,3,0),"")</f>
        <v/>
      </c>
      <c r="W541" s="68"/>
      <c r="X541" s="64" t="str">
        <f>IF(Y541&lt;&gt;0,VLOOKUP(Y541,DM_DUAN,3,0),"")</f>
        <v>#N/A</v>
      </c>
      <c r="Y541" s="69" t="s">
        <v>176</v>
      </c>
      <c r="Z541" s="64" t="str">
        <f>IF(AA541&lt;&gt;0,VLOOKUP(AA541,DM_DUAN,3,0),"")</f>
        <v>#N/A</v>
      </c>
      <c r="AA541" s="70" t="s">
        <v>514</v>
      </c>
      <c r="AB541" s="64" t="str">
        <f>IF(AC541&lt;&gt;0,VLOOKUP(AC541,DM_DUAN,3,0),"")</f>
        <v/>
      </c>
      <c r="AC541" s="85"/>
      <c r="AD541" s="64" t="str">
        <f>IF(AC541&lt;&gt;0,VLOOKUP(AC541,DM_NV,2,0),"")</f>
        <v/>
      </c>
      <c r="AE541" s="68"/>
      <c r="AF541" s="64" t="str">
        <f>IF(AE541&lt;&gt;0,VLOOKUP(AE541,DM_NV,2,0),"")</f>
        <v/>
      </c>
    </row>
    <row r="542">
      <c r="A542" s="51"/>
      <c r="B542" s="52" t="str">
        <f>IF(D542="","",VLOOKUP(D542,'THAM CHIẾU'!$A:$B,2,0))</f>
        <v>#N/A</v>
      </c>
      <c r="C542" s="53" t="str">
        <f t="shared" si="3"/>
        <v>03/2022</v>
      </c>
      <c r="D542" s="54">
        <v>44650.0</v>
      </c>
      <c r="E542" s="55" t="s">
        <v>592</v>
      </c>
      <c r="F542" s="56"/>
      <c r="G542" s="57" t="s">
        <v>249</v>
      </c>
      <c r="H542" s="58" t="str">
        <f>IF(G542="","",VLOOKUP($G542,'Quy chuẩn hạch toán'!$B:$E,2,0))</f>
        <v>642</v>
      </c>
      <c r="I542" s="58" t="str">
        <f>IF(H542="","",VLOOKUP($G542,'Quy chuẩn hạch toán'!$B:$E,3,0))</f>
        <v>331</v>
      </c>
      <c r="J542" s="59">
        <v>6000000.0</v>
      </c>
      <c r="K542" s="60"/>
      <c r="L542" s="61"/>
      <c r="M542" s="62"/>
      <c r="N542" s="63"/>
      <c r="O542" s="64" t="str">
        <f>IF($Q542&lt;&gt;0,VLOOKUP($Q542,DM_KM,3,0),"")</f>
        <v>THUEVP</v>
      </c>
      <c r="P542" s="64">
        <f>IF($Q542&lt;&gt;0,VLOOKUP($Q542,DM_KM,5,0),"")</f>
        <v>642</v>
      </c>
      <c r="Q542" s="89" t="s">
        <v>270</v>
      </c>
      <c r="R542" s="64" t="str">
        <f>IF(S542&lt;&gt;0,VLOOKUP(S542,DM_DUAN,3,0),"")</f>
        <v>#N/A</v>
      </c>
      <c r="S542" s="66" t="str">
        <f>IF(U542&lt;&gt;0,VLOOKUP(U542,DM_DUAN,3,0),"")</f>
        <v/>
      </c>
      <c r="T542" s="64"/>
      <c r="U542" s="93"/>
      <c r="V542" s="64" t="str">
        <f>IF(W542&lt;&gt;0,VLOOKUP(W542,DM_DUAN,3,0),"")</f>
        <v/>
      </c>
      <c r="W542" s="68"/>
      <c r="X542" s="64" t="str">
        <f>IF(Y542&lt;&gt;0,VLOOKUP(Y542,DM_DUAN,3,0),"")</f>
        <v>#N/A</v>
      </c>
      <c r="Y542" s="69" t="s">
        <v>176</v>
      </c>
      <c r="Z542" s="64" t="str">
        <f>IF(AA542&lt;&gt;0,VLOOKUP(AA542,DM_DUAN,3,0),"")</f>
        <v>#N/A</v>
      </c>
      <c r="AA542" s="70" t="s">
        <v>514</v>
      </c>
      <c r="AB542" s="64" t="str">
        <f>IF(AC542&lt;&gt;0,VLOOKUP(AC542,DM_DUAN,3,0),"")</f>
        <v/>
      </c>
      <c r="AC542" s="85"/>
      <c r="AD542" s="64" t="str">
        <f>IF(AC542&lt;&gt;0,VLOOKUP(AC542,DM_NV,2,0),"")</f>
        <v/>
      </c>
      <c r="AE542" s="68"/>
      <c r="AF542" s="64" t="str">
        <f>IF(AE542&lt;&gt;0,VLOOKUP(AE542,DM_NV,2,0),"")</f>
        <v/>
      </c>
    </row>
    <row r="543">
      <c r="A543" s="51"/>
      <c r="B543" s="52" t="str">
        <f>IF(D543="","",VLOOKUP(D543,'THAM CHIẾU'!$A:$B,2,0))</f>
        <v>#N/A</v>
      </c>
      <c r="C543" s="53" t="str">
        <f t="shared" si="3"/>
        <v>03/2022</v>
      </c>
      <c r="D543" s="54">
        <v>44650.0</v>
      </c>
      <c r="E543" s="55" t="s">
        <v>593</v>
      </c>
      <c r="F543" s="56"/>
      <c r="G543" s="57" t="s">
        <v>249</v>
      </c>
      <c r="H543" s="58" t="str">
        <f>IF(G543="","",VLOOKUP($G543,'Quy chuẩn hạch toán'!$B:$E,2,0))</f>
        <v>642</v>
      </c>
      <c r="I543" s="58" t="str">
        <f>IF(H543="","",VLOOKUP($G543,'Quy chuẩn hạch toán'!$B:$E,3,0))</f>
        <v>331</v>
      </c>
      <c r="J543" s="59">
        <v>9000000.0</v>
      </c>
      <c r="K543" s="60"/>
      <c r="L543" s="61"/>
      <c r="M543" s="62"/>
      <c r="N543" s="63"/>
      <c r="O543" s="64" t="str">
        <f>IF($Q543&lt;&gt;0,VLOOKUP($Q543,DM_KM,3,0),"")</f>
        <v>THUEVP</v>
      </c>
      <c r="P543" s="64">
        <f>IF($Q543&lt;&gt;0,VLOOKUP($Q543,DM_KM,5,0),"")</f>
        <v>642</v>
      </c>
      <c r="Q543" s="89" t="s">
        <v>270</v>
      </c>
      <c r="R543" s="64" t="str">
        <f>IF(S543&lt;&gt;0,VLOOKUP(S543,DM_DUAN,3,0),"")</f>
        <v>#N/A</v>
      </c>
      <c r="S543" s="66" t="str">
        <f>IF(U543&lt;&gt;0,VLOOKUP(U543,DM_DUAN,3,0),"")</f>
        <v/>
      </c>
      <c r="T543" s="64"/>
      <c r="U543" s="93"/>
      <c r="V543" s="64" t="str">
        <f>IF(W543&lt;&gt;0,VLOOKUP(W543,DM_DUAN,3,0),"")</f>
        <v/>
      </c>
      <c r="W543" s="68"/>
      <c r="X543" s="64" t="str">
        <f>IF(Y543&lt;&gt;0,VLOOKUP(Y543,DM_DUAN,3,0),"")</f>
        <v>#N/A</v>
      </c>
      <c r="Y543" s="69" t="s">
        <v>176</v>
      </c>
      <c r="Z543" s="64" t="str">
        <f>IF(AA543&lt;&gt;0,VLOOKUP(AA543,DM_DUAN,3,0),"")</f>
        <v>#N/A</v>
      </c>
      <c r="AA543" s="131" t="s">
        <v>210</v>
      </c>
      <c r="AB543" s="64" t="str">
        <f>IF(AC543&lt;&gt;0,VLOOKUP(AC543,DM_DUAN,3,0),"")</f>
        <v/>
      </c>
      <c r="AC543" s="85"/>
      <c r="AD543" s="64" t="str">
        <f>IF(AC543&lt;&gt;0,VLOOKUP(AC543,DM_NV,2,0),"")</f>
        <v/>
      </c>
      <c r="AE543" s="68"/>
      <c r="AF543" s="64" t="str">
        <f>IF(AE543&lt;&gt;0,VLOOKUP(AE543,DM_NV,2,0),"")</f>
        <v/>
      </c>
    </row>
    <row r="544">
      <c r="A544" s="51"/>
      <c r="B544" s="52" t="str">
        <f>IF(D544="","",VLOOKUP(D544,'THAM CHIẾU'!$A:$B,2,0))</f>
        <v>#N/A</v>
      </c>
      <c r="C544" s="53" t="str">
        <f t="shared" si="3"/>
        <v>03/2022</v>
      </c>
      <c r="D544" s="54">
        <v>44650.0</v>
      </c>
      <c r="E544" s="55" t="s">
        <v>594</v>
      </c>
      <c r="F544" s="56"/>
      <c r="G544" s="57" t="s">
        <v>249</v>
      </c>
      <c r="H544" s="58" t="str">
        <f>IF(G544="","",VLOOKUP($G544,'Quy chuẩn hạch toán'!$B:$E,2,0))</f>
        <v>642</v>
      </c>
      <c r="I544" s="58" t="str">
        <f>IF(H544="","",VLOOKUP($G544,'Quy chuẩn hạch toán'!$B:$E,3,0))</f>
        <v>331</v>
      </c>
      <c r="J544" s="59">
        <v>1.2E7</v>
      </c>
      <c r="K544" s="60"/>
      <c r="L544" s="61"/>
      <c r="M544" s="62"/>
      <c r="N544" s="63"/>
      <c r="O544" s="64" t="str">
        <f>IF($Q544&lt;&gt;0,VLOOKUP($Q544,DM_KM,3,0),"")</f>
        <v>THUEVP</v>
      </c>
      <c r="P544" s="64">
        <f>IF($Q544&lt;&gt;0,VLOOKUP($Q544,DM_KM,5,0),"")</f>
        <v>642</v>
      </c>
      <c r="Q544" s="65" t="s">
        <v>270</v>
      </c>
      <c r="R544" s="64" t="str">
        <f>IF(S544&lt;&gt;0,VLOOKUP(S544,DM_DUAN,3,0),"")</f>
        <v>#N/A</v>
      </c>
      <c r="S544" s="66" t="str">
        <f>IF(U544&lt;&gt;0,VLOOKUP(U544,DM_DUAN,3,0),"")</f>
        <v/>
      </c>
      <c r="T544" s="64"/>
      <c r="U544" s="93"/>
      <c r="V544" s="64" t="str">
        <f>IF(W544&lt;&gt;0,VLOOKUP(W544,DM_DUAN,3,0),"")</f>
        <v/>
      </c>
      <c r="W544" s="68"/>
      <c r="X544" s="64" t="str">
        <f>IF(Y544&lt;&gt;0,VLOOKUP(Y544,DM_DUAN,3,0),"")</f>
        <v>#N/A</v>
      </c>
      <c r="Y544" s="69" t="s">
        <v>176</v>
      </c>
      <c r="Z544" s="64" t="str">
        <f>IF(AA544&lt;&gt;0,VLOOKUP(AA544,DM_DUAN,3,0),"")</f>
        <v>#N/A</v>
      </c>
      <c r="AA544" s="70" t="s">
        <v>177</v>
      </c>
      <c r="AB544" s="64" t="str">
        <f>IF(AC544&lt;&gt;0,VLOOKUP(AC544,DM_DUAN,3,0),"")</f>
        <v/>
      </c>
      <c r="AC544" s="85"/>
      <c r="AD544" s="64" t="str">
        <f>IF(AC544&lt;&gt;0,VLOOKUP(AC544,DM_NV,2,0),"")</f>
        <v/>
      </c>
      <c r="AE544" s="68"/>
      <c r="AF544" s="64" t="str">
        <f>IF(AE544&lt;&gt;0,VLOOKUP(AE544,DM_NV,2,0),"")</f>
        <v/>
      </c>
    </row>
    <row r="545">
      <c r="A545" s="51"/>
      <c r="B545" s="52" t="str">
        <f>IF(D545="","",VLOOKUP(D545,'THAM CHIẾU'!$A:$B,2,0))</f>
        <v>#N/A</v>
      </c>
      <c r="C545" s="53" t="str">
        <f t="shared" si="3"/>
        <v>03/2022</v>
      </c>
      <c r="D545" s="54">
        <v>44650.0</v>
      </c>
      <c r="E545" s="55" t="s">
        <v>595</v>
      </c>
      <c r="F545" s="56"/>
      <c r="G545" s="57" t="s">
        <v>249</v>
      </c>
      <c r="H545" s="58" t="str">
        <f>IF(G545="","",VLOOKUP($G545,'Quy chuẩn hạch toán'!$B:$E,2,0))</f>
        <v>642</v>
      </c>
      <c r="I545" s="58" t="str">
        <f>IF(H545="","",VLOOKUP($G545,'Quy chuẩn hạch toán'!$B:$E,3,0))</f>
        <v>331</v>
      </c>
      <c r="J545" s="59">
        <v>1.2E7</v>
      </c>
      <c r="K545" s="60"/>
      <c r="L545" s="61"/>
      <c r="M545" s="62"/>
      <c r="N545" s="63"/>
      <c r="O545" s="64" t="str">
        <f>IF($Q545&lt;&gt;0,VLOOKUP($Q545,DM_KM,3,0),"")</f>
        <v>THUEVP</v>
      </c>
      <c r="P545" s="64">
        <f>IF($Q545&lt;&gt;0,VLOOKUP($Q545,DM_KM,5,0),"")</f>
        <v>642</v>
      </c>
      <c r="Q545" s="65" t="s">
        <v>270</v>
      </c>
      <c r="R545" s="64" t="str">
        <f>IF(S545&lt;&gt;0,VLOOKUP(S545,DM_DUAN,3,0),"")</f>
        <v>#N/A</v>
      </c>
      <c r="S545" s="66" t="str">
        <f>IF(U545&lt;&gt;0,VLOOKUP(U545,DM_DUAN,3,0),"")</f>
        <v/>
      </c>
      <c r="T545" s="64"/>
      <c r="U545" s="93"/>
      <c r="V545" s="64" t="str">
        <f>IF(W545&lt;&gt;0,VLOOKUP(W545,DM_DUAN,3,0),"")</f>
        <v/>
      </c>
      <c r="W545" s="68"/>
      <c r="X545" s="64" t="str">
        <f>IF(Y545&lt;&gt;0,VLOOKUP(Y545,DM_DUAN,3,0),"")</f>
        <v>#N/A</v>
      </c>
      <c r="Y545" s="69" t="s">
        <v>176</v>
      </c>
      <c r="Z545" s="64" t="str">
        <f>IF(AA545&lt;&gt;0,VLOOKUP(AA545,DM_DUAN,3,0),"")</f>
        <v>#N/A</v>
      </c>
      <c r="AA545" s="70" t="s">
        <v>183</v>
      </c>
      <c r="AB545" s="64" t="str">
        <f>IF(AC545&lt;&gt;0,VLOOKUP(AC545,DM_DUAN,3,0),"")</f>
        <v/>
      </c>
      <c r="AC545" s="85"/>
      <c r="AD545" s="64" t="str">
        <f>IF(AC545&lt;&gt;0,VLOOKUP(AC545,DM_NV,2,0),"")</f>
        <v/>
      </c>
      <c r="AE545" s="68"/>
      <c r="AF545" s="64" t="str">
        <f>IF(AE545&lt;&gt;0,VLOOKUP(AE545,DM_NV,2,0),"")</f>
        <v/>
      </c>
    </row>
    <row r="546">
      <c r="A546" s="51"/>
      <c r="B546" s="52" t="str">
        <f>IF(D546="","",VLOOKUP(D546,'THAM CHIẾU'!$A:$B,2,0))</f>
        <v>#N/A</v>
      </c>
      <c r="C546" s="53" t="str">
        <f t="shared" si="3"/>
        <v>03/2022</v>
      </c>
      <c r="D546" s="54">
        <v>44650.0</v>
      </c>
      <c r="E546" s="55" t="s">
        <v>596</v>
      </c>
      <c r="F546" s="56"/>
      <c r="G546" s="57" t="s">
        <v>173</v>
      </c>
      <c r="H546" s="58" t="str">
        <f>IF(G546="","",VLOOKUP($G546,'Quy chuẩn hạch toán'!$B:$E,2,0))</f>
        <v>641</v>
      </c>
      <c r="I546" s="58" t="str">
        <f>IF(H546="","",VLOOKUP($G546,'Quy chuẩn hạch toán'!$B:$E,3,0))</f>
        <v>331</v>
      </c>
      <c r="J546" s="59">
        <v>2656000.0</v>
      </c>
      <c r="K546" s="60"/>
      <c r="L546" s="61"/>
      <c r="M546" s="62"/>
      <c r="N546" s="63"/>
      <c r="O546" s="64" t="str">
        <f>IF($Q546&lt;&gt;0,VLOOKUP($Q546,DM_KM,3,0),"")</f>
        <v>#N/A</v>
      </c>
      <c r="P546" s="64" t="str">
        <f>IF($Q546&lt;&gt;0,VLOOKUP($Q546,DM_KM,5,0),"")</f>
        <v>#N/A</v>
      </c>
      <c r="Q546" s="89" t="s">
        <v>174</v>
      </c>
      <c r="R546" s="64" t="str">
        <f>IF(S546&lt;&gt;0,VLOOKUP(S546,DM_DUAN,3,0),"")</f>
        <v>#N/A</v>
      </c>
      <c r="S546" s="66" t="str">
        <f>IF(U546&lt;&gt;0,VLOOKUP(U546,DM_DUAN,3,0),"")</f>
        <v>THANHNAM</v>
      </c>
      <c r="T546" s="64"/>
      <c r="U546" s="67" t="s">
        <v>597</v>
      </c>
      <c r="V546" s="64" t="str">
        <f>IF(W546&lt;&gt;0,VLOOKUP(W546,DM_DUAN,3,0),"")</f>
        <v/>
      </c>
      <c r="W546" s="68"/>
      <c r="X546" s="64" t="str">
        <f>IF(Y546&lt;&gt;0,VLOOKUP(Y546,DM_DUAN,3,0),"")</f>
        <v>#N/A</v>
      </c>
      <c r="Y546" s="69" t="s">
        <v>176</v>
      </c>
      <c r="Z546" s="64" t="str">
        <f>IF(AA546&lt;&gt;0,VLOOKUP(AA546,DM_DUAN,3,0),"")</f>
        <v>#N/A</v>
      </c>
      <c r="AA546" s="131" t="s">
        <v>210</v>
      </c>
      <c r="AB546" s="64" t="str">
        <f>IF(AC546&lt;&gt;0,VLOOKUP(AC546,DM_DUAN,3,0),"")</f>
        <v/>
      </c>
      <c r="AC546" s="85"/>
      <c r="AD546" s="64" t="str">
        <f>IF(AC546&lt;&gt;0,VLOOKUP(AC546,DM_NV,2,0),"")</f>
        <v/>
      </c>
      <c r="AE546" s="68"/>
      <c r="AF546" s="64" t="str">
        <f>IF(AE546&lt;&gt;0,VLOOKUP(AE546,DM_NV,2,0),"")</f>
        <v/>
      </c>
    </row>
    <row r="547">
      <c r="A547" s="51"/>
      <c r="B547" s="52" t="str">
        <f>IF(D547="","",VLOOKUP(D547,'THAM CHIẾU'!$A:$B,2,0))</f>
        <v>#N/A</v>
      </c>
      <c r="C547" s="53" t="str">
        <f t="shared" si="3"/>
        <v>03/2022</v>
      </c>
      <c r="D547" s="54">
        <v>44651.0</v>
      </c>
      <c r="E547" s="55" t="s">
        <v>598</v>
      </c>
      <c r="F547" s="56"/>
      <c r="G547" s="57" t="s">
        <v>197</v>
      </c>
      <c r="H547" s="58" t="str">
        <f>IF(G547="","",VLOOKUP($G547,'Quy chuẩn hạch toán'!$B:$E,2,0))</f>
        <v>#N/A</v>
      </c>
      <c r="I547" s="58" t="str">
        <f>IF(H547="","",VLOOKUP($G547,'Quy chuẩn hạch toán'!$B:$E,3,0))</f>
        <v>#N/A</v>
      </c>
      <c r="J547" s="59">
        <v>2.0313E9</v>
      </c>
      <c r="K547" s="60"/>
      <c r="L547" s="61"/>
      <c r="M547" s="62"/>
      <c r="N547" s="63"/>
      <c r="O547" s="64" t="str">
        <f>IF($Q547&lt;&gt;0,VLOOKUP($Q547,DM_KM,3,0),"")</f>
        <v>#N/A</v>
      </c>
      <c r="P547" s="64" t="str">
        <f>IF($Q547&lt;&gt;0,VLOOKUP($Q547,DM_KM,5,0),"")</f>
        <v>#N/A</v>
      </c>
      <c r="Q547" s="65" t="s">
        <v>198</v>
      </c>
      <c r="R547" s="64" t="str">
        <f>IF(S547&lt;&gt;0,VLOOKUP(S547,DM_DUAN,3,0),"")</f>
        <v>#N/A</v>
      </c>
      <c r="S547" s="66" t="str">
        <f>IF(U547&lt;&gt;0,VLOOKUP(U547,DM_DUAN,3,0),"")</f>
        <v>THANHNAM</v>
      </c>
      <c r="T547" s="64"/>
      <c r="U547" s="67" t="s">
        <v>530</v>
      </c>
      <c r="V547" s="64" t="str">
        <f>IF(W547&lt;&gt;0,VLOOKUP(W547,DM_DUAN,3,0),"")</f>
        <v>#N/A</v>
      </c>
      <c r="W547" s="83" t="s">
        <v>599</v>
      </c>
      <c r="X547" s="64" t="str">
        <f>IF(Y547&lt;&gt;0,VLOOKUP(Y547,DM_DUAN,3,0),"")</f>
        <v>#N/A</v>
      </c>
      <c r="Y547" s="84" t="s">
        <v>176</v>
      </c>
      <c r="Z547" s="64" t="str">
        <f>IF(AA547&lt;&gt;0,VLOOKUP(AA547,DM_DUAN,3,0),"")</f>
        <v>#N/A</v>
      </c>
      <c r="AA547" s="131" t="s">
        <v>177</v>
      </c>
      <c r="AB547" s="64" t="str">
        <f>IF(AC547&lt;&gt;0,VLOOKUP(AC547,DM_DUAN,3,0),"")</f>
        <v>#N/A</v>
      </c>
      <c r="AC547" s="70" t="s">
        <v>600</v>
      </c>
      <c r="AD547" s="64" t="str">
        <f>IF(AC547&lt;&gt;0,VLOOKUP(AC547,DM_NV,2,0),"")</f>
        <v>Nguyễn Quốc Việt</v>
      </c>
      <c r="AE547" s="68"/>
      <c r="AF547" s="64" t="str">
        <f>IF(AE547&lt;&gt;0,VLOOKUP(AE547,DM_NV,2,0),"")</f>
        <v/>
      </c>
    </row>
    <row r="548">
      <c r="A548" s="51"/>
      <c r="B548" s="52" t="str">
        <f>IF(D548="","",VLOOKUP(D548,'THAM CHIẾU'!$A:$B,2,0))</f>
        <v>#N/A</v>
      </c>
      <c r="C548" s="53" t="str">
        <f t="shared" si="3"/>
        <v>03/2022</v>
      </c>
      <c r="D548" s="54">
        <v>44651.0</v>
      </c>
      <c r="E548" s="55" t="s">
        <v>601</v>
      </c>
      <c r="F548" s="56"/>
      <c r="G548" s="57" t="s">
        <v>186</v>
      </c>
      <c r="H548" s="58" t="str">
        <f>IF(G548="","",VLOOKUP($G548,'Quy chuẩn hạch toán'!$B:$E,2,0))</f>
        <v>131</v>
      </c>
      <c r="I548" s="58" t="str">
        <f>IF(H548="","",VLOOKUP($G548,'Quy chuẩn hạch toán'!$B:$E,3,0))</f>
        <v>5113</v>
      </c>
      <c r="J548" s="59">
        <v>1.76E8</v>
      </c>
      <c r="K548" s="60"/>
      <c r="L548" s="61"/>
      <c r="M548" s="62"/>
      <c r="N548" s="63"/>
      <c r="O548" s="64" t="str">
        <f>IF($Q548&lt;&gt;0,VLOOKUP($Q548,DM_KM,3,0),"")</f>
        <v>511_TK</v>
      </c>
      <c r="P548" s="64">
        <f>IF($Q548&lt;&gt;0,VLOOKUP($Q548,DM_KM,5,0),"")</f>
        <v>511</v>
      </c>
      <c r="Q548" s="65" t="s">
        <v>187</v>
      </c>
      <c r="R548" s="64" t="str">
        <f>IF(S548&lt;&gt;0,VLOOKUP(S548,DM_DUAN,3,0),"")</f>
        <v>#N/A</v>
      </c>
      <c r="S548" s="66" t="str">
        <f>IF(U548&lt;&gt;0,VLOOKUP(U548,DM_DUAN,3,0),"")</f>
        <v>THANHNAM</v>
      </c>
      <c r="T548" s="64"/>
      <c r="U548" s="67" t="s">
        <v>530</v>
      </c>
      <c r="V548" s="64" t="str">
        <f>IF(W548&lt;&gt;0,VLOOKUP(W548,DM_DUAN,3,0),"")</f>
        <v>#N/A</v>
      </c>
      <c r="W548" s="83" t="s">
        <v>599</v>
      </c>
      <c r="X548" s="64" t="str">
        <f>IF(Y548&lt;&gt;0,VLOOKUP(Y548,DM_DUAN,3,0),"")</f>
        <v>#N/A</v>
      </c>
      <c r="Y548" s="69" t="s">
        <v>176</v>
      </c>
      <c r="Z548" s="64" t="str">
        <f>IF(AA548&lt;&gt;0,VLOOKUP(AA548,DM_DUAN,3,0),"")</f>
        <v>#N/A</v>
      </c>
      <c r="AA548" s="70" t="s">
        <v>177</v>
      </c>
      <c r="AB548" s="64" t="str">
        <f>IF(AC548&lt;&gt;0,VLOOKUP(AC548,DM_DUAN,3,0),"")</f>
        <v/>
      </c>
      <c r="AC548" s="85"/>
      <c r="AD548" s="64" t="str">
        <f>IF(AC548&lt;&gt;0,VLOOKUP(AC548,DM_NV,2,0),"")</f>
        <v/>
      </c>
      <c r="AE548" s="68"/>
      <c r="AF548" s="64" t="str">
        <f>IF(AE548&lt;&gt;0,VLOOKUP(AE548,DM_NV,2,0),"")</f>
        <v/>
      </c>
    </row>
    <row r="549">
      <c r="A549" s="51"/>
      <c r="B549" s="52" t="str">
        <f>IF(D549="","",VLOOKUP(D549,'THAM CHIẾU'!$A:$B,2,0))</f>
        <v>#N/A</v>
      </c>
      <c r="C549" s="53" t="str">
        <f t="shared" si="3"/>
        <v>03/2022</v>
      </c>
      <c r="D549" s="54">
        <v>44651.0</v>
      </c>
      <c r="E549" s="79" t="s">
        <v>602</v>
      </c>
      <c r="F549" s="80"/>
      <c r="G549" s="57" t="s">
        <v>193</v>
      </c>
      <c r="H549" s="58" t="str">
        <f>IF(G549="","",VLOOKUP($G549,'Quy chuẩn hạch toán'!$B:$E,2,0))</f>
        <v>154</v>
      </c>
      <c r="I549" s="58" t="str">
        <f>IF(H549="","",VLOOKUP($G549,'Quy chuẩn hạch toán'!$B:$E,3,0))</f>
        <v>3344</v>
      </c>
      <c r="J549" s="59">
        <v>4500000.0</v>
      </c>
      <c r="K549" s="60"/>
      <c r="L549" s="61"/>
      <c r="M549" s="62"/>
      <c r="N549" s="63"/>
      <c r="O549" s="64" t="str">
        <f>IF($Q549&lt;&gt;0,VLOOKUP($Q549,DM_KM,3,0),"")</f>
        <v>#N/A</v>
      </c>
      <c r="P549" s="64" t="str">
        <f>IF($Q549&lt;&gt;0,VLOOKUP($Q549,DM_KM,5,0),"")</f>
        <v>#N/A</v>
      </c>
      <c r="Q549" s="65" t="s">
        <v>194</v>
      </c>
      <c r="R549" s="64" t="str">
        <f>IF(S549&lt;&gt;0,VLOOKUP(S549,DM_DUAN,3,0),"")</f>
        <v>#N/A</v>
      </c>
      <c r="S549" s="66" t="str">
        <f>IF(U549&lt;&gt;0,VLOOKUP(U549,DM_DUAN,3,0),"")</f>
        <v>THANHNAM</v>
      </c>
      <c r="T549" s="64"/>
      <c r="U549" s="67" t="s">
        <v>530</v>
      </c>
      <c r="V549" s="64" t="str">
        <f>IF(W549&lt;&gt;0,VLOOKUP(W549,DM_DUAN,3,0),"")</f>
        <v>#N/A</v>
      </c>
      <c r="W549" s="83" t="s">
        <v>599</v>
      </c>
      <c r="X549" s="64" t="str">
        <f>IF(Y549&lt;&gt;0,VLOOKUP(Y549,DM_DUAN,3,0),"")</f>
        <v>#N/A</v>
      </c>
      <c r="Y549" s="69" t="s">
        <v>176</v>
      </c>
      <c r="Z549" s="64" t="str">
        <f>IF(AA549&lt;&gt;0,VLOOKUP(AA549,DM_DUAN,3,0),"")</f>
        <v>#N/A</v>
      </c>
      <c r="AA549" s="70" t="s">
        <v>177</v>
      </c>
      <c r="AB549" s="64" t="str">
        <f>IF(AC549&lt;&gt;0,VLOOKUP(AC549,DM_DUAN,3,0),"")</f>
        <v>#N/A</v>
      </c>
      <c r="AC549" s="70" t="s">
        <v>603</v>
      </c>
      <c r="AD549" s="64" t="str">
        <f>IF(AC549&lt;&gt;0,VLOOKUP(AC549,DM_NV,2,0),"")</f>
        <v>Trần Minh Khánh</v>
      </c>
      <c r="AE549" s="68"/>
      <c r="AF549" s="64" t="str">
        <f>IF(AE549&lt;&gt;0,VLOOKUP(AE549,DM_NV,2,0),"")</f>
        <v/>
      </c>
    </row>
    <row r="550">
      <c r="A550" s="51"/>
      <c r="B550" s="52" t="str">
        <f>IF(D550="","",VLOOKUP(D550,'THAM CHIẾU'!$A:$B,2,0))</f>
        <v>#N/A</v>
      </c>
      <c r="C550" s="53" t="str">
        <f t="shared" si="3"/>
        <v>03/2022</v>
      </c>
      <c r="D550" s="54">
        <v>44651.0</v>
      </c>
      <c r="E550" s="79" t="s">
        <v>604</v>
      </c>
      <c r="F550" s="80"/>
      <c r="G550" s="57" t="s">
        <v>189</v>
      </c>
      <c r="H550" s="58" t="str">
        <f>IF(G550="","",VLOOKUP($G550,'Quy chuẩn hạch toán'!$B:$E,2,0))</f>
        <v>154</v>
      </c>
      <c r="I550" s="58" t="str">
        <f>IF(H550="","",VLOOKUP($G550,'Quy chuẩn hạch toán'!$B:$E,3,0))</f>
        <v>3345</v>
      </c>
      <c r="J550" s="59">
        <v>4.8E7</v>
      </c>
      <c r="K550" s="60"/>
      <c r="L550" s="61"/>
      <c r="M550" s="62"/>
      <c r="N550" s="63"/>
      <c r="O550" s="64" t="str">
        <f>IF($Q550&lt;&gt;0,VLOOKUP($Q550,DM_KM,3,0),"")</f>
        <v>#N/A</v>
      </c>
      <c r="P550" s="64" t="str">
        <f>IF($Q550&lt;&gt;0,VLOOKUP($Q550,DM_KM,5,0),"")</f>
        <v>#N/A</v>
      </c>
      <c r="Q550" s="65" t="s">
        <v>190</v>
      </c>
      <c r="R550" s="64" t="str">
        <f>IF(S550&lt;&gt;0,VLOOKUP(S550,DM_DUAN,3,0),"")</f>
        <v>#N/A</v>
      </c>
      <c r="S550" s="66" t="str">
        <f>IF(U550&lt;&gt;0,VLOOKUP(U550,DM_DUAN,3,0),"")</f>
        <v>THANHNAM</v>
      </c>
      <c r="T550" s="64"/>
      <c r="U550" s="67" t="s">
        <v>530</v>
      </c>
      <c r="V550" s="64" t="str">
        <f>IF(W550&lt;&gt;0,VLOOKUP(W550,DM_DUAN,3,0),"")</f>
        <v>#N/A</v>
      </c>
      <c r="W550" s="83" t="s">
        <v>599</v>
      </c>
      <c r="X550" s="64" t="str">
        <f>IF(Y550&lt;&gt;0,VLOOKUP(Y550,DM_DUAN,3,0),"")</f>
        <v>#N/A</v>
      </c>
      <c r="Y550" s="69" t="s">
        <v>176</v>
      </c>
      <c r="Z550" s="64" t="str">
        <f>IF(AA550&lt;&gt;0,VLOOKUP(AA550,DM_DUAN,3,0),"")</f>
        <v>#N/A</v>
      </c>
      <c r="AA550" s="70" t="s">
        <v>177</v>
      </c>
      <c r="AB550" s="64" t="str">
        <f>IF(AC550&lt;&gt;0,VLOOKUP(AC550,DM_DUAN,3,0),"")</f>
        <v>#N/A</v>
      </c>
      <c r="AC550" s="70" t="s">
        <v>600</v>
      </c>
      <c r="AD550" s="64" t="str">
        <f>IF(AC550&lt;&gt;0,VLOOKUP(AC550,DM_NV,2,0),"")</f>
        <v>Nguyễn Quốc Việt</v>
      </c>
      <c r="AE550" s="68"/>
      <c r="AF550" s="64" t="str">
        <f>IF(AE550&lt;&gt;0,VLOOKUP(AE550,DM_NV,2,0),"")</f>
        <v/>
      </c>
    </row>
    <row r="551">
      <c r="A551" s="51"/>
      <c r="B551" s="52" t="str">
        <f>IF(D551="","",VLOOKUP(D551,'THAM CHIẾU'!$A:$B,2,0))</f>
        <v>#N/A</v>
      </c>
      <c r="C551" s="53" t="str">
        <f t="shared" si="3"/>
        <v>03/2022</v>
      </c>
      <c r="D551" s="54">
        <v>44651.0</v>
      </c>
      <c r="E551" s="79" t="s">
        <v>605</v>
      </c>
      <c r="F551" s="80"/>
      <c r="G551" s="57" t="s">
        <v>582</v>
      </c>
      <c r="H551" s="58" t="str">
        <f>IF(G551="","",VLOOKUP($G551,'Quy chuẩn hạch toán'!$B:$E,2,0))</f>
        <v>154</v>
      </c>
      <c r="I551" s="58" t="str">
        <f>IF(H551="","",VLOOKUP($G551,'Quy chuẩn hạch toán'!$B:$E,3,0))</f>
        <v>3346</v>
      </c>
      <c r="J551" s="59">
        <v>1.7E7</v>
      </c>
      <c r="K551" s="60"/>
      <c r="L551" s="61"/>
      <c r="M551" s="62"/>
      <c r="N551" s="63"/>
      <c r="O551" s="64" t="str">
        <f>IF($Q551&lt;&gt;0,VLOOKUP($Q551,DM_KM,3,0),"")</f>
        <v>#N/A</v>
      </c>
      <c r="P551" s="64" t="str">
        <f>IF($Q551&lt;&gt;0,VLOOKUP($Q551,DM_KM,5,0),"")</f>
        <v>#N/A</v>
      </c>
      <c r="Q551" s="65" t="s">
        <v>190</v>
      </c>
      <c r="R551" s="64" t="str">
        <f>IF(S551&lt;&gt;0,VLOOKUP(S551,DM_DUAN,3,0),"")</f>
        <v>#N/A</v>
      </c>
      <c r="S551" s="66" t="str">
        <f>IF(U551&lt;&gt;0,VLOOKUP(U551,DM_DUAN,3,0),"")</f>
        <v>THANHNAM</v>
      </c>
      <c r="T551" s="64"/>
      <c r="U551" s="67" t="s">
        <v>530</v>
      </c>
      <c r="V551" s="64" t="str">
        <f>IF(W551&lt;&gt;0,VLOOKUP(W551,DM_DUAN,3,0),"")</f>
        <v>#N/A</v>
      </c>
      <c r="W551" s="83" t="s">
        <v>599</v>
      </c>
      <c r="X551" s="64" t="str">
        <f>IF(Y551&lt;&gt;0,VLOOKUP(Y551,DM_DUAN,3,0),"")</f>
        <v>#N/A</v>
      </c>
      <c r="Y551" s="69" t="s">
        <v>176</v>
      </c>
      <c r="Z551" s="64" t="str">
        <f>IF(AA551&lt;&gt;0,VLOOKUP(AA551,DM_DUAN,3,0),"")</f>
        <v>#N/A</v>
      </c>
      <c r="AA551" s="70" t="s">
        <v>177</v>
      </c>
      <c r="AB551" s="64" t="str">
        <f>IF(AC551&lt;&gt;0,VLOOKUP(AC551,DM_DUAN,3,0),"")</f>
        <v>#N/A</v>
      </c>
      <c r="AC551" s="70" t="s">
        <v>606</v>
      </c>
      <c r="AD551" s="64" t="str">
        <f>IF(AC551&lt;&gt;0,VLOOKUP(AC551,DM_NV,2,0),"")</f>
        <v>Lâm Văn Còn</v>
      </c>
      <c r="AE551" s="68"/>
      <c r="AF551" s="64" t="str">
        <f>IF(AE551&lt;&gt;0,VLOOKUP(AE551,DM_NV,2,0),"")</f>
        <v/>
      </c>
    </row>
    <row r="552">
      <c r="A552" s="51"/>
      <c r="B552" s="52" t="str">
        <f>IF(D552="","",VLOOKUP(D552,'THAM CHIẾU'!$A:$B,2,0))</f>
        <v>#N/A</v>
      </c>
      <c r="C552" s="53" t="str">
        <f t="shared" si="3"/>
        <v>03/2022</v>
      </c>
      <c r="D552" s="54">
        <v>44651.0</v>
      </c>
      <c r="E552" s="79" t="s">
        <v>607</v>
      </c>
      <c r="F552" s="80"/>
      <c r="G552" s="57" t="s">
        <v>200</v>
      </c>
      <c r="H552" s="58" t="str">
        <f>IF(G552="","",VLOOKUP($G552,'Quy chuẩn hạch toán'!$B:$E,2,0))</f>
        <v>154</v>
      </c>
      <c r="I552" s="58" t="str">
        <f>IF(H552="","",VLOOKUP($G552,'Quy chuẩn hạch toán'!$B:$E,3,0))</f>
        <v>3343</v>
      </c>
      <c r="J552" s="59">
        <v>1000000.0</v>
      </c>
      <c r="K552" s="60"/>
      <c r="L552" s="61"/>
      <c r="M552" s="62"/>
      <c r="N552" s="63"/>
      <c r="O552" s="64" t="str">
        <f>IF($Q552&lt;&gt;0,VLOOKUP($Q552,DM_KM,3,0),"")</f>
        <v>#N/A</v>
      </c>
      <c r="P552" s="64" t="str">
        <f>IF($Q552&lt;&gt;0,VLOOKUP($Q552,DM_KM,5,0),"")</f>
        <v>#N/A</v>
      </c>
      <c r="Q552" s="65" t="s">
        <v>201</v>
      </c>
      <c r="R552" s="64" t="str">
        <f>IF(S552&lt;&gt;0,VLOOKUP(S552,DM_DUAN,3,0),"")</f>
        <v>#N/A</v>
      </c>
      <c r="S552" s="66" t="str">
        <f>IF(U552&lt;&gt;0,VLOOKUP(U552,DM_DUAN,3,0),"")</f>
        <v>THANHNAM</v>
      </c>
      <c r="T552" s="64"/>
      <c r="U552" s="67" t="s">
        <v>530</v>
      </c>
      <c r="V552" s="64" t="str">
        <f>IF(W552&lt;&gt;0,VLOOKUP(W552,DM_DUAN,3,0),"")</f>
        <v>#N/A</v>
      </c>
      <c r="W552" s="83" t="s">
        <v>599</v>
      </c>
      <c r="X552" s="64" t="str">
        <f>IF(Y552&lt;&gt;0,VLOOKUP(Y552,DM_DUAN,3,0),"")</f>
        <v>#N/A</v>
      </c>
      <c r="Y552" s="69" t="s">
        <v>176</v>
      </c>
      <c r="Z552" s="64" t="str">
        <f>IF(AA552&lt;&gt;0,VLOOKUP(AA552,DM_DUAN,3,0),"")</f>
        <v>#N/A</v>
      </c>
      <c r="AA552" s="70" t="s">
        <v>177</v>
      </c>
      <c r="AB552" s="64" t="str">
        <f>IF(AC552&lt;&gt;0,VLOOKUP(AC552,DM_DUAN,3,0),"")</f>
        <v/>
      </c>
      <c r="AC552" s="85"/>
      <c r="AD552" s="64" t="str">
        <f>IF(AC552&lt;&gt;0,VLOOKUP(AC552,DM_NV,2,0),"")</f>
        <v/>
      </c>
      <c r="AE552" s="68"/>
      <c r="AF552" s="64" t="str">
        <f>IF(AE552&lt;&gt;0,VLOOKUP(AE552,DM_NV,2,0),"")</f>
        <v/>
      </c>
    </row>
    <row r="553">
      <c r="A553" s="51"/>
      <c r="B553" s="52" t="str">
        <f>IF(D553="","",VLOOKUP(D553,'THAM CHIẾU'!$A:$B,2,0))</f>
        <v>#N/A</v>
      </c>
      <c r="C553" s="53" t="str">
        <f t="shared" si="3"/>
        <v>03/2022</v>
      </c>
      <c r="D553" s="54">
        <v>44651.0</v>
      </c>
      <c r="E553" s="79" t="s">
        <v>608</v>
      </c>
      <c r="F553" s="80"/>
      <c r="G553" s="90"/>
      <c r="H553" s="58" t="str">
        <f>IF(G553="","",VLOOKUP($G553,'Quy chuẩn hạch toán'!$B:$E,2,0))</f>
        <v/>
      </c>
      <c r="I553" s="58" t="str">
        <f>IF(H553="","",VLOOKUP($G553,'Quy chuẩn hạch toán'!$B:$E,3,0))</f>
        <v/>
      </c>
      <c r="J553" s="59">
        <v>1.28E7</v>
      </c>
      <c r="K553" s="60"/>
      <c r="L553" s="61"/>
      <c r="M553" s="62"/>
      <c r="N553" s="63"/>
      <c r="O553" s="64" t="str">
        <f>IF($Q553&lt;&gt;0,VLOOKUP($Q553,DM_KM,3,0),"")</f>
        <v>#N/A</v>
      </c>
      <c r="P553" s="64" t="str">
        <f>IF($Q553&lt;&gt;0,VLOOKUP($Q553,DM_KM,5,0),"")</f>
        <v>#N/A</v>
      </c>
      <c r="Q553" s="65" t="s">
        <v>203</v>
      </c>
      <c r="R553" s="64" t="str">
        <f>IF(S553&lt;&gt;0,VLOOKUP(S553,DM_DUAN,3,0),"")</f>
        <v>#N/A</v>
      </c>
      <c r="S553" s="66" t="str">
        <f>IF(U553&lt;&gt;0,VLOOKUP(U553,DM_DUAN,3,0),"")</f>
        <v>THANHNAM</v>
      </c>
      <c r="T553" s="64"/>
      <c r="U553" s="67" t="s">
        <v>530</v>
      </c>
      <c r="V553" s="64" t="str">
        <f>IF(W553&lt;&gt;0,VLOOKUP(W553,DM_DUAN,3,0),"")</f>
        <v>#N/A</v>
      </c>
      <c r="W553" s="83" t="s">
        <v>599</v>
      </c>
      <c r="X553" s="64" t="str">
        <f>IF(Y553&lt;&gt;0,VLOOKUP(Y553,DM_DUAN,3,0),"")</f>
        <v>#N/A</v>
      </c>
      <c r="Y553" s="69" t="s">
        <v>176</v>
      </c>
      <c r="Z553" s="64" t="str">
        <f>IF(AA553&lt;&gt;0,VLOOKUP(AA553,DM_DUAN,3,0),"")</f>
        <v>#N/A</v>
      </c>
      <c r="AA553" s="70" t="s">
        <v>177</v>
      </c>
      <c r="AB553" s="64" t="str">
        <f>IF(AC553&lt;&gt;0,VLOOKUP(AC553,DM_DUAN,3,0),"")</f>
        <v/>
      </c>
      <c r="AC553" s="85"/>
      <c r="AD553" s="64" t="str">
        <f>IF(AC553&lt;&gt;0,VLOOKUP(AC553,DM_NV,2,0),"")</f>
        <v/>
      </c>
      <c r="AE553" s="68"/>
      <c r="AF553" s="64" t="str">
        <f>IF(AE553&lt;&gt;0,VLOOKUP(AE553,DM_NV,2,0),"")</f>
        <v/>
      </c>
    </row>
    <row r="554">
      <c r="A554" s="51"/>
      <c r="B554" s="52" t="str">
        <f>IF(D554="","",VLOOKUP(D554,'THAM CHIẾU'!$A:$B,2,0))</f>
        <v>#N/A</v>
      </c>
      <c r="C554" s="53" t="str">
        <f t="shared" si="3"/>
        <v>03/2022</v>
      </c>
      <c r="D554" s="54">
        <v>44651.0</v>
      </c>
      <c r="E554" s="55" t="s">
        <v>609</v>
      </c>
      <c r="F554" s="56"/>
      <c r="G554" s="57" t="s">
        <v>173</v>
      </c>
      <c r="H554" s="58" t="str">
        <f>IF(G554="","",VLOOKUP($G554,'Quy chuẩn hạch toán'!$B:$E,2,0))</f>
        <v>641</v>
      </c>
      <c r="I554" s="58" t="str">
        <f>IF(H554="","",VLOOKUP($G554,'Quy chuẩn hạch toán'!$B:$E,3,0))</f>
        <v>331</v>
      </c>
      <c r="J554" s="59">
        <v>2492000.0</v>
      </c>
      <c r="K554" s="60"/>
      <c r="L554" s="61"/>
      <c r="M554" s="62"/>
      <c r="N554" s="63"/>
      <c r="O554" s="64" t="str">
        <f>IF($Q554&lt;&gt;0,VLOOKUP($Q554,DM_KM,3,0),"")</f>
        <v>#N/A</v>
      </c>
      <c r="P554" s="64" t="str">
        <f>IF($Q554&lt;&gt;0,VLOOKUP($Q554,DM_KM,5,0),"")</f>
        <v>#N/A</v>
      </c>
      <c r="Q554" s="65" t="s">
        <v>377</v>
      </c>
      <c r="R554" s="64" t="str">
        <f>IF(S554&lt;&gt;0,VLOOKUP(S554,DM_DUAN,3,0),"")</f>
        <v>#N/A</v>
      </c>
      <c r="S554" s="66" t="str">
        <f>IF(U554&lt;&gt;0,VLOOKUP(U554,DM_DUAN,3,0),"")</f>
        <v/>
      </c>
      <c r="T554" s="64"/>
      <c r="U554" s="93"/>
      <c r="V554" s="64" t="str">
        <f>IF(W554&lt;&gt;0,VLOOKUP(W554,DM_DUAN,3,0),"")</f>
        <v/>
      </c>
      <c r="W554" s="68"/>
      <c r="X554" s="64" t="str">
        <f>IF(Y554&lt;&gt;0,VLOOKUP(Y554,DM_DUAN,3,0),"")</f>
        <v>#N/A</v>
      </c>
      <c r="Y554" s="69" t="s">
        <v>207</v>
      </c>
      <c r="Z554" s="64" t="str">
        <f>IF(AA554&lt;&gt;0,VLOOKUP(AA554,DM_DUAN,3,0),"")</f>
        <v>#N/A</v>
      </c>
      <c r="AA554" s="70" t="s">
        <v>183</v>
      </c>
      <c r="AB554" s="64" t="str">
        <f>IF(AC554&lt;&gt;0,VLOOKUP(AC554,DM_DUAN,3,0),"")</f>
        <v/>
      </c>
      <c r="AC554" s="85"/>
      <c r="AD554" s="64" t="str">
        <f>IF(AC554&lt;&gt;0,VLOOKUP(AC554,DM_NV,2,0),"")</f>
        <v/>
      </c>
      <c r="AE554" s="83" t="s">
        <v>610</v>
      </c>
      <c r="AF554" s="64" t="str">
        <f>IF(AE554&lt;&gt;0,VLOOKUP(AE554,DM_NV,2,0),"")</f>
        <v>#N/A</v>
      </c>
    </row>
    <row r="555">
      <c r="A555" s="51"/>
      <c r="B555" s="52" t="str">
        <f>IF(D555="","",VLOOKUP(D555,'THAM CHIẾU'!$A:$B,2,0))</f>
        <v>#N/A</v>
      </c>
      <c r="C555" s="53" t="str">
        <f t="shared" si="3"/>
        <v>03/2022</v>
      </c>
      <c r="D555" s="99">
        <v>44651.0</v>
      </c>
      <c r="E555" s="55" t="s">
        <v>611</v>
      </c>
      <c r="F555" s="56"/>
      <c r="G555" s="57" t="s">
        <v>316</v>
      </c>
      <c r="H555" s="58" t="str">
        <f>IF(G555="","",VLOOKUP($G555,'Quy chuẩn hạch toán'!$B:$E,2,0))</f>
        <v>911</v>
      </c>
      <c r="I555" s="58" t="str">
        <f>IF(H555="","",VLOOKUP($G555,'Quy chuẩn hạch toán'!$B:$E,3,0))</f>
        <v>642</v>
      </c>
      <c r="J555" s="59">
        <v>723600.0</v>
      </c>
      <c r="K555" s="60"/>
      <c r="L555" s="61"/>
      <c r="M555" s="62"/>
      <c r="N555" s="63"/>
      <c r="O555" s="64" t="str">
        <f>IF($Q555&lt;&gt;0,VLOOKUP($Q555,DM_KM,3,0),"")</f>
        <v>#N/A</v>
      </c>
      <c r="P555" s="64" t="str">
        <f>IF($Q555&lt;&gt;0,VLOOKUP($Q555,DM_KM,5,0),"")</f>
        <v>#N/A</v>
      </c>
      <c r="Q555" s="65" t="s">
        <v>612</v>
      </c>
      <c r="R555" s="64" t="str">
        <f>IF(S555&lt;&gt;0,VLOOKUP(S555,DM_DUAN,3,0),"")</f>
        <v>#N/A</v>
      </c>
      <c r="S555" s="66" t="str">
        <f>IF(U555&lt;&gt;0,VLOOKUP(U555,DM_DUAN,3,0),"")</f>
        <v>THANHNAM</v>
      </c>
      <c r="T555" s="64"/>
      <c r="U555" s="67" t="s">
        <v>530</v>
      </c>
      <c r="V555" s="64" t="str">
        <f>IF(W555&lt;&gt;0,VLOOKUP(W555,DM_DUAN,3,0),"")</f>
        <v/>
      </c>
      <c r="W555" s="68"/>
      <c r="X555" s="64" t="str">
        <f>IF(Y555&lt;&gt;0,VLOOKUP(Y555,DM_DUAN,3,0),"")</f>
        <v>#N/A</v>
      </c>
      <c r="Y555" s="69" t="s">
        <v>176</v>
      </c>
      <c r="Z555" s="64" t="str">
        <f>IF(AA555&lt;&gt;0,VLOOKUP(AA555,DM_DUAN,3,0),"")</f>
        <v>#N/A</v>
      </c>
      <c r="AA555" s="70" t="s">
        <v>177</v>
      </c>
      <c r="AB555" s="64" t="str">
        <f>IF(AC555&lt;&gt;0,VLOOKUP(AC555,DM_DUAN,3,0),"")</f>
        <v/>
      </c>
      <c r="AC555" s="85"/>
      <c r="AD555" s="64" t="str">
        <f>IF(AC555&lt;&gt;0,VLOOKUP(AC555,DM_NV,2,0),"")</f>
        <v/>
      </c>
      <c r="AE555" s="83" t="s">
        <v>613</v>
      </c>
      <c r="AF555" s="64" t="str">
        <f>IF(AE555&lt;&gt;0,VLOOKUP(AE555,DM_NV,2,0),"")</f>
        <v>#N/A</v>
      </c>
    </row>
    <row r="556">
      <c r="A556" s="51"/>
      <c r="B556" s="52" t="str">
        <f>IF(D556="","",VLOOKUP(D556,'THAM CHIẾU'!$A:$B,2,0))</f>
        <v>#N/A</v>
      </c>
      <c r="C556" s="53" t="str">
        <f t="shared" si="3"/>
        <v>03/2022</v>
      </c>
      <c r="D556" s="99">
        <v>44651.0</v>
      </c>
      <c r="E556" s="55" t="s">
        <v>614</v>
      </c>
      <c r="F556" s="56"/>
      <c r="G556" s="57" t="s">
        <v>316</v>
      </c>
      <c r="H556" s="58" t="str">
        <f>IF(G556="","",VLOOKUP($G556,'Quy chuẩn hạch toán'!$B:$E,2,0))</f>
        <v>911</v>
      </c>
      <c r="I556" s="58" t="str">
        <f>IF(H556="","",VLOOKUP($G556,'Quy chuẩn hạch toán'!$B:$E,3,0))</f>
        <v>642</v>
      </c>
      <c r="J556" s="59">
        <v>2400000.0</v>
      </c>
      <c r="K556" s="60"/>
      <c r="L556" s="61"/>
      <c r="M556" s="62"/>
      <c r="N556" s="63"/>
      <c r="O556" s="64" t="str">
        <f>IF($Q556&lt;&gt;0,VLOOKUP($Q556,DM_KM,3,0),"")</f>
        <v>#N/A</v>
      </c>
      <c r="P556" s="64" t="str">
        <f>IF($Q556&lt;&gt;0,VLOOKUP($Q556,DM_KM,5,0),"")</f>
        <v>#N/A</v>
      </c>
      <c r="Q556" s="65" t="s">
        <v>612</v>
      </c>
      <c r="R556" s="64" t="str">
        <f>IF(S556&lt;&gt;0,VLOOKUP(S556,DM_DUAN,3,0),"")</f>
        <v>#N/A</v>
      </c>
      <c r="S556" s="66" t="str">
        <f>IF(U556&lt;&gt;0,VLOOKUP(U556,DM_DUAN,3,0),"")</f>
        <v>THANHNAM</v>
      </c>
      <c r="T556" s="64"/>
      <c r="U556" s="67" t="s">
        <v>530</v>
      </c>
      <c r="V556" s="64" t="str">
        <f>IF(W556&lt;&gt;0,VLOOKUP(W556,DM_DUAN,3,0),"")</f>
        <v/>
      </c>
      <c r="W556" s="68"/>
      <c r="X556" s="64" t="str">
        <f>IF(Y556&lt;&gt;0,VLOOKUP(Y556,DM_DUAN,3,0),"")</f>
        <v>#N/A</v>
      </c>
      <c r="Y556" s="69" t="s">
        <v>176</v>
      </c>
      <c r="Z556" s="64" t="str">
        <f>IF(AA556&lt;&gt;0,VLOOKUP(AA556,DM_DUAN,3,0),"")</f>
        <v>#N/A</v>
      </c>
      <c r="AA556" s="70" t="s">
        <v>183</v>
      </c>
      <c r="AB556" s="64" t="str">
        <f>IF(AC556&lt;&gt;0,VLOOKUP(AC556,DM_DUAN,3,0),"")</f>
        <v/>
      </c>
      <c r="AC556" s="85"/>
      <c r="AD556" s="64" t="str">
        <f>IF(AC556&lt;&gt;0,VLOOKUP(AC556,DM_NV,2,0),"")</f>
        <v/>
      </c>
      <c r="AE556" s="83" t="s">
        <v>613</v>
      </c>
      <c r="AF556" s="64" t="str">
        <f>IF(AE556&lt;&gt;0,VLOOKUP(AE556,DM_NV,2,0),"")</f>
        <v>#N/A</v>
      </c>
    </row>
    <row r="557">
      <c r="A557" s="51"/>
      <c r="B557" s="52" t="str">
        <f>IF(D557="","",VLOOKUP(D557,'THAM CHIẾU'!$A:$B,2,0))</f>
        <v>#N/A</v>
      </c>
      <c r="C557" s="53" t="str">
        <f t="shared" si="3"/>
        <v>03/2022</v>
      </c>
      <c r="D557" s="54">
        <v>44651.0</v>
      </c>
      <c r="E557" s="55" t="s">
        <v>615</v>
      </c>
      <c r="F557" s="56"/>
      <c r="G557" s="57" t="s">
        <v>249</v>
      </c>
      <c r="H557" s="58" t="str">
        <f>IF(G557="","",VLOOKUP($G557,'Quy chuẩn hạch toán'!$B:$E,2,0))</f>
        <v>642</v>
      </c>
      <c r="I557" s="58" t="str">
        <f>IF(H557="","",VLOOKUP($G557,'Quy chuẩn hạch toán'!$B:$E,3,0))</f>
        <v>331</v>
      </c>
      <c r="J557" s="59">
        <v>896552.0</v>
      </c>
      <c r="K557" s="60"/>
      <c r="L557" s="61"/>
      <c r="M557" s="62"/>
      <c r="N557" s="63"/>
      <c r="O557" s="64" t="str">
        <f>IF($Q557&lt;&gt;0,VLOOKUP($Q557,DM_KM,3,0),"")</f>
        <v>THUEVP</v>
      </c>
      <c r="P557" s="64">
        <f>IF($Q557&lt;&gt;0,VLOOKUP($Q557,DM_KM,5,0),"")</f>
        <v>642</v>
      </c>
      <c r="Q557" s="65" t="s">
        <v>270</v>
      </c>
      <c r="R557" s="64" t="str">
        <f>IF(S557&lt;&gt;0,VLOOKUP(S557,DM_DUAN,3,0),"")</f>
        <v>#N/A</v>
      </c>
      <c r="S557" s="66" t="str">
        <f>IF(U557&lt;&gt;0,VLOOKUP(U557,DM_DUAN,3,0),"")</f>
        <v/>
      </c>
      <c r="T557" s="64"/>
      <c r="U557" s="93"/>
      <c r="V557" s="64" t="str">
        <f>IF(W557&lt;&gt;0,VLOOKUP(W557,DM_DUAN,3,0),"")</f>
        <v/>
      </c>
      <c r="W557" s="68"/>
      <c r="X557" s="64" t="str">
        <f>IF(Y557&lt;&gt;0,VLOOKUP(Y557,DM_DUAN,3,0),"")</f>
        <v>#N/A</v>
      </c>
      <c r="Y557" s="69" t="s">
        <v>176</v>
      </c>
      <c r="Z557" s="64" t="str">
        <f>IF(AA557&lt;&gt;0,VLOOKUP(AA557,DM_DUAN,3,0),"")</f>
        <v>#N/A</v>
      </c>
      <c r="AA557" s="70" t="s">
        <v>183</v>
      </c>
      <c r="AB557" s="64" t="str">
        <f>IF(AC557&lt;&gt;0,VLOOKUP(AC557,DM_DUAN,3,0),"")</f>
        <v/>
      </c>
      <c r="AC557" s="85"/>
      <c r="AD557" s="64" t="str">
        <f>IF(AC557&lt;&gt;0,VLOOKUP(AC557,DM_NV,2,0),"")</f>
        <v/>
      </c>
      <c r="AE557" s="68"/>
      <c r="AF557" s="64" t="str">
        <f>IF(AE557&lt;&gt;0,VLOOKUP(AE557,DM_NV,2,0),"")</f>
        <v/>
      </c>
    </row>
    <row r="558">
      <c r="A558" s="51"/>
      <c r="B558" s="52" t="str">
        <f>IF(D558="","",VLOOKUP(D558,'THAM CHIẾU'!$A:$B,2,0))</f>
        <v>#N/A</v>
      </c>
      <c r="C558" s="53" t="str">
        <f t="shared" si="3"/>
        <v>03/2022</v>
      </c>
      <c r="D558" s="54">
        <v>44651.0</v>
      </c>
      <c r="E558" s="55" t="s">
        <v>615</v>
      </c>
      <c r="F558" s="56"/>
      <c r="G558" s="57" t="s">
        <v>249</v>
      </c>
      <c r="H558" s="58" t="str">
        <f>IF(G558="","",VLOOKUP($G558,'Quy chuẩn hạch toán'!$B:$E,2,0))</f>
        <v>642</v>
      </c>
      <c r="I558" s="58" t="str">
        <f>IF(H558="","",VLOOKUP($G558,'Quy chuẩn hạch toán'!$B:$E,3,0))</f>
        <v>331</v>
      </c>
      <c r="J558" s="59">
        <v>482759.0</v>
      </c>
      <c r="K558" s="60"/>
      <c r="L558" s="61"/>
      <c r="M558" s="62"/>
      <c r="N558" s="63"/>
      <c r="O558" s="64" t="str">
        <f>IF($Q558&lt;&gt;0,VLOOKUP($Q558,DM_KM,3,0),"")</f>
        <v>THUEVP</v>
      </c>
      <c r="P558" s="64">
        <f>IF($Q558&lt;&gt;0,VLOOKUP($Q558,DM_KM,5,0),"")</f>
        <v>642</v>
      </c>
      <c r="Q558" s="89" t="s">
        <v>270</v>
      </c>
      <c r="R558" s="64" t="str">
        <f>IF(S558&lt;&gt;0,VLOOKUP(S558,DM_DUAN,3,0),"")</f>
        <v>#N/A</v>
      </c>
      <c r="S558" s="66" t="str">
        <f>IF(U558&lt;&gt;0,VLOOKUP(U558,DM_DUAN,3,0),"")</f>
        <v/>
      </c>
      <c r="T558" s="64"/>
      <c r="U558" s="93"/>
      <c r="V558" s="64" t="str">
        <f>IF(W558&lt;&gt;0,VLOOKUP(W558,DM_DUAN,3,0),"")</f>
        <v/>
      </c>
      <c r="W558" s="68"/>
      <c r="X558" s="64" t="str">
        <f>IF(Y558&lt;&gt;0,VLOOKUP(Y558,DM_DUAN,3,0),"")</f>
        <v>#N/A</v>
      </c>
      <c r="Y558" s="69" t="s">
        <v>207</v>
      </c>
      <c r="Z558" s="64" t="str">
        <f>IF(AA558&lt;&gt;0,VLOOKUP(AA558,DM_DUAN,3,0),"")</f>
        <v>#N/A</v>
      </c>
      <c r="AA558" s="131" t="s">
        <v>177</v>
      </c>
      <c r="AB558" s="64" t="str">
        <f>IF(AC558&lt;&gt;0,VLOOKUP(AC558,DM_DUAN,3,0),"")</f>
        <v/>
      </c>
      <c r="AC558" s="85"/>
      <c r="AD558" s="64" t="str">
        <f>IF(AC558&lt;&gt;0,VLOOKUP(AC558,DM_NV,2,0),"")</f>
        <v/>
      </c>
      <c r="AE558" s="68"/>
      <c r="AF558" s="64" t="str">
        <f>IF(AE558&lt;&gt;0,VLOOKUP(AE558,DM_NV,2,0),"")</f>
        <v/>
      </c>
    </row>
    <row r="559">
      <c r="A559" s="51"/>
      <c r="B559" s="52" t="str">
        <f>IF(D559="","",VLOOKUP(D559,'THAM CHIẾU'!$A:$B,2,0))</f>
        <v>#N/A</v>
      </c>
      <c r="C559" s="53" t="str">
        <f t="shared" si="3"/>
        <v>03/2022</v>
      </c>
      <c r="D559" s="54">
        <v>44651.0</v>
      </c>
      <c r="E559" s="55" t="s">
        <v>615</v>
      </c>
      <c r="F559" s="56"/>
      <c r="G559" s="57" t="s">
        <v>249</v>
      </c>
      <c r="H559" s="58" t="str">
        <f>IF(G559="","",VLOOKUP($G559,'Quy chuẩn hạch toán'!$B:$E,2,0))</f>
        <v>642</v>
      </c>
      <c r="I559" s="58" t="str">
        <f>IF(H559="","",VLOOKUP($G559,'Quy chuẩn hạch toán'!$B:$E,3,0))</f>
        <v>331</v>
      </c>
      <c r="J559" s="59">
        <v>482759.0</v>
      </c>
      <c r="K559" s="60"/>
      <c r="L559" s="61"/>
      <c r="M559" s="62"/>
      <c r="N559" s="63"/>
      <c r="O559" s="64" t="str">
        <f>IF($Q559&lt;&gt;0,VLOOKUP($Q559,DM_KM,3,0),"")</f>
        <v>THUEVP</v>
      </c>
      <c r="P559" s="64">
        <f>IF($Q559&lt;&gt;0,VLOOKUP($Q559,DM_KM,5,0),"")</f>
        <v>642</v>
      </c>
      <c r="Q559" s="89" t="s">
        <v>270</v>
      </c>
      <c r="R559" s="64" t="str">
        <f>IF(S559&lt;&gt;0,VLOOKUP(S559,DM_DUAN,3,0),"")</f>
        <v>#N/A</v>
      </c>
      <c r="S559" s="66" t="str">
        <f>IF(U559&lt;&gt;0,VLOOKUP(U559,DM_DUAN,3,0),"")</f>
        <v/>
      </c>
      <c r="T559" s="64"/>
      <c r="U559" s="93"/>
      <c r="V559" s="64" t="str">
        <f>IF(W559&lt;&gt;0,VLOOKUP(W559,DM_DUAN,3,0),"")</f>
        <v/>
      </c>
      <c r="W559" s="68"/>
      <c r="X559" s="64" t="str">
        <f>IF(Y559&lt;&gt;0,VLOOKUP(Y559,DM_DUAN,3,0),"")</f>
        <v>#N/A</v>
      </c>
      <c r="Y559" s="69" t="s">
        <v>207</v>
      </c>
      <c r="Z559" s="64" t="str">
        <f>IF(AA559&lt;&gt;0,VLOOKUP(AA559,DM_DUAN,3,0),"")</f>
        <v>#N/A</v>
      </c>
      <c r="AA559" s="131" t="s">
        <v>210</v>
      </c>
      <c r="AB559" s="64" t="str">
        <f>IF(AC559&lt;&gt;0,VLOOKUP(AC559,DM_DUAN,3,0),"")</f>
        <v/>
      </c>
      <c r="AC559" s="85"/>
      <c r="AD559" s="64" t="str">
        <f>IF(AC559&lt;&gt;0,VLOOKUP(AC559,DM_NV,2,0),"")</f>
        <v/>
      </c>
      <c r="AE559" s="68"/>
      <c r="AF559" s="64" t="str">
        <f>IF(AE559&lt;&gt;0,VLOOKUP(AE559,DM_NV,2,0),"")</f>
        <v/>
      </c>
    </row>
    <row r="560">
      <c r="A560" s="51"/>
      <c r="B560" s="52" t="str">
        <f>IF(D560="","",VLOOKUP(D560,'THAM CHIẾU'!$A:$B,2,0))</f>
        <v>#N/A</v>
      </c>
      <c r="C560" s="53" t="str">
        <f t="shared" si="3"/>
        <v>03/2022</v>
      </c>
      <c r="D560" s="54">
        <v>44651.0</v>
      </c>
      <c r="E560" s="55" t="s">
        <v>615</v>
      </c>
      <c r="F560" s="56"/>
      <c r="G560" s="57" t="s">
        <v>249</v>
      </c>
      <c r="H560" s="58" t="str">
        <f>IF(G560="","",VLOOKUP($G560,'Quy chuẩn hạch toán'!$B:$E,2,0))</f>
        <v>642</v>
      </c>
      <c r="I560" s="58" t="str">
        <f>IF(H560="","",VLOOKUP($G560,'Quy chuẩn hạch toán'!$B:$E,3,0))</f>
        <v>331</v>
      </c>
      <c r="J560" s="59">
        <v>137931.0</v>
      </c>
      <c r="K560" s="60"/>
      <c r="L560" s="61"/>
      <c r="M560" s="62"/>
      <c r="N560" s="63"/>
      <c r="O560" s="64" t="str">
        <f>IF($Q560&lt;&gt;0,VLOOKUP($Q560,DM_KM,3,0),"")</f>
        <v>THUEVP</v>
      </c>
      <c r="P560" s="64">
        <f>IF($Q560&lt;&gt;0,VLOOKUP($Q560,DM_KM,5,0),"")</f>
        <v>642</v>
      </c>
      <c r="Q560" s="89" t="s">
        <v>270</v>
      </c>
      <c r="R560" s="64" t="str">
        <f>IF(S560&lt;&gt;0,VLOOKUP(S560,DM_DUAN,3,0),"")</f>
        <v>#N/A</v>
      </c>
      <c r="S560" s="66" t="str">
        <f>IF(U560&lt;&gt;0,VLOOKUP(U560,DM_DUAN,3,0),"")</f>
        <v/>
      </c>
      <c r="T560" s="64"/>
      <c r="U560" s="93"/>
      <c r="V560" s="64" t="str">
        <f>IF(W560&lt;&gt;0,VLOOKUP(W560,DM_DUAN,3,0),"")</f>
        <v/>
      </c>
      <c r="W560" s="68"/>
      <c r="X560" s="64" t="str">
        <f>IF(Y560&lt;&gt;0,VLOOKUP(Y560,DM_DUAN,3,0),"")</f>
        <v>#N/A</v>
      </c>
      <c r="Y560" s="69" t="s">
        <v>207</v>
      </c>
      <c r="Z560" s="64" t="str">
        <f>IF(AA560&lt;&gt;0,VLOOKUP(AA560,DM_DUAN,3,0),"")</f>
        <v>#N/A</v>
      </c>
      <c r="AA560" s="70" t="s">
        <v>514</v>
      </c>
      <c r="AB560" s="64" t="str">
        <f>IF(AC560&lt;&gt;0,VLOOKUP(AC560,DM_DUAN,3,0),"")</f>
        <v/>
      </c>
      <c r="AC560" s="85"/>
      <c r="AD560" s="64" t="str">
        <f>IF(AC560&lt;&gt;0,VLOOKUP(AC560,DM_NV,2,0),"")</f>
        <v/>
      </c>
      <c r="AE560" s="68"/>
      <c r="AF560" s="64" t="str">
        <f>IF(AE560&lt;&gt;0,VLOOKUP(AE560,DM_NV,2,0),"")</f>
        <v/>
      </c>
    </row>
    <row r="561">
      <c r="A561" s="51"/>
      <c r="B561" s="52" t="str">
        <f>IF(D561="","",VLOOKUP(D561,'THAM CHIẾU'!$A:$B,2,0))</f>
        <v>#N/A</v>
      </c>
      <c r="C561" s="53" t="str">
        <f t="shared" si="3"/>
        <v>03/2022</v>
      </c>
      <c r="D561" s="54">
        <v>44651.0</v>
      </c>
      <c r="E561" s="55" t="s">
        <v>616</v>
      </c>
      <c r="F561" s="56"/>
      <c r="G561" s="57" t="s">
        <v>617</v>
      </c>
      <c r="H561" s="58" t="str">
        <f>IF(G561="","",VLOOKUP($G561,'Quy chuẩn hạch toán'!$B:$E,2,0))</f>
        <v>642</v>
      </c>
      <c r="I561" s="58" t="str">
        <f>IF(H561="","",VLOOKUP($G561,'Quy chuẩn hạch toán'!$B:$E,3,0))</f>
        <v>3341</v>
      </c>
      <c r="J561" s="59">
        <v>2000000.0</v>
      </c>
      <c r="K561" s="60"/>
      <c r="L561" s="61"/>
      <c r="M561" s="62"/>
      <c r="N561" s="63"/>
      <c r="O561" s="64" t="str">
        <f>IF($Q561&lt;&gt;0,VLOOKUP($Q561,DM_KM,3,0),"")</f>
        <v>#N/A</v>
      </c>
      <c r="P561" s="64" t="str">
        <f>IF($Q561&lt;&gt;0,VLOOKUP($Q561,DM_KM,5,0),"")</f>
        <v>#N/A</v>
      </c>
      <c r="Q561" s="65" t="s">
        <v>374</v>
      </c>
      <c r="R561" s="64" t="str">
        <f>IF(S561&lt;&gt;0,VLOOKUP(S561,DM_DUAN,3,0),"")</f>
        <v>#N/A</v>
      </c>
      <c r="S561" s="66" t="str">
        <f>IF(U561&lt;&gt;0,VLOOKUP(U561,DM_DUAN,3,0),"")</f>
        <v/>
      </c>
      <c r="T561" s="64"/>
      <c r="U561" s="93"/>
      <c r="V561" s="64" t="str">
        <f>IF(W561&lt;&gt;0,VLOOKUP(W561,DM_DUAN,3,0),"")</f>
        <v/>
      </c>
      <c r="W561" s="68"/>
      <c r="X561" s="64" t="str">
        <f>IF(Y561&lt;&gt;0,VLOOKUP(Y561,DM_DUAN,3,0),"")</f>
        <v>#N/A</v>
      </c>
      <c r="Y561" s="69" t="s">
        <v>207</v>
      </c>
      <c r="Z561" s="64" t="str">
        <f>IF(AA561&lt;&gt;0,VLOOKUP(AA561,DM_DUAN,3,0),"")</f>
        <v>#N/A</v>
      </c>
      <c r="AA561" s="70" t="s">
        <v>177</v>
      </c>
      <c r="AB561" s="64" t="str">
        <f>IF(AC561&lt;&gt;0,VLOOKUP(AC561,DM_DUAN,3,0),"")</f>
        <v/>
      </c>
      <c r="AC561" s="85"/>
      <c r="AD561" s="64" t="str">
        <f>IF(AC561&lt;&gt;0,VLOOKUP(AC561,DM_NV,2,0),"")</f>
        <v/>
      </c>
      <c r="AE561" s="68"/>
      <c r="AF561" s="64" t="str">
        <f>IF(AE561&lt;&gt;0,VLOOKUP(AE561,DM_NV,2,0),"")</f>
        <v/>
      </c>
    </row>
    <row r="562">
      <c r="A562" s="51"/>
      <c r="B562" s="52" t="str">
        <f>IF(D562="","",VLOOKUP(D562,'THAM CHIẾU'!$A:$B,2,0))</f>
        <v>#N/A</v>
      </c>
      <c r="C562" s="53" t="str">
        <f t="shared" si="3"/>
        <v>03/2022</v>
      </c>
      <c r="D562" s="54">
        <v>44651.0</v>
      </c>
      <c r="E562" s="55" t="s">
        <v>618</v>
      </c>
      <c r="F562" s="56"/>
      <c r="G562" s="57" t="s">
        <v>617</v>
      </c>
      <c r="H562" s="58" t="str">
        <f>IF(G562="","",VLOOKUP($G562,'Quy chuẩn hạch toán'!$B:$E,2,0))</f>
        <v>642</v>
      </c>
      <c r="I562" s="58" t="str">
        <f>IF(H562="","",VLOOKUP($G562,'Quy chuẩn hạch toán'!$B:$E,3,0))</f>
        <v>3341</v>
      </c>
      <c r="J562" s="59">
        <v>2000000.0</v>
      </c>
      <c r="K562" s="60"/>
      <c r="L562" s="61"/>
      <c r="M562" s="62"/>
      <c r="N562" s="63"/>
      <c r="O562" s="64" t="str">
        <f>IF($Q562&lt;&gt;0,VLOOKUP($Q562,DM_KM,3,0),"")</f>
        <v>#N/A</v>
      </c>
      <c r="P562" s="64" t="str">
        <f>IF($Q562&lt;&gt;0,VLOOKUP($Q562,DM_KM,5,0),"")</f>
        <v>#N/A</v>
      </c>
      <c r="Q562" s="65" t="s">
        <v>374</v>
      </c>
      <c r="R562" s="64" t="str">
        <f>IF(S562&lt;&gt;0,VLOOKUP(S562,DM_DUAN,3,0),"")</f>
        <v>#N/A</v>
      </c>
      <c r="S562" s="66" t="str">
        <f>IF(U562&lt;&gt;0,VLOOKUP(U562,DM_DUAN,3,0),"")</f>
        <v/>
      </c>
      <c r="T562" s="64"/>
      <c r="U562" s="93"/>
      <c r="V562" s="64" t="str">
        <f>IF(W562&lt;&gt;0,VLOOKUP(W562,DM_DUAN,3,0),"")</f>
        <v/>
      </c>
      <c r="W562" s="68"/>
      <c r="X562" s="64" t="str">
        <f>IF(Y562&lt;&gt;0,VLOOKUP(Y562,DM_DUAN,3,0),"")</f>
        <v>#N/A</v>
      </c>
      <c r="Y562" s="69" t="s">
        <v>207</v>
      </c>
      <c r="Z562" s="64" t="str">
        <f>IF(AA562&lt;&gt;0,VLOOKUP(AA562,DM_DUAN,3,0),"")</f>
        <v>#N/A</v>
      </c>
      <c r="AA562" s="70" t="s">
        <v>183</v>
      </c>
      <c r="AB562" s="64" t="str">
        <f>IF(AC562&lt;&gt;0,VLOOKUP(AC562,DM_DUAN,3,0),"")</f>
        <v/>
      </c>
      <c r="AC562" s="85"/>
      <c r="AD562" s="64" t="str">
        <f>IF(AC562&lt;&gt;0,VLOOKUP(AC562,DM_NV,2,0),"")</f>
        <v/>
      </c>
      <c r="AE562" s="68"/>
      <c r="AF562" s="64" t="str">
        <f>IF(AE562&lt;&gt;0,VLOOKUP(AE562,DM_NV,2,0),"")</f>
        <v/>
      </c>
    </row>
    <row r="563">
      <c r="A563" s="51"/>
      <c r="B563" s="52" t="str">
        <f>IF(D563="","",VLOOKUP(D563,'THAM CHIẾU'!$A:$B,2,0))</f>
        <v>#N/A</v>
      </c>
      <c r="C563" s="53" t="str">
        <f t="shared" si="3"/>
        <v>03/2022</v>
      </c>
      <c r="D563" s="54">
        <v>44651.0</v>
      </c>
      <c r="E563" s="55" t="s">
        <v>619</v>
      </c>
      <c r="F563" s="56"/>
      <c r="G563" s="57" t="s">
        <v>173</v>
      </c>
      <c r="H563" s="58" t="str">
        <f>IF(G563="","",VLOOKUP($G563,'Quy chuẩn hạch toán'!$B:$E,2,0))</f>
        <v>641</v>
      </c>
      <c r="I563" s="58" t="str">
        <f>IF(H563="","",VLOOKUP($G563,'Quy chuẩn hạch toán'!$B:$E,3,0))</f>
        <v>331</v>
      </c>
      <c r="J563" s="59">
        <v>6500000.0</v>
      </c>
      <c r="K563" s="60"/>
      <c r="L563" s="61"/>
      <c r="M563" s="62"/>
      <c r="N563" s="63"/>
      <c r="O563" s="64" t="str">
        <f>IF($Q563&lt;&gt;0,VLOOKUP($Q563,DM_KM,3,0),"")</f>
        <v>#N/A</v>
      </c>
      <c r="P563" s="64" t="str">
        <f>IF($Q563&lt;&gt;0,VLOOKUP($Q563,DM_KM,5,0),"")</f>
        <v>#N/A</v>
      </c>
      <c r="Q563" s="89" t="s">
        <v>169</v>
      </c>
      <c r="R563" s="64" t="str">
        <f>IF(S563&lt;&gt;0,VLOOKUP(S563,DM_DUAN,3,0),"")</f>
        <v>#N/A</v>
      </c>
      <c r="S563" s="66" t="str">
        <f>IF(U563&lt;&gt;0,VLOOKUP(U563,DM_DUAN,3,0),"")</f>
        <v/>
      </c>
      <c r="T563" s="64"/>
      <c r="U563" s="93"/>
      <c r="V563" s="64" t="str">
        <f>IF(W563&lt;&gt;0,VLOOKUP(W563,DM_DUAN,3,0),"")</f>
        <v/>
      </c>
      <c r="W563" s="68"/>
      <c r="X563" s="64" t="str">
        <f>IF(Y563&lt;&gt;0,VLOOKUP(Y563,DM_DUAN,3,0),"")</f>
        <v>#N/A</v>
      </c>
      <c r="Y563" s="69" t="s">
        <v>176</v>
      </c>
      <c r="Z563" s="64" t="str">
        <f>IF(AA563&lt;&gt;0,VLOOKUP(AA563,DM_DUAN,3,0),"")</f>
        <v>#N/A</v>
      </c>
      <c r="AA563" s="131" t="s">
        <v>210</v>
      </c>
      <c r="AB563" s="64" t="str">
        <f>IF(AC563&lt;&gt;0,VLOOKUP(AC563,DM_DUAN,3,0),"")</f>
        <v/>
      </c>
      <c r="AC563" s="85"/>
      <c r="AD563" s="64" t="str">
        <f>IF(AC563&lt;&gt;0,VLOOKUP(AC563,DM_NV,2,0),"")</f>
        <v/>
      </c>
      <c r="AE563" s="68"/>
      <c r="AF563" s="64" t="str">
        <f>IF(AE563&lt;&gt;0,VLOOKUP(AE563,DM_NV,2,0),"")</f>
        <v/>
      </c>
    </row>
    <row r="564">
      <c r="A564" s="51"/>
      <c r="B564" s="52" t="str">
        <f>IF(D564="","",VLOOKUP(D564,'THAM CHIẾU'!$A:$B,2,0))</f>
        <v>#N/A</v>
      </c>
      <c r="C564" s="53" t="str">
        <f t="shared" si="3"/>
        <v>03/2022</v>
      </c>
      <c r="D564" s="54">
        <v>44651.0</v>
      </c>
      <c r="E564" s="55" t="s">
        <v>620</v>
      </c>
      <c r="F564" s="56"/>
      <c r="G564" s="57" t="s">
        <v>173</v>
      </c>
      <c r="H564" s="58" t="str">
        <f>IF(G564="","",VLOOKUP($G564,'Quy chuẩn hạch toán'!$B:$E,2,0))</f>
        <v>641</v>
      </c>
      <c r="I564" s="58" t="str">
        <f>IF(H564="","",VLOOKUP($G564,'Quy chuẩn hạch toán'!$B:$E,3,0))</f>
        <v>331</v>
      </c>
      <c r="J564" s="59">
        <v>7236000.0</v>
      </c>
      <c r="K564" s="60"/>
      <c r="L564" s="61"/>
      <c r="M564" s="62"/>
      <c r="N564" s="63"/>
      <c r="O564" s="64" t="str">
        <f>IF($Q564&lt;&gt;0,VLOOKUP($Q564,DM_KM,3,0),"")</f>
        <v>#N/A</v>
      </c>
      <c r="P564" s="64" t="str">
        <f>IF($Q564&lt;&gt;0,VLOOKUP($Q564,DM_KM,5,0),"")</f>
        <v>#N/A</v>
      </c>
      <c r="Q564" s="65" t="s">
        <v>169</v>
      </c>
      <c r="R564" s="64" t="str">
        <f>IF(S564&lt;&gt;0,VLOOKUP(S564,DM_DUAN,3,0),"")</f>
        <v>#N/A</v>
      </c>
      <c r="S564" s="66" t="str">
        <f>IF(U564&lt;&gt;0,VLOOKUP(U564,DM_DUAN,3,0),"")</f>
        <v/>
      </c>
      <c r="T564" s="64"/>
      <c r="U564" s="93"/>
      <c r="V564" s="64" t="str">
        <f>IF(W564&lt;&gt;0,VLOOKUP(W564,DM_DUAN,3,0),"")</f>
        <v/>
      </c>
      <c r="W564" s="68"/>
      <c r="X564" s="64" t="str">
        <f>IF(Y564&lt;&gt;0,VLOOKUP(Y564,DM_DUAN,3,0),"")</f>
        <v>#N/A</v>
      </c>
      <c r="Y564" s="69" t="s">
        <v>207</v>
      </c>
      <c r="Z564" s="64" t="str">
        <f>IF(AA564&lt;&gt;0,VLOOKUP(AA564,DM_DUAN,3,0),"")</f>
        <v>#N/A</v>
      </c>
      <c r="AA564" s="70" t="s">
        <v>177</v>
      </c>
      <c r="AB564" s="64" t="str">
        <f>IF(AC564&lt;&gt;0,VLOOKUP(AC564,DM_DUAN,3,0),"")</f>
        <v/>
      </c>
      <c r="AC564" s="85"/>
      <c r="AD564" s="64" t="str">
        <f>IF(AC564&lt;&gt;0,VLOOKUP(AC564,DM_NV,2,0),"")</f>
        <v/>
      </c>
      <c r="AE564" s="68"/>
      <c r="AF564" s="64" t="str">
        <f>IF(AE564&lt;&gt;0,VLOOKUP(AE564,DM_NV,2,0),"")</f>
        <v/>
      </c>
    </row>
    <row r="565">
      <c r="A565" s="51"/>
      <c r="B565" s="52" t="str">
        <f>IF(D565="","",VLOOKUP(D565,'THAM CHIẾU'!$A:$B,2,0))</f>
        <v>#N/A</v>
      </c>
      <c r="C565" s="53" t="str">
        <f t="shared" si="3"/>
        <v>03/2022</v>
      </c>
      <c r="D565" s="54">
        <v>44651.0</v>
      </c>
      <c r="E565" s="55" t="s">
        <v>621</v>
      </c>
      <c r="F565" s="56"/>
      <c r="G565" s="57" t="s">
        <v>173</v>
      </c>
      <c r="H565" s="58" t="str">
        <f>IF(G565="","",VLOOKUP($G565,'Quy chuẩn hạch toán'!$B:$E,2,0))</f>
        <v>641</v>
      </c>
      <c r="I565" s="58" t="str">
        <f>IF(H565="","",VLOOKUP($G565,'Quy chuẩn hạch toán'!$B:$E,3,0))</f>
        <v>331</v>
      </c>
      <c r="J565" s="59">
        <v>2.4E7</v>
      </c>
      <c r="K565" s="60"/>
      <c r="L565" s="61"/>
      <c r="M565" s="62"/>
      <c r="N565" s="63"/>
      <c r="O565" s="64" t="str">
        <f>IF($Q565&lt;&gt;0,VLOOKUP($Q565,DM_KM,3,0),"")</f>
        <v>#N/A</v>
      </c>
      <c r="P565" s="64" t="str">
        <f>IF($Q565&lt;&gt;0,VLOOKUP($Q565,DM_KM,5,0),"")</f>
        <v>#N/A</v>
      </c>
      <c r="Q565" s="65" t="s">
        <v>169</v>
      </c>
      <c r="R565" s="64" t="str">
        <f>IF(S565&lt;&gt;0,VLOOKUP(S565,DM_DUAN,3,0),"")</f>
        <v>#N/A</v>
      </c>
      <c r="S565" s="66" t="str">
        <f>IF(U565&lt;&gt;0,VLOOKUP(U565,DM_DUAN,3,0),"")</f>
        <v/>
      </c>
      <c r="T565" s="64"/>
      <c r="U565" s="93"/>
      <c r="V565" s="64" t="str">
        <f>IF(W565&lt;&gt;0,VLOOKUP(W565,DM_DUAN,3,0),"")</f>
        <v/>
      </c>
      <c r="W565" s="68"/>
      <c r="X565" s="64" t="str">
        <f>IF(Y565&lt;&gt;0,VLOOKUP(Y565,DM_DUAN,3,0),"")</f>
        <v>#N/A</v>
      </c>
      <c r="Y565" s="69" t="s">
        <v>176</v>
      </c>
      <c r="Z565" s="64" t="str">
        <f>IF(AA565&lt;&gt;0,VLOOKUP(AA565,DM_DUAN,3,0),"")</f>
        <v>#N/A</v>
      </c>
      <c r="AA565" s="70" t="s">
        <v>183</v>
      </c>
      <c r="AB565" s="64" t="str">
        <f>IF(AC565&lt;&gt;0,VLOOKUP(AC565,DM_DUAN,3,0),"")</f>
        <v/>
      </c>
      <c r="AC565" s="85"/>
      <c r="AD565" s="64" t="str">
        <f>IF(AC565&lt;&gt;0,VLOOKUP(AC565,DM_NV,2,0),"")</f>
        <v/>
      </c>
      <c r="AE565" s="68"/>
      <c r="AF565" s="64" t="str">
        <f>IF(AE565&lt;&gt;0,VLOOKUP(AE565,DM_NV,2,0),"")</f>
        <v/>
      </c>
    </row>
    <row r="566">
      <c r="A566" s="51"/>
      <c r="B566" s="52" t="str">
        <f>IF(D566="","",VLOOKUP(D566,'THAM CHIẾU'!$A:$B,2,0))</f>
        <v>#N/A</v>
      </c>
      <c r="C566" s="53" t="str">
        <f t="shared" si="3"/>
        <v>03/2022</v>
      </c>
      <c r="D566" s="54">
        <v>44651.0</v>
      </c>
      <c r="E566" s="55" t="s">
        <v>622</v>
      </c>
      <c r="F566" s="56"/>
      <c r="G566" s="57" t="s">
        <v>292</v>
      </c>
      <c r="H566" s="58" t="str">
        <f>IF(G566="","",VLOOKUP($G566,'Quy chuẩn hạch toán'!$B:$E,2,0))</f>
        <v>154</v>
      </c>
      <c r="I566" s="58" t="str">
        <f>IF(H566="","",VLOOKUP($G566,'Quy chuẩn hạch toán'!$B:$E,3,0))</f>
        <v>3341</v>
      </c>
      <c r="J566" s="59">
        <v>1.4E7</v>
      </c>
      <c r="K566" s="60"/>
      <c r="L566" s="61"/>
      <c r="M566" s="62"/>
      <c r="N566" s="63"/>
      <c r="O566" s="64" t="str">
        <f>IF($Q566&lt;&gt;0,VLOOKUP($Q566,DM_KM,3,0),"")</f>
        <v>CPNS</v>
      </c>
      <c r="P566" s="64">
        <f>IF($Q566&lt;&gt;0,VLOOKUP($Q566,DM_KM,5,0),"")</f>
        <v>642</v>
      </c>
      <c r="Q566" s="89" t="s">
        <v>293</v>
      </c>
      <c r="R566" s="64" t="str">
        <f>IF(S566&lt;&gt;0,VLOOKUP(S566,DM_DUAN,3,0),"")</f>
        <v>#N/A</v>
      </c>
      <c r="S566" s="66" t="str">
        <f>IF(U566&lt;&gt;0,VLOOKUP(U566,DM_DUAN,3,0),"")</f>
        <v/>
      </c>
      <c r="T566" s="64"/>
      <c r="U566" s="93"/>
      <c r="V566" s="64" t="str">
        <f>IF(W566&lt;&gt;0,VLOOKUP(W566,DM_DUAN,3,0),"")</f>
        <v/>
      </c>
      <c r="W566" s="68"/>
      <c r="X566" s="64" t="str">
        <f>IF(Y566&lt;&gt;0,VLOOKUP(Y566,DM_DUAN,3,0),"")</f>
        <v>#N/A</v>
      </c>
      <c r="Y566" s="69" t="s">
        <v>176</v>
      </c>
      <c r="Z566" s="64" t="str">
        <f>IF(AA566&lt;&gt;0,VLOOKUP(AA566,DM_DUAN,3,0),"")</f>
        <v>#N/A</v>
      </c>
      <c r="AA566" s="131" t="s">
        <v>210</v>
      </c>
      <c r="AB566" s="64" t="str">
        <f>IF(AC566&lt;&gt;0,VLOOKUP(AC566,DM_DUAN,3,0),"")</f>
        <v/>
      </c>
      <c r="AC566" s="85"/>
      <c r="AD566" s="64" t="str">
        <f>IF(AC566&lt;&gt;0,VLOOKUP(AC566,DM_NV,2,0),"")</f>
        <v/>
      </c>
      <c r="AE566" s="68"/>
      <c r="AF566" s="64" t="str">
        <f>IF(AE566&lt;&gt;0,VLOOKUP(AE566,DM_NV,2,0),"")</f>
        <v/>
      </c>
    </row>
    <row r="567">
      <c r="A567" s="51"/>
      <c r="B567" s="52" t="str">
        <f>IF(D567="","",VLOOKUP(D567,'THAM CHIẾU'!$A:$B,2,0))</f>
        <v>#N/A</v>
      </c>
      <c r="C567" s="53" t="str">
        <f t="shared" si="3"/>
        <v>03/2022</v>
      </c>
      <c r="D567" s="54">
        <v>44651.0</v>
      </c>
      <c r="E567" s="55" t="s">
        <v>623</v>
      </c>
      <c r="F567" s="56"/>
      <c r="G567" s="57" t="s">
        <v>292</v>
      </c>
      <c r="H567" s="58" t="str">
        <f>IF(G567="","",VLOOKUP($G567,'Quy chuẩn hạch toán'!$B:$E,2,0))</f>
        <v>154</v>
      </c>
      <c r="I567" s="58" t="str">
        <f>IF(H567="","",VLOOKUP($G567,'Quy chuẩn hạch toán'!$B:$E,3,0))</f>
        <v>3341</v>
      </c>
      <c r="J567" s="59">
        <v>1.4E7</v>
      </c>
      <c r="K567" s="60"/>
      <c r="L567" s="61"/>
      <c r="M567" s="62"/>
      <c r="N567" s="63"/>
      <c r="O567" s="64" t="str">
        <f>IF($Q567&lt;&gt;0,VLOOKUP($Q567,DM_KM,3,0),"")</f>
        <v>CPNS</v>
      </c>
      <c r="P567" s="64">
        <f>IF($Q567&lt;&gt;0,VLOOKUP($Q567,DM_KM,5,0),"")</f>
        <v>642</v>
      </c>
      <c r="Q567" s="89" t="s">
        <v>293</v>
      </c>
      <c r="R567" s="64" t="str">
        <f>IF(S567&lt;&gt;0,VLOOKUP(S567,DM_DUAN,3,0),"")</f>
        <v>#N/A</v>
      </c>
      <c r="S567" s="66" t="str">
        <f>IF(U567&lt;&gt;0,VLOOKUP(U567,DM_DUAN,3,0),"")</f>
        <v/>
      </c>
      <c r="T567" s="64"/>
      <c r="U567" s="93"/>
      <c r="V567" s="64" t="str">
        <f>IF(W567&lt;&gt;0,VLOOKUP(W567,DM_DUAN,3,0),"")</f>
        <v/>
      </c>
      <c r="W567" s="68"/>
      <c r="X567" s="64" t="str">
        <f>IF(Y567&lt;&gt;0,VLOOKUP(Y567,DM_DUAN,3,0),"")</f>
        <v>#N/A</v>
      </c>
      <c r="Y567" s="69" t="s">
        <v>176</v>
      </c>
      <c r="Z567" s="64" t="str">
        <f>IF(AA567&lt;&gt;0,VLOOKUP(AA567,DM_DUAN,3,0),"")</f>
        <v>#N/A</v>
      </c>
      <c r="AA567" s="131" t="s">
        <v>177</v>
      </c>
      <c r="AB567" s="64" t="str">
        <f>IF(AC567&lt;&gt;0,VLOOKUP(AC567,DM_DUAN,3,0),"")</f>
        <v/>
      </c>
      <c r="AC567" s="85"/>
      <c r="AD567" s="64" t="str">
        <f>IF(AC567&lt;&gt;0,VLOOKUP(AC567,DM_NV,2,0),"")</f>
        <v/>
      </c>
      <c r="AE567" s="68"/>
      <c r="AF567" s="64" t="str">
        <f>IF(AE567&lt;&gt;0,VLOOKUP(AE567,DM_NV,2,0),"")</f>
        <v/>
      </c>
    </row>
    <row r="568">
      <c r="A568" s="51"/>
      <c r="B568" s="52" t="str">
        <f>IF(D568="","",VLOOKUP(D568,'THAM CHIẾU'!$A:$B,2,0))</f>
        <v>#N/A</v>
      </c>
      <c r="C568" s="53" t="str">
        <f t="shared" si="3"/>
        <v>03/2022</v>
      </c>
      <c r="D568" s="54">
        <v>44651.0</v>
      </c>
      <c r="E568" s="55" t="s">
        <v>624</v>
      </c>
      <c r="F568" s="56"/>
      <c r="G568" s="57" t="s">
        <v>292</v>
      </c>
      <c r="H568" s="58" t="str">
        <f>IF(G568="","",VLOOKUP($G568,'Quy chuẩn hạch toán'!$B:$E,2,0))</f>
        <v>154</v>
      </c>
      <c r="I568" s="58" t="str">
        <f>IF(H568="","",VLOOKUP($G568,'Quy chuẩn hạch toán'!$B:$E,3,0))</f>
        <v>3341</v>
      </c>
      <c r="J568" s="59">
        <v>1.4E7</v>
      </c>
      <c r="K568" s="60"/>
      <c r="L568" s="61"/>
      <c r="M568" s="62"/>
      <c r="N568" s="63"/>
      <c r="O568" s="64" t="str">
        <f>IF($Q568&lt;&gt;0,VLOOKUP($Q568,DM_KM,3,0),"")</f>
        <v>CPNS</v>
      </c>
      <c r="P568" s="64">
        <f>IF($Q568&lt;&gt;0,VLOOKUP($Q568,DM_KM,5,0),"")</f>
        <v>642</v>
      </c>
      <c r="Q568" s="89" t="s">
        <v>293</v>
      </c>
      <c r="R568" s="64" t="str">
        <f>IF(S568&lt;&gt;0,VLOOKUP(S568,DM_DUAN,3,0),"")</f>
        <v>#N/A</v>
      </c>
      <c r="S568" s="66" t="str">
        <f>IF(U568&lt;&gt;0,VLOOKUP(U568,DM_DUAN,3,0),"")</f>
        <v/>
      </c>
      <c r="T568" s="64"/>
      <c r="U568" s="93"/>
      <c r="V568" s="64" t="str">
        <f>IF(W568&lt;&gt;0,VLOOKUP(W568,DM_DUAN,3,0),"")</f>
        <v/>
      </c>
      <c r="W568" s="68"/>
      <c r="X568" s="64" t="str">
        <f>IF(Y568&lt;&gt;0,VLOOKUP(Y568,DM_DUAN,3,0),"")</f>
        <v>#N/A</v>
      </c>
      <c r="Y568" s="69" t="s">
        <v>176</v>
      </c>
      <c r="Z568" s="64" t="str">
        <f>IF(AA568&lt;&gt;0,VLOOKUP(AA568,DM_DUAN,3,0),"")</f>
        <v>#N/A</v>
      </c>
      <c r="AA568" s="131" t="s">
        <v>183</v>
      </c>
      <c r="AB568" s="64" t="str">
        <f>IF(AC568&lt;&gt;0,VLOOKUP(AC568,DM_DUAN,3,0),"")</f>
        <v/>
      </c>
      <c r="AC568" s="85"/>
      <c r="AD568" s="64" t="str">
        <f>IF(AC568&lt;&gt;0,VLOOKUP(AC568,DM_NV,2,0),"")</f>
        <v/>
      </c>
      <c r="AE568" s="68"/>
      <c r="AF568" s="64" t="str">
        <f>IF(AE568&lt;&gt;0,VLOOKUP(AE568,DM_NV,2,0),"")</f>
        <v/>
      </c>
    </row>
    <row r="569">
      <c r="A569" s="51"/>
      <c r="B569" s="52" t="str">
        <f>IF(D569="","",VLOOKUP(D569,'THAM CHIẾU'!$A:$B,2,0))</f>
        <v>#N/A</v>
      </c>
      <c r="C569" s="53" t="str">
        <f t="shared" si="3"/>
        <v>03/2022</v>
      </c>
      <c r="D569" s="54">
        <v>44651.0</v>
      </c>
      <c r="E569" s="55" t="s">
        <v>625</v>
      </c>
      <c r="F569" s="56"/>
      <c r="G569" s="57" t="s">
        <v>297</v>
      </c>
      <c r="H569" s="58" t="str">
        <f>IF(G569="","",VLOOKUP($G569,'Quy chuẩn hạch toán'!$B:$E,2,0))</f>
        <v>154</v>
      </c>
      <c r="I569" s="58" t="str">
        <f>IF(H569="","",VLOOKUP($G569,'Quy chuẩn hạch toán'!$B:$E,3,0))</f>
        <v>3341</v>
      </c>
      <c r="J569" s="59">
        <v>5981481.0</v>
      </c>
      <c r="K569" s="60"/>
      <c r="L569" s="61"/>
      <c r="M569" s="62"/>
      <c r="N569" s="63"/>
      <c r="O569" s="64" t="str">
        <f>IF($Q569&lt;&gt;0,VLOOKUP($Q569,DM_KM,3,0),"")</f>
        <v>#N/A</v>
      </c>
      <c r="P569" s="64" t="str">
        <f>IF($Q569&lt;&gt;0,VLOOKUP($Q569,DM_KM,5,0),"")</f>
        <v>#N/A</v>
      </c>
      <c r="Q569" s="65" t="s">
        <v>255</v>
      </c>
      <c r="R569" s="64" t="str">
        <f>IF(S569&lt;&gt;0,VLOOKUP(S569,DM_DUAN,3,0),"")</f>
        <v>#N/A</v>
      </c>
      <c r="S569" s="66" t="str">
        <f>IF(U569&lt;&gt;0,VLOOKUP(U569,DM_DUAN,3,0),"")</f>
        <v/>
      </c>
      <c r="T569" s="64"/>
      <c r="U569" s="93"/>
      <c r="V569" s="64" t="str">
        <f>IF(W569&lt;&gt;0,VLOOKUP(W569,DM_DUAN,3,0),"")</f>
        <v/>
      </c>
      <c r="W569" s="68"/>
      <c r="X569" s="64" t="str">
        <f>IF(Y569&lt;&gt;0,VLOOKUP(Y569,DM_DUAN,3,0),"")</f>
        <v>#N/A</v>
      </c>
      <c r="Y569" s="69" t="s">
        <v>176</v>
      </c>
      <c r="Z569" s="64" t="str">
        <f>IF(AA569&lt;&gt;0,VLOOKUP(AA569,DM_DUAN,3,0),"")</f>
        <v>#N/A</v>
      </c>
      <c r="AA569" s="70" t="s">
        <v>514</v>
      </c>
      <c r="AB569" s="64" t="str">
        <f>IF(AC569&lt;&gt;0,VLOOKUP(AC569,DM_DUAN,3,0),"")</f>
        <v/>
      </c>
      <c r="AC569" s="85"/>
      <c r="AD569" s="64" t="str">
        <f>IF(AC569&lt;&gt;0,VLOOKUP(AC569,DM_NV,2,0),"")</f>
        <v/>
      </c>
      <c r="AE569" s="68"/>
      <c r="AF569" s="64" t="str">
        <f>IF(AE569&lt;&gt;0,VLOOKUP(AE569,DM_NV,2,0),"")</f>
        <v/>
      </c>
    </row>
    <row r="570">
      <c r="A570" s="51"/>
      <c r="B570" s="52" t="str">
        <f>IF(D570="","",VLOOKUP(D570,'THAM CHIẾU'!$A:$B,2,0))</f>
        <v>#N/A</v>
      </c>
      <c r="C570" s="53" t="str">
        <f t="shared" si="3"/>
        <v>03/2022</v>
      </c>
      <c r="D570" s="54">
        <v>44651.0</v>
      </c>
      <c r="E570" s="55" t="s">
        <v>626</v>
      </c>
      <c r="F570" s="56"/>
      <c r="G570" s="57" t="s">
        <v>297</v>
      </c>
      <c r="H570" s="58" t="str">
        <f>IF(G570="","",VLOOKUP($G570,'Quy chuẩn hạch toán'!$B:$E,2,0))</f>
        <v>154</v>
      </c>
      <c r="I570" s="58" t="str">
        <f>IF(H570="","",VLOOKUP($G570,'Quy chuẩn hạch toán'!$B:$E,3,0))</f>
        <v>3341</v>
      </c>
      <c r="J570" s="59">
        <v>1.9888889E7</v>
      </c>
      <c r="K570" s="60"/>
      <c r="L570" s="61"/>
      <c r="M570" s="62"/>
      <c r="N570" s="63"/>
      <c r="O570" s="64" t="str">
        <f>IF($Q570&lt;&gt;0,VLOOKUP($Q570,DM_KM,3,0),"")</f>
        <v>#N/A</v>
      </c>
      <c r="P570" s="64" t="str">
        <f>IF($Q570&lt;&gt;0,VLOOKUP($Q570,DM_KM,5,0),"")</f>
        <v>#N/A</v>
      </c>
      <c r="Q570" s="65" t="s">
        <v>255</v>
      </c>
      <c r="R570" s="64" t="str">
        <f>IF(S570&lt;&gt;0,VLOOKUP(S570,DM_DUAN,3,0),"")</f>
        <v>#N/A</v>
      </c>
      <c r="S570" s="66" t="str">
        <f>IF(U570&lt;&gt;0,VLOOKUP(U570,DM_DUAN,3,0),"")</f>
        <v/>
      </c>
      <c r="T570" s="64"/>
      <c r="U570" s="93"/>
      <c r="V570" s="64" t="str">
        <f>IF(W570&lt;&gt;0,VLOOKUP(W570,DM_DUAN,3,0),"")</f>
        <v/>
      </c>
      <c r="W570" s="68"/>
      <c r="X570" s="64" t="str">
        <f>IF(Y570&lt;&gt;0,VLOOKUP(Y570,DM_DUAN,3,0),"")</f>
        <v>#N/A</v>
      </c>
      <c r="Y570" s="69" t="s">
        <v>176</v>
      </c>
      <c r="Z570" s="64" t="str">
        <f>IF(AA570&lt;&gt;0,VLOOKUP(AA570,DM_DUAN,3,0),"")</f>
        <v>#N/A</v>
      </c>
      <c r="AA570" s="131" t="s">
        <v>210</v>
      </c>
      <c r="AB570" s="64" t="str">
        <f>IF(AC570&lt;&gt;0,VLOOKUP(AC570,DM_DUAN,3,0),"")</f>
        <v/>
      </c>
      <c r="AC570" s="85"/>
      <c r="AD570" s="64" t="str">
        <f>IF(AC570&lt;&gt;0,VLOOKUP(AC570,DM_NV,2,0),"")</f>
        <v/>
      </c>
      <c r="AE570" s="68"/>
      <c r="AF570" s="64" t="str">
        <f>IF(AE570&lt;&gt;0,VLOOKUP(AE570,DM_NV,2,0),"")</f>
        <v/>
      </c>
    </row>
    <row r="571">
      <c r="A571" s="51"/>
      <c r="B571" s="52" t="str">
        <f>IF(D571="","",VLOOKUP(D571,'THAM CHIẾU'!$A:$B,2,0))</f>
        <v>#N/A</v>
      </c>
      <c r="C571" s="53" t="str">
        <f t="shared" si="3"/>
        <v>03/2022</v>
      </c>
      <c r="D571" s="54">
        <v>44651.0</v>
      </c>
      <c r="E571" s="55" t="s">
        <v>627</v>
      </c>
      <c r="F571" s="56"/>
      <c r="G571" s="57" t="s">
        <v>297</v>
      </c>
      <c r="H571" s="58" t="str">
        <f>IF(G571="","",VLOOKUP($G571,'Quy chuẩn hạch toán'!$B:$E,2,0))</f>
        <v>154</v>
      </c>
      <c r="I571" s="58" t="str">
        <f>IF(H571="","",VLOOKUP($G571,'Quy chuẩn hạch toán'!$B:$E,3,0))</f>
        <v>3341</v>
      </c>
      <c r="J571" s="59">
        <f>23740741+1384615+3115385</f>
        <v>28240741</v>
      </c>
      <c r="K571" s="60"/>
      <c r="L571" s="61"/>
      <c r="M571" s="62"/>
      <c r="N571" s="63"/>
      <c r="O571" s="64" t="str">
        <f>IF($Q571&lt;&gt;0,VLOOKUP($Q571,DM_KM,3,0),"")</f>
        <v>#N/A</v>
      </c>
      <c r="P571" s="64" t="str">
        <f>IF($Q571&lt;&gt;0,VLOOKUP($Q571,DM_KM,5,0),"")</f>
        <v>#N/A</v>
      </c>
      <c r="Q571" s="65" t="s">
        <v>255</v>
      </c>
      <c r="R571" s="64" t="str">
        <f>IF(S571&lt;&gt;0,VLOOKUP(S571,DM_DUAN,3,0),"")</f>
        <v>#N/A</v>
      </c>
      <c r="S571" s="66" t="str">
        <f>IF(U571&lt;&gt;0,VLOOKUP(U571,DM_DUAN,3,0),"")</f>
        <v/>
      </c>
      <c r="T571" s="64"/>
      <c r="U571" s="93"/>
      <c r="V571" s="64" t="str">
        <f>IF(W571&lt;&gt;0,VLOOKUP(W571,DM_DUAN,3,0),"")</f>
        <v/>
      </c>
      <c r="W571" s="68"/>
      <c r="X571" s="64" t="str">
        <f>IF(Y571&lt;&gt;0,VLOOKUP(Y571,DM_DUAN,3,0),"")</f>
        <v>#N/A</v>
      </c>
      <c r="Y571" s="69" t="s">
        <v>176</v>
      </c>
      <c r="Z571" s="64" t="str">
        <f>IF(AA571&lt;&gt;0,VLOOKUP(AA571,DM_DUAN,3,0),"")</f>
        <v>#N/A</v>
      </c>
      <c r="AA571" s="131" t="s">
        <v>177</v>
      </c>
      <c r="AB571" s="64" t="str">
        <f>IF(AC571&lt;&gt;0,VLOOKUP(AC571,DM_DUAN,3,0),"")</f>
        <v/>
      </c>
      <c r="AC571" s="85"/>
      <c r="AD571" s="64" t="str">
        <f>IF(AC571&lt;&gt;0,VLOOKUP(AC571,DM_NV,2,0),"")</f>
        <v/>
      </c>
      <c r="AE571" s="68"/>
      <c r="AF571" s="64" t="str">
        <f>IF(AE571&lt;&gt;0,VLOOKUP(AE571,DM_NV,2,0),"")</f>
        <v/>
      </c>
    </row>
    <row r="572">
      <c r="A572" s="51"/>
      <c r="B572" s="52" t="str">
        <f>IF(D572="","",VLOOKUP(D572,'THAM CHIẾU'!$A:$B,2,0))</f>
        <v>#N/A</v>
      </c>
      <c r="C572" s="53" t="str">
        <f t="shared" si="3"/>
        <v>03/2022</v>
      </c>
      <c r="D572" s="54">
        <v>44651.0</v>
      </c>
      <c r="E572" s="55" t="s">
        <v>628</v>
      </c>
      <c r="F572" s="56"/>
      <c r="G572" s="57" t="s">
        <v>297</v>
      </c>
      <c r="H572" s="58" t="str">
        <f>IF(G572="","",VLOOKUP($G572,'Quy chuẩn hạch toán'!$B:$E,2,0))</f>
        <v>154</v>
      </c>
      <c r="I572" s="58" t="str">
        <f>IF(H572="","",VLOOKUP($G572,'Quy chuẩn hạch toán'!$B:$E,3,0))</f>
        <v>3341</v>
      </c>
      <c r="J572" s="59">
        <v>5.8833333E7</v>
      </c>
      <c r="K572" s="60"/>
      <c r="L572" s="61"/>
      <c r="M572" s="62"/>
      <c r="N572" s="63"/>
      <c r="O572" s="64" t="str">
        <f>IF($Q572&lt;&gt;0,VLOOKUP($Q572,DM_KM,3,0),"")</f>
        <v>#N/A</v>
      </c>
      <c r="P572" s="64" t="str">
        <f>IF($Q572&lt;&gt;0,VLOOKUP($Q572,DM_KM,5,0),"")</f>
        <v>#N/A</v>
      </c>
      <c r="Q572" s="65" t="s">
        <v>255</v>
      </c>
      <c r="R572" s="64" t="str">
        <f>IF(S572&lt;&gt;0,VLOOKUP(S572,DM_DUAN,3,0),"")</f>
        <v>#N/A</v>
      </c>
      <c r="S572" s="66" t="str">
        <f>IF(U572&lt;&gt;0,VLOOKUP(U572,DM_DUAN,3,0),"")</f>
        <v/>
      </c>
      <c r="T572" s="64"/>
      <c r="U572" s="93"/>
      <c r="V572" s="64" t="str">
        <f>IF(W572&lt;&gt;0,VLOOKUP(W572,DM_DUAN,3,0),"")</f>
        <v/>
      </c>
      <c r="W572" s="68"/>
      <c r="X572" s="64" t="str">
        <f>IF(Y572&lt;&gt;0,VLOOKUP(Y572,DM_DUAN,3,0),"")</f>
        <v>#N/A</v>
      </c>
      <c r="Y572" s="69" t="s">
        <v>176</v>
      </c>
      <c r="Z572" s="64" t="str">
        <f>IF(AA572&lt;&gt;0,VLOOKUP(AA572,DM_DUAN,3,0),"")</f>
        <v>#N/A</v>
      </c>
      <c r="AA572" s="131" t="s">
        <v>183</v>
      </c>
      <c r="AB572" s="64" t="str">
        <f>IF(AC572&lt;&gt;0,VLOOKUP(AC572,DM_DUAN,3,0),"")</f>
        <v/>
      </c>
      <c r="AC572" s="85"/>
      <c r="AD572" s="64" t="str">
        <f>IF(AC572&lt;&gt;0,VLOOKUP(AC572,DM_NV,2,0),"")</f>
        <v/>
      </c>
      <c r="AE572" s="68"/>
      <c r="AF572" s="64" t="str">
        <f>IF(AE572&lt;&gt;0,VLOOKUP(AE572,DM_NV,2,0),"")</f>
        <v/>
      </c>
    </row>
    <row r="573">
      <c r="A573" s="51"/>
      <c r="B573" s="52" t="str">
        <f>IF(D573="","",VLOOKUP(D573,'THAM CHIẾU'!$A:$B,2,0))</f>
        <v>#N/A</v>
      </c>
      <c r="C573" s="53" t="str">
        <f t="shared" si="3"/>
        <v>03/2022</v>
      </c>
      <c r="D573" s="54">
        <v>44651.0</v>
      </c>
      <c r="E573" s="55" t="s">
        <v>265</v>
      </c>
      <c r="F573" s="56"/>
      <c r="G573" s="57" t="s">
        <v>266</v>
      </c>
      <c r="H573" s="58" t="str">
        <f>IF(G573="","",VLOOKUP($G573,'Quy chuẩn hạch toán'!$B:$E,2,0))</f>
        <v>642</v>
      </c>
      <c r="I573" s="58" t="str">
        <f>IF(H573="","",VLOOKUP($G573,'Quy chuẩn hạch toán'!$B:$E,3,0))</f>
        <v>3341</v>
      </c>
      <c r="J573" s="59">
        <v>1.7479154E7</v>
      </c>
      <c r="K573" s="60"/>
      <c r="L573" s="61"/>
      <c r="M573" s="62"/>
      <c r="N573" s="63"/>
      <c r="O573" s="64" t="str">
        <f>IF($Q573&lt;&gt;0,VLOOKUP($Q573,DM_KM,3,0),"")</f>
        <v>#N/A</v>
      </c>
      <c r="P573" s="64" t="str">
        <f>IF($Q573&lt;&gt;0,VLOOKUP($Q573,DM_KM,5,0),"")</f>
        <v>#N/A</v>
      </c>
      <c r="Q573" s="65" t="s">
        <v>267</v>
      </c>
      <c r="R573" s="64" t="str">
        <f>IF(S573&lt;&gt;0,VLOOKUP(S573,DM_DUAN,3,0),"")</f>
        <v>#N/A</v>
      </c>
      <c r="S573" s="66" t="str">
        <f>IF(U573&lt;&gt;0,VLOOKUP(U573,DM_DUAN,3,0),"")</f>
        <v/>
      </c>
      <c r="T573" s="64"/>
      <c r="U573" s="93"/>
      <c r="V573" s="64" t="str">
        <f>IF(W573&lt;&gt;0,VLOOKUP(W573,DM_DUAN,3,0),"")</f>
        <v/>
      </c>
      <c r="W573" s="68"/>
      <c r="X573" s="64" t="str">
        <f>IF(Y573&lt;&gt;0,VLOOKUP(Y573,DM_DUAN,3,0),"")</f>
        <v>#N/A</v>
      </c>
      <c r="Y573" s="69" t="s">
        <v>207</v>
      </c>
      <c r="Z573" s="64" t="str">
        <f>IF(AA573&lt;&gt;0,VLOOKUP(AA573,DM_DUAN,3,0),"")</f>
        <v>#N/A</v>
      </c>
      <c r="AA573" s="70" t="s">
        <v>183</v>
      </c>
      <c r="AB573" s="64" t="str">
        <f>IF(AC573&lt;&gt;0,VLOOKUP(AC573,DM_DUAN,3,0),"")</f>
        <v/>
      </c>
      <c r="AC573" s="85"/>
      <c r="AD573" s="64" t="str">
        <f>IF(AC573&lt;&gt;0,VLOOKUP(AC573,DM_NV,2,0),"")</f>
        <v/>
      </c>
      <c r="AE573" s="68"/>
      <c r="AF573" s="64" t="str">
        <f>IF(AE573&lt;&gt;0,VLOOKUP(AE573,DM_NV,2,0),"")</f>
        <v/>
      </c>
    </row>
    <row r="574">
      <c r="A574" s="51"/>
      <c r="B574" s="52" t="str">
        <f>IF(D574="","",VLOOKUP(D574,'THAM CHIẾU'!$A:$B,2,0))</f>
        <v>#N/A</v>
      </c>
      <c r="C574" s="53" t="str">
        <f t="shared" si="3"/>
        <v>03/2022</v>
      </c>
      <c r="D574" s="54">
        <v>44651.0</v>
      </c>
      <c r="E574" s="55" t="s">
        <v>265</v>
      </c>
      <c r="F574" s="56"/>
      <c r="G574" s="57" t="s">
        <v>266</v>
      </c>
      <c r="H574" s="58" t="str">
        <f>IF(G574="","",VLOOKUP($G574,'Quy chuẩn hạch toán'!$B:$E,2,0))</f>
        <v>642</v>
      </c>
      <c r="I574" s="58" t="str">
        <f>IF(H574="","",VLOOKUP($G574,'Quy chuẩn hạch toán'!$B:$E,3,0))</f>
        <v>3341</v>
      </c>
      <c r="J574" s="59">
        <v>9411852.0</v>
      </c>
      <c r="K574" s="60"/>
      <c r="L574" s="61"/>
      <c r="M574" s="62"/>
      <c r="N574" s="63"/>
      <c r="O574" s="64" t="str">
        <f>IF($Q574&lt;&gt;0,VLOOKUP($Q574,DM_KM,3,0),"")</f>
        <v>#N/A</v>
      </c>
      <c r="P574" s="64" t="str">
        <f>IF($Q574&lt;&gt;0,VLOOKUP($Q574,DM_KM,5,0),"")</f>
        <v>#N/A</v>
      </c>
      <c r="Q574" s="65" t="s">
        <v>267</v>
      </c>
      <c r="R574" s="64" t="str">
        <f>IF(S574&lt;&gt;0,VLOOKUP(S574,DM_DUAN,3,0),"")</f>
        <v>#N/A</v>
      </c>
      <c r="S574" s="66" t="str">
        <f>IF(U574&lt;&gt;0,VLOOKUP(U574,DM_DUAN,3,0),"")</f>
        <v/>
      </c>
      <c r="T574" s="64"/>
      <c r="U574" s="67"/>
      <c r="V574" s="64" t="str">
        <f>IF(W574&lt;&gt;0,VLOOKUP(W574,DM_DUAN,3,0),"")</f>
        <v/>
      </c>
      <c r="W574" s="68"/>
      <c r="X574" s="64" t="str">
        <f>IF(Y574&lt;&gt;0,VLOOKUP(Y574,DM_DUAN,3,0),"")</f>
        <v>#N/A</v>
      </c>
      <c r="Y574" s="69" t="s">
        <v>207</v>
      </c>
      <c r="Z574" s="64" t="str">
        <f>IF(AA574&lt;&gt;0,VLOOKUP(AA574,DM_DUAN,3,0),"")</f>
        <v>#N/A</v>
      </c>
      <c r="AA574" s="70" t="s">
        <v>177</v>
      </c>
      <c r="AB574" s="64" t="str">
        <f>IF(AC574&lt;&gt;0,VLOOKUP(AC574,DM_DUAN,3,0),"")</f>
        <v/>
      </c>
      <c r="AC574" s="85"/>
      <c r="AD574" s="64" t="str">
        <f>IF(AC574&lt;&gt;0,VLOOKUP(AC574,DM_NV,2,0),"")</f>
        <v/>
      </c>
      <c r="AE574" s="68"/>
      <c r="AF574" s="64" t="str">
        <f>IF(AE574&lt;&gt;0,VLOOKUP(AE574,DM_NV,2,0),"")</f>
        <v/>
      </c>
    </row>
    <row r="575">
      <c r="A575" s="51"/>
      <c r="B575" s="52" t="str">
        <f>IF(D575="","",VLOOKUP(D575,'THAM CHIẾU'!$A:$B,2,0))</f>
        <v>#N/A</v>
      </c>
      <c r="C575" s="53" t="str">
        <f t="shared" si="3"/>
        <v>03/2022</v>
      </c>
      <c r="D575" s="54">
        <v>44651.0</v>
      </c>
      <c r="E575" s="55" t="s">
        <v>265</v>
      </c>
      <c r="F575" s="56"/>
      <c r="G575" s="57" t="s">
        <v>266</v>
      </c>
      <c r="H575" s="58" t="str">
        <f>IF(G575="","",VLOOKUP($G575,'Quy chuẩn hạch toán'!$B:$E,2,0))</f>
        <v>642</v>
      </c>
      <c r="I575" s="58" t="str">
        <f>IF(H575="","",VLOOKUP($G575,'Quy chuẩn hạch toán'!$B:$E,3,0))</f>
        <v>3341</v>
      </c>
      <c r="J575" s="59">
        <v>9411852.0</v>
      </c>
      <c r="K575" s="60"/>
      <c r="L575" s="61"/>
      <c r="M575" s="62"/>
      <c r="N575" s="63"/>
      <c r="O575" s="64" t="str">
        <f>IF($Q575&lt;&gt;0,VLOOKUP($Q575,DM_KM,3,0),"")</f>
        <v>#N/A</v>
      </c>
      <c r="P575" s="64" t="str">
        <f>IF($Q575&lt;&gt;0,VLOOKUP($Q575,DM_KM,5,0),"")</f>
        <v>#N/A</v>
      </c>
      <c r="Q575" s="89" t="s">
        <v>267</v>
      </c>
      <c r="R575" s="64" t="str">
        <f>IF(S575&lt;&gt;0,VLOOKUP(S575,DM_DUAN,3,0),"")</f>
        <v>#N/A</v>
      </c>
      <c r="S575" s="66" t="str">
        <f>IF(U575&lt;&gt;0,VLOOKUP(U575,DM_DUAN,3,0),"")</f>
        <v/>
      </c>
      <c r="T575" s="64"/>
      <c r="U575" s="93"/>
      <c r="V575" s="64" t="str">
        <f>IF(W575&lt;&gt;0,VLOOKUP(W575,DM_DUAN,3,0),"")</f>
        <v/>
      </c>
      <c r="W575" s="68"/>
      <c r="X575" s="64" t="str">
        <f>IF(Y575&lt;&gt;0,VLOOKUP(Y575,DM_DUAN,3,0),"")</f>
        <v>#N/A</v>
      </c>
      <c r="Y575" s="69" t="s">
        <v>207</v>
      </c>
      <c r="Z575" s="64" t="str">
        <f>IF(AA575&lt;&gt;0,VLOOKUP(AA575,DM_DUAN,3,0),"")</f>
        <v>#N/A</v>
      </c>
      <c r="AA575" s="131" t="s">
        <v>210</v>
      </c>
      <c r="AB575" s="64" t="str">
        <f>IF(AC575&lt;&gt;0,VLOOKUP(AC575,DM_DUAN,3,0),"")</f>
        <v/>
      </c>
      <c r="AC575" s="85"/>
      <c r="AD575" s="64" t="str">
        <f>IF(AC575&lt;&gt;0,VLOOKUP(AC575,DM_NV,2,0),"")</f>
        <v/>
      </c>
      <c r="AE575" s="68"/>
      <c r="AF575" s="64" t="str">
        <f>IF(AE575&lt;&gt;0,VLOOKUP(AE575,DM_NV,2,0),"")</f>
        <v/>
      </c>
    </row>
    <row r="576">
      <c r="A576" s="51"/>
      <c r="B576" s="52" t="str">
        <f>IF(D576="","",VLOOKUP(D576,'THAM CHIẾU'!$A:$B,2,0))</f>
        <v>#N/A</v>
      </c>
      <c r="C576" s="53" t="str">
        <f t="shared" si="3"/>
        <v>03/2022</v>
      </c>
      <c r="D576" s="54">
        <v>44651.0</v>
      </c>
      <c r="E576" s="55" t="s">
        <v>265</v>
      </c>
      <c r="F576" s="56"/>
      <c r="G576" s="57" t="s">
        <v>266</v>
      </c>
      <c r="H576" s="58" t="str">
        <f>IF(G576="","",VLOOKUP($G576,'Quy chuẩn hạch toán'!$B:$E,2,0))</f>
        <v>642</v>
      </c>
      <c r="I576" s="58" t="str">
        <f>IF(H576="","",VLOOKUP($G576,'Quy chuẩn hạch toán'!$B:$E,3,0))</f>
        <v>3341</v>
      </c>
      <c r="J576" s="59">
        <v>2689101.0</v>
      </c>
      <c r="K576" s="60"/>
      <c r="L576" s="61"/>
      <c r="M576" s="62"/>
      <c r="N576" s="63"/>
      <c r="O576" s="64" t="str">
        <f>IF($Q576&lt;&gt;0,VLOOKUP($Q576,DM_KM,3,0),"")</f>
        <v>#N/A</v>
      </c>
      <c r="P576" s="64" t="str">
        <f>IF($Q576&lt;&gt;0,VLOOKUP($Q576,DM_KM,5,0),"")</f>
        <v>#N/A</v>
      </c>
      <c r="Q576" s="89" t="s">
        <v>267</v>
      </c>
      <c r="R576" s="64" t="str">
        <f>IF(S576&lt;&gt;0,VLOOKUP(S576,DM_DUAN,3,0),"")</f>
        <v>#N/A</v>
      </c>
      <c r="S576" s="66" t="str">
        <f>IF(U576&lt;&gt;0,VLOOKUP(U576,DM_DUAN,3,0),"")</f>
        <v/>
      </c>
      <c r="T576" s="64"/>
      <c r="U576" s="93"/>
      <c r="V576" s="64" t="str">
        <f>IF(W576&lt;&gt;0,VLOOKUP(W576,DM_DUAN,3,0),"")</f>
        <v/>
      </c>
      <c r="W576" s="68"/>
      <c r="X576" s="64" t="str">
        <f>IF(Y576&lt;&gt;0,VLOOKUP(Y576,DM_DUAN,3,0),"")</f>
        <v>#N/A</v>
      </c>
      <c r="Y576" s="69" t="s">
        <v>207</v>
      </c>
      <c r="Z576" s="64" t="str">
        <f>IF(AA576&lt;&gt;0,VLOOKUP(AA576,DM_DUAN,3,0),"")</f>
        <v>#N/A</v>
      </c>
      <c r="AA576" s="70" t="s">
        <v>514</v>
      </c>
      <c r="AB576" s="64" t="str">
        <f>IF(AC576&lt;&gt;0,VLOOKUP(AC576,DM_DUAN,3,0),"")</f>
        <v/>
      </c>
      <c r="AC576" s="85"/>
      <c r="AD576" s="64" t="str">
        <f>IF(AC576&lt;&gt;0,VLOOKUP(AC576,DM_NV,2,0),"")</f>
        <v/>
      </c>
      <c r="AE576" s="68"/>
      <c r="AF576" s="64" t="str">
        <f>IF(AE576&lt;&gt;0,VLOOKUP(AE576,DM_NV,2,0),"")</f>
        <v/>
      </c>
    </row>
    <row r="577">
      <c r="A577" s="51"/>
      <c r="B577" s="52" t="str">
        <f>IF(D577="","",VLOOKUP(D577,'THAM CHIẾU'!$A:$B,2,0))</f>
        <v>#N/A</v>
      </c>
      <c r="C577" s="53" t="str">
        <f t="shared" si="3"/>
        <v>03/2022</v>
      </c>
      <c r="D577" s="54">
        <v>44651.0</v>
      </c>
      <c r="E577" s="55" t="s">
        <v>629</v>
      </c>
      <c r="F577" s="56"/>
      <c r="G577" s="57" t="s">
        <v>266</v>
      </c>
      <c r="H577" s="58" t="str">
        <f>IF(G577="","",VLOOKUP($G577,'Quy chuẩn hạch toán'!$B:$E,2,0))</f>
        <v>642</v>
      </c>
      <c r="I577" s="58" t="str">
        <f>IF(H577="","",VLOOKUP($G577,'Quy chuẩn hạch toán'!$B:$E,3,0))</f>
        <v>3341</v>
      </c>
      <c r="J577" s="59">
        <v>2312899.0</v>
      </c>
      <c r="K577" s="60"/>
      <c r="L577" s="61"/>
      <c r="M577" s="62"/>
      <c r="N577" s="63"/>
      <c r="O577" s="64" t="str">
        <f>IF($Q577&lt;&gt;0,VLOOKUP($Q577,DM_KM,3,0),"")</f>
        <v>#N/A</v>
      </c>
      <c r="P577" s="64" t="str">
        <f>IF($Q577&lt;&gt;0,VLOOKUP($Q577,DM_KM,5,0),"")</f>
        <v>#N/A</v>
      </c>
      <c r="Q577" s="89" t="s">
        <v>267</v>
      </c>
      <c r="R577" s="64" t="str">
        <f>IF(S577&lt;&gt;0,VLOOKUP(S577,DM_DUAN,3,0),"")</f>
        <v>#N/A</v>
      </c>
      <c r="S577" s="66" t="str">
        <f>IF(U577&lt;&gt;0,VLOOKUP(U577,DM_DUAN,3,0),"")</f>
        <v/>
      </c>
      <c r="T577" s="64"/>
      <c r="U577" s="93"/>
      <c r="V577" s="64" t="str">
        <f>IF(W577&lt;&gt;0,VLOOKUP(W577,DM_DUAN,3,0),"")</f>
        <v/>
      </c>
      <c r="W577" s="68"/>
      <c r="X577" s="64" t="str">
        <f>IF(Y577&lt;&gt;0,VLOOKUP(Y577,DM_DUAN,3,0),"")</f>
        <v>#N/A</v>
      </c>
      <c r="Y577" s="69" t="s">
        <v>207</v>
      </c>
      <c r="Z577" s="64" t="str">
        <f>IF(AA577&lt;&gt;0,VLOOKUP(AA577,DM_DUAN,3,0),"")</f>
        <v>#N/A</v>
      </c>
      <c r="AA577" s="70" t="s">
        <v>514</v>
      </c>
      <c r="AB577" s="64" t="str">
        <f>IF(AC577&lt;&gt;0,VLOOKUP(AC577,DM_DUAN,3,0),"")</f>
        <v/>
      </c>
      <c r="AC577" s="85"/>
      <c r="AD577" s="64" t="str">
        <f>IF(AC577&lt;&gt;0,VLOOKUP(AC577,DM_NV,2,0),"")</f>
        <v/>
      </c>
      <c r="AE577" s="68"/>
      <c r="AF577" s="64" t="str">
        <f>IF(AE577&lt;&gt;0,VLOOKUP(AE577,DM_NV,2,0),"")</f>
        <v/>
      </c>
    </row>
    <row r="578">
      <c r="A578" s="51"/>
      <c r="B578" s="52" t="str">
        <f>IF(D578="","",VLOOKUP(D578,'THAM CHIẾU'!$A:$B,2,0))</f>
        <v>#N/A</v>
      </c>
      <c r="C578" s="53" t="str">
        <f t="shared" si="3"/>
        <v>03/2022</v>
      </c>
      <c r="D578" s="54">
        <v>44651.0</v>
      </c>
      <c r="E578" s="107" t="s">
        <v>630</v>
      </c>
      <c r="F578" s="110"/>
      <c r="G578" s="57" t="s">
        <v>266</v>
      </c>
      <c r="H578" s="58" t="str">
        <f>IF(G578="","",VLOOKUP($G578,'Quy chuẩn hạch toán'!$B:$E,2,0))</f>
        <v>642</v>
      </c>
      <c r="I578" s="58" t="str">
        <f>IF(H578="","",VLOOKUP($G578,'Quy chuẩn hạch toán'!$B:$E,3,0))</f>
        <v>3341</v>
      </c>
      <c r="J578" s="59">
        <v>8095147.0</v>
      </c>
      <c r="K578" s="60"/>
      <c r="L578" s="61"/>
      <c r="M578" s="62"/>
      <c r="N578" s="63"/>
      <c r="O578" s="64" t="str">
        <f>IF($Q578&lt;&gt;0,VLOOKUP($Q578,DM_KM,3,0),"")</f>
        <v>#N/A</v>
      </c>
      <c r="P578" s="64" t="str">
        <f>IF($Q578&lt;&gt;0,VLOOKUP($Q578,DM_KM,5,0),"")</f>
        <v>#N/A</v>
      </c>
      <c r="Q578" s="89" t="s">
        <v>267</v>
      </c>
      <c r="R578" s="64" t="str">
        <f>IF(S578&lt;&gt;0,VLOOKUP(S578,DM_DUAN,3,0),"")</f>
        <v>#N/A</v>
      </c>
      <c r="S578" s="66" t="str">
        <f>IF(U578&lt;&gt;0,VLOOKUP(U578,DM_DUAN,3,0),"")</f>
        <v/>
      </c>
      <c r="T578" s="64"/>
      <c r="U578" s="93"/>
      <c r="V578" s="64" t="str">
        <f>IF(W578&lt;&gt;0,VLOOKUP(W578,DM_DUAN,3,0),"")</f>
        <v/>
      </c>
      <c r="W578" s="68"/>
      <c r="X578" s="64" t="str">
        <f>IF(Y578&lt;&gt;0,VLOOKUP(Y578,DM_DUAN,3,0),"")</f>
        <v>#N/A</v>
      </c>
      <c r="Y578" s="69" t="s">
        <v>207</v>
      </c>
      <c r="Z578" s="64" t="str">
        <f>IF(AA578&lt;&gt;0,VLOOKUP(AA578,DM_DUAN,3,0),"")</f>
        <v>#N/A</v>
      </c>
      <c r="AA578" s="131" t="s">
        <v>210</v>
      </c>
      <c r="AB578" s="64" t="str">
        <f>IF(AC578&lt;&gt;0,VLOOKUP(AC578,DM_DUAN,3,0),"")</f>
        <v/>
      </c>
      <c r="AC578" s="85"/>
      <c r="AD578" s="64" t="str">
        <f>IF(AC578&lt;&gt;0,VLOOKUP(AC578,DM_NV,2,0),"")</f>
        <v/>
      </c>
      <c r="AE578" s="68"/>
      <c r="AF578" s="64" t="str">
        <f>IF(AE578&lt;&gt;0,VLOOKUP(AE578,DM_NV,2,0),"")</f>
        <v/>
      </c>
    </row>
    <row r="579">
      <c r="A579" s="51"/>
      <c r="B579" s="52" t="str">
        <f>IF(D579="","",VLOOKUP(D579,'THAM CHIẾU'!$A:$B,2,0))</f>
        <v>#N/A</v>
      </c>
      <c r="C579" s="53" t="str">
        <f t="shared" si="3"/>
        <v>03/2022</v>
      </c>
      <c r="D579" s="54">
        <v>44651.0</v>
      </c>
      <c r="E579" s="107" t="s">
        <v>631</v>
      </c>
      <c r="F579" s="110"/>
      <c r="G579" s="57" t="s">
        <v>266</v>
      </c>
      <c r="H579" s="58" t="str">
        <f>IF(G579="","",VLOOKUP($G579,'Quy chuẩn hạch toán'!$B:$E,2,0))</f>
        <v>642</v>
      </c>
      <c r="I579" s="58" t="str">
        <f>IF(H579="","",VLOOKUP($G579,'Quy chuẩn hạch toán'!$B:$E,3,0))</f>
        <v>3341</v>
      </c>
      <c r="J579" s="59">
        <v>8095147.0</v>
      </c>
      <c r="K579" s="60"/>
      <c r="L579" s="61"/>
      <c r="M579" s="62"/>
      <c r="N579" s="63"/>
      <c r="O579" s="64" t="str">
        <f>IF($Q579&lt;&gt;0,VLOOKUP($Q579,DM_KM,3,0),"")</f>
        <v>#N/A</v>
      </c>
      <c r="P579" s="64" t="str">
        <f>IF($Q579&lt;&gt;0,VLOOKUP($Q579,DM_KM,5,0),"")</f>
        <v>#N/A</v>
      </c>
      <c r="Q579" s="89" t="s">
        <v>267</v>
      </c>
      <c r="R579" s="64" t="str">
        <f>IF(S579&lt;&gt;0,VLOOKUP(S579,DM_DUAN,3,0),"")</f>
        <v>#N/A</v>
      </c>
      <c r="S579" s="66" t="str">
        <f>IF(U579&lt;&gt;0,VLOOKUP(U579,DM_DUAN,3,0),"")</f>
        <v/>
      </c>
      <c r="T579" s="64"/>
      <c r="U579" s="93"/>
      <c r="V579" s="64" t="str">
        <f>IF(W579&lt;&gt;0,VLOOKUP(W579,DM_DUAN,3,0),"")</f>
        <v/>
      </c>
      <c r="W579" s="68"/>
      <c r="X579" s="64" t="str">
        <f>IF(Y579&lt;&gt;0,VLOOKUP(Y579,DM_DUAN,3,0),"")</f>
        <v>#N/A</v>
      </c>
      <c r="Y579" s="69" t="s">
        <v>207</v>
      </c>
      <c r="Z579" s="64" t="str">
        <f>IF(AA579&lt;&gt;0,VLOOKUP(AA579,DM_DUAN,3,0),"")</f>
        <v>#N/A</v>
      </c>
      <c r="AA579" s="131" t="s">
        <v>177</v>
      </c>
      <c r="AB579" s="64" t="str">
        <f>IF(AC579&lt;&gt;0,VLOOKUP(AC579,DM_DUAN,3,0),"")</f>
        <v/>
      </c>
      <c r="AC579" s="85"/>
      <c r="AD579" s="64" t="str">
        <f>IF(AC579&lt;&gt;0,VLOOKUP(AC579,DM_NV,2,0),"")</f>
        <v/>
      </c>
      <c r="AE579" s="68"/>
      <c r="AF579" s="64" t="str">
        <f>IF(AE579&lt;&gt;0,VLOOKUP(AE579,DM_NV,2,0),"")</f>
        <v/>
      </c>
    </row>
    <row r="580">
      <c r="A580" s="51"/>
      <c r="B580" s="52" t="str">
        <f>IF(D580="","",VLOOKUP(D580,'THAM CHIẾU'!$A:$B,2,0))</f>
        <v>#N/A</v>
      </c>
      <c r="C580" s="53" t="str">
        <f t="shared" si="3"/>
        <v>03/2022</v>
      </c>
      <c r="D580" s="54">
        <v>44651.0</v>
      </c>
      <c r="E580" s="107" t="s">
        <v>632</v>
      </c>
      <c r="F580" s="110"/>
      <c r="G580" s="57" t="s">
        <v>266</v>
      </c>
      <c r="H580" s="58" t="str">
        <f>IF(G580="","",VLOOKUP($G580,'Quy chuẩn hạch toán'!$B:$E,2,0))</f>
        <v>642</v>
      </c>
      <c r="I580" s="58" t="str">
        <f>IF(H580="","",VLOOKUP($G580,'Quy chuẩn hạch toán'!$B:$E,3,0))</f>
        <v>3341</v>
      </c>
      <c r="J580" s="59">
        <v>1.5033844E7</v>
      </c>
      <c r="K580" s="60"/>
      <c r="L580" s="61"/>
      <c r="M580" s="62"/>
      <c r="N580" s="63"/>
      <c r="O580" s="64" t="str">
        <f>IF($Q580&lt;&gt;0,VLOOKUP($Q580,DM_KM,3,0),"")</f>
        <v>#N/A</v>
      </c>
      <c r="P580" s="64" t="str">
        <f>IF($Q580&lt;&gt;0,VLOOKUP($Q580,DM_KM,5,0),"")</f>
        <v>#N/A</v>
      </c>
      <c r="Q580" s="89" t="s">
        <v>267</v>
      </c>
      <c r="R580" s="64" t="str">
        <f>IF(S580&lt;&gt;0,VLOOKUP(S580,DM_DUAN,3,0),"")</f>
        <v>#N/A</v>
      </c>
      <c r="S580" s="66" t="str">
        <f>IF(U580&lt;&gt;0,VLOOKUP(U580,DM_DUAN,3,0),"")</f>
        <v/>
      </c>
      <c r="T580" s="64"/>
      <c r="U580" s="93"/>
      <c r="V580" s="64" t="str">
        <f>IF(W580&lt;&gt;0,VLOOKUP(W580,DM_DUAN,3,0),"")</f>
        <v/>
      </c>
      <c r="W580" s="68"/>
      <c r="X580" s="64" t="str">
        <f>IF(Y580&lt;&gt;0,VLOOKUP(Y580,DM_DUAN,3,0),"")</f>
        <v>#N/A</v>
      </c>
      <c r="Y580" s="69" t="s">
        <v>207</v>
      </c>
      <c r="Z580" s="64" t="str">
        <f>IF(AA580&lt;&gt;0,VLOOKUP(AA580,DM_DUAN,3,0),"")</f>
        <v>#N/A</v>
      </c>
      <c r="AA580" s="131" t="s">
        <v>183</v>
      </c>
      <c r="AB580" s="64" t="str">
        <f>IF(AC580&lt;&gt;0,VLOOKUP(AC580,DM_DUAN,3,0),"")</f>
        <v/>
      </c>
      <c r="AC580" s="85"/>
      <c r="AD580" s="64" t="str">
        <f>IF(AC580&lt;&gt;0,VLOOKUP(AC580,DM_NV,2,0),"")</f>
        <v/>
      </c>
      <c r="AE580" s="68"/>
      <c r="AF580" s="64" t="str">
        <f>IF(AE580&lt;&gt;0,VLOOKUP(AE580,DM_NV,2,0),"")</f>
        <v/>
      </c>
    </row>
    <row r="581">
      <c r="A581" s="51"/>
      <c r="B581" s="52" t="str">
        <f>IF(D581="","",VLOOKUP(D581,'THAM CHIẾU'!$A:$B,2,0))</f>
        <v>#N/A</v>
      </c>
      <c r="C581" s="53" t="str">
        <f t="shared" si="3"/>
        <v>03/2022</v>
      </c>
      <c r="D581" s="54">
        <v>44651.0</v>
      </c>
      <c r="E581" s="107" t="s">
        <v>633</v>
      </c>
      <c r="F581" s="110"/>
      <c r="G581" s="57" t="s">
        <v>254</v>
      </c>
      <c r="H581" s="58" t="str">
        <f>IF(G581="","",VLOOKUP($G581,'Quy chuẩn hạch toán'!$B:$E,2,0))</f>
        <v>3341</v>
      </c>
      <c r="I581" s="58" t="str">
        <f>IF(H581="","",VLOOKUP($G581,'Quy chuẩn hạch toán'!$B:$E,3,0))</f>
        <v>1111</v>
      </c>
      <c r="J581" s="59">
        <v>1384615.0</v>
      </c>
      <c r="K581" s="60"/>
      <c r="L581" s="61"/>
      <c r="M581" s="62"/>
      <c r="N581" s="63"/>
      <c r="O581" s="64" t="str">
        <f>IF($Q581&lt;&gt;0,VLOOKUP($Q581,DM_KM,3,0),"")</f>
        <v/>
      </c>
      <c r="P581" s="64" t="str">
        <f>IF($Q581&lt;&gt;0,VLOOKUP($Q581,DM_KM,5,0),"")</f>
        <v/>
      </c>
      <c r="Q581" s="65"/>
      <c r="R581" s="64" t="str">
        <f>IF(S581&lt;&gt;0,VLOOKUP(S581,DM_DUAN,3,0),"")</f>
        <v>#N/A</v>
      </c>
      <c r="S581" s="66" t="str">
        <f>IF(U581&lt;&gt;0,VLOOKUP(U581,DM_DUAN,3,0),"")</f>
        <v/>
      </c>
      <c r="T581" s="64"/>
      <c r="U581" s="93"/>
      <c r="V581" s="64" t="str">
        <f>IF(W581&lt;&gt;0,VLOOKUP(W581,DM_DUAN,3,0),"")</f>
        <v/>
      </c>
      <c r="W581" s="68"/>
      <c r="X581" s="64" t="str">
        <f>IF(Y581&lt;&gt;0,VLOOKUP(Y581,DM_DUAN,3,0),"")</f>
        <v>#N/A</v>
      </c>
      <c r="Y581" s="69" t="s">
        <v>176</v>
      </c>
      <c r="Z581" s="64" t="str">
        <f>IF(AA581&lt;&gt;0,VLOOKUP(AA581,DM_DUAN,3,0),"")</f>
        <v>#N/A</v>
      </c>
      <c r="AA581" s="70" t="s">
        <v>177</v>
      </c>
      <c r="AB581" s="64" t="str">
        <f>IF(AC581&lt;&gt;0,VLOOKUP(AC581,DM_DUAN,3,0),"")</f>
        <v>#N/A</v>
      </c>
      <c r="AC581" s="70" t="s">
        <v>600</v>
      </c>
      <c r="AD581" s="64" t="str">
        <f>IF(AC581&lt;&gt;0,VLOOKUP(AC581,DM_NV,2,0),"")</f>
        <v>Nguyễn Quốc Việt</v>
      </c>
      <c r="AE581" s="83" t="s">
        <v>256</v>
      </c>
      <c r="AF581" s="64" t="str">
        <f>IF(AE581&lt;&gt;0,VLOOKUP(AE581,DM_NV,2,0),"")</f>
        <v>#N/A</v>
      </c>
    </row>
    <row r="582">
      <c r="A582" s="51"/>
      <c r="B582" s="52" t="str">
        <f>IF(D582="","",VLOOKUP(D582,'THAM CHIẾU'!$A:$B,2,0))</f>
        <v>#N/A</v>
      </c>
      <c r="C582" s="53" t="str">
        <f t="shared" si="3"/>
        <v>03/2022</v>
      </c>
      <c r="D582" s="54">
        <v>44651.0</v>
      </c>
      <c r="E582" s="55" t="s">
        <v>634</v>
      </c>
      <c r="F582" s="56"/>
      <c r="G582" s="57" t="s">
        <v>254</v>
      </c>
      <c r="H582" s="58" t="str">
        <f>IF(G582="","",VLOOKUP($G582,'Quy chuẩn hạch toán'!$B:$E,2,0))</f>
        <v>3341</v>
      </c>
      <c r="I582" s="58" t="str">
        <f>IF(H582="","",VLOOKUP($G582,'Quy chuẩn hạch toán'!$B:$E,3,0))</f>
        <v>1111</v>
      </c>
      <c r="J582" s="59">
        <v>3115385.0</v>
      </c>
      <c r="K582" s="60"/>
      <c r="L582" s="61"/>
      <c r="M582" s="62"/>
      <c r="N582" s="63"/>
      <c r="O582" s="64" t="str">
        <f>IF($Q582&lt;&gt;0,VLOOKUP($Q582,DM_KM,3,0),"")</f>
        <v/>
      </c>
      <c r="P582" s="64" t="str">
        <f>IF($Q582&lt;&gt;0,VLOOKUP($Q582,DM_KM,5,0),"")</f>
        <v/>
      </c>
      <c r="Q582" s="65"/>
      <c r="R582" s="64" t="str">
        <f>IF(S582&lt;&gt;0,VLOOKUP(S582,DM_DUAN,3,0),"")</f>
        <v>#N/A</v>
      </c>
      <c r="S582" s="66" t="str">
        <f>IF(U582&lt;&gt;0,VLOOKUP(U582,DM_DUAN,3,0),"")</f>
        <v/>
      </c>
      <c r="T582" s="64"/>
      <c r="U582" s="93"/>
      <c r="V582" s="64" t="str">
        <f>IF(W582&lt;&gt;0,VLOOKUP(W582,DM_DUAN,3,0),"")</f>
        <v/>
      </c>
      <c r="W582" s="68"/>
      <c r="X582" s="64" t="str">
        <f>IF(Y582&lt;&gt;0,VLOOKUP(Y582,DM_DUAN,3,0),"")</f>
        <v>#N/A</v>
      </c>
      <c r="Y582" s="69" t="s">
        <v>176</v>
      </c>
      <c r="Z582" s="64" t="str">
        <f>IF(AA582&lt;&gt;0,VLOOKUP(AA582,DM_DUAN,3,0),"")</f>
        <v>#N/A</v>
      </c>
      <c r="AA582" s="70" t="s">
        <v>177</v>
      </c>
      <c r="AB582" s="64" t="str">
        <f>IF(AC582&lt;&gt;0,VLOOKUP(AC582,DM_DUAN,3,0),"")</f>
        <v>#N/A</v>
      </c>
      <c r="AC582" s="70" t="s">
        <v>603</v>
      </c>
      <c r="AD582" s="64" t="str">
        <f>IF(AC582&lt;&gt;0,VLOOKUP(AC582,DM_NV,2,0),"")</f>
        <v>Trần Minh Khánh</v>
      </c>
      <c r="AE582" s="83" t="s">
        <v>256</v>
      </c>
      <c r="AF582" s="64" t="str">
        <f>IF(AE582&lt;&gt;0,VLOOKUP(AE582,DM_NV,2,0),"")</f>
        <v>#N/A</v>
      </c>
    </row>
    <row r="583">
      <c r="A583" s="51"/>
      <c r="B583" s="52" t="str">
        <f>IF(D583="","",VLOOKUP(D583,'THAM CHIẾU'!$A:$B,2,0))</f>
        <v>#N/A</v>
      </c>
      <c r="C583" s="53" t="str">
        <f t="shared" si="3"/>
        <v>03/2022</v>
      </c>
      <c r="D583" s="54">
        <v>44651.0</v>
      </c>
      <c r="E583" s="55" t="s">
        <v>635</v>
      </c>
      <c r="F583" s="56"/>
      <c r="G583" s="57" t="s">
        <v>173</v>
      </c>
      <c r="H583" s="58" t="str">
        <f>IF(G583="","",VLOOKUP($G583,'Quy chuẩn hạch toán'!$B:$E,2,0))</f>
        <v>641</v>
      </c>
      <c r="I583" s="58" t="str">
        <f>IF(H583="","",VLOOKUP($G583,'Quy chuẩn hạch toán'!$B:$E,3,0))</f>
        <v>331</v>
      </c>
      <c r="J583" s="59">
        <v>1600000.0</v>
      </c>
      <c r="K583" s="60"/>
      <c r="L583" s="61"/>
      <c r="M583" s="62"/>
      <c r="N583" s="63"/>
      <c r="O583" s="64" t="str">
        <f>IF($Q583&lt;&gt;0,VLOOKUP($Q583,DM_KM,3,0),"")</f>
        <v>#N/A</v>
      </c>
      <c r="P583" s="64" t="str">
        <f>IF($Q583&lt;&gt;0,VLOOKUP($Q583,DM_KM,5,0),"")</f>
        <v>#N/A</v>
      </c>
      <c r="Q583" s="65" t="s">
        <v>174</v>
      </c>
      <c r="R583" s="64" t="str">
        <f>IF(S583&lt;&gt;0,VLOOKUP(S583,DM_DUAN,3,0),"")</f>
        <v>#N/A</v>
      </c>
      <c r="S583" s="66" t="str">
        <f>IF(U583&lt;&gt;0,VLOOKUP(U583,DM_DUAN,3,0),"")</f>
        <v>KIMCUONGLAND</v>
      </c>
      <c r="T583" s="64"/>
      <c r="U583" s="67" t="s">
        <v>636</v>
      </c>
      <c r="V583" s="64" t="str">
        <f>IF(W583&lt;&gt;0,VLOOKUP(W583,DM_DUAN,3,0),"")</f>
        <v/>
      </c>
      <c r="W583" s="68"/>
      <c r="X583" s="64" t="str">
        <f>IF(Y583&lt;&gt;0,VLOOKUP(Y583,DM_DUAN,3,0),"")</f>
        <v>#N/A</v>
      </c>
      <c r="Y583" s="69" t="s">
        <v>176</v>
      </c>
      <c r="Z583" s="64" t="str">
        <f>IF(AA583&lt;&gt;0,VLOOKUP(AA583,DM_DUAN,3,0),"")</f>
        <v>#N/A</v>
      </c>
      <c r="AA583" s="70" t="s">
        <v>183</v>
      </c>
      <c r="AB583" s="64" t="str">
        <f>IF(AC583&lt;&gt;0,VLOOKUP(AC583,DM_DUAN,3,0),"")</f>
        <v/>
      </c>
      <c r="AC583" s="85"/>
      <c r="AD583" s="64" t="str">
        <f>IF(AC583&lt;&gt;0,VLOOKUP(AC583,DM_NV,2,0),"")</f>
        <v/>
      </c>
      <c r="AE583" s="68"/>
      <c r="AF583" s="64" t="str">
        <f>IF(AE583&lt;&gt;0,VLOOKUP(AE583,DM_NV,2,0),"")</f>
        <v/>
      </c>
    </row>
    <row r="584">
      <c r="A584" s="51"/>
      <c r="B584" s="52" t="str">
        <f>IF(D584="","",VLOOKUP(D584,'THAM CHIẾU'!$A:$B,2,0))</f>
        <v>#N/A</v>
      </c>
      <c r="C584" s="53" t="str">
        <f t="shared" si="3"/>
        <v>03/2022</v>
      </c>
      <c r="D584" s="54">
        <v>44651.0</v>
      </c>
      <c r="E584" s="55" t="s">
        <v>637</v>
      </c>
      <c r="F584" s="56"/>
      <c r="G584" s="57" t="s">
        <v>173</v>
      </c>
      <c r="H584" s="58" t="str">
        <f>IF(G584="","",VLOOKUP($G584,'Quy chuẩn hạch toán'!$B:$E,2,0))</f>
        <v>641</v>
      </c>
      <c r="I584" s="58" t="str">
        <f>IF(H584="","",VLOOKUP($G584,'Quy chuẩn hạch toán'!$B:$E,3,0))</f>
        <v>331</v>
      </c>
      <c r="J584" s="59">
        <v>2738000.0</v>
      </c>
      <c r="K584" s="60"/>
      <c r="L584" s="61"/>
      <c r="M584" s="62"/>
      <c r="N584" s="63"/>
      <c r="O584" s="64" t="str">
        <f>IF($Q584&lt;&gt;0,VLOOKUP($Q584,DM_KM,3,0),"")</f>
        <v>#N/A</v>
      </c>
      <c r="P584" s="64" t="str">
        <f>IF($Q584&lt;&gt;0,VLOOKUP($Q584,DM_KM,5,0),"")</f>
        <v>#N/A</v>
      </c>
      <c r="Q584" s="65" t="s">
        <v>174</v>
      </c>
      <c r="R584" s="64" t="str">
        <f>IF(S584&lt;&gt;0,VLOOKUP(S584,DM_DUAN,3,0),"")</f>
        <v>#N/A</v>
      </c>
      <c r="S584" s="66" t="str">
        <f>IF(U584&lt;&gt;0,VLOOKUP(U584,DM_DUAN,3,0),"")</f>
        <v>KIMCUONGLAND</v>
      </c>
      <c r="T584" s="64"/>
      <c r="U584" s="67" t="s">
        <v>638</v>
      </c>
      <c r="V584" s="64" t="str">
        <f>IF(W584&lt;&gt;0,VLOOKUP(W584,DM_DUAN,3,0),"")</f>
        <v/>
      </c>
      <c r="W584" s="68"/>
      <c r="X584" s="64" t="str">
        <f>IF(Y584&lt;&gt;0,VLOOKUP(Y584,DM_DUAN,3,0),"")</f>
        <v>#N/A</v>
      </c>
      <c r="Y584" s="69" t="s">
        <v>176</v>
      </c>
      <c r="Z584" s="64" t="str">
        <f>IF(AA584&lt;&gt;0,VLOOKUP(AA584,DM_DUAN,3,0),"")</f>
        <v>#N/A</v>
      </c>
      <c r="AA584" s="70" t="s">
        <v>177</v>
      </c>
      <c r="AB584" s="64" t="str">
        <f>IF(AC584&lt;&gt;0,VLOOKUP(AC584,DM_DUAN,3,0),"")</f>
        <v/>
      </c>
      <c r="AC584" s="70"/>
      <c r="AD584" s="64" t="str">
        <f>IF(AC584&lt;&gt;0,VLOOKUP(AC584,DM_NV,2,0),"")</f>
        <v/>
      </c>
      <c r="AE584" s="68"/>
      <c r="AF584" s="64" t="str">
        <f>IF(AE584&lt;&gt;0,VLOOKUP(AE584,DM_NV,2,0),"")</f>
        <v/>
      </c>
    </row>
    <row r="585">
      <c r="A585" s="51"/>
      <c r="B585" s="52" t="str">
        <f>IF(D585="","",VLOOKUP(D585,'THAM CHIẾU'!$A:$B,2,0))</f>
        <v>#N/A</v>
      </c>
      <c r="C585" s="53" t="str">
        <f t="shared" si="3"/>
        <v>03/2022</v>
      </c>
      <c r="D585" s="54">
        <v>44651.0</v>
      </c>
      <c r="E585" s="107" t="s">
        <v>639</v>
      </c>
      <c r="F585" s="110"/>
      <c r="G585" s="57" t="s">
        <v>173</v>
      </c>
      <c r="H585" s="58" t="str">
        <f>IF(G585="","",VLOOKUP($G585,'Quy chuẩn hạch toán'!$B:$E,2,0))</f>
        <v>641</v>
      </c>
      <c r="I585" s="58" t="str">
        <f>IF(H585="","",VLOOKUP($G585,'Quy chuẩn hạch toán'!$B:$E,3,0))</f>
        <v>331</v>
      </c>
      <c r="J585" s="59">
        <v>2952000.0</v>
      </c>
      <c r="K585" s="60"/>
      <c r="L585" s="61"/>
      <c r="M585" s="62"/>
      <c r="N585" s="63"/>
      <c r="O585" s="64" t="str">
        <f>IF($Q585&lt;&gt;0,VLOOKUP($Q585,DM_KM,3,0),"")</f>
        <v>#N/A</v>
      </c>
      <c r="P585" s="64" t="str">
        <f>IF($Q585&lt;&gt;0,VLOOKUP($Q585,DM_KM,5,0),"")</f>
        <v>#N/A</v>
      </c>
      <c r="Q585" s="65" t="s">
        <v>174</v>
      </c>
      <c r="R585" s="64" t="str">
        <f>IF(S585&lt;&gt;0,VLOOKUP(S585,DM_DUAN,3,0),"")</f>
        <v>#N/A</v>
      </c>
      <c r="S585" s="66" t="str">
        <f>IF(U585&lt;&gt;0,VLOOKUP(U585,DM_DUAN,3,0),"")</f>
        <v>KIMCUONGLAND</v>
      </c>
      <c r="T585" s="64"/>
      <c r="U585" s="67" t="s">
        <v>636</v>
      </c>
      <c r="V585" s="64" t="str">
        <f>IF(W585&lt;&gt;0,VLOOKUP(W585,DM_DUAN,3,0),"")</f>
        <v/>
      </c>
      <c r="W585" s="68"/>
      <c r="X585" s="64" t="str">
        <f>IF(Y585&lt;&gt;0,VLOOKUP(Y585,DM_DUAN,3,0),"")</f>
        <v>#N/A</v>
      </c>
      <c r="Y585" s="69" t="s">
        <v>176</v>
      </c>
      <c r="Z585" s="64" t="str">
        <f>IF(AA585&lt;&gt;0,VLOOKUP(AA585,DM_DUAN,3,0),"")</f>
        <v>#N/A</v>
      </c>
      <c r="AA585" s="70" t="s">
        <v>183</v>
      </c>
      <c r="AB585" s="64" t="str">
        <f>IF(AC585&lt;&gt;0,VLOOKUP(AC585,DM_DUAN,3,0),"")</f>
        <v/>
      </c>
      <c r="AC585" s="85"/>
      <c r="AD585" s="64" t="str">
        <f>IF(AC585&lt;&gt;0,VLOOKUP(AC585,DM_NV,2,0),"")</f>
        <v/>
      </c>
      <c r="AE585" s="68"/>
      <c r="AF585" s="64" t="str">
        <f>IF(AE585&lt;&gt;0,VLOOKUP(AE585,DM_NV,2,0),"")</f>
        <v/>
      </c>
    </row>
    <row r="586">
      <c r="A586" s="51"/>
      <c r="B586" s="52" t="str">
        <f>IF(D586="","",VLOOKUP(D586,'THAM CHIẾU'!$A:$B,2,0))</f>
        <v>#N/A</v>
      </c>
      <c r="C586" s="53" t="str">
        <f t="shared" si="3"/>
        <v>03/2022</v>
      </c>
      <c r="D586" s="54">
        <v>44651.0</v>
      </c>
      <c r="E586" s="107" t="s">
        <v>640</v>
      </c>
      <c r="F586" s="110"/>
      <c r="G586" s="57" t="s">
        <v>173</v>
      </c>
      <c r="H586" s="58" t="str">
        <f>IF(G586="","",VLOOKUP($G586,'Quy chuẩn hạch toán'!$B:$E,2,0))</f>
        <v>641</v>
      </c>
      <c r="I586" s="58" t="str">
        <f>IF(H586="","",VLOOKUP($G586,'Quy chuẩn hạch toán'!$B:$E,3,0))</f>
        <v>331</v>
      </c>
      <c r="J586" s="59">
        <v>2832000.0</v>
      </c>
      <c r="K586" s="60"/>
      <c r="L586" s="61"/>
      <c r="M586" s="62"/>
      <c r="N586" s="63"/>
      <c r="O586" s="64" t="str">
        <f>IF($Q586&lt;&gt;0,VLOOKUP($Q586,DM_KM,3,0),"")</f>
        <v>#N/A</v>
      </c>
      <c r="P586" s="64" t="str">
        <f>IF($Q586&lt;&gt;0,VLOOKUP($Q586,DM_KM,5,0),"")</f>
        <v>#N/A</v>
      </c>
      <c r="Q586" s="65" t="s">
        <v>174</v>
      </c>
      <c r="R586" s="64" t="str">
        <f>IF(S586&lt;&gt;0,VLOOKUP(S586,DM_DUAN,3,0),"")</f>
        <v>#N/A</v>
      </c>
      <c r="S586" s="66" t="str">
        <f>IF(U586&lt;&gt;0,VLOOKUP(U586,DM_DUAN,3,0),"")</f>
        <v>THANHNAM</v>
      </c>
      <c r="T586" s="64"/>
      <c r="U586" s="67" t="s">
        <v>530</v>
      </c>
      <c r="V586" s="64" t="str">
        <f>IF(W586&lt;&gt;0,VLOOKUP(W586,DM_DUAN,3,0),"")</f>
        <v/>
      </c>
      <c r="W586" s="68"/>
      <c r="X586" s="64" t="str">
        <f>IF(Y586&lt;&gt;0,VLOOKUP(Y586,DM_DUAN,3,0),"")</f>
        <v>#N/A</v>
      </c>
      <c r="Y586" s="69" t="s">
        <v>176</v>
      </c>
      <c r="Z586" s="64" t="str">
        <f>IF(AA586&lt;&gt;0,VLOOKUP(AA586,DM_DUAN,3,0),"")</f>
        <v>#N/A</v>
      </c>
      <c r="AA586" s="70" t="s">
        <v>183</v>
      </c>
      <c r="AB586" s="64" t="str">
        <f>IF(AC586&lt;&gt;0,VLOOKUP(AC586,DM_DUAN,3,0),"")</f>
        <v/>
      </c>
      <c r="AC586" s="85"/>
      <c r="AD586" s="64" t="str">
        <f>IF(AC586&lt;&gt;0,VLOOKUP(AC586,DM_NV,2,0),"")</f>
        <v/>
      </c>
      <c r="AE586" s="68"/>
      <c r="AF586" s="64" t="str">
        <f>IF(AE586&lt;&gt;0,VLOOKUP(AE586,DM_NV,2,0),"")</f>
        <v/>
      </c>
    </row>
    <row r="587">
      <c r="A587" s="51"/>
      <c r="B587" s="52" t="str">
        <f>IF(D587="","",VLOOKUP(D587,'THAM CHIẾU'!$A:$B,2,0))</f>
        <v>#N/A</v>
      </c>
      <c r="C587" s="53" t="str">
        <f t="shared" si="3"/>
        <v>03/2022</v>
      </c>
      <c r="D587" s="54">
        <v>44651.0</v>
      </c>
      <c r="E587" s="107" t="s">
        <v>641</v>
      </c>
      <c r="F587" s="110"/>
      <c r="G587" s="57" t="s">
        <v>173</v>
      </c>
      <c r="H587" s="58" t="str">
        <f>IF(G587="","",VLOOKUP($G587,'Quy chuẩn hạch toán'!$B:$E,2,0))</f>
        <v>641</v>
      </c>
      <c r="I587" s="58" t="str">
        <f>IF(H587="","",VLOOKUP($G587,'Quy chuẩn hạch toán'!$B:$E,3,0))</f>
        <v>331</v>
      </c>
      <c r="J587" s="59">
        <v>2688000.0</v>
      </c>
      <c r="K587" s="60"/>
      <c r="L587" s="61"/>
      <c r="M587" s="62"/>
      <c r="N587" s="63"/>
      <c r="O587" s="64" t="str">
        <f>IF($Q587&lt;&gt;0,VLOOKUP($Q587,DM_KM,3,0),"")</f>
        <v>#N/A</v>
      </c>
      <c r="P587" s="64" t="str">
        <f>IF($Q587&lt;&gt;0,VLOOKUP($Q587,DM_KM,5,0),"")</f>
        <v>#N/A</v>
      </c>
      <c r="Q587" s="89" t="s">
        <v>174</v>
      </c>
      <c r="R587" s="64" t="str">
        <f>IF(S587&lt;&gt;0,VLOOKUP(S587,DM_DUAN,3,0),"")</f>
        <v>#N/A</v>
      </c>
      <c r="S587" s="66" t="str">
        <f>IF(U587&lt;&gt;0,VLOOKUP(U587,DM_DUAN,3,0),"")</f>
        <v>THANHNAM</v>
      </c>
      <c r="T587" s="64"/>
      <c r="U587" s="67" t="s">
        <v>530</v>
      </c>
      <c r="V587" s="64" t="str">
        <f>IF(W587&lt;&gt;0,VLOOKUP(W587,DM_DUAN,3,0),"")</f>
        <v/>
      </c>
      <c r="W587" s="68"/>
      <c r="X587" s="64" t="str">
        <f>IF(Y587&lt;&gt;0,VLOOKUP(Y587,DM_DUAN,3,0),"")</f>
        <v>#N/A</v>
      </c>
      <c r="Y587" s="69" t="s">
        <v>176</v>
      </c>
      <c r="Z587" s="64" t="str">
        <f>IF(AA587&lt;&gt;0,VLOOKUP(AA587,DM_DUAN,3,0),"")</f>
        <v>#N/A</v>
      </c>
      <c r="AA587" s="70" t="s">
        <v>177</v>
      </c>
      <c r="AB587" s="64" t="str">
        <f>IF(AC587&lt;&gt;0,VLOOKUP(AC587,DM_DUAN,3,0),"")</f>
        <v/>
      </c>
      <c r="AC587" s="85"/>
      <c r="AD587" s="64" t="str">
        <f>IF(AC587&lt;&gt;0,VLOOKUP(AC587,DM_NV,2,0),"")</f>
        <v/>
      </c>
      <c r="AE587" s="68"/>
      <c r="AF587" s="64" t="str">
        <f>IF(AE587&lt;&gt;0,VLOOKUP(AE587,DM_NV,2,0),"")</f>
        <v/>
      </c>
    </row>
    <row r="588">
      <c r="A588" s="51"/>
      <c r="B588" s="52"/>
      <c r="C588" s="53" t="str">
        <f t="shared" si="3"/>
        <v>03/2022</v>
      </c>
      <c r="D588" s="99">
        <v>44650.0</v>
      </c>
      <c r="E588" s="141" t="s">
        <v>642</v>
      </c>
      <c r="F588" s="142"/>
      <c r="G588" s="140"/>
      <c r="H588" s="58" t="str">
        <f>IF(G588="","",VLOOKUP($G588,'Quy chuẩn hạch toán'!$B:$E,2,0))</f>
        <v/>
      </c>
      <c r="I588" s="58" t="str">
        <f>IF(H588="","",VLOOKUP($G588,'Quy chuẩn hạch toán'!$B:$E,3,0))</f>
        <v/>
      </c>
      <c r="J588" s="143">
        <v>1.2E7</v>
      </c>
      <c r="K588" s="60"/>
      <c r="L588" s="61"/>
      <c r="M588" s="62"/>
      <c r="N588" s="63"/>
      <c r="O588" s="64" t="str">
        <f>IF($Q588&lt;&gt;0,VLOOKUP($Q588,DM_KM,3,0),"")</f>
        <v/>
      </c>
      <c r="P588" s="64" t="str">
        <f>IF($Q588&lt;&gt;0,VLOOKUP($Q588,DM_KM,5,0),"")</f>
        <v/>
      </c>
      <c r="Q588" s="89"/>
      <c r="R588" s="64"/>
      <c r="S588" s="66"/>
      <c r="T588" s="64"/>
      <c r="U588" s="67"/>
      <c r="V588" s="64"/>
      <c r="W588" s="68"/>
      <c r="X588" s="64"/>
      <c r="Y588" s="69"/>
      <c r="Z588" s="64"/>
      <c r="AA588" s="70" t="s">
        <v>177</v>
      </c>
      <c r="AB588" s="64"/>
      <c r="AC588" s="70" t="s">
        <v>178</v>
      </c>
      <c r="AD588" s="64" t="str">
        <f>IF(AC588&lt;&gt;0,VLOOKUP(AC588,DM_NV,2,0),"")</f>
        <v>Lê Hoàng Quân</v>
      </c>
      <c r="AE588" s="83" t="s">
        <v>400</v>
      </c>
      <c r="AF588" s="64" t="str">
        <f>IF(AE588&lt;&gt;0,VLOOKUP(AE588,DM_NV,2,0),"")</f>
        <v>#N/A</v>
      </c>
    </row>
    <row r="589">
      <c r="A589" s="51"/>
      <c r="B589" s="52"/>
      <c r="C589" s="53" t="str">
        <f t="shared" si="3"/>
        <v>03/2022</v>
      </c>
      <c r="D589" s="54">
        <v>44651.0</v>
      </c>
      <c r="E589" s="115" t="s">
        <v>643</v>
      </c>
      <c r="F589" s="108"/>
      <c r="G589" s="109" t="s">
        <v>316</v>
      </c>
      <c r="H589" s="58" t="str">
        <f>IF(G589="","",VLOOKUP($G589,'Quy chuẩn hạch toán'!$B:$E,2,0))</f>
        <v>911</v>
      </c>
      <c r="I589" s="58" t="str">
        <f>IF(H589="","",VLOOKUP($G589,'Quy chuẩn hạch toán'!$B:$E,3,0))</f>
        <v>642</v>
      </c>
      <c r="J589" s="143">
        <v>3.1521892E7</v>
      </c>
      <c r="K589" s="60"/>
      <c r="L589" s="61"/>
      <c r="M589" s="62"/>
      <c r="N589" s="63"/>
      <c r="O589" s="64" t="str">
        <f>IF($Q589&lt;&gt;0,VLOOKUP($Q589,DM_KM,3,0),"")</f>
        <v/>
      </c>
      <c r="P589" s="64" t="str">
        <f>IF($Q589&lt;&gt;0,VLOOKUP($Q589,DM_KM,5,0),"")</f>
        <v/>
      </c>
      <c r="Q589" s="89"/>
      <c r="R589" s="64"/>
      <c r="S589" s="66"/>
      <c r="T589" s="64"/>
      <c r="U589" s="67"/>
      <c r="V589" s="64"/>
      <c r="W589" s="68"/>
      <c r="X589" s="64"/>
      <c r="Y589" s="69"/>
      <c r="Z589" s="64"/>
      <c r="AA589" s="70" t="s">
        <v>210</v>
      </c>
      <c r="AB589" s="64"/>
      <c r="AC589" s="85"/>
      <c r="AD589" s="64" t="str">
        <f>IF(AC589&lt;&gt;0,VLOOKUP(AC589,DM_NV,2,0),"")</f>
        <v/>
      </c>
      <c r="AE589" s="68"/>
      <c r="AF589" s="64" t="str">
        <f>IF(AE589&lt;&gt;0,VLOOKUP(AE589,DM_NV,2,0),"")</f>
        <v/>
      </c>
    </row>
    <row r="590">
      <c r="A590" s="51"/>
      <c r="B590" s="52"/>
      <c r="C590" s="53" t="str">
        <f t="shared" si="3"/>
        <v>03/2022</v>
      </c>
      <c r="D590" s="54">
        <v>44651.0</v>
      </c>
      <c r="E590" s="115" t="s">
        <v>644</v>
      </c>
      <c r="F590" s="108"/>
      <c r="G590" s="109" t="s">
        <v>316</v>
      </c>
      <c r="H590" s="58" t="str">
        <f>IF(G590="","",VLOOKUP($G590,'Quy chuẩn hạch toán'!$B:$E,2,0))</f>
        <v>911</v>
      </c>
      <c r="I590" s="58" t="str">
        <f>IF(H590="","",VLOOKUP($G590,'Quy chuẩn hạch toán'!$B:$E,3,0))</f>
        <v>642</v>
      </c>
      <c r="J590" s="143">
        <v>4.0521892E7</v>
      </c>
      <c r="K590" s="60"/>
      <c r="L590" s="61"/>
      <c r="M590" s="62"/>
      <c r="N590" s="63"/>
      <c r="O590" s="64"/>
      <c r="P590" s="64"/>
      <c r="Q590" s="89"/>
      <c r="R590" s="64"/>
      <c r="S590" s="66"/>
      <c r="T590" s="64"/>
      <c r="U590" s="67"/>
      <c r="V590" s="64"/>
      <c r="W590" s="68"/>
      <c r="X590" s="64"/>
      <c r="Y590" s="69"/>
      <c r="Z590" s="64"/>
      <c r="AA590" s="70" t="s">
        <v>177</v>
      </c>
      <c r="AB590" s="64"/>
      <c r="AC590" s="85"/>
      <c r="AD590" s="64"/>
      <c r="AE590" s="68"/>
      <c r="AF590" s="64"/>
    </row>
    <row r="591">
      <c r="A591" s="51"/>
      <c r="B591" s="52"/>
      <c r="C591" s="53" t="str">
        <f t="shared" si="3"/>
        <v>03/2022</v>
      </c>
      <c r="D591" s="54">
        <v>44651.0</v>
      </c>
      <c r="E591" s="115" t="s">
        <v>645</v>
      </c>
      <c r="F591" s="108"/>
      <c r="G591" s="109" t="s">
        <v>316</v>
      </c>
      <c r="H591" s="58" t="str">
        <f>IF(G591="","",VLOOKUP($G591,'Quy chuẩn hạch toán'!$B:$E,2,0))</f>
        <v>911</v>
      </c>
      <c r="I591" s="58" t="str">
        <f>IF(H591="","",VLOOKUP($G591,'Quy chuẩn hạch toán'!$B:$E,3,0))</f>
        <v>642</v>
      </c>
      <c r="J591" s="143">
        <v>5.5803155E7</v>
      </c>
      <c r="K591" s="60"/>
      <c r="L591" s="61"/>
      <c r="M591" s="62"/>
      <c r="N591" s="63"/>
      <c r="O591" s="64"/>
      <c r="P591" s="64"/>
      <c r="Q591" s="89"/>
      <c r="R591" s="64"/>
      <c r="S591" s="66"/>
      <c r="T591" s="64"/>
      <c r="U591" s="67"/>
      <c r="V591" s="64"/>
      <c r="W591" s="68"/>
      <c r="X591" s="64"/>
      <c r="Y591" s="69"/>
      <c r="Z591" s="64"/>
      <c r="AA591" s="70" t="s">
        <v>183</v>
      </c>
      <c r="AB591" s="64"/>
      <c r="AC591" s="85"/>
      <c r="AD591" s="64"/>
      <c r="AE591" s="68"/>
      <c r="AF591" s="64"/>
    </row>
    <row r="592">
      <c r="A592" s="51"/>
      <c r="B592" s="52"/>
      <c r="C592" s="53" t="str">
        <f t="shared" si="3"/>
        <v>03/2022</v>
      </c>
      <c r="D592" s="54">
        <v>44651.0</v>
      </c>
      <c r="E592" s="115" t="s">
        <v>646</v>
      </c>
      <c r="F592" s="108"/>
      <c r="G592" s="109" t="s">
        <v>316</v>
      </c>
      <c r="H592" s="58" t="str">
        <f>IF(G592="","",VLOOKUP($G592,'Quy chuẩn hạch toán'!$B:$E,2,0))</f>
        <v>911</v>
      </c>
      <c r="I592" s="58" t="str">
        <f>IF(H592="","",VLOOKUP($G592,'Quy chuẩn hạch toán'!$B:$E,3,0))</f>
        <v>642</v>
      </c>
      <c r="J592" s="143">
        <v>1.2434828E7</v>
      </c>
      <c r="K592" s="60"/>
      <c r="L592" s="61"/>
      <c r="M592" s="62"/>
      <c r="N592" s="63"/>
      <c r="O592" s="64"/>
      <c r="P592" s="64"/>
      <c r="Q592" s="89"/>
      <c r="R592" s="64"/>
      <c r="S592" s="66"/>
      <c r="T592" s="64"/>
      <c r="U592" s="67"/>
      <c r="V592" s="64"/>
      <c r="W592" s="68"/>
      <c r="X592" s="64"/>
      <c r="Y592" s="69"/>
      <c r="Z592" s="64"/>
      <c r="AA592" s="70" t="s">
        <v>514</v>
      </c>
      <c r="AB592" s="64"/>
      <c r="AC592" s="85"/>
      <c r="AD592" s="64"/>
      <c r="AE592" s="68"/>
      <c r="AF592" s="64"/>
    </row>
    <row r="593">
      <c r="A593" s="51"/>
      <c r="B593" s="52"/>
      <c r="C593" s="53" t="str">
        <f t="shared" si="3"/>
        <v>03/2022</v>
      </c>
      <c r="D593" s="54">
        <v>44651.0</v>
      </c>
      <c r="E593" s="115" t="s">
        <v>647</v>
      </c>
      <c r="F593" s="108"/>
      <c r="G593" s="109" t="s">
        <v>321</v>
      </c>
      <c r="H593" s="58" t="str">
        <f>IF(G593="","",VLOOKUP($G593,'Quy chuẩn hạch toán'!$B:$E,2,0))</f>
        <v>911</v>
      </c>
      <c r="I593" s="58" t="str">
        <f>IF(H593="","",VLOOKUP($G593,'Quy chuẩn hạch toán'!$B:$E,3,0))</f>
        <v>641</v>
      </c>
      <c r="J593" s="143">
        <v>4.9339027E7</v>
      </c>
      <c r="K593" s="60"/>
      <c r="L593" s="61"/>
      <c r="M593" s="62"/>
      <c r="N593" s="63"/>
      <c r="O593" s="64" t="str">
        <f>IF($Q593&lt;&gt;0,VLOOKUP($Q593,DM_KM,3,0),"")</f>
        <v/>
      </c>
      <c r="P593" s="64" t="str">
        <f>IF($Q593&lt;&gt;0,VLOOKUP($Q593,DM_KM,5,0),"")</f>
        <v/>
      </c>
      <c r="Q593" s="89"/>
      <c r="R593" s="64"/>
      <c r="S593" s="66"/>
      <c r="T593" s="64"/>
      <c r="U593" s="67"/>
      <c r="V593" s="64"/>
      <c r="W593" s="68"/>
      <c r="X593" s="64"/>
      <c r="Y593" s="69"/>
      <c r="Z593" s="64"/>
      <c r="AA593" s="70" t="s">
        <v>210</v>
      </c>
      <c r="AB593" s="64"/>
      <c r="AC593" s="85"/>
      <c r="AD593" s="64" t="str">
        <f>IF(AC593&lt;&gt;0,VLOOKUP(AC593,DM_NV,2,0),"")</f>
        <v/>
      </c>
      <c r="AE593" s="68"/>
      <c r="AF593" s="64" t="str">
        <f>IF(AE593&lt;&gt;0,VLOOKUP(AE593,DM_NV,2,0),"")</f>
        <v/>
      </c>
    </row>
    <row r="594">
      <c r="A594" s="51"/>
      <c r="B594" s="52"/>
      <c r="C594" s="53" t="str">
        <f t="shared" si="3"/>
        <v>03/2022</v>
      </c>
      <c r="D594" s="54">
        <v>44651.0</v>
      </c>
      <c r="E594" s="115" t="s">
        <v>648</v>
      </c>
      <c r="F594" s="108"/>
      <c r="G594" s="109" t="s">
        <v>321</v>
      </c>
      <c r="H594" s="58" t="str">
        <f>IF(G594="","",VLOOKUP($G594,'Quy chuẩn hạch toán'!$B:$E,2,0))</f>
        <v>911</v>
      </c>
      <c r="I594" s="58" t="str">
        <f>IF(H594="","",VLOOKUP($G594,'Quy chuẩn hạch toán'!$B:$E,3,0))</f>
        <v>641</v>
      </c>
      <c r="J594" s="143">
        <v>7.4124879E7</v>
      </c>
      <c r="K594" s="60"/>
      <c r="L594" s="61"/>
      <c r="M594" s="62"/>
      <c r="N594" s="63"/>
      <c r="O594" s="64"/>
      <c r="P594" s="64"/>
      <c r="Q594" s="89"/>
      <c r="R594" s="64"/>
      <c r="S594" s="66"/>
      <c r="T594" s="64"/>
      <c r="U594" s="67"/>
      <c r="V594" s="64"/>
      <c r="W594" s="68"/>
      <c r="X594" s="64"/>
      <c r="Y594" s="69"/>
      <c r="Z594" s="64"/>
      <c r="AA594" s="70" t="s">
        <v>177</v>
      </c>
      <c r="AB594" s="64"/>
      <c r="AC594" s="85"/>
      <c r="AD594" s="64"/>
      <c r="AE594" s="68"/>
      <c r="AF594" s="64"/>
    </row>
    <row r="595">
      <c r="A595" s="51"/>
      <c r="B595" s="52"/>
      <c r="C595" s="53" t="str">
        <f t="shared" si="3"/>
        <v>03/2022</v>
      </c>
      <c r="D595" s="54">
        <v>44651.0</v>
      </c>
      <c r="E595" s="115" t="s">
        <v>649</v>
      </c>
      <c r="F595" s="108"/>
      <c r="G595" s="109" t="s">
        <v>321</v>
      </c>
      <c r="H595" s="58" t="str">
        <f>IF(G595="","",VLOOKUP($G595,'Quy chuẩn hạch toán'!$B:$E,2,0))</f>
        <v>911</v>
      </c>
      <c r="I595" s="58" t="str">
        <f>IF(H595="","",VLOOKUP($G595,'Quy chuẩn hạch toán'!$B:$E,3,0))</f>
        <v>641</v>
      </c>
      <c r="J595" s="143">
        <v>1.30122161E8</v>
      </c>
      <c r="K595" s="60"/>
      <c r="L595" s="61"/>
      <c r="M595" s="62"/>
      <c r="N595" s="63"/>
      <c r="O595" s="64"/>
      <c r="P595" s="64"/>
      <c r="Q595" s="89"/>
      <c r="R595" s="64"/>
      <c r="S595" s="66"/>
      <c r="T595" s="64"/>
      <c r="U595" s="67"/>
      <c r="V595" s="64"/>
      <c r="W595" s="68"/>
      <c r="X595" s="64"/>
      <c r="Y595" s="69"/>
      <c r="Z595" s="64"/>
      <c r="AA595" s="70" t="s">
        <v>183</v>
      </c>
      <c r="AB595" s="64"/>
      <c r="AC595" s="85"/>
      <c r="AD595" s="64"/>
      <c r="AE595" s="68"/>
      <c r="AF595" s="64"/>
    </row>
    <row r="596">
      <c r="A596" s="51"/>
      <c r="B596" s="52"/>
      <c r="C596" s="53" t="str">
        <f t="shared" si="3"/>
        <v>03/2022</v>
      </c>
      <c r="D596" s="54">
        <v>44651.0</v>
      </c>
      <c r="E596" s="115" t="s">
        <v>650</v>
      </c>
      <c r="F596" s="108"/>
      <c r="G596" s="109" t="s">
        <v>321</v>
      </c>
      <c r="H596" s="58" t="str">
        <f>IF(G596="","",VLOOKUP($G596,'Quy chuẩn hạch toán'!$B:$E,2,0))</f>
        <v>911</v>
      </c>
      <c r="I596" s="58" t="str">
        <f>IF(H596="","",VLOOKUP($G596,'Quy chuẩn hạch toán'!$B:$E,3,0))</f>
        <v>641</v>
      </c>
      <c r="J596" s="143">
        <v>6008378.0</v>
      </c>
      <c r="K596" s="60"/>
      <c r="L596" s="61"/>
      <c r="M596" s="62"/>
      <c r="N596" s="63"/>
      <c r="O596" s="64"/>
      <c r="P596" s="64"/>
      <c r="Q596" s="89"/>
      <c r="R596" s="64"/>
      <c r="S596" s="66"/>
      <c r="T596" s="64"/>
      <c r="U596" s="67"/>
      <c r="V596" s="64"/>
      <c r="W596" s="68"/>
      <c r="X596" s="64"/>
      <c r="Y596" s="69"/>
      <c r="Z596" s="64"/>
      <c r="AA596" s="70" t="s">
        <v>514</v>
      </c>
      <c r="AB596" s="64"/>
      <c r="AC596" s="85"/>
      <c r="AD596" s="64"/>
      <c r="AE596" s="68"/>
      <c r="AF596" s="64"/>
    </row>
    <row r="597">
      <c r="A597" s="51"/>
      <c r="B597" s="52"/>
      <c r="C597" s="53" t="str">
        <f t="shared" si="3"/>
        <v>03/2022</v>
      </c>
      <c r="D597" s="54">
        <v>44651.0</v>
      </c>
      <c r="E597" s="115" t="s">
        <v>651</v>
      </c>
      <c r="F597" s="108"/>
      <c r="G597" s="109" t="s">
        <v>326</v>
      </c>
      <c r="H597" s="58" t="str">
        <f>IF(G597="","",VLOOKUP($G597,'Quy chuẩn hạch toán'!$B:$E,2,0))</f>
        <v>911</v>
      </c>
      <c r="I597" s="58" t="str">
        <f>IF(H597="","",VLOOKUP($G597,'Quy chuẩn hạch toán'!$B:$E,3,0))</f>
        <v>632</v>
      </c>
      <c r="J597" s="143">
        <v>2.90925E7</v>
      </c>
      <c r="K597" s="60"/>
      <c r="L597" s="61"/>
      <c r="M597" s="62"/>
      <c r="N597" s="63"/>
      <c r="O597" s="64" t="str">
        <f>IF($Q597&lt;&gt;0,VLOOKUP($Q597,DM_KM,3,0),"")</f>
        <v/>
      </c>
      <c r="P597" s="64" t="str">
        <f>IF($Q597&lt;&gt;0,VLOOKUP($Q597,DM_KM,5,0),"")</f>
        <v/>
      </c>
      <c r="Q597" s="89"/>
      <c r="R597" s="64"/>
      <c r="S597" s="66"/>
      <c r="T597" s="64"/>
      <c r="U597" s="67"/>
      <c r="V597" s="64"/>
      <c r="W597" s="68"/>
      <c r="X597" s="64"/>
      <c r="Y597" s="69"/>
      <c r="Z597" s="64"/>
      <c r="AA597" s="70" t="s">
        <v>183</v>
      </c>
      <c r="AB597" s="64"/>
      <c r="AC597" s="85"/>
      <c r="AD597" s="64" t="str">
        <f>IF(AC597&lt;&gt;0,VLOOKUP(AC597,DM_NV,2,0),"")</f>
        <v/>
      </c>
      <c r="AE597" s="68"/>
      <c r="AF597" s="64" t="str">
        <f>IF(AE597&lt;&gt;0,VLOOKUP(AE597,DM_NV,2,0),"")</f>
        <v/>
      </c>
    </row>
    <row r="598">
      <c r="A598" s="51"/>
      <c r="B598" s="52"/>
      <c r="C598" s="53" t="str">
        <f t="shared" si="3"/>
        <v>03/2022</v>
      </c>
      <c r="D598" s="54">
        <v>44651.0</v>
      </c>
      <c r="E598" s="115" t="s">
        <v>652</v>
      </c>
      <c r="F598" s="108"/>
      <c r="G598" s="109" t="s">
        <v>326</v>
      </c>
      <c r="H598" s="58" t="str">
        <f>IF(G598="","",VLOOKUP($G598,'Quy chuẩn hạch toán'!$B:$E,2,0))</f>
        <v>911</v>
      </c>
      <c r="I598" s="58" t="str">
        <f>IF(H598="","",VLOOKUP($G598,'Quy chuẩn hạch toán'!$B:$E,3,0))</f>
        <v>632</v>
      </c>
      <c r="J598" s="143">
        <v>6.95E7</v>
      </c>
      <c r="K598" s="60"/>
      <c r="L598" s="61"/>
      <c r="M598" s="62"/>
      <c r="N598" s="63"/>
      <c r="O598" s="64"/>
      <c r="P598" s="64"/>
      <c r="Q598" s="89"/>
      <c r="R598" s="64"/>
      <c r="S598" s="66"/>
      <c r="T598" s="64"/>
      <c r="U598" s="67"/>
      <c r="V598" s="64"/>
      <c r="W598" s="68"/>
      <c r="X598" s="64"/>
      <c r="Y598" s="69"/>
      <c r="Z598" s="64"/>
      <c r="AA598" s="70" t="s">
        <v>177</v>
      </c>
      <c r="AB598" s="64"/>
      <c r="AC598" s="85"/>
      <c r="AD598" s="64"/>
      <c r="AE598" s="68"/>
      <c r="AF598" s="64"/>
    </row>
    <row r="599">
      <c r="A599" s="51"/>
      <c r="B599" s="52"/>
      <c r="C599" s="53" t="str">
        <f t="shared" si="3"/>
        <v>03/2022</v>
      </c>
      <c r="D599" s="54">
        <v>44651.0</v>
      </c>
      <c r="E599" s="115" t="s">
        <v>653</v>
      </c>
      <c r="F599" s="108"/>
      <c r="G599" s="109" t="s">
        <v>326</v>
      </c>
      <c r="H599" s="58" t="str">
        <f>IF(G599="","",VLOOKUP($G599,'Quy chuẩn hạch toán'!$B:$E,2,0))</f>
        <v>911</v>
      </c>
      <c r="I599" s="58" t="str">
        <f>IF(H599="","",VLOOKUP($G599,'Quy chuẩn hạch toán'!$B:$E,3,0))</f>
        <v>632</v>
      </c>
      <c r="J599" s="143">
        <v>1.2E8</v>
      </c>
      <c r="K599" s="60"/>
      <c r="L599" s="61"/>
      <c r="M599" s="62"/>
      <c r="N599" s="63"/>
      <c r="O599" s="64"/>
      <c r="P599" s="64"/>
      <c r="Q599" s="89"/>
      <c r="R599" s="64"/>
      <c r="S599" s="66"/>
      <c r="T599" s="64"/>
      <c r="U599" s="67"/>
      <c r="V599" s="64"/>
      <c r="W599" s="68"/>
      <c r="X599" s="64"/>
      <c r="Y599" s="69"/>
      <c r="Z599" s="64"/>
      <c r="AA599" s="70" t="s">
        <v>210</v>
      </c>
      <c r="AB599" s="64"/>
      <c r="AC599" s="85"/>
      <c r="AD599" s="64"/>
      <c r="AE599" s="68"/>
      <c r="AF599" s="64"/>
    </row>
    <row r="600">
      <c r="A600" s="51"/>
      <c r="B600" s="52"/>
      <c r="C600" s="53" t="str">
        <f t="shared" si="3"/>
        <v>03/2022</v>
      </c>
      <c r="D600" s="54">
        <v>44651.0</v>
      </c>
      <c r="E600" s="115" t="s">
        <v>654</v>
      </c>
      <c r="F600" s="108"/>
      <c r="G600" s="109" t="s">
        <v>328</v>
      </c>
      <c r="H600" s="58" t="str">
        <f>IF(G600="","",VLOOKUP($G600,'Quy chuẩn hạch toán'!$B:$E,2,0))</f>
        <v>5113</v>
      </c>
      <c r="I600" s="58" t="str">
        <f>IF(H600="","",VLOOKUP($G600,'Quy chuẩn hạch toán'!$B:$E,3,0))</f>
        <v>911</v>
      </c>
      <c r="J600" s="143">
        <v>1.5E8</v>
      </c>
      <c r="K600" s="60"/>
      <c r="L600" s="61"/>
      <c r="M600" s="62"/>
      <c r="N600" s="63"/>
      <c r="O600" s="64" t="str">
        <f>IF($Q600&lt;&gt;0,VLOOKUP($Q600,DM_KM,3,0),"")</f>
        <v/>
      </c>
      <c r="P600" s="64" t="str">
        <f>IF($Q600&lt;&gt;0,VLOOKUP($Q600,DM_KM,5,0),"")</f>
        <v/>
      </c>
      <c r="Q600" s="89"/>
      <c r="R600" s="64"/>
      <c r="S600" s="66"/>
      <c r="T600" s="64"/>
      <c r="U600" s="67"/>
      <c r="V600" s="64"/>
      <c r="W600" s="68"/>
      <c r="X600" s="64"/>
      <c r="Y600" s="69"/>
      <c r="Z600" s="64"/>
      <c r="AA600" s="144" t="s">
        <v>183</v>
      </c>
      <c r="AB600" s="64"/>
      <c r="AC600" s="85"/>
      <c r="AD600" s="64" t="str">
        <f>IF(AC600&lt;&gt;0,VLOOKUP(AC600,DM_NV,2,0),"")</f>
        <v/>
      </c>
      <c r="AE600" s="68"/>
      <c r="AF600" s="64" t="str">
        <f>IF(AE600&lt;&gt;0,VLOOKUP(AE600,DM_NV,2,0),"")</f>
        <v/>
      </c>
    </row>
    <row r="601">
      <c r="A601" s="51"/>
      <c r="B601" s="52"/>
      <c r="C601" s="53" t="str">
        <f t="shared" si="3"/>
        <v>03/2022</v>
      </c>
      <c r="D601" s="54">
        <v>44651.0</v>
      </c>
      <c r="E601" s="115" t="s">
        <v>655</v>
      </c>
      <c r="F601" s="108"/>
      <c r="G601" s="109" t="s">
        <v>328</v>
      </c>
      <c r="H601" s="58" t="str">
        <f>IF(G601="","",VLOOKUP($G601,'Quy chuẩn hạch toán'!$B:$E,2,0))</f>
        <v>5113</v>
      </c>
      <c r="I601" s="58" t="str">
        <f>IF(H601="","",VLOOKUP($G601,'Quy chuẩn hạch toán'!$B:$E,3,0))</f>
        <v>911</v>
      </c>
      <c r="J601" s="143">
        <v>1.76E8</v>
      </c>
      <c r="K601" s="60"/>
      <c r="L601" s="61"/>
      <c r="M601" s="62"/>
      <c r="N601" s="63"/>
      <c r="O601" s="64" t="str">
        <f>IF($Q601&lt;&gt;0,VLOOKUP($Q601,DM_KM,3,0),"")</f>
        <v/>
      </c>
      <c r="P601" s="64" t="str">
        <f>IF($Q601&lt;&gt;0,VLOOKUP($Q601,DM_KM,5,0),"")</f>
        <v/>
      </c>
      <c r="Q601" s="89"/>
      <c r="R601" s="64"/>
      <c r="S601" s="66"/>
      <c r="T601" s="64"/>
      <c r="U601" s="67"/>
      <c r="V601" s="64"/>
      <c r="W601" s="68"/>
      <c r="X601" s="64"/>
      <c r="Y601" s="69"/>
      <c r="Z601" s="64"/>
      <c r="AA601" s="145" t="s">
        <v>177</v>
      </c>
      <c r="AB601" s="64"/>
      <c r="AC601" s="85"/>
      <c r="AD601" s="64" t="str">
        <f>IF(AC601&lt;&gt;0,VLOOKUP(AC601,DM_NV,2,0),"")</f>
        <v/>
      </c>
      <c r="AE601" s="68"/>
      <c r="AF601" s="64" t="str">
        <f>IF(AE601&lt;&gt;0,VLOOKUP(AE601,DM_NV,2,0),"")</f>
        <v/>
      </c>
    </row>
    <row r="602">
      <c r="A602" s="51"/>
      <c r="B602" s="52"/>
      <c r="C602" s="53" t="str">
        <f t="shared" si="3"/>
        <v>03/2022</v>
      </c>
      <c r="D602" s="54">
        <v>44651.0</v>
      </c>
      <c r="E602" s="115" t="s">
        <v>656</v>
      </c>
      <c r="F602" s="108"/>
      <c r="G602" s="109" t="s">
        <v>328</v>
      </c>
      <c r="H602" s="58" t="str">
        <f>IF(G602="","",VLOOKUP($G602,'Quy chuẩn hạch toán'!$B:$E,2,0))</f>
        <v>5113</v>
      </c>
      <c r="I602" s="58" t="str">
        <f>IF(H602="","",VLOOKUP($G602,'Quy chuẩn hạch toán'!$B:$E,3,0))</f>
        <v>911</v>
      </c>
      <c r="J602" s="101">
        <f>171000000*2</f>
        <v>342000000</v>
      </c>
      <c r="K602" s="60"/>
      <c r="L602" s="61"/>
      <c r="M602" s="62"/>
      <c r="N602" s="63"/>
      <c r="O602" s="64" t="str">
        <f>IF($Q602&lt;&gt;0,VLOOKUP($Q602,DM_KM,3,0),"")</f>
        <v/>
      </c>
      <c r="P602" s="64" t="str">
        <f>IF($Q602&lt;&gt;0,VLOOKUP($Q602,DM_KM,5,0),"")</f>
        <v/>
      </c>
      <c r="Q602" s="89"/>
      <c r="R602" s="64"/>
      <c r="S602" s="66"/>
      <c r="T602" s="64"/>
      <c r="U602" s="67"/>
      <c r="V602" s="64"/>
      <c r="W602" s="68"/>
      <c r="X602" s="64"/>
      <c r="Y602" s="69"/>
      <c r="Z602" s="64"/>
      <c r="AA602" s="145" t="s">
        <v>210</v>
      </c>
      <c r="AB602" s="64"/>
      <c r="AC602" s="85"/>
      <c r="AD602" s="64" t="str">
        <f>IF(AC602&lt;&gt;0,VLOOKUP(AC602,DM_NV,2,0),"")</f>
        <v/>
      </c>
      <c r="AE602" s="68"/>
      <c r="AF602" s="64" t="str">
        <f>IF(AE602&lt;&gt;0,VLOOKUP(AE602,DM_NV,2,0),"")</f>
        <v/>
      </c>
    </row>
    <row r="603">
      <c r="A603" s="51"/>
      <c r="B603" s="52"/>
      <c r="C603" s="53"/>
      <c r="D603" s="54">
        <v>44651.0</v>
      </c>
      <c r="E603" s="107" t="s">
        <v>657</v>
      </c>
      <c r="F603" s="110"/>
      <c r="G603" s="57"/>
      <c r="H603" s="58" t="str">
        <f>IF(G603="","",VLOOKUP($G603,'Quy chuẩn hạch toán'!$B:$E,2,0))</f>
        <v/>
      </c>
      <c r="I603" s="58" t="str">
        <f>IF(H603="","",VLOOKUP($G603,'Quy chuẩn hạch toán'!$B:$E,3,0))</f>
        <v/>
      </c>
      <c r="J603" s="59">
        <v>-5.4025455E7</v>
      </c>
      <c r="K603" s="60"/>
      <c r="L603" s="61"/>
      <c r="M603" s="62"/>
      <c r="N603" s="63"/>
      <c r="O603" s="64"/>
      <c r="P603" s="64"/>
      <c r="Q603" s="65"/>
      <c r="R603" s="64" t="str">
        <f>IF(S603&lt;&gt;0,VLOOKUP(S603,DM_DUAN,3,0),"")</f>
        <v>#N/A</v>
      </c>
      <c r="S603" s="66" t="str">
        <f>IF(U603&lt;&gt;0,VLOOKUP(U603,DM_DUAN,3,0),"")</f>
        <v/>
      </c>
      <c r="T603" s="64"/>
      <c r="U603" s="67"/>
      <c r="V603" s="64" t="str">
        <f>IF(W603&lt;&gt;0,VLOOKUP(W603,DM_DUAN,3,0),"")</f>
        <v/>
      </c>
      <c r="W603" s="68"/>
      <c r="X603" s="64" t="str">
        <f>IF(Y603&lt;&gt;0,VLOOKUP(Y603,DM_DUAN,3,0),"")</f>
        <v/>
      </c>
      <c r="Y603" s="69"/>
      <c r="Z603" s="64" t="str">
        <f>IF(AA603&lt;&gt;0,VLOOKUP(AA603,DM_DUAN,3,0),"")</f>
        <v>#N/A</v>
      </c>
      <c r="AA603" s="70" t="s">
        <v>183</v>
      </c>
      <c r="AB603" s="64" t="str">
        <f>IF(AC603&lt;&gt;0,VLOOKUP(AC603,DM_DUAN,3,0),"")</f>
        <v>#N/A</v>
      </c>
      <c r="AC603" s="70" t="s">
        <v>191</v>
      </c>
      <c r="AD603" s="64" t="str">
        <f>IF(AC603&lt;&gt;0,VLOOKUP(AC603,DM_NV,2,0),"")</f>
        <v>Nguyễn Anh Vy</v>
      </c>
      <c r="AE603" s="83"/>
      <c r="AF603" s="64" t="str">
        <f>IF(AE603&lt;&gt;0,VLOOKUP(AE603,DM_NV,2,0),"")</f>
        <v/>
      </c>
    </row>
    <row r="604">
      <c r="A604" s="51"/>
      <c r="B604" s="52"/>
      <c r="C604" s="53"/>
      <c r="D604" s="54">
        <v>44651.0</v>
      </c>
      <c r="E604" s="107" t="s">
        <v>658</v>
      </c>
      <c r="F604" s="110"/>
      <c r="G604" s="57"/>
      <c r="H604" s="58" t="str">
        <f>IF(G604="","",VLOOKUP($G604,'Quy chuẩn hạch toán'!$B:$E,2,0))</f>
        <v/>
      </c>
      <c r="I604" s="58" t="str">
        <f>IF(H604="","",VLOOKUP($G604,'Quy chuẩn hạch toán'!$B:$E,3,0))</f>
        <v/>
      </c>
      <c r="J604" s="59">
        <v>-5.6230575E7</v>
      </c>
      <c r="K604" s="60"/>
      <c r="L604" s="61"/>
      <c r="M604" s="62"/>
      <c r="N604" s="63"/>
      <c r="O604" s="64"/>
      <c r="P604" s="64"/>
      <c r="Q604" s="65"/>
      <c r="R604" s="64" t="str">
        <f>IF(S604&lt;&gt;0,VLOOKUP(S604,DM_DUAN,3,0),"")</f>
        <v>#N/A</v>
      </c>
      <c r="S604" s="66" t="str">
        <f>IF(U604&lt;&gt;0,VLOOKUP(U604,DM_DUAN,3,0),"")</f>
        <v/>
      </c>
      <c r="T604" s="64"/>
      <c r="U604" s="67"/>
      <c r="V604" s="64" t="str">
        <f>IF(W604&lt;&gt;0,VLOOKUP(W604,DM_DUAN,3,0),"")</f>
        <v/>
      </c>
      <c r="W604" s="68"/>
      <c r="X604" s="64" t="str">
        <f>IF(Y604&lt;&gt;0,VLOOKUP(Y604,DM_DUAN,3,0),"")</f>
        <v/>
      </c>
      <c r="Y604" s="69"/>
      <c r="Z604" s="64" t="str">
        <f>IF(AA604&lt;&gt;0,VLOOKUP(AA604,DM_DUAN,3,0),"")</f>
        <v>#N/A</v>
      </c>
      <c r="AA604" s="70" t="s">
        <v>183</v>
      </c>
      <c r="AB604" s="64" t="str">
        <f>IF(AC604&lt;&gt;0,VLOOKUP(AC604,DM_DUAN,3,0),"")</f>
        <v>#N/A</v>
      </c>
      <c r="AC604" s="70" t="s">
        <v>335</v>
      </c>
      <c r="AD604" s="64" t="str">
        <f>IF(AC604&lt;&gt;0,VLOOKUP(AC604,DM_NV,2,0),"")</f>
        <v>Trần Phước Thành</v>
      </c>
      <c r="AE604" s="83"/>
      <c r="AF604" s="64" t="str">
        <f>IF(AE604&lt;&gt;0,VLOOKUP(AE604,DM_NV,2,0),"")</f>
        <v/>
      </c>
    </row>
    <row r="605">
      <c r="A605" s="51"/>
      <c r="B605" s="52"/>
      <c r="C605" s="53"/>
      <c r="D605" s="54">
        <v>44651.0</v>
      </c>
      <c r="E605" s="107" t="s">
        <v>659</v>
      </c>
      <c r="F605" s="110"/>
      <c r="G605" s="57"/>
      <c r="H605" s="58" t="str">
        <f>IF(G605="","",VLOOKUP($G605,'Quy chuẩn hạch toán'!$B:$E,2,0))</f>
        <v/>
      </c>
      <c r="I605" s="58" t="str">
        <f>IF(H605="","",VLOOKUP($G605,'Quy chuẩn hạch toán'!$B:$E,3,0))</f>
        <v/>
      </c>
      <c r="J605" s="59">
        <v>-1.0432477E7</v>
      </c>
      <c r="K605" s="60"/>
      <c r="L605" s="61"/>
      <c r="M605" s="62"/>
      <c r="N605" s="63"/>
      <c r="O605" s="64"/>
      <c r="P605" s="64"/>
      <c r="Q605" s="65"/>
      <c r="R605" s="64" t="str">
        <f>IF(S605&lt;&gt;0,VLOOKUP(S605,DM_DUAN,3,0),"")</f>
        <v>#N/A</v>
      </c>
      <c r="S605" s="66" t="str">
        <f>IF(U605&lt;&gt;0,VLOOKUP(U605,DM_DUAN,3,0),"")</f>
        <v/>
      </c>
      <c r="T605" s="64"/>
      <c r="U605" s="67"/>
      <c r="V605" s="64" t="str">
        <f>IF(W605&lt;&gt;0,VLOOKUP(W605,DM_DUAN,3,0),"")</f>
        <v/>
      </c>
      <c r="W605" s="68"/>
      <c r="X605" s="64" t="str">
        <f>IF(Y605&lt;&gt;0,VLOOKUP(Y605,DM_DUAN,3,0),"")</f>
        <v/>
      </c>
      <c r="Y605" s="69"/>
      <c r="Z605" s="64" t="str">
        <f>IF(AA605&lt;&gt;0,VLOOKUP(AA605,DM_DUAN,3,0),"")</f>
        <v>#N/A</v>
      </c>
      <c r="AA605" s="70" t="s">
        <v>177</v>
      </c>
      <c r="AB605" s="64" t="str">
        <f>IF(AC605&lt;&gt;0,VLOOKUP(AC605,DM_DUAN,3,0),"")</f>
        <v>#N/A</v>
      </c>
      <c r="AC605" s="70" t="s">
        <v>178</v>
      </c>
      <c r="AD605" s="64" t="str">
        <f>IF(AC605&lt;&gt;0,VLOOKUP(AC605,DM_NV,2,0),"")</f>
        <v>Lê Hoàng Quân</v>
      </c>
      <c r="AE605" s="83"/>
      <c r="AF605" s="64" t="str">
        <f>IF(AE605&lt;&gt;0,VLOOKUP(AE605,DM_NV,2,0),"")</f>
        <v/>
      </c>
    </row>
    <row r="606">
      <c r="A606" s="51"/>
      <c r="B606" s="52"/>
      <c r="C606" s="53"/>
      <c r="D606" s="54">
        <v>44651.0</v>
      </c>
      <c r="E606" s="107" t="s">
        <v>660</v>
      </c>
      <c r="F606" s="110"/>
      <c r="G606" s="57"/>
      <c r="H606" s="58" t="str">
        <f>IF(G606="","",VLOOKUP($G606,'Quy chuẩn hạch toán'!$B:$E,2,0))</f>
        <v/>
      </c>
      <c r="I606" s="58" t="str">
        <f>IF(H606="","",VLOOKUP($G606,'Quy chuẩn hạch toán'!$B:$E,3,0))</f>
        <v/>
      </c>
      <c r="J606" s="59">
        <v>-1.0858293E7</v>
      </c>
      <c r="K606" s="60"/>
      <c r="L606" s="61"/>
      <c r="M606" s="62"/>
      <c r="N606" s="63"/>
      <c r="O606" s="64"/>
      <c r="P606" s="64"/>
      <c r="Q606" s="65"/>
      <c r="R606" s="64" t="str">
        <f>IF(S606&lt;&gt;0,VLOOKUP(S606,DM_DUAN,3,0),"")</f>
        <v>#N/A</v>
      </c>
      <c r="S606" s="66" t="str">
        <f>IF(U606&lt;&gt;0,VLOOKUP(U606,DM_DUAN,3,0),"")</f>
        <v/>
      </c>
      <c r="T606" s="64"/>
      <c r="U606" s="67"/>
      <c r="V606" s="64" t="str">
        <f>IF(W606&lt;&gt;0,VLOOKUP(W606,DM_DUAN,3,0),"")</f>
        <v/>
      </c>
      <c r="W606" s="68"/>
      <c r="X606" s="64" t="str">
        <f>IF(Y606&lt;&gt;0,VLOOKUP(Y606,DM_DUAN,3,0),"")</f>
        <v/>
      </c>
      <c r="Y606" s="69"/>
      <c r="Z606" s="64" t="str">
        <f>IF(AA606&lt;&gt;0,VLOOKUP(AA606,DM_DUAN,3,0),"")</f>
        <v>#N/A</v>
      </c>
      <c r="AA606" s="70" t="s">
        <v>177</v>
      </c>
      <c r="AB606" s="64" t="str">
        <f>IF(AC606&lt;&gt;0,VLOOKUP(AC606,DM_DUAN,3,0),"")</f>
        <v>#N/A</v>
      </c>
      <c r="AC606" s="70" t="s">
        <v>335</v>
      </c>
      <c r="AD606" s="64" t="str">
        <f>IF(AC606&lt;&gt;0,VLOOKUP(AC606,DM_NV,2,0),"")</f>
        <v>Trần Phước Thành</v>
      </c>
      <c r="AE606" s="83"/>
      <c r="AF606" s="64" t="str">
        <f>IF(AE606&lt;&gt;0,VLOOKUP(AE606,DM_NV,2,0),"")</f>
        <v/>
      </c>
    </row>
    <row r="607">
      <c r="A607" s="51"/>
      <c r="B607" s="52"/>
      <c r="C607" s="53"/>
      <c r="D607" s="54">
        <v>44651.0</v>
      </c>
      <c r="E607" s="107" t="s">
        <v>661</v>
      </c>
      <c r="F607" s="110"/>
      <c r="G607" s="57"/>
      <c r="H607" s="58" t="str">
        <f>IF(G607="","",VLOOKUP($G607,'Quy chuẩn hạch toán'!$B:$E,2,0))</f>
        <v/>
      </c>
      <c r="I607" s="58" t="str">
        <f>IF(H607="","",VLOOKUP($G607,'Quy chuẩn hạch toán'!$B:$E,3,0))</f>
        <v/>
      </c>
      <c r="J607" s="59">
        <v>-3.962185E7</v>
      </c>
      <c r="K607" s="60"/>
      <c r="L607" s="61"/>
      <c r="M607" s="62"/>
      <c r="N607" s="63"/>
      <c r="O607" s="64"/>
      <c r="P607" s="64"/>
      <c r="Q607" s="65"/>
      <c r="R607" s="64" t="str">
        <f>IF(S607&lt;&gt;0,VLOOKUP(S607,DM_DUAN,3,0),"")</f>
        <v>#N/A</v>
      </c>
      <c r="S607" s="66" t="str">
        <f>IF(U607&lt;&gt;0,VLOOKUP(U607,DM_DUAN,3,0),"")</f>
        <v/>
      </c>
      <c r="T607" s="64"/>
      <c r="U607" s="67"/>
      <c r="V607" s="64" t="str">
        <f>IF(W607&lt;&gt;0,VLOOKUP(W607,DM_DUAN,3,0),"")</f>
        <v/>
      </c>
      <c r="W607" s="68"/>
      <c r="X607" s="64" t="str">
        <f>IF(Y607&lt;&gt;0,VLOOKUP(Y607,DM_DUAN,3,0),"")</f>
        <v/>
      </c>
      <c r="Y607" s="69"/>
      <c r="Z607" s="64" t="str">
        <f>IF(AA607&lt;&gt;0,VLOOKUP(AA607,DM_DUAN,3,0),"")</f>
        <v>#N/A</v>
      </c>
      <c r="AA607" s="70" t="s">
        <v>210</v>
      </c>
      <c r="AB607" s="64" t="str">
        <f>IF(AC607&lt;&gt;0,VLOOKUP(AC607,DM_DUAN,3,0),"")</f>
        <v>#N/A</v>
      </c>
      <c r="AC607" s="70" t="s">
        <v>217</v>
      </c>
      <c r="AD607" s="64" t="str">
        <f>IF(AC607&lt;&gt;0,VLOOKUP(AC607,DM_NV,2,0),"")</f>
        <v>Nguyễn Thị Mai Thu</v>
      </c>
      <c r="AE607" s="83"/>
      <c r="AF607" s="64" t="str">
        <f>IF(AE607&lt;&gt;0,VLOOKUP(AE607,DM_NV,2,0),"")</f>
        <v/>
      </c>
    </row>
    <row r="608">
      <c r="A608" s="51"/>
      <c r="B608" s="52"/>
      <c r="C608" s="53"/>
      <c r="D608" s="54">
        <v>44651.0</v>
      </c>
      <c r="E608" s="107" t="s">
        <v>662</v>
      </c>
      <c r="F608" s="110"/>
      <c r="G608" s="57"/>
      <c r="H608" s="58" t="str">
        <f>IF(G608="","",VLOOKUP($G608,'Quy chuẩn hạch toán'!$B:$E,2,0))</f>
        <v/>
      </c>
      <c r="I608" s="58" t="str">
        <f>IF(H608="","",VLOOKUP($G608,'Quy chuẩn hạch toán'!$B:$E,3,0))</f>
        <v/>
      </c>
      <c r="J608" s="59">
        <v>-4.1239068E7</v>
      </c>
      <c r="K608" s="60"/>
      <c r="L608" s="61"/>
      <c r="M608" s="62"/>
      <c r="N608" s="63"/>
      <c r="O608" s="64"/>
      <c r="P608" s="64"/>
      <c r="Q608" s="65"/>
      <c r="R608" s="64" t="str">
        <f>IF(S608&lt;&gt;0,VLOOKUP(S608,DM_DUAN,3,0),"")</f>
        <v>#N/A</v>
      </c>
      <c r="S608" s="66" t="str">
        <f>IF(U608&lt;&gt;0,VLOOKUP(U608,DM_DUAN,3,0),"")</f>
        <v/>
      </c>
      <c r="T608" s="64"/>
      <c r="U608" s="67"/>
      <c r="V608" s="64" t="str">
        <f>IF(W608&lt;&gt;0,VLOOKUP(W608,DM_DUAN,3,0),"")</f>
        <v/>
      </c>
      <c r="W608" s="68"/>
      <c r="X608" s="64" t="str">
        <f>IF(Y608&lt;&gt;0,VLOOKUP(Y608,DM_DUAN,3,0),"")</f>
        <v/>
      </c>
      <c r="Y608" s="69"/>
      <c r="Z608" s="64" t="str">
        <f>IF(AA608&lt;&gt;0,VLOOKUP(AA608,DM_DUAN,3,0),"")</f>
        <v>#N/A</v>
      </c>
      <c r="AA608" s="70" t="s">
        <v>210</v>
      </c>
      <c r="AB608" s="64" t="str">
        <f>IF(AC608&lt;&gt;0,VLOOKUP(AC608,DM_DUAN,3,0),"")</f>
        <v>#N/A</v>
      </c>
      <c r="AC608" s="70" t="s">
        <v>335</v>
      </c>
      <c r="AD608" s="64" t="str">
        <f>IF(AC608&lt;&gt;0,VLOOKUP(AC608,DM_NV,2,0),"")</f>
        <v>Trần Phước Thành</v>
      </c>
      <c r="AE608" s="83"/>
      <c r="AF608" s="64" t="str">
        <f>IF(AE608&lt;&gt;0,VLOOKUP(AE608,DM_NV,2,0),"")</f>
        <v/>
      </c>
    </row>
    <row r="609">
      <c r="A609" s="51"/>
      <c r="B609" s="52"/>
      <c r="C609" s="53"/>
      <c r="D609" s="54">
        <v>44651.0</v>
      </c>
      <c r="E609" s="107" t="s">
        <v>663</v>
      </c>
      <c r="F609" s="110"/>
      <c r="G609" s="57"/>
      <c r="H609" s="58" t="str">
        <f>IF(G609="","",VLOOKUP($G609,'Quy chuẩn hạch toán'!$B:$E,2,0))</f>
        <v/>
      </c>
      <c r="I609" s="58" t="str">
        <f>IF(H609="","",VLOOKUP($G609,'Quy chuẩn hạch toán'!$B:$E,3,0))</f>
        <v/>
      </c>
      <c r="J609" s="59">
        <v>-1.8443204E7</v>
      </c>
      <c r="K609" s="60"/>
      <c r="L609" s="61"/>
      <c r="M609" s="62"/>
      <c r="N609" s="63"/>
      <c r="O609" s="64"/>
      <c r="P609" s="64"/>
      <c r="Q609" s="65"/>
      <c r="R609" s="64" t="str">
        <f>IF(S609&lt;&gt;0,VLOOKUP(S609,DM_DUAN,3,0),"")</f>
        <v>#N/A</v>
      </c>
      <c r="S609" s="66" t="str">
        <f>IF(U609&lt;&gt;0,VLOOKUP(U609,DM_DUAN,3,0),"")</f>
        <v/>
      </c>
      <c r="T609" s="64"/>
      <c r="U609" s="67"/>
      <c r="V609" s="64" t="str">
        <f>IF(W609&lt;&gt;0,VLOOKUP(W609,DM_DUAN,3,0),"")</f>
        <v/>
      </c>
      <c r="W609" s="68"/>
      <c r="X609" s="64" t="str">
        <f>IF(Y609&lt;&gt;0,VLOOKUP(Y609,DM_DUAN,3,0),"")</f>
        <v/>
      </c>
      <c r="Y609" s="69"/>
      <c r="Z609" s="64" t="str">
        <f>IF(AA609&lt;&gt;0,VLOOKUP(AA609,DM_DUAN,3,0),"")</f>
        <v>#N/A</v>
      </c>
      <c r="AA609" s="70" t="s">
        <v>664</v>
      </c>
      <c r="AB609" s="64" t="str">
        <f>IF(AC609&lt;&gt;0,VLOOKUP(AC609,DM_DUAN,3,0),"")</f>
        <v>#N/A</v>
      </c>
      <c r="AC609" s="70" t="s">
        <v>335</v>
      </c>
      <c r="AD609" s="64" t="str">
        <f>IF(AC609&lt;&gt;0,VLOOKUP(AC609,DM_NV,2,0),"")</f>
        <v>Trần Phước Thành</v>
      </c>
      <c r="AE609" s="83"/>
      <c r="AF609" s="64" t="str">
        <f>IF(AE609&lt;&gt;0,VLOOKUP(AE609,DM_NV,2,0),"")</f>
        <v/>
      </c>
    </row>
    <row r="610">
      <c r="A610" s="51"/>
      <c r="B610" s="52"/>
      <c r="C610" s="53" t="str">
        <f t="shared" ref="C610:C1091" si="4">if(D610&lt;&gt;0,TEXT(D610,"mm/yyyy"),"")</f>
        <v>04/2022</v>
      </c>
      <c r="D610" s="99">
        <v>44664.0</v>
      </c>
      <c r="E610" s="141" t="s">
        <v>665</v>
      </c>
      <c r="F610" s="146"/>
      <c r="G610" s="109" t="s">
        <v>354</v>
      </c>
      <c r="H610" s="58" t="str">
        <f>IF(G610="","",VLOOKUP($G610,'Quy chuẩn hạch toán'!$B:$E,2,0))</f>
        <v>331</v>
      </c>
      <c r="I610" s="58" t="str">
        <f>IF(H610="","",VLOOKUP($G610,'Quy chuẩn hạch toán'!$B:$E,3,0))</f>
        <v>1111</v>
      </c>
      <c r="J610" s="59">
        <v>2.4E7</v>
      </c>
      <c r="K610" s="60"/>
      <c r="L610" s="61"/>
      <c r="M610" s="62"/>
      <c r="N610" s="63"/>
      <c r="O610" s="64" t="str">
        <f>IF($Q610&lt;&gt;0,VLOOKUP($Q610,DM_KM,3,0),"")</f>
        <v/>
      </c>
      <c r="P610" s="64" t="str">
        <f>IF($Q610&lt;&gt;0,VLOOKUP($Q610,DM_KM,5,0),"")</f>
        <v/>
      </c>
      <c r="Q610" s="89"/>
      <c r="R610" s="64"/>
      <c r="S610" s="66"/>
      <c r="T610" s="64"/>
      <c r="U610" s="67"/>
      <c r="V610" s="64"/>
      <c r="W610" s="68"/>
      <c r="X610" s="64"/>
      <c r="Y610" s="69"/>
      <c r="Z610" s="64"/>
      <c r="AA610" s="144" t="s">
        <v>183</v>
      </c>
      <c r="AB610" s="64"/>
      <c r="AC610" s="85"/>
      <c r="AD610" s="64" t="str">
        <f>IF(AC610&lt;&gt;0,VLOOKUP(AC610,DM_NV,2,0),"")</f>
        <v/>
      </c>
      <c r="AE610" s="83" t="s">
        <v>355</v>
      </c>
      <c r="AF610" s="64" t="str">
        <f>IF(AE610&lt;&gt;0,VLOOKUP(AE610,DM_NV,2,0),"")</f>
        <v>#N/A</v>
      </c>
    </row>
    <row r="611">
      <c r="A611" s="51"/>
      <c r="B611" s="52"/>
      <c r="C611" s="53" t="str">
        <f t="shared" si="4"/>
        <v>04/2022</v>
      </c>
      <c r="D611" s="99">
        <v>44664.0</v>
      </c>
      <c r="E611" s="141" t="s">
        <v>666</v>
      </c>
      <c r="F611" s="146"/>
      <c r="G611" s="109" t="s">
        <v>354</v>
      </c>
      <c r="H611" s="58" t="str">
        <f>IF(G611="","",VLOOKUP($G611,'Quy chuẩn hạch toán'!$B:$E,2,0))</f>
        <v>331</v>
      </c>
      <c r="I611" s="58" t="str">
        <f>IF(H611="","",VLOOKUP($G611,'Quy chuẩn hạch toán'!$B:$E,3,0))</f>
        <v>1111</v>
      </c>
      <c r="J611" s="59">
        <v>7236000.0</v>
      </c>
      <c r="K611" s="60"/>
      <c r="L611" s="61"/>
      <c r="M611" s="62"/>
      <c r="N611" s="63"/>
      <c r="O611" s="64"/>
      <c r="P611" s="64"/>
      <c r="Q611" s="89"/>
      <c r="R611" s="64"/>
      <c r="S611" s="66"/>
      <c r="T611" s="64"/>
      <c r="U611" s="67"/>
      <c r="V611" s="64"/>
      <c r="W611" s="68"/>
      <c r="X611" s="64"/>
      <c r="Y611" s="69"/>
      <c r="Z611" s="64"/>
      <c r="AA611" s="145" t="s">
        <v>177</v>
      </c>
      <c r="AB611" s="64"/>
      <c r="AC611" s="85"/>
      <c r="AD611" s="64"/>
      <c r="AE611" s="83" t="s">
        <v>355</v>
      </c>
      <c r="AF611" s="64"/>
    </row>
    <row r="612">
      <c r="A612" s="51"/>
      <c r="B612" s="52"/>
      <c r="C612" s="53" t="str">
        <f t="shared" si="4"/>
        <v>04/2022</v>
      </c>
      <c r="D612" s="99">
        <v>44664.0</v>
      </c>
      <c r="E612" s="141" t="s">
        <v>667</v>
      </c>
      <c r="F612" s="146"/>
      <c r="G612" s="109" t="s">
        <v>354</v>
      </c>
      <c r="H612" s="58" t="str">
        <f>IF(G612="","",VLOOKUP($G612,'Quy chuẩn hạch toán'!$B:$E,2,0))</f>
        <v>331</v>
      </c>
      <c r="I612" s="58" t="str">
        <f>IF(H612="","",VLOOKUP($G612,'Quy chuẩn hạch toán'!$B:$E,3,0))</f>
        <v>1111</v>
      </c>
      <c r="J612" s="59">
        <v>6500000.0</v>
      </c>
      <c r="K612" s="60"/>
      <c r="L612" s="61"/>
      <c r="M612" s="62"/>
      <c r="N612" s="63"/>
      <c r="O612" s="64"/>
      <c r="P612" s="64"/>
      <c r="Q612" s="89"/>
      <c r="R612" s="64"/>
      <c r="S612" s="66"/>
      <c r="T612" s="64"/>
      <c r="U612" s="67"/>
      <c r="V612" s="64"/>
      <c r="W612" s="68"/>
      <c r="X612" s="64"/>
      <c r="Y612" s="69"/>
      <c r="Z612" s="64"/>
      <c r="AA612" s="145" t="s">
        <v>210</v>
      </c>
      <c r="AB612" s="64"/>
      <c r="AC612" s="85"/>
      <c r="AD612" s="64"/>
      <c r="AE612" s="83" t="s">
        <v>355</v>
      </c>
      <c r="AF612" s="64"/>
    </row>
    <row r="613">
      <c r="A613" s="51"/>
      <c r="B613" s="52"/>
      <c r="C613" s="53" t="str">
        <f t="shared" si="4"/>
        <v>04/2022</v>
      </c>
      <c r="D613" s="99">
        <v>44664.0</v>
      </c>
      <c r="E613" s="79" t="s">
        <v>668</v>
      </c>
      <c r="F613" s="147"/>
      <c r="G613" s="148" t="s">
        <v>669</v>
      </c>
      <c r="H613" s="149" t="str">
        <f>IF(G613="","",VLOOKUP($G613,'Quy chuẩn hạch toán'!$B:$E,2,0))</f>
        <v>641</v>
      </c>
      <c r="I613" s="149" t="str">
        <f>IF(H613="","",VLOOKUP($G613,'Quy chuẩn hạch toán'!$B:$E,3,0))</f>
        <v>1111</v>
      </c>
      <c r="J613" s="150">
        <v>723600.0</v>
      </c>
      <c r="K613" s="60"/>
      <c r="L613" s="61"/>
      <c r="M613" s="62"/>
      <c r="N613" s="63"/>
      <c r="O613" s="64" t="str">
        <f>IF($Q613&lt;&gt;0,VLOOKUP($Q613,DM_KM,3,0),"")</f>
        <v/>
      </c>
      <c r="P613" s="64" t="str">
        <f>IF($Q613&lt;&gt;0,VLOOKUP($Q613,DM_KM,5,0),"")</f>
        <v/>
      </c>
      <c r="Q613" s="89"/>
      <c r="R613" s="64"/>
      <c r="S613" s="66"/>
      <c r="T613" s="64"/>
      <c r="U613" s="67"/>
      <c r="V613" s="64"/>
      <c r="W613" s="68"/>
      <c r="X613" s="64"/>
      <c r="Y613" s="69"/>
      <c r="Z613" s="64"/>
      <c r="AA613" s="70" t="s">
        <v>177</v>
      </c>
      <c r="AB613" s="64"/>
      <c r="AC613" s="85"/>
      <c r="AD613" s="64" t="str">
        <f>IF(AC613&lt;&gt;0,VLOOKUP(AC613,DM_NV,2,0),"")</f>
        <v/>
      </c>
      <c r="AE613" s="83" t="s">
        <v>613</v>
      </c>
      <c r="AF613" s="64" t="str">
        <f>IF(AE613&lt;&gt;0,VLOOKUP(AE613,DM_NV,2,0),"")</f>
        <v>#N/A</v>
      </c>
    </row>
    <row r="614">
      <c r="A614" s="51"/>
      <c r="B614" s="52"/>
      <c r="C614" s="53" t="str">
        <f t="shared" si="4"/>
        <v>04/2022</v>
      </c>
      <c r="D614" s="99">
        <v>44664.0</v>
      </c>
      <c r="E614" s="141" t="s">
        <v>670</v>
      </c>
      <c r="F614" s="146"/>
      <c r="G614" s="148" t="s">
        <v>669</v>
      </c>
      <c r="H614" s="151" t="str">
        <f>IF(G614="","",VLOOKUP($G614,'Quy chuẩn hạch toán'!$B:$E,2,0))</f>
        <v>641</v>
      </c>
      <c r="I614" s="151" t="str">
        <f>IF(H614="","",VLOOKUP($G614,'Quy chuẩn hạch toán'!$B:$E,3,0))</f>
        <v>1111</v>
      </c>
      <c r="J614" s="152">
        <v>2400000.0</v>
      </c>
      <c r="K614" s="60"/>
      <c r="L614" s="61"/>
      <c r="M614" s="62"/>
      <c r="N614" s="63"/>
      <c r="O614" s="64" t="str">
        <f>IF($Q614&lt;&gt;0,VLOOKUP($Q614,DM_KM,3,0),"")</f>
        <v/>
      </c>
      <c r="P614" s="64" t="str">
        <f>IF($Q614&lt;&gt;0,VLOOKUP($Q614,DM_KM,5,0),"")</f>
        <v/>
      </c>
      <c r="Q614" s="89"/>
      <c r="R614" s="64"/>
      <c r="S614" s="66"/>
      <c r="T614" s="64"/>
      <c r="U614" s="67"/>
      <c r="V614" s="64"/>
      <c r="W614" s="68"/>
      <c r="X614" s="64"/>
      <c r="Y614" s="69"/>
      <c r="Z614" s="64"/>
      <c r="AA614" s="70" t="s">
        <v>183</v>
      </c>
      <c r="AB614" s="64"/>
      <c r="AC614" s="85"/>
      <c r="AD614" s="64" t="str">
        <f>IF(AC614&lt;&gt;0,VLOOKUP(AC614,DM_NV,2,0),"")</f>
        <v/>
      </c>
      <c r="AE614" s="83" t="s">
        <v>613</v>
      </c>
      <c r="AF614" s="64" t="str">
        <f>IF(AE614&lt;&gt;0,VLOOKUP(AE614,DM_NV,2,0),"")</f>
        <v>#N/A</v>
      </c>
    </row>
    <row r="615">
      <c r="A615" s="51"/>
      <c r="B615" s="52"/>
      <c r="C615" s="53" t="str">
        <f t="shared" si="4"/>
        <v>04/2022</v>
      </c>
      <c r="D615" s="99">
        <v>44664.0</v>
      </c>
      <c r="E615" s="141" t="s">
        <v>671</v>
      </c>
      <c r="F615" s="146"/>
      <c r="G615" s="153" t="s">
        <v>254</v>
      </c>
      <c r="H615" s="151" t="str">
        <f>IF(G615="","",VLOOKUP($G615,'Quy chuẩn hạch toán'!$B:$E,2,0))</f>
        <v>3341</v>
      </c>
      <c r="I615" s="151" t="str">
        <f>IF(H615="","",VLOOKUP($G615,'Quy chuẩn hạch toán'!$B:$E,3,0))</f>
        <v>1111</v>
      </c>
      <c r="J615" s="154">
        <v>6.174774E7</v>
      </c>
      <c r="K615" s="60"/>
      <c r="L615" s="61"/>
      <c r="M615" s="62"/>
      <c r="N615" s="63"/>
      <c r="O615" s="64" t="str">
        <f>IF($Q615&lt;&gt;0,VLOOKUP($Q615,DM_KM,3,0),"")</f>
        <v/>
      </c>
      <c r="P615" s="64" t="str">
        <f>IF($Q615&lt;&gt;0,VLOOKUP($Q615,DM_KM,5,0),"")</f>
        <v/>
      </c>
      <c r="Q615" s="89"/>
      <c r="R615" s="64"/>
      <c r="S615" s="66"/>
      <c r="T615" s="64"/>
      <c r="U615" s="67"/>
      <c r="V615" s="64"/>
      <c r="W615" s="68"/>
      <c r="X615" s="64"/>
      <c r="Y615" s="69"/>
      <c r="Z615" s="64"/>
      <c r="AA615" s="70" t="s">
        <v>177</v>
      </c>
      <c r="AB615" s="64"/>
      <c r="AC615" s="85"/>
      <c r="AD615" s="64" t="str">
        <f>IF(AC615&lt;&gt;0,VLOOKUP(AC615,DM_NV,2,0),"")</f>
        <v/>
      </c>
      <c r="AE615" s="83" t="s">
        <v>256</v>
      </c>
      <c r="AF615" s="64" t="str">
        <f>IF(AE615&lt;&gt;0,VLOOKUP(AE615,DM_NV,2,0),"")</f>
        <v>#N/A</v>
      </c>
    </row>
    <row r="616">
      <c r="A616" s="51"/>
      <c r="B616" s="52"/>
      <c r="C616" s="53" t="str">
        <f t="shared" si="4"/>
        <v>04/2022</v>
      </c>
      <c r="D616" s="99">
        <v>44664.0</v>
      </c>
      <c r="E616" s="141" t="s">
        <v>672</v>
      </c>
      <c r="F616" s="146"/>
      <c r="G616" s="153" t="s">
        <v>254</v>
      </c>
      <c r="H616" s="151" t="str">
        <f>IF(G616="","",VLOOKUP($G616,'Quy chuẩn hạch toán'!$B:$E,2,0))</f>
        <v>3341</v>
      </c>
      <c r="I616" s="151" t="str">
        <f>IF(H616="","",VLOOKUP($G616,'Quy chuẩn hạch toán'!$B:$E,3,0))</f>
        <v>1111</v>
      </c>
      <c r="J616" s="154">
        <v>1.07346331E8</v>
      </c>
      <c r="K616" s="60"/>
      <c r="L616" s="61"/>
      <c r="M616" s="62"/>
      <c r="N616" s="63"/>
      <c r="O616" s="64" t="str">
        <f>IF($Q616&lt;&gt;0,VLOOKUP($Q616,DM_KM,3,0),"")</f>
        <v/>
      </c>
      <c r="P616" s="64" t="str">
        <f>IF($Q616&lt;&gt;0,VLOOKUP($Q616,DM_KM,5,0),"")</f>
        <v/>
      </c>
      <c r="Q616" s="89"/>
      <c r="R616" s="64"/>
      <c r="S616" s="66"/>
      <c r="T616" s="64"/>
      <c r="U616" s="67"/>
      <c r="V616" s="64"/>
      <c r="W616" s="68"/>
      <c r="X616" s="64"/>
      <c r="Y616" s="69"/>
      <c r="Z616" s="64"/>
      <c r="AA616" s="70" t="s">
        <v>183</v>
      </c>
      <c r="AB616" s="64"/>
      <c r="AC616" s="85"/>
      <c r="AD616" s="64" t="str">
        <f>IF(AC616&lt;&gt;0,VLOOKUP(AC616,DM_NV,2,0),"")</f>
        <v/>
      </c>
      <c r="AE616" s="83" t="s">
        <v>256</v>
      </c>
      <c r="AF616" s="64" t="str">
        <f>IF(AE616&lt;&gt;0,VLOOKUP(AE616,DM_NV,2,0),"")</f>
        <v>#N/A</v>
      </c>
    </row>
    <row r="617">
      <c r="A617" s="51"/>
      <c r="B617" s="52"/>
      <c r="C617" s="53" t="str">
        <f t="shared" si="4"/>
        <v>04/2022</v>
      </c>
      <c r="D617" s="99">
        <v>44664.0</v>
      </c>
      <c r="E617" s="141" t="s">
        <v>673</v>
      </c>
      <c r="F617" s="146"/>
      <c r="G617" s="153" t="s">
        <v>254</v>
      </c>
      <c r="H617" s="58" t="str">
        <f>IF(G617="","",VLOOKUP($G617,'Quy chuẩn hạch toán'!$B:$E,2,0))</f>
        <v>3341</v>
      </c>
      <c r="I617" s="58" t="str">
        <f>IF(H617="","",VLOOKUP($G617,'Quy chuẩn hạch toán'!$B:$E,3,0))</f>
        <v>1111</v>
      </c>
      <c r="J617" s="143">
        <v>5.1395888E7</v>
      </c>
      <c r="K617" s="60"/>
      <c r="L617" s="61"/>
      <c r="M617" s="62"/>
      <c r="N617" s="63"/>
      <c r="O617" s="64" t="str">
        <f>IF($Q617&lt;&gt;0,VLOOKUP($Q617,DM_KM,3,0),"")</f>
        <v/>
      </c>
      <c r="P617" s="64" t="str">
        <f>IF($Q617&lt;&gt;0,VLOOKUP($Q617,DM_KM,5,0),"")</f>
        <v/>
      </c>
      <c r="Q617" s="89"/>
      <c r="R617" s="64"/>
      <c r="S617" s="66"/>
      <c r="T617" s="64"/>
      <c r="U617" s="67"/>
      <c r="V617" s="64"/>
      <c r="W617" s="68"/>
      <c r="X617" s="64"/>
      <c r="Y617" s="69"/>
      <c r="Z617" s="64"/>
      <c r="AA617" s="70" t="s">
        <v>210</v>
      </c>
      <c r="AB617" s="64"/>
      <c r="AC617" s="85"/>
      <c r="AD617" s="64" t="str">
        <f>IF(AC617&lt;&gt;0,VLOOKUP(AC617,DM_NV,2,0),"")</f>
        <v/>
      </c>
      <c r="AE617" s="83" t="s">
        <v>256</v>
      </c>
      <c r="AF617" s="64" t="str">
        <f>IF(AE617&lt;&gt;0,VLOOKUP(AE617,DM_NV,2,0),"")</f>
        <v>#N/A</v>
      </c>
    </row>
    <row r="618">
      <c r="A618" s="51"/>
      <c r="B618" s="52"/>
      <c r="C618" s="53" t="str">
        <f t="shared" si="4"/>
        <v>04/2022</v>
      </c>
      <c r="D618" s="99">
        <v>44664.0</v>
      </c>
      <c r="E618" s="141" t="s">
        <v>674</v>
      </c>
      <c r="F618" s="146"/>
      <c r="G618" s="153" t="s">
        <v>254</v>
      </c>
      <c r="H618" s="58" t="str">
        <f>IF(G618="","",VLOOKUP($G618,'Quy chuẩn hạch toán'!$B:$E,2,0))</f>
        <v>3341</v>
      </c>
      <c r="I618" s="58" t="str">
        <f>IF(H618="","",VLOOKUP($G618,'Quy chuẩn hạch toán'!$B:$E,3,0))</f>
        <v>1111</v>
      </c>
      <c r="J618" s="143">
        <v>1.0983481E7</v>
      </c>
      <c r="K618" s="60"/>
      <c r="L618" s="61"/>
      <c r="M618" s="62"/>
      <c r="N618" s="63"/>
      <c r="O618" s="64" t="str">
        <f>IF($Q618&lt;&gt;0,VLOOKUP($Q618,DM_KM,3,0),"")</f>
        <v/>
      </c>
      <c r="P618" s="64" t="str">
        <f>IF($Q618&lt;&gt;0,VLOOKUP($Q618,DM_KM,5,0),"")</f>
        <v/>
      </c>
      <c r="Q618" s="89"/>
      <c r="R618" s="64"/>
      <c r="S618" s="66"/>
      <c r="T618" s="64"/>
      <c r="U618" s="67"/>
      <c r="V618" s="64"/>
      <c r="W618" s="68"/>
      <c r="X618" s="64"/>
      <c r="Y618" s="69"/>
      <c r="Z618" s="64"/>
      <c r="AA618" s="70" t="s">
        <v>514</v>
      </c>
      <c r="AB618" s="64"/>
      <c r="AC618" s="85"/>
      <c r="AD618" s="64" t="str">
        <f>IF(AC618&lt;&gt;0,VLOOKUP(AC618,DM_NV,2,0),"")</f>
        <v/>
      </c>
      <c r="AE618" s="83" t="s">
        <v>256</v>
      </c>
      <c r="AF618" s="64" t="str">
        <f>IF(AE618&lt;&gt;0,VLOOKUP(AE618,DM_NV,2,0),"")</f>
        <v>#N/A</v>
      </c>
    </row>
    <row r="619">
      <c r="A619" s="51"/>
      <c r="B619" s="52"/>
      <c r="C619" s="53" t="str">
        <f t="shared" si="4"/>
        <v/>
      </c>
      <c r="D619" s="99"/>
      <c r="E619" s="141"/>
      <c r="F619" s="142"/>
      <c r="G619" s="140"/>
      <c r="H619" s="58" t="str">
        <f>IF(G619="","",VLOOKUP($G619,'Quy chuẩn hạch toán'!$B:$E,2,0))</f>
        <v/>
      </c>
      <c r="I619" s="58" t="str">
        <f>IF(H619="","",VLOOKUP($G619,'Quy chuẩn hạch toán'!$B:$E,3,0))</f>
        <v/>
      </c>
      <c r="J619" s="101"/>
      <c r="K619" s="60"/>
      <c r="L619" s="61"/>
      <c r="M619" s="62"/>
      <c r="N619" s="63"/>
      <c r="O619" s="64" t="str">
        <f>IF($Q619&lt;&gt;0,VLOOKUP($Q619,DM_KM,3,0),"")</f>
        <v/>
      </c>
      <c r="P619" s="64" t="str">
        <f>IF($Q619&lt;&gt;0,VLOOKUP($Q619,DM_KM,5,0),"")</f>
        <v/>
      </c>
      <c r="Q619" s="89"/>
      <c r="R619" s="64" t="str">
        <f>IF(S619&lt;&gt;0,VLOOKUP(S619,DM_DUAN,3,0),"")</f>
        <v>#N/A</v>
      </c>
      <c r="S619" s="66" t="str">
        <f>IF(U619&lt;&gt;0,VLOOKUP(U619,DM_DUAN,3,0),"")</f>
        <v/>
      </c>
      <c r="T619" s="64"/>
      <c r="U619" s="67"/>
      <c r="V619" s="64" t="str">
        <f>IF(W619&lt;&gt;0,VLOOKUP(W619,DM_DUAN,3,0),"")</f>
        <v/>
      </c>
      <c r="W619" s="68"/>
      <c r="X619" s="64" t="str">
        <f>IF(Y619&lt;&gt;0,VLOOKUP(Y619,DM_DUAN,3,0),"")</f>
        <v/>
      </c>
      <c r="Y619" s="69"/>
      <c r="Z619" s="64" t="str">
        <f>IF(AA619&lt;&gt;0,VLOOKUP(AA619,DM_DUAN,3,0),"")</f>
        <v/>
      </c>
      <c r="AA619" s="70"/>
      <c r="AB619" s="64" t="str">
        <f>IF(AC619&lt;&gt;0,VLOOKUP(AC619,DM_DUAN,3,0),"")</f>
        <v/>
      </c>
      <c r="AC619" s="85"/>
      <c r="AD619" s="64" t="str">
        <f>IF(AC619&lt;&gt;0,VLOOKUP(AC619,DM_NV,2,0),"")</f>
        <v/>
      </c>
      <c r="AE619" s="68"/>
      <c r="AF619" s="64" t="str">
        <f>IF(AE619&lt;&gt;0,VLOOKUP(AE619,DM_NV,2,0),"")</f>
        <v/>
      </c>
    </row>
    <row r="620">
      <c r="A620" s="51"/>
      <c r="B620" s="52" t="str">
        <f>IF(D620="","",VLOOKUP(D620,'THAM CHIẾU'!$A:$B,2,0))</f>
        <v>#N/A</v>
      </c>
      <c r="C620" s="53" t="str">
        <f t="shared" si="4"/>
        <v>04/2022</v>
      </c>
      <c r="D620" s="99">
        <v>44664.0</v>
      </c>
      <c r="E620" s="79" t="s">
        <v>675</v>
      </c>
      <c r="F620" s="80"/>
      <c r="G620" s="140"/>
      <c r="H620" s="58" t="str">
        <f>IF(G620="","",VLOOKUP($G620,'Quy chuẩn hạch toán'!$B:$E,2,0))</f>
        <v/>
      </c>
      <c r="I620" s="58" t="str">
        <f>IF(H620="","",VLOOKUP($G620,'Quy chuẩn hạch toán'!$B:$E,3,0))</f>
        <v/>
      </c>
      <c r="J620" s="101">
        <v>6.5E7</v>
      </c>
      <c r="K620" s="60"/>
      <c r="L620" s="61"/>
      <c r="M620" s="62"/>
      <c r="N620" s="63"/>
      <c r="O620" s="64" t="str">
        <f>IF($Q620&lt;&gt;0,VLOOKUP($Q620,DM_KM,3,0),"")</f>
        <v/>
      </c>
      <c r="P620" s="64" t="str">
        <f>IF($Q620&lt;&gt;0,VLOOKUP($Q620,DM_KM,5,0),"")</f>
        <v/>
      </c>
      <c r="Q620" s="89"/>
      <c r="R620" s="64" t="str">
        <f>IF(S620&lt;&gt;0,VLOOKUP(S620,DM_DUAN,3,0),"")</f>
        <v>#N/A</v>
      </c>
      <c r="S620" s="66" t="str">
        <f>IF(U620&lt;&gt;0,VLOOKUP(U620,DM_DUAN,3,0),"")</f>
        <v>THANHNAM</v>
      </c>
      <c r="T620" s="64"/>
      <c r="U620" s="67" t="s">
        <v>530</v>
      </c>
      <c r="V620" s="64" t="str">
        <f>IF(W620&lt;&gt;0,VLOOKUP(W620,DM_DUAN,3,0),"")</f>
        <v>#N/A</v>
      </c>
      <c r="W620" s="83" t="s">
        <v>575</v>
      </c>
      <c r="X620" s="64" t="str">
        <f>IF(Y620&lt;&gt;0,VLOOKUP(Y620,DM_DUAN,3,0),"")</f>
        <v>#N/A</v>
      </c>
      <c r="Y620" s="69" t="s">
        <v>176</v>
      </c>
      <c r="Z620" s="64" t="str">
        <f>IF(AA620&lt;&gt;0,VLOOKUP(AA620,DM_DUAN,3,0),"")</f>
        <v>#N/A</v>
      </c>
      <c r="AA620" s="70" t="s">
        <v>210</v>
      </c>
      <c r="AB620" s="64" t="str">
        <f>IF(AC620&lt;&gt;0,VLOOKUP(AC620,DM_DUAN,3,0),"")</f>
        <v/>
      </c>
      <c r="AC620" s="85"/>
      <c r="AD620" s="64" t="str">
        <f>IF(AC620&lt;&gt;0,VLOOKUP(AC620,DM_NV,2,0),"")</f>
        <v/>
      </c>
      <c r="AE620" s="68"/>
      <c r="AF620" s="64" t="str">
        <f>IF(AE620&lt;&gt;0,VLOOKUP(AE620,DM_NV,2,0),"")</f>
        <v/>
      </c>
    </row>
    <row r="621">
      <c r="A621" s="51"/>
      <c r="B621" s="52" t="str">
        <f>IF(D621="","",VLOOKUP(D621,'THAM CHIẾU'!$A:$B,2,0))</f>
        <v>#N/A</v>
      </c>
      <c r="C621" s="53" t="str">
        <f t="shared" si="4"/>
        <v>04/2022</v>
      </c>
      <c r="D621" s="99">
        <v>44664.0</v>
      </c>
      <c r="E621" s="79" t="s">
        <v>676</v>
      </c>
      <c r="F621" s="80"/>
      <c r="G621" s="57" t="s">
        <v>275</v>
      </c>
      <c r="H621" s="58" t="str">
        <f>IF(G621="","",VLOOKUP($G621,'Quy chuẩn hạch toán'!$B:$E,2,0))</f>
        <v>3341</v>
      </c>
      <c r="I621" s="58" t="str">
        <f>IF(H621="","",VLOOKUP($G621,'Quy chuẩn hạch toán'!$B:$E,3,0))</f>
        <v>1111</v>
      </c>
      <c r="J621" s="59">
        <v>4.8E7</v>
      </c>
      <c r="K621" s="60"/>
      <c r="L621" s="61"/>
      <c r="M621" s="62"/>
      <c r="N621" s="63"/>
      <c r="O621" s="64" t="str">
        <f>IF($Q621&lt;&gt;0,VLOOKUP($Q621,DM_KM,3,0),"")</f>
        <v/>
      </c>
      <c r="P621" s="64" t="str">
        <f>IF($Q621&lt;&gt;0,VLOOKUP($Q621,DM_KM,5,0),"")</f>
        <v/>
      </c>
      <c r="Q621" s="65"/>
      <c r="R621" s="64" t="str">
        <f>IF(S621&lt;&gt;0,VLOOKUP(S621,DM_DUAN,3,0),"")</f>
        <v>#N/A</v>
      </c>
      <c r="S621" s="66" t="str">
        <f>IF(U621&lt;&gt;0,VLOOKUP(U621,DM_DUAN,3,0),"")</f>
        <v>THANHNAM</v>
      </c>
      <c r="T621" s="64"/>
      <c r="U621" s="67" t="s">
        <v>530</v>
      </c>
      <c r="V621" s="64" t="str">
        <f>IF(W621&lt;&gt;0,VLOOKUP(W621,DM_DUAN,3,0),"")</f>
        <v>#N/A</v>
      </c>
      <c r="W621" s="83" t="s">
        <v>575</v>
      </c>
      <c r="X621" s="64" t="str">
        <f>IF(Y621&lt;&gt;0,VLOOKUP(Y621,DM_DUAN,3,0),"")</f>
        <v>#N/A</v>
      </c>
      <c r="Y621" s="69" t="s">
        <v>176</v>
      </c>
      <c r="Z621" s="64" t="str">
        <f>IF(AA621&lt;&gt;0,VLOOKUP(AA621,DM_DUAN,3,0),"")</f>
        <v>#N/A</v>
      </c>
      <c r="AA621" s="70" t="s">
        <v>210</v>
      </c>
      <c r="AB621" s="64" t="str">
        <f>IF(AC621&lt;&gt;0,VLOOKUP(AC621,DM_DUAN,3,0),"")</f>
        <v>#N/A</v>
      </c>
      <c r="AC621" s="70" t="s">
        <v>436</v>
      </c>
      <c r="AD621" s="64" t="str">
        <f>IF(AC621&lt;&gt;0,VLOOKUP(AC621,DM_NV,2,0),"")</f>
        <v>Đinh Hoàng Nam</v>
      </c>
      <c r="AE621" s="83" t="s">
        <v>276</v>
      </c>
      <c r="AF621" s="64" t="str">
        <f>IF(AE621&lt;&gt;0,VLOOKUP(AE621,DM_NV,2,0),"")</f>
        <v>#N/A</v>
      </c>
    </row>
    <row r="622">
      <c r="A622" s="51"/>
      <c r="B622" s="52" t="str">
        <f>IF(D622="","",VLOOKUP(D622,'THAM CHIẾU'!$A:$B,2,0))</f>
        <v>#N/A</v>
      </c>
      <c r="C622" s="53" t="str">
        <f t="shared" si="4"/>
        <v>04/2022</v>
      </c>
      <c r="D622" s="99">
        <v>44664.0</v>
      </c>
      <c r="E622" s="79" t="s">
        <v>677</v>
      </c>
      <c r="F622" s="80"/>
      <c r="G622" s="100" t="s">
        <v>278</v>
      </c>
      <c r="H622" s="58" t="str">
        <f>IF(G622="","",VLOOKUP($G622,'Quy chuẩn hạch toán'!$B:$E,2,0))</f>
        <v>154</v>
      </c>
      <c r="I622" s="58" t="str">
        <f>IF(H622="","",VLOOKUP($G622,'Quy chuẩn hạch toán'!$B:$E,3,0))</f>
        <v>1111</v>
      </c>
      <c r="J622" s="101">
        <v>1000000.0</v>
      </c>
      <c r="K622" s="60"/>
      <c r="L622" s="61"/>
      <c r="M622" s="62"/>
      <c r="N622" s="63"/>
      <c r="O622" s="64" t="str">
        <f>IF($Q622&lt;&gt;0,VLOOKUP($Q622,DM_KM,3,0),"")</f>
        <v/>
      </c>
      <c r="P622" s="64" t="str">
        <f>IF($Q622&lt;&gt;0,VLOOKUP($Q622,DM_KM,5,0),"")</f>
        <v/>
      </c>
      <c r="Q622" s="89"/>
      <c r="R622" s="64"/>
      <c r="S622" s="66"/>
      <c r="T622" s="64"/>
      <c r="U622" s="67" t="s">
        <v>530</v>
      </c>
      <c r="V622" s="64"/>
      <c r="W622" s="83" t="s">
        <v>575</v>
      </c>
      <c r="X622" s="64"/>
      <c r="Y622" s="69" t="s">
        <v>176</v>
      </c>
      <c r="Z622" s="64"/>
      <c r="AA622" s="70" t="s">
        <v>210</v>
      </c>
      <c r="AB622" s="64"/>
      <c r="AC622" s="85"/>
      <c r="AD622" s="64" t="str">
        <f>IF(AC622&lt;&gt;0,VLOOKUP(AC622,DM_NV,2,0),"")</f>
        <v/>
      </c>
      <c r="AE622" s="83" t="s">
        <v>263</v>
      </c>
      <c r="AF622" s="64" t="str">
        <f>IF(AE622&lt;&gt;0,VLOOKUP(AE622,DM_NV,2,0),"")</f>
        <v>#N/A</v>
      </c>
    </row>
    <row r="623">
      <c r="A623" s="51"/>
      <c r="B623" s="52" t="str">
        <f>IF(D623="","",VLOOKUP(D623,'THAM CHIẾU'!$A:$B,2,0))</f>
        <v>#N/A</v>
      </c>
      <c r="C623" s="53" t="str">
        <f t="shared" si="4"/>
        <v>04/2022</v>
      </c>
      <c r="D623" s="99">
        <v>44664.0</v>
      </c>
      <c r="E623" s="141" t="s">
        <v>678</v>
      </c>
      <c r="F623" s="142"/>
      <c r="G623" s="57" t="s">
        <v>275</v>
      </c>
      <c r="H623" s="58" t="str">
        <f>IF(G623="","",VLOOKUP($G623,'Quy chuẩn hạch toán'!$B:$E,2,0))</f>
        <v>3341</v>
      </c>
      <c r="I623" s="58" t="str">
        <f>IF(H623="","",VLOOKUP($G623,'Quy chuẩn hạch toán'!$B:$E,3,0))</f>
        <v>1111</v>
      </c>
      <c r="J623" s="59">
        <v>1.2E7</v>
      </c>
      <c r="K623" s="60"/>
      <c r="L623" s="61"/>
      <c r="M623" s="62"/>
      <c r="N623" s="63"/>
      <c r="O623" s="64" t="str">
        <f>IF($Q623&lt;&gt;0,VLOOKUP($Q623,DM_KM,3,0),"")</f>
        <v/>
      </c>
      <c r="P623" s="64" t="str">
        <f>IF($Q623&lt;&gt;0,VLOOKUP($Q623,DM_KM,5,0),"")</f>
        <v/>
      </c>
      <c r="Q623" s="89"/>
      <c r="R623" s="64" t="str">
        <f>IF(S623&lt;&gt;0,VLOOKUP(S623,DM_DUAN,3,0),"")</f>
        <v>#N/A</v>
      </c>
      <c r="S623" s="66" t="str">
        <f>IF(U623&lt;&gt;0,VLOOKUP(U623,DM_DUAN,3,0),"")</f>
        <v>THANHNAM</v>
      </c>
      <c r="T623" s="64"/>
      <c r="U623" s="67" t="s">
        <v>530</v>
      </c>
      <c r="V623" s="64" t="str">
        <f>IF(W623&lt;&gt;0,VLOOKUP(W623,DM_DUAN,3,0),"")</f>
        <v>#N/A</v>
      </c>
      <c r="W623" s="83" t="s">
        <v>575</v>
      </c>
      <c r="X623" s="64" t="str">
        <f>IF(Y623&lt;&gt;0,VLOOKUP(Y623,DM_DUAN,3,0),"")</f>
        <v>#N/A</v>
      </c>
      <c r="Y623" s="69" t="s">
        <v>176</v>
      </c>
      <c r="Z623" s="64" t="str">
        <f>IF(AA623&lt;&gt;0,VLOOKUP(AA623,DM_DUAN,3,0),"")</f>
        <v>#N/A</v>
      </c>
      <c r="AA623" s="70" t="s">
        <v>210</v>
      </c>
      <c r="AB623" s="64" t="str">
        <f>IF(AC623&lt;&gt;0,VLOOKUP(AC623,DM_DUAN,3,0),"")</f>
        <v>#N/A</v>
      </c>
      <c r="AC623" s="70" t="s">
        <v>436</v>
      </c>
      <c r="AD623" s="64" t="str">
        <f>IF(AC623&lt;&gt;0,VLOOKUP(AC623,DM_NV,2,0),"")</f>
        <v>Đinh Hoàng Nam</v>
      </c>
      <c r="AE623" s="83" t="s">
        <v>276</v>
      </c>
      <c r="AF623" s="64" t="str">
        <f>IF(AE623&lt;&gt;0,VLOOKUP(AE623,DM_NV,2,0),"")</f>
        <v>#N/A</v>
      </c>
    </row>
    <row r="624">
      <c r="A624" s="51"/>
      <c r="B624" s="52" t="str">
        <f>IF(D624="","",VLOOKUP(D624,'THAM CHIẾU'!$A:$B,2,0))</f>
        <v>#N/A</v>
      </c>
      <c r="C624" s="53" t="str">
        <f t="shared" si="4"/>
        <v>04/2022</v>
      </c>
      <c r="D624" s="99">
        <v>44664.0</v>
      </c>
      <c r="E624" s="141" t="s">
        <v>679</v>
      </c>
      <c r="F624" s="142"/>
      <c r="G624" s="57" t="s">
        <v>282</v>
      </c>
      <c r="H624" s="58" t="str">
        <f>IF(G624="","",VLOOKUP($G624,'Quy chuẩn hạch toán'!$B:$E,2,0))</f>
        <v>1111</v>
      </c>
      <c r="I624" s="58" t="str">
        <f>IF(H624="","",VLOOKUP($G624,'Quy chuẩn hạch toán'!$B:$E,3,0))</f>
        <v>131</v>
      </c>
      <c r="J624" s="59">
        <v>1.71E8</v>
      </c>
      <c r="K624" s="60"/>
      <c r="L624" s="61"/>
      <c r="M624" s="62"/>
      <c r="N624" s="63"/>
      <c r="O624" s="64" t="str">
        <f>IF($Q624&lt;&gt;0,VLOOKUP($Q624,DM_KM,3,0),"")</f>
        <v/>
      </c>
      <c r="P624" s="64" t="str">
        <f>IF($Q624&lt;&gt;0,VLOOKUP($Q624,DM_KM,5,0),"")</f>
        <v/>
      </c>
      <c r="Q624" s="65"/>
      <c r="R624" s="64" t="str">
        <f>IF(S624&lt;&gt;0,VLOOKUP(S624,DM_DUAN,3,0),"")</f>
        <v>#N/A</v>
      </c>
      <c r="S624" s="66" t="str">
        <f>IF(U624&lt;&gt;0,VLOOKUP(U624,DM_DUAN,3,0),"")</f>
        <v>THANHNAM</v>
      </c>
      <c r="T624" s="64"/>
      <c r="U624" s="67" t="s">
        <v>530</v>
      </c>
      <c r="V624" s="64" t="str">
        <f>IF(W624&lt;&gt;0,VLOOKUP(W624,DM_DUAN,3,0),"")</f>
        <v>#N/A</v>
      </c>
      <c r="W624" s="83" t="s">
        <v>575</v>
      </c>
      <c r="X624" s="64" t="str">
        <f>IF(Y624&lt;&gt;0,VLOOKUP(Y624,DM_DUAN,3,0),"")</f>
        <v>#N/A</v>
      </c>
      <c r="Y624" s="69" t="s">
        <v>176</v>
      </c>
      <c r="Z624" s="64" t="str">
        <f>IF(AA624&lt;&gt;0,VLOOKUP(AA624,DM_DUAN,3,0),"")</f>
        <v>#N/A</v>
      </c>
      <c r="AA624" s="70" t="s">
        <v>210</v>
      </c>
      <c r="AB624" s="64" t="str">
        <f>IF(AC624&lt;&gt;0,VLOOKUP(AC624,DM_DUAN,3,0),"")</f>
        <v/>
      </c>
      <c r="AC624" s="85"/>
      <c r="AD624" s="64" t="str">
        <f>IF(AC624&lt;&gt;0,VLOOKUP(AC624,DM_NV,2,0),"")</f>
        <v/>
      </c>
      <c r="AE624" s="83" t="s">
        <v>283</v>
      </c>
      <c r="AF624" s="64" t="str">
        <f>IF(AE624&lt;&gt;0,VLOOKUP(AE624,DM_NV,2,0),"")</f>
        <v>#N/A</v>
      </c>
    </row>
    <row r="625">
      <c r="A625" s="51"/>
      <c r="B625" s="52" t="str">
        <f>IF(D625="","",VLOOKUP(D625,'THAM CHIẾU'!$A:$B,2,0))</f>
        <v>#N/A</v>
      </c>
      <c r="C625" s="53" t="str">
        <f t="shared" si="4"/>
        <v>04/2022</v>
      </c>
      <c r="D625" s="99">
        <v>44664.0</v>
      </c>
      <c r="E625" s="141" t="s">
        <v>680</v>
      </c>
      <c r="F625" s="142"/>
      <c r="G625" s="140"/>
      <c r="H625" s="58" t="str">
        <f>IF(G625="","",VLOOKUP($G625,'Quy chuẩn hạch toán'!$B:$E,2,0))</f>
        <v/>
      </c>
      <c r="I625" s="58" t="str">
        <f>IF(H625="","",VLOOKUP($G625,'Quy chuẩn hạch toán'!$B:$E,3,0))</f>
        <v/>
      </c>
      <c r="J625" s="101">
        <v>6.5E7</v>
      </c>
      <c r="K625" s="60"/>
      <c r="L625" s="61"/>
      <c r="M625" s="62"/>
      <c r="N625" s="63"/>
      <c r="O625" s="64" t="str">
        <f>IF($Q625&lt;&gt;0,VLOOKUP($Q625,DM_KM,3,0),"")</f>
        <v/>
      </c>
      <c r="P625" s="64" t="str">
        <f>IF($Q625&lt;&gt;0,VLOOKUP($Q625,DM_KM,5,0),"")</f>
        <v/>
      </c>
      <c r="Q625" s="89"/>
      <c r="R625" s="64"/>
      <c r="S625" s="66"/>
      <c r="T625" s="64"/>
      <c r="U625" s="67" t="s">
        <v>530</v>
      </c>
      <c r="V625" s="64"/>
      <c r="W625" s="83" t="s">
        <v>585</v>
      </c>
      <c r="X625" s="64"/>
      <c r="Y625" s="69" t="s">
        <v>176</v>
      </c>
      <c r="Z625" s="64"/>
      <c r="AA625" s="70" t="s">
        <v>210</v>
      </c>
      <c r="AB625" s="64"/>
      <c r="AC625" s="85"/>
      <c r="AD625" s="64"/>
      <c r="AE625" s="68"/>
      <c r="AF625" s="64"/>
    </row>
    <row r="626">
      <c r="A626" s="51"/>
      <c r="B626" s="52" t="str">
        <f>IF(D626="","",VLOOKUP(D626,'THAM CHIẾU'!$A:$B,2,0))</f>
        <v>#N/A</v>
      </c>
      <c r="C626" s="53" t="str">
        <f t="shared" si="4"/>
        <v>04/2022</v>
      </c>
      <c r="D626" s="99">
        <v>44664.0</v>
      </c>
      <c r="E626" s="141" t="s">
        <v>681</v>
      </c>
      <c r="F626" s="142"/>
      <c r="G626" s="57" t="s">
        <v>275</v>
      </c>
      <c r="H626" s="58" t="str">
        <f>IF(G626="","",VLOOKUP($G626,'Quy chuẩn hạch toán'!$B:$E,2,0))</f>
        <v>3341</v>
      </c>
      <c r="I626" s="58" t="str">
        <f>IF(H626="","",VLOOKUP($G626,'Quy chuẩn hạch toán'!$B:$E,3,0))</f>
        <v>1111</v>
      </c>
      <c r="J626" s="59">
        <v>4.8E7</v>
      </c>
      <c r="K626" s="60"/>
      <c r="L626" s="61"/>
      <c r="M626" s="62"/>
      <c r="N626" s="63"/>
      <c r="O626" s="64" t="str">
        <f>IF($Q626&lt;&gt;0,VLOOKUP($Q626,DM_KM,3,0),"")</f>
        <v/>
      </c>
      <c r="P626" s="64" t="str">
        <f>IF($Q626&lt;&gt;0,VLOOKUP($Q626,DM_KM,5,0),"")</f>
        <v/>
      </c>
      <c r="Q626" s="65"/>
      <c r="R626" s="64" t="str">
        <f>IF(S626&lt;&gt;0,VLOOKUP(S626,DM_DUAN,3,0),"")</f>
        <v>#N/A</v>
      </c>
      <c r="S626" s="66" t="str">
        <f>IF(U626&lt;&gt;0,VLOOKUP(U626,DM_DUAN,3,0),"")</f>
        <v>THANHNAM</v>
      </c>
      <c r="T626" s="64"/>
      <c r="U626" s="67" t="s">
        <v>530</v>
      </c>
      <c r="V626" s="64" t="str">
        <f>IF(W626&lt;&gt;0,VLOOKUP(W626,DM_DUAN,3,0),"")</f>
        <v>#N/A</v>
      </c>
      <c r="W626" s="83" t="s">
        <v>585</v>
      </c>
      <c r="X626" s="64" t="str">
        <f>IF(Y626&lt;&gt;0,VLOOKUP(Y626,DM_DUAN,3,0),"")</f>
        <v>#N/A</v>
      </c>
      <c r="Y626" s="69" t="s">
        <v>176</v>
      </c>
      <c r="Z626" s="64" t="str">
        <f>IF(AA626&lt;&gt;0,VLOOKUP(AA626,DM_DUAN,3,0),"")</f>
        <v>#N/A</v>
      </c>
      <c r="AA626" s="70" t="s">
        <v>210</v>
      </c>
      <c r="AB626" s="64" t="str">
        <f>IF(AC626&lt;&gt;0,VLOOKUP(AC626,DM_DUAN,3,0),"")</f>
        <v>#N/A</v>
      </c>
      <c r="AC626" s="70" t="s">
        <v>436</v>
      </c>
      <c r="AD626" s="64" t="str">
        <f>IF(AC626&lt;&gt;0,VLOOKUP(AC626,DM_NV,2,0),"")</f>
        <v>Đinh Hoàng Nam</v>
      </c>
      <c r="AE626" s="83" t="s">
        <v>276</v>
      </c>
      <c r="AF626" s="64" t="str">
        <f>IF(AE626&lt;&gt;0,VLOOKUP(AE626,DM_NV,2,0),"")</f>
        <v>#N/A</v>
      </c>
    </row>
    <row r="627">
      <c r="A627" s="51"/>
      <c r="B627" s="52" t="str">
        <f>IF(D627="","",VLOOKUP(D627,'THAM CHIẾU'!$A:$B,2,0))</f>
        <v>#N/A</v>
      </c>
      <c r="C627" s="53" t="str">
        <f t="shared" si="4"/>
        <v>04/2022</v>
      </c>
      <c r="D627" s="99">
        <v>44664.0</v>
      </c>
      <c r="E627" s="79" t="s">
        <v>682</v>
      </c>
      <c r="F627" s="80"/>
      <c r="G627" s="57" t="s">
        <v>275</v>
      </c>
      <c r="H627" s="58" t="str">
        <f>IF(G627="","",VLOOKUP($G627,'Quy chuẩn hạch toán'!$B:$E,2,0))</f>
        <v>3341</v>
      </c>
      <c r="I627" s="58" t="str">
        <f>IF(H627="","",VLOOKUP($G627,'Quy chuẩn hạch toán'!$B:$E,3,0))</f>
        <v>1111</v>
      </c>
      <c r="J627" s="59">
        <v>1.2E7</v>
      </c>
      <c r="K627" s="60"/>
      <c r="L627" s="61"/>
      <c r="M627" s="62"/>
      <c r="N627" s="63"/>
      <c r="O627" s="64" t="str">
        <f>IF($Q627&lt;&gt;0,VLOOKUP($Q627,DM_KM,3,0),"")</f>
        <v/>
      </c>
      <c r="P627" s="64" t="str">
        <f>IF($Q627&lt;&gt;0,VLOOKUP($Q627,DM_KM,5,0),"")</f>
        <v/>
      </c>
      <c r="Q627" s="89"/>
      <c r="R627" s="64" t="str">
        <f>IF(S627&lt;&gt;0,VLOOKUP(S627,DM_DUAN,3,0),"")</f>
        <v>#N/A</v>
      </c>
      <c r="S627" s="66" t="str">
        <f>IF(U627&lt;&gt;0,VLOOKUP(U627,DM_DUAN,3,0),"")</f>
        <v>THANHNAM</v>
      </c>
      <c r="T627" s="64"/>
      <c r="U627" s="67" t="s">
        <v>530</v>
      </c>
      <c r="V627" s="64" t="str">
        <f>IF(W627&lt;&gt;0,VLOOKUP(W627,DM_DUAN,3,0),"")</f>
        <v>#N/A</v>
      </c>
      <c r="W627" s="83" t="s">
        <v>585</v>
      </c>
      <c r="X627" s="64" t="str">
        <f>IF(Y627&lt;&gt;0,VLOOKUP(Y627,DM_DUAN,3,0),"")</f>
        <v>#N/A</v>
      </c>
      <c r="Y627" s="69" t="s">
        <v>176</v>
      </c>
      <c r="Z627" s="64" t="str">
        <f>IF(AA627&lt;&gt;0,VLOOKUP(AA627,DM_DUAN,3,0),"")</f>
        <v>#N/A</v>
      </c>
      <c r="AA627" s="70" t="s">
        <v>210</v>
      </c>
      <c r="AB627" s="64" t="str">
        <f>IF(AC627&lt;&gt;0,VLOOKUP(AC627,DM_DUAN,3,0),"")</f>
        <v>#N/A</v>
      </c>
      <c r="AC627" s="70" t="s">
        <v>436</v>
      </c>
      <c r="AD627" s="64" t="str">
        <f>IF(AC627&lt;&gt;0,VLOOKUP(AC627,DM_NV,2,0),"")</f>
        <v>Đinh Hoàng Nam</v>
      </c>
      <c r="AE627" s="83" t="s">
        <v>613</v>
      </c>
      <c r="AF627" s="64" t="str">
        <f>IF(AE627&lt;&gt;0,VLOOKUP(AE627,DM_NV,2,0),"")</f>
        <v>#N/A</v>
      </c>
    </row>
    <row r="628">
      <c r="A628" s="51"/>
      <c r="B628" s="52" t="str">
        <f>IF(D628="","",VLOOKUP(D628,'THAM CHIẾU'!$A:$B,2,0))</f>
        <v>#N/A</v>
      </c>
      <c r="C628" s="53" t="str">
        <f t="shared" si="4"/>
        <v>04/2022</v>
      </c>
      <c r="D628" s="99">
        <v>44664.0</v>
      </c>
      <c r="E628" s="141" t="s">
        <v>683</v>
      </c>
      <c r="F628" s="142"/>
      <c r="G628" s="57" t="s">
        <v>282</v>
      </c>
      <c r="H628" s="58" t="str">
        <f>IF(G628="","",VLOOKUP($G628,'Quy chuẩn hạch toán'!$B:$E,2,0))</f>
        <v>1111</v>
      </c>
      <c r="I628" s="58" t="str">
        <f>IF(H628="","",VLOOKUP($G628,'Quy chuẩn hạch toán'!$B:$E,3,0))</f>
        <v>131</v>
      </c>
      <c r="J628" s="59">
        <v>1.71E8</v>
      </c>
      <c r="K628" s="60"/>
      <c r="L628" s="61"/>
      <c r="M628" s="62"/>
      <c r="N628" s="63"/>
      <c r="O628" s="64" t="str">
        <f>IF($Q628&lt;&gt;0,VLOOKUP($Q628,DM_KM,3,0),"")</f>
        <v/>
      </c>
      <c r="P628" s="64" t="str">
        <f>IF($Q628&lt;&gt;0,VLOOKUP($Q628,DM_KM,5,0),"")</f>
        <v/>
      </c>
      <c r="Q628" s="65"/>
      <c r="R628" s="64" t="str">
        <f>IF(S628&lt;&gt;0,VLOOKUP(S628,DM_DUAN,3,0),"")</f>
        <v>#N/A</v>
      </c>
      <c r="S628" s="66" t="str">
        <f>IF(U628&lt;&gt;0,VLOOKUP(U628,DM_DUAN,3,0),"")</f>
        <v>THANHNAM</v>
      </c>
      <c r="T628" s="64"/>
      <c r="U628" s="67" t="s">
        <v>530</v>
      </c>
      <c r="V628" s="64" t="str">
        <f>IF(W628&lt;&gt;0,VLOOKUP(W628,DM_DUAN,3,0),"")</f>
        <v>#N/A</v>
      </c>
      <c r="W628" s="83" t="s">
        <v>585</v>
      </c>
      <c r="X628" s="64" t="str">
        <f>IF(Y628&lt;&gt;0,VLOOKUP(Y628,DM_DUAN,3,0),"")</f>
        <v>#N/A</v>
      </c>
      <c r="Y628" s="69" t="s">
        <v>176</v>
      </c>
      <c r="Z628" s="64" t="str">
        <f>IF(AA628&lt;&gt;0,VLOOKUP(AA628,DM_DUAN,3,0),"")</f>
        <v>#N/A</v>
      </c>
      <c r="AA628" s="70" t="s">
        <v>210</v>
      </c>
      <c r="AB628" s="64" t="str">
        <f>IF(AC628&lt;&gt;0,VLOOKUP(AC628,DM_DUAN,3,0),"")</f>
        <v/>
      </c>
      <c r="AC628" s="85"/>
      <c r="AD628" s="64" t="str">
        <f>IF(AC628&lt;&gt;0,VLOOKUP(AC628,DM_NV,2,0),"")</f>
        <v/>
      </c>
      <c r="AE628" s="83" t="s">
        <v>283</v>
      </c>
      <c r="AF628" s="64" t="str">
        <f>IF(AE628&lt;&gt;0,VLOOKUP(AE628,DM_NV,2,0),"")</f>
        <v>#N/A</v>
      </c>
    </row>
    <row r="629">
      <c r="A629" s="51"/>
      <c r="B629" s="52" t="str">
        <f>IF(D629="","",VLOOKUP(D629,'THAM CHIẾU'!$A:$B,2,0))</f>
        <v>#N/A</v>
      </c>
      <c r="C629" s="53" t="str">
        <f t="shared" si="4"/>
        <v>04/2022</v>
      </c>
      <c r="D629" s="99">
        <v>44664.0</v>
      </c>
      <c r="E629" s="141" t="s">
        <v>684</v>
      </c>
      <c r="F629" s="142"/>
      <c r="G629" s="57" t="s">
        <v>275</v>
      </c>
      <c r="H629" s="58" t="str">
        <f>IF(G629="","",VLOOKUP($G629,'Quy chuẩn hạch toán'!$B:$E,2,0))</f>
        <v>3341</v>
      </c>
      <c r="I629" s="58" t="str">
        <f>IF(H629="","",VLOOKUP($G629,'Quy chuẩn hạch toán'!$B:$E,3,0))</f>
        <v>1111</v>
      </c>
      <c r="J629" s="59">
        <v>4.8E7</v>
      </c>
      <c r="K629" s="60"/>
      <c r="L629" s="61"/>
      <c r="M629" s="62"/>
      <c r="N629" s="63"/>
      <c r="O629" s="64" t="str">
        <f>IF($Q629&lt;&gt;0,VLOOKUP($Q629,DM_KM,3,0),"")</f>
        <v/>
      </c>
      <c r="P629" s="64" t="str">
        <f>IF($Q629&lt;&gt;0,VLOOKUP($Q629,DM_KM,5,0),"")</f>
        <v/>
      </c>
      <c r="Q629" s="65"/>
      <c r="R629" s="64" t="str">
        <f>IF(S629&lt;&gt;0,VLOOKUP(S629,DM_DUAN,3,0),"")</f>
        <v>#N/A</v>
      </c>
      <c r="S629" s="66" t="str">
        <f>IF(U629&lt;&gt;0,VLOOKUP(U629,DM_DUAN,3,0),"")</f>
        <v>THANHNAM</v>
      </c>
      <c r="T629" s="64"/>
      <c r="U629" s="67" t="s">
        <v>530</v>
      </c>
      <c r="V629" s="64" t="str">
        <f>IF(W629&lt;&gt;0,VLOOKUP(W629,DM_DUAN,3,0),"")</f>
        <v>#N/A</v>
      </c>
      <c r="W629" s="83" t="s">
        <v>599</v>
      </c>
      <c r="X629" s="64" t="str">
        <f>IF(Y629&lt;&gt;0,VLOOKUP(Y629,DM_DUAN,3,0),"")</f>
        <v>#N/A</v>
      </c>
      <c r="Y629" s="69" t="s">
        <v>176</v>
      </c>
      <c r="Z629" s="64" t="str">
        <f>IF(AA629&lt;&gt;0,VLOOKUP(AA629,DM_DUAN,3,0),"")</f>
        <v>#N/A</v>
      </c>
      <c r="AA629" s="70" t="s">
        <v>177</v>
      </c>
      <c r="AB629" s="64" t="str">
        <f>IF(AC629&lt;&gt;0,VLOOKUP(AC629,DM_DUAN,3,0),"")</f>
        <v>#N/A</v>
      </c>
      <c r="AC629" s="70" t="s">
        <v>600</v>
      </c>
      <c r="AD629" s="64" t="str">
        <f>IF(AC629&lt;&gt;0,VLOOKUP(AC629,DM_NV,2,0),"")</f>
        <v>Nguyễn Quốc Việt</v>
      </c>
      <c r="AE629" s="83" t="s">
        <v>276</v>
      </c>
      <c r="AF629" s="64" t="str">
        <f>IF(AE629&lt;&gt;0,VLOOKUP(AE629,DM_NV,2,0),"")</f>
        <v>#N/A</v>
      </c>
    </row>
    <row r="630">
      <c r="A630" s="51"/>
      <c r="B630" s="52" t="str">
        <f>IF(D630="","",VLOOKUP(D630,'THAM CHIẾU'!$A:$B,2,0))</f>
        <v>#N/A</v>
      </c>
      <c r="C630" s="53" t="str">
        <f t="shared" si="4"/>
        <v>04/2022</v>
      </c>
      <c r="D630" s="99">
        <v>44664.0</v>
      </c>
      <c r="E630" s="141" t="s">
        <v>685</v>
      </c>
      <c r="F630" s="142"/>
      <c r="G630" s="100" t="s">
        <v>278</v>
      </c>
      <c r="H630" s="58" t="str">
        <f>IF(G630="","",VLOOKUP($G630,'Quy chuẩn hạch toán'!$B:$E,2,0))</f>
        <v>154</v>
      </c>
      <c r="I630" s="58" t="str">
        <f>IF(H630="","",VLOOKUP($G630,'Quy chuẩn hạch toán'!$B:$E,3,0))</f>
        <v>1111</v>
      </c>
      <c r="J630" s="59">
        <v>1000000.0</v>
      </c>
      <c r="K630" s="60"/>
      <c r="L630" s="61"/>
      <c r="M630" s="62"/>
      <c r="N630" s="63"/>
      <c r="O630" s="64"/>
      <c r="P630" s="64"/>
      <c r="Q630" s="89"/>
      <c r="R630" s="64"/>
      <c r="S630" s="66"/>
      <c r="T630" s="64"/>
      <c r="U630" s="67" t="s">
        <v>530</v>
      </c>
      <c r="V630" s="64"/>
      <c r="W630" s="83" t="s">
        <v>599</v>
      </c>
      <c r="X630" s="64"/>
      <c r="Y630" s="69" t="s">
        <v>176</v>
      </c>
      <c r="Z630" s="64"/>
      <c r="AA630" s="70" t="s">
        <v>177</v>
      </c>
      <c r="AB630" s="64"/>
      <c r="AC630" s="85"/>
      <c r="AD630" s="64"/>
      <c r="AE630" s="83" t="s">
        <v>263</v>
      </c>
      <c r="AF630" s="64"/>
    </row>
    <row r="631">
      <c r="A631" s="51"/>
      <c r="B631" s="52" t="str">
        <f>IF(D631="","",VLOOKUP(D631,'THAM CHIẾU'!$A:$B,2,0))</f>
        <v>#N/A</v>
      </c>
      <c r="C631" s="53" t="str">
        <f t="shared" si="4"/>
        <v>04/2022</v>
      </c>
      <c r="D631" s="99">
        <v>44664.0</v>
      </c>
      <c r="E631" s="79" t="s">
        <v>686</v>
      </c>
      <c r="F631" s="80"/>
      <c r="G631" s="57" t="s">
        <v>275</v>
      </c>
      <c r="H631" s="58" t="str">
        <f>IF(G631="","",VLOOKUP($G631,'Quy chuẩn hạch toán'!$B:$E,2,0))</f>
        <v>3341</v>
      </c>
      <c r="I631" s="58" t="str">
        <f>IF(H631="","",VLOOKUP($G631,'Quy chuẩn hạch toán'!$B:$E,3,0))</f>
        <v>1111</v>
      </c>
      <c r="J631" s="59">
        <v>1.7E7</v>
      </c>
      <c r="K631" s="60"/>
      <c r="L631" s="61"/>
      <c r="M631" s="62"/>
      <c r="N631" s="63"/>
      <c r="O631" s="64" t="str">
        <f>IF($Q631&lt;&gt;0,VLOOKUP($Q631,DM_KM,3,0),"")</f>
        <v/>
      </c>
      <c r="P631" s="64" t="str">
        <f>IF($Q631&lt;&gt;0,VLOOKUP($Q631,DM_KM,5,0),"")</f>
        <v/>
      </c>
      <c r="Q631" s="89"/>
      <c r="R631" s="64" t="str">
        <f>IF(S631&lt;&gt;0,VLOOKUP(S631,DM_DUAN,3,0),"")</f>
        <v>#N/A</v>
      </c>
      <c r="S631" s="66" t="str">
        <f>IF(U631&lt;&gt;0,VLOOKUP(U631,DM_DUAN,3,0),"")</f>
        <v>THANHNAM</v>
      </c>
      <c r="T631" s="64"/>
      <c r="U631" s="67" t="s">
        <v>530</v>
      </c>
      <c r="V631" s="64" t="str">
        <f>IF(W631&lt;&gt;0,VLOOKUP(W631,DM_DUAN,3,0),"")</f>
        <v>#N/A</v>
      </c>
      <c r="W631" s="83" t="s">
        <v>599</v>
      </c>
      <c r="X631" s="64" t="str">
        <f>IF(Y631&lt;&gt;0,VLOOKUP(Y631,DM_DUAN,3,0),"")</f>
        <v>#N/A</v>
      </c>
      <c r="Y631" s="69" t="s">
        <v>176</v>
      </c>
      <c r="Z631" s="64" t="str">
        <f>IF(AA631&lt;&gt;0,VLOOKUP(AA631,DM_DUAN,3,0),"")</f>
        <v>#N/A</v>
      </c>
      <c r="AA631" s="70" t="s">
        <v>177</v>
      </c>
      <c r="AB631" s="64" t="str">
        <f>IF(AC631&lt;&gt;0,VLOOKUP(AC631,DM_DUAN,3,0),"")</f>
        <v>#N/A</v>
      </c>
      <c r="AC631" s="70" t="s">
        <v>600</v>
      </c>
      <c r="AD631" s="64" t="str">
        <f>IF(AC631&lt;&gt;0,VLOOKUP(AC631,DM_NV,2,0),"")</f>
        <v>Nguyễn Quốc Việt</v>
      </c>
      <c r="AE631" s="83" t="s">
        <v>613</v>
      </c>
      <c r="AF631" s="64" t="str">
        <f>IF(AE631&lt;&gt;0,VLOOKUP(AE631,DM_NV,2,0),"")</f>
        <v>#N/A</v>
      </c>
    </row>
    <row r="632">
      <c r="A632" s="51"/>
      <c r="B632" s="52" t="str">
        <f>IF(D632="","",VLOOKUP(D632,'THAM CHIẾU'!$A:$B,2,0))</f>
        <v>#N/A</v>
      </c>
      <c r="C632" s="53" t="str">
        <f t="shared" si="4"/>
        <v>04/2022</v>
      </c>
      <c r="D632" s="99">
        <v>44664.0</v>
      </c>
      <c r="E632" s="79" t="s">
        <v>687</v>
      </c>
      <c r="F632" s="80"/>
      <c r="G632" s="57" t="s">
        <v>282</v>
      </c>
      <c r="H632" s="58" t="str">
        <f>IF(G632="","",VLOOKUP($G632,'Quy chuẩn hạch toán'!$B:$E,2,0))</f>
        <v>1111</v>
      </c>
      <c r="I632" s="58" t="str">
        <f>IF(H632="","",VLOOKUP($G632,'Quy chuẩn hạch toán'!$B:$E,3,0))</f>
        <v>131</v>
      </c>
      <c r="J632" s="59">
        <v>1.76E8</v>
      </c>
      <c r="K632" s="60"/>
      <c r="L632" s="61"/>
      <c r="M632" s="62"/>
      <c r="N632" s="63"/>
      <c r="O632" s="64" t="str">
        <f>IF($Q632&lt;&gt;0,VLOOKUP($Q632,DM_KM,3,0),"")</f>
        <v/>
      </c>
      <c r="P632" s="64" t="str">
        <f>IF($Q632&lt;&gt;0,VLOOKUP($Q632,DM_KM,5,0),"")</f>
        <v/>
      </c>
      <c r="Q632" s="65"/>
      <c r="R632" s="64" t="str">
        <f>IF(S632&lt;&gt;0,VLOOKUP(S632,DM_DUAN,3,0),"")</f>
        <v>#N/A</v>
      </c>
      <c r="S632" s="66" t="str">
        <f>IF(U632&lt;&gt;0,VLOOKUP(U632,DM_DUAN,3,0),"")</f>
        <v>THANHNAM</v>
      </c>
      <c r="T632" s="64"/>
      <c r="U632" s="67" t="s">
        <v>530</v>
      </c>
      <c r="V632" s="64" t="str">
        <f>IF(W632&lt;&gt;0,VLOOKUP(W632,DM_DUAN,3,0),"")</f>
        <v>#N/A</v>
      </c>
      <c r="W632" s="83" t="s">
        <v>599</v>
      </c>
      <c r="X632" s="64" t="str">
        <f>IF(Y632&lt;&gt;0,VLOOKUP(Y632,DM_DUAN,3,0),"")</f>
        <v>#N/A</v>
      </c>
      <c r="Y632" s="69" t="s">
        <v>176</v>
      </c>
      <c r="Z632" s="64" t="str">
        <f>IF(AA632&lt;&gt;0,VLOOKUP(AA632,DM_DUAN,3,0),"")</f>
        <v>#N/A</v>
      </c>
      <c r="AA632" s="70" t="s">
        <v>177</v>
      </c>
      <c r="AB632" s="64" t="str">
        <f>IF(AC632&lt;&gt;0,VLOOKUP(AC632,DM_DUAN,3,0),"")</f>
        <v/>
      </c>
      <c r="AC632" s="70"/>
      <c r="AD632" s="64" t="str">
        <f>IF(AC632&lt;&gt;0,VLOOKUP(AC632,DM_NV,2,0),"")</f>
        <v/>
      </c>
      <c r="AE632" s="83" t="s">
        <v>283</v>
      </c>
      <c r="AF632" s="64" t="str">
        <f>IF(AE632&lt;&gt;0,VLOOKUP(AE632,DM_NV,2,0),"")</f>
        <v>#N/A</v>
      </c>
    </row>
    <row r="633">
      <c r="A633" s="51"/>
      <c r="B633" s="52" t="str">
        <f>IF(D633="","",VLOOKUP(D633,'THAM CHIẾU'!$A:$B,2,0))</f>
        <v>#N/A</v>
      </c>
      <c r="C633" s="53" t="str">
        <f t="shared" si="4"/>
        <v>04/2022</v>
      </c>
      <c r="D633" s="99">
        <v>44664.0</v>
      </c>
      <c r="E633" s="79" t="s">
        <v>688</v>
      </c>
      <c r="F633" s="80"/>
      <c r="G633" s="100" t="s">
        <v>278</v>
      </c>
      <c r="H633" s="58" t="str">
        <f>IF(G633="","",VLOOKUP($G633,'Quy chuẩn hạch toán'!$B:$E,2,0))</f>
        <v>154</v>
      </c>
      <c r="I633" s="58" t="str">
        <f>IF(H633="","",VLOOKUP($G633,'Quy chuẩn hạch toán'!$B:$E,3,0))</f>
        <v>1111</v>
      </c>
      <c r="J633" s="101">
        <v>1000000.0</v>
      </c>
      <c r="K633" s="60"/>
      <c r="L633" s="61"/>
      <c r="M633" s="62"/>
      <c r="N633" s="63"/>
      <c r="O633" s="64"/>
      <c r="P633" s="64"/>
      <c r="Q633" s="89"/>
      <c r="R633" s="64" t="str">
        <f>IF(S633&lt;&gt;0,VLOOKUP(S633,DM_DUAN,3,0),"")</f>
        <v>#N/A</v>
      </c>
      <c r="S633" s="66" t="str">
        <f>IF(U633&lt;&gt;0,VLOOKUP(U633,DM_DUAN,3,0),"")</f>
        <v>THANHNAM</v>
      </c>
      <c r="T633" s="64"/>
      <c r="U633" s="67" t="s">
        <v>530</v>
      </c>
      <c r="V633" s="64" t="str">
        <f>IF(W633&lt;&gt;0,VLOOKUP(W633,DM_DUAN,3,0),"")</f>
        <v>#N/A</v>
      </c>
      <c r="W633" s="83" t="s">
        <v>585</v>
      </c>
      <c r="X633" s="64" t="str">
        <f>IF(Y633&lt;&gt;0,VLOOKUP(Y633,DM_DUAN,3,0),"")</f>
        <v>#N/A</v>
      </c>
      <c r="Y633" s="69" t="s">
        <v>176</v>
      </c>
      <c r="Z633" s="64" t="str">
        <f>IF(AA633&lt;&gt;0,VLOOKUP(AA633,DM_DUAN,3,0),"")</f>
        <v>#N/A</v>
      </c>
      <c r="AA633" s="70" t="s">
        <v>210</v>
      </c>
      <c r="AB633" s="64" t="str">
        <f>IF(AC633&lt;&gt;0,VLOOKUP(AC633,DM_DUAN,3,0),"")</f>
        <v/>
      </c>
      <c r="AC633" s="85"/>
      <c r="AD633" s="64"/>
      <c r="AE633" s="83" t="s">
        <v>263</v>
      </c>
      <c r="AF633" s="64"/>
    </row>
    <row r="634">
      <c r="A634" s="51"/>
      <c r="B634" s="52" t="str">
        <f>IF(D634="","",VLOOKUP(D634,'THAM CHIẾU'!$A:$B,2,0))</f>
        <v/>
      </c>
      <c r="C634" s="53" t="str">
        <f t="shared" si="4"/>
        <v/>
      </c>
      <c r="D634" s="99"/>
      <c r="E634" s="55"/>
      <c r="F634" s="56"/>
      <c r="G634" s="90"/>
      <c r="H634" s="58" t="str">
        <f>IF(G634="","",VLOOKUP($G634,'Quy chuẩn hạch toán'!$B:$E,2,0))</f>
        <v/>
      </c>
      <c r="I634" s="58" t="str">
        <f>IF(H634="","",VLOOKUP($G634,'Quy chuẩn hạch toán'!$B:$E,3,0))</f>
        <v/>
      </c>
      <c r="J634" s="59"/>
      <c r="K634" s="60"/>
      <c r="L634" s="61"/>
      <c r="M634" s="62"/>
      <c r="N634" s="63"/>
      <c r="O634" s="64" t="str">
        <f>IF($Q634&lt;&gt;0,VLOOKUP($Q634,DM_KM,3,0),"")</f>
        <v/>
      </c>
      <c r="P634" s="64" t="str">
        <f>IF($Q634&lt;&gt;0,VLOOKUP($Q634,DM_KM,5,0),"")</f>
        <v/>
      </c>
      <c r="Q634" s="65"/>
      <c r="R634" s="64" t="str">
        <f>IF(S634&lt;&gt;0,VLOOKUP(S634,DM_DUAN,3,0),"")</f>
        <v>#N/A</v>
      </c>
      <c r="S634" s="66" t="str">
        <f>IF(U634&lt;&gt;0,VLOOKUP(U634,DM_DUAN,3,0),"")</f>
        <v/>
      </c>
      <c r="T634" s="64"/>
      <c r="U634" s="93"/>
      <c r="V634" s="64" t="str">
        <f>IF(W634&lt;&gt;0,VLOOKUP(W634,DM_DUAN,3,0),"")</f>
        <v/>
      </c>
      <c r="W634" s="68"/>
      <c r="X634" s="64" t="str">
        <f>IF(Y634&lt;&gt;0,VLOOKUP(Y634,DM_DUAN,3,0),"")</f>
        <v/>
      </c>
      <c r="Y634" s="84"/>
      <c r="Z634" s="64" t="str">
        <f>IF(AA634&lt;&gt;0,VLOOKUP(AA634,DM_DUAN,3,0),"")</f>
        <v/>
      </c>
      <c r="AA634" s="70"/>
      <c r="AB634" s="64" t="str">
        <f>IF(AC634&lt;&gt;0,VLOOKUP(AC634,DM_DUAN,3,0),"")</f>
        <v/>
      </c>
      <c r="AC634" s="85"/>
      <c r="AD634" s="64" t="str">
        <f>IF(AC634&lt;&gt;0,VLOOKUP(AC634,DM_NV,2,0),"")</f>
        <v/>
      </c>
      <c r="AE634" s="68"/>
      <c r="AF634" s="64" t="str">
        <f>IF(AE634&lt;&gt;0,VLOOKUP(AE634,DM_NV,2,0),"")</f>
        <v/>
      </c>
    </row>
    <row r="635">
      <c r="A635" s="51"/>
      <c r="B635" s="52" t="str">
        <f>IF(D635="","",VLOOKUP(D635,'THAM CHIẾU'!$A:$B,2,0))</f>
        <v>#N/A</v>
      </c>
      <c r="C635" s="53" t="str">
        <f t="shared" si="4"/>
        <v>04/2022</v>
      </c>
      <c r="D635" s="99">
        <v>44664.0</v>
      </c>
      <c r="E635" s="55" t="s">
        <v>689</v>
      </c>
      <c r="F635" s="56"/>
      <c r="G635" s="57" t="s">
        <v>348</v>
      </c>
      <c r="H635" s="58" t="str">
        <f>IF(G635="","",VLOOKUP($G635,'Quy chuẩn hạch toán'!$B:$E,2,0))</f>
        <v>331</v>
      </c>
      <c r="I635" s="58" t="str">
        <f>IF(H635="","",VLOOKUP($G635,'Quy chuẩn hạch toán'!$B:$E,3,0))</f>
        <v>1111</v>
      </c>
      <c r="J635" s="59">
        <v>8941750.0</v>
      </c>
      <c r="K635" s="60"/>
      <c r="L635" s="61"/>
      <c r="M635" s="62"/>
      <c r="N635" s="63"/>
      <c r="O635" s="64" t="str">
        <f>IF($Q635&lt;&gt;0,VLOOKUP($Q635,DM_KM,3,0),"")</f>
        <v/>
      </c>
      <c r="P635" s="64" t="str">
        <f>IF($Q635&lt;&gt;0,VLOOKUP($Q635,DM_KM,5,0),"")</f>
        <v/>
      </c>
      <c r="Q635" s="65"/>
      <c r="R635" s="64" t="str">
        <f>IF(S635&lt;&gt;0,VLOOKUP(S635,DM_DUAN,3,0),"")</f>
        <v>#N/A</v>
      </c>
      <c r="S635" s="66" t="str">
        <f>IF(U635&lt;&gt;0,VLOOKUP(U635,DM_DUAN,3,0),"")</f>
        <v/>
      </c>
      <c r="T635" s="64"/>
      <c r="U635" s="93"/>
      <c r="V635" s="64" t="str">
        <f>IF(W635&lt;&gt;0,VLOOKUP(W635,DM_DUAN,3,0),"")</f>
        <v/>
      </c>
      <c r="W635" s="68"/>
      <c r="X635" s="64" t="str">
        <f>IF(Y635&lt;&gt;0,VLOOKUP(Y635,DM_DUAN,3,0),"")</f>
        <v/>
      </c>
      <c r="Y635" s="84"/>
      <c r="Z635" s="64" t="str">
        <f>IF(AA635&lt;&gt;0,VLOOKUP(AA635,DM_DUAN,3,0),"")</f>
        <v>#N/A</v>
      </c>
      <c r="AA635" s="70" t="s">
        <v>210</v>
      </c>
      <c r="AB635" s="64" t="str">
        <f>IF(AC635&lt;&gt;0,VLOOKUP(AC635,DM_DUAN,3,0),"")</f>
        <v/>
      </c>
      <c r="AC635" s="85"/>
      <c r="AD635" s="64" t="str">
        <f>IF(AC635&lt;&gt;0,VLOOKUP(AC635,DM_NV,2,0),"")</f>
        <v/>
      </c>
      <c r="AE635" s="83" t="s">
        <v>349</v>
      </c>
      <c r="AF635" s="64" t="str">
        <f>IF(AE635&lt;&gt;0,VLOOKUP(AE635,DM_NV,2,0),"")</f>
        <v>#N/A</v>
      </c>
    </row>
    <row r="636">
      <c r="A636" s="51"/>
      <c r="B636" s="52" t="str">
        <f>IF(D636="","",VLOOKUP(D636,'THAM CHIẾU'!$A:$B,2,0))</f>
        <v>#N/A</v>
      </c>
      <c r="C636" s="53" t="str">
        <f t="shared" si="4"/>
        <v>04/2022</v>
      </c>
      <c r="D636" s="99">
        <v>44664.0</v>
      </c>
      <c r="E636" s="55" t="s">
        <v>690</v>
      </c>
      <c r="F636" s="56"/>
      <c r="G636" s="57" t="s">
        <v>348</v>
      </c>
      <c r="H636" s="58" t="str">
        <f>IF(G636="","",VLOOKUP($G636,'Quy chuẩn hạch toán'!$B:$E,2,0))</f>
        <v>331</v>
      </c>
      <c r="I636" s="58" t="str">
        <f>IF(H636="","",VLOOKUP($G636,'Quy chuẩn hạch toán'!$B:$E,3,0))</f>
        <v>1111</v>
      </c>
      <c r="J636" s="59">
        <v>2.463975E7</v>
      </c>
      <c r="K636" s="60"/>
      <c r="L636" s="61"/>
      <c r="M636" s="62"/>
      <c r="N636" s="63"/>
      <c r="O636" s="64" t="str">
        <f>IF($Q636&lt;&gt;0,VLOOKUP($Q636,DM_KM,3,0),"")</f>
        <v/>
      </c>
      <c r="P636" s="64" t="str">
        <f>IF($Q636&lt;&gt;0,VLOOKUP($Q636,DM_KM,5,0),"")</f>
        <v/>
      </c>
      <c r="Q636" s="65"/>
      <c r="R636" s="64" t="str">
        <f>IF(S636&lt;&gt;0,VLOOKUP(S636,DM_DUAN,3,0),"")</f>
        <v>#N/A</v>
      </c>
      <c r="S636" s="66" t="str">
        <f>IF(U636&lt;&gt;0,VLOOKUP(U636,DM_DUAN,3,0),"")</f>
        <v/>
      </c>
      <c r="T636" s="64"/>
      <c r="U636" s="93"/>
      <c r="V636" s="64" t="str">
        <f>IF(W636&lt;&gt;0,VLOOKUP(W636,DM_DUAN,3,0),"")</f>
        <v/>
      </c>
      <c r="W636" s="68"/>
      <c r="X636" s="64" t="str">
        <f>IF(Y636&lt;&gt;0,VLOOKUP(Y636,DM_DUAN,3,0),"")</f>
        <v/>
      </c>
      <c r="Y636" s="84"/>
      <c r="Z636" s="64" t="str">
        <f>IF(AA636&lt;&gt;0,VLOOKUP(AA636,DM_DUAN,3,0),"")</f>
        <v>#N/A</v>
      </c>
      <c r="AA636" s="70" t="s">
        <v>177</v>
      </c>
      <c r="AB636" s="64" t="str">
        <f>IF(AC636&lt;&gt;0,VLOOKUP(AC636,DM_DUAN,3,0),"")</f>
        <v/>
      </c>
      <c r="AC636" s="85"/>
      <c r="AD636" s="64" t="str">
        <f>IF(AC636&lt;&gt;0,VLOOKUP(AC636,DM_NV,2,0),"")</f>
        <v/>
      </c>
      <c r="AE636" s="83" t="s">
        <v>349</v>
      </c>
      <c r="AF636" s="64" t="str">
        <f>IF(AE636&lt;&gt;0,VLOOKUP(AE636,DM_NV,2,0),"")</f>
        <v>#N/A</v>
      </c>
    </row>
    <row r="637">
      <c r="A637" s="51"/>
      <c r="B637" s="52" t="str">
        <f>IF(D637="","",VLOOKUP(D637,'THAM CHIẾU'!$A:$B,2,0))</f>
        <v>#N/A</v>
      </c>
      <c r="C637" s="53" t="str">
        <f t="shared" si="4"/>
        <v>04/2022</v>
      </c>
      <c r="D637" s="99">
        <v>44664.0</v>
      </c>
      <c r="E637" s="55" t="s">
        <v>691</v>
      </c>
      <c r="F637" s="56"/>
      <c r="G637" s="57" t="s">
        <v>348</v>
      </c>
      <c r="H637" s="58" t="str">
        <f>IF(G637="","",VLOOKUP($G637,'Quy chuẩn hạch toán'!$B:$E,2,0))</f>
        <v>331</v>
      </c>
      <c r="I637" s="58" t="str">
        <f>IF(H637="","",VLOOKUP($G637,'Quy chuẩn hạch toán'!$B:$E,3,0))</f>
        <v>1111</v>
      </c>
      <c r="J637" s="59">
        <v>3.078125E7</v>
      </c>
      <c r="K637" s="60"/>
      <c r="L637" s="61"/>
      <c r="M637" s="62"/>
      <c r="N637" s="63"/>
      <c r="O637" s="64" t="str">
        <f>IF($Q637&lt;&gt;0,VLOOKUP($Q637,DM_KM,3,0),"")</f>
        <v/>
      </c>
      <c r="P637" s="64" t="str">
        <f>IF($Q637&lt;&gt;0,VLOOKUP($Q637,DM_KM,5,0),"")</f>
        <v/>
      </c>
      <c r="Q637" s="65"/>
      <c r="R637" s="64" t="str">
        <f>IF(S637&lt;&gt;0,VLOOKUP(S637,DM_DUAN,3,0),"")</f>
        <v>#N/A</v>
      </c>
      <c r="S637" s="66" t="str">
        <f>IF(U637&lt;&gt;0,VLOOKUP(U637,DM_DUAN,3,0),"")</f>
        <v/>
      </c>
      <c r="T637" s="64"/>
      <c r="U637" s="93"/>
      <c r="V637" s="64" t="str">
        <f>IF(W637&lt;&gt;0,VLOOKUP(W637,DM_DUAN,3,0),"")</f>
        <v/>
      </c>
      <c r="W637" s="68"/>
      <c r="X637" s="64" t="str">
        <f>IF(Y637&lt;&gt;0,VLOOKUP(Y637,DM_DUAN,3,0),"")</f>
        <v/>
      </c>
      <c r="Y637" s="84"/>
      <c r="Z637" s="64" t="str">
        <f>IF(AA637&lt;&gt;0,VLOOKUP(AA637,DM_DUAN,3,0),"")</f>
        <v>#N/A</v>
      </c>
      <c r="AA637" s="70" t="s">
        <v>183</v>
      </c>
      <c r="AB637" s="64" t="str">
        <f>IF(AC637&lt;&gt;0,VLOOKUP(AC637,DM_DUAN,3,0),"")</f>
        <v/>
      </c>
      <c r="AC637" s="85"/>
      <c r="AD637" s="64" t="str">
        <f>IF(AC637&lt;&gt;0,VLOOKUP(AC637,DM_NV,2,0),"")</f>
        <v/>
      </c>
      <c r="AE637" s="83" t="s">
        <v>349</v>
      </c>
      <c r="AF637" s="64" t="str">
        <f>IF(AE637&lt;&gt;0,VLOOKUP(AE637,DM_NV,2,0),"")</f>
        <v>#N/A</v>
      </c>
    </row>
    <row r="638">
      <c r="A638" s="51"/>
      <c r="B638" s="52" t="str">
        <f>IF(D638="","",VLOOKUP(D638,'THAM CHIẾU'!$A:$B,2,0))</f>
        <v>#N/A</v>
      </c>
      <c r="C638" s="53" t="str">
        <f t="shared" si="4"/>
        <v>04/2022</v>
      </c>
      <c r="D638" s="99">
        <v>44664.0</v>
      </c>
      <c r="E638" s="55" t="s">
        <v>692</v>
      </c>
      <c r="F638" s="56"/>
      <c r="G638" s="57" t="s">
        <v>348</v>
      </c>
      <c r="H638" s="58" t="str">
        <f>IF(G638="","",VLOOKUP($G638,'Quy chuẩn hạch toán'!$B:$E,2,0))</f>
        <v>331</v>
      </c>
      <c r="I638" s="58" t="str">
        <f>IF(H638="","",VLOOKUP($G638,'Quy chuẩn hạch toán'!$B:$E,3,0))</f>
        <v>1111</v>
      </c>
      <c r="J638" s="59">
        <v>24500.0</v>
      </c>
      <c r="K638" s="60"/>
      <c r="L638" s="61"/>
      <c r="M638" s="62"/>
      <c r="N638" s="63"/>
      <c r="O638" s="64" t="str">
        <f>IF($Q638&lt;&gt;0,VLOOKUP($Q638,DM_KM,3,0),"")</f>
        <v/>
      </c>
      <c r="P638" s="64" t="str">
        <f>IF($Q638&lt;&gt;0,VLOOKUP($Q638,DM_KM,5,0),"")</f>
        <v/>
      </c>
      <c r="Q638" s="65"/>
      <c r="R638" s="64" t="str">
        <f>IF(S638&lt;&gt;0,VLOOKUP(S638,DM_DUAN,3,0),"")</f>
        <v>#N/A</v>
      </c>
      <c r="S638" s="66" t="str">
        <f>IF(U638&lt;&gt;0,VLOOKUP(U638,DM_DUAN,3,0),"")</f>
        <v/>
      </c>
      <c r="T638" s="64"/>
      <c r="U638" s="93"/>
      <c r="V638" s="64" t="str">
        <f>IF(W638&lt;&gt;0,VLOOKUP(W638,DM_DUAN,3,0),"")</f>
        <v/>
      </c>
      <c r="W638" s="68"/>
      <c r="X638" s="64" t="str">
        <f>IF(Y638&lt;&gt;0,VLOOKUP(Y638,DM_DUAN,3,0),"")</f>
        <v/>
      </c>
      <c r="Y638" s="84"/>
      <c r="Z638" s="64" t="str">
        <f>IF(AA638&lt;&gt;0,VLOOKUP(AA638,DM_DUAN,3,0),"")</f>
        <v>#N/A</v>
      </c>
      <c r="AA638" s="70" t="s">
        <v>514</v>
      </c>
      <c r="AB638" s="64" t="str">
        <f>IF(AC638&lt;&gt;0,VLOOKUP(AC638,DM_DUAN,3,0),"")</f>
        <v/>
      </c>
      <c r="AC638" s="85"/>
      <c r="AD638" s="64" t="str">
        <f>IF(AC638&lt;&gt;0,VLOOKUP(AC638,DM_NV,2,0),"")</f>
        <v/>
      </c>
      <c r="AE638" s="83" t="s">
        <v>349</v>
      </c>
      <c r="AF638" s="64" t="str">
        <f>IF(AE638&lt;&gt;0,VLOOKUP(AE638,DM_NV,2,0),"")</f>
        <v>#N/A</v>
      </c>
    </row>
    <row r="639">
      <c r="A639" s="51"/>
      <c r="B639" s="52" t="str">
        <f>IF(D639="","",VLOOKUP(D639,'THAM CHIẾU'!$A:$B,2,0))</f>
        <v>#N/A</v>
      </c>
      <c r="C639" s="53" t="str">
        <f t="shared" si="4"/>
        <v>04/2022</v>
      </c>
      <c r="D639" s="99">
        <v>44664.0</v>
      </c>
      <c r="E639" s="55" t="s">
        <v>693</v>
      </c>
      <c r="F639" s="56"/>
      <c r="G639" s="57" t="s">
        <v>342</v>
      </c>
      <c r="H639" s="58" t="str">
        <f>IF(G639="","",VLOOKUP($G639,'Quy chuẩn hạch toán'!$B:$E,2,0))</f>
        <v>331</v>
      </c>
      <c r="I639" s="58" t="str">
        <f>IF(H639="","",VLOOKUP($G639,'Quy chuẩn hạch toán'!$B:$E,3,0))</f>
        <v>1111</v>
      </c>
      <c r="J639" s="59">
        <v>1.0528656E7</v>
      </c>
      <c r="K639" s="60"/>
      <c r="L639" s="61"/>
      <c r="M639" s="62"/>
      <c r="N639" s="63"/>
      <c r="O639" s="64" t="str">
        <f>IF($Q639&lt;&gt;0,VLOOKUP($Q639,DM_KM,3,0),"")</f>
        <v/>
      </c>
      <c r="P639" s="64" t="str">
        <f>IF($Q639&lt;&gt;0,VLOOKUP($Q639,DM_KM,5,0),"")</f>
        <v/>
      </c>
      <c r="Q639" s="65"/>
      <c r="R639" s="64" t="str">
        <f>IF(S639&lt;&gt;0,VLOOKUP(S639,DM_DUAN,3,0),"")</f>
        <v>#N/A</v>
      </c>
      <c r="S639" s="66" t="str">
        <f>IF(U639&lt;&gt;0,VLOOKUP(U639,DM_DUAN,3,0),"")</f>
        <v/>
      </c>
      <c r="T639" s="64"/>
      <c r="U639" s="93"/>
      <c r="V639" s="64" t="str">
        <f>IF(W639&lt;&gt;0,VLOOKUP(W639,DM_DUAN,3,0),"")</f>
        <v/>
      </c>
      <c r="W639" s="68"/>
      <c r="X639" s="64" t="str">
        <f>IF(Y639&lt;&gt;0,VLOOKUP(Y639,DM_DUAN,3,0),"")</f>
        <v/>
      </c>
      <c r="Y639" s="84"/>
      <c r="Z639" s="64" t="str">
        <f>IF(AA639&lt;&gt;0,VLOOKUP(AA639,DM_DUAN,3,0),"")</f>
        <v>#N/A</v>
      </c>
      <c r="AA639" s="70" t="s">
        <v>210</v>
      </c>
      <c r="AB639" s="64" t="str">
        <f>IF(AC639&lt;&gt;0,VLOOKUP(AC639,DM_DUAN,3,0),"")</f>
        <v/>
      </c>
      <c r="AC639" s="85"/>
      <c r="AD639" s="64" t="str">
        <f>IF(AC639&lt;&gt;0,VLOOKUP(AC639,DM_NV,2,0),"")</f>
        <v/>
      </c>
      <c r="AE639" s="83" t="s">
        <v>343</v>
      </c>
      <c r="AF639" s="64" t="str">
        <f>IF(AE639&lt;&gt;0,VLOOKUP(AE639,DM_NV,2,0),"")</f>
        <v>#N/A</v>
      </c>
    </row>
    <row r="640">
      <c r="A640" s="51"/>
      <c r="B640" s="52" t="str">
        <f>IF(D640="","",VLOOKUP(D640,'THAM CHIẾU'!$A:$B,2,0))</f>
        <v>#N/A</v>
      </c>
      <c r="C640" s="53" t="str">
        <f t="shared" si="4"/>
        <v>04/2022</v>
      </c>
      <c r="D640" s="99">
        <v>44664.0</v>
      </c>
      <c r="E640" s="55" t="s">
        <v>694</v>
      </c>
      <c r="F640" s="56"/>
      <c r="G640" s="57" t="s">
        <v>342</v>
      </c>
      <c r="H640" s="58" t="str">
        <f>IF(G640="","",VLOOKUP($G640,'Quy chuẩn hạch toán'!$B:$E,2,0))</f>
        <v>331</v>
      </c>
      <c r="I640" s="58" t="str">
        <f>IF(H640="","",VLOOKUP($G640,'Quy chuẩn hạch toán'!$B:$E,3,0))</f>
        <v>1111</v>
      </c>
      <c r="J640" s="59">
        <v>1.3528656E7</v>
      </c>
      <c r="K640" s="60"/>
      <c r="L640" s="61"/>
      <c r="M640" s="62"/>
      <c r="N640" s="63"/>
      <c r="O640" s="64" t="str">
        <f>IF($Q640&lt;&gt;0,VLOOKUP($Q640,DM_KM,3,0),"")</f>
        <v/>
      </c>
      <c r="P640" s="64" t="str">
        <f>IF($Q640&lt;&gt;0,VLOOKUP($Q640,DM_KM,5,0),"")</f>
        <v/>
      </c>
      <c r="Q640" s="65"/>
      <c r="R640" s="64" t="str">
        <f>IF(S640&lt;&gt;0,VLOOKUP(S640,DM_DUAN,3,0),"")</f>
        <v>#N/A</v>
      </c>
      <c r="S640" s="66" t="str">
        <f>IF(U640&lt;&gt;0,VLOOKUP(U640,DM_DUAN,3,0),"")</f>
        <v/>
      </c>
      <c r="T640" s="64"/>
      <c r="U640" s="93"/>
      <c r="V640" s="64" t="str">
        <f>IF(W640&lt;&gt;0,VLOOKUP(W640,DM_DUAN,3,0),"")</f>
        <v/>
      </c>
      <c r="W640" s="68"/>
      <c r="X640" s="64" t="str">
        <f>IF(Y640&lt;&gt;0,VLOOKUP(Y640,DM_DUAN,3,0),"")</f>
        <v/>
      </c>
      <c r="Y640" s="84"/>
      <c r="Z640" s="64" t="str">
        <f>IF(AA640&lt;&gt;0,VLOOKUP(AA640,DM_DUAN,3,0),"")</f>
        <v>#N/A</v>
      </c>
      <c r="AA640" s="70" t="s">
        <v>177</v>
      </c>
      <c r="AB640" s="64" t="str">
        <f>IF(AC640&lt;&gt;0,VLOOKUP(AC640,DM_DUAN,3,0),"")</f>
        <v/>
      </c>
      <c r="AC640" s="85"/>
      <c r="AD640" s="64" t="str">
        <f>IF(AC640&lt;&gt;0,VLOOKUP(AC640,DM_NV,2,0),"")</f>
        <v/>
      </c>
      <c r="AE640" s="83" t="s">
        <v>343</v>
      </c>
      <c r="AF640" s="64" t="str">
        <f>IF(AE640&lt;&gt;0,VLOOKUP(AE640,DM_NV,2,0),"")</f>
        <v>#N/A</v>
      </c>
    </row>
    <row r="641">
      <c r="A641" s="51"/>
      <c r="B641" s="52" t="str">
        <f>IF(D641="","",VLOOKUP(D641,'THAM CHIẾU'!$A:$B,2,0))</f>
        <v>#N/A</v>
      </c>
      <c r="C641" s="53" t="str">
        <f t="shared" si="4"/>
        <v>04/2022</v>
      </c>
      <c r="D641" s="99">
        <v>44664.0</v>
      </c>
      <c r="E641" s="55" t="s">
        <v>695</v>
      </c>
      <c r="F641" s="56"/>
      <c r="G641" s="57" t="s">
        <v>342</v>
      </c>
      <c r="H641" s="58" t="str">
        <f>IF(G641="","",VLOOKUP($G641,'Quy chuẩn hạch toán'!$B:$E,2,0))</f>
        <v>331</v>
      </c>
      <c r="I641" s="58" t="str">
        <f>IF(H641="","",VLOOKUP($G641,'Quy chuẩn hạch toán'!$B:$E,3,0))</f>
        <v>1111</v>
      </c>
      <c r="J641" s="59">
        <v>1.4838931E7</v>
      </c>
      <c r="K641" s="60"/>
      <c r="L641" s="61"/>
      <c r="M641" s="62"/>
      <c r="N641" s="63"/>
      <c r="O641" s="64" t="str">
        <f>IF($Q641&lt;&gt;0,VLOOKUP($Q641,DM_KM,3,0),"")</f>
        <v/>
      </c>
      <c r="P641" s="64" t="str">
        <f>IF($Q641&lt;&gt;0,VLOOKUP($Q641,DM_KM,5,0),"")</f>
        <v/>
      </c>
      <c r="Q641" s="65"/>
      <c r="R641" s="64" t="str">
        <f>IF(S641&lt;&gt;0,VLOOKUP(S641,DM_DUAN,3,0),"")</f>
        <v>#N/A</v>
      </c>
      <c r="S641" s="66" t="str">
        <f>IF(U641&lt;&gt;0,VLOOKUP(U641,DM_DUAN,3,0),"")</f>
        <v/>
      </c>
      <c r="T641" s="64"/>
      <c r="U641" s="93"/>
      <c r="V641" s="64" t="str">
        <f>IF(W641&lt;&gt;0,VLOOKUP(W641,DM_DUAN,3,0),"")</f>
        <v/>
      </c>
      <c r="W641" s="68"/>
      <c r="X641" s="64" t="str">
        <f>IF(Y641&lt;&gt;0,VLOOKUP(Y641,DM_DUAN,3,0),"")</f>
        <v/>
      </c>
      <c r="Y641" s="84"/>
      <c r="Z641" s="64" t="str">
        <f>IF(AA641&lt;&gt;0,VLOOKUP(AA641,DM_DUAN,3,0),"")</f>
        <v>#N/A</v>
      </c>
      <c r="AA641" s="70" t="s">
        <v>183</v>
      </c>
      <c r="AB641" s="64" t="str">
        <f>IF(AC641&lt;&gt;0,VLOOKUP(AC641,DM_DUAN,3,0),"")</f>
        <v/>
      </c>
      <c r="AC641" s="85"/>
      <c r="AD641" s="64" t="str">
        <f>IF(AC641&lt;&gt;0,VLOOKUP(AC641,DM_NV,2,0),"")</f>
        <v/>
      </c>
      <c r="AE641" s="83" t="s">
        <v>343</v>
      </c>
      <c r="AF641" s="64" t="str">
        <f>IF(AE641&lt;&gt;0,VLOOKUP(AE641,DM_NV,2,0),"")</f>
        <v>#N/A</v>
      </c>
    </row>
    <row r="642">
      <c r="A642" s="51"/>
      <c r="B642" s="52" t="str">
        <f>IF(D642="","",VLOOKUP(D642,'THAM CHIẾU'!$A:$B,2,0))</f>
        <v>#N/A</v>
      </c>
      <c r="C642" s="53" t="str">
        <f t="shared" si="4"/>
        <v>04/2022</v>
      </c>
      <c r="D642" s="99">
        <v>44664.0</v>
      </c>
      <c r="E642" s="55" t="s">
        <v>696</v>
      </c>
      <c r="F642" s="56"/>
      <c r="G642" s="57" t="s">
        <v>342</v>
      </c>
      <c r="H642" s="58" t="str">
        <f>IF(G642="","",VLOOKUP($G642,'Quy chuẩn hạch toán'!$B:$E,2,0))</f>
        <v>331</v>
      </c>
      <c r="I642" s="58" t="str">
        <f>IF(H642="","",VLOOKUP($G642,'Quy chuẩn hạch toán'!$B:$E,3,0))</f>
        <v>1111</v>
      </c>
      <c r="J642" s="59">
        <v>6436759.0</v>
      </c>
      <c r="K642" s="60"/>
      <c r="L642" s="61"/>
      <c r="M642" s="62"/>
      <c r="N642" s="63"/>
      <c r="O642" s="64" t="str">
        <f>IF($Q642&lt;&gt;0,VLOOKUP($Q642,DM_KM,3,0),"")</f>
        <v/>
      </c>
      <c r="P642" s="64" t="str">
        <f>IF($Q642&lt;&gt;0,VLOOKUP($Q642,DM_KM,5,0),"")</f>
        <v/>
      </c>
      <c r="Q642" s="65"/>
      <c r="R642" s="64" t="str">
        <f>IF(S642&lt;&gt;0,VLOOKUP(S642,DM_DUAN,3,0),"")</f>
        <v>#N/A</v>
      </c>
      <c r="S642" s="66" t="str">
        <f>IF(U642&lt;&gt;0,VLOOKUP(U642,DM_DUAN,3,0),"")</f>
        <v/>
      </c>
      <c r="T642" s="64"/>
      <c r="U642" s="93"/>
      <c r="V642" s="64" t="str">
        <f>IF(W642&lt;&gt;0,VLOOKUP(W642,DM_DUAN,3,0),"")</f>
        <v/>
      </c>
      <c r="W642" s="68"/>
      <c r="X642" s="64" t="str">
        <f>IF(Y642&lt;&gt;0,VLOOKUP(Y642,DM_DUAN,3,0),"")</f>
        <v/>
      </c>
      <c r="Y642" s="84"/>
      <c r="Z642" s="64" t="str">
        <f>IF(AA642&lt;&gt;0,VLOOKUP(AA642,DM_DUAN,3,0),"")</f>
        <v>#N/A</v>
      </c>
      <c r="AA642" s="70" t="s">
        <v>514</v>
      </c>
      <c r="AB642" s="64" t="str">
        <f>IF(AC642&lt;&gt;0,VLOOKUP(AC642,DM_DUAN,3,0),"")</f>
        <v/>
      </c>
      <c r="AC642" s="85"/>
      <c r="AD642" s="64" t="str">
        <f>IF(AC642&lt;&gt;0,VLOOKUP(AC642,DM_NV,2,0),"")</f>
        <v/>
      </c>
      <c r="AE642" s="83" t="s">
        <v>343</v>
      </c>
      <c r="AF642" s="64" t="str">
        <f>IF(AE642&lt;&gt;0,VLOOKUP(AE642,DM_NV,2,0),"")</f>
        <v>#N/A</v>
      </c>
    </row>
    <row r="643">
      <c r="A643" s="51"/>
      <c r="B643" s="52" t="str">
        <f>IF(D643="","",VLOOKUP(D643,'THAM CHIẾU'!$A:$B,2,0))</f>
        <v>#N/A</v>
      </c>
      <c r="C643" s="53" t="str">
        <f t="shared" si="4"/>
        <v>04/2022</v>
      </c>
      <c r="D643" s="99">
        <v>44664.0</v>
      </c>
      <c r="E643" s="55" t="s">
        <v>697</v>
      </c>
      <c r="F643" s="56"/>
      <c r="G643" s="57" t="s">
        <v>361</v>
      </c>
      <c r="H643" s="58" t="str">
        <f>IF(G643="","",VLOOKUP($G643,'Quy chuẩn hạch toán'!$B:$E,2,0))</f>
        <v>#N/A</v>
      </c>
      <c r="I643" s="58" t="str">
        <f>IF(H643="","",VLOOKUP($G643,'Quy chuẩn hạch toán'!$B:$E,3,0))</f>
        <v>#N/A</v>
      </c>
      <c r="J643" s="59">
        <v>-5.4025455E7</v>
      </c>
      <c r="K643" s="60"/>
      <c r="L643" s="61"/>
      <c r="M643" s="62"/>
      <c r="N643" s="63"/>
      <c r="O643" s="64"/>
      <c r="P643" s="64"/>
      <c r="Q643" s="65"/>
      <c r="R643" s="64" t="str">
        <f>IF(S643&lt;&gt;0,VLOOKUP(S643,DM_DUAN,3,0),"")</f>
        <v>#N/A</v>
      </c>
      <c r="S643" s="66" t="str">
        <f>IF(U643&lt;&gt;0,VLOOKUP(U643,DM_DUAN,3,0),"")</f>
        <v/>
      </c>
      <c r="T643" s="64"/>
      <c r="U643" s="67"/>
      <c r="V643" s="64" t="str">
        <f>IF(W643&lt;&gt;0,VLOOKUP(W643,DM_DUAN,3,0),"")</f>
        <v/>
      </c>
      <c r="W643" s="68"/>
      <c r="X643" s="64" t="str">
        <f>IF(Y643&lt;&gt;0,VLOOKUP(Y643,DM_DUAN,3,0),"")</f>
        <v/>
      </c>
      <c r="Y643" s="69"/>
      <c r="Z643" s="64" t="str">
        <f>IF(AA643&lt;&gt;0,VLOOKUP(AA643,DM_DUAN,3,0),"")</f>
        <v>#N/A</v>
      </c>
      <c r="AA643" s="70" t="s">
        <v>183</v>
      </c>
      <c r="AB643" s="64" t="str">
        <f>IF(AC643&lt;&gt;0,VLOOKUP(AC643,DM_DUAN,3,0),"")</f>
        <v>#N/A</v>
      </c>
      <c r="AC643" s="70" t="s">
        <v>191</v>
      </c>
      <c r="AD643" s="64" t="str">
        <f>IF(AC643&lt;&gt;0,VLOOKUP(AC643,DM_NV,2,0),"")</f>
        <v>Nguyễn Anh Vy</v>
      </c>
      <c r="AE643" s="68"/>
      <c r="AF643" s="64" t="str">
        <f>IF(AE643&lt;&gt;0,VLOOKUP(AE643,DM_NV,2,0),"")</f>
        <v/>
      </c>
    </row>
    <row r="644">
      <c r="A644" s="51"/>
      <c r="B644" s="52" t="str">
        <f>IF(D644="","",VLOOKUP(D644,'THAM CHIẾU'!$A:$B,2,0))</f>
        <v>#N/A</v>
      </c>
      <c r="C644" s="53" t="str">
        <f t="shared" si="4"/>
        <v>04/2022</v>
      </c>
      <c r="D644" s="99">
        <v>44664.0</v>
      </c>
      <c r="E644" s="55" t="s">
        <v>698</v>
      </c>
      <c r="F644" s="56"/>
      <c r="G644" s="57" t="s">
        <v>361</v>
      </c>
      <c r="H644" s="58" t="str">
        <f>IF(G644="","",VLOOKUP($G644,'Quy chuẩn hạch toán'!$B:$E,2,0))</f>
        <v>#N/A</v>
      </c>
      <c r="I644" s="58" t="str">
        <f>IF(H644="","",VLOOKUP($G644,'Quy chuẩn hạch toán'!$B:$E,3,0))</f>
        <v>#N/A</v>
      </c>
      <c r="J644" s="59">
        <v>-5.6230575E7</v>
      </c>
      <c r="K644" s="60"/>
      <c r="L644" s="61"/>
      <c r="M644" s="62"/>
      <c r="N644" s="63"/>
      <c r="O644" s="64"/>
      <c r="P644" s="64"/>
      <c r="Q644" s="65"/>
      <c r="R644" s="64" t="str">
        <f>IF(S644&lt;&gt;0,VLOOKUP(S644,DM_DUAN,3,0),"")</f>
        <v>#N/A</v>
      </c>
      <c r="S644" s="66" t="str">
        <f>IF(U644&lt;&gt;0,VLOOKUP(U644,DM_DUAN,3,0),"")</f>
        <v/>
      </c>
      <c r="T644" s="64"/>
      <c r="U644" s="67"/>
      <c r="V644" s="64" t="str">
        <f>IF(W644&lt;&gt;0,VLOOKUP(W644,DM_DUAN,3,0),"")</f>
        <v/>
      </c>
      <c r="W644" s="68"/>
      <c r="X644" s="64" t="str">
        <f>IF(Y644&lt;&gt;0,VLOOKUP(Y644,DM_DUAN,3,0),"")</f>
        <v/>
      </c>
      <c r="Y644" s="69"/>
      <c r="Z644" s="64" t="str">
        <f>IF(AA644&lt;&gt;0,VLOOKUP(AA644,DM_DUAN,3,0),"")</f>
        <v>#N/A</v>
      </c>
      <c r="AA644" s="70" t="s">
        <v>183</v>
      </c>
      <c r="AB644" s="64" t="str">
        <f>IF(AC644&lt;&gt;0,VLOOKUP(AC644,DM_DUAN,3,0),"")</f>
        <v>#N/A</v>
      </c>
      <c r="AC644" s="70" t="s">
        <v>335</v>
      </c>
      <c r="AD644" s="64" t="str">
        <f>IF(AC644&lt;&gt;0,VLOOKUP(AC644,DM_NV,2,0),"")</f>
        <v>Trần Phước Thành</v>
      </c>
      <c r="AE644" s="68"/>
      <c r="AF644" s="64" t="str">
        <f>IF(AE644&lt;&gt;0,VLOOKUP(AE644,DM_NV,2,0),"")</f>
        <v/>
      </c>
    </row>
    <row r="645">
      <c r="A645" s="51"/>
      <c r="B645" s="52" t="str">
        <f>IF(D645="","",VLOOKUP(D645,'THAM CHIẾU'!$A:$B,2,0))</f>
        <v>#N/A</v>
      </c>
      <c r="C645" s="53" t="str">
        <f t="shared" si="4"/>
        <v>04/2022</v>
      </c>
      <c r="D645" s="99">
        <v>44664.0</v>
      </c>
      <c r="E645" s="55" t="s">
        <v>699</v>
      </c>
      <c r="F645" s="56"/>
      <c r="G645" s="57" t="s">
        <v>361</v>
      </c>
      <c r="H645" s="58" t="str">
        <f>IF(G645="","",VLOOKUP($G645,'Quy chuẩn hạch toán'!$B:$E,2,0))</f>
        <v>#N/A</v>
      </c>
      <c r="I645" s="58" t="str">
        <f>IF(H645="","",VLOOKUP($G645,'Quy chuẩn hạch toán'!$B:$E,3,0))</f>
        <v>#N/A</v>
      </c>
      <c r="J645" s="59">
        <v>-1.0432477E7</v>
      </c>
      <c r="K645" s="60"/>
      <c r="L645" s="61"/>
      <c r="M645" s="62"/>
      <c r="N645" s="63"/>
      <c r="O645" s="64"/>
      <c r="P645" s="64"/>
      <c r="Q645" s="65"/>
      <c r="R645" s="64" t="str">
        <f>IF(S645&lt;&gt;0,VLOOKUP(S645,DM_DUAN,3,0),"")</f>
        <v>#N/A</v>
      </c>
      <c r="S645" s="66" t="str">
        <f>IF(U645&lt;&gt;0,VLOOKUP(U645,DM_DUAN,3,0),"")</f>
        <v/>
      </c>
      <c r="T645" s="64"/>
      <c r="U645" s="67"/>
      <c r="V645" s="64" t="str">
        <f>IF(W645&lt;&gt;0,VLOOKUP(W645,DM_DUAN,3,0),"")</f>
        <v/>
      </c>
      <c r="W645" s="68"/>
      <c r="X645" s="64" t="str">
        <f>IF(Y645&lt;&gt;0,VLOOKUP(Y645,DM_DUAN,3,0),"")</f>
        <v/>
      </c>
      <c r="Y645" s="69"/>
      <c r="Z645" s="64" t="str">
        <f>IF(AA645&lt;&gt;0,VLOOKUP(AA645,DM_DUAN,3,0),"")</f>
        <v>#N/A</v>
      </c>
      <c r="AA645" s="70" t="s">
        <v>177</v>
      </c>
      <c r="AB645" s="64" t="str">
        <f>IF(AC645&lt;&gt;0,VLOOKUP(AC645,DM_DUAN,3,0),"")</f>
        <v>#N/A</v>
      </c>
      <c r="AC645" s="70" t="s">
        <v>178</v>
      </c>
      <c r="AD645" s="64" t="str">
        <f>IF(AC645&lt;&gt;0,VLOOKUP(AC645,DM_NV,2,0),"")</f>
        <v>Lê Hoàng Quân</v>
      </c>
      <c r="AE645" s="68"/>
      <c r="AF645" s="64" t="str">
        <f>IF(AE645&lt;&gt;0,VLOOKUP(AE645,DM_NV,2,0),"")</f>
        <v/>
      </c>
    </row>
    <row r="646">
      <c r="A646" s="51"/>
      <c r="B646" s="52" t="str">
        <f>IF(D646="","",VLOOKUP(D646,'THAM CHIẾU'!$A:$B,2,0))</f>
        <v>#N/A</v>
      </c>
      <c r="C646" s="53" t="str">
        <f t="shared" si="4"/>
        <v>04/2022</v>
      </c>
      <c r="D646" s="99">
        <v>44664.0</v>
      </c>
      <c r="E646" s="55" t="s">
        <v>700</v>
      </c>
      <c r="F646" s="56"/>
      <c r="G646" s="57" t="s">
        <v>361</v>
      </c>
      <c r="H646" s="58" t="str">
        <f>IF(G646="","",VLOOKUP($G646,'Quy chuẩn hạch toán'!$B:$E,2,0))</f>
        <v>#N/A</v>
      </c>
      <c r="I646" s="58" t="str">
        <f>IF(H646="","",VLOOKUP($G646,'Quy chuẩn hạch toán'!$B:$E,3,0))</f>
        <v>#N/A</v>
      </c>
      <c r="J646" s="59">
        <v>-1.0858293E7</v>
      </c>
      <c r="K646" s="60"/>
      <c r="L646" s="61"/>
      <c r="M646" s="62"/>
      <c r="N646" s="63"/>
      <c r="O646" s="64"/>
      <c r="P646" s="64"/>
      <c r="Q646" s="65"/>
      <c r="R646" s="64" t="str">
        <f>IF(S646&lt;&gt;0,VLOOKUP(S646,DM_DUAN,3,0),"")</f>
        <v>#N/A</v>
      </c>
      <c r="S646" s="66" t="str">
        <f>IF(U646&lt;&gt;0,VLOOKUP(U646,DM_DUAN,3,0),"")</f>
        <v/>
      </c>
      <c r="T646" s="64"/>
      <c r="U646" s="67"/>
      <c r="V646" s="64" t="str">
        <f>IF(W646&lt;&gt;0,VLOOKUP(W646,DM_DUAN,3,0),"")</f>
        <v/>
      </c>
      <c r="W646" s="68"/>
      <c r="X646" s="64" t="str">
        <f>IF(Y646&lt;&gt;0,VLOOKUP(Y646,DM_DUAN,3,0),"")</f>
        <v/>
      </c>
      <c r="Y646" s="69"/>
      <c r="Z646" s="64" t="str">
        <f>IF(AA646&lt;&gt;0,VLOOKUP(AA646,DM_DUAN,3,0),"")</f>
        <v>#N/A</v>
      </c>
      <c r="AA646" s="70" t="s">
        <v>177</v>
      </c>
      <c r="AB646" s="64" t="str">
        <f>IF(AC646&lt;&gt;0,VLOOKUP(AC646,DM_DUAN,3,0),"")</f>
        <v>#N/A</v>
      </c>
      <c r="AC646" s="70" t="s">
        <v>335</v>
      </c>
      <c r="AD646" s="64" t="str">
        <f>IF(AC646&lt;&gt;0,VLOOKUP(AC646,DM_NV,2,0),"")</f>
        <v>Trần Phước Thành</v>
      </c>
      <c r="AE646" s="68"/>
      <c r="AF646" s="64" t="str">
        <f>IF(AE646&lt;&gt;0,VLOOKUP(AE646,DM_NV,2,0),"")</f>
        <v/>
      </c>
    </row>
    <row r="647">
      <c r="A647" s="51"/>
      <c r="B647" s="52" t="str">
        <f>IF(D647="","",VLOOKUP(D647,'THAM CHIẾU'!$A:$B,2,0))</f>
        <v>#N/A</v>
      </c>
      <c r="C647" s="53" t="str">
        <f t="shared" si="4"/>
        <v>04/2022</v>
      </c>
      <c r="D647" s="99">
        <v>44664.0</v>
      </c>
      <c r="E647" s="55" t="s">
        <v>701</v>
      </c>
      <c r="F647" s="56"/>
      <c r="G647" s="57" t="s">
        <v>361</v>
      </c>
      <c r="H647" s="58" t="str">
        <f>IF(G647="","",VLOOKUP($G647,'Quy chuẩn hạch toán'!$B:$E,2,0))</f>
        <v>#N/A</v>
      </c>
      <c r="I647" s="58" t="str">
        <f>IF(H647="","",VLOOKUP($G647,'Quy chuẩn hạch toán'!$B:$E,3,0))</f>
        <v>#N/A</v>
      </c>
      <c r="J647" s="59">
        <v>-3.962185E7</v>
      </c>
      <c r="K647" s="60"/>
      <c r="L647" s="61"/>
      <c r="M647" s="62"/>
      <c r="N647" s="63"/>
      <c r="O647" s="64"/>
      <c r="P647" s="64"/>
      <c r="Q647" s="65"/>
      <c r="R647" s="64" t="str">
        <f>IF(S647&lt;&gt;0,VLOOKUP(S647,DM_DUAN,3,0),"")</f>
        <v>#N/A</v>
      </c>
      <c r="S647" s="66" t="str">
        <f>IF(U647&lt;&gt;0,VLOOKUP(U647,DM_DUAN,3,0),"")</f>
        <v/>
      </c>
      <c r="T647" s="64"/>
      <c r="U647" s="67"/>
      <c r="V647" s="64" t="str">
        <f>IF(W647&lt;&gt;0,VLOOKUP(W647,DM_DUAN,3,0),"")</f>
        <v/>
      </c>
      <c r="W647" s="68"/>
      <c r="X647" s="64" t="str">
        <f>IF(Y647&lt;&gt;0,VLOOKUP(Y647,DM_DUAN,3,0),"")</f>
        <v/>
      </c>
      <c r="Y647" s="69"/>
      <c r="Z647" s="64" t="str">
        <f>IF(AA647&lt;&gt;0,VLOOKUP(AA647,DM_DUAN,3,0),"")</f>
        <v>#N/A</v>
      </c>
      <c r="AA647" s="70" t="s">
        <v>210</v>
      </c>
      <c r="AB647" s="64" t="str">
        <f>IF(AC647&lt;&gt;0,VLOOKUP(AC647,DM_DUAN,3,0),"")</f>
        <v>#N/A</v>
      </c>
      <c r="AC647" s="70" t="s">
        <v>217</v>
      </c>
      <c r="AD647" s="64" t="str">
        <f>IF(AC647&lt;&gt;0,VLOOKUP(AC647,DM_NV,2,0),"")</f>
        <v>Nguyễn Thị Mai Thu</v>
      </c>
      <c r="AE647" s="68"/>
      <c r="AF647" s="64" t="str">
        <f>IF(AE647&lt;&gt;0,VLOOKUP(AE647,DM_NV,2,0),"")</f>
        <v/>
      </c>
    </row>
    <row r="648">
      <c r="A648" s="51"/>
      <c r="B648" s="52" t="str">
        <f>IF(D648="","",VLOOKUP(D648,'THAM CHIẾU'!$A:$B,2,0))</f>
        <v>#N/A</v>
      </c>
      <c r="C648" s="53" t="str">
        <f t="shared" si="4"/>
        <v>04/2022</v>
      </c>
      <c r="D648" s="99">
        <v>44664.0</v>
      </c>
      <c r="E648" s="55" t="s">
        <v>702</v>
      </c>
      <c r="F648" s="56"/>
      <c r="G648" s="57" t="s">
        <v>361</v>
      </c>
      <c r="H648" s="58" t="str">
        <f>IF(G648="","",VLOOKUP($G648,'Quy chuẩn hạch toán'!$B:$E,2,0))</f>
        <v>#N/A</v>
      </c>
      <c r="I648" s="58" t="str">
        <f>IF(H648="","",VLOOKUP($G648,'Quy chuẩn hạch toán'!$B:$E,3,0))</f>
        <v>#N/A</v>
      </c>
      <c r="J648" s="59">
        <v>-4.1239068E7</v>
      </c>
      <c r="K648" s="60"/>
      <c r="L648" s="61"/>
      <c r="M648" s="62"/>
      <c r="N648" s="63"/>
      <c r="O648" s="64"/>
      <c r="P648" s="64"/>
      <c r="Q648" s="65"/>
      <c r="R648" s="64" t="str">
        <f>IF(S648&lt;&gt;0,VLOOKUP(S648,DM_DUAN,3,0),"")</f>
        <v>#N/A</v>
      </c>
      <c r="S648" s="66" t="str">
        <f>IF(U648&lt;&gt;0,VLOOKUP(U648,DM_DUAN,3,0),"")</f>
        <v/>
      </c>
      <c r="T648" s="64"/>
      <c r="U648" s="67"/>
      <c r="V648" s="64" t="str">
        <f>IF(W648&lt;&gt;0,VLOOKUP(W648,DM_DUAN,3,0),"")</f>
        <v/>
      </c>
      <c r="W648" s="68"/>
      <c r="X648" s="64" t="str">
        <f>IF(Y648&lt;&gt;0,VLOOKUP(Y648,DM_DUAN,3,0),"")</f>
        <v/>
      </c>
      <c r="Y648" s="69"/>
      <c r="Z648" s="64" t="str">
        <f>IF(AA648&lt;&gt;0,VLOOKUP(AA648,DM_DUAN,3,0),"")</f>
        <v>#N/A</v>
      </c>
      <c r="AA648" s="70" t="s">
        <v>210</v>
      </c>
      <c r="AB648" s="64" t="str">
        <f>IF(AC648&lt;&gt;0,VLOOKUP(AC648,DM_DUAN,3,0),"")</f>
        <v>#N/A</v>
      </c>
      <c r="AC648" s="70" t="s">
        <v>335</v>
      </c>
      <c r="AD648" s="64" t="str">
        <f>IF(AC648&lt;&gt;0,VLOOKUP(AC648,DM_NV,2,0),"")</f>
        <v>Trần Phước Thành</v>
      </c>
      <c r="AE648" s="68"/>
      <c r="AF648" s="64" t="str">
        <f>IF(AE648&lt;&gt;0,VLOOKUP(AE648,DM_NV,2,0),"")</f>
        <v/>
      </c>
    </row>
    <row r="649">
      <c r="A649" s="51"/>
      <c r="B649" s="52" t="str">
        <f>IF(D649="","",VLOOKUP(D649,'THAM CHIẾU'!$A:$B,2,0))</f>
        <v>#N/A</v>
      </c>
      <c r="C649" s="53" t="str">
        <f t="shared" si="4"/>
        <v>04/2022</v>
      </c>
      <c r="D649" s="99">
        <v>44664.0</v>
      </c>
      <c r="E649" s="55" t="s">
        <v>703</v>
      </c>
      <c r="F649" s="56"/>
      <c r="G649" s="57" t="s">
        <v>361</v>
      </c>
      <c r="H649" s="58" t="str">
        <f>IF(G649="","",VLOOKUP($G649,'Quy chuẩn hạch toán'!$B:$E,2,0))</f>
        <v>#N/A</v>
      </c>
      <c r="I649" s="58" t="str">
        <f>IF(H649="","",VLOOKUP($G649,'Quy chuẩn hạch toán'!$B:$E,3,0))</f>
        <v>#N/A</v>
      </c>
      <c r="J649" s="59">
        <v>-1.8443204E7</v>
      </c>
      <c r="K649" s="60"/>
      <c r="L649" s="61"/>
      <c r="M649" s="62"/>
      <c r="N649" s="63"/>
      <c r="O649" s="64"/>
      <c r="P649" s="64"/>
      <c r="Q649" s="65"/>
      <c r="R649" s="64" t="str">
        <f>IF(S649&lt;&gt;0,VLOOKUP(S649,DM_DUAN,3,0),"")</f>
        <v>#N/A</v>
      </c>
      <c r="S649" s="66" t="str">
        <f>IF(U649&lt;&gt;0,VLOOKUP(U649,DM_DUAN,3,0),"")</f>
        <v/>
      </c>
      <c r="T649" s="64"/>
      <c r="U649" s="67"/>
      <c r="V649" s="64" t="str">
        <f>IF(W649&lt;&gt;0,VLOOKUP(W649,DM_DUAN,3,0),"")</f>
        <v/>
      </c>
      <c r="W649" s="68"/>
      <c r="X649" s="64" t="str">
        <f>IF(Y649&lt;&gt;0,VLOOKUP(Y649,DM_DUAN,3,0),"")</f>
        <v/>
      </c>
      <c r="Y649" s="69"/>
      <c r="Z649" s="64" t="str">
        <f>IF(AA649&lt;&gt;0,VLOOKUP(AA649,DM_DUAN,3,0),"")</f>
        <v>#N/A</v>
      </c>
      <c r="AA649" s="70" t="s">
        <v>664</v>
      </c>
      <c r="AB649" s="64" t="str">
        <f>IF(AC649&lt;&gt;0,VLOOKUP(AC649,DM_DUAN,3,0),"")</f>
        <v>#N/A</v>
      </c>
      <c r="AC649" s="70" t="s">
        <v>335</v>
      </c>
      <c r="AD649" s="64" t="str">
        <f>IF(AC649&lt;&gt;0,VLOOKUP(AC649,DM_NV,2,0),"")</f>
        <v>Trần Phước Thành</v>
      </c>
      <c r="AE649" s="68"/>
      <c r="AF649" s="64" t="str">
        <f>IF(AE649&lt;&gt;0,VLOOKUP(AE649,DM_NV,2,0),"")</f>
        <v/>
      </c>
    </row>
    <row r="650">
      <c r="A650" s="51"/>
      <c r="B650" s="52" t="str">
        <f>IF(D650="","",VLOOKUP(D650,'THAM CHIẾU'!$A:$B,2,0))</f>
        <v/>
      </c>
      <c r="C650" s="53" t="str">
        <f t="shared" si="4"/>
        <v/>
      </c>
      <c r="D650" s="99"/>
      <c r="E650" s="55"/>
      <c r="F650" s="56"/>
      <c r="G650" s="90"/>
      <c r="H650" s="58" t="str">
        <f>IF(G650="","",VLOOKUP($G650,'Quy chuẩn hạch toán'!$B:$E,2,0))</f>
        <v/>
      </c>
      <c r="I650" s="58" t="str">
        <f>IF(H650="","",VLOOKUP($G650,'Quy chuẩn hạch toán'!$B:$E,3,0))</f>
        <v/>
      </c>
      <c r="J650" s="59"/>
      <c r="K650" s="60"/>
      <c r="L650" s="61"/>
      <c r="M650" s="62"/>
      <c r="N650" s="63"/>
      <c r="O650" s="64" t="str">
        <f>IF($Q650&lt;&gt;0,VLOOKUP($Q650,DM_KM,3,0),"")</f>
        <v/>
      </c>
      <c r="P650" s="64" t="str">
        <f>IF($Q650&lt;&gt;0,VLOOKUP($Q650,DM_KM,5,0),"")</f>
        <v/>
      </c>
      <c r="Q650" s="65"/>
      <c r="R650" s="64" t="str">
        <f>IF(S650&lt;&gt;0,VLOOKUP(S650,DM_DUAN,3,0),"")</f>
        <v>#N/A</v>
      </c>
      <c r="S650" s="66" t="str">
        <f>IF(U650&lt;&gt;0,VLOOKUP(U650,DM_DUAN,3,0),"")</f>
        <v/>
      </c>
      <c r="T650" s="64"/>
      <c r="U650" s="93"/>
      <c r="V650" s="64" t="str">
        <f>IF(W650&lt;&gt;0,VLOOKUP(W650,DM_DUAN,3,0),"")</f>
        <v/>
      </c>
      <c r="W650" s="68"/>
      <c r="X650" s="64" t="str">
        <f>IF(Y650&lt;&gt;0,VLOOKUP(Y650,DM_DUAN,3,0),"")</f>
        <v/>
      </c>
      <c r="Y650" s="84"/>
      <c r="Z650" s="64" t="str">
        <f>IF(AA650&lt;&gt;0,VLOOKUP(AA650,DM_DUAN,3,0),"")</f>
        <v/>
      </c>
      <c r="AA650" s="70"/>
      <c r="AB650" s="64" t="str">
        <f>IF(AC650&lt;&gt;0,VLOOKUP(AC650,DM_DUAN,3,0),"")</f>
        <v/>
      </c>
      <c r="AC650" s="85"/>
      <c r="AD650" s="64" t="str">
        <f>IF(AC650&lt;&gt;0,VLOOKUP(AC650,DM_NV,2,0),"")</f>
        <v/>
      </c>
      <c r="AE650" s="68"/>
      <c r="AF650" s="64" t="str">
        <f>IF(AE650&lt;&gt;0,VLOOKUP(AE650,DM_NV,2,0),"")</f>
        <v/>
      </c>
    </row>
    <row r="651">
      <c r="A651" s="51"/>
      <c r="B651" s="52" t="str">
        <f>IF(D651="","",VLOOKUP(D651,'THAM CHIẾU'!$A:$B,2,0))</f>
        <v/>
      </c>
      <c r="C651" s="53" t="str">
        <f t="shared" si="4"/>
        <v/>
      </c>
      <c r="D651" s="99"/>
      <c r="E651" s="55"/>
      <c r="F651" s="56"/>
      <c r="G651" s="90"/>
      <c r="H651" s="58" t="str">
        <f>IF(G651="","",VLOOKUP($G651,'Quy chuẩn hạch toán'!$B:$E,2,0))</f>
        <v/>
      </c>
      <c r="I651" s="58" t="str">
        <f>IF(H651="","",VLOOKUP($G651,'Quy chuẩn hạch toán'!$B:$E,3,0))</f>
        <v/>
      </c>
      <c r="J651" s="59"/>
      <c r="K651" s="60"/>
      <c r="L651" s="61"/>
      <c r="M651" s="62"/>
      <c r="N651" s="63"/>
      <c r="O651" s="64" t="str">
        <f>IF($Q651&lt;&gt;0,VLOOKUP($Q651,DM_KM,3,0),"")</f>
        <v/>
      </c>
      <c r="P651" s="64" t="str">
        <f>IF($Q651&lt;&gt;0,VLOOKUP($Q651,DM_KM,5,0),"")</f>
        <v/>
      </c>
      <c r="Q651" s="65"/>
      <c r="R651" s="64" t="str">
        <f>IF(S651&lt;&gt;0,VLOOKUP(S651,DM_DUAN,3,0),"")</f>
        <v>#N/A</v>
      </c>
      <c r="S651" s="66" t="str">
        <f>IF(U651&lt;&gt;0,VLOOKUP(U651,DM_DUAN,3,0),"")</f>
        <v/>
      </c>
      <c r="T651" s="64"/>
      <c r="U651" s="93"/>
      <c r="V651" s="64" t="str">
        <f>IF(W651&lt;&gt;0,VLOOKUP(W651,DM_DUAN,3,0),"")</f>
        <v/>
      </c>
      <c r="W651" s="68"/>
      <c r="X651" s="64" t="str">
        <f>IF(Y651&lt;&gt;0,VLOOKUP(Y651,DM_DUAN,3,0),"")</f>
        <v/>
      </c>
      <c r="Y651" s="84"/>
      <c r="Z651" s="64" t="str">
        <f>IF(AA651&lt;&gt;0,VLOOKUP(AA651,DM_DUAN,3,0),"")</f>
        <v/>
      </c>
      <c r="AA651" s="131"/>
      <c r="AB651" s="64" t="str">
        <f>IF(AC651&lt;&gt;0,VLOOKUP(AC651,DM_DUAN,3,0),"")</f>
        <v/>
      </c>
      <c r="AC651" s="85"/>
      <c r="AD651" s="64" t="str">
        <f>IF(AC651&lt;&gt;0,VLOOKUP(AC651,DM_NV,2,0),"")</f>
        <v/>
      </c>
      <c r="AE651" s="68"/>
      <c r="AF651" s="64" t="str">
        <f>IF(AE651&lt;&gt;0,VLOOKUP(AE651,DM_NV,2,0),"")</f>
        <v/>
      </c>
    </row>
    <row r="652">
      <c r="A652" s="51"/>
      <c r="B652" s="52" t="str">
        <f>IF(D652="","",VLOOKUP(D652,'THAM CHIẾU'!$A:$B,2,0))</f>
        <v/>
      </c>
      <c r="C652" s="53" t="str">
        <f t="shared" si="4"/>
        <v/>
      </c>
      <c r="D652" s="99"/>
      <c r="E652" s="55"/>
      <c r="F652" s="56"/>
      <c r="G652" s="90"/>
      <c r="H652" s="58" t="str">
        <f>IF(G652="","",VLOOKUP($G652,'Quy chuẩn hạch toán'!$B:$E,2,0))</f>
        <v/>
      </c>
      <c r="I652" s="58" t="str">
        <f>IF(H652="","",VLOOKUP($G652,'Quy chuẩn hạch toán'!$B:$E,3,0))</f>
        <v/>
      </c>
      <c r="J652" s="59"/>
      <c r="K652" s="60"/>
      <c r="L652" s="61"/>
      <c r="M652" s="62"/>
      <c r="N652" s="63"/>
      <c r="O652" s="64" t="str">
        <f>IF($Q652&lt;&gt;0,VLOOKUP($Q652,DM_KM,3,0),"")</f>
        <v/>
      </c>
      <c r="P652" s="64" t="str">
        <f>IF($Q652&lt;&gt;0,VLOOKUP($Q652,DM_KM,5,0),"")</f>
        <v/>
      </c>
      <c r="Q652" s="65"/>
      <c r="R652" s="64" t="str">
        <f>IF(S652&lt;&gt;0,VLOOKUP(S652,DM_DUAN,3,0),"")</f>
        <v>#N/A</v>
      </c>
      <c r="S652" s="66" t="str">
        <f>IF(U652&lt;&gt;0,VLOOKUP(U652,DM_DUAN,3,0),"")</f>
        <v/>
      </c>
      <c r="T652" s="64"/>
      <c r="U652" s="93"/>
      <c r="V652" s="64" t="str">
        <f>IF(W652&lt;&gt;0,VLOOKUP(W652,DM_DUAN,3,0),"")</f>
        <v/>
      </c>
      <c r="W652" s="68"/>
      <c r="X652" s="64" t="str">
        <f>IF(Y652&lt;&gt;0,VLOOKUP(Y652,DM_DUAN,3,0),"")</f>
        <v/>
      </c>
      <c r="Y652" s="84"/>
      <c r="Z652" s="64" t="str">
        <f>IF(AA652&lt;&gt;0,VLOOKUP(AA652,DM_DUAN,3,0),"")</f>
        <v/>
      </c>
      <c r="AA652" s="70"/>
      <c r="AB652" s="64" t="str">
        <f>IF(AC652&lt;&gt;0,VLOOKUP(AC652,DM_DUAN,3,0),"")</f>
        <v/>
      </c>
      <c r="AC652" s="85"/>
      <c r="AD652" s="64" t="str">
        <f>IF(AC652&lt;&gt;0,VLOOKUP(AC652,DM_NV,2,0),"")</f>
        <v/>
      </c>
      <c r="AE652" s="68"/>
      <c r="AF652" s="64" t="str">
        <f>IF(AE652&lt;&gt;0,VLOOKUP(AE652,DM_NV,2,0),"")</f>
        <v/>
      </c>
    </row>
    <row r="653">
      <c r="A653" s="51"/>
      <c r="B653" s="52" t="str">
        <f>IF(D653="","",VLOOKUP(D653,'THAM CHIẾU'!$A:$B,2,0))</f>
        <v/>
      </c>
      <c r="C653" s="53" t="str">
        <f t="shared" si="4"/>
        <v/>
      </c>
      <c r="D653" s="99"/>
      <c r="E653" s="55"/>
      <c r="F653" s="56"/>
      <c r="G653" s="90"/>
      <c r="H653" s="58" t="str">
        <f>IF(G653="","",VLOOKUP($G653,'Quy chuẩn hạch toán'!$B:$E,2,0))</f>
        <v/>
      </c>
      <c r="I653" s="58" t="str">
        <f>IF(H653="","",VLOOKUP($G653,'Quy chuẩn hạch toán'!$B:$E,3,0))</f>
        <v/>
      </c>
      <c r="J653" s="59"/>
      <c r="K653" s="60"/>
      <c r="L653" s="61"/>
      <c r="M653" s="62"/>
      <c r="N653" s="63"/>
      <c r="O653" s="64" t="str">
        <f>IF($Q653&lt;&gt;0,VLOOKUP($Q653,DM_KM,3,0),"")</f>
        <v/>
      </c>
      <c r="P653" s="64" t="str">
        <f>IF($Q653&lt;&gt;0,VLOOKUP($Q653,DM_KM,5,0),"")</f>
        <v/>
      </c>
      <c r="Q653" s="65"/>
      <c r="R653" s="64" t="str">
        <f>IF(S653&lt;&gt;0,VLOOKUP(S653,DM_DUAN,3,0),"")</f>
        <v>#N/A</v>
      </c>
      <c r="S653" s="66" t="str">
        <f>IF(U653&lt;&gt;0,VLOOKUP(U653,DM_DUAN,3,0),"")</f>
        <v/>
      </c>
      <c r="T653" s="64"/>
      <c r="U653" s="93"/>
      <c r="V653" s="64" t="str">
        <f>IF(W653&lt;&gt;0,VLOOKUP(W653,DM_DUAN,3,0),"")</f>
        <v/>
      </c>
      <c r="W653" s="68"/>
      <c r="X653" s="64" t="str">
        <f>IF(Y653&lt;&gt;0,VLOOKUP(Y653,DM_DUAN,3,0),"")</f>
        <v/>
      </c>
      <c r="Y653" s="84"/>
      <c r="Z653" s="64" t="str">
        <f>IF(AA653&lt;&gt;0,VLOOKUP(AA653,DM_DUAN,3,0),"")</f>
        <v/>
      </c>
      <c r="AA653" s="70"/>
      <c r="AB653" s="64" t="str">
        <f>IF(AC653&lt;&gt;0,VLOOKUP(AC653,DM_DUAN,3,0),"")</f>
        <v/>
      </c>
      <c r="AC653" s="85"/>
      <c r="AD653" s="64" t="str">
        <f>IF(AC653&lt;&gt;0,VLOOKUP(AC653,DM_NV,2,0),"")</f>
        <v/>
      </c>
      <c r="AE653" s="68"/>
      <c r="AF653" s="64" t="str">
        <f>IF(AE653&lt;&gt;0,VLOOKUP(AE653,DM_NV,2,0),"")</f>
        <v/>
      </c>
    </row>
    <row r="654">
      <c r="A654" s="51"/>
      <c r="B654" s="52" t="str">
        <f>IF(D654="","",VLOOKUP(D654,'THAM CHIẾU'!$A:$B,2,0))</f>
        <v>#N/A</v>
      </c>
      <c r="C654" s="53" t="str">
        <f t="shared" si="4"/>
        <v>04/2022</v>
      </c>
      <c r="D654" s="99">
        <v>44652.0</v>
      </c>
      <c r="E654" s="79" t="s">
        <v>704</v>
      </c>
      <c r="F654" s="80"/>
      <c r="G654" s="57" t="s">
        <v>225</v>
      </c>
      <c r="H654" s="58" t="str">
        <f>IF(G654="","",VLOOKUP($G654,'Quy chuẩn hạch toán'!$B:$E,2,0))</f>
        <v>154</v>
      </c>
      <c r="I654" s="58" t="str">
        <f>IF(H654="","",VLOOKUP($G654,'Quy chuẩn hạch toán'!$B:$E,3,0))</f>
        <v>1111</v>
      </c>
      <c r="J654" s="59">
        <v>147368.0</v>
      </c>
      <c r="K654" s="60"/>
      <c r="L654" s="61"/>
      <c r="M654" s="62"/>
      <c r="N654" s="63"/>
      <c r="O654" s="64" t="str">
        <f>IF($Q654&lt;&gt;0,VLOOKUP($Q654,DM_KM,3,0),"")</f>
        <v>#N/A</v>
      </c>
      <c r="P654" s="64" t="str">
        <f>IF($Q654&lt;&gt;0,VLOOKUP($Q654,DM_KM,5,0),"")</f>
        <v>#N/A</v>
      </c>
      <c r="Q654" s="65" t="s">
        <v>226</v>
      </c>
      <c r="R654" s="64" t="str">
        <f>IF(S654&lt;&gt;0,VLOOKUP(S654,DM_DUAN,3,0),"")</f>
        <v>#N/A</v>
      </c>
      <c r="S654" s="66" t="str">
        <f>IF(U654&lt;&gt;0,VLOOKUP(U654,DM_DUAN,3,0),"")</f>
        <v/>
      </c>
      <c r="T654" s="64"/>
      <c r="U654" s="67"/>
      <c r="V654" s="64" t="str">
        <f>IF(W654&lt;&gt;0,VLOOKUP(W654,DM_DUAN,3,0),"")</f>
        <v/>
      </c>
      <c r="W654" s="68"/>
      <c r="X654" s="64" t="str">
        <f>IF(Y654&lt;&gt;0,VLOOKUP(Y654,DM_DUAN,3,0),"")</f>
        <v>#N/A</v>
      </c>
      <c r="Y654" s="69" t="s">
        <v>176</v>
      </c>
      <c r="Z654" s="64" t="str">
        <f>IF(AA654&lt;&gt;0,VLOOKUP(AA654,DM_DUAN,3,0),"")</f>
        <v>#N/A</v>
      </c>
      <c r="AA654" s="70" t="s">
        <v>705</v>
      </c>
      <c r="AB654" s="64" t="str">
        <f>IF(AC654&lt;&gt;0,VLOOKUP(AC654,DM_DUAN,3,0),"")</f>
        <v/>
      </c>
      <c r="AC654" s="85"/>
      <c r="AD654" s="64" t="str">
        <f>IF(AC654&lt;&gt;0,VLOOKUP(AC654,DM_NV,2,0),"")</f>
        <v/>
      </c>
      <c r="AE654" s="83" t="s">
        <v>227</v>
      </c>
      <c r="AF654" s="64" t="str">
        <f>IF(AE654&lt;&gt;0,VLOOKUP(AE654,DM_NV,2,0),"")</f>
        <v>#N/A</v>
      </c>
    </row>
    <row r="655">
      <c r="A655" s="51"/>
      <c r="B655" s="52" t="str">
        <f>IF(D655="","",VLOOKUP(D655,'THAM CHIẾU'!$A:$B,2,0))</f>
        <v>#N/A</v>
      </c>
      <c r="C655" s="53" t="str">
        <f t="shared" si="4"/>
        <v>04/2022</v>
      </c>
      <c r="D655" s="99">
        <v>44652.0</v>
      </c>
      <c r="E655" s="55" t="s">
        <v>704</v>
      </c>
      <c r="F655" s="56"/>
      <c r="G655" s="57" t="s">
        <v>225</v>
      </c>
      <c r="H655" s="58" t="str">
        <f>IF(G655="","",VLOOKUP($G655,'Quy chuẩn hạch toán'!$B:$E,2,0))</f>
        <v>154</v>
      </c>
      <c r="I655" s="58" t="str">
        <f>IF(H655="","",VLOOKUP($G655,'Quy chuẩn hạch toán'!$B:$E,3,0))</f>
        <v>1111</v>
      </c>
      <c r="J655" s="59">
        <v>294737.0</v>
      </c>
      <c r="K655" s="60"/>
      <c r="L655" s="61"/>
      <c r="M655" s="62"/>
      <c r="N655" s="63"/>
      <c r="O655" s="64" t="str">
        <f>IF($Q655&lt;&gt;0,VLOOKUP($Q655,DM_KM,3,0),"")</f>
        <v>#N/A</v>
      </c>
      <c r="P655" s="64" t="str">
        <f>IF($Q655&lt;&gt;0,VLOOKUP($Q655,DM_KM,5,0),"")</f>
        <v>#N/A</v>
      </c>
      <c r="Q655" s="65" t="s">
        <v>226</v>
      </c>
      <c r="R655" s="64" t="str">
        <f>IF(S655&lt;&gt;0,VLOOKUP(S655,DM_DUAN,3,0),"")</f>
        <v>#N/A</v>
      </c>
      <c r="S655" s="66" t="str">
        <f>IF(U655&lt;&gt;0,VLOOKUP(U655,DM_DUAN,3,0),"")</f>
        <v/>
      </c>
      <c r="T655" s="64"/>
      <c r="U655" s="93"/>
      <c r="V655" s="64" t="str">
        <f>IF(W655&lt;&gt;0,VLOOKUP(W655,DM_DUAN,3,0),"")</f>
        <v/>
      </c>
      <c r="W655" s="68"/>
      <c r="X655" s="64" t="str">
        <f>IF(Y655&lt;&gt;0,VLOOKUP(Y655,DM_DUAN,3,0),"")</f>
        <v>#N/A</v>
      </c>
      <c r="Y655" s="69" t="s">
        <v>176</v>
      </c>
      <c r="Z655" s="64" t="str">
        <f>IF(AA655&lt;&gt;0,VLOOKUP(AA655,DM_DUAN,3,0),"")</f>
        <v>#N/A</v>
      </c>
      <c r="AA655" s="70" t="s">
        <v>183</v>
      </c>
      <c r="AB655" s="64" t="str">
        <f>IF(AC655&lt;&gt;0,VLOOKUP(AC655,DM_DUAN,3,0),"")</f>
        <v/>
      </c>
      <c r="AC655" s="85"/>
      <c r="AD655" s="64" t="str">
        <f>IF(AC655&lt;&gt;0,VLOOKUP(AC655,DM_NV,2,0),"")</f>
        <v/>
      </c>
      <c r="AE655" s="83" t="s">
        <v>227</v>
      </c>
      <c r="AF655" s="64" t="str">
        <f>IF(AE655&lt;&gt;0,VLOOKUP(AE655,DM_NV,2,0),"")</f>
        <v>#N/A</v>
      </c>
    </row>
    <row r="656">
      <c r="A656" s="51"/>
      <c r="B656" s="52" t="str">
        <f>IF(D656="","",VLOOKUP(D656,'THAM CHIẾU'!$A:$B,2,0))</f>
        <v>#N/A</v>
      </c>
      <c r="C656" s="53" t="str">
        <f t="shared" si="4"/>
        <v>04/2022</v>
      </c>
      <c r="D656" s="99">
        <v>44652.0</v>
      </c>
      <c r="E656" s="55" t="s">
        <v>704</v>
      </c>
      <c r="F656" s="56"/>
      <c r="G656" s="57" t="s">
        <v>225</v>
      </c>
      <c r="H656" s="58" t="str">
        <f>IF(G656="","",VLOOKUP($G656,'Quy chuẩn hạch toán'!$B:$E,2,0))</f>
        <v>154</v>
      </c>
      <c r="I656" s="58" t="str">
        <f>IF(H656="","",VLOOKUP($G656,'Quy chuẩn hạch toán'!$B:$E,3,0))</f>
        <v>1111</v>
      </c>
      <c r="J656" s="59">
        <v>110526.0</v>
      </c>
      <c r="K656" s="60"/>
      <c r="L656" s="61"/>
      <c r="M656" s="62"/>
      <c r="N656" s="63"/>
      <c r="O656" s="64" t="str">
        <f>IF($Q656&lt;&gt;0,VLOOKUP($Q656,DM_KM,3,0),"")</f>
        <v>#N/A</v>
      </c>
      <c r="P656" s="64" t="str">
        <f>IF($Q656&lt;&gt;0,VLOOKUP($Q656,DM_KM,5,0),"")</f>
        <v>#N/A</v>
      </c>
      <c r="Q656" s="65" t="s">
        <v>226</v>
      </c>
      <c r="R656" s="64" t="str">
        <f>IF(S656&lt;&gt;0,VLOOKUP(S656,DM_DUAN,3,0),"")</f>
        <v>#N/A</v>
      </c>
      <c r="S656" s="66" t="str">
        <f>IF(U656&lt;&gt;0,VLOOKUP(U656,DM_DUAN,3,0),"")</f>
        <v/>
      </c>
      <c r="T656" s="64"/>
      <c r="U656" s="93"/>
      <c r="V656" s="64" t="str">
        <f>IF(W656&lt;&gt;0,VLOOKUP(W656,DM_DUAN,3,0),"")</f>
        <v/>
      </c>
      <c r="W656" s="68"/>
      <c r="X656" s="64" t="str">
        <f>IF(Y656&lt;&gt;0,VLOOKUP(Y656,DM_DUAN,3,0),"")</f>
        <v>#N/A</v>
      </c>
      <c r="Y656" s="69" t="s">
        <v>176</v>
      </c>
      <c r="Z656" s="64" t="str">
        <f>IF(AA656&lt;&gt;0,VLOOKUP(AA656,DM_DUAN,3,0),"")</f>
        <v>#N/A</v>
      </c>
      <c r="AA656" s="70" t="s">
        <v>177</v>
      </c>
      <c r="AB656" s="64" t="str">
        <f>IF(AC656&lt;&gt;0,VLOOKUP(AC656,DM_DUAN,3,0),"")</f>
        <v/>
      </c>
      <c r="AC656" s="85"/>
      <c r="AD656" s="64" t="str">
        <f>IF(AC656&lt;&gt;0,VLOOKUP(AC656,DM_NV,2,0),"")</f>
        <v/>
      </c>
      <c r="AE656" s="83" t="s">
        <v>227</v>
      </c>
      <c r="AF656" s="64" t="str">
        <f>IF(AE656&lt;&gt;0,VLOOKUP(AE656,DM_NV,2,0),"")</f>
        <v>#N/A</v>
      </c>
    </row>
    <row r="657">
      <c r="A657" s="51"/>
      <c r="B657" s="52" t="str">
        <f>IF(D657="","",VLOOKUP(D657,'THAM CHIẾU'!$A:$B,2,0))</f>
        <v>#N/A</v>
      </c>
      <c r="C657" s="53" t="str">
        <f t="shared" si="4"/>
        <v>04/2022</v>
      </c>
      <c r="D657" s="99">
        <v>44652.0</v>
      </c>
      <c r="E657" s="55" t="s">
        <v>704</v>
      </c>
      <c r="F657" s="56"/>
      <c r="G657" s="57" t="s">
        <v>225</v>
      </c>
      <c r="H657" s="58" t="str">
        <f>IF(G657="","",VLOOKUP($G657,'Quy chuẩn hạch toán'!$B:$E,2,0))</f>
        <v>154</v>
      </c>
      <c r="I657" s="58" t="str">
        <f>IF(H657="","",VLOOKUP($G657,'Quy chuẩn hạch toán'!$B:$E,3,0))</f>
        <v>1111</v>
      </c>
      <c r="J657" s="59">
        <v>147368.0</v>
      </c>
      <c r="K657" s="60"/>
      <c r="L657" s="61"/>
      <c r="M657" s="62"/>
      <c r="N657" s="63"/>
      <c r="O657" s="64" t="str">
        <f>IF($Q657&lt;&gt;0,VLOOKUP($Q657,DM_KM,3,0),"")</f>
        <v>#N/A</v>
      </c>
      <c r="P657" s="64" t="str">
        <f>IF($Q657&lt;&gt;0,VLOOKUP($Q657,DM_KM,5,0),"")</f>
        <v>#N/A</v>
      </c>
      <c r="Q657" s="65" t="s">
        <v>226</v>
      </c>
      <c r="R657" s="64" t="str">
        <f>IF(S657&lt;&gt;0,VLOOKUP(S657,DM_DUAN,3,0),"")</f>
        <v>#N/A</v>
      </c>
      <c r="S657" s="66" t="str">
        <f>IF(U657&lt;&gt;0,VLOOKUP(U657,DM_DUAN,3,0),"")</f>
        <v/>
      </c>
      <c r="T657" s="64"/>
      <c r="U657" s="93"/>
      <c r="V657" s="64" t="str">
        <f>IF(W657&lt;&gt;0,VLOOKUP(W657,DM_DUAN,3,0),"")</f>
        <v/>
      </c>
      <c r="W657" s="68"/>
      <c r="X657" s="64" t="str">
        <f>IF(Y657&lt;&gt;0,VLOOKUP(Y657,DM_DUAN,3,0),"")</f>
        <v>#N/A</v>
      </c>
      <c r="Y657" s="69" t="s">
        <v>176</v>
      </c>
      <c r="Z657" s="64" t="str">
        <f>IF(AA657&lt;&gt;0,VLOOKUP(AA657,DM_DUAN,3,0),"")</f>
        <v>#N/A</v>
      </c>
      <c r="AA657" s="70" t="s">
        <v>210</v>
      </c>
      <c r="AB657" s="64" t="str">
        <f>IF(AC657&lt;&gt;0,VLOOKUP(AC657,DM_DUAN,3,0),"")</f>
        <v/>
      </c>
      <c r="AC657" s="85"/>
      <c r="AD657" s="64" t="str">
        <f>IF(AC657&lt;&gt;0,VLOOKUP(AC657,DM_NV,2,0),"")</f>
        <v/>
      </c>
      <c r="AE657" s="83" t="s">
        <v>227</v>
      </c>
      <c r="AF657" s="64" t="str">
        <f>IF(AE657&lt;&gt;0,VLOOKUP(AE657,DM_NV,2,0),"")</f>
        <v>#N/A</v>
      </c>
    </row>
    <row r="658">
      <c r="A658" s="51"/>
      <c r="B658" s="52" t="str">
        <f>IF(D658="","",VLOOKUP(D658,'THAM CHIẾU'!$A:$B,2,0))</f>
        <v>#N/A</v>
      </c>
      <c r="C658" s="53" t="str">
        <f t="shared" si="4"/>
        <v>04/2022</v>
      </c>
      <c r="D658" s="99">
        <v>44652.0</v>
      </c>
      <c r="E658" s="55" t="s">
        <v>706</v>
      </c>
      <c r="F658" s="56"/>
      <c r="G658" s="57" t="s">
        <v>205</v>
      </c>
      <c r="H658" s="58" t="str">
        <f>IF(G658="","",VLOOKUP($G658,'Quy chuẩn hạch toán'!$B:$E,2,0))</f>
        <v>642</v>
      </c>
      <c r="I658" s="58" t="str">
        <f>IF(H658="","",VLOOKUP($G658,'Quy chuẩn hạch toán'!$B:$E,3,0))</f>
        <v>1111</v>
      </c>
      <c r="J658" s="59">
        <v>42105.0</v>
      </c>
      <c r="K658" s="60"/>
      <c r="L658" s="61"/>
      <c r="M658" s="62"/>
      <c r="N658" s="63"/>
      <c r="O658" s="64" t="str">
        <f>IF($Q658&lt;&gt;0,VLOOKUP($Q658,DM_KM,3,0),"")</f>
        <v>#N/A</v>
      </c>
      <c r="P658" s="64" t="str">
        <f>IF($Q658&lt;&gt;0,VLOOKUP($Q658,DM_KM,5,0),"")</f>
        <v>#N/A</v>
      </c>
      <c r="Q658" s="65" t="s">
        <v>219</v>
      </c>
      <c r="R658" s="64" t="str">
        <f>IF(S658&lt;&gt;0,VLOOKUP(S658,DM_DUAN,3,0),"")</f>
        <v>#N/A</v>
      </c>
      <c r="S658" s="66" t="str">
        <f>IF(U658&lt;&gt;0,VLOOKUP(U658,DM_DUAN,3,0),"")</f>
        <v/>
      </c>
      <c r="T658" s="64"/>
      <c r="U658" s="93"/>
      <c r="V658" s="64" t="str">
        <f>IF(W658&lt;&gt;0,VLOOKUP(W658,DM_DUAN,3,0),"")</f>
        <v/>
      </c>
      <c r="W658" s="68"/>
      <c r="X658" s="64" t="str">
        <f>IF(Y658&lt;&gt;0,VLOOKUP(Y658,DM_DUAN,3,0),"")</f>
        <v>#N/A</v>
      </c>
      <c r="Y658" s="69" t="s">
        <v>207</v>
      </c>
      <c r="Z658" s="64" t="str">
        <f>IF(AA658&lt;&gt;0,VLOOKUP(AA658,DM_DUAN,3,0),"")</f>
        <v>#N/A</v>
      </c>
      <c r="AA658" s="70" t="s">
        <v>705</v>
      </c>
      <c r="AB658" s="64" t="str">
        <f>IF(AC658&lt;&gt;0,VLOOKUP(AC658,DM_DUAN,3,0),"")</f>
        <v/>
      </c>
      <c r="AC658" s="85"/>
      <c r="AD658" s="64" t="str">
        <f>IF(AC658&lt;&gt;0,VLOOKUP(AC658,DM_NV,2,0),"")</f>
        <v/>
      </c>
      <c r="AE658" s="83" t="s">
        <v>220</v>
      </c>
      <c r="AF658" s="64" t="str">
        <f>IF(AE658&lt;&gt;0,VLOOKUP(AE658,DM_NV,2,0),"")</f>
        <v>#N/A</v>
      </c>
    </row>
    <row r="659">
      <c r="A659" s="51"/>
      <c r="B659" s="52" t="str">
        <f>IF(D659="","",VLOOKUP(D659,'THAM CHIẾU'!$A:$B,2,0))</f>
        <v>#N/A</v>
      </c>
      <c r="C659" s="53" t="str">
        <f t="shared" si="4"/>
        <v>04/2022</v>
      </c>
      <c r="D659" s="99">
        <v>44652.0</v>
      </c>
      <c r="E659" s="55" t="s">
        <v>706</v>
      </c>
      <c r="F659" s="56"/>
      <c r="G659" s="57" t="s">
        <v>205</v>
      </c>
      <c r="H659" s="58" t="str">
        <f>IF(G659="","",VLOOKUP($G659,'Quy chuẩn hạch toán'!$B:$E,2,0))</f>
        <v>642</v>
      </c>
      <c r="I659" s="58" t="str">
        <f>IF(H659="","",VLOOKUP($G659,'Quy chuẩn hạch toán'!$B:$E,3,0))</f>
        <v>1111</v>
      </c>
      <c r="J659" s="59">
        <v>84211.0</v>
      </c>
      <c r="K659" s="60"/>
      <c r="L659" s="61"/>
      <c r="M659" s="62"/>
      <c r="N659" s="63"/>
      <c r="O659" s="64" t="str">
        <f>IF($Q659&lt;&gt;0,VLOOKUP($Q659,DM_KM,3,0),"")</f>
        <v>#N/A</v>
      </c>
      <c r="P659" s="64" t="str">
        <f>IF($Q659&lt;&gt;0,VLOOKUP($Q659,DM_KM,5,0),"")</f>
        <v>#N/A</v>
      </c>
      <c r="Q659" s="65" t="s">
        <v>219</v>
      </c>
      <c r="R659" s="64" t="str">
        <f>IF(S659&lt;&gt;0,VLOOKUP(S659,DM_DUAN,3,0),"")</f>
        <v>#N/A</v>
      </c>
      <c r="S659" s="66" t="str">
        <f>IF(U659&lt;&gt;0,VLOOKUP(U659,DM_DUAN,3,0),"")</f>
        <v/>
      </c>
      <c r="T659" s="64"/>
      <c r="U659" s="93"/>
      <c r="V659" s="64" t="str">
        <f>IF(W659&lt;&gt;0,VLOOKUP(W659,DM_DUAN,3,0),"")</f>
        <v/>
      </c>
      <c r="W659" s="68"/>
      <c r="X659" s="64" t="str">
        <f>IF(Y659&lt;&gt;0,VLOOKUP(Y659,DM_DUAN,3,0),"")</f>
        <v>#N/A</v>
      </c>
      <c r="Y659" s="69" t="s">
        <v>207</v>
      </c>
      <c r="Z659" s="64" t="str">
        <f>IF(AA659&lt;&gt;0,VLOOKUP(AA659,DM_DUAN,3,0),"")</f>
        <v>#N/A</v>
      </c>
      <c r="AA659" s="70" t="s">
        <v>183</v>
      </c>
      <c r="AB659" s="64" t="str">
        <f>IF(AC659&lt;&gt;0,VLOOKUP(AC659,DM_DUAN,3,0),"")</f>
        <v/>
      </c>
      <c r="AC659" s="85"/>
      <c r="AD659" s="64" t="str">
        <f>IF(AC659&lt;&gt;0,VLOOKUP(AC659,DM_NV,2,0),"")</f>
        <v/>
      </c>
      <c r="AE659" s="83" t="s">
        <v>220</v>
      </c>
      <c r="AF659" s="64" t="str">
        <f>IF(AE659&lt;&gt;0,VLOOKUP(AE659,DM_NV,2,0),"")</f>
        <v>#N/A</v>
      </c>
    </row>
    <row r="660">
      <c r="A660" s="51"/>
      <c r="B660" s="52" t="str">
        <f>IF(D660="","",VLOOKUP(D660,'THAM CHIẾU'!$A:$B,2,0))</f>
        <v>#N/A</v>
      </c>
      <c r="C660" s="53" t="str">
        <f t="shared" si="4"/>
        <v>04/2022</v>
      </c>
      <c r="D660" s="99">
        <v>44652.0</v>
      </c>
      <c r="E660" s="55" t="s">
        <v>706</v>
      </c>
      <c r="F660" s="56"/>
      <c r="G660" s="57" t="s">
        <v>205</v>
      </c>
      <c r="H660" s="58" t="str">
        <f>IF(G660="","",VLOOKUP($G660,'Quy chuẩn hạch toán'!$B:$E,2,0))</f>
        <v>642</v>
      </c>
      <c r="I660" s="58" t="str">
        <f>IF(H660="","",VLOOKUP($G660,'Quy chuẩn hạch toán'!$B:$E,3,0))</f>
        <v>1111</v>
      </c>
      <c r="J660" s="59">
        <v>31579.0</v>
      </c>
      <c r="K660" s="60"/>
      <c r="L660" s="61"/>
      <c r="M660" s="62"/>
      <c r="N660" s="63"/>
      <c r="O660" s="64" t="str">
        <f>IF($Q660&lt;&gt;0,VLOOKUP($Q660,DM_KM,3,0),"")</f>
        <v>#N/A</v>
      </c>
      <c r="P660" s="64" t="str">
        <f>IF($Q660&lt;&gt;0,VLOOKUP($Q660,DM_KM,5,0),"")</f>
        <v>#N/A</v>
      </c>
      <c r="Q660" s="65" t="s">
        <v>219</v>
      </c>
      <c r="R660" s="64" t="str">
        <f>IF(S660&lt;&gt;0,VLOOKUP(S660,DM_DUAN,3,0),"")</f>
        <v>#N/A</v>
      </c>
      <c r="S660" s="66" t="str">
        <f>IF(U660&lt;&gt;0,VLOOKUP(U660,DM_DUAN,3,0),"")</f>
        <v/>
      </c>
      <c r="T660" s="64"/>
      <c r="U660" s="93"/>
      <c r="V660" s="64" t="str">
        <f>IF(W660&lt;&gt;0,VLOOKUP(W660,DM_DUAN,3,0),"")</f>
        <v/>
      </c>
      <c r="W660" s="68"/>
      <c r="X660" s="64" t="str">
        <f>IF(Y660&lt;&gt;0,VLOOKUP(Y660,DM_DUAN,3,0),"")</f>
        <v>#N/A</v>
      </c>
      <c r="Y660" s="69" t="s">
        <v>207</v>
      </c>
      <c r="Z660" s="64" t="str">
        <f>IF(AA660&lt;&gt;0,VLOOKUP(AA660,DM_DUAN,3,0),"")</f>
        <v>#N/A</v>
      </c>
      <c r="AA660" s="70" t="s">
        <v>177</v>
      </c>
      <c r="AB660" s="64" t="str">
        <f>IF(AC660&lt;&gt;0,VLOOKUP(AC660,DM_DUAN,3,0),"")</f>
        <v/>
      </c>
      <c r="AC660" s="85"/>
      <c r="AD660" s="64" t="str">
        <f>IF(AC660&lt;&gt;0,VLOOKUP(AC660,DM_NV,2,0),"")</f>
        <v/>
      </c>
      <c r="AE660" s="83" t="s">
        <v>220</v>
      </c>
      <c r="AF660" s="64" t="str">
        <f>IF(AE660&lt;&gt;0,VLOOKUP(AE660,DM_NV,2,0),"")</f>
        <v>#N/A</v>
      </c>
    </row>
    <row r="661">
      <c r="A661" s="51"/>
      <c r="B661" s="52" t="str">
        <f>IF(D661="","",VLOOKUP(D661,'THAM CHIẾU'!$A:$B,2,0))</f>
        <v>#N/A</v>
      </c>
      <c r="C661" s="53" t="str">
        <f t="shared" si="4"/>
        <v>04/2022</v>
      </c>
      <c r="D661" s="99">
        <v>44652.0</v>
      </c>
      <c r="E661" s="55" t="s">
        <v>706</v>
      </c>
      <c r="F661" s="56"/>
      <c r="G661" s="57" t="s">
        <v>205</v>
      </c>
      <c r="H661" s="58" t="str">
        <f>IF(G661="","",VLOOKUP($G661,'Quy chuẩn hạch toán'!$B:$E,2,0))</f>
        <v>642</v>
      </c>
      <c r="I661" s="58" t="str">
        <f>IF(H661="","",VLOOKUP($G661,'Quy chuẩn hạch toán'!$B:$E,3,0))</f>
        <v>1111</v>
      </c>
      <c r="J661" s="59">
        <v>42105.0</v>
      </c>
      <c r="K661" s="60"/>
      <c r="L661" s="61"/>
      <c r="M661" s="62"/>
      <c r="N661" s="63"/>
      <c r="O661" s="64" t="str">
        <f>IF($Q661&lt;&gt;0,VLOOKUP($Q661,DM_KM,3,0),"")</f>
        <v>#N/A</v>
      </c>
      <c r="P661" s="64" t="str">
        <f>IF($Q661&lt;&gt;0,VLOOKUP($Q661,DM_KM,5,0),"")</f>
        <v>#N/A</v>
      </c>
      <c r="Q661" s="65" t="s">
        <v>219</v>
      </c>
      <c r="R661" s="64" t="str">
        <f>IF(S661&lt;&gt;0,VLOOKUP(S661,DM_DUAN,3,0),"")</f>
        <v>#N/A</v>
      </c>
      <c r="S661" s="66" t="str">
        <f>IF(U661&lt;&gt;0,VLOOKUP(U661,DM_DUAN,3,0),"")</f>
        <v/>
      </c>
      <c r="T661" s="64"/>
      <c r="U661" s="93"/>
      <c r="V661" s="64" t="str">
        <f>IF(W661&lt;&gt;0,VLOOKUP(W661,DM_DUAN,3,0),"")</f>
        <v/>
      </c>
      <c r="W661" s="68"/>
      <c r="X661" s="64" t="str">
        <f>IF(Y661&lt;&gt;0,VLOOKUP(Y661,DM_DUAN,3,0),"")</f>
        <v>#N/A</v>
      </c>
      <c r="Y661" s="69" t="s">
        <v>207</v>
      </c>
      <c r="Z661" s="64" t="str">
        <f>IF(AA661&lt;&gt;0,VLOOKUP(AA661,DM_DUAN,3,0),"")</f>
        <v>#N/A</v>
      </c>
      <c r="AA661" s="70" t="s">
        <v>210</v>
      </c>
      <c r="AB661" s="64" t="str">
        <f>IF(AC661&lt;&gt;0,VLOOKUP(AC661,DM_DUAN,3,0),"")</f>
        <v/>
      </c>
      <c r="AC661" s="85"/>
      <c r="AD661" s="64" t="str">
        <f>IF(AC661&lt;&gt;0,VLOOKUP(AC661,DM_NV,2,0),"")</f>
        <v/>
      </c>
      <c r="AE661" s="83" t="s">
        <v>220</v>
      </c>
      <c r="AF661" s="64" t="str">
        <f>IF(AE661&lt;&gt;0,VLOOKUP(AE661,DM_NV,2,0),"")</f>
        <v>#N/A</v>
      </c>
    </row>
    <row r="662">
      <c r="A662" s="51"/>
      <c r="B662" s="52" t="str">
        <f>IF(D662="","",VLOOKUP(D662,'THAM CHIẾU'!$A:$B,2,0))</f>
        <v>#N/A</v>
      </c>
      <c r="C662" s="53" t="str">
        <f t="shared" si="4"/>
        <v>04/2022</v>
      </c>
      <c r="D662" s="99">
        <v>44652.0</v>
      </c>
      <c r="E662" s="55" t="s">
        <v>707</v>
      </c>
      <c r="F662" s="56"/>
      <c r="G662" s="57" t="s">
        <v>173</v>
      </c>
      <c r="H662" s="58" t="str">
        <f>IF(G662="","",VLOOKUP($G662,'Quy chuẩn hạch toán'!$B:$E,2,0))</f>
        <v>641</v>
      </c>
      <c r="I662" s="58" t="str">
        <f>IF(H662="","",VLOOKUP($G662,'Quy chuẩn hạch toán'!$B:$E,3,0))</f>
        <v>331</v>
      </c>
      <c r="J662" s="59">
        <v>3284000.0</v>
      </c>
      <c r="K662" s="60"/>
      <c r="L662" s="61"/>
      <c r="M662" s="62"/>
      <c r="N662" s="63"/>
      <c r="O662" s="64" t="str">
        <f>IF($Q662&lt;&gt;0,VLOOKUP($Q662,DM_KM,3,0),"")</f>
        <v>#N/A</v>
      </c>
      <c r="P662" s="64" t="str">
        <f>IF($Q662&lt;&gt;0,VLOOKUP($Q662,DM_KM,5,0),"")</f>
        <v>#N/A</v>
      </c>
      <c r="Q662" s="65" t="s">
        <v>174</v>
      </c>
      <c r="R662" s="64" t="str">
        <f>IF(S662&lt;&gt;0,VLOOKUP(S662,DM_DUAN,3,0),"")</f>
        <v>#N/A</v>
      </c>
      <c r="S662" s="66" t="str">
        <f>IF(U662&lt;&gt;0,VLOOKUP(U662,DM_DUAN,3,0),"")</f>
        <v>KIMCUONGLAND</v>
      </c>
      <c r="T662" s="64"/>
      <c r="U662" s="67" t="s">
        <v>636</v>
      </c>
      <c r="V662" s="64" t="str">
        <f>IF(W662&lt;&gt;0,VLOOKUP(W662,DM_DUAN,3,0),"")</f>
        <v/>
      </c>
      <c r="W662" s="68"/>
      <c r="X662" s="64" t="str">
        <f>IF(Y662&lt;&gt;0,VLOOKUP(Y662,DM_DUAN,3,0),"")</f>
        <v>#N/A</v>
      </c>
      <c r="Y662" s="69" t="s">
        <v>176</v>
      </c>
      <c r="Z662" s="64" t="str">
        <f>IF(AA662&lt;&gt;0,VLOOKUP(AA662,DM_DUAN,3,0),"")</f>
        <v>#N/A</v>
      </c>
      <c r="AA662" s="70" t="s">
        <v>183</v>
      </c>
      <c r="AB662" s="64" t="str">
        <f>IF(AC662&lt;&gt;0,VLOOKUP(AC662,DM_DUAN,3,0),"")</f>
        <v/>
      </c>
      <c r="AC662" s="85"/>
      <c r="AD662" s="64" t="str">
        <f>IF(AC662&lt;&gt;0,VLOOKUP(AC662,DM_NV,2,0),"")</f>
        <v/>
      </c>
      <c r="AE662" s="68"/>
      <c r="AF662" s="64" t="str">
        <f>IF(AE662&lt;&gt;0,VLOOKUP(AE662,DM_NV,2,0),"")</f>
        <v/>
      </c>
    </row>
    <row r="663">
      <c r="A663" s="51"/>
      <c r="B663" s="52" t="str">
        <f>IF(D663="","",VLOOKUP(D663,'THAM CHIẾU'!$A:$B,2,0))</f>
        <v>#N/A</v>
      </c>
      <c r="C663" s="53" t="str">
        <f t="shared" si="4"/>
        <v>04/2022</v>
      </c>
      <c r="D663" s="99">
        <v>44652.0</v>
      </c>
      <c r="E663" s="55" t="s">
        <v>708</v>
      </c>
      <c r="F663" s="56"/>
      <c r="G663" s="57" t="s">
        <v>173</v>
      </c>
      <c r="H663" s="58" t="str">
        <f>IF(G663="","",VLOOKUP($G663,'Quy chuẩn hạch toán'!$B:$E,2,0))</f>
        <v>641</v>
      </c>
      <c r="I663" s="58" t="str">
        <f>IF(H663="","",VLOOKUP($G663,'Quy chuẩn hạch toán'!$B:$E,3,0))</f>
        <v>331</v>
      </c>
      <c r="J663" s="59">
        <v>2868000.0</v>
      </c>
      <c r="K663" s="60"/>
      <c r="L663" s="61"/>
      <c r="M663" s="62"/>
      <c r="N663" s="63"/>
      <c r="O663" s="64" t="str">
        <f>IF($Q663&lt;&gt;0,VLOOKUP($Q663,DM_KM,3,0),"")</f>
        <v>#N/A</v>
      </c>
      <c r="P663" s="64" t="str">
        <f>IF($Q663&lt;&gt;0,VLOOKUP($Q663,DM_KM,5,0),"")</f>
        <v>#N/A</v>
      </c>
      <c r="Q663" s="65" t="s">
        <v>174</v>
      </c>
      <c r="R663" s="64" t="str">
        <f>IF(S663&lt;&gt;0,VLOOKUP(S663,DM_DUAN,3,0),"")</f>
        <v>#N/A</v>
      </c>
      <c r="S663" s="66" t="str">
        <f>IF(U663&lt;&gt;0,VLOOKUP(U663,DM_DUAN,3,0),"")</f>
        <v>KIMCUONGLAND</v>
      </c>
      <c r="T663" s="64"/>
      <c r="U663" s="67" t="s">
        <v>638</v>
      </c>
      <c r="V663" s="64" t="str">
        <f>IF(W663&lt;&gt;0,VLOOKUP(W663,DM_DUAN,3,0),"")</f>
        <v/>
      </c>
      <c r="W663" s="68"/>
      <c r="X663" s="64" t="str">
        <f>IF(Y663&lt;&gt;0,VLOOKUP(Y663,DM_DUAN,3,0),"")</f>
        <v>#N/A</v>
      </c>
      <c r="Y663" s="69" t="s">
        <v>176</v>
      </c>
      <c r="Z663" s="64" t="str">
        <f>IF(AA663&lt;&gt;0,VLOOKUP(AA663,DM_DUAN,3,0),"")</f>
        <v>#N/A</v>
      </c>
      <c r="AA663" s="70" t="s">
        <v>177</v>
      </c>
      <c r="AB663" s="64" t="str">
        <f>IF(AC663&lt;&gt;0,VLOOKUP(AC663,DM_DUAN,3,0),"")</f>
        <v/>
      </c>
      <c r="AC663" s="85"/>
      <c r="AD663" s="64" t="str">
        <f>IF(AC663&lt;&gt;0,VLOOKUP(AC663,DM_NV,2,0),"")</f>
        <v/>
      </c>
      <c r="AE663" s="68"/>
      <c r="AF663" s="64" t="str">
        <f>IF(AE663&lt;&gt;0,VLOOKUP(AE663,DM_NV,2,0),"")</f>
        <v/>
      </c>
    </row>
    <row r="664">
      <c r="A664" s="51"/>
      <c r="B664" s="52" t="str">
        <f>IF(D664="","",VLOOKUP(D664,'THAM CHIẾU'!$A:$B,2,0))</f>
        <v>#N/A</v>
      </c>
      <c r="C664" s="53" t="str">
        <f t="shared" si="4"/>
        <v>04/2022</v>
      </c>
      <c r="D664" s="99">
        <v>44653.0</v>
      </c>
      <c r="E664" s="79" t="s">
        <v>709</v>
      </c>
      <c r="F664" s="80"/>
      <c r="G664" s="57" t="s">
        <v>205</v>
      </c>
      <c r="H664" s="58" t="str">
        <f>IF(G664="","",VLOOKUP($G664,'Quy chuẩn hạch toán'!$B:$E,2,0))</f>
        <v>642</v>
      </c>
      <c r="I664" s="58" t="str">
        <f>IF(H664="","",VLOOKUP($G664,'Quy chuẩn hạch toán'!$B:$E,3,0))</f>
        <v>1111</v>
      </c>
      <c r="J664" s="59">
        <v>227368.0</v>
      </c>
      <c r="K664" s="60"/>
      <c r="L664" s="61"/>
      <c r="M664" s="62"/>
      <c r="N664" s="63"/>
      <c r="O664" s="64" t="str">
        <f>IF($Q664&lt;&gt;0,VLOOKUP($Q664,DM_KM,3,0),"")</f>
        <v>#N/A</v>
      </c>
      <c r="P664" s="64" t="str">
        <f>IF($Q664&lt;&gt;0,VLOOKUP($Q664,DM_KM,5,0),"")</f>
        <v>#N/A</v>
      </c>
      <c r="Q664" s="65" t="s">
        <v>206</v>
      </c>
      <c r="R664" s="64" t="str">
        <f>IF(S664&lt;&gt;0,VLOOKUP(S664,DM_DUAN,3,0),"")</f>
        <v>#N/A</v>
      </c>
      <c r="S664" s="66" t="str">
        <f>IF(U664&lt;&gt;0,VLOOKUP(U664,DM_DUAN,3,0),"")</f>
        <v/>
      </c>
      <c r="T664" s="64"/>
      <c r="U664" s="67"/>
      <c r="V664" s="64" t="str">
        <f>IF(W664&lt;&gt;0,VLOOKUP(W664,DM_DUAN,3,0),"")</f>
        <v/>
      </c>
      <c r="W664" s="68"/>
      <c r="X664" s="64" t="str">
        <f>IF(Y664&lt;&gt;0,VLOOKUP(Y664,DM_DUAN,3,0),"")</f>
        <v>#N/A</v>
      </c>
      <c r="Y664" s="69" t="s">
        <v>207</v>
      </c>
      <c r="Z664" s="64" t="str">
        <f>IF(AA664&lt;&gt;0,VLOOKUP(AA664,DM_DUAN,3,0),"")</f>
        <v>#N/A</v>
      </c>
      <c r="AA664" s="70" t="s">
        <v>705</v>
      </c>
      <c r="AB664" s="64" t="str">
        <f>IF(AC664&lt;&gt;0,VLOOKUP(AC664,DM_DUAN,3,0),"")</f>
        <v/>
      </c>
      <c r="AC664" s="85"/>
      <c r="AD664" s="64" t="str">
        <f>IF(AC664&lt;&gt;0,VLOOKUP(AC664,DM_NV,2,0),"")</f>
        <v/>
      </c>
      <c r="AE664" s="83" t="s">
        <v>209</v>
      </c>
      <c r="AF664" s="64" t="str">
        <f>IF(AE664&lt;&gt;0,VLOOKUP(AE664,DM_NV,2,0),"")</f>
        <v>#N/A</v>
      </c>
    </row>
    <row r="665">
      <c r="A665" s="51"/>
      <c r="B665" s="52" t="str">
        <f>IF(D665="","",VLOOKUP(D665,'THAM CHIẾU'!$A:$B,2,0))</f>
        <v>#N/A</v>
      </c>
      <c r="C665" s="53" t="str">
        <f t="shared" si="4"/>
        <v>04/2022</v>
      </c>
      <c r="D665" s="99">
        <v>44653.0</v>
      </c>
      <c r="E665" s="55" t="s">
        <v>709</v>
      </c>
      <c r="F665" s="56"/>
      <c r="G665" s="57" t="s">
        <v>205</v>
      </c>
      <c r="H665" s="58" t="str">
        <f>IF(G665="","",VLOOKUP($G665,'Quy chuẩn hạch toán'!$B:$E,2,0))</f>
        <v>642</v>
      </c>
      <c r="I665" s="58" t="str">
        <f>IF(H665="","",VLOOKUP($G665,'Quy chuẩn hạch toán'!$B:$E,3,0))</f>
        <v>1111</v>
      </c>
      <c r="J665" s="59">
        <v>454737.0</v>
      </c>
      <c r="K665" s="60"/>
      <c r="L665" s="61"/>
      <c r="M665" s="62"/>
      <c r="N665" s="63"/>
      <c r="O665" s="64" t="str">
        <f>IF($Q665&lt;&gt;0,VLOOKUP($Q665,DM_KM,3,0),"")</f>
        <v>#N/A</v>
      </c>
      <c r="P665" s="64" t="str">
        <f>IF($Q665&lt;&gt;0,VLOOKUP($Q665,DM_KM,5,0),"")</f>
        <v>#N/A</v>
      </c>
      <c r="Q665" s="65" t="s">
        <v>206</v>
      </c>
      <c r="R665" s="64" t="str">
        <f>IF(S665&lt;&gt;0,VLOOKUP(S665,DM_DUAN,3,0),"")</f>
        <v>#N/A</v>
      </c>
      <c r="S665" s="66" t="str">
        <f>IF(U665&lt;&gt;0,VLOOKUP(U665,DM_DUAN,3,0),"")</f>
        <v/>
      </c>
      <c r="T665" s="64"/>
      <c r="U665" s="93"/>
      <c r="V665" s="64" t="str">
        <f>IF(W665&lt;&gt;0,VLOOKUP(W665,DM_DUAN,3,0),"")</f>
        <v/>
      </c>
      <c r="W665" s="68"/>
      <c r="X665" s="64" t="str">
        <f>IF(Y665&lt;&gt;0,VLOOKUP(Y665,DM_DUAN,3,0),"")</f>
        <v>#N/A</v>
      </c>
      <c r="Y665" s="69" t="s">
        <v>207</v>
      </c>
      <c r="Z665" s="64" t="str">
        <f>IF(AA665&lt;&gt;0,VLOOKUP(AA665,DM_DUAN,3,0),"")</f>
        <v>#N/A</v>
      </c>
      <c r="AA665" s="70" t="s">
        <v>183</v>
      </c>
      <c r="AB665" s="64" t="str">
        <f>IF(AC665&lt;&gt;0,VLOOKUP(AC665,DM_DUAN,3,0),"")</f>
        <v/>
      </c>
      <c r="AC665" s="85"/>
      <c r="AD665" s="64" t="str">
        <f>IF(AC665&lt;&gt;0,VLOOKUP(AC665,DM_NV,2,0),"")</f>
        <v/>
      </c>
      <c r="AE665" s="83" t="s">
        <v>209</v>
      </c>
      <c r="AF665" s="64" t="str">
        <f>IF(AE665&lt;&gt;0,VLOOKUP(AE665,DM_NV,2,0),"")</f>
        <v>#N/A</v>
      </c>
    </row>
    <row r="666">
      <c r="A666" s="51"/>
      <c r="B666" s="52" t="str">
        <f>IF(D666="","",VLOOKUP(D666,'THAM CHIẾU'!$A:$B,2,0))</f>
        <v>#N/A</v>
      </c>
      <c r="C666" s="53" t="str">
        <f t="shared" si="4"/>
        <v>04/2022</v>
      </c>
      <c r="D666" s="99">
        <v>44653.0</v>
      </c>
      <c r="E666" s="55" t="s">
        <v>709</v>
      </c>
      <c r="F666" s="56"/>
      <c r="G666" s="57" t="s">
        <v>205</v>
      </c>
      <c r="H666" s="58" t="str">
        <f>IF(G666="","",VLOOKUP($G666,'Quy chuẩn hạch toán'!$B:$E,2,0))</f>
        <v>642</v>
      </c>
      <c r="I666" s="58" t="str">
        <f>IF(H666="","",VLOOKUP($G666,'Quy chuẩn hạch toán'!$B:$E,3,0))</f>
        <v>1111</v>
      </c>
      <c r="J666" s="59">
        <v>170526.0</v>
      </c>
      <c r="K666" s="60"/>
      <c r="L666" s="61"/>
      <c r="M666" s="62"/>
      <c r="N666" s="63"/>
      <c r="O666" s="64" t="str">
        <f>IF($Q666&lt;&gt;0,VLOOKUP($Q666,DM_KM,3,0),"")</f>
        <v>#N/A</v>
      </c>
      <c r="P666" s="64" t="str">
        <f>IF($Q666&lt;&gt;0,VLOOKUP($Q666,DM_KM,5,0),"")</f>
        <v>#N/A</v>
      </c>
      <c r="Q666" s="65" t="s">
        <v>206</v>
      </c>
      <c r="R666" s="64" t="str">
        <f>IF(S666&lt;&gt;0,VLOOKUP(S666,DM_DUAN,3,0),"")</f>
        <v>#N/A</v>
      </c>
      <c r="S666" s="66" t="str">
        <f>IF(U666&lt;&gt;0,VLOOKUP(U666,DM_DUAN,3,0),"")</f>
        <v/>
      </c>
      <c r="T666" s="64"/>
      <c r="U666" s="93"/>
      <c r="V666" s="64" t="str">
        <f>IF(W666&lt;&gt;0,VLOOKUP(W666,DM_DUAN,3,0),"")</f>
        <v/>
      </c>
      <c r="W666" s="68"/>
      <c r="X666" s="64" t="str">
        <f>IF(Y666&lt;&gt;0,VLOOKUP(Y666,DM_DUAN,3,0),"")</f>
        <v>#N/A</v>
      </c>
      <c r="Y666" s="69" t="s">
        <v>207</v>
      </c>
      <c r="Z666" s="64" t="str">
        <f>IF(AA666&lt;&gt;0,VLOOKUP(AA666,DM_DUAN,3,0),"")</f>
        <v>#N/A</v>
      </c>
      <c r="AA666" s="70" t="s">
        <v>177</v>
      </c>
      <c r="AB666" s="64" t="str">
        <f>IF(AC666&lt;&gt;0,VLOOKUP(AC666,DM_DUAN,3,0),"")</f>
        <v/>
      </c>
      <c r="AC666" s="85"/>
      <c r="AD666" s="64" t="str">
        <f>IF(AC666&lt;&gt;0,VLOOKUP(AC666,DM_NV,2,0),"")</f>
        <v/>
      </c>
      <c r="AE666" s="83" t="s">
        <v>209</v>
      </c>
      <c r="AF666" s="64" t="str">
        <f>IF(AE666&lt;&gt;0,VLOOKUP(AE666,DM_NV,2,0),"")</f>
        <v>#N/A</v>
      </c>
    </row>
    <row r="667">
      <c r="A667" s="51"/>
      <c r="B667" s="52" t="str">
        <f>IF(D667="","",VLOOKUP(D667,'THAM CHIẾU'!$A:$B,2,0))</f>
        <v>#N/A</v>
      </c>
      <c r="C667" s="53" t="str">
        <f t="shared" si="4"/>
        <v>04/2022</v>
      </c>
      <c r="D667" s="99">
        <v>44653.0</v>
      </c>
      <c r="E667" s="55" t="s">
        <v>709</v>
      </c>
      <c r="F667" s="56"/>
      <c r="G667" s="57" t="s">
        <v>205</v>
      </c>
      <c r="H667" s="58" t="str">
        <f>IF(G667="","",VLOOKUP($G667,'Quy chuẩn hạch toán'!$B:$E,2,0))</f>
        <v>642</v>
      </c>
      <c r="I667" s="58" t="str">
        <f>IF(H667="","",VLOOKUP($G667,'Quy chuẩn hạch toán'!$B:$E,3,0))</f>
        <v>1111</v>
      </c>
      <c r="J667" s="59">
        <v>227368.0</v>
      </c>
      <c r="K667" s="60"/>
      <c r="L667" s="61"/>
      <c r="M667" s="62"/>
      <c r="N667" s="63"/>
      <c r="O667" s="64" t="str">
        <f>IF($Q667&lt;&gt;0,VLOOKUP($Q667,DM_KM,3,0),"")</f>
        <v>#N/A</v>
      </c>
      <c r="P667" s="64" t="str">
        <f>IF($Q667&lt;&gt;0,VLOOKUP($Q667,DM_KM,5,0),"")</f>
        <v>#N/A</v>
      </c>
      <c r="Q667" s="65" t="s">
        <v>206</v>
      </c>
      <c r="R667" s="64" t="str">
        <f>IF(S667&lt;&gt;0,VLOOKUP(S667,DM_DUAN,3,0),"")</f>
        <v>#N/A</v>
      </c>
      <c r="S667" s="66" t="str">
        <f>IF(U667&lt;&gt;0,VLOOKUP(U667,DM_DUAN,3,0),"")</f>
        <v/>
      </c>
      <c r="T667" s="64"/>
      <c r="U667" s="93"/>
      <c r="V667" s="64" t="str">
        <f>IF(W667&lt;&gt;0,VLOOKUP(W667,DM_DUAN,3,0),"")</f>
        <v/>
      </c>
      <c r="W667" s="68"/>
      <c r="X667" s="64" t="str">
        <f>IF(Y667&lt;&gt;0,VLOOKUP(Y667,DM_DUAN,3,0),"")</f>
        <v>#N/A</v>
      </c>
      <c r="Y667" s="69" t="s">
        <v>207</v>
      </c>
      <c r="Z667" s="64" t="str">
        <f>IF(AA667&lt;&gt;0,VLOOKUP(AA667,DM_DUAN,3,0),"")</f>
        <v>#N/A</v>
      </c>
      <c r="AA667" s="70" t="s">
        <v>210</v>
      </c>
      <c r="AB667" s="64" t="str">
        <f>IF(AC667&lt;&gt;0,VLOOKUP(AC667,DM_DUAN,3,0),"")</f>
        <v/>
      </c>
      <c r="AC667" s="85"/>
      <c r="AD667" s="64" t="str">
        <f>IF(AC667&lt;&gt;0,VLOOKUP(AC667,DM_NV,2,0),"")</f>
        <v/>
      </c>
      <c r="AE667" s="83" t="s">
        <v>209</v>
      </c>
      <c r="AF667" s="64" t="str">
        <f>IF(AE667&lt;&gt;0,VLOOKUP(AE667,DM_NV,2,0),"")</f>
        <v>#N/A</v>
      </c>
    </row>
    <row r="668">
      <c r="A668" s="51"/>
      <c r="B668" s="52" t="str">
        <f>IF(D668="","",VLOOKUP(D668,'THAM CHIẾU'!$A:$B,2,0))</f>
        <v>#N/A</v>
      </c>
      <c r="C668" s="53" t="str">
        <f t="shared" si="4"/>
        <v>04/2022</v>
      </c>
      <c r="D668" s="99">
        <v>44653.0</v>
      </c>
      <c r="E668" s="55" t="s">
        <v>710</v>
      </c>
      <c r="F668" s="56"/>
      <c r="G668" s="57" t="s">
        <v>173</v>
      </c>
      <c r="H668" s="58" t="str">
        <f>IF(G668="","",VLOOKUP($G668,'Quy chuẩn hạch toán'!$B:$E,2,0))</f>
        <v>641</v>
      </c>
      <c r="I668" s="58" t="str">
        <f>IF(H668="","",VLOOKUP($G668,'Quy chuẩn hạch toán'!$B:$E,3,0))</f>
        <v>331</v>
      </c>
      <c r="J668" s="59">
        <v>2972000.0</v>
      </c>
      <c r="K668" s="60"/>
      <c r="L668" s="61"/>
      <c r="M668" s="62"/>
      <c r="N668" s="63"/>
      <c r="O668" s="64" t="str">
        <f>IF($Q668&lt;&gt;0,VLOOKUP($Q668,DM_KM,3,0),"")</f>
        <v>#N/A</v>
      </c>
      <c r="P668" s="64" t="str">
        <f>IF($Q668&lt;&gt;0,VLOOKUP($Q668,DM_KM,5,0),"")</f>
        <v>#N/A</v>
      </c>
      <c r="Q668" s="65" t="s">
        <v>174</v>
      </c>
      <c r="R668" s="64" t="str">
        <f>IF(S668&lt;&gt;0,VLOOKUP(S668,DM_DUAN,3,0),"")</f>
        <v>#N/A</v>
      </c>
      <c r="S668" s="66" t="str">
        <f>IF(U668&lt;&gt;0,VLOOKUP(U668,DM_DUAN,3,0),"")</f>
        <v>KIMCUONGLAND</v>
      </c>
      <c r="T668" s="64"/>
      <c r="U668" s="67" t="s">
        <v>638</v>
      </c>
      <c r="V668" s="64" t="str">
        <f>IF(W668&lt;&gt;0,VLOOKUP(W668,DM_DUAN,3,0),"")</f>
        <v/>
      </c>
      <c r="W668" s="68"/>
      <c r="X668" s="64" t="str">
        <f>IF(Y668&lt;&gt;0,VLOOKUP(Y668,DM_DUAN,3,0),"")</f>
        <v>#N/A</v>
      </c>
      <c r="Y668" s="69" t="s">
        <v>176</v>
      </c>
      <c r="Z668" s="64" t="str">
        <f>IF(AA668&lt;&gt;0,VLOOKUP(AA668,DM_DUAN,3,0),"")</f>
        <v>#N/A</v>
      </c>
      <c r="AA668" s="70" t="s">
        <v>177</v>
      </c>
      <c r="AB668" s="64" t="str">
        <f>IF(AC668&lt;&gt;0,VLOOKUP(AC668,DM_DUAN,3,0),"")</f>
        <v/>
      </c>
      <c r="AC668" s="85"/>
      <c r="AD668" s="64" t="str">
        <f>IF(AC668&lt;&gt;0,VLOOKUP(AC668,DM_NV,2,0),"")</f>
        <v/>
      </c>
      <c r="AE668" s="68"/>
      <c r="AF668" s="64" t="str">
        <f>IF(AE668&lt;&gt;0,VLOOKUP(AE668,DM_NV,2,0),"")</f>
        <v/>
      </c>
    </row>
    <row r="669">
      <c r="A669" s="51"/>
      <c r="B669" s="52" t="str">
        <f>IF(D669="","",VLOOKUP(D669,'THAM CHIẾU'!$A:$B,2,0))</f>
        <v>#N/A</v>
      </c>
      <c r="C669" s="53" t="str">
        <f t="shared" si="4"/>
        <v>04/2022</v>
      </c>
      <c r="D669" s="99">
        <v>44653.0</v>
      </c>
      <c r="E669" s="55" t="s">
        <v>711</v>
      </c>
      <c r="F669" s="56"/>
      <c r="G669" s="57" t="s">
        <v>173</v>
      </c>
      <c r="H669" s="58" t="str">
        <f>IF(G669="","",VLOOKUP($G669,'Quy chuẩn hạch toán'!$B:$E,2,0))</f>
        <v>641</v>
      </c>
      <c r="I669" s="58" t="str">
        <f>IF(H669="","",VLOOKUP($G669,'Quy chuẩn hạch toán'!$B:$E,3,0))</f>
        <v>331</v>
      </c>
      <c r="J669" s="59">
        <v>3364000.0</v>
      </c>
      <c r="K669" s="60"/>
      <c r="L669" s="61"/>
      <c r="M669" s="62"/>
      <c r="N669" s="63"/>
      <c r="O669" s="64" t="str">
        <f>IF($Q669&lt;&gt;0,VLOOKUP($Q669,DM_KM,3,0),"")</f>
        <v>#N/A</v>
      </c>
      <c r="P669" s="64" t="str">
        <f>IF($Q669&lt;&gt;0,VLOOKUP($Q669,DM_KM,5,0),"")</f>
        <v>#N/A</v>
      </c>
      <c r="Q669" s="65" t="s">
        <v>174</v>
      </c>
      <c r="R669" s="64" t="str">
        <f>IF(S669&lt;&gt;0,VLOOKUP(S669,DM_DUAN,3,0),"")</f>
        <v>#N/A</v>
      </c>
      <c r="S669" s="66" t="str">
        <f>IF(U669&lt;&gt;0,VLOOKUP(U669,DM_DUAN,3,0),"")</f>
        <v>KIMCUONGLAND</v>
      </c>
      <c r="T669" s="64"/>
      <c r="U669" s="67" t="s">
        <v>638</v>
      </c>
      <c r="V669" s="64" t="str">
        <f>IF(W669&lt;&gt;0,VLOOKUP(W669,DM_DUAN,3,0),"")</f>
        <v/>
      </c>
      <c r="W669" s="68"/>
      <c r="X669" s="64" t="str">
        <f>IF(Y669&lt;&gt;0,VLOOKUP(Y669,DM_DUAN,3,0),"")</f>
        <v>#N/A</v>
      </c>
      <c r="Y669" s="69" t="s">
        <v>176</v>
      </c>
      <c r="Z669" s="64" t="str">
        <f>IF(AA669&lt;&gt;0,VLOOKUP(AA669,DM_DUAN,3,0),"")</f>
        <v>#N/A</v>
      </c>
      <c r="AA669" s="70" t="s">
        <v>177</v>
      </c>
      <c r="AB669" s="64" t="str">
        <f>IF(AC669&lt;&gt;0,VLOOKUP(AC669,DM_DUAN,3,0),"")</f>
        <v/>
      </c>
      <c r="AC669" s="85"/>
      <c r="AD669" s="64" t="str">
        <f>IF(AC669&lt;&gt;0,VLOOKUP(AC669,DM_NV,2,0),"")</f>
        <v/>
      </c>
      <c r="AE669" s="68"/>
      <c r="AF669" s="64" t="str">
        <f>IF(AE669&lt;&gt;0,VLOOKUP(AE669,DM_NV,2,0),"")</f>
        <v/>
      </c>
    </row>
    <row r="670">
      <c r="A670" s="51"/>
      <c r="B670" s="52" t="str">
        <f>IF(D670="","",VLOOKUP(D670,'THAM CHIẾU'!$A:$B,2,0))</f>
        <v>#N/A</v>
      </c>
      <c r="C670" s="53" t="str">
        <f t="shared" si="4"/>
        <v>04/2022</v>
      </c>
      <c r="D670" s="99">
        <v>44654.0</v>
      </c>
      <c r="E670" s="55" t="s">
        <v>712</v>
      </c>
      <c r="F670" s="56"/>
      <c r="G670" s="57" t="s">
        <v>173</v>
      </c>
      <c r="H670" s="58" t="str">
        <f>IF(G670="","",VLOOKUP($G670,'Quy chuẩn hạch toán'!$B:$E,2,0))</f>
        <v>641</v>
      </c>
      <c r="I670" s="58" t="str">
        <f>IF(H670="","",VLOOKUP($G670,'Quy chuẩn hạch toán'!$B:$E,3,0))</f>
        <v>331</v>
      </c>
      <c r="J670" s="59">
        <v>3372000.0</v>
      </c>
      <c r="K670" s="60"/>
      <c r="L670" s="61"/>
      <c r="M670" s="62"/>
      <c r="N670" s="63"/>
      <c r="O670" s="64" t="str">
        <f>IF($Q670&lt;&gt;0,VLOOKUP($Q670,DM_KM,3,0),"")</f>
        <v>#N/A</v>
      </c>
      <c r="P670" s="64" t="str">
        <f>IF($Q670&lt;&gt;0,VLOOKUP($Q670,DM_KM,5,0),"")</f>
        <v>#N/A</v>
      </c>
      <c r="Q670" s="65" t="s">
        <v>174</v>
      </c>
      <c r="R670" s="64" t="str">
        <f>IF(S670&lt;&gt;0,VLOOKUP(S670,DM_DUAN,3,0),"")</f>
        <v>#N/A</v>
      </c>
      <c r="S670" s="66" t="str">
        <f>IF(U670&lt;&gt;0,VLOOKUP(U670,DM_DUAN,3,0),"")</f>
        <v>KIMCUONGLAND</v>
      </c>
      <c r="T670" s="64"/>
      <c r="U670" s="67" t="s">
        <v>638</v>
      </c>
      <c r="V670" s="64" t="str">
        <f>IF(W670&lt;&gt;0,VLOOKUP(W670,DM_DUAN,3,0),"")</f>
        <v/>
      </c>
      <c r="W670" s="68"/>
      <c r="X670" s="64" t="str">
        <f>IF(Y670&lt;&gt;0,VLOOKUP(Y670,DM_DUAN,3,0),"")</f>
        <v>#N/A</v>
      </c>
      <c r="Y670" s="69" t="s">
        <v>176</v>
      </c>
      <c r="Z670" s="64" t="str">
        <f>IF(AA670&lt;&gt;0,VLOOKUP(AA670,DM_DUAN,3,0),"")</f>
        <v>#N/A</v>
      </c>
      <c r="AA670" s="70" t="s">
        <v>705</v>
      </c>
      <c r="AB670" s="64" t="str">
        <f>IF(AC670&lt;&gt;0,VLOOKUP(AC670,DM_DUAN,3,0),"")</f>
        <v/>
      </c>
      <c r="AC670" s="85"/>
      <c r="AD670" s="64" t="str">
        <f>IF(AC670&lt;&gt;0,VLOOKUP(AC670,DM_NV,2,0),"")</f>
        <v/>
      </c>
      <c r="AE670" s="68"/>
      <c r="AF670" s="64" t="str">
        <f>IF(AE670&lt;&gt;0,VLOOKUP(AE670,DM_NV,2,0),"")</f>
        <v/>
      </c>
    </row>
    <row r="671">
      <c r="A671" s="51"/>
      <c r="B671" s="52" t="str">
        <f>IF(D671="","",VLOOKUP(D671,'THAM CHIẾU'!$A:$B,2,0))</f>
        <v>#N/A</v>
      </c>
      <c r="C671" s="53" t="str">
        <f t="shared" si="4"/>
        <v>04/2022</v>
      </c>
      <c r="D671" s="99">
        <v>44654.0</v>
      </c>
      <c r="E671" s="55" t="s">
        <v>713</v>
      </c>
      <c r="F671" s="56"/>
      <c r="G671" s="57" t="s">
        <v>173</v>
      </c>
      <c r="H671" s="58" t="str">
        <f>IF(G671="","",VLOOKUP($G671,'Quy chuẩn hạch toán'!$B:$E,2,0))</f>
        <v>641</v>
      </c>
      <c r="I671" s="58" t="str">
        <f>IF(H671="","",VLOOKUP($G671,'Quy chuẩn hạch toán'!$B:$E,3,0))</f>
        <v>331</v>
      </c>
      <c r="J671" s="59">
        <v>2836000.0</v>
      </c>
      <c r="K671" s="60"/>
      <c r="L671" s="61"/>
      <c r="M671" s="62"/>
      <c r="N671" s="63"/>
      <c r="O671" s="64" t="str">
        <f>IF($Q671&lt;&gt;0,VLOOKUP($Q671,DM_KM,3,0),"")</f>
        <v>#N/A</v>
      </c>
      <c r="P671" s="64" t="str">
        <f>IF($Q671&lt;&gt;0,VLOOKUP($Q671,DM_KM,5,0),"")</f>
        <v>#N/A</v>
      </c>
      <c r="Q671" s="65" t="s">
        <v>174</v>
      </c>
      <c r="R671" s="64" t="str">
        <f>IF(S671&lt;&gt;0,VLOOKUP(S671,DM_DUAN,3,0),"")</f>
        <v>#N/A</v>
      </c>
      <c r="S671" s="66" t="str">
        <f>IF(U671&lt;&gt;0,VLOOKUP(U671,DM_DUAN,3,0),"")</f>
        <v>KIMCUONGLAND</v>
      </c>
      <c r="T671" s="64"/>
      <c r="U671" s="67" t="s">
        <v>636</v>
      </c>
      <c r="V671" s="64" t="str">
        <f>IF(W671&lt;&gt;0,VLOOKUP(W671,DM_DUAN,3,0),"")</f>
        <v/>
      </c>
      <c r="W671" s="68"/>
      <c r="X671" s="64" t="str">
        <f>IF(Y671&lt;&gt;0,VLOOKUP(Y671,DM_DUAN,3,0),"")</f>
        <v>#N/A</v>
      </c>
      <c r="Y671" s="69" t="s">
        <v>176</v>
      </c>
      <c r="Z671" s="64" t="str">
        <f>IF(AA671&lt;&gt;0,VLOOKUP(AA671,DM_DUAN,3,0),"")</f>
        <v>#N/A</v>
      </c>
      <c r="AA671" s="70" t="s">
        <v>183</v>
      </c>
      <c r="AB671" s="64" t="str">
        <f>IF(AC671&lt;&gt;0,VLOOKUP(AC671,DM_DUAN,3,0),"")</f>
        <v/>
      </c>
      <c r="AC671" s="85"/>
      <c r="AD671" s="64" t="str">
        <f>IF(AC671&lt;&gt;0,VLOOKUP(AC671,DM_NV,2,0),"")</f>
        <v/>
      </c>
      <c r="AE671" s="68"/>
      <c r="AF671" s="64" t="str">
        <f>IF(AE671&lt;&gt;0,VLOOKUP(AE671,DM_NV,2,0),"")</f>
        <v/>
      </c>
    </row>
    <row r="672">
      <c r="A672" s="51"/>
      <c r="B672" s="52" t="str">
        <f>IF(D672="","",VLOOKUP(D672,'THAM CHIẾU'!$A:$B,2,0))</f>
        <v>#N/A</v>
      </c>
      <c r="C672" s="53" t="str">
        <f t="shared" si="4"/>
        <v>04/2022</v>
      </c>
      <c r="D672" s="99">
        <v>44654.0</v>
      </c>
      <c r="E672" s="55" t="s">
        <v>714</v>
      </c>
      <c r="F672" s="56"/>
      <c r="G672" s="57" t="s">
        <v>173</v>
      </c>
      <c r="H672" s="58" t="str">
        <f>IF(G672="","",VLOOKUP($G672,'Quy chuẩn hạch toán'!$B:$E,2,0))</f>
        <v>641</v>
      </c>
      <c r="I672" s="58" t="str">
        <f>IF(H672="","",VLOOKUP($G672,'Quy chuẩn hạch toán'!$B:$E,3,0))</f>
        <v>331</v>
      </c>
      <c r="J672" s="59">
        <v>2848000.0</v>
      </c>
      <c r="K672" s="60"/>
      <c r="L672" s="61"/>
      <c r="M672" s="62"/>
      <c r="N672" s="63"/>
      <c r="O672" s="64" t="str">
        <f>IF($Q672&lt;&gt;0,VLOOKUP($Q672,DM_KM,3,0),"")</f>
        <v>#N/A</v>
      </c>
      <c r="P672" s="64" t="str">
        <f>IF($Q672&lt;&gt;0,VLOOKUP($Q672,DM_KM,5,0),"")</f>
        <v>#N/A</v>
      </c>
      <c r="Q672" s="65" t="s">
        <v>174</v>
      </c>
      <c r="R672" s="64" t="str">
        <f>IF(S672&lt;&gt;0,VLOOKUP(S672,DM_DUAN,3,0),"")</f>
        <v>#N/A</v>
      </c>
      <c r="S672" s="66" t="str">
        <f>IF(U672&lt;&gt;0,VLOOKUP(U672,DM_DUAN,3,0),"")</f>
        <v>THANHNAM</v>
      </c>
      <c r="T672" s="64"/>
      <c r="U672" s="67" t="s">
        <v>597</v>
      </c>
      <c r="V672" s="64" t="str">
        <f>IF(W672&lt;&gt;0,VLOOKUP(W672,DM_DUAN,3,0),"")</f>
        <v/>
      </c>
      <c r="W672" s="68"/>
      <c r="X672" s="64" t="str">
        <f>IF(Y672&lt;&gt;0,VLOOKUP(Y672,DM_DUAN,3,0),"")</f>
        <v>#N/A</v>
      </c>
      <c r="Y672" s="69" t="s">
        <v>176</v>
      </c>
      <c r="Z672" s="64" t="str">
        <f>IF(AA672&lt;&gt;0,VLOOKUP(AA672,DM_DUAN,3,0),"")</f>
        <v>#N/A</v>
      </c>
      <c r="AA672" s="70" t="s">
        <v>210</v>
      </c>
      <c r="AB672" s="64" t="str">
        <f>IF(AC672&lt;&gt;0,VLOOKUP(AC672,DM_DUAN,3,0),"")</f>
        <v/>
      </c>
      <c r="AC672" s="85"/>
      <c r="AD672" s="64" t="str">
        <f>IF(AC672&lt;&gt;0,VLOOKUP(AC672,DM_NV,2,0),"")</f>
        <v/>
      </c>
      <c r="AE672" s="68"/>
      <c r="AF672" s="64" t="str">
        <f>IF(AE672&lt;&gt;0,VLOOKUP(AE672,DM_NV,2,0),"")</f>
        <v/>
      </c>
    </row>
    <row r="673">
      <c r="A673" s="51"/>
      <c r="B673" s="52" t="str">
        <f>IF(D673="","",VLOOKUP(D673,'THAM CHIẾU'!$A:$B,2,0))</f>
        <v>#N/A</v>
      </c>
      <c r="C673" s="53" t="str">
        <f t="shared" si="4"/>
        <v>04/2022</v>
      </c>
      <c r="D673" s="99">
        <v>44655.0</v>
      </c>
      <c r="E673" s="55" t="s">
        <v>715</v>
      </c>
      <c r="F673" s="56"/>
      <c r="G673" s="57" t="s">
        <v>205</v>
      </c>
      <c r="H673" s="58" t="str">
        <f>IF(G673="","",VLOOKUP($G673,'Quy chuẩn hạch toán'!$B:$E,2,0))</f>
        <v>642</v>
      </c>
      <c r="I673" s="58" t="str">
        <f>IF(H673="","",VLOOKUP($G673,'Quy chuẩn hạch toán'!$B:$E,3,0))</f>
        <v>1111</v>
      </c>
      <c r="J673" s="59">
        <v>65263.0</v>
      </c>
      <c r="K673" s="60"/>
      <c r="L673" s="61"/>
      <c r="M673" s="62"/>
      <c r="N673" s="63"/>
      <c r="O673" s="64" t="str">
        <f>IF($Q673&lt;&gt;0,VLOOKUP($Q673,DM_KM,3,0),"")</f>
        <v>#N/A</v>
      </c>
      <c r="P673" s="64" t="str">
        <f>IF($Q673&lt;&gt;0,VLOOKUP($Q673,DM_KM,5,0),"")</f>
        <v>#N/A</v>
      </c>
      <c r="Q673" s="65" t="s">
        <v>222</v>
      </c>
      <c r="R673" s="64" t="str">
        <f>IF(S673&lt;&gt;0,VLOOKUP(S673,DM_DUAN,3,0),"")</f>
        <v>#N/A</v>
      </c>
      <c r="S673" s="66" t="str">
        <f>IF(U673&lt;&gt;0,VLOOKUP(U673,DM_DUAN,3,0),"")</f>
        <v/>
      </c>
      <c r="T673" s="64"/>
      <c r="U673" s="93"/>
      <c r="V673" s="64" t="str">
        <f>IF(W673&lt;&gt;0,VLOOKUP(W673,DM_DUAN,3,0),"")</f>
        <v/>
      </c>
      <c r="W673" s="68"/>
      <c r="X673" s="64" t="str">
        <f>IF(Y673&lt;&gt;0,VLOOKUP(Y673,DM_DUAN,3,0),"")</f>
        <v>#N/A</v>
      </c>
      <c r="Y673" s="69" t="s">
        <v>207</v>
      </c>
      <c r="Z673" s="64" t="str">
        <f>IF(AA673&lt;&gt;0,VLOOKUP(AA673,DM_DUAN,3,0),"")</f>
        <v>#N/A</v>
      </c>
      <c r="AA673" s="70" t="s">
        <v>705</v>
      </c>
      <c r="AB673" s="64" t="str">
        <f>IF(AC673&lt;&gt;0,VLOOKUP(AC673,DM_DUAN,3,0),"")</f>
        <v/>
      </c>
      <c r="AC673" s="85"/>
      <c r="AD673" s="64" t="str">
        <f>IF(AC673&lt;&gt;0,VLOOKUP(AC673,DM_NV,2,0),"")</f>
        <v/>
      </c>
      <c r="AE673" s="68"/>
      <c r="AF673" s="64" t="str">
        <f>IF(AE673&lt;&gt;0,VLOOKUP(AE673,DM_NV,2,0),"")</f>
        <v/>
      </c>
    </row>
    <row r="674">
      <c r="A674" s="51"/>
      <c r="B674" s="52" t="str">
        <f>IF(D674="","",VLOOKUP(D674,'THAM CHIẾU'!$A:$B,2,0))</f>
        <v>#N/A</v>
      </c>
      <c r="C674" s="53" t="str">
        <f t="shared" si="4"/>
        <v>04/2022</v>
      </c>
      <c r="D674" s="99">
        <v>44655.0</v>
      </c>
      <c r="E674" s="55" t="s">
        <v>715</v>
      </c>
      <c r="F674" s="56"/>
      <c r="G674" s="57" t="s">
        <v>205</v>
      </c>
      <c r="H674" s="58" t="str">
        <f>IF(G674="","",VLOOKUP($G674,'Quy chuẩn hạch toán'!$B:$E,2,0))</f>
        <v>642</v>
      </c>
      <c r="I674" s="58" t="str">
        <f>IF(H674="","",VLOOKUP($G674,'Quy chuẩn hạch toán'!$B:$E,3,0))</f>
        <v>1111</v>
      </c>
      <c r="J674" s="59">
        <v>130526.0</v>
      </c>
      <c r="K674" s="60"/>
      <c r="L674" s="61"/>
      <c r="M674" s="62"/>
      <c r="N674" s="63"/>
      <c r="O674" s="64" t="str">
        <f>IF($Q674&lt;&gt;0,VLOOKUP($Q674,DM_KM,3,0),"")</f>
        <v>#N/A</v>
      </c>
      <c r="P674" s="64" t="str">
        <f>IF($Q674&lt;&gt;0,VLOOKUP($Q674,DM_KM,5,0),"")</f>
        <v>#N/A</v>
      </c>
      <c r="Q674" s="65" t="s">
        <v>222</v>
      </c>
      <c r="R674" s="64" t="str">
        <f>IF(S674&lt;&gt;0,VLOOKUP(S674,DM_DUAN,3,0),"")</f>
        <v>#N/A</v>
      </c>
      <c r="S674" s="66" t="str">
        <f>IF(U674&lt;&gt;0,VLOOKUP(U674,DM_DUAN,3,0),"")</f>
        <v/>
      </c>
      <c r="T674" s="64"/>
      <c r="U674" s="93"/>
      <c r="V674" s="64" t="str">
        <f>IF(W674&lt;&gt;0,VLOOKUP(W674,DM_DUAN,3,0),"")</f>
        <v/>
      </c>
      <c r="W674" s="68"/>
      <c r="X674" s="64" t="str">
        <f>IF(Y674&lt;&gt;0,VLOOKUP(Y674,DM_DUAN,3,0),"")</f>
        <v>#N/A</v>
      </c>
      <c r="Y674" s="69" t="s">
        <v>207</v>
      </c>
      <c r="Z674" s="64" t="str">
        <f>IF(AA674&lt;&gt;0,VLOOKUP(AA674,DM_DUAN,3,0),"")</f>
        <v>#N/A</v>
      </c>
      <c r="AA674" s="70" t="s">
        <v>183</v>
      </c>
      <c r="AB674" s="64" t="str">
        <f>IF(AC674&lt;&gt;0,VLOOKUP(AC674,DM_DUAN,3,0),"")</f>
        <v/>
      </c>
      <c r="AC674" s="85"/>
      <c r="AD674" s="64" t="str">
        <f>IF(AC674&lt;&gt;0,VLOOKUP(AC674,DM_NV,2,0),"")</f>
        <v/>
      </c>
      <c r="AE674" s="68"/>
      <c r="AF674" s="64" t="str">
        <f>IF(AE674&lt;&gt;0,VLOOKUP(AE674,DM_NV,2,0),"")</f>
        <v/>
      </c>
    </row>
    <row r="675">
      <c r="A675" s="51"/>
      <c r="B675" s="52" t="str">
        <f>IF(D675="","",VLOOKUP(D675,'THAM CHIẾU'!$A:$B,2,0))</f>
        <v>#N/A</v>
      </c>
      <c r="C675" s="53" t="str">
        <f t="shared" si="4"/>
        <v>04/2022</v>
      </c>
      <c r="D675" s="99">
        <v>44655.0</v>
      </c>
      <c r="E675" s="55" t="s">
        <v>715</v>
      </c>
      <c r="F675" s="56"/>
      <c r="G675" s="57" t="s">
        <v>205</v>
      </c>
      <c r="H675" s="58" t="str">
        <f>IF(G675="","",VLOOKUP($G675,'Quy chuẩn hạch toán'!$B:$E,2,0))</f>
        <v>642</v>
      </c>
      <c r="I675" s="58" t="str">
        <f>IF(H675="","",VLOOKUP($G675,'Quy chuẩn hạch toán'!$B:$E,3,0))</f>
        <v>1111</v>
      </c>
      <c r="J675" s="59">
        <v>48947.0</v>
      </c>
      <c r="K675" s="60"/>
      <c r="L675" s="61"/>
      <c r="M675" s="62"/>
      <c r="N675" s="63"/>
      <c r="O675" s="64" t="str">
        <f>IF($Q675&lt;&gt;0,VLOOKUP($Q675,DM_KM,3,0),"")</f>
        <v>#N/A</v>
      </c>
      <c r="P675" s="64" t="str">
        <f>IF($Q675&lt;&gt;0,VLOOKUP($Q675,DM_KM,5,0),"")</f>
        <v>#N/A</v>
      </c>
      <c r="Q675" s="65" t="s">
        <v>222</v>
      </c>
      <c r="R675" s="64" t="str">
        <f>IF(S675&lt;&gt;0,VLOOKUP(S675,DM_DUAN,3,0),"")</f>
        <v>#N/A</v>
      </c>
      <c r="S675" s="66" t="str">
        <f>IF(U675&lt;&gt;0,VLOOKUP(U675,DM_DUAN,3,0),"")</f>
        <v/>
      </c>
      <c r="T675" s="64"/>
      <c r="U675" s="93"/>
      <c r="V675" s="64" t="str">
        <f>IF(W675&lt;&gt;0,VLOOKUP(W675,DM_DUAN,3,0),"")</f>
        <v/>
      </c>
      <c r="W675" s="68"/>
      <c r="X675" s="64" t="str">
        <f>IF(Y675&lt;&gt;0,VLOOKUP(Y675,DM_DUAN,3,0),"")</f>
        <v>#N/A</v>
      </c>
      <c r="Y675" s="69" t="s">
        <v>207</v>
      </c>
      <c r="Z675" s="64" t="str">
        <f>IF(AA675&lt;&gt;0,VLOOKUP(AA675,DM_DUAN,3,0),"")</f>
        <v>#N/A</v>
      </c>
      <c r="AA675" s="70" t="s">
        <v>177</v>
      </c>
      <c r="AB675" s="64" t="str">
        <f>IF(AC675&lt;&gt;0,VLOOKUP(AC675,DM_DUAN,3,0),"")</f>
        <v/>
      </c>
      <c r="AC675" s="85"/>
      <c r="AD675" s="64" t="str">
        <f>IF(AC675&lt;&gt;0,VLOOKUP(AC675,DM_NV,2,0),"")</f>
        <v/>
      </c>
      <c r="AE675" s="68"/>
      <c r="AF675" s="64" t="str">
        <f>IF(AE675&lt;&gt;0,VLOOKUP(AE675,DM_NV,2,0),"")</f>
        <v/>
      </c>
    </row>
    <row r="676">
      <c r="A676" s="51"/>
      <c r="B676" s="52" t="str">
        <f>IF(D676="","",VLOOKUP(D676,'THAM CHIẾU'!$A:$B,2,0))</f>
        <v>#N/A</v>
      </c>
      <c r="C676" s="53" t="str">
        <f t="shared" si="4"/>
        <v>04/2022</v>
      </c>
      <c r="D676" s="99">
        <v>44655.0</v>
      </c>
      <c r="E676" s="55" t="s">
        <v>715</v>
      </c>
      <c r="F676" s="56"/>
      <c r="G676" s="57" t="s">
        <v>205</v>
      </c>
      <c r="H676" s="58" t="str">
        <f>IF(G676="","",VLOOKUP($G676,'Quy chuẩn hạch toán'!$B:$E,2,0))</f>
        <v>642</v>
      </c>
      <c r="I676" s="58" t="str">
        <f>IF(H676="","",VLOOKUP($G676,'Quy chuẩn hạch toán'!$B:$E,3,0))</f>
        <v>1111</v>
      </c>
      <c r="J676" s="59">
        <v>65263.0</v>
      </c>
      <c r="K676" s="60"/>
      <c r="L676" s="61"/>
      <c r="M676" s="62"/>
      <c r="N676" s="63"/>
      <c r="O676" s="64" t="str">
        <f>IF($Q676&lt;&gt;0,VLOOKUP($Q676,DM_KM,3,0),"")</f>
        <v>#N/A</v>
      </c>
      <c r="P676" s="64" t="str">
        <f>IF($Q676&lt;&gt;0,VLOOKUP($Q676,DM_KM,5,0),"")</f>
        <v>#N/A</v>
      </c>
      <c r="Q676" s="65" t="s">
        <v>222</v>
      </c>
      <c r="R676" s="64" t="str">
        <f>IF(S676&lt;&gt;0,VLOOKUP(S676,DM_DUAN,3,0),"")</f>
        <v>#N/A</v>
      </c>
      <c r="S676" s="66" t="str">
        <f>IF(U676&lt;&gt;0,VLOOKUP(U676,DM_DUAN,3,0),"")</f>
        <v/>
      </c>
      <c r="T676" s="64"/>
      <c r="U676" s="93"/>
      <c r="V676" s="64" t="str">
        <f>IF(W676&lt;&gt;0,VLOOKUP(W676,DM_DUAN,3,0),"")</f>
        <v/>
      </c>
      <c r="W676" s="68"/>
      <c r="X676" s="64" t="str">
        <f>IF(Y676&lt;&gt;0,VLOOKUP(Y676,DM_DUAN,3,0),"")</f>
        <v>#N/A</v>
      </c>
      <c r="Y676" s="69" t="s">
        <v>207</v>
      </c>
      <c r="Z676" s="64" t="str">
        <f>IF(AA676&lt;&gt;0,VLOOKUP(AA676,DM_DUAN,3,0),"")</f>
        <v>#N/A</v>
      </c>
      <c r="AA676" s="70" t="s">
        <v>210</v>
      </c>
      <c r="AB676" s="64" t="str">
        <f>IF(AC676&lt;&gt;0,VLOOKUP(AC676,DM_DUAN,3,0),"")</f>
        <v/>
      </c>
      <c r="AC676" s="85"/>
      <c r="AD676" s="64" t="str">
        <f>IF(AC676&lt;&gt;0,VLOOKUP(AC676,DM_NV,2,0),"")</f>
        <v/>
      </c>
      <c r="AE676" s="68"/>
      <c r="AF676" s="64" t="str">
        <f>IF(AE676&lt;&gt;0,VLOOKUP(AE676,DM_NV,2,0),"")</f>
        <v/>
      </c>
    </row>
    <row r="677">
      <c r="A677" s="51"/>
      <c r="B677" s="52" t="str">
        <f>IF(D677="","",VLOOKUP(D677,'THAM CHIẾU'!$A:$B,2,0))</f>
        <v>#N/A</v>
      </c>
      <c r="C677" s="53" t="str">
        <f t="shared" si="4"/>
        <v>04/2022</v>
      </c>
      <c r="D677" s="99">
        <v>44655.0</v>
      </c>
      <c r="E677" s="55" t="s">
        <v>716</v>
      </c>
      <c r="F677" s="56"/>
      <c r="G677" s="57" t="s">
        <v>173</v>
      </c>
      <c r="H677" s="58" t="str">
        <f>IF(G677="","",VLOOKUP($G677,'Quy chuẩn hạch toán'!$B:$E,2,0))</f>
        <v>641</v>
      </c>
      <c r="I677" s="58" t="str">
        <f>IF(H677="","",VLOOKUP($G677,'Quy chuẩn hạch toán'!$B:$E,3,0))</f>
        <v>331</v>
      </c>
      <c r="J677" s="59">
        <v>1840000.0</v>
      </c>
      <c r="K677" s="60"/>
      <c r="L677" s="61"/>
      <c r="M677" s="62"/>
      <c r="N677" s="63"/>
      <c r="O677" s="64" t="str">
        <f>IF($Q677&lt;&gt;0,VLOOKUP($Q677,DM_KM,3,0),"")</f>
        <v>#N/A</v>
      </c>
      <c r="P677" s="64" t="str">
        <f>IF($Q677&lt;&gt;0,VLOOKUP($Q677,DM_KM,5,0),"")</f>
        <v>#N/A</v>
      </c>
      <c r="Q677" s="65" t="s">
        <v>174</v>
      </c>
      <c r="R677" s="64" t="str">
        <f>IF(S677&lt;&gt;0,VLOOKUP(S677,DM_DUAN,3,0),"")</f>
        <v>#N/A</v>
      </c>
      <c r="S677" s="66" t="str">
        <f>IF(U677&lt;&gt;0,VLOOKUP(U677,DM_DUAN,3,0),"")</f>
        <v>KIMCUONGLAND</v>
      </c>
      <c r="T677" s="64"/>
      <c r="U677" s="67" t="s">
        <v>636</v>
      </c>
      <c r="V677" s="64" t="str">
        <f>IF(W677&lt;&gt;0,VLOOKUP(W677,DM_DUAN,3,0),"")</f>
        <v/>
      </c>
      <c r="W677" s="68"/>
      <c r="X677" s="64" t="str">
        <f>IF(Y677&lt;&gt;0,VLOOKUP(Y677,DM_DUAN,3,0),"")</f>
        <v>#N/A</v>
      </c>
      <c r="Y677" s="69" t="s">
        <v>176</v>
      </c>
      <c r="Z677" s="64" t="str">
        <f>IF(AA677&lt;&gt;0,VLOOKUP(AA677,DM_DUAN,3,0),"")</f>
        <v>#N/A</v>
      </c>
      <c r="AA677" s="70" t="s">
        <v>183</v>
      </c>
      <c r="AB677" s="64" t="str">
        <f>IF(AC677&lt;&gt;0,VLOOKUP(AC677,DM_DUAN,3,0),"")</f>
        <v/>
      </c>
      <c r="AC677" s="85"/>
      <c r="AD677" s="64" t="str">
        <f>IF(AC677&lt;&gt;0,VLOOKUP(AC677,DM_NV,2,0),"")</f>
        <v/>
      </c>
      <c r="AE677" s="68"/>
      <c r="AF677" s="64" t="str">
        <f>IF(AE677&lt;&gt;0,VLOOKUP(AE677,DM_NV,2,0),"")</f>
        <v/>
      </c>
    </row>
    <row r="678">
      <c r="A678" s="51"/>
      <c r="B678" s="52" t="str">
        <f>IF(D678="","",VLOOKUP(D678,'THAM CHIẾU'!$A:$B,2,0))</f>
        <v>#N/A</v>
      </c>
      <c r="C678" s="53" t="str">
        <f t="shared" si="4"/>
        <v>04/2022</v>
      </c>
      <c r="D678" s="99">
        <v>44656.0</v>
      </c>
      <c r="E678" s="79" t="s">
        <v>717</v>
      </c>
      <c r="F678" s="80"/>
      <c r="G678" s="57" t="s">
        <v>197</v>
      </c>
      <c r="H678" s="58" t="str">
        <f>IF(G678="","",VLOOKUP($G678,'Quy chuẩn hạch toán'!$B:$E,2,0))</f>
        <v>#N/A</v>
      </c>
      <c r="I678" s="58" t="str">
        <f>IF(H678="","",VLOOKUP($G678,'Quy chuẩn hạch toán'!$B:$E,3,0))</f>
        <v>#N/A</v>
      </c>
      <c r="J678" s="59">
        <v>2.14804E9</v>
      </c>
      <c r="K678" s="60"/>
      <c r="L678" s="61"/>
      <c r="M678" s="62"/>
      <c r="N678" s="63"/>
      <c r="O678" s="64" t="str">
        <f>IF($Q678&lt;&gt;0,VLOOKUP($Q678,DM_KM,3,0),"")</f>
        <v>#N/A</v>
      </c>
      <c r="P678" s="64" t="str">
        <f>IF($Q678&lt;&gt;0,VLOOKUP($Q678,DM_KM,5,0),"")</f>
        <v>#N/A</v>
      </c>
      <c r="Q678" s="65" t="s">
        <v>198</v>
      </c>
      <c r="R678" s="64" t="str">
        <f>IF(S678&lt;&gt;0,VLOOKUP(S678,DM_DUAN,3,0),"")</f>
        <v>#N/A</v>
      </c>
      <c r="S678" s="66" t="str">
        <f>IF(U678&lt;&gt;0,VLOOKUP(U678,DM_DUAN,3,0),"")</f>
        <v>THANHNAM</v>
      </c>
      <c r="T678" s="64"/>
      <c r="U678" s="67" t="s">
        <v>530</v>
      </c>
      <c r="V678" s="64" t="str">
        <f>IF(W678&lt;&gt;0,VLOOKUP(W678,DM_DUAN,3,0),"")</f>
        <v>#N/A</v>
      </c>
      <c r="W678" s="83" t="s">
        <v>718</v>
      </c>
      <c r="X678" s="64" t="str">
        <f>IF(Y678&lt;&gt;0,VLOOKUP(Y678,DM_DUAN,3,0),"")</f>
        <v>#N/A</v>
      </c>
      <c r="Y678" s="69" t="s">
        <v>176</v>
      </c>
      <c r="Z678" s="64" t="str">
        <f>IF(AA678&lt;&gt;0,VLOOKUP(AA678,DM_DUAN,3,0),"")</f>
        <v>#N/A</v>
      </c>
      <c r="AA678" s="70" t="s">
        <v>177</v>
      </c>
      <c r="AB678" s="64" t="str">
        <f>IF(AC678&lt;&gt;0,VLOOKUP(AC678,DM_DUAN,3,0),"")</f>
        <v>#N/A</v>
      </c>
      <c r="AC678" s="70" t="s">
        <v>600</v>
      </c>
      <c r="AD678" s="64" t="str">
        <f>IF(AC678&lt;&gt;0,VLOOKUP(AC678,DM_NV,2,0),"")</f>
        <v>Nguyễn Quốc Việt</v>
      </c>
      <c r="AE678" s="68"/>
      <c r="AF678" s="64" t="str">
        <f>IF(AE678&lt;&gt;0,VLOOKUP(AE678,DM_NV,2,0),"")</f>
        <v/>
      </c>
    </row>
    <row r="679">
      <c r="A679" s="51"/>
      <c r="B679" s="52" t="str">
        <f>IF(D679="","",VLOOKUP(D679,'THAM CHIẾU'!$A:$B,2,0))</f>
        <v/>
      </c>
      <c r="C679" s="53" t="str">
        <f t="shared" si="4"/>
        <v/>
      </c>
      <c r="D679" s="99"/>
      <c r="E679" s="55"/>
      <c r="F679" s="56"/>
      <c r="G679" s="57"/>
      <c r="H679" s="58" t="str">
        <f>IF(G679="","",VLOOKUP($G679,'Quy chuẩn hạch toán'!$B:$E,2,0))</f>
        <v/>
      </c>
      <c r="I679" s="58" t="str">
        <f>IF(H679="","",VLOOKUP($G679,'Quy chuẩn hạch toán'!$B:$E,3,0))</f>
        <v/>
      </c>
      <c r="J679" s="59"/>
      <c r="K679" s="60"/>
      <c r="L679" s="61"/>
      <c r="M679" s="62"/>
      <c r="N679" s="63"/>
      <c r="O679" s="64"/>
      <c r="P679" s="64"/>
      <c r="Q679" s="65"/>
      <c r="R679" s="64" t="str">
        <f>IF(S679&lt;&gt;0,VLOOKUP(S679,DM_DUAN,3,0),"")</f>
        <v>#N/A</v>
      </c>
      <c r="S679" s="66" t="str">
        <f>IF(U679&lt;&gt;0,VLOOKUP(U679,DM_DUAN,3,0),"")</f>
        <v/>
      </c>
      <c r="T679" s="64"/>
      <c r="U679" s="67"/>
      <c r="V679" s="64" t="str">
        <f>IF(W679&lt;&gt;0,VLOOKUP(W679,DM_DUAN,3,0),"")</f>
        <v/>
      </c>
      <c r="W679" s="83"/>
      <c r="X679" s="64" t="str">
        <f>IF(Y679&lt;&gt;0,VLOOKUP(Y679,DM_DUAN,3,0),"")</f>
        <v/>
      </c>
      <c r="Y679" s="69"/>
      <c r="Z679" s="64" t="str">
        <f>IF(AA679&lt;&gt;0,VLOOKUP(AA679,DM_DUAN,3,0),"")</f>
        <v/>
      </c>
      <c r="AA679" s="70"/>
      <c r="AB679" s="64" t="str">
        <f>IF(AC679&lt;&gt;0,VLOOKUP(AC679,DM_DUAN,3,0),"")</f>
        <v/>
      </c>
      <c r="AC679" s="85"/>
      <c r="AD679" s="64" t="str">
        <f>IF(AC679&lt;&gt;0,VLOOKUP(AC679,DM_NV,2,0),"")</f>
        <v/>
      </c>
      <c r="AE679" s="68"/>
      <c r="AF679" s="64" t="str">
        <f>IF(AE679&lt;&gt;0,VLOOKUP(AE679,DM_NV,2,0),"")</f>
        <v/>
      </c>
    </row>
    <row r="680">
      <c r="A680" s="51"/>
      <c r="B680" s="52" t="str">
        <f>IF(D680="","",VLOOKUP(D680,'THAM CHIẾU'!$A:$B,2,0))</f>
        <v>#N/A</v>
      </c>
      <c r="C680" s="53" t="str">
        <f t="shared" si="4"/>
        <v>04/2022</v>
      </c>
      <c r="D680" s="99">
        <v>44656.0</v>
      </c>
      <c r="E680" s="55" t="s">
        <v>719</v>
      </c>
      <c r="F680" s="56"/>
      <c r="G680" s="57" t="s">
        <v>186</v>
      </c>
      <c r="H680" s="58" t="str">
        <f>IF(G680="","",VLOOKUP($G680,'Quy chuẩn hạch toán'!$B:$E,2,0))</f>
        <v>131</v>
      </c>
      <c r="I680" s="58" t="str">
        <f>IF(H680="","",VLOOKUP($G680,'Quy chuẩn hạch toán'!$B:$E,3,0))</f>
        <v>5113</v>
      </c>
      <c r="J680" s="59">
        <v>1.61E8</v>
      </c>
      <c r="K680" s="60"/>
      <c r="L680" s="61"/>
      <c r="M680" s="62"/>
      <c r="N680" s="63"/>
      <c r="O680" s="64" t="str">
        <f>IF($Q680&lt;&gt;0,VLOOKUP($Q680,DM_KM,3,0),"")</f>
        <v>511_TK</v>
      </c>
      <c r="P680" s="64">
        <f>IF($Q680&lt;&gt;0,VLOOKUP($Q680,DM_KM,5,0),"")</f>
        <v>511</v>
      </c>
      <c r="Q680" s="65" t="s">
        <v>187</v>
      </c>
      <c r="R680" s="64" t="str">
        <f>IF(S680&lt;&gt;0,VLOOKUP(S680,DM_DUAN,3,0),"")</f>
        <v>#N/A</v>
      </c>
      <c r="S680" s="66" t="str">
        <f>IF(U680&lt;&gt;0,VLOOKUP(U680,DM_DUAN,3,0),"")</f>
        <v>THANHNAM</v>
      </c>
      <c r="T680" s="64"/>
      <c r="U680" s="67" t="s">
        <v>530</v>
      </c>
      <c r="V680" s="64" t="str">
        <f>IF(W680&lt;&gt;0,VLOOKUP(W680,DM_DUAN,3,0),"")</f>
        <v>#N/A</v>
      </c>
      <c r="W680" s="83" t="s">
        <v>718</v>
      </c>
      <c r="X680" s="64" t="str">
        <f>IF(Y680&lt;&gt;0,VLOOKUP(Y680,DM_DUAN,3,0),"")</f>
        <v>#N/A</v>
      </c>
      <c r="Y680" s="69" t="s">
        <v>176</v>
      </c>
      <c r="Z680" s="64" t="str">
        <f>IF(AA680&lt;&gt;0,VLOOKUP(AA680,DM_DUAN,3,0),"")</f>
        <v>#N/A</v>
      </c>
      <c r="AA680" s="70" t="s">
        <v>177</v>
      </c>
      <c r="AB680" s="64" t="str">
        <f>IF(AC680&lt;&gt;0,VLOOKUP(AC680,DM_DUAN,3,0),"")</f>
        <v/>
      </c>
      <c r="AC680" s="85"/>
      <c r="AD680" s="64" t="str">
        <f>IF(AC680&lt;&gt;0,VLOOKUP(AC680,DM_NV,2,0),"")</f>
        <v/>
      </c>
      <c r="AE680" s="68"/>
      <c r="AF680" s="64" t="str">
        <f>IF(AE680&lt;&gt;0,VLOOKUP(AE680,DM_NV,2,0),"")</f>
        <v/>
      </c>
    </row>
    <row r="681">
      <c r="A681" s="51"/>
      <c r="B681" s="52"/>
      <c r="C681" s="53" t="str">
        <f t="shared" si="4"/>
        <v>04/2022</v>
      </c>
      <c r="D681" s="99">
        <v>44656.0</v>
      </c>
      <c r="E681" s="55" t="s">
        <v>720</v>
      </c>
      <c r="F681" s="56"/>
      <c r="G681" s="57" t="s">
        <v>189</v>
      </c>
      <c r="H681" s="58" t="str">
        <f>IF(G681="","",VLOOKUP($G681,'Quy chuẩn hạch toán'!$B:$E,2,0))</f>
        <v>154</v>
      </c>
      <c r="I681" s="58" t="str">
        <f>IF(H681="","",VLOOKUP($G681,'Quy chuẩn hạch toán'!$B:$E,3,0))</f>
        <v>3345</v>
      </c>
      <c r="J681" s="59">
        <v>5.5E7</v>
      </c>
      <c r="K681" s="60"/>
      <c r="L681" s="61"/>
      <c r="M681" s="62"/>
      <c r="N681" s="63"/>
      <c r="O681" s="64" t="str">
        <f>IF($Q681&lt;&gt;0,VLOOKUP($Q681,DM_KM,3,0),"")</f>
        <v>#N/A</v>
      </c>
      <c r="P681" s="64" t="str">
        <f>IF($Q681&lt;&gt;0,VLOOKUP($Q681,DM_KM,5,0),"")</f>
        <v>#N/A</v>
      </c>
      <c r="Q681" s="65" t="s">
        <v>190</v>
      </c>
      <c r="R681" s="64" t="str">
        <f>IF(S681&lt;&gt;0,VLOOKUP(S681,DM_DUAN,3,0),"")</f>
        <v>#N/A</v>
      </c>
      <c r="S681" s="66" t="str">
        <f>IF(U681&lt;&gt;0,VLOOKUP(U681,DM_DUAN,3,0),"")</f>
        <v>THANHNAM</v>
      </c>
      <c r="T681" s="64"/>
      <c r="U681" s="67" t="s">
        <v>530</v>
      </c>
      <c r="V681" s="64" t="str">
        <f>IF(W681&lt;&gt;0,VLOOKUP(W681,DM_DUAN,3,0),"")</f>
        <v>#N/A</v>
      </c>
      <c r="W681" s="83" t="s">
        <v>718</v>
      </c>
      <c r="X681" s="64" t="str">
        <f>IF(Y681&lt;&gt;0,VLOOKUP(Y681,DM_DUAN,3,0),"")</f>
        <v>#N/A</v>
      </c>
      <c r="Y681" s="69" t="s">
        <v>176</v>
      </c>
      <c r="Z681" s="64" t="str">
        <f>IF(AA681&lt;&gt;0,VLOOKUP(AA681,DM_DUAN,3,0),"")</f>
        <v>#N/A</v>
      </c>
      <c r="AA681" s="70" t="s">
        <v>177</v>
      </c>
      <c r="AB681" s="64" t="str">
        <f>IF(AC681&lt;&gt;0,VLOOKUP(AC681,DM_DUAN,3,0),"")</f>
        <v>#N/A</v>
      </c>
      <c r="AC681" s="70" t="s">
        <v>600</v>
      </c>
      <c r="AD681" s="64" t="str">
        <f>IF(AC681&lt;&gt;0,VLOOKUP(AC681,DM_NV,2,0),"")</f>
        <v>Nguyễn Quốc Việt</v>
      </c>
      <c r="AE681" s="68"/>
      <c r="AF681" s="64" t="str">
        <f>IF(AE681&lt;&gt;0,VLOOKUP(AE681,DM_NV,2,0),"")</f>
        <v/>
      </c>
    </row>
    <row r="682">
      <c r="A682" s="51"/>
      <c r="B682" s="52" t="str">
        <f>IF(D682="","",VLOOKUP(D682,'THAM CHIẾU'!$A:$B,2,0))</f>
        <v>#N/A</v>
      </c>
      <c r="C682" s="53" t="str">
        <f t="shared" si="4"/>
        <v>04/2022</v>
      </c>
      <c r="D682" s="99">
        <v>44656.0</v>
      </c>
      <c r="E682" s="55" t="s">
        <v>721</v>
      </c>
      <c r="F682" s="56"/>
      <c r="G682" s="57" t="s">
        <v>193</v>
      </c>
      <c r="H682" s="58" t="str">
        <f>IF(G682="","",VLOOKUP($G682,'Quy chuẩn hạch toán'!$B:$E,2,0))</f>
        <v>154</v>
      </c>
      <c r="I682" s="58" t="str">
        <f>IF(H682="","",VLOOKUP($G682,'Quy chuẩn hạch toán'!$B:$E,3,0))</f>
        <v>3344</v>
      </c>
      <c r="J682" s="59">
        <v>4500000.0</v>
      </c>
      <c r="K682" s="60"/>
      <c r="L682" s="61"/>
      <c r="M682" s="62"/>
      <c r="N682" s="63"/>
      <c r="O682" s="64" t="str">
        <f>IF($Q682&lt;&gt;0,VLOOKUP($Q682,DM_KM,3,0),"")</f>
        <v>#N/A</v>
      </c>
      <c r="P682" s="64" t="str">
        <f>IF($Q682&lt;&gt;0,VLOOKUP($Q682,DM_KM,5,0),"")</f>
        <v>#N/A</v>
      </c>
      <c r="Q682" s="65" t="s">
        <v>194</v>
      </c>
      <c r="R682" s="64" t="str">
        <f>IF(S682&lt;&gt;0,VLOOKUP(S682,DM_DUAN,3,0),"")</f>
        <v>#N/A</v>
      </c>
      <c r="S682" s="66" t="str">
        <f>IF(U682&lt;&gt;0,VLOOKUP(U682,DM_DUAN,3,0),"")</f>
        <v>THANHNAM</v>
      </c>
      <c r="T682" s="64"/>
      <c r="U682" s="67" t="s">
        <v>530</v>
      </c>
      <c r="V682" s="64" t="str">
        <f>IF(W682&lt;&gt;0,VLOOKUP(W682,DM_DUAN,3,0),"")</f>
        <v>#N/A</v>
      </c>
      <c r="W682" s="83" t="s">
        <v>718</v>
      </c>
      <c r="X682" s="64" t="str">
        <f>IF(Y682&lt;&gt;0,VLOOKUP(Y682,DM_DUAN,3,0),"")</f>
        <v>#N/A</v>
      </c>
      <c r="Y682" s="69" t="s">
        <v>176</v>
      </c>
      <c r="Z682" s="64" t="str">
        <f>IF(AA682&lt;&gt;0,VLOOKUP(AA682,DM_DUAN,3,0),"")</f>
        <v>#N/A</v>
      </c>
      <c r="AA682" s="70" t="s">
        <v>177</v>
      </c>
      <c r="AB682" s="64" t="str">
        <f>IF(AC682&lt;&gt;0,VLOOKUP(AC682,DM_DUAN,3,0),"")</f>
        <v>#N/A</v>
      </c>
      <c r="AC682" s="70" t="s">
        <v>603</v>
      </c>
      <c r="AD682" s="64" t="str">
        <f>IF(AC682&lt;&gt;0,VLOOKUP(AC682,DM_NV,2,0),"")</f>
        <v>Trần Minh Khánh</v>
      </c>
      <c r="AE682" s="68"/>
      <c r="AF682" s="64" t="str">
        <f>IF(AE682&lt;&gt;0,VLOOKUP(AE682,DM_NV,2,0),"")</f>
        <v/>
      </c>
    </row>
    <row r="683">
      <c r="A683" s="51"/>
      <c r="B683" s="52" t="str">
        <f>IF(D683="","",VLOOKUP(D683,'THAM CHIẾU'!$A:$B,2,0))</f>
        <v>#N/A</v>
      </c>
      <c r="C683" s="53" t="str">
        <f t="shared" si="4"/>
        <v>04/2022</v>
      </c>
      <c r="D683" s="99">
        <v>44656.0</v>
      </c>
      <c r="E683" s="55" t="s">
        <v>722</v>
      </c>
      <c r="F683" s="56"/>
      <c r="G683" s="57" t="s">
        <v>200</v>
      </c>
      <c r="H683" s="58" t="str">
        <f>IF(G683="","",VLOOKUP($G683,'Quy chuẩn hạch toán'!$B:$E,2,0))</f>
        <v>154</v>
      </c>
      <c r="I683" s="58" t="str">
        <f>IF(H683="","",VLOOKUP($G683,'Quy chuẩn hạch toán'!$B:$E,3,0))</f>
        <v>3343</v>
      </c>
      <c r="J683" s="59">
        <v>1000000.0</v>
      </c>
      <c r="K683" s="60"/>
      <c r="L683" s="61"/>
      <c r="M683" s="62"/>
      <c r="N683" s="63"/>
      <c r="O683" s="64" t="str">
        <f>IF($Q683&lt;&gt;0,VLOOKUP($Q683,DM_KM,3,0),"")</f>
        <v>#N/A</v>
      </c>
      <c r="P683" s="64" t="str">
        <f>IF($Q683&lt;&gt;0,VLOOKUP($Q683,DM_KM,5,0),"")</f>
        <v>#N/A</v>
      </c>
      <c r="Q683" s="65" t="s">
        <v>201</v>
      </c>
      <c r="R683" s="64" t="str">
        <f>IF(S683&lt;&gt;0,VLOOKUP(S683,DM_DUAN,3,0),"")</f>
        <v>#N/A</v>
      </c>
      <c r="S683" s="66" t="str">
        <f>IF(U683&lt;&gt;0,VLOOKUP(U683,DM_DUAN,3,0),"")</f>
        <v>THANHNAM</v>
      </c>
      <c r="T683" s="64"/>
      <c r="U683" s="67" t="s">
        <v>530</v>
      </c>
      <c r="V683" s="64" t="str">
        <f>IF(W683&lt;&gt;0,VLOOKUP(W683,DM_DUAN,3,0),"")</f>
        <v>#N/A</v>
      </c>
      <c r="W683" s="83" t="s">
        <v>718</v>
      </c>
      <c r="X683" s="64" t="str">
        <f>IF(Y683&lt;&gt;0,VLOOKUP(Y683,DM_DUAN,3,0),"")</f>
        <v>#N/A</v>
      </c>
      <c r="Y683" s="69" t="s">
        <v>176</v>
      </c>
      <c r="Z683" s="64" t="str">
        <f>IF(AA683&lt;&gt;0,VLOOKUP(AA683,DM_DUAN,3,0),"")</f>
        <v>#N/A</v>
      </c>
      <c r="AA683" s="70" t="s">
        <v>177</v>
      </c>
      <c r="AB683" s="64" t="str">
        <f>IF(AC683&lt;&gt;0,VLOOKUP(AC683,DM_DUAN,3,0),"")</f>
        <v/>
      </c>
      <c r="AC683" s="85"/>
      <c r="AD683" s="64" t="str">
        <f>IF(AC683&lt;&gt;0,VLOOKUP(AC683,DM_NV,2,0),"")</f>
        <v/>
      </c>
      <c r="AE683" s="68"/>
      <c r="AF683" s="64" t="str">
        <f>IF(AE683&lt;&gt;0,VLOOKUP(AE683,DM_NV,2,0),"")</f>
        <v/>
      </c>
    </row>
    <row r="684">
      <c r="A684" s="51"/>
      <c r="B684" s="52" t="str">
        <f>IF(D684="","",VLOOKUP(D684,'THAM CHIẾU'!$A:$B,2,0))</f>
        <v>#N/A</v>
      </c>
      <c r="C684" s="53" t="str">
        <f t="shared" si="4"/>
        <v>04/2022</v>
      </c>
      <c r="D684" s="99">
        <v>44656.0</v>
      </c>
      <c r="E684" s="55" t="s">
        <v>723</v>
      </c>
      <c r="F684" s="56"/>
      <c r="G684" s="90"/>
      <c r="H684" s="58" t="str">
        <f>IF(G684="","",VLOOKUP($G684,'Quy chuẩn hạch toán'!$B:$E,2,0))</f>
        <v/>
      </c>
      <c r="I684" s="58" t="str">
        <f>IF(H684="","",VLOOKUP($G684,'Quy chuẩn hạch toán'!$B:$E,3,0))</f>
        <v/>
      </c>
      <c r="J684" s="59">
        <v>1.28E7</v>
      </c>
      <c r="K684" s="60"/>
      <c r="L684" s="61"/>
      <c r="M684" s="62"/>
      <c r="N684" s="63"/>
      <c r="O684" s="64" t="str">
        <f>IF($Q684&lt;&gt;0,VLOOKUP($Q684,DM_KM,3,0),"")</f>
        <v>#N/A</v>
      </c>
      <c r="P684" s="64" t="str">
        <f>IF($Q684&lt;&gt;0,VLOOKUP($Q684,DM_KM,5,0),"")</f>
        <v>#N/A</v>
      </c>
      <c r="Q684" s="65" t="s">
        <v>203</v>
      </c>
      <c r="R684" s="64" t="str">
        <f>IF(S684&lt;&gt;0,VLOOKUP(S684,DM_DUAN,3,0),"")</f>
        <v>#N/A</v>
      </c>
      <c r="S684" s="66" t="str">
        <f>IF(U684&lt;&gt;0,VLOOKUP(U684,DM_DUAN,3,0),"")</f>
        <v>THANHNAM</v>
      </c>
      <c r="T684" s="64"/>
      <c r="U684" s="67" t="s">
        <v>530</v>
      </c>
      <c r="V684" s="64" t="str">
        <f>IF(W684&lt;&gt;0,VLOOKUP(W684,DM_DUAN,3,0),"")</f>
        <v>#N/A</v>
      </c>
      <c r="W684" s="83" t="s">
        <v>718</v>
      </c>
      <c r="X684" s="64" t="str">
        <f>IF(Y684&lt;&gt;0,VLOOKUP(Y684,DM_DUAN,3,0),"")</f>
        <v>#N/A</v>
      </c>
      <c r="Y684" s="69" t="s">
        <v>176</v>
      </c>
      <c r="Z684" s="64" t="str">
        <f>IF(AA684&lt;&gt;0,VLOOKUP(AA684,DM_DUAN,3,0),"")</f>
        <v>#N/A</v>
      </c>
      <c r="AA684" s="70" t="s">
        <v>177</v>
      </c>
      <c r="AB684" s="64" t="str">
        <f>IF(AC684&lt;&gt;0,VLOOKUP(AC684,DM_DUAN,3,0),"")</f>
        <v/>
      </c>
      <c r="AC684" s="85"/>
      <c r="AD684" s="64" t="str">
        <f>IF(AC684&lt;&gt;0,VLOOKUP(AC684,DM_NV,2,0),"")</f>
        <v/>
      </c>
      <c r="AE684" s="68"/>
      <c r="AF684" s="64" t="str">
        <f>IF(AE684&lt;&gt;0,VLOOKUP(AE684,DM_NV,2,0),"")</f>
        <v/>
      </c>
    </row>
    <row r="685">
      <c r="A685" s="51"/>
      <c r="B685" s="52" t="str">
        <f>IF(D685="","",VLOOKUP(D685,'THAM CHIẾU'!$A:$B,2,0))</f>
        <v>#N/A</v>
      </c>
      <c r="C685" s="53" t="str">
        <f t="shared" si="4"/>
        <v>04/2022</v>
      </c>
      <c r="D685" s="99">
        <v>44656.0</v>
      </c>
      <c r="E685" s="55" t="s">
        <v>724</v>
      </c>
      <c r="F685" s="56"/>
      <c r="G685" s="57" t="s">
        <v>173</v>
      </c>
      <c r="H685" s="58" t="str">
        <f>IF(G685="","",VLOOKUP($G685,'Quy chuẩn hạch toán'!$B:$E,2,0))</f>
        <v>641</v>
      </c>
      <c r="I685" s="58" t="str">
        <f>IF(H685="","",VLOOKUP($G685,'Quy chuẩn hạch toán'!$B:$E,3,0))</f>
        <v>331</v>
      </c>
      <c r="J685" s="59">
        <v>2600000.0</v>
      </c>
      <c r="K685" s="60"/>
      <c r="L685" s="61"/>
      <c r="M685" s="62"/>
      <c r="N685" s="63"/>
      <c r="O685" s="64" t="str">
        <f>IF($Q685&lt;&gt;0,VLOOKUP($Q685,DM_KM,3,0),"")</f>
        <v>#N/A</v>
      </c>
      <c r="P685" s="64" t="str">
        <f>IF($Q685&lt;&gt;0,VLOOKUP($Q685,DM_KM,5,0),"")</f>
        <v>#N/A</v>
      </c>
      <c r="Q685" s="65" t="s">
        <v>174</v>
      </c>
      <c r="R685" s="64" t="str">
        <f>IF(S685&lt;&gt;0,VLOOKUP(S685,DM_DUAN,3,0),"")</f>
        <v>#N/A</v>
      </c>
      <c r="S685" s="66" t="str">
        <f>IF(U685&lt;&gt;0,VLOOKUP(U685,DM_DUAN,3,0),"")</f>
        <v>KIMCUONGLAND</v>
      </c>
      <c r="T685" s="64"/>
      <c r="U685" s="67" t="s">
        <v>638</v>
      </c>
      <c r="V685" s="64" t="str">
        <f>IF(W685&lt;&gt;0,VLOOKUP(W685,DM_DUAN,3,0),"")</f>
        <v/>
      </c>
      <c r="W685" s="68"/>
      <c r="X685" s="64" t="str">
        <f>IF(Y685&lt;&gt;0,VLOOKUP(Y685,DM_DUAN,3,0),"")</f>
        <v>#N/A</v>
      </c>
      <c r="Y685" s="69" t="s">
        <v>176</v>
      </c>
      <c r="Z685" s="64" t="str">
        <f>IF(AA685&lt;&gt;0,VLOOKUP(AA685,DM_DUAN,3,0),"")</f>
        <v>#N/A</v>
      </c>
      <c r="AA685" s="70" t="s">
        <v>177</v>
      </c>
      <c r="AB685" s="64" t="str">
        <f>IF(AC685&lt;&gt;0,VLOOKUP(AC685,DM_DUAN,3,0),"")</f>
        <v/>
      </c>
      <c r="AC685" s="85"/>
      <c r="AD685" s="64" t="str">
        <f>IF(AC685&lt;&gt;0,VLOOKUP(AC685,DM_NV,2,0),"")</f>
        <v/>
      </c>
      <c r="AE685" s="68"/>
      <c r="AF685" s="64" t="str">
        <f>IF(AE685&lt;&gt;0,VLOOKUP(AE685,DM_NV,2,0),"")</f>
        <v/>
      </c>
    </row>
    <row r="686">
      <c r="A686" s="51"/>
      <c r="B686" s="52" t="str">
        <f>IF(D686="","",VLOOKUP(D686,'THAM CHIẾU'!$A:$B,2,0))</f>
        <v>#N/A</v>
      </c>
      <c r="C686" s="53" t="str">
        <f t="shared" si="4"/>
        <v>04/2022</v>
      </c>
      <c r="D686" s="99">
        <v>44656.0</v>
      </c>
      <c r="E686" s="55" t="s">
        <v>725</v>
      </c>
      <c r="F686" s="56"/>
      <c r="G686" s="57" t="s">
        <v>173</v>
      </c>
      <c r="H686" s="58" t="str">
        <f>IF(G686="","",VLOOKUP($G686,'Quy chuẩn hạch toán'!$B:$E,2,0))</f>
        <v>641</v>
      </c>
      <c r="I686" s="58" t="str">
        <f>IF(H686="","",VLOOKUP($G686,'Quy chuẩn hạch toán'!$B:$E,3,0))</f>
        <v>331</v>
      </c>
      <c r="J686" s="59">
        <v>2600000.0</v>
      </c>
      <c r="K686" s="60"/>
      <c r="L686" s="61"/>
      <c r="M686" s="62"/>
      <c r="N686" s="63"/>
      <c r="O686" s="64" t="str">
        <f>IF($Q686&lt;&gt;0,VLOOKUP($Q686,DM_KM,3,0),"")</f>
        <v>#N/A</v>
      </c>
      <c r="P686" s="64" t="str">
        <f>IF($Q686&lt;&gt;0,VLOOKUP($Q686,DM_KM,5,0),"")</f>
        <v>#N/A</v>
      </c>
      <c r="Q686" s="65" t="s">
        <v>174</v>
      </c>
      <c r="R686" s="64" t="str">
        <f>IF(S686&lt;&gt;0,VLOOKUP(S686,DM_DUAN,3,0),"")</f>
        <v>#N/A</v>
      </c>
      <c r="S686" s="66" t="str">
        <f>IF(U686&lt;&gt;0,VLOOKUP(U686,DM_DUAN,3,0),"")</f>
        <v>THANHNAM</v>
      </c>
      <c r="T686" s="64"/>
      <c r="U686" s="67" t="s">
        <v>530</v>
      </c>
      <c r="V686" s="64" t="str">
        <f>IF(W686&lt;&gt;0,VLOOKUP(W686,DM_DUAN,3,0),"")</f>
        <v/>
      </c>
      <c r="W686" s="68"/>
      <c r="X686" s="64" t="str">
        <f>IF(Y686&lt;&gt;0,VLOOKUP(Y686,DM_DUAN,3,0),"")</f>
        <v>#N/A</v>
      </c>
      <c r="Y686" s="69" t="s">
        <v>176</v>
      </c>
      <c r="Z686" s="64" t="str">
        <f>IF(AA686&lt;&gt;0,VLOOKUP(AA686,DM_DUAN,3,0),"")</f>
        <v>#N/A</v>
      </c>
      <c r="AA686" s="70" t="s">
        <v>177</v>
      </c>
      <c r="AB686" s="64" t="str">
        <f>IF(AC686&lt;&gt;0,VLOOKUP(AC686,DM_DUAN,3,0),"")</f>
        <v/>
      </c>
      <c r="AC686" s="85"/>
      <c r="AD686" s="64" t="str">
        <f>IF(AC686&lt;&gt;0,VLOOKUP(AC686,DM_NV,2,0),"")</f>
        <v/>
      </c>
      <c r="AE686" s="68"/>
      <c r="AF686" s="64" t="str">
        <f>IF(AE686&lt;&gt;0,VLOOKUP(AE686,DM_NV,2,0),"")</f>
        <v/>
      </c>
    </row>
    <row r="687">
      <c r="A687" s="51"/>
      <c r="B687" s="52" t="str">
        <f>IF(D687="","",VLOOKUP(D687,'THAM CHIẾU'!$A:$B,2,0))</f>
        <v>#N/A</v>
      </c>
      <c r="C687" s="53" t="str">
        <f t="shared" si="4"/>
        <v>04/2022</v>
      </c>
      <c r="D687" s="99">
        <v>44656.0</v>
      </c>
      <c r="E687" s="55" t="s">
        <v>726</v>
      </c>
      <c r="F687" s="56"/>
      <c r="G687" s="57" t="s">
        <v>173</v>
      </c>
      <c r="H687" s="58" t="str">
        <f>IF(G687="","",VLOOKUP($G687,'Quy chuẩn hạch toán'!$B:$E,2,0))</f>
        <v>641</v>
      </c>
      <c r="I687" s="58" t="str">
        <f>IF(H687="","",VLOOKUP($G687,'Quy chuẩn hạch toán'!$B:$E,3,0))</f>
        <v>331</v>
      </c>
      <c r="J687" s="59">
        <v>2812000.0</v>
      </c>
      <c r="K687" s="60"/>
      <c r="L687" s="61"/>
      <c r="M687" s="62"/>
      <c r="N687" s="63"/>
      <c r="O687" s="64" t="str">
        <f>IF($Q687&lt;&gt;0,VLOOKUP($Q687,DM_KM,3,0),"")</f>
        <v>#N/A</v>
      </c>
      <c r="P687" s="64" t="str">
        <f>IF($Q687&lt;&gt;0,VLOOKUP($Q687,DM_KM,5,0),"")</f>
        <v>#N/A</v>
      </c>
      <c r="Q687" s="65" t="s">
        <v>174</v>
      </c>
      <c r="R687" s="64" t="str">
        <f>IF(S687&lt;&gt;0,VLOOKUP(S687,DM_DUAN,3,0),"")</f>
        <v>#N/A</v>
      </c>
      <c r="S687" s="66" t="str">
        <f>IF(U687&lt;&gt;0,VLOOKUP(U687,DM_DUAN,3,0),"")</f>
        <v>KIMCUONGLAND</v>
      </c>
      <c r="T687" s="64"/>
      <c r="U687" s="67" t="s">
        <v>638</v>
      </c>
      <c r="V687" s="64" t="str">
        <f>IF(W687&lt;&gt;0,VLOOKUP(W687,DM_DUAN,3,0),"")</f>
        <v/>
      </c>
      <c r="W687" s="68"/>
      <c r="X687" s="64" t="str">
        <f>IF(Y687&lt;&gt;0,VLOOKUP(Y687,DM_DUAN,3,0),"")</f>
        <v>#N/A</v>
      </c>
      <c r="Y687" s="69" t="s">
        <v>176</v>
      </c>
      <c r="Z687" s="64" t="str">
        <f>IF(AA687&lt;&gt;0,VLOOKUP(AA687,DM_DUAN,3,0),"")</f>
        <v>#N/A</v>
      </c>
      <c r="AA687" s="70" t="s">
        <v>177</v>
      </c>
      <c r="AB687" s="64" t="str">
        <f>IF(AC687&lt;&gt;0,VLOOKUP(AC687,DM_DUAN,3,0),"")</f>
        <v/>
      </c>
      <c r="AC687" s="85"/>
      <c r="AD687" s="64" t="str">
        <f>IF(AC687&lt;&gt;0,VLOOKUP(AC687,DM_NV,2,0),"")</f>
        <v/>
      </c>
      <c r="AE687" s="68"/>
      <c r="AF687" s="64" t="str">
        <f>IF(AE687&lt;&gt;0,VLOOKUP(AE687,DM_NV,2,0),"")</f>
        <v/>
      </c>
    </row>
    <row r="688">
      <c r="A688" s="51"/>
      <c r="B688" s="52" t="str">
        <f>IF(D688="","",VLOOKUP(D688,'THAM CHIẾU'!$A:$B,2,0))</f>
        <v>#N/A</v>
      </c>
      <c r="C688" s="53" t="str">
        <f t="shared" si="4"/>
        <v>04/2022</v>
      </c>
      <c r="D688" s="99">
        <v>44657.0</v>
      </c>
      <c r="E688" s="55" t="s">
        <v>727</v>
      </c>
      <c r="F688" s="56"/>
      <c r="G688" s="57" t="s">
        <v>197</v>
      </c>
      <c r="H688" s="58" t="str">
        <f>IF(G688="","",VLOOKUP($G688,'Quy chuẩn hạch toán'!$B:$E,2,0))</f>
        <v>#N/A</v>
      </c>
      <c r="I688" s="58" t="str">
        <f>IF(H688="","",VLOOKUP($G688,'Quy chuẩn hạch toán'!$B:$E,3,0))</f>
        <v>#N/A</v>
      </c>
      <c r="J688" s="59">
        <v>5.45E8</v>
      </c>
      <c r="K688" s="60"/>
      <c r="L688" s="61"/>
      <c r="M688" s="62"/>
      <c r="N688" s="63"/>
      <c r="O688" s="64" t="str">
        <f>IF($Q688&lt;&gt;0,VLOOKUP($Q688,DM_KM,3,0),"")</f>
        <v>#N/A</v>
      </c>
      <c r="P688" s="64" t="str">
        <f>IF($Q688&lt;&gt;0,VLOOKUP($Q688,DM_KM,5,0),"")</f>
        <v>#N/A</v>
      </c>
      <c r="Q688" s="65" t="s">
        <v>198</v>
      </c>
      <c r="R688" s="64" t="str">
        <f>IF(S688&lt;&gt;0,VLOOKUP(S688,DM_DUAN,3,0),"")</f>
        <v>#N/A</v>
      </c>
      <c r="S688" s="66" t="str">
        <f>IF(U688&lt;&gt;0,VLOOKUP(U688,DM_DUAN,3,0),"")</f>
        <v>KIMCUONGLAND</v>
      </c>
      <c r="T688" s="64"/>
      <c r="U688" s="67" t="s">
        <v>638</v>
      </c>
      <c r="V688" s="64" t="str">
        <f>IF(W688&lt;&gt;0,VLOOKUP(W688,DM_DUAN,3,0),"")</f>
        <v>#N/A</v>
      </c>
      <c r="W688" s="83" t="s">
        <v>728</v>
      </c>
      <c r="X688" s="64" t="str">
        <f>IF(Y688&lt;&gt;0,VLOOKUP(Y688,DM_DUAN,3,0),"")</f>
        <v>#N/A</v>
      </c>
      <c r="Y688" s="69" t="s">
        <v>176</v>
      </c>
      <c r="Z688" s="64" t="str">
        <f>IF(AA688&lt;&gt;0,VLOOKUP(AA688,DM_DUAN,3,0),"")</f>
        <v>#N/A</v>
      </c>
      <c r="AA688" s="70" t="s">
        <v>177</v>
      </c>
      <c r="AB688" s="64" t="str">
        <f>IF(AC688&lt;&gt;0,VLOOKUP(AC688,DM_DUAN,3,0),"")</f>
        <v>#N/A</v>
      </c>
      <c r="AC688" s="70" t="s">
        <v>178</v>
      </c>
      <c r="AD688" s="64" t="str">
        <f>IF(AC688&lt;&gt;0,VLOOKUP(AC688,DM_NV,2,0),"")</f>
        <v>Lê Hoàng Quân</v>
      </c>
      <c r="AE688" s="68"/>
      <c r="AF688" s="64" t="str">
        <f>IF(AE688&lt;&gt;0,VLOOKUP(AE688,DM_NV,2,0),"")</f>
        <v/>
      </c>
    </row>
    <row r="689">
      <c r="A689" s="51"/>
      <c r="B689" s="52" t="str">
        <f>IF(D689="","",VLOOKUP(D689,'THAM CHIẾU'!$A:$B,2,0))</f>
        <v/>
      </c>
      <c r="C689" s="53" t="str">
        <f t="shared" si="4"/>
        <v/>
      </c>
      <c r="D689" s="99"/>
      <c r="E689" s="55"/>
      <c r="F689" s="56"/>
      <c r="G689" s="57"/>
      <c r="H689" s="58" t="str">
        <f>IF(G689="","",VLOOKUP($G689,'Quy chuẩn hạch toán'!$B:$E,2,0))</f>
        <v/>
      </c>
      <c r="I689" s="58" t="str">
        <f>IF(H689="","",VLOOKUP($G689,'Quy chuẩn hạch toán'!$B:$E,3,0))</f>
        <v/>
      </c>
      <c r="J689" s="59"/>
      <c r="K689" s="60"/>
      <c r="L689" s="61"/>
      <c r="M689" s="62"/>
      <c r="N689" s="63"/>
      <c r="O689" s="64"/>
      <c r="P689" s="64"/>
      <c r="Q689" s="65"/>
      <c r="R689" s="64" t="str">
        <f>IF(S689&lt;&gt;0,VLOOKUP(S689,DM_DUAN,3,0),"")</f>
        <v>#N/A</v>
      </c>
      <c r="S689" s="66" t="str">
        <f>IF(U689&lt;&gt;0,VLOOKUP(U689,DM_DUAN,3,0),"")</f>
        <v/>
      </c>
      <c r="T689" s="64"/>
      <c r="U689" s="67"/>
      <c r="V689" s="64" t="str">
        <f>IF(W689&lt;&gt;0,VLOOKUP(W689,DM_DUAN,3,0),"")</f>
        <v/>
      </c>
      <c r="W689" s="83"/>
      <c r="X689" s="64" t="str">
        <f>IF(Y689&lt;&gt;0,VLOOKUP(Y689,DM_DUAN,3,0),"")</f>
        <v/>
      </c>
      <c r="Y689" s="69"/>
      <c r="Z689" s="64" t="str">
        <f>IF(AA689&lt;&gt;0,VLOOKUP(AA689,DM_DUAN,3,0),"")</f>
        <v/>
      </c>
      <c r="AA689" s="70"/>
      <c r="AB689" s="64" t="str">
        <f>IF(AC689&lt;&gt;0,VLOOKUP(AC689,DM_DUAN,3,0),"")</f>
        <v/>
      </c>
      <c r="AC689" s="85"/>
      <c r="AD689" s="64" t="str">
        <f>IF(AC689&lt;&gt;0,VLOOKUP(AC689,DM_NV,2,0),"")</f>
        <v/>
      </c>
      <c r="AE689" s="68"/>
      <c r="AF689" s="64" t="str">
        <f>IF(AE689&lt;&gt;0,VLOOKUP(AE689,DM_NV,2,0),"")</f>
        <v/>
      </c>
    </row>
    <row r="690">
      <c r="A690" s="51"/>
      <c r="B690" s="52" t="str">
        <f>IF(D690="","",VLOOKUP(D690,'THAM CHIẾU'!$A:$B,2,0))</f>
        <v>#N/A</v>
      </c>
      <c r="C690" s="53" t="str">
        <f t="shared" si="4"/>
        <v>04/2022</v>
      </c>
      <c r="D690" s="99">
        <v>44657.0</v>
      </c>
      <c r="E690" s="55" t="s">
        <v>729</v>
      </c>
      <c r="F690" s="56"/>
      <c r="G690" s="57" t="s">
        <v>186</v>
      </c>
      <c r="H690" s="58" t="str">
        <f>IF(G690="","",VLOOKUP($G690,'Quy chuẩn hạch toán'!$B:$E,2,0))</f>
        <v>131</v>
      </c>
      <c r="I690" s="58" t="str">
        <f>IF(H690="","",VLOOKUP($G690,'Quy chuẩn hạch toán'!$B:$E,3,0))</f>
        <v>5113</v>
      </c>
      <c r="J690" s="59">
        <v>1.12E8</v>
      </c>
      <c r="K690" s="60"/>
      <c r="L690" s="61"/>
      <c r="M690" s="62"/>
      <c r="N690" s="63"/>
      <c r="O690" s="64" t="str">
        <f>IF($Q690&lt;&gt;0,VLOOKUP($Q690,DM_KM,3,0),"")</f>
        <v>511_TK</v>
      </c>
      <c r="P690" s="64">
        <f>IF($Q690&lt;&gt;0,VLOOKUP($Q690,DM_KM,5,0),"")</f>
        <v>511</v>
      </c>
      <c r="Q690" s="65" t="s">
        <v>187</v>
      </c>
      <c r="R690" s="64" t="str">
        <f>IF(S690&lt;&gt;0,VLOOKUP(S690,DM_DUAN,3,0),"")</f>
        <v>#N/A</v>
      </c>
      <c r="S690" s="66" t="str">
        <f>IF(U690&lt;&gt;0,VLOOKUP(U690,DM_DUAN,3,0),"")</f>
        <v>KIMCUONGLAND</v>
      </c>
      <c r="T690" s="64"/>
      <c r="U690" s="67" t="s">
        <v>638</v>
      </c>
      <c r="V690" s="64" t="str">
        <f>IF(W690&lt;&gt;0,VLOOKUP(W690,DM_DUAN,3,0),"")</f>
        <v>#N/A</v>
      </c>
      <c r="W690" s="83" t="s">
        <v>728</v>
      </c>
      <c r="X690" s="64" t="str">
        <f>IF(Y690&lt;&gt;0,VLOOKUP(Y690,DM_DUAN,3,0),"")</f>
        <v>#N/A</v>
      </c>
      <c r="Y690" s="69" t="s">
        <v>176</v>
      </c>
      <c r="Z690" s="64" t="str">
        <f>IF(AA690&lt;&gt;0,VLOOKUP(AA690,DM_DUAN,3,0),"")</f>
        <v>#N/A</v>
      </c>
      <c r="AA690" s="70" t="s">
        <v>177</v>
      </c>
      <c r="AB690" s="64" t="str">
        <f>IF(AC690&lt;&gt;0,VLOOKUP(AC690,DM_DUAN,3,0),"")</f>
        <v/>
      </c>
      <c r="AC690" s="85"/>
      <c r="AD690" s="64" t="str">
        <f>IF(AC690&lt;&gt;0,VLOOKUP(AC690,DM_NV,2,0),"")</f>
        <v/>
      </c>
      <c r="AE690" s="68"/>
      <c r="AF690" s="64" t="str">
        <f>IF(AE690&lt;&gt;0,VLOOKUP(AE690,DM_NV,2,0),"")</f>
        <v/>
      </c>
    </row>
    <row r="691">
      <c r="A691" s="51"/>
      <c r="B691" s="52" t="str">
        <f>IF(D691="","",VLOOKUP(D691,'THAM CHIẾU'!$A:$B,2,0))</f>
        <v>#N/A</v>
      </c>
      <c r="C691" s="53" t="str">
        <f t="shared" si="4"/>
        <v>04/2022</v>
      </c>
      <c r="D691" s="99">
        <v>44657.0</v>
      </c>
      <c r="E691" s="55" t="s">
        <v>730</v>
      </c>
      <c r="F691" s="56"/>
      <c r="G691" s="57" t="s">
        <v>189</v>
      </c>
      <c r="H691" s="58" t="str">
        <f>IF(G691="","",VLOOKUP($G691,'Quy chuẩn hạch toán'!$B:$E,2,0))</f>
        <v>154</v>
      </c>
      <c r="I691" s="58" t="str">
        <f>IF(H691="","",VLOOKUP($G691,'Quy chuẩn hạch toán'!$B:$E,3,0))</f>
        <v>3345</v>
      </c>
      <c r="J691" s="59">
        <v>2.2075E7</v>
      </c>
      <c r="K691" s="60"/>
      <c r="L691" s="61"/>
      <c r="M691" s="62"/>
      <c r="N691" s="63"/>
      <c r="O691" s="64" t="str">
        <f>IF($Q691&lt;&gt;0,VLOOKUP($Q691,DM_KM,3,0),"")</f>
        <v>#N/A</v>
      </c>
      <c r="P691" s="64" t="str">
        <f>IF($Q691&lt;&gt;0,VLOOKUP($Q691,DM_KM,5,0),"")</f>
        <v>#N/A</v>
      </c>
      <c r="Q691" s="65" t="s">
        <v>190</v>
      </c>
      <c r="R691" s="64" t="str">
        <f>IF(S691&lt;&gt;0,VLOOKUP(S691,DM_DUAN,3,0),"")</f>
        <v>#N/A</v>
      </c>
      <c r="S691" s="66" t="str">
        <f>IF(U691&lt;&gt;0,VLOOKUP(U691,DM_DUAN,3,0),"")</f>
        <v>KIMCUONGLAND</v>
      </c>
      <c r="T691" s="64"/>
      <c r="U691" s="67" t="s">
        <v>638</v>
      </c>
      <c r="V691" s="64" t="str">
        <f>IF(W691&lt;&gt;0,VLOOKUP(W691,DM_DUAN,3,0),"")</f>
        <v>#N/A</v>
      </c>
      <c r="W691" s="83" t="s">
        <v>728</v>
      </c>
      <c r="X691" s="64" t="str">
        <f>IF(Y691&lt;&gt;0,VLOOKUP(Y691,DM_DUAN,3,0),"")</f>
        <v>#N/A</v>
      </c>
      <c r="Y691" s="69" t="s">
        <v>176</v>
      </c>
      <c r="Z691" s="64" t="str">
        <f>IF(AA691&lt;&gt;0,VLOOKUP(AA691,DM_DUAN,3,0),"")</f>
        <v>#N/A</v>
      </c>
      <c r="AA691" s="70" t="s">
        <v>177</v>
      </c>
      <c r="AB691" s="64" t="str">
        <f>IF(AC691&lt;&gt;0,VLOOKUP(AC691,DM_DUAN,3,0),"")</f>
        <v>#N/A</v>
      </c>
      <c r="AC691" s="70" t="s">
        <v>178</v>
      </c>
      <c r="AD691" s="64" t="str">
        <f>IF(AC691&lt;&gt;0,VLOOKUP(AC691,DM_NV,2,0),"")</f>
        <v>Lê Hoàng Quân</v>
      </c>
      <c r="AE691" s="68"/>
      <c r="AF691" s="64" t="str">
        <f>IF(AE691&lt;&gt;0,VLOOKUP(AE691,DM_NV,2,0),"")</f>
        <v/>
      </c>
    </row>
    <row r="692">
      <c r="A692" s="51"/>
      <c r="B692" s="52" t="str">
        <f>IF(D692="","",VLOOKUP(D692,'THAM CHIẾU'!$A:$B,2,0))</f>
        <v>#N/A</v>
      </c>
      <c r="C692" s="53" t="str">
        <f t="shared" si="4"/>
        <v>04/2022</v>
      </c>
      <c r="D692" s="99">
        <v>44657.0</v>
      </c>
      <c r="E692" s="55" t="s">
        <v>731</v>
      </c>
      <c r="F692" s="56"/>
      <c r="G692" s="57" t="s">
        <v>200</v>
      </c>
      <c r="H692" s="58" t="str">
        <f>IF(G692="","",VLOOKUP($G692,'Quy chuẩn hạch toán'!$B:$E,2,0))</f>
        <v>154</v>
      </c>
      <c r="I692" s="58" t="str">
        <f>IF(H692="","",VLOOKUP($G692,'Quy chuẩn hạch toán'!$B:$E,3,0))</f>
        <v>3343</v>
      </c>
      <c r="J692" s="59">
        <v>1000000.0</v>
      </c>
      <c r="K692" s="60"/>
      <c r="L692" s="61"/>
      <c r="M692" s="62"/>
      <c r="N692" s="63"/>
      <c r="O692" s="64" t="str">
        <f>IF($Q692&lt;&gt;0,VLOOKUP($Q692,DM_KM,3,0),"")</f>
        <v>#N/A</v>
      </c>
      <c r="P692" s="64" t="str">
        <f>IF($Q692&lt;&gt;0,VLOOKUP($Q692,DM_KM,5,0),"")</f>
        <v>#N/A</v>
      </c>
      <c r="Q692" s="65" t="s">
        <v>201</v>
      </c>
      <c r="R692" s="64" t="str">
        <f>IF(S692&lt;&gt;0,VLOOKUP(S692,DM_DUAN,3,0),"")</f>
        <v>#N/A</v>
      </c>
      <c r="S692" s="66" t="str">
        <f>IF(U692&lt;&gt;0,VLOOKUP(U692,DM_DUAN,3,0),"")</f>
        <v>KIMCUONGLAND</v>
      </c>
      <c r="T692" s="64"/>
      <c r="U692" s="67" t="s">
        <v>638</v>
      </c>
      <c r="V692" s="64" t="str">
        <f>IF(W692&lt;&gt;0,VLOOKUP(W692,DM_DUAN,3,0),"")</f>
        <v>#N/A</v>
      </c>
      <c r="W692" s="83" t="s">
        <v>728</v>
      </c>
      <c r="X692" s="64" t="str">
        <f>IF(Y692&lt;&gt;0,VLOOKUP(Y692,DM_DUAN,3,0),"")</f>
        <v>#N/A</v>
      </c>
      <c r="Y692" s="69" t="s">
        <v>176</v>
      </c>
      <c r="Z692" s="64" t="str">
        <f>IF(AA692&lt;&gt;0,VLOOKUP(AA692,DM_DUAN,3,0),"")</f>
        <v>#N/A</v>
      </c>
      <c r="AA692" s="70" t="s">
        <v>177</v>
      </c>
      <c r="AB692" s="64" t="str">
        <f>IF(AC692&lt;&gt;0,VLOOKUP(AC692,DM_DUAN,3,0),"")</f>
        <v/>
      </c>
      <c r="AC692" s="85"/>
      <c r="AD692" s="64" t="str">
        <f>IF(AC692&lt;&gt;0,VLOOKUP(AC692,DM_NV,2,0),"")</f>
        <v/>
      </c>
      <c r="AE692" s="68"/>
      <c r="AF692" s="64" t="str">
        <f>IF(AE692&lt;&gt;0,VLOOKUP(AE692,DM_NV,2,0),"")</f>
        <v/>
      </c>
    </row>
    <row r="693">
      <c r="A693" s="51"/>
      <c r="B693" s="52" t="str">
        <f>IF(D693="","",VLOOKUP(D693,'THAM CHIẾU'!$A:$B,2,0))</f>
        <v>#N/A</v>
      </c>
      <c r="C693" s="53" t="str">
        <f t="shared" si="4"/>
        <v>04/2022</v>
      </c>
      <c r="D693" s="99">
        <v>44657.0</v>
      </c>
      <c r="E693" s="55" t="s">
        <v>732</v>
      </c>
      <c r="F693" s="56"/>
      <c r="G693" s="57" t="s">
        <v>733</v>
      </c>
      <c r="H693" s="58" t="str">
        <f>IF(G693="","",VLOOKUP($G693,'Quy chuẩn hạch toán'!$B:$E,2,0))</f>
        <v>154</v>
      </c>
      <c r="I693" s="58" t="str">
        <f>IF(H693="","",VLOOKUP($G693,'Quy chuẩn hạch toán'!$B:$E,3,0))</f>
        <v>3342</v>
      </c>
      <c r="J693" s="59">
        <v>1635000.0</v>
      </c>
      <c r="K693" s="60"/>
      <c r="L693" s="61"/>
      <c r="M693" s="62"/>
      <c r="N693" s="63"/>
      <c r="O693" s="64" t="str">
        <f>IF($Q693&lt;&gt;0,VLOOKUP($Q693,DM_KM,3,0),"")</f>
        <v>#N/A</v>
      </c>
      <c r="P693" s="64" t="str">
        <f>IF($Q693&lt;&gt;0,VLOOKUP($Q693,DM_KM,5,0),"")</f>
        <v>#N/A</v>
      </c>
      <c r="Q693" s="65" t="s">
        <v>734</v>
      </c>
      <c r="R693" s="64" t="str">
        <f>IF(S693&lt;&gt;0,VLOOKUP(S693,DM_DUAN,3,0),"")</f>
        <v>#N/A</v>
      </c>
      <c r="S693" s="66" t="str">
        <f>IF(U693&lt;&gt;0,VLOOKUP(U693,DM_DUAN,3,0),"")</f>
        <v>KIMCUONGLAND</v>
      </c>
      <c r="T693" s="64"/>
      <c r="U693" s="67" t="s">
        <v>638</v>
      </c>
      <c r="V693" s="64" t="str">
        <f>IF(W693&lt;&gt;0,VLOOKUP(W693,DM_DUAN,3,0),"")</f>
        <v>#N/A</v>
      </c>
      <c r="W693" s="83" t="s">
        <v>728</v>
      </c>
      <c r="X693" s="64" t="str">
        <f>IF(Y693&lt;&gt;0,VLOOKUP(Y693,DM_DUAN,3,0),"")</f>
        <v>#N/A</v>
      </c>
      <c r="Y693" s="69" t="s">
        <v>176</v>
      </c>
      <c r="Z693" s="64" t="str">
        <f>IF(AA693&lt;&gt;0,VLOOKUP(AA693,DM_DUAN,3,0),"")</f>
        <v>#N/A</v>
      </c>
      <c r="AA693" s="70" t="s">
        <v>177</v>
      </c>
      <c r="AB693" s="64" t="str">
        <f>IF(AC693&lt;&gt;0,VLOOKUP(AC693,DM_DUAN,3,0),"")</f>
        <v>#N/A</v>
      </c>
      <c r="AC693" s="70" t="s">
        <v>178</v>
      </c>
      <c r="AD693" s="64" t="str">
        <f>IF(AC693&lt;&gt;0,VLOOKUP(AC693,DM_NV,2,0),"")</f>
        <v>Lê Hoàng Quân</v>
      </c>
      <c r="AE693" s="68"/>
      <c r="AF693" s="64" t="str">
        <f>IF(AE693&lt;&gt;0,VLOOKUP(AE693,DM_NV,2,0),"")</f>
        <v/>
      </c>
    </row>
    <row r="694">
      <c r="A694" s="51"/>
      <c r="B694" s="52" t="str">
        <f>IF(D694="","",VLOOKUP(D694,'THAM CHIẾU'!$A:$B,2,0))</f>
        <v>#N/A</v>
      </c>
      <c r="C694" s="53" t="str">
        <f t="shared" si="4"/>
        <v>04/2022</v>
      </c>
      <c r="D694" s="99">
        <v>44657.0</v>
      </c>
      <c r="E694" s="55" t="s">
        <v>735</v>
      </c>
      <c r="F694" s="56"/>
      <c r="G694" s="90"/>
      <c r="H694" s="58" t="str">
        <f>IF(G694="","",VLOOKUP($G694,'Quy chuẩn hạch toán'!$B:$E,2,0))</f>
        <v/>
      </c>
      <c r="I694" s="58" t="str">
        <f>IF(H694="","",VLOOKUP($G694,'Quy chuẩn hạch toán'!$B:$E,3,0))</f>
        <v/>
      </c>
      <c r="J694" s="59">
        <v>8720000.0</v>
      </c>
      <c r="K694" s="60"/>
      <c r="L694" s="61"/>
      <c r="M694" s="62"/>
      <c r="N694" s="63"/>
      <c r="O694" s="64" t="str">
        <f>IF($Q694&lt;&gt;0,VLOOKUP($Q694,DM_KM,3,0),"")</f>
        <v>#N/A</v>
      </c>
      <c r="P694" s="64" t="str">
        <f>IF($Q694&lt;&gt;0,VLOOKUP($Q694,DM_KM,5,0),"")</f>
        <v>#N/A</v>
      </c>
      <c r="Q694" s="65" t="s">
        <v>203</v>
      </c>
      <c r="R694" s="64" t="str">
        <f>IF(S694&lt;&gt;0,VLOOKUP(S694,DM_DUAN,3,0),"")</f>
        <v>#N/A</v>
      </c>
      <c r="S694" s="66" t="str">
        <f>IF(U694&lt;&gt;0,VLOOKUP(U694,DM_DUAN,3,0),"")</f>
        <v>KIMCUONGLAND</v>
      </c>
      <c r="T694" s="64"/>
      <c r="U694" s="67" t="s">
        <v>638</v>
      </c>
      <c r="V694" s="64" t="str">
        <f>IF(W694&lt;&gt;0,VLOOKUP(W694,DM_DUAN,3,0),"")</f>
        <v>#N/A</v>
      </c>
      <c r="W694" s="83" t="s">
        <v>728</v>
      </c>
      <c r="X694" s="64" t="str">
        <f>IF(Y694&lt;&gt;0,VLOOKUP(Y694,DM_DUAN,3,0),"")</f>
        <v>#N/A</v>
      </c>
      <c r="Y694" s="69" t="s">
        <v>176</v>
      </c>
      <c r="Z694" s="64" t="str">
        <f>IF(AA694&lt;&gt;0,VLOOKUP(AA694,DM_DUAN,3,0),"")</f>
        <v>#N/A</v>
      </c>
      <c r="AA694" s="70" t="s">
        <v>177</v>
      </c>
      <c r="AB694" s="64" t="str">
        <f>IF(AC694&lt;&gt;0,VLOOKUP(AC694,DM_DUAN,3,0),"")</f>
        <v/>
      </c>
      <c r="AC694" s="85"/>
      <c r="AD694" s="64" t="str">
        <f>IF(AC694&lt;&gt;0,VLOOKUP(AC694,DM_NV,2,0),"")</f>
        <v/>
      </c>
      <c r="AE694" s="68"/>
      <c r="AF694" s="64" t="str">
        <f>IF(AE694&lt;&gt;0,VLOOKUP(AE694,DM_NV,2,0),"")</f>
        <v/>
      </c>
    </row>
    <row r="695">
      <c r="A695" s="51"/>
      <c r="B695" s="52" t="str">
        <f>IF(D695="","",VLOOKUP(D695,'THAM CHIẾU'!$A:$B,2,0))</f>
        <v>#N/A</v>
      </c>
      <c r="C695" s="53" t="str">
        <f t="shared" si="4"/>
        <v>04/2022</v>
      </c>
      <c r="D695" s="99">
        <v>44657.0</v>
      </c>
      <c r="E695" s="55" t="s">
        <v>736</v>
      </c>
      <c r="F695" s="56"/>
      <c r="G695" s="57" t="s">
        <v>197</v>
      </c>
      <c r="H695" s="58" t="str">
        <f>IF(G695="","",VLOOKUP($G695,'Quy chuẩn hạch toán'!$B:$E,2,0))</f>
        <v>#N/A</v>
      </c>
      <c r="I695" s="58" t="str">
        <f>IF(H695="","",VLOOKUP($G695,'Quy chuẩn hạch toán'!$B:$E,3,0))</f>
        <v>#N/A</v>
      </c>
      <c r="J695" s="59">
        <v>5.45E8</v>
      </c>
      <c r="K695" s="60"/>
      <c r="L695" s="61"/>
      <c r="M695" s="62"/>
      <c r="N695" s="63"/>
      <c r="O695" s="64" t="str">
        <f>IF($Q695&lt;&gt;0,VLOOKUP($Q695,DM_KM,3,0),"")</f>
        <v>#N/A</v>
      </c>
      <c r="P695" s="64" t="str">
        <f>IF($Q695&lt;&gt;0,VLOOKUP($Q695,DM_KM,5,0),"")</f>
        <v>#N/A</v>
      </c>
      <c r="Q695" s="65" t="s">
        <v>198</v>
      </c>
      <c r="R695" s="64" t="str">
        <f>IF(S695&lt;&gt;0,VLOOKUP(S695,DM_DUAN,3,0),"")</f>
        <v>#N/A</v>
      </c>
      <c r="S695" s="66" t="str">
        <f>IF(U695&lt;&gt;0,VLOOKUP(U695,DM_DUAN,3,0),"")</f>
        <v>KIMCUONGLAND</v>
      </c>
      <c r="T695" s="64"/>
      <c r="U695" s="67" t="s">
        <v>638</v>
      </c>
      <c r="V695" s="64" t="str">
        <f>IF(W695&lt;&gt;0,VLOOKUP(W695,DM_DUAN,3,0),"")</f>
        <v>#N/A</v>
      </c>
      <c r="W695" s="83" t="s">
        <v>737</v>
      </c>
      <c r="X695" s="64" t="str">
        <f>IF(Y695&lt;&gt;0,VLOOKUP(Y695,DM_DUAN,3,0),"")</f>
        <v>#N/A</v>
      </c>
      <c r="Y695" s="69" t="s">
        <v>176</v>
      </c>
      <c r="Z695" s="64" t="str">
        <f>IF(AA695&lt;&gt;0,VLOOKUP(AA695,DM_DUAN,3,0),"")</f>
        <v>#N/A</v>
      </c>
      <c r="AA695" s="70" t="s">
        <v>177</v>
      </c>
      <c r="AB695" s="64" t="str">
        <f>IF(AC695&lt;&gt;0,VLOOKUP(AC695,DM_DUAN,3,0),"")</f>
        <v>#N/A</v>
      </c>
      <c r="AC695" s="70" t="s">
        <v>178</v>
      </c>
      <c r="AD695" s="64" t="str">
        <f>IF(AC695&lt;&gt;0,VLOOKUP(AC695,DM_NV,2,0),"")</f>
        <v>Lê Hoàng Quân</v>
      </c>
      <c r="AE695" s="68"/>
      <c r="AF695" s="64" t="str">
        <f>IF(AE695&lt;&gt;0,VLOOKUP(AE695,DM_NV,2,0),"")</f>
        <v/>
      </c>
    </row>
    <row r="696">
      <c r="A696" s="51"/>
      <c r="B696" s="52" t="str">
        <f>IF(D696="","",VLOOKUP(D696,'THAM CHIẾU'!$A:$B,2,0))</f>
        <v/>
      </c>
      <c r="C696" s="53" t="str">
        <f t="shared" si="4"/>
        <v/>
      </c>
      <c r="D696" s="99"/>
      <c r="E696" s="55"/>
      <c r="F696" s="56"/>
      <c r="G696" s="57"/>
      <c r="H696" s="58" t="str">
        <f>IF(G696="","",VLOOKUP($G696,'Quy chuẩn hạch toán'!$B:$E,2,0))</f>
        <v/>
      </c>
      <c r="I696" s="58" t="str">
        <f>IF(H696="","",VLOOKUP($G696,'Quy chuẩn hạch toán'!$B:$E,3,0))</f>
        <v/>
      </c>
      <c r="J696" s="59"/>
      <c r="K696" s="60"/>
      <c r="L696" s="61"/>
      <c r="M696" s="62"/>
      <c r="N696" s="63"/>
      <c r="O696" s="64"/>
      <c r="P696" s="64"/>
      <c r="Q696" s="65"/>
      <c r="R696" s="64" t="str">
        <f>IF(S696&lt;&gt;0,VLOOKUP(S696,DM_DUAN,3,0),"")</f>
        <v>#N/A</v>
      </c>
      <c r="S696" s="66" t="str">
        <f>IF(U696&lt;&gt;0,VLOOKUP(U696,DM_DUAN,3,0),"")</f>
        <v/>
      </c>
      <c r="T696" s="64"/>
      <c r="U696" s="67"/>
      <c r="V696" s="64" t="str">
        <f>IF(W696&lt;&gt;0,VLOOKUP(W696,DM_DUAN,3,0),"")</f>
        <v/>
      </c>
      <c r="W696" s="83"/>
      <c r="X696" s="64" t="str">
        <f>IF(Y696&lt;&gt;0,VLOOKUP(Y696,DM_DUAN,3,0),"")</f>
        <v/>
      </c>
      <c r="Y696" s="69"/>
      <c r="Z696" s="64" t="str">
        <f>IF(AA696&lt;&gt;0,VLOOKUP(AA696,DM_DUAN,3,0),"")</f>
        <v/>
      </c>
      <c r="AA696" s="70"/>
      <c r="AB696" s="64" t="str">
        <f>IF(AC696&lt;&gt;0,VLOOKUP(AC696,DM_DUAN,3,0),"")</f>
        <v/>
      </c>
      <c r="AC696" s="85"/>
      <c r="AD696" s="64" t="str">
        <f>IF(AC696&lt;&gt;0,VLOOKUP(AC696,DM_NV,2,0),"")</f>
        <v/>
      </c>
      <c r="AE696" s="68"/>
      <c r="AF696" s="64" t="str">
        <f>IF(AE696&lt;&gt;0,VLOOKUP(AE696,DM_NV,2,0),"")</f>
        <v/>
      </c>
    </row>
    <row r="697">
      <c r="A697" s="51"/>
      <c r="B697" s="52" t="str">
        <f>IF(D697="","",VLOOKUP(D697,'THAM CHIẾU'!$A:$B,2,0))</f>
        <v>#N/A</v>
      </c>
      <c r="C697" s="53" t="str">
        <f t="shared" si="4"/>
        <v>04/2022</v>
      </c>
      <c r="D697" s="99">
        <v>44657.0</v>
      </c>
      <c r="E697" s="55" t="s">
        <v>738</v>
      </c>
      <c r="F697" s="56"/>
      <c r="G697" s="57" t="s">
        <v>186</v>
      </c>
      <c r="H697" s="58" t="str">
        <f>IF(G697="","",VLOOKUP($G697,'Quy chuẩn hạch toán'!$B:$E,2,0))</f>
        <v>131</v>
      </c>
      <c r="I697" s="58" t="str">
        <f>IF(H697="","",VLOOKUP($G697,'Quy chuẩn hạch toán'!$B:$E,3,0))</f>
        <v>5113</v>
      </c>
      <c r="J697" s="59">
        <v>1.12E8</v>
      </c>
      <c r="K697" s="60"/>
      <c r="L697" s="61"/>
      <c r="M697" s="62"/>
      <c r="N697" s="63"/>
      <c r="O697" s="64" t="str">
        <f>IF($Q697&lt;&gt;0,VLOOKUP($Q697,DM_KM,3,0),"")</f>
        <v>511_TK</v>
      </c>
      <c r="P697" s="64">
        <f>IF($Q697&lt;&gt;0,VLOOKUP($Q697,DM_KM,5,0),"")</f>
        <v>511</v>
      </c>
      <c r="Q697" s="65" t="s">
        <v>187</v>
      </c>
      <c r="R697" s="64" t="str">
        <f>IF(S697&lt;&gt;0,VLOOKUP(S697,DM_DUAN,3,0),"")</f>
        <v>#N/A</v>
      </c>
      <c r="S697" s="66" t="str">
        <f>IF(U697&lt;&gt;0,VLOOKUP(U697,DM_DUAN,3,0),"")</f>
        <v>KIMCUONGLAND</v>
      </c>
      <c r="T697" s="64"/>
      <c r="U697" s="67" t="s">
        <v>638</v>
      </c>
      <c r="V697" s="64" t="str">
        <f>IF(W697&lt;&gt;0,VLOOKUP(W697,DM_DUAN,3,0),"")</f>
        <v>#N/A</v>
      </c>
      <c r="W697" s="83" t="s">
        <v>737</v>
      </c>
      <c r="X697" s="64" t="str">
        <f>IF(Y697&lt;&gt;0,VLOOKUP(Y697,DM_DUAN,3,0),"")</f>
        <v>#N/A</v>
      </c>
      <c r="Y697" s="69" t="s">
        <v>176</v>
      </c>
      <c r="Z697" s="64" t="str">
        <f>IF(AA697&lt;&gt;0,VLOOKUP(AA697,DM_DUAN,3,0),"")</f>
        <v>#N/A</v>
      </c>
      <c r="AA697" s="70" t="s">
        <v>177</v>
      </c>
      <c r="AB697" s="64" t="str">
        <f>IF(AC697&lt;&gt;0,VLOOKUP(AC697,DM_DUAN,3,0),"")</f>
        <v/>
      </c>
      <c r="AC697" s="85"/>
      <c r="AD697" s="64" t="str">
        <f>IF(AC697&lt;&gt;0,VLOOKUP(AC697,DM_NV,2,0),"")</f>
        <v/>
      </c>
      <c r="AE697" s="68"/>
      <c r="AF697" s="64" t="str">
        <f>IF(AE697&lt;&gt;0,VLOOKUP(AE697,DM_NV,2,0),"")</f>
        <v/>
      </c>
    </row>
    <row r="698">
      <c r="A698" s="51"/>
      <c r="B698" s="52" t="str">
        <f>IF(D698="","",VLOOKUP(D698,'THAM CHIẾU'!$A:$B,2,0))</f>
        <v>#N/A</v>
      </c>
      <c r="C698" s="53" t="str">
        <f t="shared" si="4"/>
        <v>04/2022</v>
      </c>
      <c r="D698" s="99">
        <v>44657.0</v>
      </c>
      <c r="E698" s="55" t="s">
        <v>739</v>
      </c>
      <c r="F698" s="56"/>
      <c r="G698" s="57" t="s">
        <v>189</v>
      </c>
      <c r="H698" s="58" t="str">
        <f>IF(G698="","",VLOOKUP($G698,'Quy chuẩn hạch toán'!$B:$E,2,0))</f>
        <v>154</v>
      </c>
      <c r="I698" s="58" t="str">
        <f>IF(H698="","",VLOOKUP($G698,'Quy chuẩn hạch toán'!$B:$E,3,0))</f>
        <v>3345</v>
      </c>
      <c r="J698" s="59">
        <v>2.2075E7</v>
      </c>
      <c r="K698" s="60"/>
      <c r="L698" s="61"/>
      <c r="M698" s="62"/>
      <c r="N698" s="63"/>
      <c r="O698" s="64" t="str">
        <f>IF($Q698&lt;&gt;0,VLOOKUP($Q698,DM_KM,3,0),"")</f>
        <v>#N/A</v>
      </c>
      <c r="P698" s="64" t="str">
        <f>IF($Q698&lt;&gt;0,VLOOKUP($Q698,DM_KM,5,0),"")</f>
        <v>#N/A</v>
      </c>
      <c r="Q698" s="65" t="s">
        <v>190</v>
      </c>
      <c r="R698" s="64" t="str">
        <f>IF(S698&lt;&gt;0,VLOOKUP(S698,DM_DUAN,3,0),"")</f>
        <v>#N/A</v>
      </c>
      <c r="S698" s="66" t="str">
        <f>IF(U698&lt;&gt;0,VLOOKUP(U698,DM_DUAN,3,0),"")</f>
        <v>KIMCUONGLAND</v>
      </c>
      <c r="T698" s="64"/>
      <c r="U698" s="67" t="s">
        <v>638</v>
      </c>
      <c r="V698" s="64" t="str">
        <f>IF(W698&lt;&gt;0,VLOOKUP(W698,DM_DUAN,3,0),"")</f>
        <v>#N/A</v>
      </c>
      <c r="W698" s="83" t="s">
        <v>737</v>
      </c>
      <c r="X698" s="64" t="str">
        <f>IF(Y698&lt;&gt;0,VLOOKUP(Y698,DM_DUAN,3,0),"")</f>
        <v>#N/A</v>
      </c>
      <c r="Y698" s="69" t="s">
        <v>176</v>
      </c>
      <c r="Z698" s="64" t="str">
        <f>IF(AA698&lt;&gt;0,VLOOKUP(AA698,DM_DUAN,3,0),"")</f>
        <v>#N/A</v>
      </c>
      <c r="AA698" s="70" t="s">
        <v>177</v>
      </c>
      <c r="AB698" s="64" t="str">
        <f>IF(AC698&lt;&gt;0,VLOOKUP(AC698,DM_DUAN,3,0),"")</f>
        <v>#N/A</v>
      </c>
      <c r="AC698" s="70" t="s">
        <v>178</v>
      </c>
      <c r="AD698" s="64" t="str">
        <f>IF(AC698&lt;&gt;0,VLOOKUP(AC698,DM_NV,2,0),"")</f>
        <v>Lê Hoàng Quân</v>
      </c>
      <c r="AE698" s="68"/>
      <c r="AF698" s="64" t="str">
        <f>IF(AE698&lt;&gt;0,VLOOKUP(AE698,DM_NV,2,0),"")</f>
        <v/>
      </c>
    </row>
    <row r="699">
      <c r="A699" s="51"/>
      <c r="B699" s="52" t="str">
        <f>IF(D699="","",VLOOKUP(D699,'THAM CHIẾU'!$A:$B,2,0))</f>
        <v>#N/A</v>
      </c>
      <c r="C699" s="53" t="str">
        <f t="shared" si="4"/>
        <v>04/2022</v>
      </c>
      <c r="D699" s="99">
        <v>44657.0</v>
      </c>
      <c r="E699" s="55" t="s">
        <v>740</v>
      </c>
      <c r="F699" s="56"/>
      <c r="G699" s="57" t="s">
        <v>200</v>
      </c>
      <c r="H699" s="58" t="str">
        <f>IF(G699="","",VLOOKUP($G699,'Quy chuẩn hạch toán'!$B:$E,2,0))</f>
        <v>154</v>
      </c>
      <c r="I699" s="58" t="str">
        <f>IF(H699="","",VLOOKUP($G699,'Quy chuẩn hạch toán'!$B:$E,3,0))</f>
        <v>3343</v>
      </c>
      <c r="J699" s="59">
        <v>1000000.0</v>
      </c>
      <c r="K699" s="60"/>
      <c r="L699" s="61"/>
      <c r="M699" s="62"/>
      <c r="N699" s="63"/>
      <c r="O699" s="64" t="str">
        <f>IF($Q699&lt;&gt;0,VLOOKUP($Q699,DM_KM,3,0),"")</f>
        <v>#N/A</v>
      </c>
      <c r="P699" s="64" t="str">
        <f>IF($Q699&lt;&gt;0,VLOOKUP($Q699,DM_KM,5,0),"")</f>
        <v>#N/A</v>
      </c>
      <c r="Q699" s="65" t="s">
        <v>201</v>
      </c>
      <c r="R699" s="64" t="str">
        <f>IF(S699&lt;&gt;0,VLOOKUP(S699,DM_DUAN,3,0),"")</f>
        <v>#N/A</v>
      </c>
      <c r="S699" s="66" t="str">
        <f>IF(U699&lt;&gt;0,VLOOKUP(U699,DM_DUAN,3,0),"")</f>
        <v>KIMCUONGLAND</v>
      </c>
      <c r="T699" s="64"/>
      <c r="U699" s="67" t="s">
        <v>638</v>
      </c>
      <c r="V699" s="64" t="str">
        <f>IF(W699&lt;&gt;0,VLOOKUP(W699,DM_DUAN,3,0),"")</f>
        <v>#N/A</v>
      </c>
      <c r="W699" s="83" t="s">
        <v>737</v>
      </c>
      <c r="X699" s="64" t="str">
        <f>IF(Y699&lt;&gt;0,VLOOKUP(Y699,DM_DUAN,3,0),"")</f>
        <v>#N/A</v>
      </c>
      <c r="Y699" s="69" t="s">
        <v>176</v>
      </c>
      <c r="Z699" s="64" t="str">
        <f>IF(AA699&lt;&gt;0,VLOOKUP(AA699,DM_DUAN,3,0),"")</f>
        <v>#N/A</v>
      </c>
      <c r="AA699" s="70" t="s">
        <v>177</v>
      </c>
      <c r="AB699" s="64" t="str">
        <f>IF(AC699&lt;&gt;0,VLOOKUP(AC699,DM_DUAN,3,0),"")</f>
        <v>#N/A</v>
      </c>
      <c r="AC699" s="70" t="s">
        <v>178</v>
      </c>
      <c r="AD699" s="64" t="str">
        <f>IF(AC699&lt;&gt;0,VLOOKUP(AC699,DM_NV,2,0),"")</f>
        <v>Lê Hoàng Quân</v>
      </c>
      <c r="AE699" s="68"/>
      <c r="AF699" s="64" t="str">
        <f>IF(AE699&lt;&gt;0,VLOOKUP(AE699,DM_NV,2,0),"")</f>
        <v/>
      </c>
    </row>
    <row r="700">
      <c r="A700" s="51"/>
      <c r="B700" s="52" t="str">
        <f>IF(D700="","",VLOOKUP(D700,'THAM CHIẾU'!$A:$B,2,0))</f>
        <v>#N/A</v>
      </c>
      <c r="C700" s="53" t="str">
        <f t="shared" si="4"/>
        <v>04/2022</v>
      </c>
      <c r="D700" s="99">
        <v>44657.0</v>
      </c>
      <c r="E700" s="55" t="s">
        <v>741</v>
      </c>
      <c r="F700" s="56"/>
      <c r="G700" s="57" t="s">
        <v>733</v>
      </c>
      <c r="H700" s="58" t="str">
        <f>IF(G700="","",VLOOKUP($G700,'Quy chuẩn hạch toán'!$B:$E,2,0))</f>
        <v>154</v>
      </c>
      <c r="I700" s="58" t="str">
        <f>IF(H700="","",VLOOKUP($G700,'Quy chuẩn hạch toán'!$B:$E,3,0))</f>
        <v>3342</v>
      </c>
      <c r="J700" s="59">
        <v>1635000.0</v>
      </c>
      <c r="K700" s="60"/>
      <c r="L700" s="61"/>
      <c r="M700" s="62"/>
      <c r="N700" s="63"/>
      <c r="O700" s="64" t="str">
        <f>IF($Q700&lt;&gt;0,VLOOKUP($Q700,DM_KM,3,0),"")</f>
        <v>#N/A</v>
      </c>
      <c r="P700" s="64" t="str">
        <f>IF($Q700&lt;&gt;0,VLOOKUP($Q700,DM_KM,5,0),"")</f>
        <v>#N/A</v>
      </c>
      <c r="Q700" s="65" t="s">
        <v>734</v>
      </c>
      <c r="R700" s="64" t="str">
        <f>IF(S700&lt;&gt;0,VLOOKUP(S700,DM_DUAN,3,0),"")</f>
        <v>#N/A</v>
      </c>
      <c r="S700" s="66" t="str">
        <f>IF(U700&lt;&gt;0,VLOOKUP(U700,DM_DUAN,3,0),"")</f>
        <v>KIMCUONGLAND</v>
      </c>
      <c r="T700" s="64"/>
      <c r="U700" s="67" t="s">
        <v>638</v>
      </c>
      <c r="V700" s="64" t="str">
        <f>IF(W700&lt;&gt;0,VLOOKUP(W700,DM_DUAN,3,0),"")</f>
        <v>#N/A</v>
      </c>
      <c r="W700" s="83" t="s">
        <v>737</v>
      </c>
      <c r="X700" s="64" t="str">
        <f>IF(Y700&lt;&gt;0,VLOOKUP(Y700,DM_DUAN,3,0),"")</f>
        <v>#N/A</v>
      </c>
      <c r="Y700" s="69" t="s">
        <v>176</v>
      </c>
      <c r="Z700" s="64" t="str">
        <f>IF(AA700&lt;&gt;0,VLOOKUP(AA700,DM_DUAN,3,0),"")</f>
        <v>#N/A</v>
      </c>
      <c r="AA700" s="70" t="s">
        <v>177</v>
      </c>
      <c r="AB700" s="64" t="str">
        <f>IF(AC700&lt;&gt;0,VLOOKUP(AC700,DM_DUAN,3,0),"")</f>
        <v>#N/A</v>
      </c>
      <c r="AC700" s="70" t="s">
        <v>178</v>
      </c>
      <c r="AD700" s="64" t="str">
        <f>IF(AC700&lt;&gt;0,VLOOKUP(AC700,DM_NV,2,0),"")</f>
        <v>Lê Hoàng Quân</v>
      </c>
      <c r="AE700" s="68"/>
      <c r="AF700" s="64" t="str">
        <f>IF(AE700&lt;&gt;0,VLOOKUP(AE700,DM_NV,2,0),"")</f>
        <v/>
      </c>
    </row>
    <row r="701">
      <c r="A701" s="51"/>
      <c r="B701" s="52" t="str">
        <f>IF(D701="","",VLOOKUP(D701,'THAM CHIẾU'!$A:$B,2,0))</f>
        <v>#N/A</v>
      </c>
      <c r="C701" s="53" t="str">
        <f t="shared" si="4"/>
        <v>04/2022</v>
      </c>
      <c r="D701" s="99">
        <v>44657.0</v>
      </c>
      <c r="E701" s="55" t="s">
        <v>742</v>
      </c>
      <c r="F701" s="56"/>
      <c r="G701" s="90"/>
      <c r="H701" s="58" t="str">
        <f>IF(G701="","",VLOOKUP($G701,'Quy chuẩn hạch toán'!$B:$E,2,0))</f>
        <v/>
      </c>
      <c r="I701" s="58" t="str">
        <f>IF(H701="","",VLOOKUP($G701,'Quy chuẩn hạch toán'!$B:$E,3,0))</f>
        <v/>
      </c>
      <c r="J701" s="59">
        <v>8720000.0</v>
      </c>
      <c r="K701" s="60"/>
      <c r="L701" s="61"/>
      <c r="M701" s="62"/>
      <c r="N701" s="63"/>
      <c r="O701" s="64" t="str">
        <f>IF($Q701&lt;&gt;0,VLOOKUP($Q701,DM_KM,3,0),"")</f>
        <v>#N/A</v>
      </c>
      <c r="P701" s="64" t="str">
        <f>IF($Q701&lt;&gt;0,VLOOKUP($Q701,DM_KM,5,0),"")</f>
        <v>#N/A</v>
      </c>
      <c r="Q701" s="65" t="s">
        <v>203</v>
      </c>
      <c r="R701" s="64" t="str">
        <f>IF(S701&lt;&gt;0,VLOOKUP(S701,DM_DUAN,3,0),"")</f>
        <v>#N/A</v>
      </c>
      <c r="S701" s="66" t="str">
        <f>IF(U701&lt;&gt;0,VLOOKUP(U701,DM_DUAN,3,0),"")</f>
        <v>KIMCUONGLAND</v>
      </c>
      <c r="T701" s="64"/>
      <c r="U701" s="67" t="s">
        <v>638</v>
      </c>
      <c r="V701" s="64" t="str">
        <f>IF(W701&lt;&gt;0,VLOOKUP(W701,DM_DUAN,3,0),"")</f>
        <v>#N/A</v>
      </c>
      <c r="W701" s="83" t="s">
        <v>737</v>
      </c>
      <c r="X701" s="64" t="str">
        <f>IF(Y701&lt;&gt;0,VLOOKUP(Y701,DM_DUAN,3,0),"")</f>
        <v>#N/A</v>
      </c>
      <c r="Y701" s="69" t="s">
        <v>176</v>
      </c>
      <c r="Z701" s="64" t="str">
        <f>IF(AA701&lt;&gt;0,VLOOKUP(AA701,DM_DUAN,3,0),"")</f>
        <v>#N/A</v>
      </c>
      <c r="AA701" s="70" t="s">
        <v>177</v>
      </c>
      <c r="AB701" s="64" t="str">
        <f>IF(AC701&lt;&gt;0,VLOOKUP(AC701,DM_DUAN,3,0),"")</f>
        <v/>
      </c>
      <c r="AC701" s="85"/>
      <c r="AD701" s="64" t="str">
        <f>IF(AC701&lt;&gt;0,VLOOKUP(AC701,DM_NV,2,0),"")</f>
        <v/>
      </c>
      <c r="AE701" s="68"/>
      <c r="AF701" s="64" t="str">
        <f>IF(AE701&lt;&gt;0,VLOOKUP(AE701,DM_NV,2,0),"")</f>
        <v/>
      </c>
    </row>
    <row r="702">
      <c r="A702" s="51"/>
      <c r="B702" s="52" t="str">
        <f>IF(D702="","",VLOOKUP(D702,'THAM CHIẾU'!$A:$B,2,0))</f>
        <v>#N/A</v>
      </c>
      <c r="C702" s="53" t="str">
        <f t="shared" si="4"/>
        <v>04/2022</v>
      </c>
      <c r="D702" s="99">
        <v>44657.0</v>
      </c>
      <c r="E702" s="55" t="s">
        <v>743</v>
      </c>
      <c r="F702" s="56"/>
      <c r="G702" s="57" t="s">
        <v>197</v>
      </c>
      <c r="H702" s="58" t="str">
        <f>IF(G702="","",VLOOKUP($G702,'Quy chuẩn hạch toán'!$B:$E,2,0))</f>
        <v>#N/A</v>
      </c>
      <c r="I702" s="58" t="str">
        <f>IF(H702="","",VLOOKUP($G702,'Quy chuẩn hạch toán'!$B:$E,3,0))</f>
        <v>#N/A</v>
      </c>
      <c r="J702" s="59">
        <v>4.95E8</v>
      </c>
      <c r="K702" s="60"/>
      <c r="L702" s="61"/>
      <c r="M702" s="62"/>
      <c r="N702" s="63"/>
      <c r="O702" s="64" t="str">
        <f>IF($Q702&lt;&gt;0,VLOOKUP($Q702,DM_KM,3,0),"")</f>
        <v>#N/A</v>
      </c>
      <c r="P702" s="64" t="str">
        <f>IF($Q702&lt;&gt;0,VLOOKUP($Q702,DM_KM,5,0),"")</f>
        <v>#N/A</v>
      </c>
      <c r="Q702" s="65" t="s">
        <v>198</v>
      </c>
      <c r="R702" s="64" t="str">
        <f>IF(S702&lt;&gt;0,VLOOKUP(S702,DM_DUAN,3,0),"")</f>
        <v>#N/A</v>
      </c>
      <c r="S702" s="66" t="str">
        <f>IF(U702&lt;&gt;0,VLOOKUP(U702,DM_DUAN,3,0),"")</f>
        <v>KIMCUONGLAND</v>
      </c>
      <c r="T702" s="64"/>
      <c r="U702" s="67" t="s">
        <v>638</v>
      </c>
      <c r="V702" s="64" t="str">
        <f>IF(W702&lt;&gt;0,VLOOKUP(W702,DM_DUAN,3,0),"")</f>
        <v>#N/A</v>
      </c>
      <c r="W702" s="83" t="s">
        <v>744</v>
      </c>
      <c r="X702" s="64" t="str">
        <f>IF(Y702&lt;&gt;0,VLOOKUP(Y702,DM_DUAN,3,0),"")</f>
        <v>#N/A</v>
      </c>
      <c r="Y702" s="69" t="s">
        <v>176</v>
      </c>
      <c r="Z702" s="64" t="str">
        <f>IF(AA702&lt;&gt;0,VLOOKUP(AA702,DM_DUAN,3,0),"")</f>
        <v>#N/A</v>
      </c>
      <c r="AA702" s="70" t="s">
        <v>177</v>
      </c>
      <c r="AB702" s="64" t="str">
        <f>IF(AC702&lt;&gt;0,VLOOKUP(AC702,DM_DUAN,3,0),"")</f>
        <v>#N/A</v>
      </c>
      <c r="AC702" s="70" t="s">
        <v>178</v>
      </c>
      <c r="AD702" s="64" t="str">
        <f>IF(AC702&lt;&gt;0,VLOOKUP(AC702,DM_NV,2,0),"")</f>
        <v>Lê Hoàng Quân</v>
      </c>
      <c r="AE702" s="68"/>
      <c r="AF702" s="64" t="str">
        <f>IF(AE702&lt;&gt;0,VLOOKUP(AE702,DM_NV,2,0),"")</f>
        <v/>
      </c>
    </row>
    <row r="703">
      <c r="A703" s="51"/>
      <c r="B703" s="52" t="str">
        <f>IF(D703="","",VLOOKUP(D703,'THAM CHIẾU'!$A:$B,2,0))</f>
        <v/>
      </c>
      <c r="C703" s="53" t="str">
        <f t="shared" si="4"/>
        <v/>
      </c>
      <c r="D703" s="99"/>
      <c r="E703" s="55"/>
      <c r="F703" s="56"/>
      <c r="G703" s="57"/>
      <c r="H703" s="58" t="str">
        <f>IF(G703="","",VLOOKUP($G703,'Quy chuẩn hạch toán'!$B:$E,2,0))</f>
        <v/>
      </c>
      <c r="I703" s="58" t="str">
        <f>IF(H703="","",VLOOKUP($G703,'Quy chuẩn hạch toán'!$B:$E,3,0))</f>
        <v/>
      </c>
      <c r="J703" s="59"/>
      <c r="K703" s="60"/>
      <c r="L703" s="61"/>
      <c r="M703" s="62"/>
      <c r="N703" s="63"/>
      <c r="O703" s="64"/>
      <c r="P703" s="64"/>
      <c r="Q703" s="65"/>
      <c r="R703" s="64" t="str">
        <f>IF(S703&lt;&gt;0,VLOOKUP(S703,DM_DUAN,3,0),"")</f>
        <v>#N/A</v>
      </c>
      <c r="S703" s="66" t="str">
        <f>IF(U703&lt;&gt;0,VLOOKUP(U703,DM_DUAN,3,0),"")</f>
        <v/>
      </c>
      <c r="T703" s="64"/>
      <c r="U703" s="67"/>
      <c r="V703" s="64" t="str">
        <f>IF(W703&lt;&gt;0,VLOOKUP(W703,DM_DUAN,3,0),"")</f>
        <v/>
      </c>
      <c r="W703" s="83"/>
      <c r="X703" s="64" t="str">
        <f>IF(Y703&lt;&gt;0,VLOOKUP(Y703,DM_DUAN,3,0),"")</f>
        <v/>
      </c>
      <c r="Y703" s="69"/>
      <c r="Z703" s="64" t="str">
        <f>IF(AA703&lt;&gt;0,VLOOKUP(AA703,DM_DUAN,3,0),"")</f>
        <v/>
      </c>
      <c r="AA703" s="70"/>
      <c r="AB703" s="64" t="str">
        <f>IF(AC703&lt;&gt;0,VLOOKUP(AC703,DM_DUAN,3,0),"")</f>
        <v/>
      </c>
      <c r="AC703" s="85"/>
      <c r="AD703" s="64" t="str">
        <f>IF(AC703&lt;&gt;0,VLOOKUP(AC703,DM_NV,2,0),"")</f>
        <v/>
      </c>
      <c r="AE703" s="68"/>
      <c r="AF703" s="64" t="str">
        <f>IF(AE703&lt;&gt;0,VLOOKUP(AE703,DM_NV,2,0),"")</f>
        <v/>
      </c>
    </row>
    <row r="704">
      <c r="A704" s="51"/>
      <c r="B704" s="52" t="str">
        <f>IF(D704="","",VLOOKUP(D704,'THAM CHIẾU'!$A:$B,2,0))</f>
        <v>#N/A</v>
      </c>
      <c r="C704" s="53" t="str">
        <f t="shared" si="4"/>
        <v>04/2022</v>
      </c>
      <c r="D704" s="99">
        <v>44657.0</v>
      </c>
      <c r="E704" s="55" t="s">
        <v>745</v>
      </c>
      <c r="F704" s="56"/>
      <c r="G704" s="57" t="s">
        <v>186</v>
      </c>
      <c r="H704" s="58" t="str">
        <f>IF(G704="","",VLOOKUP($G704,'Quy chuẩn hạch toán'!$B:$E,2,0))</f>
        <v>131</v>
      </c>
      <c r="I704" s="58" t="str">
        <f>IF(H704="","",VLOOKUP($G704,'Quy chuẩn hạch toán'!$B:$E,3,0))</f>
        <v>5113</v>
      </c>
      <c r="J704" s="59">
        <v>1.02E8</v>
      </c>
      <c r="K704" s="60"/>
      <c r="L704" s="61"/>
      <c r="M704" s="62"/>
      <c r="N704" s="63"/>
      <c r="O704" s="64" t="str">
        <f>IF($Q704&lt;&gt;0,VLOOKUP($Q704,DM_KM,3,0),"")</f>
        <v>511_TK</v>
      </c>
      <c r="P704" s="64">
        <f>IF($Q704&lt;&gt;0,VLOOKUP($Q704,DM_KM,5,0),"")</f>
        <v>511</v>
      </c>
      <c r="Q704" s="65" t="s">
        <v>187</v>
      </c>
      <c r="R704" s="64" t="str">
        <f>IF(S704&lt;&gt;0,VLOOKUP(S704,DM_DUAN,3,0),"")</f>
        <v>#N/A</v>
      </c>
      <c r="S704" s="66" t="str">
        <f>IF(U704&lt;&gt;0,VLOOKUP(U704,DM_DUAN,3,0),"")</f>
        <v>KIMCUONGLAND</v>
      </c>
      <c r="T704" s="64"/>
      <c r="U704" s="67" t="s">
        <v>638</v>
      </c>
      <c r="V704" s="64" t="str">
        <f>IF(W704&lt;&gt;0,VLOOKUP(W704,DM_DUAN,3,0),"")</f>
        <v>#N/A</v>
      </c>
      <c r="W704" s="83" t="s">
        <v>744</v>
      </c>
      <c r="X704" s="64" t="str">
        <f>IF(Y704&lt;&gt;0,VLOOKUP(Y704,DM_DUAN,3,0),"")</f>
        <v>#N/A</v>
      </c>
      <c r="Y704" s="69" t="s">
        <v>176</v>
      </c>
      <c r="Z704" s="64" t="str">
        <f>IF(AA704&lt;&gt;0,VLOOKUP(AA704,DM_DUAN,3,0),"")</f>
        <v>#N/A</v>
      </c>
      <c r="AA704" s="70" t="s">
        <v>177</v>
      </c>
      <c r="AB704" s="64" t="str">
        <f>IF(AC704&lt;&gt;0,VLOOKUP(AC704,DM_DUAN,3,0),"")</f>
        <v/>
      </c>
      <c r="AC704" s="85"/>
      <c r="AD704" s="64" t="str">
        <f>IF(AC704&lt;&gt;0,VLOOKUP(AC704,DM_NV,2,0),"")</f>
        <v/>
      </c>
      <c r="AE704" s="68"/>
      <c r="AF704" s="64" t="str">
        <f>IF(AE704&lt;&gt;0,VLOOKUP(AE704,DM_NV,2,0),"")</f>
        <v/>
      </c>
    </row>
    <row r="705">
      <c r="A705" s="51"/>
      <c r="B705" s="52" t="str">
        <f>IF(D705="","",VLOOKUP(D705,'THAM CHIẾU'!$A:$B,2,0))</f>
        <v>#N/A</v>
      </c>
      <c r="C705" s="53" t="str">
        <f t="shared" si="4"/>
        <v>04/2022</v>
      </c>
      <c r="D705" s="99">
        <v>44657.0</v>
      </c>
      <c r="E705" s="55" t="s">
        <v>746</v>
      </c>
      <c r="F705" s="56"/>
      <c r="G705" s="57" t="s">
        <v>189</v>
      </c>
      <c r="H705" s="58" t="str">
        <f>IF(G705="","",VLOOKUP($G705,'Quy chuẩn hạch toán'!$B:$E,2,0))</f>
        <v>154</v>
      </c>
      <c r="I705" s="58" t="str">
        <f>IF(H705="","",VLOOKUP($G705,'Quy chuẩn hạch toán'!$B:$E,3,0))</f>
        <v>3345</v>
      </c>
      <c r="J705" s="59">
        <v>2.0325E7</v>
      </c>
      <c r="K705" s="60"/>
      <c r="L705" s="61"/>
      <c r="M705" s="62"/>
      <c r="N705" s="63"/>
      <c r="O705" s="64" t="str">
        <f>IF($Q705&lt;&gt;0,VLOOKUP($Q705,DM_KM,3,0),"")</f>
        <v>#N/A</v>
      </c>
      <c r="P705" s="64" t="str">
        <f>IF($Q705&lt;&gt;0,VLOOKUP($Q705,DM_KM,5,0),"")</f>
        <v>#N/A</v>
      </c>
      <c r="Q705" s="65" t="s">
        <v>190</v>
      </c>
      <c r="R705" s="64" t="str">
        <f>IF(S705&lt;&gt;0,VLOOKUP(S705,DM_DUAN,3,0),"")</f>
        <v>#N/A</v>
      </c>
      <c r="S705" s="66" t="str">
        <f>IF(U705&lt;&gt;0,VLOOKUP(U705,DM_DUAN,3,0),"")</f>
        <v>KIMCUONGLAND</v>
      </c>
      <c r="T705" s="64"/>
      <c r="U705" s="67" t="s">
        <v>638</v>
      </c>
      <c r="V705" s="64" t="str">
        <f>IF(W705&lt;&gt;0,VLOOKUP(W705,DM_DUAN,3,0),"")</f>
        <v>#N/A</v>
      </c>
      <c r="W705" s="83" t="s">
        <v>744</v>
      </c>
      <c r="X705" s="64" t="str">
        <f>IF(Y705&lt;&gt;0,VLOOKUP(Y705,DM_DUAN,3,0),"")</f>
        <v>#N/A</v>
      </c>
      <c r="Y705" s="69" t="s">
        <v>176</v>
      </c>
      <c r="Z705" s="64" t="str">
        <f>IF(AA705&lt;&gt;0,VLOOKUP(AA705,DM_DUAN,3,0),"")</f>
        <v>#N/A</v>
      </c>
      <c r="AA705" s="70" t="s">
        <v>177</v>
      </c>
      <c r="AB705" s="64" t="str">
        <f>IF(AC705&lt;&gt;0,VLOOKUP(AC705,DM_DUAN,3,0),"")</f>
        <v>#N/A</v>
      </c>
      <c r="AC705" s="70" t="s">
        <v>178</v>
      </c>
      <c r="AD705" s="64" t="str">
        <f>IF(AC705&lt;&gt;0,VLOOKUP(AC705,DM_NV,2,0),"")</f>
        <v>Lê Hoàng Quân</v>
      </c>
      <c r="AE705" s="68"/>
      <c r="AF705" s="64" t="str">
        <f>IF(AE705&lt;&gt;0,VLOOKUP(AE705,DM_NV,2,0),"")</f>
        <v/>
      </c>
    </row>
    <row r="706">
      <c r="A706" s="51"/>
      <c r="B706" s="52" t="str">
        <f>IF(D706="","",VLOOKUP(D706,'THAM CHIẾU'!$A:$B,2,0))</f>
        <v>#N/A</v>
      </c>
      <c r="C706" s="53" t="str">
        <f t="shared" si="4"/>
        <v>04/2022</v>
      </c>
      <c r="D706" s="99">
        <v>44657.0</v>
      </c>
      <c r="E706" s="55" t="s">
        <v>747</v>
      </c>
      <c r="F706" s="56"/>
      <c r="G706" s="57" t="s">
        <v>200</v>
      </c>
      <c r="H706" s="58" t="str">
        <f>IF(G706="","",VLOOKUP($G706,'Quy chuẩn hạch toán'!$B:$E,2,0))</f>
        <v>154</v>
      </c>
      <c r="I706" s="58" t="str">
        <f>IF(H706="","",VLOOKUP($G706,'Quy chuẩn hạch toán'!$B:$E,3,0))</f>
        <v>3343</v>
      </c>
      <c r="J706" s="59">
        <v>1000000.0</v>
      </c>
      <c r="K706" s="60"/>
      <c r="L706" s="61"/>
      <c r="M706" s="62"/>
      <c r="N706" s="63"/>
      <c r="O706" s="64" t="str">
        <f>IF($Q706&lt;&gt;0,VLOOKUP($Q706,DM_KM,3,0),"")</f>
        <v>#N/A</v>
      </c>
      <c r="P706" s="64" t="str">
        <f>IF($Q706&lt;&gt;0,VLOOKUP($Q706,DM_KM,5,0),"")</f>
        <v>#N/A</v>
      </c>
      <c r="Q706" s="65" t="s">
        <v>201</v>
      </c>
      <c r="R706" s="64" t="str">
        <f>IF(S706&lt;&gt;0,VLOOKUP(S706,DM_DUAN,3,0),"")</f>
        <v>#N/A</v>
      </c>
      <c r="S706" s="66" t="str">
        <f>IF(U706&lt;&gt;0,VLOOKUP(U706,DM_DUAN,3,0),"")</f>
        <v>KIMCUONGLAND</v>
      </c>
      <c r="T706" s="64"/>
      <c r="U706" s="67" t="s">
        <v>638</v>
      </c>
      <c r="V706" s="64" t="str">
        <f>IF(W706&lt;&gt;0,VLOOKUP(W706,DM_DUAN,3,0),"")</f>
        <v>#N/A</v>
      </c>
      <c r="W706" s="83" t="s">
        <v>744</v>
      </c>
      <c r="X706" s="64" t="str">
        <f>IF(Y706&lt;&gt;0,VLOOKUP(Y706,DM_DUAN,3,0),"")</f>
        <v>#N/A</v>
      </c>
      <c r="Y706" s="69" t="s">
        <v>176</v>
      </c>
      <c r="Z706" s="64" t="str">
        <f>IF(AA706&lt;&gt;0,VLOOKUP(AA706,DM_DUAN,3,0),"")</f>
        <v>#N/A</v>
      </c>
      <c r="AA706" s="70" t="s">
        <v>177</v>
      </c>
      <c r="AB706" s="64" t="str">
        <f>IF(AC706&lt;&gt;0,VLOOKUP(AC706,DM_DUAN,3,0),"")</f>
        <v/>
      </c>
      <c r="AC706" s="85"/>
      <c r="AD706" s="64" t="str">
        <f>IF(AC706&lt;&gt;0,VLOOKUP(AC706,DM_NV,2,0),"")</f>
        <v/>
      </c>
      <c r="AE706" s="68"/>
      <c r="AF706" s="64" t="str">
        <f>IF(AE706&lt;&gt;0,VLOOKUP(AE706,DM_NV,2,0),"")</f>
        <v/>
      </c>
    </row>
    <row r="707">
      <c r="A707" s="51"/>
      <c r="B707" s="52" t="str">
        <f>IF(D707="","",VLOOKUP(D707,'THAM CHIẾU'!$A:$B,2,0))</f>
        <v>#N/A</v>
      </c>
      <c r="C707" s="53" t="str">
        <f t="shared" si="4"/>
        <v>04/2022</v>
      </c>
      <c r="D707" s="99">
        <v>44657.0</v>
      </c>
      <c r="E707" s="55" t="s">
        <v>748</v>
      </c>
      <c r="F707" s="56"/>
      <c r="G707" s="90"/>
      <c r="H707" s="58" t="str">
        <f>IF(G707="","",VLOOKUP($G707,'Quy chuẩn hạch toán'!$B:$E,2,0))</f>
        <v/>
      </c>
      <c r="I707" s="58" t="str">
        <f>IF(H707="","",VLOOKUP($G707,'Quy chuẩn hạch toán'!$B:$E,3,0))</f>
        <v/>
      </c>
      <c r="J707" s="59">
        <v>7920000.0</v>
      </c>
      <c r="K707" s="60"/>
      <c r="L707" s="61"/>
      <c r="M707" s="62"/>
      <c r="N707" s="63"/>
      <c r="O707" s="64" t="str">
        <f>IF($Q707&lt;&gt;0,VLOOKUP($Q707,DM_KM,3,0),"")</f>
        <v>#N/A</v>
      </c>
      <c r="P707" s="64" t="str">
        <f>IF($Q707&lt;&gt;0,VLOOKUP($Q707,DM_KM,5,0),"")</f>
        <v>#N/A</v>
      </c>
      <c r="Q707" s="65" t="s">
        <v>203</v>
      </c>
      <c r="R707" s="64" t="str">
        <f>IF(S707&lt;&gt;0,VLOOKUP(S707,DM_DUAN,3,0),"")</f>
        <v>#N/A</v>
      </c>
      <c r="S707" s="66" t="str">
        <f>IF(U707&lt;&gt;0,VLOOKUP(U707,DM_DUAN,3,0),"")</f>
        <v>KIMCUONGLAND</v>
      </c>
      <c r="T707" s="64"/>
      <c r="U707" s="67" t="s">
        <v>638</v>
      </c>
      <c r="V707" s="64" t="str">
        <f>IF(W707&lt;&gt;0,VLOOKUP(W707,DM_DUAN,3,0),"")</f>
        <v>#N/A</v>
      </c>
      <c r="W707" s="83" t="s">
        <v>744</v>
      </c>
      <c r="X707" s="64" t="str">
        <f>IF(Y707&lt;&gt;0,VLOOKUP(Y707,DM_DUAN,3,0),"")</f>
        <v>#N/A</v>
      </c>
      <c r="Y707" s="69" t="s">
        <v>176</v>
      </c>
      <c r="Z707" s="64" t="str">
        <f>IF(AA707&lt;&gt;0,VLOOKUP(AA707,DM_DUAN,3,0),"")</f>
        <v>#N/A</v>
      </c>
      <c r="AA707" s="70" t="s">
        <v>177</v>
      </c>
      <c r="AB707" s="64" t="str">
        <f>IF(AC707&lt;&gt;0,VLOOKUP(AC707,DM_DUAN,3,0),"")</f>
        <v/>
      </c>
      <c r="AC707" s="85"/>
      <c r="AD707" s="64" t="str">
        <f>IF(AC707&lt;&gt;0,VLOOKUP(AC707,DM_NV,2,0),"")</f>
        <v/>
      </c>
      <c r="AE707" s="68"/>
      <c r="AF707" s="64" t="str">
        <f>IF(AE707&lt;&gt;0,VLOOKUP(AE707,DM_NV,2,0),"")</f>
        <v/>
      </c>
    </row>
    <row r="708">
      <c r="A708" s="51"/>
      <c r="B708" s="52" t="str">
        <f>IF(D708="","",VLOOKUP(D708,'THAM CHIẾU'!$A:$B,2,0))</f>
        <v>#N/A</v>
      </c>
      <c r="C708" s="53" t="str">
        <f t="shared" si="4"/>
        <v>04/2022</v>
      </c>
      <c r="D708" s="99">
        <v>44657.0</v>
      </c>
      <c r="E708" s="55" t="s">
        <v>749</v>
      </c>
      <c r="F708" s="56"/>
      <c r="G708" s="57" t="s">
        <v>197</v>
      </c>
      <c r="H708" s="58" t="str">
        <f>IF(G708="","",VLOOKUP($G708,'Quy chuẩn hạch toán'!$B:$E,2,0))</f>
        <v>#N/A</v>
      </c>
      <c r="I708" s="58" t="str">
        <f>IF(H708="","",VLOOKUP($G708,'Quy chuẩn hạch toán'!$B:$E,3,0))</f>
        <v>#N/A</v>
      </c>
      <c r="J708" s="59">
        <v>4.75E8</v>
      </c>
      <c r="K708" s="60"/>
      <c r="L708" s="61"/>
      <c r="M708" s="62"/>
      <c r="N708" s="63"/>
      <c r="O708" s="64" t="str">
        <f>IF($Q708&lt;&gt;0,VLOOKUP($Q708,DM_KM,3,0),"")</f>
        <v>#N/A</v>
      </c>
      <c r="P708" s="64" t="str">
        <f>IF($Q708&lt;&gt;0,VLOOKUP($Q708,DM_KM,5,0),"")</f>
        <v>#N/A</v>
      </c>
      <c r="Q708" s="65" t="s">
        <v>198</v>
      </c>
      <c r="R708" s="64" t="str">
        <f>IF(S708&lt;&gt;0,VLOOKUP(S708,DM_DUAN,3,0),"")</f>
        <v>#N/A</v>
      </c>
      <c r="S708" s="66" t="str">
        <f>IF(U708&lt;&gt;0,VLOOKUP(U708,DM_DUAN,3,0),"")</f>
        <v>KIMCUONGLAND</v>
      </c>
      <c r="T708" s="64"/>
      <c r="U708" s="67" t="s">
        <v>638</v>
      </c>
      <c r="V708" s="64" t="str">
        <f>IF(W708&lt;&gt;0,VLOOKUP(W708,DM_DUAN,3,0),"")</f>
        <v>#N/A</v>
      </c>
      <c r="W708" s="83" t="s">
        <v>750</v>
      </c>
      <c r="X708" s="64" t="str">
        <f>IF(Y708&lt;&gt;0,VLOOKUP(Y708,DM_DUAN,3,0),"")</f>
        <v>#N/A</v>
      </c>
      <c r="Y708" s="69" t="s">
        <v>176</v>
      </c>
      <c r="Z708" s="64" t="str">
        <f>IF(AA708&lt;&gt;0,VLOOKUP(AA708,DM_DUAN,3,0),"")</f>
        <v>#N/A</v>
      </c>
      <c r="AA708" s="70" t="s">
        <v>177</v>
      </c>
      <c r="AB708" s="64" t="str">
        <f>IF(AC708&lt;&gt;0,VLOOKUP(AC708,DM_DUAN,3,0),"")</f>
        <v>#N/A</v>
      </c>
      <c r="AC708" s="70" t="s">
        <v>178</v>
      </c>
      <c r="AD708" s="64" t="str">
        <f>IF(AC708&lt;&gt;0,VLOOKUP(AC708,DM_NV,2,0),"")</f>
        <v>Lê Hoàng Quân</v>
      </c>
      <c r="AE708" s="68"/>
      <c r="AF708" s="64" t="str">
        <f>IF(AE708&lt;&gt;0,VLOOKUP(AE708,DM_NV,2,0),"")</f>
        <v/>
      </c>
    </row>
    <row r="709">
      <c r="A709" s="51"/>
      <c r="B709" s="52" t="str">
        <f>IF(D709="","",VLOOKUP(D709,'THAM CHIẾU'!$A:$B,2,0))</f>
        <v/>
      </c>
      <c r="C709" s="53" t="str">
        <f t="shared" si="4"/>
        <v/>
      </c>
      <c r="D709" s="99"/>
      <c r="E709" s="55"/>
      <c r="F709" s="56"/>
      <c r="G709" s="57"/>
      <c r="H709" s="58" t="str">
        <f>IF(G709="","",VLOOKUP($G709,'Quy chuẩn hạch toán'!$B:$E,2,0))</f>
        <v/>
      </c>
      <c r="I709" s="58" t="str">
        <f>IF(H709="","",VLOOKUP($G709,'Quy chuẩn hạch toán'!$B:$E,3,0))</f>
        <v/>
      </c>
      <c r="J709" s="59"/>
      <c r="K709" s="60"/>
      <c r="L709" s="61"/>
      <c r="M709" s="62"/>
      <c r="N709" s="63"/>
      <c r="O709" s="64"/>
      <c r="P709" s="64"/>
      <c r="Q709" s="65"/>
      <c r="R709" s="64" t="str">
        <f>IF(S709&lt;&gt;0,VLOOKUP(S709,DM_DUAN,3,0),"")</f>
        <v>#N/A</v>
      </c>
      <c r="S709" s="66" t="str">
        <f>IF(U709&lt;&gt;0,VLOOKUP(U709,DM_DUAN,3,0),"")</f>
        <v/>
      </c>
      <c r="T709" s="64"/>
      <c r="U709" s="67"/>
      <c r="V709" s="64" t="str">
        <f>IF(W709&lt;&gt;0,VLOOKUP(W709,DM_DUAN,3,0),"")</f>
        <v/>
      </c>
      <c r="W709" s="83"/>
      <c r="X709" s="64" t="str">
        <f>IF(Y709&lt;&gt;0,VLOOKUP(Y709,DM_DUAN,3,0),"")</f>
        <v/>
      </c>
      <c r="Y709" s="69"/>
      <c r="Z709" s="64" t="str">
        <f>IF(AA709&lt;&gt;0,VLOOKUP(AA709,DM_DUAN,3,0),"")</f>
        <v/>
      </c>
      <c r="AA709" s="70"/>
      <c r="AB709" s="64" t="str">
        <f>IF(AC709&lt;&gt;0,VLOOKUP(AC709,DM_DUAN,3,0),"")</f>
        <v/>
      </c>
      <c r="AC709" s="85"/>
      <c r="AD709" s="64" t="str">
        <f>IF(AC709&lt;&gt;0,VLOOKUP(AC709,DM_NV,2,0),"")</f>
        <v/>
      </c>
      <c r="AE709" s="68"/>
      <c r="AF709" s="64" t="str">
        <f>IF(AE709&lt;&gt;0,VLOOKUP(AE709,DM_NV,2,0),"")</f>
        <v/>
      </c>
    </row>
    <row r="710">
      <c r="A710" s="51"/>
      <c r="B710" s="52" t="str">
        <f>IF(D710="","",VLOOKUP(D710,'THAM CHIẾU'!$A:$B,2,0))</f>
        <v>#N/A</v>
      </c>
      <c r="C710" s="53" t="str">
        <f t="shared" si="4"/>
        <v>04/2022</v>
      </c>
      <c r="D710" s="99">
        <v>44657.0</v>
      </c>
      <c r="E710" s="55" t="s">
        <v>751</v>
      </c>
      <c r="F710" s="56"/>
      <c r="G710" s="57" t="s">
        <v>186</v>
      </c>
      <c r="H710" s="58" t="str">
        <f>IF(G710="","",VLOOKUP($G710,'Quy chuẩn hạch toán'!$B:$E,2,0))</f>
        <v>131</v>
      </c>
      <c r="I710" s="58" t="str">
        <f>IF(H710="","",VLOOKUP($G710,'Quy chuẩn hạch toán'!$B:$E,3,0))</f>
        <v>5113</v>
      </c>
      <c r="J710" s="59">
        <v>9.8E7</v>
      </c>
      <c r="K710" s="60"/>
      <c r="L710" s="61"/>
      <c r="M710" s="62"/>
      <c r="N710" s="63"/>
      <c r="O710" s="64" t="str">
        <f>IF($Q710&lt;&gt;0,VLOOKUP($Q710,DM_KM,3,0),"")</f>
        <v>511_TK</v>
      </c>
      <c r="P710" s="64">
        <f>IF($Q710&lt;&gt;0,VLOOKUP($Q710,DM_KM,5,0),"")</f>
        <v>511</v>
      </c>
      <c r="Q710" s="65" t="s">
        <v>187</v>
      </c>
      <c r="R710" s="64" t="str">
        <f>IF(S710&lt;&gt;0,VLOOKUP(S710,DM_DUAN,3,0),"")</f>
        <v>#N/A</v>
      </c>
      <c r="S710" s="66" t="str">
        <f>IF(U710&lt;&gt;0,VLOOKUP(U710,DM_DUAN,3,0),"")</f>
        <v>KIMCUONGLAND</v>
      </c>
      <c r="T710" s="64"/>
      <c r="U710" s="67" t="s">
        <v>638</v>
      </c>
      <c r="V710" s="64" t="str">
        <f>IF(W710&lt;&gt;0,VLOOKUP(W710,DM_DUAN,3,0),"")</f>
        <v>#N/A</v>
      </c>
      <c r="W710" s="83" t="s">
        <v>750</v>
      </c>
      <c r="X710" s="64" t="str">
        <f>IF(Y710&lt;&gt;0,VLOOKUP(Y710,DM_DUAN,3,0),"")</f>
        <v>#N/A</v>
      </c>
      <c r="Y710" s="69" t="s">
        <v>176</v>
      </c>
      <c r="Z710" s="64" t="str">
        <f>IF(AA710&lt;&gt;0,VLOOKUP(AA710,DM_DUAN,3,0),"")</f>
        <v>#N/A</v>
      </c>
      <c r="AA710" s="70" t="s">
        <v>177</v>
      </c>
      <c r="AB710" s="64" t="str">
        <f>IF(AC710&lt;&gt;0,VLOOKUP(AC710,DM_DUAN,3,0),"")</f>
        <v/>
      </c>
      <c r="AC710" s="85"/>
      <c r="AD710" s="64" t="str">
        <f>IF(AC710&lt;&gt;0,VLOOKUP(AC710,DM_NV,2,0),"")</f>
        <v/>
      </c>
      <c r="AE710" s="68"/>
      <c r="AF710" s="64" t="str">
        <f>IF(AE710&lt;&gt;0,VLOOKUP(AE710,DM_NV,2,0),"")</f>
        <v/>
      </c>
    </row>
    <row r="711">
      <c r="A711" s="51"/>
      <c r="B711" s="52" t="str">
        <f>IF(D711="","",VLOOKUP(D711,'THAM CHIẾU'!$A:$B,2,0))</f>
        <v>#N/A</v>
      </c>
      <c r="C711" s="53" t="str">
        <f t="shared" si="4"/>
        <v>04/2022</v>
      </c>
      <c r="D711" s="99">
        <v>44657.0</v>
      </c>
      <c r="E711" s="55" t="s">
        <v>752</v>
      </c>
      <c r="F711" s="56"/>
      <c r="G711" s="57" t="s">
        <v>189</v>
      </c>
      <c r="H711" s="58" t="str">
        <f>IF(G711="","",VLOOKUP($G711,'Quy chuẩn hạch toán'!$B:$E,2,0))</f>
        <v>154</v>
      </c>
      <c r="I711" s="58" t="str">
        <f>IF(H711="","",VLOOKUP($G711,'Quy chuẩn hạch toán'!$B:$E,3,0))</f>
        <v>3345</v>
      </c>
      <c r="J711" s="59">
        <v>1.9625E7</v>
      </c>
      <c r="K711" s="60"/>
      <c r="L711" s="61"/>
      <c r="M711" s="62"/>
      <c r="N711" s="63"/>
      <c r="O711" s="64" t="str">
        <f>IF($Q711&lt;&gt;0,VLOOKUP($Q711,DM_KM,3,0),"")</f>
        <v>#N/A</v>
      </c>
      <c r="P711" s="64" t="str">
        <f>IF($Q711&lt;&gt;0,VLOOKUP($Q711,DM_KM,5,0),"")</f>
        <v>#N/A</v>
      </c>
      <c r="Q711" s="65" t="s">
        <v>190</v>
      </c>
      <c r="R711" s="64" t="str">
        <f>IF(S711&lt;&gt;0,VLOOKUP(S711,DM_DUAN,3,0),"")</f>
        <v>#N/A</v>
      </c>
      <c r="S711" s="66" t="str">
        <f>IF(U711&lt;&gt;0,VLOOKUP(U711,DM_DUAN,3,0),"")</f>
        <v>KIMCUONGLAND</v>
      </c>
      <c r="T711" s="64"/>
      <c r="U711" s="67" t="s">
        <v>638</v>
      </c>
      <c r="V711" s="64" t="str">
        <f>IF(W711&lt;&gt;0,VLOOKUP(W711,DM_DUAN,3,0),"")</f>
        <v>#N/A</v>
      </c>
      <c r="W711" s="83" t="s">
        <v>750</v>
      </c>
      <c r="X711" s="64" t="str">
        <f>IF(Y711&lt;&gt;0,VLOOKUP(Y711,DM_DUAN,3,0),"")</f>
        <v>#N/A</v>
      </c>
      <c r="Y711" s="69" t="s">
        <v>176</v>
      </c>
      <c r="Z711" s="64" t="str">
        <f>IF(AA711&lt;&gt;0,VLOOKUP(AA711,DM_DUAN,3,0),"")</f>
        <v>#N/A</v>
      </c>
      <c r="AA711" s="70" t="s">
        <v>177</v>
      </c>
      <c r="AB711" s="64" t="str">
        <f>IF(AC711&lt;&gt;0,VLOOKUP(AC711,DM_DUAN,3,0),"")</f>
        <v>#N/A</v>
      </c>
      <c r="AC711" s="70" t="s">
        <v>178</v>
      </c>
      <c r="AD711" s="64" t="str">
        <f>IF(AC711&lt;&gt;0,VLOOKUP(AC711,DM_NV,2,0),"")</f>
        <v>Lê Hoàng Quân</v>
      </c>
      <c r="AE711" s="68"/>
      <c r="AF711" s="64" t="str">
        <f>IF(AE711&lt;&gt;0,VLOOKUP(AE711,DM_NV,2,0),"")</f>
        <v/>
      </c>
    </row>
    <row r="712">
      <c r="A712" s="51"/>
      <c r="B712" s="52" t="str">
        <f>IF(D712="","",VLOOKUP(D712,'THAM CHIẾU'!$A:$B,2,0))</f>
        <v>#N/A</v>
      </c>
      <c r="C712" s="53" t="str">
        <f t="shared" si="4"/>
        <v>04/2022</v>
      </c>
      <c r="D712" s="99">
        <v>44657.0</v>
      </c>
      <c r="E712" s="55" t="s">
        <v>753</v>
      </c>
      <c r="F712" s="56"/>
      <c r="G712" s="57" t="s">
        <v>200</v>
      </c>
      <c r="H712" s="58" t="str">
        <f>IF(G712="","",VLOOKUP($G712,'Quy chuẩn hạch toán'!$B:$E,2,0))</f>
        <v>154</v>
      </c>
      <c r="I712" s="58" t="str">
        <f>IF(H712="","",VLOOKUP($G712,'Quy chuẩn hạch toán'!$B:$E,3,0))</f>
        <v>3343</v>
      </c>
      <c r="J712" s="59">
        <v>1000000.0</v>
      </c>
      <c r="K712" s="60"/>
      <c r="L712" s="61"/>
      <c r="M712" s="62"/>
      <c r="N712" s="63"/>
      <c r="O712" s="64" t="str">
        <f>IF($Q712&lt;&gt;0,VLOOKUP($Q712,DM_KM,3,0),"")</f>
        <v>#N/A</v>
      </c>
      <c r="P712" s="64" t="str">
        <f>IF($Q712&lt;&gt;0,VLOOKUP($Q712,DM_KM,5,0),"")</f>
        <v>#N/A</v>
      </c>
      <c r="Q712" s="65" t="s">
        <v>201</v>
      </c>
      <c r="R712" s="64" t="str">
        <f>IF(S712&lt;&gt;0,VLOOKUP(S712,DM_DUAN,3,0),"")</f>
        <v>#N/A</v>
      </c>
      <c r="S712" s="66" t="str">
        <f>IF(U712&lt;&gt;0,VLOOKUP(U712,DM_DUAN,3,0),"")</f>
        <v>KIMCUONGLAND</v>
      </c>
      <c r="T712" s="64"/>
      <c r="U712" s="67" t="s">
        <v>638</v>
      </c>
      <c r="V712" s="64" t="str">
        <f>IF(W712&lt;&gt;0,VLOOKUP(W712,DM_DUAN,3,0),"")</f>
        <v>#N/A</v>
      </c>
      <c r="W712" s="83" t="s">
        <v>750</v>
      </c>
      <c r="X712" s="64" t="str">
        <f>IF(Y712&lt;&gt;0,VLOOKUP(Y712,DM_DUAN,3,0),"")</f>
        <v>#N/A</v>
      </c>
      <c r="Y712" s="69" t="s">
        <v>176</v>
      </c>
      <c r="Z712" s="64" t="str">
        <f>IF(AA712&lt;&gt;0,VLOOKUP(AA712,DM_DUAN,3,0),"")</f>
        <v>#N/A</v>
      </c>
      <c r="AA712" s="70" t="s">
        <v>177</v>
      </c>
      <c r="AB712" s="64" t="str">
        <f>IF(AC712&lt;&gt;0,VLOOKUP(AC712,DM_DUAN,3,0),"")</f>
        <v/>
      </c>
      <c r="AC712" s="85"/>
      <c r="AD712" s="64" t="str">
        <f>IF(AC712&lt;&gt;0,VLOOKUP(AC712,DM_NV,2,0),"")</f>
        <v/>
      </c>
      <c r="AE712" s="68"/>
      <c r="AF712" s="64" t="str">
        <f>IF(AE712&lt;&gt;0,VLOOKUP(AE712,DM_NV,2,0),"")</f>
        <v/>
      </c>
    </row>
    <row r="713">
      <c r="A713" s="51"/>
      <c r="B713" s="52" t="str">
        <f>IF(D713="","",VLOOKUP(D713,'THAM CHIẾU'!$A:$B,2,0))</f>
        <v>#N/A</v>
      </c>
      <c r="C713" s="53" t="str">
        <f t="shared" si="4"/>
        <v>04/2022</v>
      </c>
      <c r="D713" s="99">
        <v>44657.0</v>
      </c>
      <c r="E713" s="55" t="s">
        <v>754</v>
      </c>
      <c r="F713" s="56"/>
      <c r="G713" s="57" t="s">
        <v>733</v>
      </c>
      <c r="H713" s="58" t="str">
        <f>IF(G713="","",VLOOKUP($G713,'Quy chuẩn hạch toán'!$B:$E,2,0))</f>
        <v>154</v>
      </c>
      <c r="I713" s="58" t="str">
        <f>IF(H713="","",VLOOKUP($G713,'Quy chuẩn hạch toán'!$B:$E,3,0))</f>
        <v>3342</v>
      </c>
      <c r="J713" s="59">
        <v>1425000.0</v>
      </c>
      <c r="K713" s="60"/>
      <c r="L713" s="61"/>
      <c r="M713" s="62"/>
      <c r="N713" s="63"/>
      <c r="O713" s="64" t="str">
        <f>IF($Q713&lt;&gt;0,VLOOKUP($Q713,DM_KM,3,0),"")</f>
        <v>#N/A</v>
      </c>
      <c r="P713" s="64" t="str">
        <f>IF($Q713&lt;&gt;0,VLOOKUP($Q713,DM_KM,5,0),"")</f>
        <v>#N/A</v>
      </c>
      <c r="Q713" s="65" t="s">
        <v>734</v>
      </c>
      <c r="R713" s="64" t="str">
        <f>IF(S713&lt;&gt;0,VLOOKUP(S713,DM_DUAN,3,0),"")</f>
        <v>#N/A</v>
      </c>
      <c r="S713" s="66" t="str">
        <f>IF(U713&lt;&gt;0,VLOOKUP(U713,DM_DUAN,3,0),"")</f>
        <v>KIMCUONGLAND</v>
      </c>
      <c r="T713" s="64"/>
      <c r="U713" s="67" t="s">
        <v>638</v>
      </c>
      <c r="V713" s="64" t="str">
        <f>IF(W713&lt;&gt;0,VLOOKUP(W713,DM_DUAN,3,0),"")</f>
        <v>#N/A</v>
      </c>
      <c r="W713" s="83" t="s">
        <v>750</v>
      </c>
      <c r="X713" s="64" t="str">
        <f>IF(Y713&lt;&gt;0,VLOOKUP(Y713,DM_DUAN,3,0),"")</f>
        <v>#N/A</v>
      </c>
      <c r="Y713" s="69" t="s">
        <v>176</v>
      </c>
      <c r="Z713" s="64" t="str">
        <f>IF(AA713&lt;&gt;0,VLOOKUP(AA713,DM_DUAN,3,0),"")</f>
        <v>#N/A</v>
      </c>
      <c r="AA713" s="70" t="s">
        <v>177</v>
      </c>
      <c r="AB713" s="64" t="str">
        <f>IF(AC713&lt;&gt;0,VLOOKUP(AC713,DM_DUAN,3,0),"")</f>
        <v>#N/A</v>
      </c>
      <c r="AC713" s="70" t="s">
        <v>178</v>
      </c>
      <c r="AD713" s="64" t="str">
        <f>IF(AC713&lt;&gt;0,VLOOKUP(AC713,DM_NV,2,0),"")</f>
        <v>Lê Hoàng Quân</v>
      </c>
      <c r="AE713" s="68"/>
      <c r="AF713" s="64" t="str">
        <f>IF(AE713&lt;&gt;0,VLOOKUP(AE713,DM_NV,2,0),"")</f>
        <v/>
      </c>
    </row>
    <row r="714">
      <c r="A714" s="51"/>
      <c r="B714" s="52" t="str">
        <f>IF(D714="","",VLOOKUP(D714,'THAM CHIẾU'!$A:$B,2,0))</f>
        <v>#N/A</v>
      </c>
      <c r="C714" s="53" t="str">
        <f t="shared" si="4"/>
        <v>04/2022</v>
      </c>
      <c r="D714" s="99">
        <v>44657.0</v>
      </c>
      <c r="E714" s="55" t="s">
        <v>755</v>
      </c>
      <c r="F714" s="56"/>
      <c r="G714" s="90"/>
      <c r="H714" s="58" t="str">
        <f>IF(G714="","",VLOOKUP($G714,'Quy chuẩn hạch toán'!$B:$E,2,0))</f>
        <v/>
      </c>
      <c r="I714" s="58" t="str">
        <f>IF(H714="","",VLOOKUP($G714,'Quy chuẩn hạch toán'!$B:$E,3,0))</f>
        <v/>
      </c>
      <c r="J714" s="59">
        <v>7600000.0</v>
      </c>
      <c r="K714" s="60"/>
      <c r="L714" s="61"/>
      <c r="M714" s="62"/>
      <c r="N714" s="63"/>
      <c r="O714" s="64" t="str">
        <f>IF($Q714&lt;&gt;0,VLOOKUP($Q714,DM_KM,3,0),"")</f>
        <v>#N/A</v>
      </c>
      <c r="P714" s="64" t="str">
        <f>IF($Q714&lt;&gt;0,VLOOKUP($Q714,DM_KM,5,0),"")</f>
        <v>#N/A</v>
      </c>
      <c r="Q714" s="65" t="s">
        <v>203</v>
      </c>
      <c r="R714" s="64" t="str">
        <f>IF(S714&lt;&gt;0,VLOOKUP(S714,DM_DUAN,3,0),"")</f>
        <v>#N/A</v>
      </c>
      <c r="S714" s="66" t="str">
        <f>IF(U714&lt;&gt;0,VLOOKUP(U714,DM_DUAN,3,0),"")</f>
        <v>KIMCUONGLAND</v>
      </c>
      <c r="T714" s="64"/>
      <c r="U714" s="67" t="s">
        <v>638</v>
      </c>
      <c r="V714" s="64" t="str">
        <f>IF(W714&lt;&gt;0,VLOOKUP(W714,DM_DUAN,3,0),"")</f>
        <v>#N/A</v>
      </c>
      <c r="W714" s="83" t="s">
        <v>750</v>
      </c>
      <c r="X714" s="64" t="str">
        <f>IF(Y714&lt;&gt;0,VLOOKUP(Y714,DM_DUAN,3,0),"")</f>
        <v>#N/A</v>
      </c>
      <c r="Y714" s="69" t="s">
        <v>176</v>
      </c>
      <c r="Z714" s="64" t="str">
        <f>IF(AA714&lt;&gt;0,VLOOKUP(AA714,DM_DUAN,3,0),"")</f>
        <v>#N/A</v>
      </c>
      <c r="AA714" s="70" t="s">
        <v>177</v>
      </c>
      <c r="AB714" s="64" t="str">
        <f>IF(AC714&lt;&gt;0,VLOOKUP(AC714,DM_DUAN,3,0),"")</f>
        <v/>
      </c>
      <c r="AC714" s="85"/>
      <c r="AD714" s="64" t="str">
        <f>IF(AC714&lt;&gt;0,VLOOKUP(AC714,DM_NV,2,0),"")</f>
        <v/>
      </c>
      <c r="AE714" s="68"/>
      <c r="AF714" s="64" t="str">
        <f>IF(AE714&lt;&gt;0,VLOOKUP(AE714,DM_NV,2,0),"")</f>
        <v/>
      </c>
    </row>
    <row r="715">
      <c r="A715" s="51"/>
      <c r="B715" s="52" t="str">
        <f>IF(D715="","",VLOOKUP(D715,'THAM CHIẾU'!$A:$B,2,0))</f>
        <v>#N/A</v>
      </c>
      <c r="C715" s="53" t="str">
        <f t="shared" si="4"/>
        <v>04/2022</v>
      </c>
      <c r="D715" s="99">
        <v>44657.0</v>
      </c>
      <c r="E715" s="55" t="s">
        <v>756</v>
      </c>
      <c r="F715" s="56"/>
      <c r="G715" s="57" t="s">
        <v>197</v>
      </c>
      <c r="H715" s="58" t="str">
        <f>IF(G715="","",VLOOKUP($G715,'Quy chuẩn hạch toán'!$B:$E,2,0))</f>
        <v>#N/A</v>
      </c>
      <c r="I715" s="58" t="str">
        <f>IF(H715="","",VLOOKUP($G715,'Quy chuẩn hạch toán'!$B:$E,3,0))</f>
        <v>#N/A</v>
      </c>
      <c r="J715" s="59">
        <v>1.83498E9</v>
      </c>
      <c r="K715" s="60"/>
      <c r="L715" s="61"/>
      <c r="M715" s="62"/>
      <c r="N715" s="63"/>
      <c r="O715" s="64" t="str">
        <f>IF($Q715&lt;&gt;0,VLOOKUP($Q715,DM_KM,3,0),"")</f>
        <v>#N/A</v>
      </c>
      <c r="P715" s="64" t="str">
        <f>IF($Q715&lt;&gt;0,VLOOKUP($Q715,DM_KM,5,0),"")</f>
        <v>#N/A</v>
      </c>
      <c r="Q715" s="65" t="s">
        <v>198</v>
      </c>
      <c r="R715" s="64" t="str">
        <f>IF(S715&lt;&gt;0,VLOOKUP(S715,DM_DUAN,3,0),"")</f>
        <v>#N/A</v>
      </c>
      <c r="S715" s="66" t="str">
        <f>IF(U715&lt;&gt;0,VLOOKUP(U715,DM_DUAN,3,0),"")</f>
        <v>THANHNAM</v>
      </c>
      <c r="T715" s="64"/>
      <c r="U715" s="67" t="s">
        <v>530</v>
      </c>
      <c r="V715" s="64" t="str">
        <f>IF(W715&lt;&gt;0,VLOOKUP(W715,DM_DUAN,3,0),"")</f>
        <v>#N/A</v>
      </c>
      <c r="W715" s="83" t="s">
        <v>757</v>
      </c>
      <c r="X715" s="64" t="str">
        <f>IF(Y715&lt;&gt;0,VLOOKUP(Y715,DM_DUAN,3,0),"")</f>
        <v>#N/A</v>
      </c>
      <c r="Y715" s="69" t="s">
        <v>176</v>
      </c>
      <c r="Z715" s="64" t="str">
        <f>IF(AA715&lt;&gt;0,VLOOKUP(AA715,DM_DUAN,3,0),"")</f>
        <v>#N/A</v>
      </c>
      <c r="AA715" s="70" t="s">
        <v>183</v>
      </c>
      <c r="AB715" s="64" t="str">
        <f>IF(AC715&lt;&gt;0,VLOOKUP(AC715,DM_DUAN,3,0),"")</f>
        <v>#N/A</v>
      </c>
      <c r="AC715" s="70" t="s">
        <v>758</v>
      </c>
      <c r="AD715" s="64" t="str">
        <f>IF(AC715&lt;&gt;0,VLOOKUP(AC715,DM_NV,2,0),"")</f>
        <v>Nguyễn Chí Tâm</v>
      </c>
      <c r="AE715" s="68"/>
      <c r="AF715" s="64" t="str">
        <f>IF(AE715&lt;&gt;0,VLOOKUP(AE715,DM_NV,2,0),"")</f>
        <v/>
      </c>
    </row>
    <row r="716">
      <c r="A716" s="51"/>
      <c r="B716" s="52" t="str">
        <f>IF(D716="","",VLOOKUP(D716,'THAM CHIẾU'!$A:$B,2,0))</f>
        <v/>
      </c>
      <c r="C716" s="53" t="str">
        <f t="shared" si="4"/>
        <v/>
      </c>
      <c r="D716" s="99"/>
      <c r="E716" s="55"/>
      <c r="F716" s="56"/>
      <c r="G716" s="57"/>
      <c r="H716" s="58" t="str">
        <f>IF(G716="","",VLOOKUP($G716,'Quy chuẩn hạch toán'!$B:$E,2,0))</f>
        <v/>
      </c>
      <c r="I716" s="58" t="str">
        <f>IF(H716="","",VLOOKUP($G716,'Quy chuẩn hạch toán'!$B:$E,3,0))</f>
        <v/>
      </c>
      <c r="J716" s="59"/>
      <c r="K716" s="60"/>
      <c r="L716" s="61"/>
      <c r="M716" s="62"/>
      <c r="N716" s="63"/>
      <c r="O716" s="64"/>
      <c r="P716" s="64"/>
      <c r="Q716" s="65"/>
      <c r="R716" s="64" t="str">
        <f>IF(S716&lt;&gt;0,VLOOKUP(S716,DM_DUAN,3,0),"")</f>
        <v>#N/A</v>
      </c>
      <c r="S716" s="66" t="str">
        <f>IF(U716&lt;&gt;0,VLOOKUP(U716,DM_DUAN,3,0),"")</f>
        <v/>
      </c>
      <c r="T716" s="64"/>
      <c r="U716" s="67"/>
      <c r="V716" s="64" t="str">
        <f>IF(W716&lt;&gt;0,VLOOKUP(W716,DM_DUAN,3,0),"")</f>
        <v/>
      </c>
      <c r="W716" s="83"/>
      <c r="X716" s="64" t="str">
        <f>IF(Y716&lt;&gt;0,VLOOKUP(Y716,DM_DUAN,3,0),"")</f>
        <v/>
      </c>
      <c r="Y716" s="69"/>
      <c r="Z716" s="64" t="str">
        <f>IF(AA716&lt;&gt;0,VLOOKUP(AA716,DM_DUAN,3,0),"")</f>
        <v/>
      </c>
      <c r="AA716" s="70"/>
      <c r="AB716" s="64" t="str">
        <f>IF(AC716&lt;&gt;0,VLOOKUP(AC716,DM_DUAN,3,0),"")</f>
        <v/>
      </c>
      <c r="AC716" s="85"/>
      <c r="AD716" s="64" t="str">
        <f>IF(AC716&lt;&gt;0,VLOOKUP(AC716,DM_NV,2,0),"")</f>
        <v/>
      </c>
      <c r="AE716" s="68"/>
      <c r="AF716" s="64" t="str">
        <f>IF(AE716&lt;&gt;0,VLOOKUP(AE716,DM_NV,2,0),"")</f>
        <v/>
      </c>
    </row>
    <row r="717">
      <c r="A717" s="51"/>
      <c r="B717" s="52" t="str">
        <f>IF(D717="","",VLOOKUP(D717,'THAM CHIẾU'!$A:$B,2,0))</f>
        <v>#N/A</v>
      </c>
      <c r="C717" s="53" t="str">
        <f t="shared" si="4"/>
        <v>04/2022</v>
      </c>
      <c r="D717" s="99">
        <v>44657.0</v>
      </c>
      <c r="E717" s="55" t="s">
        <v>759</v>
      </c>
      <c r="F717" s="56"/>
      <c r="G717" s="57" t="s">
        <v>186</v>
      </c>
      <c r="H717" s="58" t="str">
        <f>IF(G717="","",VLOOKUP($G717,'Quy chuẩn hạch toán'!$B:$E,2,0))</f>
        <v>131</v>
      </c>
      <c r="I717" s="58" t="str">
        <f>IF(H717="","",VLOOKUP($G717,'Quy chuẩn hạch toán'!$B:$E,3,0))</f>
        <v>5113</v>
      </c>
      <c r="J717" s="59">
        <v>1.76E8</v>
      </c>
      <c r="K717" s="60"/>
      <c r="L717" s="61"/>
      <c r="M717" s="62"/>
      <c r="N717" s="63"/>
      <c r="O717" s="64" t="str">
        <f>IF($Q717&lt;&gt;0,VLOOKUP($Q717,DM_KM,3,0),"")</f>
        <v>511_TK</v>
      </c>
      <c r="P717" s="64">
        <f>IF($Q717&lt;&gt;0,VLOOKUP($Q717,DM_KM,5,0),"")</f>
        <v>511</v>
      </c>
      <c r="Q717" s="65" t="s">
        <v>187</v>
      </c>
      <c r="R717" s="64" t="str">
        <f>IF(S717&lt;&gt;0,VLOOKUP(S717,DM_DUAN,3,0),"")</f>
        <v>#N/A</v>
      </c>
      <c r="S717" s="66" t="str">
        <f>IF(U717&lt;&gt;0,VLOOKUP(U717,DM_DUAN,3,0),"")</f>
        <v>THANHNAM</v>
      </c>
      <c r="T717" s="64"/>
      <c r="U717" s="67" t="s">
        <v>530</v>
      </c>
      <c r="V717" s="64" t="str">
        <f>IF(W717&lt;&gt;0,VLOOKUP(W717,DM_DUAN,3,0),"")</f>
        <v>#N/A</v>
      </c>
      <c r="W717" s="83" t="s">
        <v>757</v>
      </c>
      <c r="X717" s="64" t="str">
        <f>IF(Y717&lt;&gt;0,VLOOKUP(Y717,DM_DUAN,3,0),"")</f>
        <v>#N/A</v>
      </c>
      <c r="Y717" s="69" t="s">
        <v>176</v>
      </c>
      <c r="Z717" s="64" t="str">
        <f>IF(AA717&lt;&gt;0,VLOOKUP(AA717,DM_DUAN,3,0),"")</f>
        <v>#N/A</v>
      </c>
      <c r="AA717" s="70" t="s">
        <v>183</v>
      </c>
      <c r="AB717" s="64" t="str">
        <f>IF(AC717&lt;&gt;0,VLOOKUP(AC717,DM_DUAN,3,0),"")</f>
        <v/>
      </c>
      <c r="AC717" s="85"/>
      <c r="AD717" s="64" t="str">
        <f>IF(AC717&lt;&gt;0,VLOOKUP(AC717,DM_NV,2,0),"")</f>
        <v/>
      </c>
      <c r="AE717" s="68"/>
      <c r="AF717" s="64" t="str">
        <f>IF(AE717&lt;&gt;0,VLOOKUP(AE717,DM_NV,2,0),"")</f>
        <v/>
      </c>
    </row>
    <row r="718">
      <c r="A718" s="51"/>
      <c r="B718" s="52"/>
      <c r="C718" s="53" t="str">
        <f t="shared" si="4"/>
        <v>04/2022</v>
      </c>
      <c r="D718" s="99">
        <v>44657.0</v>
      </c>
      <c r="E718" s="55" t="s">
        <v>760</v>
      </c>
      <c r="F718" s="56"/>
      <c r="G718" s="57" t="s">
        <v>189</v>
      </c>
      <c r="H718" s="58" t="str">
        <f>IF(G718="","",VLOOKUP($G718,'Quy chuẩn hạch toán'!$B:$E,2,0))</f>
        <v>154</v>
      </c>
      <c r="I718" s="58" t="str">
        <f>IF(H718="","",VLOOKUP($G718,'Quy chuẩn hạch toán'!$B:$E,3,0))</f>
        <v>3345</v>
      </c>
      <c r="J718" s="59">
        <v>6.5E7</v>
      </c>
      <c r="K718" s="60"/>
      <c r="L718" s="61"/>
      <c r="M718" s="62"/>
      <c r="N718" s="63"/>
      <c r="O718" s="64" t="str">
        <f>IF($Q718&lt;&gt;0,VLOOKUP($Q718,DM_KM,3,0),"")</f>
        <v>#N/A</v>
      </c>
      <c r="P718" s="64" t="str">
        <f>IF($Q718&lt;&gt;0,VLOOKUP($Q718,DM_KM,5,0),"")</f>
        <v>#N/A</v>
      </c>
      <c r="Q718" s="65" t="s">
        <v>190</v>
      </c>
      <c r="R718" s="64" t="str">
        <f>IF(S718&lt;&gt;0,VLOOKUP(S718,DM_DUAN,3,0),"")</f>
        <v>#N/A</v>
      </c>
      <c r="S718" s="66" t="str">
        <f>IF(U718&lt;&gt;0,VLOOKUP(U718,DM_DUAN,3,0),"")</f>
        <v>THANHNAM</v>
      </c>
      <c r="T718" s="64"/>
      <c r="U718" s="67" t="s">
        <v>530</v>
      </c>
      <c r="V718" s="64" t="str">
        <f>IF(W718&lt;&gt;0,VLOOKUP(W718,DM_DUAN,3,0),"")</f>
        <v>#N/A</v>
      </c>
      <c r="W718" s="83" t="s">
        <v>757</v>
      </c>
      <c r="X718" s="64" t="str">
        <f>IF(Y718&lt;&gt;0,VLOOKUP(Y718,DM_DUAN,3,0),"")</f>
        <v>#N/A</v>
      </c>
      <c r="Y718" s="69" t="s">
        <v>176</v>
      </c>
      <c r="Z718" s="64" t="str">
        <f>IF(AA718&lt;&gt;0,VLOOKUP(AA718,DM_DUAN,3,0),"")</f>
        <v>#N/A</v>
      </c>
      <c r="AA718" s="70" t="s">
        <v>183</v>
      </c>
      <c r="AB718" s="64" t="str">
        <f>IF(AC718&lt;&gt;0,VLOOKUP(AC718,DM_DUAN,3,0),"")</f>
        <v>#N/A</v>
      </c>
      <c r="AC718" s="70" t="s">
        <v>758</v>
      </c>
      <c r="AD718" s="64" t="str">
        <f>IF(AC718&lt;&gt;0,VLOOKUP(AC718,DM_NV,2,0),"")</f>
        <v>Nguyễn Chí Tâm</v>
      </c>
      <c r="AE718" s="68"/>
      <c r="AF718" s="64" t="str">
        <f>IF(AE718&lt;&gt;0,VLOOKUP(AE718,DM_NV,2,0),"")</f>
        <v/>
      </c>
    </row>
    <row r="719">
      <c r="A719" s="51"/>
      <c r="B719" s="52" t="str">
        <f>IF(D719="","",VLOOKUP(D719,'THAM CHIẾU'!$A:$B,2,0))</f>
        <v>#N/A</v>
      </c>
      <c r="C719" s="53" t="str">
        <f t="shared" si="4"/>
        <v>04/2022</v>
      </c>
      <c r="D719" s="99">
        <v>44657.0</v>
      </c>
      <c r="E719" s="55" t="s">
        <v>761</v>
      </c>
      <c r="F719" s="56"/>
      <c r="G719" s="57" t="s">
        <v>193</v>
      </c>
      <c r="H719" s="58" t="str">
        <f>IF(G719="","",VLOOKUP($G719,'Quy chuẩn hạch toán'!$B:$E,2,0))</f>
        <v>154</v>
      </c>
      <c r="I719" s="58" t="str">
        <f>IF(H719="","",VLOOKUP($G719,'Quy chuẩn hạch toán'!$B:$E,3,0))</f>
        <v>3344</v>
      </c>
      <c r="J719" s="59">
        <v>4500000.0</v>
      </c>
      <c r="K719" s="60"/>
      <c r="L719" s="61"/>
      <c r="M719" s="62"/>
      <c r="N719" s="63"/>
      <c r="O719" s="64" t="str">
        <f>IF($Q719&lt;&gt;0,VLOOKUP($Q719,DM_KM,3,0),"")</f>
        <v>#N/A</v>
      </c>
      <c r="P719" s="64" t="str">
        <f>IF($Q719&lt;&gt;0,VLOOKUP($Q719,DM_KM,5,0),"")</f>
        <v>#N/A</v>
      </c>
      <c r="Q719" s="65" t="s">
        <v>194</v>
      </c>
      <c r="R719" s="64" t="str">
        <f>IF(S719&lt;&gt;0,VLOOKUP(S719,DM_DUAN,3,0),"")</f>
        <v>#N/A</v>
      </c>
      <c r="S719" s="66" t="str">
        <f>IF(U719&lt;&gt;0,VLOOKUP(U719,DM_DUAN,3,0),"")</f>
        <v>THANHNAM</v>
      </c>
      <c r="T719" s="64"/>
      <c r="U719" s="67" t="s">
        <v>530</v>
      </c>
      <c r="V719" s="64" t="str">
        <f>IF(W719&lt;&gt;0,VLOOKUP(W719,DM_DUAN,3,0),"")</f>
        <v>#N/A</v>
      </c>
      <c r="W719" s="83" t="s">
        <v>757</v>
      </c>
      <c r="X719" s="64" t="str">
        <f>IF(Y719&lt;&gt;0,VLOOKUP(Y719,DM_DUAN,3,0),"")</f>
        <v>#N/A</v>
      </c>
      <c r="Y719" s="69" t="s">
        <v>176</v>
      </c>
      <c r="Z719" s="64" t="str">
        <f>IF(AA719&lt;&gt;0,VLOOKUP(AA719,DM_DUAN,3,0),"")</f>
        <v>#N/A</v>
      </c>
      <c r="AA719" s="70" t="s">
        <v>183</v>
      </c>
      <c r="AB719" s="64" t="str">
        <f>IF(AC719&lt;&gt;0,VLOOKUP(AC719,DM_DUAN,3,0),"")</f>
        <v>#N/A</v>
      </c>
      <c r="AC719" s="70" t="s">
        <v>232</v>
      </c>
      <c r="AD719" s="64" t="str">
        <f>IF(AC719&lt;&gt;0,VLOOKUP(AC719,DM_NV,2,0),"")</f>
        <v>Lê Quốc Tuấn</v>
      </c>
      <c r="AE719" s="68"/>
      <c r="AF719" s="64" t="str">
        <f>IF(AE719&lt;&gt;0,VLOOKUP(AE719,DM_NV,2,0),"")</f>
        <v/>
      </c>
    </row>
    <row r="720">
      <c r="A720" s="51"/>
      <c r="B720" s="52" t="str">
        <f>IF(D720="","",VLOOKUP(D720,'THAM CHIẾU'!$A:$B,2,0))</f>
        <v>#N/A</v>
      </c>
      <c r="C720" s="53" t="str">
        <f t="shared" si="4"/>
        <v>04/2022</v>
      </c>
      <c r="D720" s="99">
        <v>44657.0</v>
      </c>
      <c r="E720" s="55" t="s">
        <v>762</v>
      </c>
      <c r="F720" s="56"/>
      <c r="G720" s="57" t="s">
        <v>200</v>
      </c>
      <c r="H720" s="58" t="str">
        <f>IF(G720="","",VLOOKUP($G720,'Quy chuẩn hạch toán'!$B:$E,2,0))</f>
        <v>154</v>
      </c>
      <c r="I720" s="58" t="str">
        <f>IF(H720="","",VLOOKUP($G720,'Quy chuẩn hạch toán'!$B:$E,3,0))</f>
        <v>3343</v>
      </c>
      <c r="J720" s="59">
        <v>1000000.0</v>
      </c>
      <c r="K720" s="60"/>
      <c r="L720" s="61"/>
      <c r="M720" s="62"/>
      <c r="N720" s="63"/>
      <c r="O720" s="64" t="str">
        <f>IF($Q720&lt;&gt;0,VLOOKUP($Q720,DM_KM,3,0),"")</f>
        <v>#N/A</v>
      </c>
      <c r="P720" s="64" t="str">
        <f>IF($Q720&lt;&gt;0,VLOOKUP($Q720,DM_KM,5,0),"")</f>
        <v>#N/A</v>
      </c>
      <c r="Q720" s="65" t="s">
        <v>201</v>
      </c>
      <c r="R720" s="64" t="str">
        <f>IF(S720&lt;&gt;0,VLOOKUP(S720,DM_DUAN,3,0),"")</f>
        <v>#N/A</v>
      </c>
      <c r="S720" s="66" t="str">
        <f>IF(U720&lt;&gt;0,VLOOKUP(U720,DM_DUAN,3,0),"")</f>
        <v>THANHNAM</v>
      </c>
      <c r="T720" s="64"/>
      <c r="U720" s="67" t="s">
        <v>530</v>
      </c>
      <c r="V720" s="64" t="str">
        <f>IF(W720&lt;&gt;0,VLOOKUP(W720,DM_DUAN,3,0),"")</f>
        <v>#N/A</v>
      </c>
      <c r="W720" s="83" t="s">
        <v>757</v>
      </c>
      <c r="X720" s="64" t="str">
        <f>IF(Y720&lt;&gt;0,VLOOKUP(Y720,DM_DUAN,3,0),"")</f>
        <v>#N/A</v>
      </c>
      <c r="Y720" s="69" t="s">
        <v>176</v>
      </c>
      <c r="Z720" s="64" t="str">
        <f>IF(AA720&lt;&gt;0,VLOOKUP(AA720,DM_DUAN,3,0),"")</f>
        <v>#N/A</v>
      </c>
      <c r="AA720" s="70" t="s">
        <v>183</v>
      </c>
      <c r="AB720" s="64" t="str">
        <f>IF(AC720&lt;&gt;0,VLOOKUP(AC720,DM_DUAN,3,0),"")</f>
        <v/>
      </c>
      <c r="AC720" s="85"/>
      <c r="AD720" s="64" t="str">
        <f>IF(AC720&lt;&gt;0,VLOOKUP(AC720,DM_NV,2,0),"")</f>
        <v/>
      </c>
      <c r="AE720" s="68"/>
      <c r="AF720" s="64" t="str">
        <f>IF(AE720&lt;&gt;0,VLOOKUP(AE720,DM_NV,2,0),"")</f>
        <v/>
      </c>
    </row>
    <row r="721">
      <c r="A721" s="51"/>
      <c r="B721" s="52" t="str">
        <f>IF(D721="","",VLOOKUP(D721,'THAM CHIẾU'!$A:$B,2,0))</f>
        <v>#N/A</v>
      </c>
      <c r="C721" s="53" t="str">
        <f t="shared" si="4"/>
        <v>04/2022</v>
      </c>
      <c r="D721" s="99">
        <v>44657.0</v>
      </c>
      <c r="E721" s="55" t="s">
        <v>763</v>
      </c>
      <c r="F721" s="56"/>
      <c r="G721" s="90"/>
      <c r="H721" s="58" t="str">
        <f>IF(G721="","",VLOOKUP($G721,'Quy chuẩn hạch toán'!$B:$E,2,0))</f>
        <v/>
      </c>
      <c r="I721" s="58" t="str">
        <f>IF(H721="","",VLOOKUP($G721,'Quy chuẩn hạch toán'!$B:$E,3,0))</f>
        <v/>
      </c>
      <c r="J721" s="59">
        <v>1.28E7</v>
      </c>
      <c r="K721" s="60"/>
      <c r="L721" s="61"/>
      <c r="M721" s="62"/>
      <c r="N721" s="63"/>
      <c r="O721" s="64" t="str">
        <f>IF($Q721&lt;&gt;0,VLOOKUP($Q721,DM_KM,3,0),"")</f>
        <v>#N/A</v>
      </c>
      <c r="P721" s="64" t="str">
        <f>IF($Q721&lt;&gt;0,VLOOKUP($Q721,DM_KM,5,0),"")</f>
        <v>#N/A</v>
      </c>
      <c r="Q721" s="65" t="s">
        <v>203</v>
      </c>
      <c r="R721" s="64" t="str">
        <f>IF(S721&lt;&gt;0,VLOOKUP(S721,DM_DUAN,3,0),"")</f>
        <v>#N/A</v>
      </c>
      <c r="S721" s="66" t="str">
        <f>IF(U721&lt;&gt;0,VLOOKUP(U721,DM_DUAN,3,0),"")</f>
        <v>THANHNAM</v>
      </c>
      <c r="T721" s="64"/>
      <c r="U721" s="67" t="s">
        <v>530</v>
      </c>
      <c r="V721" s="64" t="str">
        <f>IF(W721&lt;&gt;0,VLOOKUP(W721,DM_DUAN,3,0),"")</f>
        <v>#N/A</v>
      </c>
      <c r="W721" s="83" t="s">
        <v>757</v>
      </c>
      <c r="X721" s="64" t="str">
        <f>IF(Y721&lt;&gt;0,VLOOKUP(Y721,DM_DUAN,3,0),"")</f>
        <v>#N/A</v>
      </c>
      <c r="Y721" s="69" t="s">
        <v>176</v>
      </c>
      <c r="Z721" s="64" t="str">
        <f>IF(AA721&lt;&gt;0,VLOOKUP(AA721,DM_DUAN,3,0),"")</f>
        <v>#N/A</v>
      </c>
      <c r="AA721" s="70" t="s">
        <v>183</v>
      </c>
      <c r="AB721" s="64" t="str">
        <f>IF(AC721&lt;&gt;0,VLOOKUP(AC721,DM_DUAN,3,0),"")</f>
        <v/>
      </c>
      <c r="AC721" s="85"/>
      <c r="AD721" s="64" t="str">
        <f>IF(AC721&lt;&gt;0,VLOOKUP(AC721,DM_NV,2,0),"")</f>
        <v/>
      </c>
      <c r="AE721" s="68"/>
      <c r="AF721" s="64" t="str">
        <f>IF(AE721&lt;&gt;0,VLOOKUP(AE721,DM_NV,2,0),"")</f>
        <v/>
      </c>
    </row>
    <row r="722">
      <c r="A722" s="51"/>
      <c r="B722" s="52" t="str">
        <f>IF(D722="","",VLOOKUP(D722,'THAM CHIẾU'!$A:$B,2,0))</f>
        <v>#N/A</v>
      </c>
      <c r="C722" s="53" t="str">
        <f t="shared" si="4"/>
        <v>04/2022</v>
      </c>
      <c r="D722" s="99">
        <v>44657.0</v>
      </c>
      <c r="E722" s="55" t="s">
        <v>764</v>
      </c>
      <c r="F722" s="56"/>
      <c r="G722" s="57" t="s">
        <v>173</v>
      </c>
      <c r="H722" s="58" t="str">
        <f>IF(G722="","",VLOOKUP($G722,'Quy chuẩn hạch toán'!$B:$E,2,0))</f>
        <v>641</v>
      </c>
      <c r="I722" s="58" t="str">
        <f>IF(H722="","",VLOOKUP($G722,'Quy chuẩn hạch toán'!$B:$E,3,0))</f>
        <v>331</v>
      </c>
      <c r="J722" s="59">
        <v>1944000.0</v>
      </c>
      <c r="K722" s="60"/>
      <c r="L722" s="61"/>
      <c r="M722" s="62"/>
      <c r="N722" s="63"/>
      <c r="O722" s="64" t="str">
        <f>IF($Q722&lt;&gt;0,VLOOKUP($Q722,DM_KM,3,0),"")</f>
        <v>#N/A</v>
      </c>
      <c r="P722" s="64" t="str">
        <f>IF($Q722&lt;&gt;0,VLOOKUP($Q722,DM_KM,5,0),"")</f>
        <v>#N/A</v>
      </c>
      <c r="Q722" s="65" t="s">
        <v>174</v>
      </c>
      <c r="R722" s="64" t="str">
        <f>IF(S722&lt;&gt;0,VLOOKUP(S722,DM_DUAN,3,0),"")</f>
        <v>#N/A</v>
      </c>
      <c r="S722" s="66" t="str">
        <f>IF(U722&lt;&gt;0,VLOOKUP(U722,DM_DUAN,3,0),"")</f>
        <v>KIMCUONGLAND</v>
      </c>
      <c r="T722" s="64"/>
      <c r="U722" s="67" t="s">
        <v>638</v>
      </c>
      <c r="V722" s="64" t="str">
        <f>IF(W722&lt;&gt;0,VLOOKUP(W722,DM_DUAN,3,0),"")</f>
        <v/>
      </c>
      <c r="W722" s="68"/>
      <c r="X722" s="64" t="str">
        <f>IF(Y722&lt;&gt;0,VLOOKUP(Y722,DM_DUAN,3,0),"")</f>
        <v>#N/A</v>
      </c>
      <c r="Y722" s="69" t="s">
        <v>176</v>
      </c>
      <c r="Z722" s="64" t="str">
        <f>IF(AA722&lt;&gt;0,VLOOKUP(AA722,DM_DUAN,3,0),"")</f>
        <v>#N/A</v>
      </c>
      <c r="AA722" s="70" t="s">
        <v>177</v>
      </c>
      <c r="AB722" s="64" t="str">
        <f>IF(AC722&lt;&gt;0,VLOOKUP(AC722,DM_DUAN,3,0),"")</f>
        <v/>
      </c>
      <c r="AC722" s="85"/>
      <c r="AD722" s="64" t="str">
        <f>IF(AC722&lt;&gt;0,VLOOKUP(AC722,DM_NV,2,0),"")</f>
        <v/>
      </c>
      <c r="AE722" s="68"/>
      <c r="AF722" s="64" t="str">
        <f>IF(AE722&lt;&gt;0,VLOOKUP(AE722,DM_NV,2,0),"")</f>
        <v/>
      </c>
    </row>
    <row r="723">
      <c r="A723" s="51"/>
      <c r="B723" s="52" t="str">
        <f>IF(D723="","",VLOOKUP(D723,'THAM CHIẾU'!$A:$B,2,0))</f>
        <v>#N/A</v>
      </c>
      <c r="C723" s="53" t="str">
        <f t="shared" si="4"/>
        <v>04/2022</v>
      </c>
      <c r="D723" s="99">
        <v>44657.0</v>
      </c>
      <c r="E723" s="55" t="s">
        <v>765</v>
      </c>
      <c r="F723" s="56"/>
      <c r="G723" s="57" t="s">
        <v>173</v>
      </c>
      <c r="H723" s="58" t="str">
        <f>IF(G723="","",VLOOKUP($G723,'Quy chuẩn hạch toán'!$B:$E,2,0))</f>
        <v>641</v>
      </c>
      <c r="I723" s="58" t="str">
        <f>IF(H723="","",VLOOKUP($G723,'Quy chuẩn hạch toán'!$B:$E,3,0))</f>
        <v>331</v>
      </c>
      <c r="J723" s="59">
        <v>2716000.0</v>
      </c>
      <c r="K723" s="60"/>
      <c r="L723" s="61"/>
      <c r="M723" s="62"/>
      <c r="N723" s="63"/>
      <c r="O723" s="64" t="str">
        <f>IF($Q723&lt;&gt;0,VLOOKUP($Q723,DM_KM,3,0),"")</f>
        <v>#N/A</v>
      </c>
      <c r="P723" s="64" t="str">
        <f>IF($Q723&lt;&gt;0,VLOOKUP($Q723,DM_KM,5,0),"")</f>
        <v>#N/A</v>
      </c>
      <c r="Q723" s="65" t="s">
        <v>174</v>
      </c>
      <c r="R723" s="64" t="str">
        <f>IF(S723&lt;&gt;0,VLOOKUP(S723,DM_DUAN,3,0),"")</f>
        <v>#N/A</v>
      </c>
      <c r="S723" s="66" t="str">
        <f>IF(U723&lt;&gt;0,VLOOKUP(U723,DM_DUAN,3,0),"")</f>
        <v>KIMCUONGLAND</v>
      </c>
      <c r="T723" s="64"/>
      <c r="U723" s="67" t="s">
        <v>638</v>
      </c>
      <c r="V723" s="64" t="str">
        <f>IF(W723&lt;&gt;0,VLOOKUP(W723,DM_DUAN,3,0),"")</f>
        <v/>
      </c>
      <c r="W723" s="68"/>
      <c r="X723" s="64" t="str">
        <f>IF(Y723&lt;&gt;0,VLOOKUP(Y723,DM_DUAN,3,0),"")</f>
        <v>#N/A</v>
      </c>
      <c r="Y723" s="69" t="s">
        <v>176</v>
      </c>
      <c r="Z723" s="64" t="str">
        <f>IF(AA723&lt;&gt;0,VLOOKUP(AA723,DM_DUAN,3,0),"")</f>
        <v>#N/A</v>
      </c>
      <c r="AA723" s="70" t="s">
        <v>210</v>
      </c>
      <c r="AB723" s="64" t="str">
        <f>IF(AC723&lt;&gt;0,VLOOKUP(AC723,DM_DUAN,3,0),"")</f>
        <v/>
      </c>
      <c r="AC723" s="85"/>
      <c r="AD723" s="64" t="str">
        <f>IF(AC723&lt;&gt;0,VLOOKUP(AC723,DM_NV,2,0),"")</f>
        <v/>
      </c>
      <c r="AE723" s="68"/>
      <c r="AF723" s="64" t="str">
        <f>IF(AE723&lt;&gt;0,VLOOKUP(AE723,DM_NV,2,0),"")</f>
        <v/>
      </c>
    </row>
    <row r="724">
      <c r="A724" s="51"/>
      <c r="B724" s="52" t="str">
        <f>IF(D724="","",VLOOKUP(D724,'THAM CHIẾU'!$A:$B,2,0))</f>
        <v>#N/A</v>
      </c>
      <c r="C724" s="53" t="str">
        <f t="shared" si="4"/>
        <v>04/2022</v>
      </c>
      <c r="D724" s="99">
        <v>44657.0</v>
      </c>
      <c r="E724" s="55" t="s">
        <v>766</v>
      </c>
      <c r="F724" s="56"/>
      <c r="G724" s="57" t="s">
        <v>173</v>
      </c>
      <c r="H724" s="58" t="str">
        <f>IF(G724="","",VLOOKUP($G724,'Quy chuẩn hạch toán'!$B:$E,2,0))</f>
        <v>641</v>
      </c>
      <c r="I724" s="58" t="str">
        <f>IF(H724="","",VLOOKUP($G724,'Quy chuẩn hạch toán'!$B:$E,3,0))</f>
        <v>331</v>
      </c>
      <c r="J724" s="59">
        <v>2916000.0</v>
      </c>
      <c r="K724" s="60"/>
      <c r="L724" s="61"/>
      <c r="M724" s="62"/>
      <c r="N724" s="63"/>
      <c r="O724" s="64" t="str">
        <f>IF($Q724&lt;&gt;0,VLOOKUP($Q724,DM_KM,3,0),"")</f>
        <v>#N/A</v>
      </c>
      <c r="P724" s="64" t="str">
        <f>IF($Q724&lt;&gt;0,VLOOKUP($Q724,DM_KM,5,0),"")</f>
        <v>#N/A</v>
      </c>
      <c r="Q724" s="65" t="s">
        <v>174</v>
      </c>
      <c r="R724" s="64" t="str">
        <f>IF(S724&lt;&gt;0,VLOOKUP(S724,DM_DUAN,3,0),"")</f>
        <v>#N/A</v>
      </c>
      <c r="S724" s="66" t="str">
        <f>IF(U724&lt;&gt;0,VLOOKUP(U724,DM_DUAN,3,0),"")</f>
        <v>KIMCUONGLAND</v>
      </c>
      <c r="T724" s="64"/>
      <c r="U724" s="67" t="s">
        <v>638</v>
      </c>
      <c r="V724" s="64" t="str">
        <f>IF(W724&lt;&gt;0,VLOOKUP(W724,DM_DUAN,3,0),"")</f>
        <v/>
      </c>
      <c r="W724" s="68"/>
      <c r="X724" s="64" t="str">
        <f>IF(Y724&lt;&gt;0,VLOOKUP(Y724,DM_DUAN,3,0),"")</f>
        <v>#N/A</v>
      </c>
      <c r="Y724" s="69" t="s">
        <v>176</v>
      </c>
      <c r="Z724" s="64" t="str">
        <f>IF(AA724&lt;&gt;0,VLOOKUP(AA724,DM_DUAN,3,0),"")</f>
        <v>#N/A</v>
      </c>
      <c r="AA724" s="70" t="s">
        <v>177</v>
      </c>
      <c r="AB724" s="64" t="str">
        <f>IF(AC724&lt;&gt;0,VLOOKUP(AC724,DM_DUAN,3,0),"")</f>
        <v/>
      </c>
      <c r="AC724" s="85"/>
      <c r="AD724" s="64" t="str">
        <f>IF(AC724&lt;&gt;0,VLOOKUP(AC724,DM_NV,2,0),"")</f>
        <v/>
      </c>
      <c r="AE724" s="68"/>
      <c r="AF724" s="64" t="str">
        <f>IF(AE724&lt;&gt;0,VLOOKUP(AE724,DM_NV,2,0),"")</f>
        <v/>
      </c>
    </row>
    <row r="725">
      <c r="A725" s="51"/>
      <c r="B725" s="52" t="str">
        <f>IF(D725="","",VLOOKUP(D725,'THAM CHIẾU'!$A:$B,2,0))</f>
        <v>#N/A</v>
      </c>
      <c r="C725" s="53" t="str">
        <f t="shared" si="4"/>
        <v>04/2022</v>
      </c>
      <c r="D725" s="99">
        <v>44658.0</v>
      </c>
      <c r="E725" s="55" t="s">
        <v>767</v>
      </c>
      <c r="F725" s="56"/>
      <c r="G725" s="57" t="s">
        <v>205</v>
      </c>
      <c r="H725" s="58" t="str">
        <f>IF(G725="","",VLOOKUP($G725,'Quy chuẩn hạch toán'!$B:$E,2,0))</f>
        <v>642</v>
      </c>
      <c r="I725" s="58" t="str">
        <f>IF(H725="","",VLOOKUP($G725,'Quy chuẩn hạch toán'!$B:$E,3,0))</f>
        <v>1111</v>
      </c>
      <c r="J725" s="59">
        <v>61263.0</v>
      </c>
      <c r="K725" s="60"/>
      <c r="L725" s="61"/>
      <c r="M725" s="62"/>
      <c r="N725" s="63"/>
      <c r="O725" s="64" t="str">
        <f>IF($Q725&lt;&gt;0,VLOOKUP($Q725,DM_KM,3,0),"")</f>
        <v>#N/A</v>
      </c>
      <c r="P725" s="64" t="str">
        <f>IF($Q725&lt;&gt;0,VLOOKUP($Q725,DM_KM,5,0),"")</f>
        <v>#N/A</v>
      </c>
      <c r="Q725" s="65" t="s">
        <v>262</v>
      </c>
      <c r="R725" s="64" t="str">
        <f>IF(S725&lt;&gt;0,VLOOKUP(S725,DM_DUAN,3,0),"")</f>
        <v>#N/A</v>
      </c>
      <c r="S725" s="66" t="str">
        <f>IF(U725&lt;&gt;0,VLOOKUP(U725,DM_DUAN,3,0),"")</f>
        <v/>
      </c>
      <c r="T725" s="64"/>
      <c r="U725" s="93"/>
      <c r="V725" s="64" t="str">
        <f>IF(W725&lt;&gt;0,VLOOKUP(W725,DM_DUAN,3,0),"")</f>
        <v/>
      </c>
      <c r="W725" s="68"/>
      <c r="X725" s="64" t="str">
        <f>IF(Y725&lt;&gt;0,VLOOKUP(Y725,DM_DUAN,3,0),"")</f>
        <v>#N/A</v>
      </c>
      <c r="Y725" s="69" t="s">
        <v>207</v>
      </c>
      <c r="Z725" s="64" t="str">
        <f>IF(AA725&lt;&gt;0,VLOOKUP(AA725,DM_DUAN,3,0),"")</f>
        <v>#N/A</v>
      </c>
      <c r="AA725" s="70" t="s">
        <v>705</v>
      </c>
      <c r="AB725" s="64" t="str">
        <f>IF(AC725&lt;&gt;0,VLOOKUP(AC725,DM_DUAN,3,0),"")</f>
        <v/>
      </c>
      <c r="AC725" s="85"/>
      <c r="AD725" s="64" t="str">
        <f>IF(AC725&lt;&gt;0,VLOOKUP(AC725,DM_NV,2,0),"")</f>
        <v/>
      </c>
      <c r="AE725" s="83" t="s">
        <v>378</v>
      </c>
      <c r="AF725" s="64" t="str">
        <f>IF(AE725&lt;&gt;0,VLOOKUP(AE725,DM_NV,2,0),"")</f>
        <v>#N/A</v>
      </c>
    </row>
    <row r="726">
      <c r="A726" s="51"/>
      <c r="B726" s="52" t="str">
        <f>IF(D726="","",VLOOKUP(D726,'THAM CHIẾU'!$A:$B,2,0))</f>
        <v>#N/A</v>
      </c>
      <c r="C726" s="53" t="str">
        <f t="shared" si="4"/>
        <v>04/2022</v>
      </c>
      <c r="D726" s="99">
        <v>44658.0</v>
      </c>
      <c r="E726" s="55" t="s">
        <v>767</v>
      </c>
      <c r="F726" s="56"/>
      <c r="G726" s="57" t="s">
        <v>205</v>
      </c>
      <c r="H726" s="58" t="str">
        <f>IF(G726="","",VLOOKUP($G726,'Quy chuẩn hạch toán'!$B:$E,2,0))</f>
        <v>642</v>
      </c>
      <c r="I726" s="58" t="str">
        <f>IF(H726="","",VLOOKUP($G726,'Quy chuẩn hạch toán'!$B:$E,3,0))</f>
        <v>1111</v>
      </c>
      <c r="J726" s="59">
        <v>122526.0</v>
      </c>
      <c r="K726" s="60"/>
      <c r="L726" s="61"/>
      <c r="M726" s="62"/>
      <c r="N726" s="63"/>
      <c r="O726" s="64" t="str">
        <f>IF($Q726&lt;&gt;0,VLOOKUP($Q726,DM_KM,3,0),"")</f>
        <v>#N/A</v>
      </c>
      <c r="P726" s="64" t="str">
        <f>IF($Q726&lt;&gt;0,VLOOKUP($Q726,DM_KM,5,0),"")</f>
        <v>#N/A</v>
      </c>
      <c r="Q726" s="65" t="s">
        <v>262</v>
      </c>
      <c r="R726" s="64" t="str">
        <f>IF(S726&lt;&gt;0,VLOOKUP(S726,DM_DUAN,3,0),"")</f>
        <v>#N/A</v>
      </c>
      <c r="S726" s="66" t="str">
        <f>IF(U726&lt;&gt;0,VLOOKUP(U726,DM_DUAN,3,0),"")</f>
        <v/>
      </c>
      <c r="T726" s="64"/>
      <c r="U726" s="93"/>
      <c r="V726" s="64" t="str">
        <f>IF(W726&lt;&gt;0,VLOOKUP(W726,DM_DUAN,3,0),"")</f>
        <v/>
      </c>
      <c r="W726" s="68"/>
      <c r="X726" s="64" t="str">
        <f>IF(Y726&lt;&gt;0,VLOOKUP(Y726,DM_DUAN,3,0),"")</f>
        <v>#N/A</v>
      </c>
      <c r="Y726" s="69" t="s">
        <v>207</v>
      </c>
      <c r="Z726" s="64" t="str">
        <f>IF(AA726&lt;&gt;0,VLOOKUP(AA726,DM_DUAN,3,0),"")</f>
        <v>#N/A</v>
      </c>
      <c r="AA726" s="70" t="s">
        <v>183</v>
      </c>
      <c r="AB726" s="64" t="str">
        <f>IF(AC726&lt;&gt;0,VLOOKUP(AC726,DM_DUAN,3,0),"")</f>
        <v/>
      </c>
      <c r="AC726" s="85"/>
      <c r="AD726" s="64" t="str">
        <f>IF(AC726&lt;&gt;0,VLOOKUP(AC726,DM_NV,2,0),"")</f>
        <v/>
      </c>
      <c r="AE726" s="83" t="s">
        <v>378</v>
      </c>
      <c r="AF726" s="64" t="str">
        <f>IF(AE726&lt;&gt;0,VLOOKUP(AE726,DM_NV,2,0),"")</f>
        <v>#N/A</v>
      </c>
    </row>
    <row r="727">
      <c r="A727" s="51"/>
      <c r="B727" s="52" t="str">
        <f>IF(D727="","",VLOOKUP(D727,'THAM CHIẾU'!$A:$B,2,0))</f>
        <v>#N/A</v>
      </c>
      <c r="C727" s="53" t="str">
        <f t="shared" si="4"/>
        <v>04/2022</v>
      </c>
      <c r="D727" s="99">
        <v>44658.0</v>
      </c>
      <c r="E727" s="55" t="s">
        <v>767</v>
      </c>
      <c r="F727" s="56"/>
      <c r="G727" s="57" t="s">
        <v>205</v>
      </c>
      <c r="H727" s="58" t="str">
        <f>IF(G727="","",VLOOKUP($G727,'Quy chuẩn hạch toán'!$B:$E,2,0))</f>
        <v>642</v>
      </c>
      <c r="I727" s="58" t="str">
        <f>IF(H727="","",VLOOKUP($G727,'Quy chuẩn hạch toán'!$B:$E,3,0))</f>
        <v>1111</v>
      </c>
      <c r="J727" s="59">
        <v>45947.0</v>
      </c>
      <c r="K727" s="60"/>
      <c r="L727" s="61"/>
      <c r="M727" s="62"/>
      <c r="N727" s="63"/>
      <c r="O727" s="64" t="str">
        <f>IF($Q727&lt;&gt;0,VLOOKUP($Q727,DM_KM,3,0),"")</f>
        <v>#N/A</v>
      </c>
      <c r="P727" s="64" t="str">
        <f>IF($Q727&lt;&gt;0,VLOOKUP($Q727,DM_KM,5,0),"")</f>
        <v>#N/A</v>
      </c>
      <c r="Q727" s="65" t="s">
        <v>262</v>
      </c>
      <c r="R727" s="64" t="str">
        <f>IF(S727&lt;&gt;0,VLOOKUP(S727,DM_DUAN,3,0),"")</f>
        <v>#N/A</v>
      </c>
      <c r="S727" s="66" t="str">
        <f>IF(U727&lt;&gt;0,VLOOKUP(U727,DM_DUAN,3,0),"")</f>
        <v/>
      </c>
      <c r="T727" s="64"/>
      <c r="U727" s="93"/>
      <c r="V727" s="64" t="str">
        <f>IF(W727&lt;&gt;0,VLOOKUP(W727,DM_DUAN,3,0),"")</f>
        <v/>
      </c>
      <c r="W727" s="68"/>
      <c r="X727" s="64" t="str">
        <f>IF(Y727&lt;&gt;0,VLOOKUP(Y727,DM_DUAN,3,0),"")</f>
        <v>#N/A</v>
      </c>
      <c r="Y727" s="69" t="s">
        <v>207</v>
      </c>
      <c r="Z727" s="64" t="str">
        <f>IF(AA727&lt;&gt;0,VLOOKUP(AA727,DM_DUAN,3,0),"")</f>
        <v>#N/A</v>
      </c>
      <c r="AA727" s="70" t="s">
        <v>177</v>
      </c>
      <c r="AB727" s="64" t="str">
        <f>IF(AC727&lt;&gt;0,VLOOKUP(AC727,DM_DUAN,3,0),"")</f>
        <v/>
      </c>
      <c r="AC727" s="85"/>
      <c r="AD727" s="64" t="str">
        <f>IF(AC727&lt;&gt;0,VLOOKUP(AC727,DM_NV,2,0),"")</f>
        <v/>
      </c>
      <c r="AE727" s="83" t="s">
        <v>378</v>
      </c>
      <c r="AF727" s="64" t="str">
        <f>IF(AE727&lt;&gt;0,VLOOKUP(AE727,DM_NV,2,0),"")</f>
        <v>#N/A</v>
      </c>
    </row>
    <row r="728">
      <c r="A728" s="51"/>
      <c r="B728" s="52" t="str">
        <f>IF(D728="","",VLOOKUP(D728,'THAM CHIẾU'!$A:$B,2,0))</f>
        <v>#N/A</v>
      </c>
      <c r="C728" s="53" t="str">
        <f t="shared" si="4"/>
        <v>04/2022</v>
      </c>
      <c r="D728" s="99">
        <v>44658.0</v>
      </c>
      <c r="E728" s="55" t="s">
        <v>767</v>
      </c>
      <c r="F728" s="56"/>
      <c r="G728" s="57" t="s">
        <v>205</v>
      </c>
      <c r="H728" s="58" t="str">
        <f>IF(G728="","",VLOOKUP($G728,'Quy chuẩn hạch toán'!$B:$E,2,0))</f>
        <v>642</v>
      </c>
      <c r="I728" s="58" t="str">
        <f>IF(H728="","",VLOOKUP($G728,'Quy chuẩn hạch toán'!$B:$E,3,0))</f>
        <v>1111</v>
      </c>
      <c r="J728" s="59">
        <v>61263.0</v>
      </c>
      <c r="K728" s="60"/>
      <c r="L728" s="61"/>
      <c r="M728" s="62"/>
      <c r="N728" s="63"/>
      <c r="O728" s="64" t="str">
        <f>IF($Q728&lt;&gt;0,VLOOKUP($Q728,DM_KM,3,0),"")</f>
        <v>#N/A</v>
      </c>
      <c r="P728" s="64" t="str">
        <f>IF($Q728&lt;&gt;0,VLOOKUP($Q728,DM_KM,5,0),"")</f>
        <v>#N/A</v>
      </c>
      <c r="Q728" s="65" t="s">
        <v>262</v>
      </c>
      <c r="R728" s="64" t="str">
        <f>IF(S728&lt;&gt;0,VLOOKUP(S728,DM_DUAN,3,0),"")</f>
        <v>#N/A</v>
      </c>
      <c r="S728" s="66" t="str">
        <f>IF(U728&lt;&gt;0,VLOOKUP(U728,DM_DUAN,3,0),"")</f>
        <v/>
      </c>
      <c r="T728" s="64"/>
      <c r="U728" s="67"/>
      <c r="V728" s="64" t="str">
        <f>IF(W728&lt;&gt;0,VLOOKUP(W728,DM_DUAN,3,0),"")</f>
        <v/>
      </c>
      <c r="W728" s="68"/>
      <c r="X728" s="64" t="str">
        <f>IF(Y728&lt;&gt;0,VLOOKUP(Y728,DM_DUAN,3,0),"")</f>
        <v>#N/A</v>
      </c>
      <c r="Y728" s="69" t="s">
        <v>207</v>
      </c>
      <c r="Z728" s="64" t="str">
        <f>IF(AA728&lt;&gt;0,VLOOKUP(AA728,DM_DUAN,3,0),"")</f>
        <v>#N/A</v>
      </c>
      <c r="AA728" s="70" t="s">
        <v>210</v>
      </c>
      <c r="AB728" s="64" t="str">
        <f>IF(AC728&lt;&gt;0,VLOOKUP(AC728,DM_DUAN,3,0),"")</f>
        <v/>
      </c>
      <c r="AC728" s="85"/>
      <c r="AD728" s="64" t="str">
        <f>IF(AC728&lt;&gt;0,VLOOKUP(AC728,DM_NV,2,0),"")</f>
        <v/>
      </c>
      <c r="AE728" s="83" t="s">
        <v>378</v>
      </c>
      <c r="AF728" s="64" t="str">
        <f>IF(AE728&lt;&gt;0,VLOOKUP(AE728,DM_NV,2,0),"")</f>
        <v>#N/A</v>
      </c>
    </row>
    <row r="729">
      <c r="A729" s="51"/>
      <c r="B729" s="52" t="str">
        <f>IF(D729="","",VLOOKUP(D729,'THAM CHIẾU'!$A:$B,2,0))</f>
        <v>#N/A</v>
      </c>
      <c r="C729" s="53" t="str">
        <f t="shared" si="4"/>
        <v>04/2022</v>
      </c>
      <c r="D729" s="99">
        <v>44658.0</v>
      </c>
      <c r="E729" s="55" t="s">
        <v>768</v>
      </c>
      <c r="F729" s="56"/>
      <c r="G729" s="57" t="s">
        <v>173</v>
      </c>
      <c r="H729" s="58" t="str">
        <f>IF(G729="","",VLOOKUP($G729,'Quy chuẩn hạch toán'!$B:$E,2,0))</f>
        <v>641</v>
      </c>
      <c r="I729" s="58" t="str">
        <f>IF(H729="","",VLOOKUP($G729,'Quy chuẩn hạch toán'!$B:$E,3,0))</f>
        <v>331</v>
      </c>
      <c r="J729" s="59">
        <v>1944000.0</v>
      </c>
      <c r="K729" s="60"/>
      <c r="L729" s="61"/>
      <c r="M729" s="62"/>
      <c r="N729" s="63"/>
      <c r="O729" s="64" t="str">
        <f>IF($Q729&lt;&gt;0,VLOOKUP($Q729,DM_KM,3,0),"")</f>
        <v>#N/A</v>
      </c>
      <c r="P729" s="64" t="str">
        <f>IF($Q729&lt;&gt;0,VLOOKUP($Q729,DM_KM,5,0),"")</f>
        <v>#N/A</v>
      </c>
      <c r="Q729" s="65" t="s">
        <v>174</v>
      </c>
      <c r="R729" s="64" t="str">
        <f>IF(S729&lt;&gt;0,VLOOKUP(S729,DM_DUAN,3,0),"")</f>
        <v>#N/A</v>
      </c>
      <c r="S729" s="66" t="str">
        <f>IF(U729&lt;&gt;0,VLOOKUP(U729,DM_DUAN,3,0),"")</f>
        <v>NAMSAIGON</v>
      </c>
      <c r="T729" s="64"/>
      <c r="U729" s="67" t="s">
        <v>215</v>
      </c>
      <c r="V729" s="64" t="str">
        <f>IF(W729&lt;&gt;0,VLOOKUP(W729,DM_DUAN,3,0),"")</f>
        <v/>
      </c>
      <c r="W729" s="68"/>
      <c r="X729" s="64" t="str">
        <f>IF(Y729&lt;&gt;0,VLOOKUP(Y729,DM_DUAN,3,0),"")</f>
        <v>#N/A</v>
      </c>
      <c r="Y729" s="69" t="s">
        <v>176</v>
      </c>
      <c r="Z729" s="64" t="str">
        <f>IF(AA729&lt;&gt;0,VLOOKUP(AA729,DM_DUAN,3,0),"")</f>
        <v>#N/A</v>
      </c>
      <c r="AA729" s="70" t="s">
        <v>177</v>
      </c>
      <c r="AB729" s="64" t="str">
        <f>IF(AC729&lt;&gt;0,VLOOKUP(AC729,DM_DUAN,3,0),"")</f>
        <v/>
      </c>
      <c r="AC729" s="85"/>
      <c r="AD729" s="64" t="str">
        <f>IF(AC729&lt;&gt;0,VLOOKUP(AC729,DM_NV,2,0),"")</f>
        <v/>
      </c>
      <c r="AE729" s="68"/>
      <c r="AF729" s="64" t="str">
        <f>IF(AE729&lt;&gt;0,VLOOKUP(AE729,DM_NV,2,0),"")</f>
        <v/>
      </c>
    </row>
    <row r="730">
      <c r="A730" s="51"/>
      <c r="B730" s="52" t="str">
        <f>IF(D730="","",VLOOKUP(D730,'THAM CHIẾU'!$A:$B,2,0))</f>
        <v>#N/A</v>
      </c>
      <c r="C730" s="53" t="str">
        <f t="shared" si="4"/>
        <v>04/2022</v>
      </c>
      <c r="D730" s="99">
        <v>44658.0</v>
      </c>
      <c r="E730" s="55" t="s">
        <v>769</v>
      </c>
      <c r="F730" s="56"/>
      <c r="G730" s="57" t="s">
        <v>173</v>
      </c>
      <c r="H730" s="58" t="str">
        <f>IF(G730="","",VLOOKUP($G730,'Quy chuẩn hạch toán'!$B:$E,2,0))</f>
        <v>641</v>
      </c>
      <c r="I730" s="58" t="str">
        <f>IF(H730="","",VLOOKUP($G730,'Quy chuẩn hạch toán'!$B:$E,3,0))</f>
        <v>331</v>
      </c>
      <c r="J730" s="59">
        <v>2896000.0</v>
      </c>
      <c r="K730" s="60"/>
      <c r="L730" s="61"/>
      <c r="M730" s="62"/>
      <c r="N730" s="63"/>
      <c r="O730" s="64" t="str">
        <f>IF($Q730&lt;&gt;0,VLOOKUP($Q730,DM_KM,3,0),"")</f>
        <v>#N/A</v>
      </c>
      <c r="P730" s="64" t="str">
        <f>IF($Q730&lt;&gt;0,VLOOKUP($Q730,DM_KM,5,0),"")</f>
        <v>#N/A</v>
      </c>
      <c r="Q730" s="65" t="s">
        <v>174</v>
      </c>
      <c r="R730" s="64" t="str">
        <f>IF(S730&lt;&gt;0,VLOOKUP(S730,DM_DUAN,3,0),"")</f>
        <v>#N/A</v>
      </c>
      <c r="S730" s="66" t="str">
        <f>IF(U730&lt;&gt;0,VLOOKUP(U730,DM_DUAN,3,0),"")</f>
        <v>THANHNAM</v>
      </c>
      <c r="T730" s="64"/>
      <c r="U730" s="67" t="s">
        <v>530</v>
      </c>
      <c r="V730" s="64" t="str">
        <f>IF(W730&lt;&gt;0,VLOOKUP(W730,DM_DUAN,3,0),"")</f>
        <v/>
      </c>
      <c r="W730" s="68"/>
      <c r="X730" s="64" t="str">
        <f>IF(Y730&lt;&gt;0,VLOOKUP(Y730,DM_DUAN,3,0),"")</f>
        <v>#N/A</v>
      </c>
      <c r="Y730" s="69" t="s">
        <v>176</v>
      </c>
      <c r="Z730" s="64" t="str">
        <f>IF(AA730&lt;&gt;0,VLOOKUP(AA730,DM_DUAN,3,0),"")</f>
        <v>#N/A</v>
      </c>
      <c r="AA730" s="70" t="s">
        <v>210</v>
      </c>
      <c r="AB730" s="64" t="str">
        <f>IF(AC730&lt;&gt;0,VLOOKUP(AC730,DM_DUAN,3,0),"")</f>
        <v/>
      </c>
      <c r="AC730" s="85"/>
      <c r="AD730" s="64" t="str">
        <f>IF(AC730&lt;&gt;0,VLOOKUP(AC730,DM_NV,2,0),"")</f>
        <v/>
      </c>
      <c r="AE730" s="68"/>
      <c r="AF730" s="64" t="str">
        <f>IF(AE730&lt;&gt;0,VLOOKUP(AE730,DM_NV,2,0),"")</f>
        <v/>
      </c>
    </row>
    <row r="731">
      <c r="A731" s="51"/>
      <c r="B731" s="52" t="str">
        <f>IF(D731="","",VLOOKUP(D731,'THAM CHIẾU'!$A:$B,2,0))</f>
        <v>#N/A</v>
      </c>
      <c r="C731" s="53" t="str">
        <f t="shared" si="4"/>
        <v>04/2022</v>
      </c>
      <c r="D731" s="99">
        <v>44659.0</v>
      </c>
      <c r="E731" s="55" t="s">
        <v>770</v>
      </c>
      <c r="F731" s="56"/>
      <c r="G731" s="57" t="s">
        <v>197</v>
      </c>
      <c r="H731" s="58" t="str">
        <f>IF(G731="","",VLOOKUP($G731,'Quy chuẩn hạch toán'!$B:$E,2,0))</f>
        <v>#N/A</v>
      </c>
      <c r="I731" s="58" t="str">
        <f>IF(H731="","",VLOOKUP($G731,'Quy chuẩn hạch toán'!$B:$E,3,0))</f>
        <v>#N/A</v>
      </c>
      <c r="J731" s="59">
        <v>4.9E8</v>
      </c>
      <c r="K731" s="60"/>
      <c r="L731" s="61"/>
      <c r="M731" s="62"/>
      <c r="N731" s="63"/>
      <c r="O731" s="64" t="str">
        <f>IF($Q731&lt;&gt;0,VLOOKUP($Q731,DM_KM,3,0),"")</f>
        <v>#N/A</v>
      </c>
      <c r="P731" s="64" t="str">
        <f>IF($Q731&lt;&gt;0,VLOOKUP($Q731,DM_KM,5,0),"")</f>
        <v>#N/A</v>
      </c>
      <c r="Q731" s="65" t="s">
        <v>198</v>
      </c>
      <c r="R731" s="64" t="str">
        <f>IF(S731&lt;&gt;0,VLOOKUP(S731,DM_DUAN,3,0),"")</f>
        <v>#N/A</v>
      </c>
      <c r="S731" s="66" t="str">
        <f>IF(U731&lt;&gt;0,VLOOKUP(U731,DM_DUAN,3,0),"")</f>
        <v>KIMCUONGLAND</v>
      </c>
      <c r="T731" s="64"/>
      <c r="U731" s="67" t="s">
        <v>638</v>
      </c>
      <c r="V731" s="64" t="str">
        <f>IF(W731&lt;&gt;0,VLOOKUP(W731,DM_DUAN,3,0),"")</f>
        <v>#N/A</v>
      </c>
      <c r="W731" s="83" t="s">
        <v>771</v>
      </c>
      <c r="X731" s="64" t="str">
        <f>IF(Y731&lt;&gt;0,VLOOKUP(Y731,DM_DUAN,3,0),"")</f>
        <v>#N/A</v>
      </c>
      <c r="Y731" s="69" t="s">
        <v>176</v>
      </c>
      <c r="Z731" s="64" t="str">
        <f>IF(AA731&lt;&gt;0,VLOOKUP(AA731,DM_DUAN,3,0),"")</f>
        <v>#N/A</v>
      </c>
      <c r="AA731" s="70" t="s">
        <v>705</v>
      </c>
      <c r="AB731" s="64" t="str">
        <f>IF(AC731&lt;&gt;0,VLOOKUP(AC731,DM_DUAN,3,0),"")</f>
        <v>#N/A</v>
      </c>
      <c r="AC731" s="70" t="s">
        <v>772</v>
      </c>
      <c r="AD731" s="64" t="str">
        <f>IF(AC731&lt;&gt;0,VLOOKUP(AC731,DM_NV,2,0),"")</f>
        <v>Phan Tấn Đạt</v>
      </c>
      <c r="AE731" s="68"/>
      <c r="AF731" s="64" t="str">
        <f>IF(AE731&lt;&gt;0,VLOOKUP(AE731,DM_NV,2,0),"")</f>
        <v/>
      </c>
    </row>
    <row r="732">
      <c r="A732" s="51"/>
      <c r="B732" s="52" t="str">
        <f>IF(D732="","",VLOOKUP(D732,'THAM CHIẾU'!$A:$B,2,0))</f>
        <v/>
      </c>
      <c r="C732" s="53" t="str">
        <f t="shared" si="4"/>
        <v/>
      </c>
      <c r="D732" s="99"/>
      <c r="E732" s="55"/>
      <c r="F732" s="56"/>
      <c r="G732" s="57"/>
      <c r="H732" s="58" t="str">
        <f>IF(G732="","",VLOOKUP($G732,'Quy chuẩn hạch toán'!$B:$E,2,0))</f>
        <v/>
      </c>
      <c r="I732" s="58" t="str">
        <f>IF(H732="","",VLOOKUP($G732,'Quy chuẩn hạch toán'!$B:$E,3,0))</f>
        <v/>
      </c>
      <c r="J732" s="59"/>
      <c r="K732" s="60"/>
      <c r="L732" s="61"/>
      <c r="M732" s="62"/>
      <c r="N732" s="63"/>
      <c r="O732" s="64"/>
      <c r="P732" s="64"/>
      <c r="Q732" s="65"/>
      <c r="R732" s="64" t="str">
        <f>IF(S732&lt;&gt;0,VLOOKUP(S732,DM_DUAN,3,0),"")</f>
        <v>#N/A</v>
      </c>
      <c r="S732" s="66" t="str">
        <f>IF(U732&lt;&gt;0,VLOOKUP(U732,DM_DUAN,3,0),"")</f>
        <v/>
      </c>
      <c r="T732" s="64"/>
      <c r="U732" s="67"/>
      <c r="V732" s="64" t="str">
        <f>IF(W732&lt;&gt;0,VLOOKUP(W732,DM_DUAN,3,0),"")</f>
        <v/>
      </c>
      <c r="W732" s="83"/>
      <c r="X732" s="64" t="str">
        <f>IF(Y732&lt;&gt;0,VLOOKUP(Y732,DM_DUAN,3,0),"")</f>
        <v/>
      </c>
      <c r="Y732" s="69"/>
      <c r="Z732" s="64" t="str">
        <f>IF(AA732&lt;&gt;0,VLOOKUP(AA732,DM_DUAN,3,0),"")</f>
        <v/>
      </c>
      <c r="AA732" s="70"/>
      <c r="AB732" s="64" t="str">
        <f>IF(AC732&lt;&gt;0,VLOOKUP(AC732,DM_DUAN,3,0),"")</f>
        <v/>
      </c>
      <c r="AC732" s="85"/>
      <c r="AD732" s="64" t="str">
        <f>IF(AC732&lt;&gt;0,VLOOKUP(AC732,DM_NV,2,0),"")</f>
        <v/>
      </c>
      <c r="AE732" s="68"/>
      <c r="AF732" s="64" t="str">
        <f>IF(AE732&lt;&gt;0,VLOOKUP(AE732,DM_NV,2,0),"")</f>
        <v/>
      </c>
    </row>
    <row r="733">
      <c r="A733" s="51"/>
      <c r="B733" s="52" t="str">
        <f>IF(D733="","",VLOOKUP(D733,'THAM CHIẾU'!$A:$B,2,0))</f>
        <v>#N/A</v>
      </c>
      <c r="C733" s="53" t="str">
        <f t="shared" si="4"/>
        <v>04/2022</v>
      </c>
      <c r="D733" s="99">
        <v>44659.0</v>
      </c>
      <c r="E733" s="55" t="s">
        <v>773</v>
      </c>
      <c r="F733" s="56"/>
      <c r="G733" s="57" t="s">
        <v>186</v>
      </c>
      <c r="H733" s="58" t="str">
        <f>IF(G733="","",VLOOKUP($G733,'Quy chuẩn hạch toán'!$B:$E,2,0))</f>
        <v>131</v>
      </c>
      <c r="I733" s="58" t="str">
        <f>IF(H733="","",VLOOKUP($G733,'Quy chuẩn hạch toán'!$B:$E,3,0))</f>
        <v>5113</v>
      </c>
      <c r="J733" s="59">
        <v>9.8E7</v>
      </c>
      <c r="K733" s="60"/>
      <c r="L733" s="61"/>
      <c r="M733" s="62"/>
      <c r="N733" s="63"/>
      <c r="O733" s="64" t="str">
        <f>IF($Q733&lt;&gt;0,VLOOKUP($Q733,DM_KM,3,0),"")</f>
        <v>511_TK</v>
      </c>
      <c r="P733" s="64">
        <f>IF($Q733&lt;&gt;0,VLOOKUP($Q733,DM_KM,5,0),"")</f>
        <v>511</v>
      </c>
      <c r="Q733" s="65" t="s">
        <v>187</v>
      </c>
      <c r="R733" s="64" t="str">
        <f>IF(S733&lt;&gt;0,VLOOKUP(S733,DM_DUAN,3,0),"")</f>
        <v>#N/A</v>
      </c>
      <c r="S733" s="66" t="str">
        <f>IF(U733&lt;&gt;0,VLOOKUP(U733,DM_DUAN,3,0),"")</f>
        <v>KIMCUONGLAND</v>
      </c>
      <c r="T733" s="64"/>
      <c r="U733" s="67" t="s">
        <v>638</v>
      </c>
      <c r="V733" s="64" t="str">
        <f>IF(W733&lt;&gt;0,VLOOKUP(W733,DM_DUAN,3,0),"")</f>
        <v>#N/A</v>
      </c>
      <c r="W733" s="83" t="s">
        <v>771</v>
      </c>
      <c r="X733" s="64" t="str">
        <f>IF(Y733&lt;&gt;0,VLOOKUP(Y733,DM_DUAN,3,0),"")</f>
        <v>#N/A</v>
      </c>
      <c r="Y733" s="69" t="s">
        <v>176</v>
      </c>
      <c r="Z733" s="64" t="str">
        <f>IF(AA733&lt;&gt;0,VLOOKUP(AA733,DM_DUAN,3,0),"")</f>
        <v>#N/A</v>
      </c>
      <c r="AA733" s="70" t="s">
        <v>705</v>
      </c>
      <c r="AB733" s="64" t="str">
        <f>IF(AC733&lt;&gt;0,VLOOKUP(AC733,DM_DUAN,3,0),"")</f>
        <v/>
      </c>
      <c r="AC733" s="85"/>
      <c r="AD733" s="64" t="str">
        <f>IF(AC733&lt;&gt;0,VLOOKUP(AC733,DM_NV,2,0),"")</f>
        <v/>
      </c>
      <c r="AE733" s="68"/>
      <c r="AF733" s="64" t="str">
        <f>IF(AE733&lt;&gt;0,VLOOKUP(AE733,DM_NV,2,0),"")</f>
        <v/>
      </c>
    </row>
    <row r="734">
      <c r="A734" s="51"/>
      <c r="B734" s="52" t="str">
        <f>IF(D734="","",VLOOKUP(D734,'THAM CHIẾU'!$A:$B,2,0))</f>
        <v>#N/A</v>
      </c>
      <c r="C734" s="53" t="str">
        <f t="shared" si="4"/>
        <v>04/2022</v>
      </c>
      <c r="D734" s="99">
        <v>44659.0</v>
      </c>
      <c r="E734" s="55" t="s">
        <v>774</v>
      </c>
      <c r="F734" s="56"/>
      <c r="G734" s="57" t="s">
        <v>189</v>
      </c>
      <c r="H734" s="58" t="str">
        <f>IF(G734="","",VLOOKUP($G734,'Quy chuẩn hạch toán'!$B:$E,2,0))</f>
        <v>154</v>
      </c>
      <c r="I734" s="58" t="str">
        <f>IF(H734="","",VLOOKUP($G734,'Quy chuẩn hạch toán'!$B:$E,3,0))</f>
        <v>3345</v>
      </c>
      <c r="J734" s="59">
        <v>1.115E7</v>
      </c>
      <c r="K734" s="60"/>
      <c r="L734" s="61"/>
      <c r="M734" s="62"/>
      <c r="N734" s="63"/>
      <c r="O734" s="64" t="str">
        <f>IF($Q734&lt;&gt;0,VLOOKUP($Q734,DM_KM,3,0),"")</f>
        <v>#N/A</v>
      </c>
      <c r="P734" s="64" t="str">
        <f>IF($Q734&lt;&gt;0,VLOOKUP($Q734,DM_KM,5,0),"")</f>
        <v>#N/A</v>
      </c>
      <c r="Q734" s="65" t="s">
        <v>190</v>
      </c>
      <c r="R734" s="64" t="str">
        <f>IF(S734&lt;&gt;0,VLOOKUP(S734,DM_DUAN,3,0),"")</f>
        <v>#N/A</v>
      </c>
      <c r="S734" s="66" t="str">
        <f>IF(U734&lt;&gt;0,VLOOKUP(U734,DM_DUAN,3,0),"")</f>
        <v>KIMCUONGLAND</v>
      </c>
      <c r="T734" s="64"/>
      <c r="U734" s="67" t="s">
        <v>638</v>
      </c>
      <c r="V734" s="64" t="str">
        <f>IF(W734&lt;&gt;0,VLOOKUP(W734,DM_DUAN,3,0),"")</f>
        <v>#N/A</v>
      </c>
      <c r="W734" s="83" t="s">
        <v>771</v>
      </c>
      <c r="X734" s="64" t="str">
        <f>IF(Y734&lt;&gt;0,VLOOKUP(Y734,DM_DUAN,3,0),"")</f>
        <v>#N/A</v>
      </c>
      <c r="Y734" s="69" t="s">
        <v>176</v>
      </c>
      <c r="Z734" s="64" t="str">
        <f>IF(AA734&lt;&gt;0,VLOOKUP(AA734,DM_DUAN,3,0),"")</f>
        <v>#N/A</v>
      </c>
      <c r="AA734" s="70" t="s">
        <v>705</v>
      </c>
      <c r="AB734" s="64" t="str">
        <f>IF(AC734&lt;&gt;0,VLOOKUP(AC734,DM_DUAN,3,0),"")</f>
        <v>#N/A</v>
      </c>
      <c r="AC734" s="70" t="s">
        <v>772</v>
      </c>
      <c r="AD734" s="64" t="str">
        <f>IF(AC734&lt;&gt;0,VLOOKUP(AC734,DM_NV,2,0),"")</f>
        <v>Phan Tấn Đạt</v>
      </c>
      <c r="AE734" s="68"/>
      <c r="AF734" s="64" t="str">
        <f>IF(AE734&lt;&gt;0,VLOOKUP(AE734,DM_NV,2,0),"")</f>
        <v/>
      </c>
    </row>
    <row r="735">
      <c r="A735" s="51"/>
      <c r="B735" s="52" t="str">
        <f>IF(D735="","",VLOOKUP(D735,'THAM CHIẾU'!$A:$B,2,0))</f>
        <v>#N/A</v>
      </c>
      <c r="C735" s="53" t="str">
        <f t="shared" si="4"/>
        <v>04/2022</v>
      </c>
      <c r="D735" s="99">
        <v>44659.0</v>
      </c>
      <c r="E735" s="55" t="s">
        <v>775</v>
      </c>
      <c r="F735" s="56"/>
      <c r="G735" s="57" t="s">
        <v>200</v>
      </c>
      <c r="H735" s="58" t="str">
        <f>IF(G735="","",VLOOKUP($G735,'Quy chuẩn hạch toán'!$B:$E,2,0))</f>
        <v>154</v>
      </c>
      <c r="I735" s="58" t="str">
        <f>IF(H735="","",VLOOKUP($G735,'Quy chuẩn hạch toán'!$B:$E,3,0))</f>
        <v>3343</v>
      </c>
      <c r="J735" s="59">
        <v>1000000.0</v>
      </c>
      <c r="K735" s="60"/>
      <c r="L735" s="61"/>
      <c r="M735" s="62"/>
      <c r="N735" s="63"/>
      <c r="O735" s="64" t="str">
        <f>IF($Q735&lt;&gt;0,VLOOKUP($Q735,DM_KM,3,0),"")</f>
        <v>#N/A</v>
      </c>
      <c r="P735" s="64" t="str">
        <f>IF($Q735&lt;&gt;0,VLOOKUP($Q735,DM_KM,5,0),"")</f>
        <v>#N/A</v>
      </c>
      <c r="Q735" s="65" t="s">
        <v>201</v>
      </c>
      <c r="R735" s="64" t="str">
        <f>IF(S735&lt;&gt;0,VLOOKUP(S735,DM_DUAN,3,0),"")</f>
        <v>#N/A</v>
      </c>
      <c r="S735" s="66" t="str">
        <f>IF(U735&lt;&gt;0,VLOOKUP(U735,DM_DUAN,3,0),"")</f>
        <v>KIMCUONGLAND</v>
      </c>
      <c r="T735" s="64"/>
      <c r="U735" s="67" t="s">
        <v>638</v>
      </c>
      <c r="V735" s="64" t="str">
        <f>IF(W735&lt;&gt;0,VLOOKUP(W735,DM_DUAN,3,0),"")</f>
        <v>#N/A</v>
      </c>
      <c r="W735" s="83" t="s">
        <v>771</v>
      </c>
      <c r="X735" s="64" t="str">
        <f>IF(Y735&lt;&gt;0,VLOOKUP(Y735,DM_DUAN,3,0),"")</f>
        <v>#N/A</v>
      </c>
      <c r="Y735" s="69" t="s">
        <v>176</v>
      </c>
      <c r="Z735" s="64" t="str">
        <f>IF(AA735&lt;&gt;0,VLOOKUP(AA735,DM_DUAN,3,0),"")</f>
        <v>#N/A</v>
      </c>
      <c r="AA735" s="70" t="s">
        <v>705</v>
      </c>
      <c r="AB735" s="64" t="str">
        <f>IF(AC735&lt;&gt;0,VLOOKUP(AC735,DM_DUAN,3,0),"")</f>
        <v/>
      </c>
      <c r="AC735" s="85"/>
      <c r="AD735" s="64" t="str">
        <f>IF(AC735&lt;&gt;0,VLOOKUP(AC735,DM_NV,2,0),"")</f>
        <v/>
      </c>
      <c r="AE735" s="68"/>
      <c r="AF735" s="64" t="str">
        <f>IF(AE735&lt;&gt;0,VLOOKUP(AE735,DM_NV,2,0),"")</f>
        <v/>
      </c>
    </row>
    <row r="736">
      <c r="A736" s="51"/>
      <c r="B736" s="52" t="str">
        <f>IF(D736="","",VLOOKUP(D736,'THAM CHIẾU'!$A:$B,2,0))</f>
        <v>#N/A</v>
      </c>
      <c r="C736" s="53" t="str">
        <f t="shared" si="4"/>
        <v>04/2022</v>
      </c>
      <c r="D736" s="99">
        <v>44659.0</v>
      </c>
      <c r="E736" s="55" t="s">
        <v>776</v>
      </c>
      <c r="F736" s="56"/>
      <c r="G736" s="90"/>
      <c r="H736" s="58" t="str">
        <f>IF(G736="","",VLOOKUP($G736,'Quy chuẩn hạch toán'!$B:$E,2,0))</f>
        <v/>
      </c>
      <c r="I736" s="58" t="str">
        <f>IF(H736="","",VLOOKUP($G736,'Quy chuẩn hạch toán'!$B:$E,3,0))</f>
        <v/>
      </c>
      <c r="J736" s="59">
        <v>7840000.0</v>
      </c>
      <c r="K736" s="60"/>
      <c r="L736" s="61"/>
      <c r="M736" s="62"/>
      <c r="N736" s="63"/>
      <c r="O736" s="64" t="str">
        <f>IF($Q736&lt;&gt;0,VLOOKUP($Q736,DM_KM,3,0),"")</f>
        <v>#N/A</v>
      </c>
      <c r="P736" s="64" t="str">
        <f>IF($Q736&lt;&gt;0,VLOOKUP($Q736,DM_KM,5,0),"")</f>
        <v>#N/A</v>
      </c>
      <c r="Q736" s="65" t="s">
        <v>203</v>
      </c>
      <c r="R736" s="64" t="str">
        <f>IF(S736&lt;&gt;0,VLOOKUP(S736,DM_DUAN,3,0),"")</f>
        <v>#N/A</v>
      </c>
      <c r="S736" s="66" t="str">
        <f>IF(U736&lt;&gt;0,VLOOKUP(U736,DM_DUAN,3,0),"")</f>
        <v>KIMCUONGLAND</v>
      </c>
      <c r="T736" s="64"/>
      <c r="U736" s="67" t="s">
        <v>638</v>
      </c>
      <c r="V736" s="64" t="str">
        <f>IF(W736&lt;&gt;0,VLOOKUP(W736,DM_DUAN,3,0),"")</f>
        <v>#N/A</v>
      </c>
      <c r="W736" s="83" t="s">
        <v>771</v>
      </c>
      <c r="X736" s="64" t="str">
        <f>IF(Y736&lt;&gt;0,VLOOKUP(Y736,DM_DUAN,3,0),"")</f>
        <v>#N/A</v>
      </c>
      <c r="Y736" s="69" t="s">
        <v>176</v>
      </c>
      <c r="Z736" s="64" t="str">
        <f>IF(AA736&lt;&gt;0,VLOOKUP(AA736,DM_DUAN,3,0),"")</f>
        <v>#N/A</v>
      </c>
      <c r="AA736" s="70" t="s">
        <v>705</v>
      </c>
      <c r="AB736" s="64" t="str">
        <f>IF(AC736&lt;&gt;0,VLOOKUP(AC736,DM_DUAN,3,0),"")</f>
        <v/>
      </c>
      <c r="AC736" s="85"/>
      <c r="AD736" s="64" t="str">
        <f>IF(AC736&lt;&gt;0,VLOOKUP(AC736,DM_NV,2,0),"")</f>
        <v/>
      </c>
      <c r="AE736" s="68"/>
      <c r="AF736" s="64" t="str">
        <f>IF(AE736&lt;&gt;0,VLOOKUP(AE736,DM_NV,2,0),"")</f>
        <v/>
      </c>
    </row>
    <row r="737">
      <c r="A737" s="51"/>
      <c r="B737" s="52" t="str">
        <f>IF(D737="","",VLOOKUP(D737,'THAM CHIẾU'!$A:$B,2,0))</f>
        <v>#N/A</v>
      </c>
      <c r="C737" s="53" t="str">
        <f t="shared" si="4"/>
        <v>04/2022</v>
      </c>
      <c r="D737" s="99">
        <v>44659.0</v>
      </c>
      <c r="E737" s="55" t="s">
        <v>777</v>
      </c>
      <c r="F737" s="56"/>
      <c r="G737" s="57" t="s">
        <v>197</v>
      </c>
      <c r="H737" s="58" t="str">
        <f>IF(G737="","",VLOOKUP($G737,'Quy chuẩn hạch toán'!$B:$E,2,0))</f>
        <v>#N/A</v>
      </c>
      <c r="I737" s="58" t="str">
        <f>IF(H737="","",VLOOKUP($G737,'Quy chuẩn hạch toán'!$B:$E,3,0))</f>
        <v>#N/A</v>
      </c>
      <c r="J737" s="59">
        <v>4.9E8</v>
      </c>
      <c r="K737" s="60"/>
      <c r="L737" s="61"/>
      <c r="M737" s="62"/>
      <c r="N737" s="63"/>
      <c r="O737" s="64" t="str">
        <f>IF($Q737&lt;&gt;0,VLOOKUP($Q737,DM_KM,3,0),"")</f>
        <v>#N/A</v>
      </c>
      <c r="P737" s="64" t="str">
        <f>IF($Q737&lt;&gt;0,VLOOKUP($Q737,DM_KM,5,0),"")</f>
        <v>#N/A</v>
      </c>
      <c r="Q737" s="65" t="s">
        <v>198</v>
      </c>
      <c r="R737" s="64" t="str">
        <f>IF(S737&lt;&gt;0,VLOOKUP(S737,DM_DUAN,3,0),"")</f>
        <v>#N/A</v>
      </c>
      <c r="S737" s="66" t="str">
        <f>IF(U737&lt;&gt;0,VLOOKUP(U737,DM_DUAN,3,0),"")</f>
        <v>KIMCUONGLAND</v>
      </c>
      <c r="T737" s="64"/>
      <c r="U737" s="67" t="s">
        <v>638</v>
      </c>
      <c r="V737" s="64" t="str">
        <f>IF(W737&lt;&gt;0,VLOOKUP(W737,DM_DUAN,3,0),"")</f>
        <v>#N/A</v>
      </c>
      <c r="W737" s="83" t="s">
        <v>778</v>
      </c>
      <c r="X737" s="64" t="str">
        <f>IF(Y737&lt;&gt;0,VLOOKUP(Y737,DM_DUAN,3,0),"")</f>
        <v>#N/A</v>
      </c>
      <c r="Y737" s="69" t="s">
        <v>176</v>
      </c>
      <c r="Z737" s="64" t="str">
        <f>IF(AA737&lt;&gt;0,VLOOKUP(AA737,DM_DUAN,3,0),"")</f>
        <v>#N/A</v>
      </c>
      <c r="AA737" s="70" t="s">
        <v>705</v>
      </c>
      <c r="AB737" s="64" t="str">
        <f>IF(AC737&lt;&gt;0,VLOOKUP(AC737,DM_DUAN,3,0),"")</f>
        <v>#N/A</v>
      </c>
      <c r="AC737" s="70" t="s">
        <v>772</v>
      </c>
      <c r="AD737" s="64" t="str">
        <f>IF(AC737&lt;&gt;0,VLOOKUP(AC737,DM_NV,2,0),"")</f>
        <v>Phan Tấn Đạt</v>
      </c>
      <c r="AE737" s="68"/>
      <c r="AF737" s="64" t="str">
        <f>IF(AE737&lt;&gt;0,VLOOKUP(AE737,DM_NV,2,0),"")</f>
        <v/>
      </c>
    </row>
    <row r="738">
      <c r="A738" s="51"/>
      <c r="B738" s="52" t="str">
        <f>IF(D738="","",VLOOKUP(D738,'THAM CHIẾU'!$A:$B,2,0))</f>
        <v/>
      </c>
      <c r="C738" s="53" t="str">
        <f t="shared" si="4"/>
        <v/>
      </c>
      <c r="D738" s="99"/>
      <c r="E738" s="55"/>
      <c r="F738" s="56"/>
      <c r="G738" s="57"/>
      <c r="H738" s="58" t="str">
        <f>IF(G738="","",VLOOKUP($G738,'Quy chuẩn hạch toán'!$B:$E,2,0))</f>
        <v/>
      </c>
      <c r="I738" s="58" t="str">
        <f>IF(H738="","",VLOOKUP($G738,'Quy chuẩn hạch toán'!$B:$E,3,0))</f>
        <v/>
      </c>
      <c r="J738" s="59"/>
      <c r="K738" s="60"/>
      <c r="L738" s="61"/>
      <c r="M738" s="62"/>
      <c r="N738" s="63"/>
      <c r="O738" s="64"/>
      <c r="P738" s="64"/>
      <c r="Q738" s="65"/>
      <c r="R738" s="64" t="str">
        <f>IF(S738&lt;&gt;0,VLOOKUP(S738,DM_DUAN,3,0),"")</f>
        <v>#N/A</v>
      </c>
      <c r="S738" s="66" t="str">
        <f>IF(U738&lt;&gt;0,VLOOKUP(U738,DM_DUAN,3,0),"")</f>
        <v/>
      </c>
      <c r="T738" s="64"/>
      <c r="U738" s="67"/>
      <c r="V738" s="64" t="str">
        <f>IF(W738&lt;&gt;0,VLOOKUP(W738,DM_DUAN,3,0),"")</f>
        <v/>
      </c>
      <c r="W738" s="83"/>
      <c r="X738" s="64" t="str">
        <f>IF(Y738&lt;&gt;0,VLOOKUP(Y738,DM_DUAN,3,0),"")</f>
        <v/>
      </c>
      <c r="Y738" s="69"/>
      <c r="Z738" s="64" t="str">
        <f>IF(AA738&lt;&gt;0,VLOOKUP(AA738,DM_DUAN,3,0),"")</f>
        <v/>
      </c>
      <c r="AA738" s="70"/>
      <c r="AB738" s="64" t="str">
        <f>IF(AC738&lt;&gt;0,VLOOKUP(AC738,DM_DUAN,3,0),"")</f>
        <v/>
      </c>
      <c r="AC738" s="85"/>
      <c r="AD738" s="64" t="str">
        <f>IF(AC738&lt;&gt;0,VLOOKUP(AC738,DM_NV,2,0),"")</f>
        <v/>
      </c>
      <c r="AE738" s="68"/>
      <c r="AF738" s="64" t="str">
        <f>IF(AE738&lt;&gt;0,VLOOKUP(AE738,DM_NV,2,0),"")</f>
        <v/>
      </c>
    </row>
    <row r="739">
      <c r="A739" s="51"/>
      <c r="B739" s="52" t="str">
        <f>IF(D739="","",VLOOKUP(D739,'THAM CHIẾU'!$A:$B,2,0))</f>
        <v>#N/A</v>
      </c>
      <c r="C739" s="53" t="str">
        <f t="shared" si="4"/>
        <v>04/2022</v>
      </c>
      <c r="D739" s="99">
        <v>44659.0</v>
      </c>
      <c r="E739" s="55" t="s">
        <v>779</v>
      </c>
      <c r="F739" s="56"/>
      <c r="G739" s="57" t="s">
        <v>186</v>
      </c>
      <c r="H739" s="58" t="str">
        <f>IF(G739="","",VLOOKUP($G739,'Quy chuẩn hạch toán'!$B:$E,2,0))</f>
        <v>131</v>
      </c>
      <c r="I739" s="58" t="str">
        <f>IF(H739="","",VLOOKUP($G739,'Quy chuẩn hạch toán'!$B:$E,3,0))</f>
        <v>5113</v>
      </c>
      <c r="J739" s="59">
        <v>1.01E8</v>
      </c>
      <c r="K739" s="60"/>
      <c r="L739" s="61"/>
      <c r="M739" s="62"/>
      <c r="N739" s="63"/>
      <c r="O739" s="64" t="str">
        <f>IF($Q739&lt;&gt;0,VLOOKUP($Q739,DM_KM,3,0),"")</f>
        <v>511_TK</v>
      </c>
      <c r="P739" s="64">
        <f>IF($Q739&lt;&gt;0,VLOOKUP($Q739,DM_KM,5,0),"")</f>
        <v>511</v>
      </c>
      <c r="Q739" s="65" t="s">
        <v>187</v>
      </c>
      <c r="R739" s="64" t="str">
        <f>IF(S739&lt;&gt;0,VLOOKUP(S739,DM_DUAN,3,0),"")</f>
        <v>#N/A</v>
      </c>
      <c r="S739" s="66" t="str">
        <f>IF(U739&lt;&gt;0,VLOOKUP(U739,DM_DUAN,3,0),"")</f>
        <v>KIMCUONGLAND</v>
      </c>
      <c r="T739" s="64"/>
      <c r="U739" s="67" t="s">
        <v>638</v>
      </c>
      <c r="V739" s="64" t="str">
        <f>IF(W739&lt;&gt;0,VLOOKUP(W739,DM_DUAN,3,0),"")</f>
        <v>#N/A</v>
      </c>
      <c r="W739" s="83" t="s">
        <v>778</v>
      </c>
      <c r="X739" s="64" t="str">
        <f>IF(Y739&lt;&gt;0,VLOOKUP(Y739,DM_DUAN,3,0),"")</f>
        <v>#N/A</v>
      </c>
      <c r="Y739" s="69" t="s">
        <v>176</v>
      </c>
      <c r="Z739" s="64" t="str">
        <f>IF(AA739&lt;&gt;0,VLOOKUP(AA739,DM_DUAN,3,0),"")</f>
        <v>#N/A</v>
      </c>
      <c r="AA739" s="70" t="s">
        <v>705</v>
      </c>
      <c r="AB739" s="64" t="str">
        <f>IF(AC739&lt;&gt;0,VLOOKUP(AC739,DM_DUAN,3,0),"")</f>
        <v/>
      </c>
      <c r="AC739" s="85"/>
      <c r="AD739" s="64" t="str">
        <f>IF(AC739&lt;&gt;0,VLOOKUP(AC739,DM_NV,2,0),"")</f>
        <v/>
      </c>
      <c r="AE739" s="68"/>
      <c r="AF739" s="64" t="str">
        <f>IF(AE739&lt;&gt;0,VLOOKUP(AE739,DM_NV,2,0),"")</f>
        <v/>
      </c>
    </row>
    <row r="740">
      <c r="A740" s="51"/>
      <c r="B740" s="52" t="str">
        <f>IF(D740="","",VLOOKUP(D740,'THAM CHIẾU'!$A:$B,2,0))</f>
        <v>#N/A</v>
      </c>
      <c r="C740" s="53" t="str">
        <f t="shared" si="4"/>
        <v>04/2022</v>
      </c>
      <c r="D740" s="99">
        <v>44659.0</v>
      </c>
      <c r="E740" s="55" t="s">
        <v>780</v>
      </c>
      <c r="F740" s="56"/>
      <c r="G740" s="57" t="s">
        <v>189</v>
      </c>
      <c r="H740" s="58" t="str">
        <f>IF(G740="","",VLOOKUP($G740,'Quy chuẩn hạch toán'!$B:$E,2,0))</f>
        <v>154</v>
      </c>
      <c r="I740" s="58" t="str">
        <f>IF(H740="","",VLOOKUP($G740,'Quy chuẩn hạch toán'!$B:$E,3,0))</f>
        <v>3345</v>
      </c>
      <c r="J740" s="59">
        <v>1.865E7</v>
      </c>
      <c r="K740" s="60"/>
      <c r="L740" s="61"/>
      <c r="M740" s="62"/>
      <c r="N740" s="63"/>
      <c r="O740" s="64" t="str">
        <f>IF($Q740&lt;&gt;0,VLOOKUP($Q740,DM_KM,3,0),"")</f>
        <v>#N/A</v>
      </c>
      <c r="P740" s="64" t="str">
        <f>IF($Q740&lt;&gt;0,VLOOKUP($Q740,DM_KM,5,0),"")</f>
        <v>#N/A</v>
      </c>
      <c r="Q740" s="65" t="s">
        <v>190</v>
      </c>
      <c r="R740" s="64" t="str">
        <f>IF(S740&lt;&gt;0,VLOOKUP(S740,DM_DUAN,3,0),"")</f>
        <v>#N/A</v>
      </c>
      <c r="S740" s="66" t="str">
        <f>IF(U740&lt;&gt;0,VLOOKUP(U740,DM_DUAN,3,0),"")</f>
        <v>KIMCUONGLAND</v>
      </c>
      <c r="T740" s="64"/>
      <c r="U740" s="67" t="s">
        <v>638</v>
      </c>
      <c r="V740" s="64" t="str">
        <f>IF(W740&lt;&gt;0,VLOOKUP(W740,DM_DUAN,3,0),"")</f>
        <v>#N/A</v>
      </c>
      <c r="W740" s="83" t="s">
        <v>778</v>
      </c>
      <c r="X740" s="64" t="str">
        <f>IF(Y740&lt;&gt;0,VLOOKUP(Y740,DM_DUAN,3,0),"")</f>
        <v>#N/A</v>
      </c>
      <c r="Y740" s="69" t="s">
        <v>176</v>
      </c>
      <c r="Z740" s="64" t="str">
        <f>IF(AA740&lt;&gt;0,VLOOKUP(AA740,DM_DUAN,3,0),"")</f>
        <v>#N/A</v>
      </c>
      <c r="AA740" s="70" t="s">
        <v>705</v>
      </c>
      <c r="AB740" s="64" t="str">
        <f>IF(AC740&lt;&gt;0,VLOOKUP(AC740,DM_DUAN,3,0),"")</f>
        <v>#N/A</v>
      </c>
      <c r="AC740" s="70" t="s">
        <v>772</v>
      </c>
      <c r="AD740" s="64" t="str">
        <f>IF(AC740&lt;&gt;0,VLOOKUP(AC740,DM_NV,2,0),"")</f>
        <v>Phan Tấn Đạt</v>
      </c>
      <c r="AE740" s="68"/>
      <c r="AF740" s="64" t="str">
        <f>IF(AE740&lt;&gt;0,VLOOKUP(AE740,DM_NV,2,0),"")</f>
        <v/>
      </c>
    </row>
    <row r="741">
      <c r="A741" s="51"/>
      <c r="B741" s="52" t="str">
        <f>IF(D741="","",VLOOKUP(D741,'THAM CHIẾU'!$A:$B,2,0))</f>
        <v>#N/A</v>
      </c>
      <c r="C741" s="53" t="str">
        <f t="shared" si="4"/>
        <v>04/2022</v>
      </c>
      <c r="D741" s="99">
        <v>44659.0</v>
      </c>
      <c r="E741" s="55" t="s">
        <v>781</v>
      </c>
      <c r="F741" s="56"/>
      <c r="G741" s="57" t="s">
        <v>200</v>
      </c>
      <c r="H741" s="58" t="str">
        <f>IF(G741="","",VLOOKUP($G741,'Quy chuẩn hạch toán'!$B:$E,2,0))</f>
        <v>154</v>
      </c>
      <c r="I741" s="58" t="str">
        <f>IF(H741="","",VLOOKUP($G741,'Quy chuẩn hạch toán'!$B:$E,3,0))</f>
        <v>3343</v>
      </c>
      <c r="J741" s="59">
        <v>1000000.0</v>
      </c>
      <c r="K741" s="60"/>
      <c r="L741" s="61"/>
      <c r="M741" s="62"/>
      <c r="N741" s="63"/>
      <c r="O741" s="64" t="str">
        <f>IF($Q741&lt;&gt;0,VLOOKUP($Q741,DM_KM,3,0),"")</f>
        <v>#N/A</v>
      </c>
      <c r="P741" s="64" t="str">
        <f>IF($Q741&lt;&gt;0,VLOOKUP($Q741,DM_KM,5,0),"")</f>
        <v>#N/A</v>
      </c>
      <c r="Q741" s="65" t="s">
        <v>201</v>
      </c>
      <c r="R741" s="64" t="str">
        <f>IF(S741&lt;&gt;0,VLOOKUP(S741,DM_DUAN,3,0),"")</f>
        <v>#N/A</v>
      </c>
      <c r="S741" s="66" t="str">
        <f>IF(U741&lt;&gt;0,VLOOKUP(U741,DM_DUAN,3,0),"")</f>
        <v>KIMCUONGLAND</v>
      </c>
      <c r="T741" s="64"/>
      <c r="U741" s="67" t="s">
        <v>638</v>
      </c>
      <c r="V741" s="64" t="str">
        <f>IF(W741&lt;&gt;0,VLOOKUP(W741,DM_DUAN,3,0),"")</f>
        <v>#N/A</v>
      </c>
      <c r="W741" s="83" t="s">
        <v>778</v>
      </c>
      <c r="X741" s="64" t="str">
        <f>IF(Y741&lt;&gt;0,VLOOKUP(Y741,DM_DUAN,3,0),"")</f>
        <v>#N/A</v>
      </c>
      <c r="Y741" s="69" t="s">
        <v>176</v>
      </c>
      <c r="Z741" s="64" t="str">
        <f>IF(AA741&lt;&gt;0,VLOOKUP(AA741,DM_DUAN,3,0),"")</f>
        <v>#N/A</v>
      </c>
      <c r="AA741" s="70" t="s">
        <v>705</v>
      </c>
      <c r="AB741" s="64" t="str">
        <f>IF(AC741&lt;&gt;0,VLOOKUP(AC741,DM_DUAN,3,0),"")</f>
        <v/>
      </c>
      <c r="AC741" s="85"/>
      <c r="AD741" s="64" t="str">
        <f>IF(AC741&lt;&gt;0,VLOOKUP(AC741,DM_NV,2,0),"")</f>
        <v/>
      </c>
      <c r="AE741" s="68"/>
      <c r="AF741" s="64" t="str">
        <f>IF(AE741&lt;&gt;0,VLOOKUP(AE741,DM_NV,2,0),"")</f>
        <v/>
      </c>
    </row>
    <row r="742">
      <c r="A742" s="51"/>
      <c r="B742" s="52" t="str">
        <f>IF(D742="","",VLOOKUP(D742,'THAM CHIẾU'!$A:$B,2,0))</f>
        <v>#N/A</v>
      </c>
      <c r="C742" s="53" t="str">
        <f t="shared" si="4"/>
        <v>04/2022</v>
      </c>
      <c r="D742" s="99">
        <v>44659.0</v>
      </c>
      <c r="E742" s="55" t="s">
        <v>782</v>
      </c>
      <c r="F742" s="56"/>
      <c r="G742" s="90"/>
      <c r="H742" s="58" t="str">
        <f>IF(G742="","",VLOOKUP($G742,'Quy chuẩn hạch toán'!$B:$E,2,0))</f>
        <v/>
      </c>
      <c r="I742" s="58" t="str">
        <f>IF(H742="","",VLOOKUP($G742,'Quy chuẩn hạch toán'!$B:$E,3,0))</f>
        <v/>
      </c>
      <c r="J742" s="59">
        <v>7840000.0</v>
      </c>
      <c r="K742" s="60"/>
      <c r="L742" s="61"/>
      <c r="M742" s="62"/>
      <c r="N742" s="63"/>
      <c r="O742" s="64" t="str">
        <f>IF($Q742&lt;&gt;0,VLOOKUP($Q742,DM_KM,3,0),"")</f>
        <v>#N/A</v>
      </c>
      <c r="P742" s="64" t="str">
        <f>IF($Q742&lt;&gt;0,VLOOKUP($Q742,DM_KM,5,0),"")</f>
        <v>#N/A</v>
      </c>
      <c r="Q742" s="65" t="s">
        <v>203</v>
      </c>
      <c r="R742" s="64" t="str">
        <f>IF(S742&lt;&gt;0,VLOOKUP(S742,DM_DUAN,3,0),"")</f>
        <v>#N/A</v>
      </c>
      <c r="S742" s="66" t="str">
        <f>IF(U742&lt;&gt;0,VLOOKUP(U742,DM_DUAN,3,0),"")</f>
        <v>KIMCUONGLAND</v>
      </c>
      <c r="T742" s="64"/>
      <c r="U742" s="67" t="s">
        <v>638</v>
      </c>
      <c r="V742" s="64" t="str">
        <f>IF(W742&lt;&gt;0,VLOOKUP(W742,DM_DUAN,3,0),"")</f>
        <v>#N/A</v>
      </c>
      <c r="W742" s="83" t="s">
        <v>778</v>
      </c>
      <c r="X742" s="64" t="str">
        <f>IF(Y742&lt;&gt;0,VLOOKUP(Y742,DM_DUAN,3,0),"")</f>
        <v>#N/A</v>
      </c>
      <c r="Y742" s="69" t="s">
        <v>176</v>
      </c>
      <c r="Z742" s="64" t="str">
        <f>IF(AA742&lt;&gt;0,VLOOKUP(AA742,DM_DUAN,3,0),"")</f>
        <v>#N/A</v>
      </c>
      <c r="AA742" s="70" t="s">
        <v>705</v>
      </c>
      <c r="AB742" s="64" t="str">
        <f>IF(AC742&lt;&gt;0,VLOOKUP(AC742,DM_DUAN,3,0),"")</f>
        <v/>
      </c>
      <c r="AC742" s="85"/>
      <c r="AD742" s="64" t="str">
        <f>IF(AC742&lt;&gt;0,VLOOKUP(AC742,DM_NV,2,0),"")</f>
        <v/>
      </c>
      <c r="AE742" s="68"/>
      <c r="AF742" s="64" t="str">
        <f>IF(AE742&lt;&gt;0,VLOOKUP(AE742,DM_NV,2,0),"")</f>
        <v/>
      </c>
    </row>
    <row r="743">
      <c r="A743" s="51"/>
      <c r="B743" s="52" t="str">
        <f>IF(D743="","",VLOOKUP(D743,'THAM CHIẾU'!$A:$B,2,0))</f>
        <v>#N/A</v>
      </c>
      <c r="C743" s="53" t="str">
        <f t="shared" si="4"/>
        <v>04/2022</v>
      </c>
      <c r="D743" s="99">
        <v>44659.0</v>
      </c>
      <c r="E743" s="55" t="s">
        <v>783</v>
      </c>
      <c r="F743" s="56"/>
      <c r="G743" s="57" t="s">
        <v>197</v>
      </c>
      <c r="H743" s="58" t="str">
        <f>IF(G743="","",VLOOKUP($G743,'Quy chuẩn hạch toán'!$B:$E,2,0))</f>
        <v>#N/A</v>
      </c>
      <c r="I743" s="58" t="str">
        <f>IF(H743="","",VLOOKUP($G743,'Quy chuẩn hạch toán'!$B:$E,3,0))</f>
        <v>#N/A</v>
      </c>
      <c r="J743" s="59">
        <v>4.9E8</v>
      </c>
      <c r="K743" s="60"/>
      <c r="L743" s="61"/>
      <c r="M743" s="62"/>
      <c r="N743" s="63"/>
      <c r="O743" s="64" t="str">
        <f>IF($Q743&lt;&gt;0,VLOOKUP($Q743,DM_KM,3,0),"")</f>
        <v>#N/A</v>
      </c>
      <c r="P743" s="64" t="str">
        <f>IF($Q743&lt;&gt;0,VLOOKUP($Q743,DM_KM,5,0),"")</f>
        <v>#N/A</v>
      </c>
      <c r="Q743" s="65" t="s">
        <v>198</v>
      </c>
      <c r="R743" s="64" t="str">
        <f>IF(S743&lt;&gt;0,VLOOKUP(S743,DM_DUAN,3,0),"")</f>
        <v>#N/A</v>
      </c>
      <c r="S743" s="66" t="str">
        <f>IF(U743&lt;&gt;0,VLOOKUP(U743,DM_DUAN,3,0),"")</f>
        <v>KIMCUONGLAND</v>
      </c>
      <c r="T743" s="64"/>
      <c r="U743" s="67" t="s">
        <v>638</v>
      </c>
      <c r="V743" s="64" t="str">
        <f>IF(W743&lt;&gt;0,VLOOKUP(W743,DM_DUAN,3,0),"")</f>
        <v>#N/A</v>
      </c>
      <c r="W743" s="83" t="s">
        <v>784</v>
      </c>
      <c r="X743" s="64" t="str">
        <f>IF(Y743&lt;&gt;0,VLOOKUP(Y743,DM_DUAN,3,0),"")</f>
        <v>#N/A</v>
      </c>
      <c r="Y743" s="69" t="s">
        <v>176</v>
      </c>
      <c r="Z743" s="64" t="str">
        <f>IF(AA743&lt;&gt;0,VLOOKUP(AA743,DM_DUAN,3,0),"")</f>
        <v>#N/A</v>
      </c>
      <c r="AA743" s="70" t="s">
        <v>705</v>
      </c>
      <c r="AB743" s="64" t="str">
        <f>IF(AC743&lt;&gt;0,VLOOKUP(AC743,DM_DUAN,3,0),"")</f>
        <v>#N/A</v>
      </c>
      <c r="AC743" s="70" t="s">
        <v>772</v>
      </c>
      <c r="AD743" s="64" t="str">
        <f>IF(AC743&lt;&gt;0,VLOOKUP(AC743,DM_NV,2,0),"")</f>
        <v>Phan Tấn Đạt</v>
      </c>
      <c r="AE743" s="68"/>
      <c r="AF743" s="64" t="str">
        <f>IF(AE743&lt;&gt;0,VLOOKUP(AE743,DM_NV,2,0),"")</f>
        <v/>
      </c>
    </row>
    <row r="744">
      <c r="A744" s="51"/>
      <c r="B744" s="52" t="str">
        <f>IF(D744="","",VLOOKUP(D744,'THAM CHIẾU'!$A:$B,2,0))</f>
        <v/>
      </c>
      <c r="C744" s="53" t="str">
        <f t="shared" si="4"/>
        <v/>
      </c>
      <c r="D744" s="99"/>
      <c r="E744" s="55"/>
      <c r="F744" s="56"/>
      <c r="G744" s="57"/>
      <c r="H744" s="58" t="str">
        <f>IF(G744="","",VLOOKUP($G744,'Quy chuẩn hạch toán'!$B:$E,2,0))</f>
        <v/>
      </c>
      <c r="I744" s="58" t="str">
        <f>IF(H744="","",VLOOKUP($G744,'Quy chuẩn hạch toán'!$B:$E,3,0))</f>
        <v/>
      </c>
      <c r="J744" s="59"/>
      <c r="K744" s="60"/>
      <c r="L744" s="61"/>
      <c r="M744" s="62"/>
      <c r="N744" s="63"/>
      <c r="O744" s="64"/>
      <c r="P744" s="64"/>
      <c r="Q744" s="65"/>
      <c r="R744" s="64" t="str">
        <f>IF(S744&lt;&gt;0,VLOOKUP(S744,DM_DUAN,3,0),"")</f>
        <v>#N/A</v>
      </c>
      <c r="S744" s="66" t="str">
        <f>IF(U744&lt;&gt;0,VLOOKUP(U744,DM_DUAN,3,0),"")</f>
        <v/>
      </c>
      <c r="T744" s="64"/>
      <c r="U744" s="67"/>
      <c r="V744" s="64" t="str">
        <f>IF(W744&lt;&gt;0,VLOOKUP(W744,DM_DUAN,3,0),"")</f>
        <v/>
      </c>
      <c r="W744" s="83"/>
      <c r="X744" s="64" t="str">
        <f>IF(Y744&lt;&gt;0,VLOOKUP(Y744,DM_DUAN,3,0),"")</f>
        <v/>
      </c>
      <c r="Y744" s="69"/>
      <c r="Z744" s="64" t="str">
        <f>IF(AA744&lt;&gt;0,VLOOKUP(AA744,DM_DUAN,3,0),"")</f>
        <v/>
      </c>
      <c r="AA744" s="70"/>
      <c r="AB744" s="64" t="str">
        <f>IF(AC744&lt;&gt;0,VLOOKUP(AC744,DM_DUAN,3,0),"")</f>
        <v/>
      </c>
      <c r="AC744" s="85"/>
      <c r="AD744" s="64" t="str">
        <f>IF(AC744&lt;&gt;0,VLOOKUP(AC744,DM_NV,2,0),"")</f>
        <v/>
      </c>
      <c r="AE744" s="68"/>
      <c r="AF744" s="64" t="str">
        <f>IF(AE744&lt;&gt;0,VLOOKUP(AE744,DM_NV,2,0),"")</f>
        <v/>
      </c>
    </row>
    <row r="745">
      <c r="A745" s="51"/>
      <c r="B745" s="52" t="str">
        <f>IF(D745="","",VLOOKUP(D745,'THAM CHIẾU'!$A:$B,2,0))</f>
        <v>#N/A</v>
      </c>
      <c r="C745" s="53" t="str">
        <f t="shared" si="4"/>
        <v>04/2022</v>
      </c>
      <c r="D745" s="99">
        <v>44659.0</v>
      </c>
      <c r="E745" s="55" t="s">
        <v>785</v>
      </c>
      <c r="F745" s="56"/>
      <c r="G745" s="57" t="s">
        <v>186</v>
      </c>
      <c r="H745" s="58" t="str">
        <f>IF(G745="","",VLOOKUP($G745,'Quy chuẩn hạch toán'!$B:$E,2,0))</f>
        <v>131</v>
      </c>
      <c r="I745" s="58" t="str">
        <f>IF(H745="","",VLOOKUP($G745,'Quy chuẩn hạch toán'!$B:$E,3,0))</f>
        <v>5113</v>
      </c>
      <c r="J745" s="59">
        <v>1.01E8</v>
      </c>
      <c r="K745" s="60"/>
      <c r="L745" s="61"/>
      <c r="M745" s="62"/>
      <c r="N745" s="63"/>
      <c r="O745" s="64" t="str">
        <f>IF($Q745&lt;&gt;0,VLOOKUP($Q745,DM_KM,3,0),"")</f>
        <v>511_TK</v>
      </c>
      <c r="P745" s="64">
        <f>IF($Q745&lt;&gt;0,VLOOKUP($Q745,DM_KM,5,0),"")</f>
        <v>511</v>
      </c>
      <c r="Q745" s="65" t="s">
        <v>187</v>
      </c>
      <c r="R745" s="64" t="str">
        <f>IF(S745&lt;&gt;0,VLOOKUP(S745,DM_DUAN,3,0),"")</f>
        <v>#N/A</v>
      </c>
      <c r="S745" s="66" t="str">
        <f>IF(U745&lt;&gt;0,VLOOKUP(U745,DM_DUAN,3,0),"")</f>
        <v>KIMCUONGLAND</v>
      </c>
      <c r="T745" s="64"/>
      <c r="U745" s="67" t="s">
        <v>638</v>
      </c>
      <c r="V745" s="64" t="str">
        <f>IF(W745&lt;&gt;0,VLOOKUP(W745,DM_DUAN,3,0),"")</f>
        <v>#N/A</v>
      </c>
      <c r="W745" s="83" t="s">
        <v>784</v>
      </c>
      <c r="X745" s="64" t="str">
        <f>IF(Y745&lt;&gt;0,VLOOKUP(Y745,DM_DUAN,3,0),"")</f>
        <v>#N/A</v>
      </c>
      <c r="Y745" s="69" t="s">
        <v>176</v>
      </c>
      <c r="Z745" s="64" t="str">
        <f>IF(AA745&lt;&gt;0,VLOOKUP(AA745,DM_DUAN,3,0),"")</f>
        <v>#N/A</v>
      </c>
      <c r="AA745" s="70" t="s">
        <v>705</v>
      </c>
      <c r="AB745" s="64" t="str">
        <f>IF(AC745&lt;&gt;0,VLOOKUP(AC745,DM_DUAN,3,0),"")</f>
        <v/>
      </c>
      <c r="AC745" s="85"/>
      <c r="AD745" s="64" t="str">
        <f>IF(AC745&lt;&gt;0,VLOOKUP(AC745,DM_NV,2,0),"")</f>
        <v/>
      </c>
      <c r="AE745" s="68"/>
      <c r="AF745" s="64" t="str">
        <f>IF(AE745&lt;&gt;0,VLOOKUP(AE745,DM_NV,2,0),"")</f>
        <v/>
      </c>
    </row>
    <row r="746">
      <c r="A746" s="51"/>
      <c r="B746" s="52" t="str">
        <f>IF(D746="","",VLOOKUP(D746,'THAM CHIẾU'!$A:$B,2,0))</f>
        <v>#N/A</v>
      </c>
      <c r="C746" s="53" t="str">
        <f t="shared" si="4"/>
        <v>04/2022</v>
      </c>
      <c r="D746" s="99">
        <v>44659.0</v>
      </c>
      <c r="E746" s="55" t="s">
        <v>786</v>
      </c>
      <c r="F746" s="56"/>
      <c r="G746" s="57" t="s">
        <v>189</v>
      </c>
      <c r="H746" s="58" t="str">
        <f>IF(G746="","",VLOOKUP($G746,'Quy chuẩn hạch toán'!$B:$E,2,0))</f>
        <v>154</v>
      </c>
      <c r="I746" s="58" t="str">
        <f>IF(H746="","",VLOOKUP($G746,'Quy chuẩn hạch toán'!$B:$E,3,0))</f>
        <v>3345</v>
      </c>
      <c r="J746" s="59">
        <v>2.015E7</v>
      </c>
      <c r="K746" s="60"/>
      <c r="L746" s="61"/>
      <c r="M746" s="62"/>
      <c r="N746" s="63"/>
      <c r="O746" s="64" t="str">
        <f>IF($Q746&lt;&gt;0,VLOOKUP($Q746,DM_KM,3,0),"")</f>
        <v>#N/A</v>
      </c>
      <c r="P746" s="64" t="str">
        <f>IF($Q746&lt;&gt;0,VLOOKUP($Q746,DM_KM,5,0),"")</f>
        <v>#N/A</v>
      </c>
      <c r="Q746" s="65" t="s">
        <v>190</v>
      </c>
      <c r="R746" s="64" t="str">
        <f>IF(S746&lt;&gt;0,VLOOKUP(S746,DM_DUAN,3,0),"")</f>
        <v>#N/A</v>
      </c>
      <c r="S746" s="66" t="str">
        <f>IF(U746&lt;&gt;0,VLOOKUP(U746,DM_DUAN,3,0),"")</f>
        <v>KIMCUONGLAND</v>
      </c>
      <c r="T746" s="64"/>
      <c r="U746" s="67" t="s">
        <v>638</v>
      </c>
      <c r="V746" s="64" t="str">
        <f>IF(W746&lt;&gt;0,VLOOKUP(W746,DM_DUAN,3,0),"")</f>
        <v>#N/A</v>
      </c>
      <c r="W746" s="83" t="s">
        <v>784</v>
      </c>
      <c r="X746" s="64" t="str">
        <f>IF(Y746&lt;&gt;0,VLOOKUP(Y746,DM_DUAN,3,0),"")</f>
        <v>#N/A</v>
      </c>
      <c r="Y746" s="69" t="s">
        <v>176</v>
      </c>
      <c r="Z746" s="64" t="str">
        <f>IF(AA746&lt;&gt;0,VLOOKUP(AA746,DM_DUAN,3,0),"")</f>
        <v>#N/A</v>
      </c>
      <c r="AA746" s="70" t="s">
        <v>705</v>
      </c>
      <c r="AB746" s="64" t="str">
        <f>IF(AC746&lt;&gt;0,VLOOKUP(AC746,DM_DUAN,3,0),"")</f>
        <v>#N/A</v>
      </c>
      <c r="AC746" s="70" t="s">
        <v>772</v>
      </c>
      <c r="AD746" s="64" t="str">
        <f>IF(AC746&lt;&gt;0,VLOOKUP(AC746,DM_NV,2,0),"")</f>
        <v>Phan Tấn Đạt</v>
      </c>
      <c r="AE746" s="68"/>
      <c r="AF746" s="64" t="str">
        <f>IF(AE746&lt;&gt;0,VLOOKUP(AE746,DM_NV,2,0),"")</f>
        <v/>
      </c>
    </row>
    <row r="747">
      <c r="A747" s="51"/>
      <c r="B747" s="52" t="str">
        <f>IF(D747="","",VLOOKUP(D747,'THAM CHIẾU'!$A:$B,2,0))</f>
        <v>#N/A</v>
      </c>
      <c r="C747" s="53" t="str">
        <f t="shared" si="4"/>
        <v>04/2022</v>
      </c>
      <c r="D747" s="99">
        <v>44659.0</v>
      </c>
      <c r="E747" s="55" t="s">
        <v>787</v>
      </c>
      <c r="F747" s="56"/>
      <c r="G747" s="57" t="s">
        <v>200</v>
      </c>
      <c r="H747" s="58" t="str">
        <f>IF(G747="","",VLOOKUP($G747,'Quy chuẩn hạch toán'!$B:$E,2,0))</f>
        <v>154</v>
      </c>
      <c r="I747" s="58" t="str">
        <f>IF(H747="","",VLOOKUP($G747,'Quy chuẩn hạch toán'!$B:$E,3,0))</f>
        <v>3343</v>
      </c>
      <c r="J747" s="59">
        <v>1000000.0</v>
      </c>
      <c r="K747" s="60"/>
      <c r="L747" s="61"/>
      <c r="M747" s="62"/>
      <c r="N747" s="63"/>
      <c r="O747" s="64" t="str">
        <f>IF($Q747&lt;&gt;0,VLOOKUP($Q747,DM_KM,3,0),"")</f>
        <v>#N/A</v>
      </c>
      <c r="P747" s="64" t="str">
        <f>IF($Q747&lt;&gt;0,VLOOKUP($Q747,DM_KM,5,0),"")</f>
        <v>#N/A</v>
      </c>
      <c r="Q747" s="65" t="s">
        <v>201</v>
      </c>
      <c r="R747" s="64" t="str">
        <f>IF(S747&lt;&gt;0,VLOOKUP(S747,DM_DUAN,3,0),"")</f>
        <v>#N/A</v>
      </c>
      <c r="S747" s="66" t="str">
        <f>IF(U747&lt;&gt;0,VLOOKUP(U747,DM_DUAN,3,0),"")</f>
        <v>KIMCUONGLAND</v>
      </c>
      <c r="T747" s="64"/>
      <c r="U747" s="67" t="s">
        <v>638</v>
      </c>
      <c r="V747" s="64" t="str">
        <f>IF(W747&lt;&gt;0,VLOOKUP(W747,DM_DUAN,3,0),"")</f>
        <v>#N/A</v>
      </c>
      <c r="W747" s="83" t="s">
        <v>784</v>
      </c>
      <c r="X747" s="64" t="str">
        <f>IF(Y747&lt;&gt;0,VLOOKUP(Y747,DM_DUAN,3,0),"")</f>
        <v>#N/A</v>
      </c>
      <c r="Y747" s="69" t="s">
        <v>176</v>
      </c>
      <c r="Z747" s="64" t="str">
        <f>IF(AA747&lt;&gt;0,VLOOKUP(AA747,DM_DUAN,3,0),"")</f>
        <v>#N/A</v>
      </c>
      <c r="AA747" s="70" t="s">
        <v>705</v>
      </c>
      <c r="AB747" s="64" t="str">
        <f>IF(AC747&lt;&gt;0,VLOOKUP(AC747,DM_DUAN,3,0),"")</f>
        <v/>
      </c>
      <c r="AC747" s="85"/>
      <c r="AD747" s="64" t="str">
        <f>IF(AC747&lt;&gt;0,VLOOKUP(AC747,DM_NV,2,0),"")</f>
        <v/>
      </c>
      <c r="AE747" s="68"/>
      <c r="AF747" s="64" t="str">
        <f>IF(AE747&lt;&gt;0,VLOOKUP(AE747,DM_NV,2,0),"")</f>
        <v/>
      </c>
    </row>
    <row r="748">
      <c r="A748" s="51"/>
      <c r="B748" s="52" t="str">
        <f>IF(D748="","",VLOOKUP(D748,'THAM CHIẾU'!$A:$B,2,0))</f>
        <v>#N/A</v>
      </c>
      <c r="C748" s="53" t="str">
        <f t="shared" si="4"/>
        <v>04/2022</v>
      </c>
      <c r="D748" s="99">
        <v>44659.0</v>
      </c>
      <c r="E748" s="55" t="s">
        <v>788</v>
      </c>
      <c r="F748" s="56"/>
      <c r="G748" s="90"/>
      <c r="H748" s="58" t="str">
        <f>IF(G748="","",VLOOKUP($G748,'Quy chuẩn hạch toán'!$B:$E,2,0))</f>
        <v/>
      </c>
      <c r="I748" s="58" t="str">
        <f>IF(H748="","",VLOOKUP($G748,'Quy chuẩn hạch toán'!$B:$E,3,0))</f>
        <v/>
      </c>
      <c r="J748" s="59">
        <v>7840000.0</v>
      </c>
      <c r="K748" s="60"/>
      <c r="L748" s="61"/>
      <c r="M748" s="62"/>
      <c r="N748" s="63"/>
      <c r="O748" s="64" t="str">
        <f>IF($Q748&lt;&gt;0,VLOOKUP($Q748,DM_KM,3,0),"")</f>
        <v>#N/A</v>
      </c>
      <c r="P748" s="64" t="str">
        <f>IF($Q748&lt;&gt;0,VLOOKUP($Q748,DM_KM,5,0),"")</f>
        <v>#N/A</v>
      </c>
      <c r="Q748" s="65" t="s">
        <v>203</v>
      </c>
      <c r="R748" s="64" t="str">
        <f>IF(S748&lt;&gt;0,VLOOKUP(S748,DM_DUAN,3,0),"")</f>
        <v>#N/A</v>
      </c>
      <c r="S748" s="66" t="str">
        <f>IF(U748&lt;&gt;0,VLOOKUP(U748,DM_DUAN,3,0),"")</f>
        <v>KIMCUONGLAND</v>
      </c>
      <c r="T748" s="64"/>
      <c r="U748" s="67" t="s">
        <v>638</v>
      </c>
      <c r="V748" s="64" t="str">
        <f>IF(W748&lt;&gt;0,VLOOKUP(W748,DM_DUAN,3,0),"")</f>
        <v>#N/A</v>
      </c>
      <c r="W748" s="83" t="s">
        <v>784</v>
      </c>
      <c r="X748" s="64" t="str">
        <f>IF(Y748&lt;&gt;0,VLOOKUP(Y748,DM_DUAN,3,0),"")</f>
        <v>#N/A</v>
      </c>
      <c r="Y748" s="69" t="s">
        <v>176</v>
      </c>
      <c r="Z748" s="64" t="str">
        <f>IF(AA748&lt;&gt;0,VLOOKUP(AA748,DM_DUAN,3,0),"")</f>
        <v>#N/A</v>
      </c>
      <c r="AA748" s="70" t="s">
        <v>705</v>
      </c>
      <c r="AB748" s="64" t="str">
        <f>IF(AC748&lt;&gt;0,VLOOKUP(AC748,DM_DUAN,3,0),"")</f>
        <v/>
      </c>
      <c r="AC748" s="85"/>
      <c r="AD748" s="64" t="str">
        <f>IF(AC748&lt;&gt;0,VLOOKUP(AC748,DM_NV,2,0),"")</f>
        <v/>
      </c>
      <c r="AE748" s="68"/>
      <c r="AF748" s="64" t="str">
        <f>IF(AE748&lt;&gt;0,VLOOKUP(AE748,DM_NV,2,0),"")</f>
        <v/>
      </c>
    </row>
    <row r="749">
      <c r="A749" s="51"/>
      <c r="B749" s="52" t="str">
        <f>IF(D749="","",VLOOKUP(D749,'THAM CHIẾU'!$A:$B,2,0))</f>
        <v>#N/A</v>
      </c>
      <c r="C749" s="53" t="str">
        <f t="shared" si="4"/>
        <v>04/2022</v>
      </c>
      <c r="D749" s="99">
        <v>44659.0</v>
      </c>
      <c r="E749" s="55" t="s">
        <v>789</v>
      </c>
      <c r="F749" s="56"/>
      <c r="G749" s="57" t="s">
        <v>197</v>
      </c>
      <c r="H749" s="58" t="str">
        <f>IF(G749="","",VLOOKUP($G749,'Quy chuẩn hạch toán'!$B:$E,2,0))</f>
        <v>#N/A</v>
      </c>
      <c r="I749" s="58" t="str">
        <f>IF(H749="","",VLOOKUP($G749,'Quy chuẩn hạch toán'!$B:$E,3,0))</f>
        <v>#N/A</v>
      </c>
      <c r="J749" s="59">
        <v>4.95E8</v>
      </c>
      <c r="K749" s="60"/>
      <c r="L749" s="61"/>
      <c r="M749" s="62"/>
      <c r="N749" s="63"/>
      <c r="O749" s="64" t="str">
        <f>IF($Q749&lt;&gt;0,VLOOKUP($Q749,DM_KM,3,0),"")</f>
        <v>#N/A</v>
      </c>
      <c r="P749" s="64" t="str">
        <f>IF($Q749&lt;&gt;0,VLOOKUP($Q749,DM_KM,5,0),"")</f>
        <v>#N/A</v>
      </c>
      <c r="Q749" s="65" t="s">
        <v>198</v>
      </c>
      <c r="R749" s="64" t="str">
        <f>IF(S749&lt;&gt;0,VLOOKUP(S749,DM_DUAN,3,0),"")</f>
        <v>#N/A</v>
      </c>
      <c r="S749" s="66" t="str">
        <f>IF(U749&lt;&gt;0,VLOOKUP(U749,DM_DUAN,3,0),"")</f>
        <v>KIMCUONGLAND</v>
      </c>
      <c r="T749" s="64"/>
      <c r="U749" s="67" t="s">
        <v>638</v>
      </c>
      <c r="V749" s="64" t="str">
        <f>IF(W749&lt;&gt;0,VLOOKUP(W749,DM_DUAN,3,0),"")</f>
        <v>#N/A</v>
      </c>
      <c r="W749" s="83" t="s">
        <v>790</v>
      </c>
      <c r="X749" s="64" t="str">
        <f>IF(Y749&lt;&gt;0,VLOOKUP(Y749,DM_DUAN,3,0),"")</f>
        <v>#N/A</v>
      </c>
      <c r="Y749" s="69" t="s">
        <v>176</v>
      </c>
      <c r="Z749" s="64" t="str">
        <f>IF(AA749&lt;&gt;0,VLOOKUP(AA749,DM_DUAN,3,0),"")</f>
        <v>#N/A</v>
      </c>
      <c r="AA749" s="70" t="s">
        <v>177</v>
      </c>
      <c r="AB749" s="64" t="str">
        <f>IF(AC749&lt;&gt;0,VLOOKUP(AC749,DM_DUAN,3,0),"")</f>
        <v>#N/A</v>
      </c>
      <c r="AC749" s="70" t="s">
        <v>791</v>
      </c>
      <c r="AD749" s="64" t="str">
        <f>IF(AC749&lt;&gt;0,VLOOKUP(AC749,DM_NV,2,0),"")</f>
        <v>Hồ Thị Thuý An</v>
      </c>
      <c r="AE749" s="68"/>
      <c r="AF749" s="64" t="str">
        <f>IF(AE749&lt;&gt;0,VLOOKUP(AE749,DM_NV,2,0),"")</f>
        <v/>
      </c>
    </row>
    <row r="750">
      <c r="A750" s="51"/>
      <c r="B750" s="52" t="str">
        <f>IF(D750="","",VLOOKUP(D750,'THAM CHIẾU'!$A:$B,2,0))</f>
        <v/>
      </c>
      <c r="C750" s="53" t="str">
        <f t="shared" si="4"/>
        <v/>
      </c>
      <c r="D750" s="99"/>
      <c r="E750" s="55"/>
      <c r="F750" s="56"/>
      <c r="G750" s="57"/>
      <c r="H750" s="58" t="str">
        <f>IF(G750="","",VLOOKUP($G750,'Quy chuẩn hạch toán'!$B:$E,2,0))</f>
        <v/>
      </c>
      <c r="I750" s="58" t="str">
        <f>IF(H750="","",VLOOKUP($G750,'Quy chuẩn hạch toán'!$B:$E,3,0))</f>
        <v/>
      </c>
      <c r="J750" s="59"/>
      <c r="K750" s="60"/>
      <c r="L750" s="61"/>
      <c r="M750" s="62"/>
      <c r="N750" s="63"/>
      <c r="O750" s="64"/>
      <c r="P750" s="64"/>
      <c r="Q750" s="65"/>
      <c r="R750" s="64" t="str">
        <f>IF(S750&lt;&gt;0,VLOOKUP(S750,DM_DUAN,3,0),"")</f>
        <v>#N/A</v>
      </c>
      <c r="S750" s="66" t="str">
        <f>IF(U750&lt;&gt;0,VLOOKUP(U750,DM_DUAN,3,0),"")</f>
        <v/>
      </c>
      <c r="T750" s="64"/>
      <c r="U750" s="67"/>
      <c r="V750" s="64" t="str">
        <f>IF(W750&lt;&gt;0,VLOOKUP(W750,DM_DUAN,3,0),"")</f>
        <v/>
      </c>
      <c r="W750" s="83"/>
      <c r="X750" s="64" t="str">
        <f>IF(Y750&lt;&gt;0,VLOOKUP(Y750,DM_DUAN,3,0),"")</f>
        <v/>
      </c>
      <c r="Y750" s="69"/>
      <c r="Z750" s="64" t="str">
        <f>IF(AA750&lt;&gt;0,VLOOKUP(AA750,DM_DUAN,3,0),"")</f>
        <v/>
      </c>
      <c r="AA750" s="70"/>
      <c r="AB750" s="64" t="str">
        <f>IF(AC750&lt;&gt;0,VLOOKUP(AC750,DM_DUAN,3,0),"")</f>
        <v/>
      </c>
      <c r="AC750" s="85"/>
      <c r="AD750" s="64" t="str">
        <f>IF(AC750&lt;&gt;0,VLOOKUP(AC750,DM_NV,2,0),"")</f>
        <v/>
      </c>
      <c r="AE750" s="68"/>
      <c r="AF750" s="64" t="str">
        <f>IF(AE750&lt;&gt;0,VLOOKUP(AE750,DM_NV,2,0),"")</f>
        <v/>
      </c>
    </row>
    <row r="751">
      <c r="A751" s="51"/>
      <c r="B751" s="52" t="str">
        <f>IF(D751="","",VLOOKUP(D751,'THAM CHIẾU'!$A:$B,2,0))</f>
        <v>#N/A</v>
      </c>
      <c r="C751" s="53" t="str">
        <f t="shared" si="4"/>
        <v>04/2022</v>
      </c>
      <c r="D751" s="99">
        <v>44659.0</v>
      </c>
      <c r="E751" s="55" t="s">
        <v>792</v>
      </c>
      <c r="F751" s="56"/>
      <c r="G751" s="57" t="s">
        <v>186</v>
      </c>
      <c r="H751" s="58" t="str">
        <f>IF(G751="","",VLOOKUP($G751,'Quy chuẩn hạch toán'!$B:$E,2,0))</f>
        <v>131</v>
      </c>
      <c r="I751" s="58" t="str">
        <f>IF(H751="","",VLOOKUP($G751,'Quy chuẩn hạch toán'!$B:$E,3,0))</f>
        <v>5113</v>
      </c>
      <c r="J751" s="59">
        <v>1.02E8</v>
      </c>
      <c r="K751" s="60"/>
      <c r="L751" s="61"/>
      <c r="M751" s="62"/>
      <c r="N751" s="63"/>
      <c r="O751" s="64" t="str">
        <f>IF($Q751&lt;&gt;0,VLOOKUP($Q751,DM_KM,3,0),"")</f>
        <v>511_TK</v>
      </c>
      <c r="P751" s="64">
        <f>IF($Q751&lt;&gt;0,VLOOKUP($Q751,DM_KM,5,0),"")</f>
        <v>511</v>
      </c>
      <c r="Q751" s="65" t="s">
        <v>187</v>
      </c>
      <c r="R751" s="64" t="str">
        <f>IF(S751&lt;&gt;0,VLOOKUP(S751,DM_DUAN,3,0),"")</f>
        <v>#N/A</v>
      </c>
      <c r="S751" s="66" t="str">
        <f>IF(U751&lt;&gt;0,VLOOKUP(U751,DM_DUAN,3,0),"")</f>
        <v>KIMCUONGLAND</v>
      </c>
      <c r="T751" s="64"/>
      <c r="U751" s="67" t="s">
        <v>638</v>
      </c>
      <c r="V751" s="64" t="str">
        <f>IF(W751&lt;&gt;0,VLOOKUP(W751,DM_DUAN,3,0),"")</f>
        <v>#N/A</v>
      </c>
      <c r="W751" s="83" t="s">
        <v>790</v>
      </c>
      <c r="X751" s="64" t="str">
        <f>IF(Y751&lt;&gt;0,VLOOKUP(Y751,DM_DUAN,3,0),"")</f>
        <v>#N/A</v>
      </c>
      <c r="Y751" s="69" t="s">
        <v>176</v>
      </c>
      <c r="Z751" s="64" t="str">
        <f>IF(AA751&lt;&gt;0,VLOOKUP(AA751,DM_DUAN,3,0),"")</f>
        <v>#N/A</v>
      </c>
      <c r="AA751" s="70" t="s">
        <v>177</v>
      </c>
      <c r="AB751" s="64" t="str">
        <f>IF(AC751&lt;&gt;0,VLOOKUP(AC751,DM_DUAN,3,0),"")</f>
        <v/>
      </c>
      <c r="AC751" s="85"/>
      <c r="AD751" s="64" t="str">
        <f>IF(AC751&lt;&gt;0,VLOOKUP(AC751,DM_NV,2,0),"")</f>
        <v/>
      </c>
      <c r="AE751" s="68"/>
      <c r="AF751" s="64" t="str">
        <f>IF(AE751&lt;&gt;0,VLOOKUP(AE751,DM_NV,2,0),"")</f>
        <v/>
      </c>
    </row>
    <row r="752">
      <c r="A752" s="51"/>
      <c r="B752" s="52" t="str">
        <f>IF(D752="","",VLOOKUP(D752,'THAM CHIẾU'!$A:$B,2,0))</f>
        <v>#N/A</v>
      </c>
      <c r="C752" s="53" t="str">
        <f t="shared" si="4"/>
        <v>04/2022</v>
      </c>
      <c r="D752" s="99">
        <v>44659.0</v>
      </c>
      <c r="E752" s="55" t="s">
        <v>793</v>
      </c>
      <c r="F752" s="56"/>
      <c r="G752" s="57" t="s">
        <v>189</v>
      </c>
      <c r="H752" s="58" t="str">
        <f>IF(G752="","",VLOOKUP($G752,'Quy chuẩn hạch toán'!$B:$E,2,0))</f>
        <v>154</v>
      </c>
      <c r="I752" s="58" t="str">
        <f>IF(H752="","",VLOOKUP($G752,'Quy chuẩn hạch toán'!$B:$E,3,0))</f>
        <v>3345</v>
      </c>
      <c r="J752" s="59">
        <v>2.0325E7</v>
      </c>
      <c r="K752" s="60"/>
      <c r="L752" s="61"/>
      <c r="M752" s="62"/>
      <c r="N752" s="63"/>
      <c r="O752" s="64" t="str">
        <f>IF($Q752&lt;&gt;0,VLOOKUP($Q752,DM_KM,3,0),"")</f>
        <v>#N/A</v>
      </c>
      <c r="P752" s="64" t="str">
        <f>IF($Q752&lt;&gt;0,VLOOKUP($Q752,DM_KM,5,0),"")</f>
        <v>#N/A</v>
      </c>
      <c r="Q752" s="65" t="s">
        <v>190</v>
      </c>
      <c r="R752" s="64" t="str">
        <f>IF(S752&lt;&gt;0,VLOOKUP(S752,DM_DUAN,3,0),"")</f>
        <v>#N/A</v>
      </c>
      <c r="S752" s="66" t="str">
        <f>IF(U752&lt;&gt;0,VLOOKUP(U752,DM_DUAN,3,0),"")</f>
        <v>KIMCUONGLAND</v>
      </c>
      <c r="T752" s="64"/>
      <c r="U752" s="67" t="s">
        <v>638</v>
      </c>
      <c r="V752" s="64" t="str">
        <f>IF(W752&lt;&gt;0,VLOOKUP(W752,DM_DUAN,3,0),"")</f>
        <v>#N/A</v>
      </c>
      <c r="W752" s="83" t="s">
        <v>790</v>
      </c>
      <c r="X752" s="64" t="str">
        <f>IF(Y752&lt;&gt;0,VLOOKUP(Y752,DM_DUAN,3,0),"")</f>
        <v>#N/A</v>
      </c>
      <c r="Y752" s="69" t="s">
        <v>176</v>
      </c>
      <c r="Z752" s="64" t="str">
        <f>IF(AA752&lt;&gt;0,VLOOKUP(AA752,DM_DUAN,3,0),"")</f>
        <v>#N/A</v>
      </c>
      <c r="AA752" s="70" t="s">
        <v>177</v>
      </c>
      <c r="AB752" s="64" t="str">
        <f>IF(AC752&lt;&gt;0,VLOOKUP(AC752,DM_DUAN,3,0),"")</f>
        <v>#N/A</v>
      </c>
      <c r="AC752" s="70" t="s">
        <v>791</v>
      </c>
      <c r="AD752" s="64" t="str">
        <f>IF(AC752&lt;&gt;0,VLOOKUP(AC752,DM_NV,2,0),"")</f>
        <v>Hồ Thị Thuý An</v>
      </c>
      <c r="AE752" s="68"/>
      <c r="AF752" s="64" t="str">
        <f>IF(AE752&lt;&gt;0,VLOOKUP(AE752,DM_NV,2,0),"")</f>
        <v/>
      </c>
    </row>
    <row r="753">
      <c r="A753" s="51"/>
      <c r="B753" s="52"/>
      <c r="C753" s="53" t="str">
        <f t="shared" si="4"/>
        <v>04/2022</v>
      </c>
      <c r="D753" s="99">
        <v>44659.0</v>
      </c>
      <c r="E753" s="55" t="s">
        <v>794</v>
      </c>
      <c r="F753" s="56"/>
      <c r="G753" s="57" t="s">
        <v>193</v>
      </c>
      <c r="H753" s="58" t="str">
        <f>IF(G753="","",VLOOKUP($G753,'Quy chuẩn hạch toán'!$B:$E,2,0))</f>
        <v>154</v>
      </c>
      <c r="I753" s="58" t="str">
        <f>IF(H753="","",VLOOKUP($G753,'Quy chuẩn hạch toán'!$B:$E,3,0))</f>
        <v>3344</v>
      </c>
      <c r="J753" s="59">
        <v>1980000.0</v>
      </c>
      <c r="K753" s="60"/>
      <c r="L753" s="61"/>
      <c r="M753" s="62"/>
      <c r="N753" s="63"/>
      <c r="O753" s="64" t="str">
        <f>IF($Q753&lt;&gt;0,VLOOKUP($Q753,DM_KM,3,0),"")</f>
        <v>#N/A</v>
      </c>
      <c r="P753" s="64" t="str">
        <f>IF($Q753&lt;&gt;0,VLOOKUP($Q753,DM_KM,5,0),"")</f>
        <v>#N/A</v>
      </c>
      <c r="Q753" s="65" t="s">
        <v>194</v>
      </c>
      <c r="R753" s="64" t="str">
        <f>IF(S753&lt;&gt;0,VLOOKUP(S753,DM_DUAN,3,0),"")</f>
        <v>#N/A</v>
      </c>
      <c r="S753" s="66" t="str">
        <f>IF(U753&lt;&gt;0,VLOOKUP(U753,DM_DUAN,3,0),"")</f>
        <v>KIMCUONGLAND</v>
      </c>
      <c r="T753" s="64"/>
      <c r="U753" s="67" t="s">
        <v>638</v>
      </c>
      <c r="V753" s="64" t="str">
        <f>IF(W753&lt;&gt;0,VLOOKUP(W753,DM_DUAN,3,0),"")</f>
        <v>#N/A</v>
      </c>
      <c r="W753" s="83" t="s">
        <v>790</v>
      </c>
      <c r="X753" s="64" t="str">
        <f>IF(Y753&lt;&gt;0,VLOOKUP(Y753,DM_DUAN,3,0),"")</f>
        <v>#N/A</v>
      </c>
      <c r="Y753" s="69" t="s">
        <v>176</v>
      </c>
      <c r="Z753" s="64" t="str">
        <f>IF(AA753&lt;&gt;0,VLOOKUP(AA753,DM_DUAN,3,0),"")</f>
        <v>#N/A</v>
      </c>
      <c r="AA753" s="70" t="s">
        <v>177</v>
      </c>
      <c r="AB753" s="64" t="str">
        <f>IF(AC753&lt;&gt;0,VLOOKUP(AC753,DM_DUAN,3,0),"")</f>
        <v>#N/A</v>
      </c>
      <c r="AC753" s="70" t="s">
        <v>795</v>
      </c>
      <c r="AD753" s="64" t="str">
        <f>IF(AC753&lt;&gt;0,VLOOKUP(AC753,DM_NV,2,0),"")</f>
        <v>Trịnh Công Hoàng</v>
      </c>
      <c r="AE753" s="68"/>
      <c r="AF753" s="64" t="str">
        <f>IF(AE753&lt;&gt;0,VLOOKUP(AE753,DM_NV,2,0),"")</f>
        <v/>
      </c>
    </row>
    <row r="754">
      <c r="A754" s="51"/>
      <c r="B754" s="52" t="str">
        <f>IF(D754="","",VLOOKUP(D754,'THAM CHIẾU'!$A:$B,2,0))</f>
        <v>#N/A</v>
      </c>
      <c r="C754" s="53" t="str">
        <f t="shared" si="4"/>
        <v>04/2022</v>
      </c>
      <c r="D754" s="99">
        <v>44659.0</v>
      </c>
      <c r="E754" s="55" t="s">
        <v>796</v>
      </c>
      <c r="F754" s="56"/>
      <c r="G754" s="57" t="s">
        <v>200</v>
      </c>
      <c r="H754" s="58" t="str">
        <f>IF(G754="","",VLOOKUP($G754,'Quy chuẩn hạch toán'!$B:$E,2,0))</f>
        <v>154</v>
      </c>
      <c r="I754" s="58" t="str">
        <f>IF(H754="","",VLOOKUP($G754,'Quy chuẩn hạch toán'!$B:$E,3,0))</f>
        <v>3343</v>
      </c>
      <c r="J754" s="59">
        <v>1000000.0</v>
      </c>
      <c r="K754" s="60"/>
      <c r="L754" s="61"/>
      <c r="M754" s="62"/>
      <c r="N754" s="63"/>
      <c r="O754" s="64" t="str">
        <f>IF($Q754&lt;&gt;0,VLOOKUP($Q754,DM_KM,3,0),"")</f>
        <v>#N/A</v>
      </c>
      <c r="P754" s="64" t="str">
        <f>IF($Q754&lt;&gt;0,VLOOKUP($Q754,DM_KM,5,0),"")</f>
        <v>#N/A</v>
      </c>
      <c r="Q754" s="65" t="s">
        <v>201</v>
      </c>
      <c r="R754" s="64" t="str">
        <f>IF(S754&lt;&gt;0,VLOOKUP(S754,DM_DUAN,3,0),"")</f>
        <v>#N/A</v>
      </c>
      <c r="S754" s="66" t="str">
        <f>IF(U754&lt;&gt;0,VLOOKUP(U754,DM_DUAN,3,0),"")</f>
        <v>KIMCUONGLAND</v>
      </c>
      <c r="T754" s="64"/>
      <c r="U754" s="67" t="s">
        <v>638</v>
      </c>
      <c r="V754" s="64" t="str">
        <f>IF(W754&lt;&gt;0,VLOOKUP(W754,DM_DUAN,3,0),"")</f>
        <v>#N/A</v>
      </c>
      <c r="W754" s="83" t="s">
        <v>790</v>
      </c>
      <c r="X754" s="64" t="str">
        <f>IF(Y754&lt;&gt;0,VLOOKUP(Y754,DM_DUAN,3,0),"")</f>
        <v>#N/A</v>
      </c>
      <c r="Y754" s="69" t="s">
        <v>176</v>
      </c>
      <c r="Z754" s="64" t="str">
        <f>IF(AA754&lt;&gt;0,VLOOKUP(AA754,DM_DUAN,3,0),"")</f>
        <v>#N/A</v>
      </c>
      <c r="AA754" s="70" t="s">
        <v>177</v>
      </c>
      <c r="AB754" s="64" t="str">
        <f>IF(AC754&lt;&gt;0,VLOOKUP(AC754,DM_DUAN,3,0),"")</f>
        <v/>
      </c>
      <c r="AC754" s="85"/>
      <c r="AD754" s="64" t="str">
        <f>IF(AC754&lt;&gt;0,VLOOKUP(AC754,DM_NV,2,0),"")</f>
        <v/>
      </c>
      <c r="AE754" s="68"/>
      <c r="AF754" s="64" t="str">
        <f>IF(AE754&lt;&gt;0,VLOOKUP(AE754,DM_NV,2,0),"")</f>
        <v/>
      </c>
    </row>
    <row r="755">
      <c r="A755" s="51"/>
      <c r="B755" s="52" t="str">
        <f>IF(D755="","",VLOOKUP(D755,'THAM CHIẾU'!$A:$B,2,0))</f>
        <v>#N/A</v>
      </c>
      <c r="C755" s="53" t="str">
        <f t="shared" si="4"/>
        <v>04/2022</v>
      </c>
      <c r="D755" s="99">
        <v>44659.0</v>
      </c>
      <c r="E755" s="55" t="s">
        <v>797</v>
      </c>
      <c r="F755" s="56"/>
      <c r="G755" s="90"/>
      <c r="H755" s="58" t="str">
        <f>IF(G755="","",VLOOKUP($G755,'Quy chuẩn hạch toán'!$B:$E,2,0))</f>
        <v/>
      </c>
      <c r="I755" s="58" t="str">
        <f>IF(H755="","",VLOOKUP($G755,'Quy chuẩn hạch toán'!$B:$E,3,0))</f>
        <v/>
      </c>
      <c r="J755" s="59">
        <v>7920000.0</v>
      </c>
      <c r="K755" s="60"/>
      <c r="L755" s="61"/>
      <c r="M755" s="62"/>
      <c r="N755" s="63"/>
      <c r="O755" s="64" t="str">
        <f>IF($Q755&lt;&gt;0,VLOOKUP($Q755,DM_KM,3,0),"")</f>
        <v>#N/A</v>
      </c>
      <c r="P755" s="64" t="str">
        <f>IF($Q755&lt;&gt;0,VLOOKUP($Q755,DM_KM,5,0),"")</f>
        <v>#N/A</v>
      </c>
      <c r="Q755" s="65" t="s">
        <v>203</v>
      </c>
      <c r="R755" s="64" t="str">
        <f>IF(S755&lt;&gt;0,VLOOKUP(S755,DM_DUAN,3,0),"")</f>
        <v>#N/A</v>
      </c>
      <c r="S755" s="66" t="str">
        <f>IF(U755&lt;&gt;0,VLOOKUP(U755,DM_DUAN,3,0),"")</f>
        <v>KIMCUONGLAND</v>
      </c>
      <c r="T755" s="64"/>
      <c r="U755" s="67" t="s">
        <v>638</v>
      </c>
      <c r="V755" s="64" t="str">
        <f>IF(W755&lt;&gt;0,VLOOKUP(W755,DM_DUAN,3,0),"")</f>
        <v>#N/A</v>
      </c>
      <c r="W755" s="83" t="s">
        <v>790</v>
      </c>
      <c r="X755" s="64" t="str">
        <f>IF(Y755&lt;&gt;0,VLOOKUP(Y755,DM_DUAN,3,0),"")</f>
        <v>#N/A</v>
      </c>
      <c r="Y755" s="69" t="s">
        <v>176</v>
      </c>
      <c r="Z755" s="64" t="str">
        <f>IF(AA755&lt;&gt;0,VLOOKUP(AA755,DM_DUAN,3,0),"")</f>
        <v>#N/A</v>
      </c>
      <c r="AA755" s="70" t="s">
        <v>177</v>
      </c>
      <c r="AB755" s="64" t="str">
        <f>IF(AC755&lt;&gt;0,VLOOKUP(AC755,DM_DUAN,3,0),"")</f>
        <v/>
      </c>
      <c r="AC755" s="85"/>
      <c r="AD755" s="64" t="str">
        <f>IF(AC755&lt;&gt;0,VLOOKUP(AC755,DM_NV,2,0),"")</f>
        <v/>
      </c>
      <c r="AE755" s="68"/>
      <c r="AF755" s="64" t="str">
        <f>IF(AE755&lt;&gt;0,VLOOKUP(AE755,DM_NV,2,0),"")</f>
        <v/>
      </c>
    </row>
    <row r="756">
      <c r="A756" s="51"/>
      <c r="B756" s="52" t="str">
        <f>IF(D756="","",VLOOKUP(D756,'THAM CHIẾU'!$A:$B,2,0))</f>
        <v>#N/A</v>
      </c>
      <c r="C756" s="53" t="str">
        <f t="shared" si="4"/>
        <v>04/2022</v>
      </c>
      <c r="D756" s="99">
        <v>44659.0</v>
      </c>
      <c r="E756" s="55" t="s">
        <v>798</v>
      </c>
      <c r="F756" s="56"/>
      <c r="G756" s="57" t="s">
        <v>197</v>
      </c>
      <c r="H756" s="58" t="str">
        <f>IF(G756="","",VLOOKUP($G756,'Quy chuẩn hạch toán'!$B:$E,2,0))</f>
        <v>#N/A</v>
      </c>
      <c r="I756" s="58" t="str">
        <f>IF(H756="","",VLOOKUP($G756,'Quy chuẩn hạch toán'!$B:$E,3,0))</f>
        <v>#N/A</v>
      </c>
      <c r="J756" s="59">
        <v>1.91065E9</v>
      </c>
      <c r="K756" s="60"/>
      <c r="L756" s="61"/>
      <c r="M756" s="62"/>
      <c r="N756" s="63"/>
      <c r="O756" s="64" t="str">
        <f>IF($Q756&lt;&gt;0,VLOOKUP($Q756,DM_KM,3,0),"")</f>
        <v>#N/A</v>
      </c>
      <c r="P756" s="64" t="str">
        <f>IF($Q756&lt;&gt;0,VLOOKUP($Q756,DM_KM,5,0),"")</f>
        <v>#N/A</v>
      </c>
      <c r="Q756" s="65" t="s">
        <v>198</v>
      </c>
      <c r="R756" s="64" t="str">
        <f>IF(S756&lt;&gt;0,VLOOKUP(S756,DM_DUAN,3,0),"")</f>
        <v>#N/A</v>
      </c>
      <c r="S756" s="66" t="str">
        <f>IF(U756&lt;&gt;0,VLOOKUP(U756,DM_DUAN,3,0),"")</f>
        <v>THANHNAM</v>
      </c>
      <c r="T756" s="64"/>
      <c r="U756" s="67" t="s">
        <v>530</v>
      </c>
      <c r="V756" s="64" t="str">
        <f>IF(W756&lt;&gt;0,VLOOKUP(W756,DM_DUAN,3,0),"")</f>
        <v>#N/A</v>
      </c>
      <c r="W756" s="83" t="s">
        <v>799</v>
      </c>
      <c r="X756" s="64" t="str">
        <f>IF(Y756&lt;&gt;0,VLOOKUP(Y756,DM_DUAN,3,0),"")</f>
        <v>#N/A</v>
      </c>
      <c r="Y756" s="69" t="s">
        <v>176</v>
      </c>
      <c r="Z756" s="64" t="str">
        <f>IF(AA756&lt;&gt;0,VLOOKUP(AA756,DM_DUAN,3,0),"")</f>
        <v>#N/A</v>
      </c>
      <c r="AA756" s="70" t="s">
        <v>183</v>
      </c>
      <c r="AB756" s="64" t="str">
        <f>IF(AC756&lt;&gt;0,VLOOKUP(AC756,DM_DUAN,3,0),"")</f>
        <v>#N/A</v>
      </c>
      <c r="AC756" s="70" t="s">
        <v>800</v>
      </c>
      <c r="AD756" s="64" t="str">
        <f>IF(AC756&lt;&gt;0,VLOOKUP(AC756,DM_NV,2,0),"")</f>
        <v>Huỳnh Hải Âu</v>
      </c>
      <c r="AE756" s="68"/>
      <c r="AF756" s="64" t="str">
        <f>IF(AE756&lt;&gt;0,VLOOKUP(AE756,DM_NV,2,0),"")</f>
        <v/>
      </c>
    </row>
    <row r="757">
      <c r="A757" s="51"/>
      <c r="B757" s="52" t="str">
        <f>IF(D757="","",VLOOKUP(D757,'THAM CHIẾU'!$A:$B,2,0))</f>
        <v/>
      </c>
      <c r="C757" s="53" t="str">
        <f t="shared" si="4"/>
        <v/>
      </c>
      <c r="D757" s="99"/>
      <c r="E757" s="55"/>
      <c r="F757" s="56"/>
      <c r="G757" s="57"/>
      <c r="H757" s="58" t="str">
        <f>IF(G757="","",VLOOKUP($G757,'Quy chuẩn hạch toán'!$B:$E,2,0))</f>
        <v/>
      </c>
      <c r="I757" s="58" t="str">
        <f>IF(H757="","",VLOOKUP($G757,'Quy chuẩn hạch toán'!$B:$E,3,0))</f>
        <v/>
      </c>
      <c r="J757" s="59"/>
      <c r="K757" s="60"/>
      <c r="L757" s="61"/>
      <c r="M757" s="62"/>
      <c r="N757" s="63"/>
      <c r="O757" s="64"/>
      <c r="P757" s="64"/>
      <c r="Q757" s="65"/>
      <c r="R757" s="64" t="str">
        <f>IF(S757&lt;&gt;0,VLOOKUP(S757,DM_DUAN,3,0),"")</f>
        <v>#N/A</v>
      </c>
      <c r="S757" s="66" t="str">
        <f>IF(U757&lt;&gt;0,VLOOKUP(U757,DM_DUAN,3,0),"")</f>
        <v/>
      </c>
      <c r="T757" s="64"/>
      <c r="U757" s="67"/>
      <c r="V757" s="64" t="str">
        <f>IF(W757&lt;&gt;0,VLOOKUP(W757,DM_DUAN,3,0),"")</f>
        <v/>
      </c>
      <c r="W757" s="83"/>
      <c r="X757" s="64" t="str">
        <f>IF(Y757&lt;&gt;0,VLOOKUP(Y757,DM_DUAN,3,0),"")</f>
        <v/>
      </c>
      <c r="Y757" s="69"/>
      <c r="Z757" s="64" t="str">
        <f>IF(AA757&lt;&gt;0,VLOOKUP(AA757,DM_DUAN,3,0),"")</f>
        <v/>
      </c>
      <c r="AA757" s="70"/>
      <c r="AB757" s="64" t="str">
        <f>IF(AC757&lt;&gt;0,VLOOKUP(AC757,DM_DUAN,3,0),"")</f>
        <v/>
      </c>
      <c r="AC757" s="85"/>
      <c r="AD757" s="64" t="str">
        <f>IF(AC757&lt;&gt;0,VLOOKUP(AC757,DM_NV,2,0),"")</f>
        <v/>
      </c>
      <c r="AE757" s="68"/>
      <c r="AF757" s="64" t="str">
        <f>IF(AE757&lt;&gt;0,VLOOKUP(AE757,DM_NV,2,0),"")</f>
        <v/>
      </c>
    </row>
    <row r="758">
      <c r="A758" s="51"/>
      <c r="B758" s="52" t="str">
        <f>IF(D758="","",VLOOKUP(D758,'THAM CHIẾU'!$A:$B,2,0))</f>
        <v>#N/A</v>
      </c>
      <c r="C758" s="53" t="str">
        <f t="shared" si="4"/>
        <v>04/2022</v>
      </c>
      <c r="D758" s="99">
        <v>44659.0</v>
      </c>
      <c r="E758" s="55" t="s">
        <v>801</v>
      </c>
      <c r="F758" s="56"/>
      <c r="G758" s="57" t="s">
        <v>186</v>
      </c>
      <c r="H758" s="58" t="str">
        <f>IF(G758="","",VLOOKUP($G758,'Quy chuẩn hạch toán'!$B:$E,2,0))</f>
        <v>131</v>
      </c>
      <c r="I758" s="58" t="str">
        <f>IF(H758="","",VLOOKUP($G758,'Quy chuẩn hạch toán'!$B:$E,3,0))</f>
        <v>5113</v>
      </c>
      <c r="J758" s="59">
        <v>1.71E8</v>
      </c>
      <c r="K758" s="60"/>
      <c r="L758" s="61"/>
      <c r="M758" s="62"/>
      <c r="N758" s="63"/>
      <c r="O758" s="64" t="str">
        <f>IF($Q758&lt;&gt;0,VLOOKUP($Q758,DM_KM,3,0),"")</f>
        <v>511_TK</v>
      </c>
      <c r="P758" s="64">
        <f>IF($Q758&lt;&gt;0,VLOOKUP($Q758,DM_KM,5,0),"")</f>
        <v>511</v>
      </c>
      <c r="Q758" s="65" t="s">
        <v>187</v>
      </c>
      <c r="R758" s="64" t="str">
        <f>IF(S758&lt;&gt;0,VLOOKUP(S758,DM_DUAN,3,0),"")</f>
        <v>#N/A</v>
      </c>
      <c r="S758" s="66" t="str">
        <f>IF(U758&lt;&gt;0,VLOOKUP(U758,DM_DUAN,3,0),"")</f>
        <v>THANHNAM</v>
      </c>
      <c r="T758" s="64"/>
      <c r="U758" s="67" t="s">
        <v>530</v>
      </c>
      <c r="V758" s="64" t="str">
        <f>IF(W758&lt;&gt;0,VLOOKUP(W758,DM_DUAN,3,0),"")</f>
        <v>#N/A</v>
      </c>
      <c r="W758" s="83" t="s">
        <v>799</v>
      </c>
      <c r="X758" s="64" t="str">
        <f>IF(Y758&lt;&gt;0,VLOOKUP(Y758,DM_DUAN,3,0),"")</f>
        <v>#N/A</v>
      </c>
      <c r="Y758" s="69" t="s">
        <v>176</v>
      </c>
      <c r="Z758" s="64" t="str">
        <f>IF(AA758&lt;&gt;0,VLOOKUP(AA758,DM_DUAN,3,0),"")</f>
        <v>#N/A</v>
      </c>
      <c r="AA758" s="70" t="s">
        <v>183</v>
      </c>
      <c r="AB758" s="64" t="str">
        <f>IF(AC758&lt;&gt;0,VLOOKUP(AC758,DM_DUAN,3,0),"")</f>
        <v/>
      </c>
      <c r="AC758" s="85"/>
      <c r="AD758" s="64" t="str">
        <f>IF(AC758&lt;&gt;0,VLOOKUP(AC758,DM_NV,2,0),"")</f>
        <v/>
      </c>
      <c r="AE758" s="68"/>
      <c r="AF758" s="64" t="str">
        <f>IF(AE758&lt;&gt;0,VLOOKUP(AE758,DM_NV,2,0),"")</f>
        <v/>
      </c>
    </row>
    <row r="759">
      <c r="A759" s="51"/>
      <c r="B759" s="52" t="str">
        <f>IF(D759="","",VLOOKUP(D759,'THAM CHIẾU'!$A:$B,2,0))</f>
        <v>#N/A</v>
      </c>
      <c r="C759" s="53" t="str">
        <f t="shared" si="4"/>
        <v>04/2022</v>
      </c>
      <c r="D759" s="99">
        <v>44659.0</v>
      </c>
      <c r="E759" s="55" t="s">
        <v>802</v>
      </c>
      <c r="F759" s="56"/>
      <c r="G759" s="57" t="s">
        <v>189</v>
      </c>
      <c r="H759" s="58" t="str">
        <f>IF(G759="","",VLOOKUP($G759,'Quy chuẩn hạch toán'!$B:$E,2,0))</f>
        <v>154</v>
      </c>
      <c r="I759" s="58" t="str">
        <f>IF(H759="","",VLOOKUP($G759,'Quy chuẩn hạch toán'!$B:$E,3,0))</f>
        <v>3345</v>
      </c>
      <c r="J759" s="59">
        <v>6.0E7</v>
      </c>
      <c r="K759" s="60"/>
      <c r="L759" s="61"/>
      <c r="M759" s="62"/>
      <c r="N759" s="63"/>
      <c r="O759" s="64" t="str">
        <f>IF($Q759&lt;&gt;0,VLOOKUP($Q759,DM_KM,3,0),"")</f>
        <v>#N/A</v>
      </c>
      <c r="P759" s="64" t="str">
        <f>IF($Q759&lt;&gt;0,VLOOKUP($Q759,DM_KM,5,0),"")</f>
        <v>#N/A</v>
      </c>
      <c r="Q759" s="65" t="s">
        <v>190</v>
      </c>
      <c r="R759" s="64" t="str">
        <f>IF(S759&lt;&gt;0,VLOOKUP(S759,DM_DUAN,3,0),"")</f>
        <v>#N/A</v>
      </c>
      <c r="S759" s="66" t="str">
        <f>IF(U759&lt;&gt;0,VLOOKUP(U759,DM_DUAN,3,0),"")</f>
        <v>THANHNAM</v>
      </c>
      <c r="T759" s="64"/>
      <c r="U759" s="67" t="s">
        <v>530</v>
      </c>
      <c r="V759" s="64" t="str">
        <f>IF(W759&lt;&gt;0,VLOOKUP(W759,DM_DUAN,3,0),"")</f>
        <v>#N/A</v>
      </c>
      <c r="W759" s="83" t="s">
        <v>799</v>
      </c>
      <c r="X759" s="64" t="str">
        <f>IF(Y759&lt;&gt;0,VLOOKUP(Y759,DM_DUAN,3,0),"")</f>
        <v>#N/A</v>
      </c>
      <c r="Y759" s="69" t="s">
        <v>176</v>
      </c>
      <c r="Z759" s="64" t="str">
        <f>IF(AA759&lt;&gt;0,VLOOKUP(AA759,DM_DUAN,3,0),"")</f>
        <v>#N/A</v>
      </c>
      <c r="AA759" s="70" t="s">
        <v>183</v>
      </c>
      <c r="AB759" s="64" t="str">
        <f>IF(AC759&lt;&gt;0,VLOOKUP(AC759,DM_DUAN,3,0),"")</f>
        <v>#N/A</v>
      </c>
      <c r="AC759" s="70" t="s">
        <v>800</v>
      </c>
      <c r="AD759" s="64" t="str">
        <f>IF(AC759&lt;&gt;0,VLOOKUP(AC759,DM_NV,2,0),"")</f>
        <v>Huỳnh Hải Âu</v>
      </c>
      <c r="AE759" s="83" t="s">
        <v>276</v>
      </c>
      <c r="AF759" s="64" t="str">
        <f>IF(AE759&lt;&gt;0,VLOOKUP(AE759,DM_NV,2,0),"")</f>
        <v>#N/A</v>
      </c>
    </row>
    <row r="760">
      <c r="A760" s="51"/>
      <c r="B760" s="52"/>
      <c r="C760" s="53" t="str">
        <f t="shared" si="4"/>
        <v>04/2022</v>
      </c>
      <c r="D760" s="99">
        <v>44659.0</v>
      </c>
      <c r="E760" s="55" t="s">
        <v>803</v>
      </c>
      <c r="F760" s="56"/>
      <c r="G760" s="57" t="s">
        <v>193</v>
      </c>
      <c r="H760" s="58" t="str">
        <f>IF(G760="","",VLOOKUP($G760,'Quy chuẩn hạch toán'!$B:$E,2,0))</f>
        <v>154</v>
      </c>
      <c r="I760" s="58" t="str">
        <f>IF(H760="","",VLOOKUP($G760,'Quy chuẩn hạch toán'!$B:$E,3,0))</f>
        <v>3344</v>
      </c>
      <c r="J760" s="59">
        <v>4500000.0</v>
      </c>
      <c r="K760" s="60"/>
      <c r="L760" s="61"/>
      <c r="M760" s="62"/>
      <c r="N760" s="63"/>
      <c r="O760" s="64" t="str">
        <f>IF($Q760&lt;&gt;0,VLOOKUP($Q760,DM_KM,3,0),"")</f>
        <v>#N/A</v>
      </c>
      <c r="P760" s="64" t="str">
        <f>IF($Q760&lt;&gt;0,VLOOKUP($Q760,DM_KM,5,0),"")</f>
        <v>#N/A</v>
      </c>
      <c r="Q760" s="65" t="s">
        <v>194</v>
      </c>
      <c r="R760" s="64" t="str">
        <f>IF(S760&lt;&gt;0,VLOOKUP(S760,DM_DUAN,3,0),"")</f>
        <v>#N/A</v>
      </c>
      <c r="S760" s="66" t="str">
        <f>IF(U760&lt;&gt;0,VLOOKUP(U760,DM_DUAN,3,0),"")</f>
        <v>THANHNAM</v>
      </c>
      <c r="T760" s="64"/>
      <c r="U760" s="67" t="s">
        <v>530</v>
      </c>
      <c r="V760" s="64" t="str">
        <f>IF(W760&lt;&gt;0,VLOOKUP(W760,DM_DUAN,3,0),"")</f>
        <v>#N/A</v>
      </c>
      <c r="W760" s="83" t="s">
        <v>799</v>
      </c>
      <c r="X760" s="64" t="str">
        <f>IF(Y760&lt;&gt;0,VLOOKUP(Y760,DM_DUAN,3,0),"")</f>
        <v>#N/A</v>
      </c>
      <c r="Y760" s="69" t="s">
        <v>176</v>
      </c>
      <c r="Z760" s="64" t="str">
        <f>IF(AA760&lt;&gt;0,VLOOKUP(AA760,DM_DUAN,3,0),"")</f>
        <v>#N/A</v>
      </c>
      <c r="AA760" s="70" t="s">
        <v>183</v>
      </c>
      <c r="AB760" s="64" t="str">
        <f>IF(AC760&lt;&gt;0,VLOOKUP(AC760,DM_DUAN,3,0),"")</f>
        <v>#N/A</v>
      </c>
      <c r="AC760" s="70" t="s">
        <v>195</v>
      </c>
      <c r="AD760" s="64" t="str">
        <f>IF(AC760&lt;&gt;0,VLOOKUP(AC760,DM_NV,2,0),"")</f>
        <v>Phan Thị Thùy Mai</v>
      </c>
      <c r="AE760" s="83" t="s">
        <v>276</v>
      </c>
      <c r="AF760" s="64" t="str">
        <f>IF(AE760&lt;&gt;0,VLOOKUP(AE760,DM_NV,2,0),"")</f>
        <v>#N/A</v>
      </c>
    </row>
    <row r="761">
      <c r="A761" s="51"/>
      <c r="B761" s="52" t="str">
        <f>IF(D761="","",VLOOKUP(D761,'THAM CHIẾU'!$A:$B,2,0))</f>
        <v>#N/A</v>
      </c>
      <c r="C761" s="53" t="str">
        <f t="shared" si="4"/>
        <v>04/2022</v>
      </c>
      <c r="D761" s="99">
        <v>44659.0</v>
      </c>
      <c r="E761" s="55" t="s">
        <v>804</v>
      </c>
      <c r="F761" s="56"/>
      <c r="G761" s="57" t="s">
        <v>200</v>
      </c>
      <c r="H761" s="58" t="str">
        <f>IF(G761="","",VLOOKUP($G761,'Quy chuẩn hạch toán'!$B:$E,2,0))</f>
        <v>154</v>
      </c>
      <c r="I761" s="58" t="str">
        <f>IF(H761="","",VLOOKUP($G761,'Quy chuẩn hạch toán'!$B:$E,3,0))</f>
        <v>3343</v>
      </c>
      <c r="J761" s="59">
        <v>1000000.0</v>
      </c>
      <c r="K761" s="60"/>
      <c r="L761" s="61"/>
      <c r="M761" s="62"/>
      <c r="N761" s="63"/>
      <c r="O761" s="64" t="str">
        <f>IF($Q761&lt;&gt;0,VLOOKUP($Q761,DM_KM,3,0),"")</f>
        <v>#N/A</v>
      </c>
      <c r="P761" s="64" t="str">
        <f>IF($Q761&lt;&gt;0,VLOOKUP($Q761,DM_KM,5,0),"")</f>
        <v>#N/A</v>
      </c>
      <c r="Q761" s="65" t="s">
        <v>201</v>
      </c>
      <c r="R761" s="64" t="str">
        <f>IF(S761&lt;&gt;0,VLOOKUP(S761,DM_DUAN,3,0),"")</f>
        <v>#N/A</v>
      </c>
      <c r="S761" s="66" t="str">
        <f>IF(U761&lt;&gt;0,VLOOKUP(U761,DM_DUAN,3,0),"")</f>
        <v>THANHNAM</v>
      </c>
      <c r="T761" s="64"/>
      <c r="U761" s="67" t="s">
        <v>530</v>
      </c>
      <c r="V761" s="64" t="str">
        <f>IF(W761&lt;&gt;0,VLOOKUP(W761,DM_DUAN,3,0),"")</f>
        <v>#N/A</v>
      </c>
      <c r="W761" s="83" t="s">
        <v>799</v>
      </c>
      <c r="X761" s="64" t="str">
        <f>IF(Y761&lt;&gt;0,VLOOKUP(Y761,DM_DUAN,3,0),"")</f>
        <v>#N/A</v>
      </c>
      <c r="Y761" s="69" t="s">
        <v>176</v>
      </c>
      <c r="Z761" s="64" t="str">
        <f>IF(AA761&lt;&gt;0,VLOOKUP(AA761,DM_DUAN,3,0),"")</f>
        <v>#N/A</v>
      </c>
      <c r="AA761" s="70" t="s">
        <v>183</v>
      </c>
      <c r="AB761" s="64" t="str">
        <f>IF(AC761&lt;&gt;0,VLOOKUP(AC761,DM_DUAN,3,0),"")</f>
        <v/>
      </c>
      <c r="AC761" s="85"/>
      <c r="AD761" s="64" t="str">
        <f>IF(AC761&lt;&gt;0,VLOOKUP(AC761,DM_NV,2,0),"")</f>
        <v/>
      </c>
      <c r="AE761" s="68"/>
      <c r="AF761" s="64" t="str">
        <f>IF(AE761&lt;&gt;0,VLOOKUP(AE761,DM_NV,2,0),"")</f>
        <v/>
      </c>
    </row>
    <row r="762">
      <c r="A762" s="51"/>
      <c r="B762" s="52" t="str">
        <f>IF(D762="","",VLOOKUP(D762,'THAM CHIẾU'!$A:$B,2,0))</f>
        <v>#N/A</v>
      </c>
      <c r="C762" s="53" t="str">
        <f t="shared" si="4"/>
        <v>04/2022</v>
      </c>
      <c r="D762" s="99">
        <v>44659.0</v>
      </c>
      <c r="E762" s="55" t="s">
        <v>805</v>
      </c>
      <c r="F762" s="56"/>
      <c r="G762" s="90"/>
      <c r="H762" s="58" t="str">
        <f>IF(G762="","",VLOOKUP($G762,'Quy chuẩn hạch toán'!$B:$E,2,0))</f>
        <v/>
      </c>
      <c r="I762" s="58" t="str">
        <f>IF(H762="","",VLOOKUP($G762,'Quy chuẩn hạch toán'!$B:$E,3,0))</f>
        <v/>
      </c>
      <c r="J762" s="59">
        <v>1.28E7</v>
      </c>
      <c r="K762" s="60"/>
      <c r="L762" s="61"/>
      <c r="M762" s="62"/>
      <c r="N762" s="63"/>
      <c r="O762" s="64" t="str">
        <f>IF($Q762&lt;&gt;0,VLOOKUP($Q762,DM_KM,3,0),"")</f>
        <v>#N/A</v>
      </c>
      <c r="P762" s="64" t="str">
        <f>IF($Q762&lt;&gt;0,VLOOKUP($Q762,DM_KM,5,0),"")</f>
        <v>#N/A</v>
      </c>
      <c r="Q762" s="65" t="s">
        <v>203</v>
      </c>
      <c r="R762" s="64" t="str">
        <f>IF(S762&lt;&gt;0,VLOOKUP(S762,DM_DUAN,3,0),"")</f>
        <v>#N/A</v>
      </c>
      <c r="S762" s="66" t="str">
        <f>IF(U762&lt;&gt;0,VLOOKUP(U762,DM_DUAN,3,0),"")</f>
        <v>THANHNAM</v>
      </c>
      <c r="T762" s="64"/>
      <c r="U762" s="67" t="s">
        <v>530</v>
      </c>
      <c r="V762" s="64" t="str">
        <f>IF(W762&lt;&gt;0,VLOOKUP(W762,DM_DUAN,3,0),"")</f>
        <v>#N/A</v>
      </c>
      <c r="W762" s="83" t="s">
        <v>799</v>
      </c>
      <c r="X762" s="64" t="str">
        <f>IF(Y762&lt;&gt;0,VLOOKUP(Y762,DM_DUAN,3,0),"")</f>
        <v>#N/A</v>
      </c>
      <c r="Y762" s="69" t="s">
        <v>176</v>
      </c>
      <c r="Z762" s="64" t="str">
        <f>IF(AA762&lt;&gt;0,VLOOKUP(AA762,DM_DUAN,3,0),"")</f>
        <v>#N/A</v>
      </c>
      <c r="AA762" s="70" t="s">
        <v>183</v>
      </c>
      <c r="AB762" s="64" t="str">
        <f>IF(AC762&lt;&gt;0,VLOOKUP(AC762,DM_DUAN,3,0),"")</f>
        <v/>
      </c>
      <c r="AC762" s="85"/>
      <c r="AD762" s="64" t="str">
        <f>IF(AC762&lt;&gt;0,VLOOKUP(AC762,DM_NV,2,0),"")</f>
        <v/>
      </c>
      <c r="AE762" s="68"/>
      <c r="AF762" s="64" t="str">
        <f>IF(AE762&lt;&gt;0,VLOOKUP(AE762,DM_NV,2,0),"")</f>
        <v/>
      </c>
    </row>
    <row r="763">
      <c r="A763" s="51"/>
      <c r="B763" s="52" t="str">
        <f>IF(D763="","",VLOOKUP(D763,'THAM CHIẾU'!$A:$B,2,0))</f>
        <v>#N/A</v>
      </c>
      <c r="C763" s="53" t="str">
        <f t="shared" si="4"/>
        <v>04/2022</v>
      </c>
      <c r="D763" s="99">
        <v>44659.0</v>
      </c>
      <c r="E763" s="55" t="s">
        <v>806</v>
      </c>
      <c r="F763" s="56"/>
      <c r="G763" s="57" t="s">
        <v>173</v>
      </c>
      <c r="H763" s="58" t="str">
        <f>IF(G763="","",VLOOKUP($G763,'Quy chuẩn hạch toán'!$B:$E,2,0))</f>
        <v>641</v>
      </c>
      <c r="I763" s="58" t="str">
        <f>IF(H763="","",VLOOKUP($G763,'Quy chuẩn hạch toán'!$B:$E,3,0))</f>
        <v>331</v>
      </c>
      <c r="J763" s="59">
        <v>1896000.0</v>
      </c>
      <c r="K763" s="60"/>
      <c r="L763" s="61"/>
      <c r="M763" s="62"/>
      <c r="N763" s="63"/>
      <c r="O763" s="64" t="str">
        <f>IF($Q763&lt;&gt;0,VLOOKUP($Q763,DM_KM,3,0),"")</f>
        <v>#N/A</v>
      </c>
      <c r="P763" s="64" t="str">
        <f>IF($Q763&lt;&gt;0,VLOOKUP($Q763,DM_KM,5,0),"")</f>
        <v>#N/A</v>
      </c>
      <c r="Q763" s="65" t="s">
        <v>174</v>
      </c>
      <c r="R763" s="64" t="str">
        <f>IF(S763&lt;&gt;0,VLOOKUP(S763,DM_DUAN,3,0),"")</f>
        <v>#N/A</v>
      </c>
      <c r="S763" s="66" t="str">
        <f>IF(U763&lt;&gt;0,VLOOKUP(U763,DM_DUAN,3,0),"")</f>
        <v>KIMCUONGLAND</v>
      </c>
      <c r="T763" s="64"/>
      <c r="U763" s="67" t="s">
        <v>638</v>
      </c>
      <c r="V763" s="64" t="str">
        <f>IF(W763&lt;&gt;0,VLOOKUP(W763,DM_DUAN,3,0),"")</f>
        <v/>
      </c>
      <c r="W763" s="68"/>
      <c r="X763" s="64" t="str">
        <f>IF(Y763&lt;&gt;0,VLOOKUP(Y763,DM_DUAN,3,0),"")</f>
        <v>#N/A</v>
      </c>
      <c r="Y763" s="69" t="s">
        <v>176</v>
      </c>
      <c r="Z763" s="64" t="str">
        <f>IF(AA763&lt;&gt;0,VLOOKUP(AA763,DM_DUAN,3,0),"")</f>
        <v>#N/A</v>
      </c>
      <c r="AA763" s="70" t="s">
        <v>177</v>
      </c>
      <c r="AB763" s="64" t="str">
        <f>IF(AC763&lt;&gt;0,VLOOKUP(AC763,DM_DUAN,3,0),"")</f>
        <v/>
      </c>
      <c r="AC763" s="85"/>
      <c r="AD763" s="64" t="str">
        <f>IF(AC763&lt;&gt;0,VLOOKUP(AC763,DM_NV,2,0),"")</f>
        <v/>
      </c>
      <c r="AE763" s="68"/>
      <c r="AF763" s="64" t="str">
        <f>IF(AE763&lt;&gt;0,VLOOKUP(AE763,DM_NV,2,0),"")</f>
        <v/>
      </c>
    </row>
    <row r="764">
      <c r="A764" s="51"/>
      <c r="B764" s="52" t="str">
        <f>IF(D764="","",VLOOKUP(D764,'THAM CHIẾU'!$A:$B,2,0))</f>
        <v>#N/A</v>
      </c>
      <c r="C764" s="53" t="str">
        <f t="shared" si="4"/>
        <v>04/2022</v>
      </c>
      <c r="D764" s="99">
        <v>44659.0</v>
      </c>
      <c r="E764" s="55" t="s">
        <v>807</v>
      </c>
      <c r="F764" s="56"/>
      <c r="G764" s="57" t="s">
        <v>173</v>
      </c>
      <c r="H764" s="58" t="str">
        <f>IF(G764="","",VLOOKUP($G764,'Quy chuẩn hạch toán'!$B:$E,2,0))</f>
        <v>641</v>
      </c>
      <c r="I764" s="58" t="str">
        <f>IF(H764="","",VLOOKUP($G764,'Quy chuẩn hạch toán'!$B:$E,3,0))</f>
        <v>331</v>
      </c>
      <c r="J764" s="59">
        <v>3144000.0</v>
      </c>
      <c r="K764" s="60"/>
      <c r="L764" s="61"/>
      <c r="M764" s="62"/>
      <c r="N764" s="63"/>
      <c r="O764" s="64" t="str">
        <f>IF($Q764&lt;&gt;0,VLOOKUP($Q764,DM_KM,3,0),"")</f>
        <v>#N/A</v>
      </c>
      <c r="P764" s="64" t="str">
        <f>IF($Q764&lt;&gt;0,VLOOKUP($Q764,DM_KM,5,0),"")</f>
        <v>#N/A</v>
      </c>
      <c r="Q764" s="65" t="s">
        <v>174</v>
      </c>
      <c r="R764" s="64" t="str">
        <f>IF(S764&lt;&gt;0,VLOOKUP(S764,DM_DUAN,3,0),"")</f>
        <v>#N/A</v>
      </c>
      <c r="S764" s="66" t="str">
        <f>IF(U764&lt;&gt;0,VLOOKUP(U764,DM_DUAN,3,0),"")</f>
        <v>THANHNAM</v>
      </c>
      <c r="T764" s="64"/>
      <c r="U764" s="67" t="s">
        <v>530</v>
      </c>
      <c r="V764" s="64" t="str">
        <f>IF(W764&lt;&gt;0,VLOOKUP(W764,DM_DUAN,3,0),"")</f>
        <v/>
      </c>
      <c r="W764" s="68"/>
      <c r="X764" s="64" t="str">
        <f>IF(Y764&lt;&gt;0,VLOOKUP(Y764,DM_DUAN,3,0),"")</f>
        <v>#N/A</v>
      </c>
      <c r="Y764" s="69" t="s">
        <v>176</v>
      </c>
      <c r="Z764" s="64" t="str">
        <f>IF(AA764&lt;&gt;0,VLOOKUP(AA764,DM_DUAN,3,0),"")</f>
        <v>#N/A</v>
      </c>
      <c r="AA764" s="70" t="s">
        <v>183</v>
      </c>
      <c r="AB764" s="64" t="str">
        <f>IF(AC764&lt;&gt;0,VLOOKUP(AC764,DM_DUAN,3,0),"")</f>
        <v/>
      </c>
      <c r="AC764" s="85"/>
      <c r="AD764" s="64" t="str">
        <f>IF(AC764&lt;&gt;0,VLOOKUP(AC764,DM_NV,2,0),"")</f>
        <v/>
      </c>
      <c r="AE764" s="68"/>
      <c r="AF764" s="64" t="str">
        <f>IF(AE764&lt;&gt;0,VLOOKUP(AE764,DM_NV,2,0),"")</f>
        <v/>
      </c>
    </row>
    <row r="765">
      <c r="A765" s="51"/>
      <c r="B765" s="52" t="str">
        <f>IF(D765="","",VLOOKUP(D765,'THAM CHIẾU'!$A:$B,2,0))</f>
        <v>#N/A</v>
      </c>
      <c r="C765" s="53" t="str">
        <f t="shared" si="4"/>
        <v>04/2022</v>
      </c>
      <c r="D765" s="99">
        <v>44660.0</v>
      </c>
      <c r="E765" s="55" t="s">
        <v>808</v>
      </c>
      <c r="F765" s="56"/>
      <c r="G765" s="57" t="s">
        <v>173</v>
      </c>
      <c r="H765" s="58" t="str">
        <f>IF(G765="","",VLOOKUP($G765,'Quy chuẩn hạch toán'!$B:$E,2,0))</f>
        <v>641</v>
      </c>
      <c r="I765" s="58" t="str">
        <f>IF(H765="","",VLOOKUP($G765,'Quy chuẩn hạch toán'!$B:$E,3,0))</f>
        <v>331</v>
      </c>
      <c r="J765" s="59">
        <v>2820000.0</v>
      </c>
      <c r="K765" s="60"/>
      <c r="L765" s="61"/>
      <c r="M765" s="62"/>
      <c r="N765" s="63"/>
      <c r="O765" s="64" t="str">
        <f>IF($Q765&lt;&gt;0,VLOOKUP($Q765,DM_KM,3,0),"")</f>
        <v>#N/A</v>
      </c>
      <c r="P765" s="64" t="str">
        <f>IF($Q765&lt;&gt;0,VLOOKUP($Q765,DM_KM,5,0),"")</f>
        <v>#N/A</v>
      </c>
      <c r="Q765" s="65" t="s">
        <v>174</v>
      </c>
      <c r="R765" s="64" t="str">
        <f>IF(S765&lt;&gt;0,VLOOKUP(S765,DM_DUAN,3,0),"")</f>
        <v>#N/A</v>
      </c>
      <c r="S765" s="66" t="str">
        <f>IF(U765&lt;&gt;0,VLOOKUP(U765,DM_DUAN,3,0),"")</f>
        <v>KIMCUONGLAND</v>
      </c>
      <c r="T765" s="64"/>
      <c r="U765" s="67" t="s">
        <v>638</v>
      </c>
      <c r="V765" s="64" t="str">
        <f>IF(W765&lt;&gt;0,VLOOKUP(W765,DM_DUAN,3,0),"")</f>
        <v/>
      </c>
      <c r="W765" s="68"/>
      <c r="X765" s="64" t="str">
        <f>IF(Y765&lt;&gt;0,VLOOKUP(Y765,DM_DUAN,3,0),"")</f>
        <v>#N/A</v>
      </c>
      <c r="Y765" s="69" t="s">
        <v>176</v>
      </c>
      <c r="Z765" s="64" t="str">
        <f>IF(AA765&lt;&gt;0,VLOOKUP(AA765,DM_DUAN,3,0),"")</f>
        <v>#N/A</v>
      </c>
      <c r="AA765" s="70" t="s">
        <v>177</v>
      </c>
      <c r="AB765" s="64" t="str">
        <f>IF(AC765&lt;&gt;0,VLOOKUP(AC765,DM_DUAN,3,0),"")</f>
        <v/>
      </c>
      <c r="AC765" s="85"/>
      <c r="AD765" s="64" t="str">
        <f>IF(AC765&lt;&gt;0,VLOOKUP(AC765,DM_NV,2,0),"")</f>
        <v/>
      </c>
      <c r="AE765" s="68"/>
      <c r="AF765" s="64" t="str">
        <f>IF(AE765&lt;&gt;0,VLOOKUP(AE765,DM_NV,2,0),"")</f>
        <v/>
      </c>
    </row>
    <row r="766">
      <c r="A766" s="51"/>
      <c r="B766" s="52" t="str">
        <f>IF(D766="","",VLOOKUP(D766,'THAM CHIẾU'!$A:$B,2,0))</f>
        <v>#N/A</v>
      </c>
      <c r="C766" s="53" t="str">
        <f t="shared" si="4"/>
        <v>04/2022</v>
      </c>
      <c r="D766" s="99">
        <v>44660.0</v>
      </c>
      <c r="E766" s="55" t="s">
        <v>809</v>
      </c>
      <c r="F766" s="56"/>
      <c r="G766" s="57" t="s">
        <v>173</v>
      </c>
      <c r="H766" s="58" t="str">
        <f>IF(G766="","",VLOOKUP($G766,'Quy chuẩn hạch toán'!$B:$E,2,0))</f>
        <v>641</v>
      </c>
      <c r="I766" s="58" t="str">
        <f>IF(H766="","",VLOOKUP($G766,'Quy chuẩn hạch toán'!$B:$E,3,0))</f>
        <v>331</v>
      </c>
      <c r="J766" s="59">
        <v>2816000.0</v>
      </c>
      <c r="K766" s="60"/>
      <c r="L766" s="61"/>
      <c r="M766" s="62"/>
      <c r="N766" s="63"/>
      <c r="O766" s="64" t="str">
        <f>IF($Q766&lt;&gt;0,VLOOKUP($Q766,DM_KM,3,0),"")</f>
        <v>#N/A</v>
      </c>
      <c r="P766" s="64" t="str">
        <f>IF($Q766&lt;&gt;0,VLOOKUP($Q766,DM_KM,5,0),"")</f>
        <v>#N/A</v>
      </c>
      <c r="Q766" s="65" t="s">
        <v>174</v>
      </c>
      <c r="R766" s="64" t="str">
        <f>IF(S766&lt;&gt;0,VLOOKUP(S766,DM_DUAN,3,0),"")</f>
        <v>#N/A</v>
      </c>
      <c r="S766" s="66" t="str">
        <f>IF(U766&lt;&gt;0,VLOOKUP(U766,DM_DUAN,3,0),"")</f>
        <v>THANHNAM</v>
      </c>
      <c r="T766" s="64"/>
      <c r="U766" s="67" t="s">
        <v>597</v>
      </c>
      <c r="V766" s="64" t="str">
        <f>IF(W766&lt;&gt;0,VLOOKUP(W766,DM_DUAN,3,0),"")</f>
        <v/>
      </c>
      <c r="W766" s="68"/>
      <c r="X766" s="64" t="str">
        <f>IF(Y766&lt;&gt;0,VLOOKUP(Y766,DM_DUAN,3,0),"")</f>
        <v>#N/A</v>
      </c>
      <c r="Y766" s="69" t="s">
        <v>176</v>
      </c>
      <c r="Z766" s="64" t="str">
        <f>IF(AA766&lt;&gt;0,VLOOKUP(AA766,DM_DUAN,3,0),"")</f>
        <v>#N/A</v>
      </c>
      <c r="AA766" s="70" t="s">
        <v>810</v>
      </c>
      <c r="AB766" s="64" t="str">
        <f>IF(AC766&lt;&gt;0,VLOOKUP(AC766,DM_DUAN,3,0),"")</f>
        <v/>
      </c>
      <c r="AC766" s="85"/>
      <c r="AD766" s="64" t="str">
        <f>IF(AC766&lt;&gt;0,VLOOKUP(AC766,DM_NV,2,0),"")</f>
        <v/>
      </c>
      <c r="AE766" s="68"/>
      <c r="AF766" s="64" t="str">
        <f>IF(AE766&lt;&gt;0,VLOOKUP(AE766,DM_NV,2,0),"")</f>
        <v/>
      </c>
    </row>
    <row r="767">
      <c r="A767" s="51"/>
      <c r="B767" s="52" t="str">
        <f>IF(D767="","",VLOOKUP(D767,'THAM CHIẾU'!$A:$B,2,0))</f>
        <v>#N/A</v>
      </c>
      <c r="C767" s="53" t="str">
        <f t="shared" si="4"/>
        <v>04/2022</v>
      </c>
      <c r="D767" s="99">
        <v>44660.0</v>
      </c>
      <c r="E767" s="55" t="s">
        <v>811</v>
      </c>
      <c r="F767" s="56"/>
      <c r="G767" s="57" t="s">
        <v>173</v>
      </c>
      <c r="H767" s="58" t="str">
        <f>IF(G767="","",VLOOKUP($G767,'Quy chuẩn hạch toán'!$B:$E,2,0))</f>
        <v>641</v>
      </c>
      <c r="I767" s="58" t="str">
        <f>IF(H767="","",VLOOKUP($G767,'Quy chuẩn hạch toán'!$B:$E,3,0))</f>
        <v>331</v>
      </c>
      <c r="J767" s="59">
        <v>2768000.0</v>
      </c>
      <c r="K767" s="60"/>
      <c r="L767" s="61"/>
      <c r="M767" s="62"/>
      <c r="N767" s="63"/>
      <c r="O767" s="64" t="str">
        <f>IF($Q767&lt;&gt;0,VLOOKUP($Q767,DM_KM,3,0),"")</f>
        <v>#N/A</v>
      </c>
      <c r="P767" s="64" t="str">
        <f>IF($Q767&lt;&gt;0,VLOOKUP($Q767,DM_KM,5,0),"")</f>
        <v>#N/A</v>
      </c>
      <c r="Q767" s="65" t="s">
        <v>174</v>
      </c>
      <c r="R767" s="64" t="str">
        <f>IF(S767&lt;&gt;0,VLOOKUP(S767,DM_DUAN,3,0),"")</f>
        <v>#N/A</v>
      </c>
      <c r="S767" s="66" t="str">
        <f>IF(U767&lt;&gt;0,VLOOKUP(U767,DM_DUAN,3,0),"")</f>
        <v>THANHNAM</v>
      </c>
      <c r="T767" s="64"/>
      <c r="U767" s="67" t="s">
        <v>530</v>
      </c>
      <c r="V767" s="64" t="str">
        <f>IF(W767&lt;&gt;0,VLOOKUP(W767,DM_DUAN,3,0),"")</f>
        <v/>
      </c>
      <c r="W767" s="68"/>
      <c r="X767" s="64" t="str">
        <f>IF(Y767&lt;&gt;0,VLOOKUP(Y767,DM_DUAN,3,0),"")</f>
        <v>#N/A</v>
      </c>
      <c r="Y767" s="69" t="s">
        <v>176</v>
      </c>
      <c r="Z767" s="64" t="str">
        <f>IF(AA767&lt;&gt;0,VLOOKUP(AA767,DM_DUAN,3,0),"")</f>
        <v>#N/A</v>
      </c>
      <c r="AA767" s="70" t="s">
        <v>183</v>
      </c>
      <c r="AB767" s="64" t="str">
        <f>IF(AC767&lt;&gt;0,VLOOKUP(AC767,DM_DUAN,3,0),"")</f>
        <v/>
      </c>
      <c r="AC767" s="85"/>
      <c r="AD767" s="64" t="str">
        <f>IF(AC767&lt;&gt;0,VLOOKUP(AC767,DM_NV,2,0),"")</f>
        <v/>
      </c>
      <c r="AE767" s="68"/>
      <c r="AF767" s="64" t="str">
        <f>IF(AE767&lt;&gt;0,VLOOKUP(AE767,DM_NV,2,0),"")</f>
        <v/>
      </c>
    </row>
    <row r="768">
      <c r="A768" s="51"/>
      <c r="B768" s="52" t="str">
        <f>IF(D768="","",VLOOKUP(D768,'THAM CHIẾU'!$A:$B,2,0))</f>
        <v>#N/A</v>
      </c>
      <c r="C768" s="53" t="str">
        <f t="shared" si="4"/>
        <v>04/2022</v>
      </c>
      <c r="D768" s="99">
        <v>44660.0</v>
      </c>
      <c r="E768" s="55" t="s">
        <v>812</v>
      </c>
      <c r="F768" s="56"/>
      <c r="G768" s="57" t="s">
        <v>173</v>
      </c>
      <c r="H768" s="58" t="str">
        <f>IF(G768="","",VLOOKUP($G768,'Quy chuẩn hạch toán'!$B:$E,2,0))</f>
        <v>641</v>
      </c>
      <c r="I768" s="58" t="str">
        <f>IF(H768="","",VLOOKUP($G768,'Quy chuẩn hạch toán'!$B:$E,3,0))</f>
        <v>331</v>
      </c>
      <c r="J768" s="59">
        <v>2480000.0</v>
      </c>
      <c r="K768" s="60"/>
      <c r="L768" s="61"/>
      <c r="M768" s="62"/>
      <c r="N768" s="63"/>
      <c r="O768" s="64" t="str">
        <f>IF($Q768&lt;&gt;0,VLOOKUP($Q768,DM_KM,3,0),"")</f>
        <v>#N/A</v>
      </c>
      <c r="P768" s="64" t="str">
        <f>IF($Q768&lt;&gt;0,VLOOKUP($Q768,DM_KM,5,0),"")</f>
        <v>#N/A</v>
      </c>
      <c r="Q768" s="65" t="s">
        <v>174</v>
      </c>
      <c r="R768" s="64" t="str">
        <f>IF(S768&lt;&gt;0,VLOOKUP(S768,DM_DUAN,3,0),"")</f>
        <v>#N/A</v>
      </c>
      <c r="S768" s="66" t="str">
        <f>IF(U768&lt;&gt;0,VLOOKUP(U768,DM_DUAN,3,0),"")</f>
        <v>THANHNAM</v>
      </c>
      <c r="T768" s="64"/>
      <c r="U768" s="67" t="s">
        <v>597</v>
      </c>
      <c r="V768" s="64" t="str">
        <f>IF(W768&lt;&gt;0,VLOOKUP(W768,DM_DUAN,3,0),"")</f>
        <v/>
      </c>
      <c r="W768" s="68"/>
      <c r="X768" s="64" t="str">
        <f>IF(Y768&lt;&gt;0,VLOOKUP(Y768,DM_DUAN,3,0),"")</f>
        <v>#N/A</v>
      </c>
      <c r="Y768" s="69" t="s">
        <v>176</v>
      </c>
      <c r="Z768" s="64" t="str">
        <f>IF(AA768&lt;&gt;0,VLOOKUP(AA768,DM_DUAN,3,0),"")</f>
        <v>#N/A</v>
      </c>
      <c r="AA768" s="70" t="s">
        <v>210</v>
      </c>
      <c r="AB768" s="64" t="str">
        <f>IF(AC768&lt;&gt;0,VLOOKUP(AC768,DM_DUAN,3,0),"")</f>
        <v/>
      </c>
      <c r="AC768" s="85"/>
      <c r="AD768" s="64" t="str">
        <f>IF(AC768&lt;&gt;0,VLOOKUP(AC768,DM_NV,2,0),"")</f>
        <v/>
      </c>
      <c r="AE768" s="68"/>
      <c r="AF768" s="64" t="str">
        <f>IF(AE768&lt;&gt;0,VLOOKUP(AE768,DM_NV,2,0),"")</f>
        <v/>
      </c>
    </row>
    <row r="769">
      <c r="A769" s="51"/>
      <c r="B769" s="52" t="str">
        <f>IF(D769="","",VLOOKUP(D769,'THAM CHIẾU'!$A:$B,2,0))</f>
        <v>#N/A</v>
      </c>
      <c r="C769" s="53" t="str">
        <f t="shared" si="4"/>
        <v>04/2022</v>
      </c>
      <c r="D769" s="99">
        <v>44661.0</v>
      </c>
      <c r="E769" s="55" t="s">
        <v>813</v>
      </c>
      <c r="F769" s="56"/>
      <c r="G769" s="57" t="s">
        <v>173</v>
      </c>
      <c r="H769" s="58" t="str">
        <f>IF(G769="","",VLOOKUP($G769,'Quy chuẩn hạch toán'!$B:$E,2,0))</f>
        <v>641</v>
      </c>
      <c r="I769" s="58" t="str">
        <f>IF(H769="","",VLOOKUP($G769,'Quy chuẩn hạch toán'!$B:$E,3,0))</f>
        <v>331</v>
      </c>
      <c r="J769" s="59">
        <v>2736000.0</v>
      </c>
      <c r="K769" s="60"/>
      <c r="L769" s="61"/>
      <c r="M769" s="62"/>
      <c r="N769" s="63"/>
      <c r="O769" s="64" t="str">
        <f>IF($Q769&lt;&gt;0,VLOOKUP($Q769,DM_KM,3,0),"")</f>
        <v>#N/A</v>
      </c>
      <c r="P769" s="64" t="str">
        <f>IF($Q769&lt;&gt;0,VLOOKUP($Q769,DM_KM,5,0),"")</f>
        <v>#N/A</v>
      </c>
      <c r="Q769" s="65" t="s">
        <v>174</v>
      </c>
      <c r="R769" s="64" t="str">
        <f>IF(S769&lt;&gt;0,VLOOKUP(S769,DM_DUAN,3,0),"")</f>
        <v>#N/A</v>
      </c>
      <c r="S769" s="66" t="str">
        <f>IF(U769&lt;&gt;0,VLOOKUP(U769,DM_DUAN,3,0),"")</f>
        <v>THANHNAM</v>
      </c>
      <c r="T769" s="64"/>
      <c r="U769" s="67" t="s">
        <v>597</v>
      </c>
      <c r="V769" s="64" t="str">
        <f>IF(W769&lt;&gt;0,VLOOKUP(W769,DM_DUAN,3,0),"")</f>
        <v/>
      </c>
      <c r="W769" s="68"/>
      <c r="X769" s="64" t="str">
        <f>IF(Y769&lt;&gt;0,VLOOKUP(Y769,DM_DUAN,3,0),"")</f>
        <v>#N/A</v>
      </c>
      <c r="Y769" s="69" t="s">
        <v>176</v>
      </c>
      <c r="Z769" s="64" t="str">
        <f>IF(AA769&lt;&gt;0,VLOOKUP(AA769,DM_DUAN,3,0),"")</f>
        <v>#N/A</v>
      </c>
      <c r="AA769" s="70" t="s">
        <v>810</v>
      </c>
      <c r="AB769" s="64" t="str">
        <f>IF(AC769&lt;&gt;0,VLOOKUP(AC769,DM_DUAN,3,0),"")</f>
        <v/>
      </c>
      <c r="AC769" s="85"/>
      <c r="AD769" s="64" t="str">
        <f>IF(AC769&lt;&gt;0,VLOOKUP(AC769,DM_NV,2,0),"")</f>
        <v/>
      </c>
      <c r="AE769" s="68"/>
      <c r="AF769" s="64" t="str">
        <f>IF(AE769&lt;&gt;0,VLOOKUP(AE769,DM_NV,2,0),"")</f>
        <v/>
      </c>
    </row>
    <row r="770">
      <c r="A770" s="51"/>
      <c r="B770" s="52"/>
      <c r="C770" s="53" t="str">
        <f t="shared" si="4"/>
        <v>04/2022</v>
      </c>
      <c r="D770" s="99">
        <v>44661.0</v>
      </c>
      <c r="E770" s="55" t="s">
        <v>814</v>
      </c>
      <c r="F770" s="56"/>
      <c r="G770" s="57" t="s">
        <v>173</v>
      </c>
      <c r="H770" s="58" t="str">
        <f>IF(G770="","",VLOOKUP($G770,'Quy chuẩn hạch toán'!$B:$E,2,0))</f>
        <v>641</v>
      </c>
      <c r="I770" s="58" t="str">
        <f>IF(H770="","",VLOOKUP($G770,'Quy chuẩn hạch toán'!$B:$E,3,0))</f>
        <v>331</v>
      </c>
      <c r="J770" s="59">
        <v>2612000.0</v>
      </c>
      <c r="K770" s="60"/>
      <c r="L770" s="61"/>
      <c r="M770" s="62"/>
      <c r="N770" s="63"/>
      <c r="O770" s="64" t="str">
        <f>IF($Q770&lt;&gt;0,VLOOKUP($Q770,DM_KM,3,0),"")</f>
        <v>#N/A</v>
      </c>
      <c r="P770" s="64" t="str">
        <f>IF($Q770&lt;&gt;0,VLOOKUP($Q770,DM_KM,5,0),"")</f>
        <v>#N/A</v>
      </c>
      <c r="Q770" s="65" t="s">
        <v>174</v>
      </c>
      <c r="R770" s="64" t="str">
        <f>IF(S770&lt;&gt;0,VLOOKUP(S770,DM_DUAN,3,0),"")</f>
        <v>#N/A</v>
      </c>
      <c r="S770" s="66" t="str">
        <f>IF(U770&lt;&gt;0,VLOOKUP(U770,DM_DUAN,3,0),"")</f>
        <v>KIMCUONGLAND</v>
      </c>
      <c r="T770" s="64"/>
      <c r="U770" s="67" t="s">
        <v>638</v>
      </c>
      <c r="V770" s="64" t="str">
        <f>IF(W770&lt;&gt;0,VLOOKUP(W770,DM_DUAN,3,0),"")</f>
        <v/>
      </c>
      <c r="W770" s="68"/>
      <c r="X770" s="64" t="str">
        <f>IF(Y770&lt;&gt;0,VLOOKUP(Y770,DM_DUAN,3,0),"")</f>
        <v>#N/A</v>
      </c>
      <c r="Y770" s="69" t="s">
        <v>176</v>
      </c>
      <c r="Z770" s="64" t="str">
        <f>IF(AA770&lt;&gt;0,VLOOKUP(AA770,DM_DUAN,3,0),"")</f>
        <v>#N/A</v>
      </c>
      <c r="AA770" s="70" t="s">
        <v>177</v>
      </c>
      <c r="AB770" s="64" t="str">
        <f>IF(AC770&lt;&gt;0,VLOOKUP(AC770,DM_DUAN,3,0),"")</f>
        <v/>
      </c>
      <c r="AC770" s="85"/>
      <c r="AD770" s="64" t="str">
        <f>IF(AC770&lt;&gt;0,VLOOKUP(AC770,DM_NV,2,0),"")</f>
        <v/>
      </c>
      <c r="AE770" s="68"/>
      <c r="AF770" s="64" t="str">
        <f>IF(AE770&lt;&gt;0,VLOOKUP(AE770,DM_NV,2,0),"")</f>
        <v/>
      </c>
    </row>
    <row r="771">
      <c r="A771" s="51"/>
      <c r="B771" s="52" t="str">
        <f>IF(D771="","",VLOOKUP(D771,'THAM CHIẾU'!$A:$B,2,0))</f>
        <v>#N/A</v>
      </c>
      <c r="C771" s="53" t="str">
        <f t="shared" si="4"/>
        <v>04/2022</v>
      </c>
      <c r="D771" s="99">
        <v>44661.0</v>
      </c>
      <c r="E771" s="55" t="s">
        <v>815</v>
      </c>
      <c r="F771" s="56"/>
      <c r="G771" s="57" t="s">
        <v>173</v>
      </c>
      <c r="H771" s="58" t="str">
        <f>IF(G771="","",VLOOKUP($G771,'Quy chuẩn hạch toán'!$B:$E,2,0))</f>
        <v>641</v>
      </c>
      <c r="I771" s="58" t="str">
        <f>IF(H771="","",VLOOKUP($G771,'Quy chuẩn hạch toán'!$B:$E,3,0))</f>
        <v>331</v>
      </c>
      <c r="J771" s="59">
        <v>2756000.0</v>
      </c>
      <c r="K771" s="60"/>
      <c r="L771" s="61"/>
      <c r="M771" s="62"/>
      <c r="N771" s="63"/>
      <c r="O771" s="64" t="str">
        <f>IF($Q771&lt;&gt;0,VLOOKUP($Q771,DM_KM,3,0),"")</f>
        <v>#N/A</v>
      </c>
      <c r="P771" s="64" t="str">
        <f>IF($Q771&lt;&gt;0,VLOOKUP($Q771,DM_KM,5,0),"")</f>
        <v>#N/A</v>
      </c>
      <c r="Q771" s="65" t="s">
        <v>174</v>
      </c>
      <c r="R771" s="64" t="str">
        <f>IF(S771&lt;&gt;0,VLOOKUP(S771,DM_DUAN,3,0),"")</f>
        <v>#N/A</v>
      </c>
      <c r="S771" s="66" t="str">
        <f>IF(U771&lt;&gt;0,VLOOKUP(U771,DM_DUAN,3,0),"")</f>
        <v>KIMCUONGLAND</v>
      </c>
      <c r="T771" s="64"/>
      <c r="U771" s="67" t="s">
        <v>638</v>
      </c>
      <c r="V771" s="64" t="str">
        <f>IF(W771&lt;&gt;0,VLOOKUP(W771,DM_DUAN,3,0),"")</f>
        <v/>
      </c>
      <c r="W771" s="68"/>
      <c r="X771" s="64" t="str">
        <f>IF(Y771&lt;&gt;0,VLOOKUP(Y771,DM_DUAN,3,0),"")</f>
        <v>#N/A</v>
      </c>
      <c r="Y771" s="69" t="s">
        <v>176</v>
      </c>
      <c r="Z771" s="64" t="str">
        <f>IF(AA771&lt;&gt;0,VLOOKUP(AA771,DM_DUAN,3,0),"")</f>
        <v>#N/A</v>
      </c>
      <c r="AA771" s="70" t="s">
        <v>183</v>
      </c>
      <c r="AB771" s="64" t="str">
        <f>IF(AC771&lt;&gt;0,VLOOKUP(AC771,DM_DUAN,3,0),"")</f>
        <v/>
      </c>
      <c r="AC771" s="85"/>
      <c r="AD771" s="64" t="str">
        <f>IF(AC771&lt;&gt;0,VLOOKUP(AC771,DM_NV,2,0),"")</f>
        <v/>
      </c>
      <c r="AE771" s="68"/>
      <c r="AF771" s="64" t="str">
        <f>IF(AE771&lt;&gt;0,VLOOKUP(AE771,DM_NV,2,0),"")</f>
        <v/>
      </c>
    </row>
    <row r="772">
      <c r="A772" s="51"/>
      <c r="B772" s="52" t="str">
        <f>IF(D772="","",VLOOKUP(D772,'THAM CHIẾU'!$A:$B,2,0))</f>
        <v>#N/A</v>
      </c>
      <c r="C772" s="53" t="str">
        <f t="shared" si="4"/>
        <v>04/2022</v>
      </c>
      <c r="D772" s="99">
        <v>44661.0</v>
      </c>
      <c r="E772" s="55" t="s">
        <v>816</v>
      </c>
      <c r="F772" s="56"/>
      <c r="G772" s="57" t="s">
        <v>249</v>
      </c>
      <c r="H772" s="58" t="str">
        <f>IF(G772="","",VLOOKUP($G772,'Quy chuẩn hạch toán'!$B:$E,2,0))</f>
        <v>642</v>
      </c>
      <c r="I772" s="58" t="str">
        <f>IF(H772="","",VLOOKUP($G772,'Quy chuẩn hạch toán'!$B:$E,3,0))</f>
        <v>331</v>
      </c>
      <c r="J772" s="59">
        <v>505263.0</v>
      </c>
      <c r="K772" s="60"/>
      <c r="L772" s="61"/>
      <c r="M772" s="62"/>
      <c r="N772" s="63"/>
      <c r="O772" s="64" t="str">
        <f>IF($Q772&lt;&gt;0,VLOOKUP($Q772,DM_KM,3,0),"")</f>
        <v>#N/A</v>
      </c>
      <c r="P772" s="64" t="str">
        <f>IF($Q772&lt;&gt;0,VLOOKUP($Q772,DM_KM,5,0),"")</f>
        <v>#N/A</v>
      </c>
      <c r="Q772" s="65" t="s">
        <v>174</v>
      </c>
      <c r="R772" s="64" t="str">
        <f>IF(S772&lt;&gt;0,VLOOKUP(S772,DM_DUAN,3,0),"")</f>
        <v>#N/A</v>
      </c>
      <c r="S772" s="66" t="str">
        <f>IF(U772&lt;&gt;0,VLOOKUP(U772,DM_DUAN,3,0),"")</f>
        <v>THANHNAM</v>
      </c>
      <c r="T772" s="64"/>
      <c r="U772" s="67" t="s">
        <v>597</v>
      </c>
      <c r="V772" s="64" t="str">
        <f>IF(W772&lt;&gt;0,VLOOKUP(W772,DM_DUAN,3,0),"")</f>
        <v/>
      </c>
      <c r="W772" s="68"/>
      <c r="X772" s="64" t="str">
        <f>IF(Y772&lt;&gt;0,VLOOKUP(Y772,DM_DUAN,3,0),"")</f>
        <v>#N/A</v>
      </c>
      <c r="Y772" s="69" t="s">
        <v>176</v>
      </c>
      <c r="Z772" s="64" t="str">
        <f>IF(AA772&lt;&gt;0,VLOOKUP(AA772,DM_DUAN,3,0),"")</f>
        <v>#N/A</v>
      </c>
      <c r="AA772" s="70" t="s">
        <v>705</v>
      </c>
      <c r="AB772" s="64" t="str">
        <f>IF(AC772&lt;&gt;0,VLOOKUP(AC772,DM_DUAN,3,0),"")</f>
        <v/>
      </c>
      <c r="AC772" s="85"/>
      <c r="AD772" s="64" t="str">
        <f>IF(AC772&lt;&gt;0,VLOOKUP(AC772,DM_NV,2,0),"")</f>
        <v/>
      </c>
      <c r="AE772" s="68"/>
      <c r="AF772" s="64" t="str">
        <f>IF(AE772&lt;&gt;0,VLOOKUP(AE772,DM_NV,2,0),"")</f>
        <v/>
      </c>
    </row>
    <row r="773">
      <c r="A773" s="51"/>
      <c r="B773" s="52" t="str">
        <f>IF(D773="","",VLOOKUP(D773,'THAM CHIẾU'!$A:$B,2,0))</f>
        <v>#N/A</v>
      </c>
      <c r="C773" s="53" t="str">
        <f t="shared" si="4"/>
        <v>04/2022</v>
      </c>
      <c r="D773" s="99">
        <v>44661.0</v>
      </c>
      <c r="E773" s="55" t="s">
        <v>816</v>
      </c>
      <c r="F773" s="56"/>
      <c r="G773" s="57" t="s">
        <v>249</v>
      </c>
      <c r="H773" s="58" t="str">
        <f>IF(G773="","",VLOOKUP($G773,'Quy chuẩn hạch toán'!$B:$E,2,0))</f>
        <v>642</v>
      </c>
      <c r="I773" s="58" t="str">
        <f>IF(H773="","",VLOOKUP($G773,'Quy chuẩn hạch toán'!$B:$E,3,0))</f>
        <v>331</v>
      </c>
      <c r="J773" s="59">
        <v>1010526.0</v>
      </c>
      <c r="K773" s="60"/>
      <c r="L773" s="61"/>
      <c r="M773" s="62"/>
      <c r="N773" s="63"/>
      <c r="O773" s="64" t="str">
        <f>IF($Q773&lt;&gt;0,VLOOKUP($Q773,DM_KM,3,0),"")</f>
        <v>#N/A</v>
      </c>
      <c r="P773" s="64" t="str">
        <f>IF($Q773&lt;&gt;0,VLOOKUP($Q773,DM_KM,5,0),"")</f>
        <v>#N/A</v>
      </c>
      <c r="Q773" s="65" t="s">
        <v>174</v>
      </c>
      <c r="R773" s="64" t="str">
        <f>IF(S773&lt;&gt;0,VLOOKUP(S773,DM_DUAN,3,0),"")</f>
        <v>#N/A</v>
      </c>
      <c r="S773" s="66" t="str">
        <f>IF(U773&lt;&gt;0,VLOOKUP(U773,DM_DUAN,3,0),"")</f>
        <v>THANHNAM</v>
      </c>
      <c r="T773" s="64"/>
      <c r="U773" s="67" t="s">
        <v>597</v>
      </c>
      <c r="V773" s="64" t="str">
        <f>IF(W773&lt;&gt;0,VLOOKUP(W773,DM_DUAN,3,0),"")</f>
        <v/>
      </c>
      <c r="W773" s="68"/>
      <c r="X773" s="64" t="str">
        <f>IF(Y773&lt;&gt;0,VLOOKUP(Y773,DM_DUAN,3,0),"")</f>
        <v>#N/A</v>
      </c>
      <c r="Y773" s="69" t="s">
        <v>176</v>
      </c>
      <c r="Z773" s="64" t="str">
        <f>IF(AA773&lt;&gt;0,VLOOKUP(AA773,DM_DUAN,3,0),"")</f>
        <v>#N/A</v>
      </c>
      <c r="AA773" s="70" t="s">
        <v>183</v>
      </c>
      <c r="AB773" s="64" t="str">
        <f>IF(AC773&lt;&gt;0,VLOOKUP(AC773,DM_DUAN,3,0),"")</f>
        <v/>
      </c>
      <c r="AC773" s="85"/>
      <c r="AD773" s="64" t="str">
        <f>IF(AC773&lt;&gt;0,VLOOKUP(AC773,DM_NV,2,0),"")</f>
        <v/>
      </c>
      <c r="AE773" s="68"/>
      <c r="AF773" s="64" t="str">
        <f>IF(AE773&lt;&gt;0,VLOOKUP(AE773,DM_NV,2,0),"")</f>
        <v/>
      </c>
    </row>
    <row r="774">
      <c r="A774" s="51"/>
      <c r="B774" s="52" t="str">
        <f>IF(D774="","",VLOOKUP(D774,'THAM CHIẾU'!$A:$B,2,0))</f>
        <v>#N/A</v>
      </c>
      <c r="C774" s="53" t="str">
        <f t="shared" si="4"/>
        <v>04/2022</v>
      </c>
      <c r="D774" s="99">
        <v>44661.0</v>
      </c>
      <c r="E774" s="55" t="s">
        <v>816</v>
      </c>
      <c r="F774" s="56"/>
      <c r="G774" s="57" t="s">
        <v>249</v>
      </c>
      <c r="H774" s="58" t="str">
        <f>IF(G774="","",VLOOKUP($G774,'Quy chuẩn hạch toán'!$B:$E,2,0))</f>
        <v>642</v>
      </c>
      <c r="I774" s="58" t="str">
        <f>IF(H774="","",VLOOKUP($G774,'Quy chuẩn hạch toán'!$B:$E,3,0))</f>
        <v>331</v>
      </c>
      <c r="J774" s="59">
        <v>378947.0</v>
      </c>
      <c r="K774" s="60"/>
      <c r="L774" s="61"/>
      <c r="M774" s="62"/>
      <c r="N774" s="63"/>
      <c r="O774" s="64" t="str">
        <f>IF($Q774&lt;&gt;0,VLOOKUP($Q774,DM_KM,3,0),"")</f>
        <v>#N/A</v>
      </c>
      <c r="P774" s="64" t="str">
        <f>IF($Q774&lt;&gt;0,VLOOKUP($Q774,DM_KM,5,0),"")</f>
        <v>#N/A</v>
      </c>
      <c r="Q774" s="65" t="s">
        <v>174</v>
      </c>
      <c r="R774" s="64" t="str">
        <f>IF(S774&lt;&gt;0,VLOOKUP(S774,DM_DUAN,3,0),"")</f>
        <v>#N/A</v>
      </c>
      <c r="S774" s="66" t="str">
        <f>IF(U774&lt;&gt;0,VLOOKUP(U774,DM_DUAN,3,0),"")</f>
        <v>THANHNAM</v>
      </c>
      <c r="T774" s="64"/>
      <c r="U774" s="67" t="s">
        <v>597</v>
      </c>
      <c r="V774" s="64" t="str">
        <f>IF(W774&lt;&gt;0,VLOOKUP(W774,DM_DUAN,3,0),"")</f>
        <v/>
      </c>
      <c r="W774" s="68"/>
      <c r="X774" s="64" t="str">
        <f>IF(Y774&lt;&gt;0,VLOOKUP(Y774,DM_DUAN,3,0),"")</f>
        <v>#N/A</v>
      </c>
      <c r="Y774" s="69" t="s">
        <v>176</v>
      </c>
      <c r="Z774" s="64" t="str">
        <f>IF(AA774&lt;&gt;0,VLOOKUP(AA774,DM_DUAN,3,0),"")</f>
        <v>#N/A</v>
      </c>
      <c r="AA774" s="70" t="s">
        <v>177</v>
      </c>
      <c r="AB774" s="64" t="str">
        <f>IF(AC774&lt;&gt;0,VLOOKUP(AC774,DM_DUAN,3,0),"")</f>
        <v/>
      </c>
      <c r="AC774" s="85"/>
      <c r="AD774" s="64" t="str">
        <f>IF(AC774&lt;&gt;0,VLOOKUP(AC774,DM_NV,2,0),"")</f>
        <v/>
      </c>
      <c r="AE774" s="68"/>
      <c r="AF774" s="64" t="str">
        <f>IF(AE774&lt;&gt;0,VLOOKUP(AE774,DM_NV,2,0),"")</f>
        <v/>
      </c>
    </row>
    <row r="775">
      <c r="A775" s="51"/>
      <c r="B775" s="52" t="str">
        <f>IF(D775="","",VLOOKUP(D775,'THAM CHIẾU'!$A:$B,2,0))</f>
        <v>#N/A</v>
      </c>
      <c r="C775" s="53" t="str">
        <f t="shared" si="4"/>
        <v>04/2022</v>
      </c>
      <c r="D775" s="99">
        <v>44661.0</v>
      </c>
      <c r="E775" s="55" t="s">
        <v>816</v>
      </c>
      <c r="F775" s="56"/>
      <c r="G775" s="57" t="s">
        <v>249</v>
      </c>
      <c r="H775" s="58" t="str">
        <f>IF(G775="","",VLOOKUP($G775,'Quy chuẩn hạch toán'!$B:$E,2,0))</f>
        <v>642</v>
      </c>
      <c r="I775" s="58" t="str">
        <f>IF(H775="","",VLOOKUP($G775,'Quy chuẩn hạch toán'!$B:$E,3,0))</f>
        <v>331</v>
      </c>
      <c r="J775" s="59">
        <v>505263.0</v>
      </c>
      <c r="K775" s="60"/>
      <c r="L775" s="61"/>
      <c r="M775" s="62"/>
      <c r="N775" s="63"/>
      <c r="O775" s="64" t="str">
        <f>IF($Q775&lt;&gt;0,VLOOKUP($Q775,DM_KM,3,0),"")</f>
        <v>#N/A</v>
      </c>
      <c r="P775" s="64" t="str">
        <f>IF($Q775&lt;&gt;0,VLOOKUP($Q775,DM_KM,5,0),"")</f>
        <v>#N/A</v>
      </c>
      <c r="Q775" s="65" t="s">
        <v>174</v>
      </c>
      <c r="R775" s="64" t="str">
        <f>IF(S775&lt;&gt;0,VLOOKUP(S775,DM_DUAN,3,0),"")</f>
        <v>#N/A</v>
      </c>
      <c r="S775" s="66" t="str">
        <f>IF(U775&lt;&gt;0,VLOOKUP(U775,DM_DUAN,3,0),"")</f>
        <v>THANHNAM</v>
      </c>
      <c r="T775" s="64"/>
      <c r="U775" s="67" t="s">
        <v>597</v>
      </c>
      <c r="V775" s="64" t="str">
        <f>IF(W775&lt;&gt;0,VLOOKUP(W775,DM_DUAN,3,0),"")</f>
        <v/>
      </c>
      <c r="W775" s="68"/>
      <c r="X775" s="64" t="str">
        <f>IF(Y775&lt;&gt;0,VLOOKUP(Y775,DM_DUAN,3,0),"")</f>
        <v>#N/A</v>
      </c>
      <c r="Y775" s="69" t="s">
        <v>176</v>
      </c>
      <c r="Z775" s="64" t="str">
        <f>IF(AA775&lt;&gt;0,VLOOKUP(AA775,DM_DUAN,3,0),"")</f>
        <v>#N/A</v>
      </c>
      <c r="AA775" s="70" t="s">
        <v>210</v>
      </c>
      <c r="AB775" s="64" t="str">
        <f>IF(AC775&lt;&gt;0,VLOOKUP(AC775,DM_DUAN,3,0),"")</f>
        <v/>
      </c>
      <c r="AC775" s="85"/>
      <c r="AD775" s="64" t="str">
        <f>IF(AC775&lt;&gt;0,VLOOKUP(AC775,DM_NV,2,0),"")</f>
        <v/>
      </c>
      <c r="AE775" s="68"/>
      <c r="AF775" s="64" t="str">
        <f>IF(AE775&lt;&gt;0,VLOOKUP(AE775,DM_NV,2,0),"")</f>
        <v/>
      </c>
    </row>
    <row r="776">
      <c r="A776" s="51"/>
      <c r="B776" s="52" t="str">
        <f>IF(D776="","",VLOOKUP(D776,'THAM CHIẾU'!$A:$B,2,0))</f>
        <v>#N/A</v>
      </c>
      <c r="C776" s="53" t="str">
        <f t="shared" si="4"/>
        <v>04/2022</v>
      </c>
      <c r="D776" s="99">
        <v>44662.0</v>
      </c>
      <c r="E776" s="55" t="s">
        <v>817</v>
      </c>
      <c r="F776" s="56"/>
      <c r="G776" s="57" t="s">
        <v>173</v>
      </c>
      <c r="H776" s="58" t="str">
        <f>IF(G776="","",VLOOKUP($G776,'Quy chuẩn hạch toán'!$B:$E,2,0))</f>
        <v>641</v>
      </c>
      <c r="I776" s="58" t="str">
        <f>IF(H776="","",VLOOKUP($G776,'Quy chuẩn hạch toán'!$B:$E,3,0))</f>
        <v>331</v>
      </c>
      <c r="J776" s="59">
        <v>2536000.0</v>
      </c>
      <c r="K776" s="60"/>
      <c r="L776" s="61"/>
      <c r="M776" s="62"/>
      <c r="N776" s="63"/>
      <c r="O776" s="64" t="str">
        <f>IF($Q776&lt;&gt;0,VLOOKUP($Q776,DM_KM,3,0),"")</f>
        <v>#N/A</v>
      </c>
      <c r="P776" s="64" t="str">
        <f>IF($Q776&lt;&gt;0,VLOOKUP($Q776,DM_KM,5,0),"")</f>
        <v>#N/A</v>
      </c>
      <c r="Q776" s="65" t="s">
        <v>174</v>
      </c>
      <c r="R776" s="64" t="str">
        <f>IF(S776&lt;&gt;0,VLOOKUP(S776,DM_DUAN,3,0),"")</f>
        <v>#N/A</v>
      </c>
      <c r="S776" s="66" t="str">
        <f>IF(U776&lt;&gt;0,VLOOKUP(U776,DM_DUAN,3,0),"")</f>
        <v>THANHNAM</v>
      </c>
      <c r="T776" s="64"/>
      <c r="U776" s="67" t="s">
        <v>597</v>
      </c>
      <c r="V776" s="64" t="str">
        <f>IF(W776&lt;&gt;0,VLOOKUP(W776,DM_DUAN,3,0),"")</f>
        <v/>
      </c>
      <c r="W776" s="68"/>
      <c r="X776" s="64" t="str">
        <f>IF(Y776&lt;&gt;0,VLOOKUP(Y776,DM_DUAN,3,0),"")</f>
        <v>#N/A</v>
      </c>
      <c r="Y776" s="69" t="s">
        <v>176</v>
      </c>
      <c r="Z776" s="64" t="str">
        <f>IF(AA776&lt;&gt;0,VLOOKUP(AA776,DM_DUAN,3,0),"")</f>
        <v>#N/A</v>
      </c>
      <c r="AA776" s="70" t="s">
        <v>183</v>
      </c>
      <c r="AB776" s="64" t="str">
        <f>IF(AC776&lt;&gt;0,VLOOKUP(AC776,DM_DUAN,3,0),"")</f>
        <v/>
      </c>
      <c r="AC776" s="85"/>
      <c r="AD776" s="64" t="str">
        <f>IF(AC776&lt;&gt;0,VLOOKUP(AC776,DM_NV,2,0),"")</f>
        <v/>
      </c>
      <c r="AE776" s="68"/>
      <c r="AF776" s="64" t="str">
        <f>IF(AE776&lt;&gt;0,VLOOKUP(AE776,DM_NV,2,0),"")</f>
        <v/>
      </c>
    </row>
    <row r="777">
      <c r="A777" s="51"/>
      <c r="B777" s="52" t="str">
        <f>IF(D777="","",VLOOKUP(D777,'THAM CHIẾU'!$A:$B,2,0))</f>
        <v>#N/A</v>
      </c>
      <c r="C777" s="53" t="str">
        <f t="shared" si="4"/>
        <v>04/2022</v>
      </c>
      <c r="D777" s="99">
        <v>44663.0</v>
      </c>
      <c r="E777" s="55" t="s">
        <v>818</v>
      </c>
      <c r="F777" s="56"/>
      <c r="G777" s="57" t="s">
        <v>173</v>
      </c>
      <c r="H777" s="58" t="str">
        <f>IF(G777="","",VLOOKUP($G777,'Quy chuẩn hạch toán'!$B:$E,2,0))</f>
        <v>641</v>
      </c>
      <c r="I777" s="58" t="str">
        <f>IF(H777="","",VLOOKUP($G777,'Quy chuẩn hạch toán'!$B:$E,3,0))</f>
        <v>331</v>
      </c>
      <c r="J777" s="59">
        <v>3052000.0</v>
      </c>
      <c r="K777" s="60"/>
      <c r="L777" s="61"/>
      <c r="M777" s="62"/>
      <c r="N777" s="63"/>
      <c r="O777" s="64" t="str">
        <f>IF($Q777&lt;&gt;0,VLOOKUP($Q777,DM_KM,3,0),"")</f>
        <v>#N/A</v>
      </c>
      <c r="P777" s="64" t="str">
        <f>IF($Q777&lt;&gt;0,VLOOKUP($Q777,DM_KM,5,0),"")</f>
        <v>#N/A</v>
      </c>
      <c r="Q777" s="65" t="s">
        <v>174</v>
      </c>
      <c r="R777" s="64" t="str">
        <f>IF(S777&lt;&gt;0,VLOOKUP(S777,DM_DUAN,3,0),"")</f>
        <v>#N/A</v>
      </c>
      <c r="S777" s="66" t="str">
        <f>IF(U777&lt;&gt;0,VLOOKUP(U777,DM_DUAN,3,0),"")</f>
        <v>KIMCUONGLAND</v>
      </c>
      <c r="T777" s="64"/>
      <c r="U777" s="67" t="s">
        <v>638</v>
      </c>
      <c r="V777" s="64" t="str">
        <f>IF(W777&lt;&gt;0,VLOOKUP(W777,DM_DUAN,3,0),"")</f>
        <v/>
      </c>
      <c r="W777" s="68"/>
      <c r="X777" s="64" t="str">
        <f>IF(Y777&lt;&gt;0,VLOOKUP(Y777,DM_DUAN,3,0),"")</f>
        <v>#N/A</v>
      </c>
      <c r="Y777" s="69" t="s">
        <v>176</v>
      </c>
      <c r="Z777" s="64" t="str">
        <f>IF(AA777&lt;&gt;0,VLOOKUP(AA777,DM_DUAN,3,0),"")</f>
        <v>#N/A</v>
      </c>
      <c r="AA777" s="70" t="s">
        <v>705</v>
      </c>
      <c r="AB777" s="64" t="str">
        <f>IF(AC777&lt;&gt;0,VLOOKUP(AC777,DM_DUAN,3,0),"")</f>
        <v/>
      </c>
      <c r="AC777" s="85"/>
      <c r="AD777" s="64" t="str">
        <f>IF(AC777&lt;&gt;0,VLOOKUP(AC777,DM_NV,2,0),"")</f>
        <v/>
      </c>
      <c r="AE777" s="68"/>
      <c r="AF777" s="64" t="str">
        <f>IF(AE777&lt;&gt;0,VLOOKUP(AE777,DM_NV,2,0),"")</f>
        <v/>
      </c>
    </row>
    <row r="778">
      <c r="A778" s="51"/>
      <c r="B778" s="52" t="str">
        <f>IF(D778="","",VLOOKUP(D778,'THAM CHIẾU'!$A:$B,2,0))</f>
        <v>#N/A</v>
      </c>
      <c r="C778" s="53" t="str">
        <f t="shared" si="4"/>
        <v>04/2022</v>
      </c>
      <c r="D778" s="99">
        <v>44664.0</v>
      </c>
      <c r="E778" s="55" t="s">
        <v>819</v>
      </c>
      <c r="F778" s="56"/>
      <c r="G778" s="57" t="s">
        <v>275</v>
      </c>
      <c r="H778" s="58" t="str">
        <f>IF(G778="","",VLOOKUP($G778,'Quy chuẩn hạch toán'!$B:$E,2,0))</f>
        <v>3341</v>
      </c>
      <c r="I778" s="58" t="str">
        <f>IF(H778="","",VLOOKUP($G778,'Quy chuẩn hạch toán'!$B:$E,3,0))</f>
        <v>1111</v>
      </c>
      <c r="J778" s="59">
        <v>1.115E7</v>
      </c>
      <c r="K778" s="60"/>
      <c r="L778" s="61"/>
      <c r="M778" s="62"/>
      <c r="N778" s="63"/>
      <c r="O778" s="64" t="str">
        <f>IF($Q778&lt;&gt;0,VLOOKUP($Q778,DM_KM,3,0),"")</f>
        <v/>
      </c>
      <c r="P778" s="64" t="str">
        <f>IF($Q778&lt;&gt;0,VLOOKUP($Q778,DM_KM,5,0),"")</f>
        <v/>
      </c>
      <c r="Q778" s="89"/>
      <c r="R778" s="64" t="str">
        <f>IF(S778&lt;&gt;0,VLOOKUP(S778,DM_DUAN,3,0),"")</f>
        <v>#N/A</v>
      </c>
      <c r="S778" s="66" t="str">
        <f>IF(U778&lt;&gt;0,VLOOKUP(U778,DM_DUAN,3,0),"")</f>
        <v>KIMCUONGLAND</v>
      </c>
      <c r="T778" s="64"/>
      <c r="U778" s="67" t="s">
        <v>638</v>
      </c>
      <c r="V778" s="64" t="str">
        <f>IF(W778&lt;&gt;0,VLOOKUP(W778,DM_DUAN,3,0),"")</f>
        <v>#N/A</v>
      </c>
      <c r="W778" s="83" t="s">
        <v>771</v>
      </c>
      <c r="X778" s="64" t="str">
        <f>IF(Y778&lt;&gt;0,VLOOKUP(Y778,DM_DUAN,3,0),"")</f>
        <v>#N/A</v>
      </c>
      <c r="Y778" s="69" t="s">
        <v>176</v>
      </c>
      <c r="Z778" s="64" t="str">
        <f>IF(AA778&lt;&gt;0,VLOOKUP(AA778,DM_DUAN,3,0),"")</f>
        <v>#N/A</v>
      </c>
      <c r="AA778" s="70" t="s">
        <v>705</v>
      </c>
      <c r="AB778" s="64" t="str">
        <f>IF(AC778&lt;&gt;0,VLOOKUP(AC778,DM_DUAN,3,0),"")</f>
        <v>#N/A</v>
      </c>
      <c r="AC778" s="70" t="s">
        <v>772</v>
      </c>
      <c r="AD778" s="64" t="str">
        <f>IF(AC778&lt;&gt;0,VLOOKUP(AC778,DM_NV,2,0),"")</f>
        <v>Phan Tấn Đạt</v>
      </c>
      <c r="AE778" s="83" t="s">
        <v>276</v>
      </c>
      <c r="AF778" s="64" t="str">
        <f>IF(AE778&lt;&gt;0,VLOOKUP(AE778,DM_NV,2,0),"")</f>
        <v>#N/A</v>
      </c>
    </row>
    <row r="779">
      <c r="A779" s="51"/>
      <c r="B779" s="52" t="str">
        <f>IF(D779="","",VLOOKUP(D779,'THAM CHIẾU'!$A:$B,2,0))</f>
        <v>#N/A</v>
      </c>
      <c r="C779" s="53" t="str">
        <f t="shared" si="4"/>
        <v>04/2022</v>
      </c>
      <c r="D779" s="99">
        <v>44664.0</v>
      </c>
      <c r="E779" s="79" t="s">
        <v>820</v>
      </c>
      <c r="F779" s="80"/>
      <c r="G779" s="100" t="s">
        <v>278</v>
      </c>
      <c r="H779" s="58" t="str">
        <f>IF(G779="","",VLOOKUP($G779,'Quy chuẩn hạch toán'!$B:$E,2,0))</f>
        <v>154</v>
      </c>
      <c r="I779" s="58" t="str">
        <f>IF(H779="","",VLOOKUP($G779,'Quy chuẩn hạch toán'!$B:$E,3,0))</f>
        <v>1111</v>
      </c>
      <c r="J779" s="101">
        <v>1000000.0</v>
      </c>
      <c r="K779" s="60"/>
      <c r="L779" s="61"/>
      <c r="M779" s="62"/>
      <c r="N779" s="63"/>
      <c r="O779" s="64"/>
      <c r="P779" s="64"/>
      <c r="Q779" s="89"/>
      <c r="R779" s="64"/>
      <c r="S779" s="66"/>
      <c r="T779" s="64"/>
      <c r="U779" s="67" t="s">
        <v>638</v>
      </c>
      <c r="V779" s="64"/>
      <c r="W779" s="83" t="s">
        <v>771</v>
      </c>
      <c r="X779" s="64"/>
      <c r="Y779" s="69" t="s">
        <v>176</v>
      </c>
      <c r="Z779" s="64"/>
      <c r="AA779" s="70" t="s">
        <v>705</v>
      </c>
      <c r="AB779" s="64"/>
      <c r="AC779" s="70"/>
      <c r="AD779" s="64" t="str">
        <f>IF(AC779&lt;&gt;0,VLOOKUP(AC779,DM_NV,2,0),"")</f>
        <v/>
      </c>
      <c r="AE779" s="83" t="s">
        <v>263</v>
      </c>
      <c r="AF779" s="64" t="str">
        <f>IF(AE779&lt;&gt;0,VLOOKUP(AE779,DM_NV,2,0),"")</f>
        <v>#N/A</v>
      </c>
    </row>
    <row r="780">
      <c r="A780" s="51"/>
      <c r="B780" s="52" t="str">
        <f>IF(D780="","",VLOOKUP(D780,'THAM CHIẾU'!$A:$B,2,0))</f>
        <v>#N/A</v>
      </c>
      <c r="C780" s="53" t="str">
        <f t="shared" si="4"/>
        <v>04/2022</v>
      </c>
      <c r="D780" s="99">
        <v>44664.0</v>
      </c>
      <c r="E780" s="55" t="s">
        <v>821</v>
      </c>
      <c r="F780" s="56"/>
      <c r="G780" s="57" t="s">
        <v>282</v>
      </c>
      <c r="H780" s="58" t="str">
        <f>IF(G780="","",VLOOKUP($G780,'Quy chuẩn hạch toán'!$B:$E,2,0))</f>
        <v>1111</v>
      </c>
      <c r="I780" s="58" t="str">
        <f>IF(H780="","",VLOOKUP($G780,'Quy chuẩn hạch toán'!$B:$E,3,0))</f>
        <v>131</v>
      </c>
      <c r="J780" s="59">
        <v>5.8E7</v>
      </c>
      <c r="K780" s="60"/>
      <c r="L780" s="61"/>
      <c r="M780" s="62"/>
      <c r="N780" s="63"/>
      <c r="O780" s="64" t="str">
        <f>IF($Q780&lt;&gt;0,VLOOKUP($Q780,DM_KM,3,0),"")</f>
        <v/>
      </c>
      <c r="P780" s="64" t="str">
        <f>IF($Q780&lt;&gt;0,VLOOKUP($Q780,DM_KM,5,0),"")</f>
        <v/>
      </c>
      <c r="Q780" s="89"/>
      <c r="R780" s="64" t="str">
        <f>IF(S780&lt;&gt;0,VLOOKUP(S780,DM_DUAN,3,0),"")</f>
        <v>#N/A</v>
      </c>
      <c r="S780" s="66" t="str">
        <f>IF(U780&lt;&gt;0,VLOOKUP(U780,DM_DUAN,3,0),"")</f>
        <v>KIMCUONGLAND</v>
      </c>
      <c r="T780" s="64"/>
      <c r="U780" s="67" t="s">
        <v>638</v>
      </c>
      <c r="V780" s="64" t="str">
        <f>IF(W780&lt;&gt;0,VLOOKUP(W780,DM_DUAN,3,0),"")</f>
        <v>#N/A</v>
      </c>
      <c r="W780" s="83" t="s">
        <v>771</v>
      </c>
      <c r="X780" s="64" t="str">
        <f>IF(Y780&lt;&gt;0,VLOOKUP(Y780,DM_DUAN,3,0),"")</f>
        <v>#N/A</v>
      </c>
      <c r="Y780" s="69" t="s">
        <v>176</v>
      </c>
      <c r="Z780" s="64" t="str">
        <f>IF(AA780&lt;&gt;0,VLOOKUP(AA780,DM_DUAN,3,0),"")</f>
        <v>#N/A</v>
      </c>
      <c r="AA780" s="70" t="s">
        <v>705</v>
      </c>
      <c r="AB780" s="64" t="str">
        <f>IF(AC780&lt;&gt;0,VLOOKUP(AC780,DM_DUAN,3,0),"")</f>
        <v/>
      </c>
      <c r="AC780" s="70"/>
      <c r="AD780" s="64" t="str">
        <f>IF(AC780&lt;&gt;0,VLOOKUP(AC780,DM_NV,2,0),"")</f>
        <v/>
      </c>
      <c r="AE780" s="68"/>
      <c r="AF780" s="64" t="str">
        <f>IF(AE780&lt;&gt;0,VLOOKUP(AE780,DM_NV,2,0),"")</f>
        <v/>
      </c>
    </row>
    <row r="781">
      <c r="A781" s="51"/>
      <c r="B781" s="52"/>
      <c r="C781" s="53" t="str">
        <f t="shared" si="4"/>
        <v>04/2022</v>
      </c>
      <c r="D781" s="99">
        <v>44664.0</v>
      </c>
      <c r="E781" s="55" t="s">
        <v>822</v>
      </c>
      <c r="F781" s="56"/>
      <c r="G781" s="57" t="s">
        <v>275</v>
      </c>
      <c r="H781" s="58" t="str">
        <f>IF(G781="","",VLOOKUP($G781,'Quy chuẩn hạch toán'!$B:$E,2,0))</f>
        <v>3341</v>
      </c>
      <c r="I781" s="58" t="str">
        <f>IF(H781="","",VLOOKUP($G781,'Quy chuẩn hạch toán'!$B:$E,3,0))</f>
        <v>1111</v>
      </c>
      <c r="J781" s="102">
        <v>1.865E7</v>
      </c>
      <c r="K781" s="60"/>
      <c r="L781" s="61"/>
      <c r="M781" s="62"/>
      <c r="N781" s="63"/>
      <c r="O781" s="64" t="str">
        <f>IF($Q781&lt;&gt;0,VLOOKUP($Q781,DM_KM,3,0),"")</f>
        <v/>
      </c>
      <c r="P781" s="64" t="str">
        <f>IF($Q781&lt;&gt;0,VLOOKUP($Q781,DM_KM,5,0),"")</f>
        <v/>
      </c>
      <c r="Q781" s="89"/>
      <c r="R781" s="64" t="str">
        <f>IF(S781&lt;&gt;0,VLOOKUP(S781,DM_DUAN,3,0),"")</f>
        <v>#N/A</v>
      </c>
      <c r="S781" s="66" t="str">
        <f>IF(U781&lt;&gt;0,VLOOKUP(U781,DM_DUAN,3,0),"")</f>
        <v>KIMCUONGLAND</v>
      </c>
      <c r="T781" s="64"/>
      <c r="U781" s="67" t="s">
        <v>638</v>
      </c>
      <c r="V781" s="64" t="str">
        <f>IF(W781&lt;&gt;0,VLOOKUP(W781,DM_DUAN,3,0),"")</f>
        <v>#N/A</v>
      </c>
      <c r="W781" s="83" t="s">
        <v>778</v>
      </c>
      <c r="X781" s="64" t="str">
        <f>IF(Y781&lt;&gt;0,VLOOKUP(Y781,DM_DUAN,3,0),"")</f>
        <v>#N/A</v>
      </c>
      <c r="Y781" s="69" t="s">
        <v>176</v>
      </c>
      <c r="Z781" s="64" t="str">
        <f>IF(AA781&lt;&gt;0,VLOOKUP(AA781,DM_DUAN,3,0),"")</f>
        <v>#N/A</v>
      </c>
      <c r="AA781" s="70" t="s">
        <v>705</v>
      </c>
      <c r="AB781" s="64" t="str">
        <f>IF(AC781&lt;&gt;0,VLOOKUP(AC781,DM_DUAN,3,0),"")</f>
        <v>#N/A</v>
      </c>
      <c r="AC781" s="70" t="s">
        <v>772</v>
      </c>
      <c r="AD781" s="64" t="str">
        <f>IF(AC781&lt;&gt;0,VLOOKUP(AC781,DM_NV,2,0),"")</f>
        <v>Phan Tấn Đạt</v>
      </c>
      <c r="AE781" s="83" t="s">
        <v>276</v>
      </c>
      <c r="AF781" s="64" t="str">
        <f>IF(AE781&lt;&gt;0,VLOOKUP(AE781,DM_NV,2,0),"")</f>
        <v>#N/A</v>
      </c>
    </row>
    <row r="782">
      <c r="A782" s="51"/>
      <c r="B782" s="52"/>
      <c r="C782" s="53" t="str">
        <f t="shared" si="4"/>
        <v>04/2022</v>
      </c>
      <c r="D782" s="99">
        <v>44664.0</v>
      </c>
      <c r="E782" s="141" t="s">
        <v>823</v>
      </c>
      <c r="F782" s="142"/>
      <c r="G782" s="100" t="s">
        <v>278</v>
      </c>
      <c r="H782" s="58" t="str">
        <f>IF(G782="","",VLOOKUP($G782,'Quy chuẩn hạch toán'!$B:$E,2,0))</f>
        <v>154</v>
      </c>
      <c r="I782" s="58" t="str">
        <f>IF(H782="","",VLOOKUP($G782,'Quy chuẩn hạch toán'!$B:$E,3,0))</f>
        <v>1111</v>
      </c>
      <c r="J782" s="152">
        <v>1000000.0</v>
      </c>
      <c r="K782" s="60"/>
      <c r="L782" s="61"/>
      <c r="M782" s="62"/>
      <c r="N782" s="63"/>
      <c r="O782" s="64"/>
      <c r="P782" s="64"/>
      <c r="Q782" s="89"/>
      <c r="R782" s="64"/>
      <c r="S782" s="66"/>
      <c r="T782" s="64"/>
      <c r="U782" s="67" t="s">
        <v>638</v>
      </c>
      <c r="V782" s="64"/>
      <c r="W782" s="83" t="s">
        <v>778</v>
      </c>
      <c r="X782" s="64"/>
      <c r="Y782" s="69" t="s">
        <v>176</v>
      </c>
      <c r="Z782" s="64"/>
      <c r="AA782" s="70" t="s">
        <v>705</v>
      </c>
      <c r="AB782" s="64"/>
      <c r="AC782" s="70"/>
      <c r="AD782" s="64" t="str">
        <f>IF(AC782&lt;&gt;0,VLOOKUP(AC782,DM_NV,2,0),"")</f>
        <v/>
      </c>
      <c r="AE782" s="83" t="s">
        <v>263</v>
      </c>
      <c r="AF782" s="64" t="str">
        <f>IF(AE782&lt;&gt;0,VLOOKUP(AE782,DM_NV,2,0),"")</f>
        <v>#N/A</v>
      </c>
    </row>
    <row r="783">
      <c r="A783" s="51"/>
      <c r="B783" s="52"/>
      <c r="C783" s="53" t="str">
        <f t="shared" si="4"/>
        <v>04/2022</v>
      </c>
      <c r="D783" s="99">
        <v>44664.0</v>
      </c>
      <c r="E783" s="107" t="s">
        <v>824</v>
      </c>
      <c r="F783" s="110"/>
      <c r="G783" s="57" t="s">
        <v>282</v>
      </c>
      <c r="H783" s="58" t="str">
        <f>IF(G783="","",VLOOKUP($G783,'Quy chuẩn hạch toán'!$B:$E,2,0))</f>
        <v>1111</v>
      </c>
      <c r="I783" s="58" t="str">
        <f>IF(H783="","",VLOOKUP($G783,'Quy chuẩn hạch toán'!$B:$E,3,0))</f>
        <v>131</v>
      </c>
      <c r="J783" s="105">
        <v>9.1E7</v>
      </c>
      <c r="K783" s="60"/>
      <c r="L783" s="61"/>
      <c r="M783" s="62"/>
      <c r="N783" s="63"/>
      <c r="O783" s="64" t="str">
        <f>IF($Q783&lt;&gt;0,VLOOKUP($Q783,DM_KM,3,0),"")</f>
        <v/>
      </c>
      <c r="P783" s="64" t="str">
        <f>IF($Q783&lt;&gt;0,VLOOKUP($Q783,DM_KM,5,0),"")</f>
        <v/>
      </c>
      <c r="Q783" s="89"/>
      <c r="R783" s="64" t="str">
        <f>IF(S783&lt;&gt;0,VLOOKUP(S783,DM_DUAN,3,0),"")</f>
        <v>#N/A</v>
      </c>
      <c r="S783" s="66" t="str">
        <f>IF(U783&lt;&gt;0,VLOOKUP(U783,DM_DUAN,3,0),"")</f>
        <v>KIMCUONGLAND</v>
      </c>
      <c r="T783" s="64"/>
      <c r="U783" s="67" t="s">
        <v>638</v>
      </c>
      <c r="V783" s="64" t="str">
        <f>IF(W783&lt;&gt;0,VLOOKUP(W783,DM_DUAN,3,0),"")</f>
        <v>#N/A</v>
      </c>
      <c r="W783" s="83" t="s">
        <v>778</v>
      </c>
      <c r="X783" s="64" t="str">
        <f>IF(Y783&lt;&gt;0,VLOOKUP(Y783,DM_DUAN,3,0),"")</f>
        <v>#N/A</v>
      </c>
      <c r="Y783" s="69" t="s">
        <v>176</v>
      </c>
      <c r="Z783" s="64" t="str">
        <f>IF(AA783&lt;&gt;0,VLOOKUP(AA783,DM_DUAN,3,0),"")</f>
        <v>#N/A</v>
      </c>
      <c r="AA783" s="70" t="s">
        <v>705</v>
      </c>
      <c r="AB783" s="64" t="str">
        <f>IF(AC783&lt;&gt;0,VLOOKUP(AC783,DM_DUAN,3,0),"")</f>
        <v/>
      </c>
      <c r="AC783" s="70"/>
      <c r="AD783" s="64" t="str">
        <f>IF(AC783&lt;&gt;0,VLOOKUP(AC783,DM_NV,2,0),"")</f>
        <v/>
      </c>
      <c r="AE783" s="68"/>
      <c r="AF783" s="64" t="str">
        <f>IF(AE783&lt;&gt;0,VLOOKUP(AE783,DM_NV,2,0),"")</f>
        <v/>
      </c>
    </row>
    <row r="784">
      <c r="A784" s="51"/>
      <c r="B784" s="52"/>
      <c r="C784" s="53" t="str">
        <f t="shared" si="4"/>
        <v>04/2022</v>
      </c>
      <c r="D784" s="99">
        <v>44664.0</v>
      </c>
      <c r="E784" s="107" t="s">
        <v>825</v>
      </c>
      <c r="F784" s="110"/>
      <c r="G784" s="57" t="s">
        <v>275</v>
      </c>
      <c r="H784" s="58" t="str">
        <f>IF(G784="","",VLOOKUP($G784,'Quy chuẩn hạch toán'!$B:$E,2,0))</f>
        <v>3341</v>
      </c>
      <c r="I784" s="58" t="str">
        <f>IF(H784="","",VLOOKUP($G784,'Quy chuẩn hạch toán'!$B:$E,3,0))</f>
        <v>1111</v>
      </c>
      <c r="J784" s="105">
        <v>2.015E7</v>
      </c>
      <c r="K784" s="60"/>
      <c r="L784" s="61"/>
      <c r="M784" s="62"/>
      <c r="N784" s="63"/>
      <c r="O784" s="64" t="str">
        <f>IF($Q784&lt;&gt;0,VLOOKUP($Q784,DM_KM,3,0),"")</f>
        <v/>
      </c>
      <c r="P784" s="64" t="str">
        <f>IF($Q784&lt;&gt;0,VLOOKUP($Q784,DM_KM,5,0),"")</f>
        <v/>
      </c>
      <c r="Q784" s="89"/>
      <c r="R784" s="64" t="str">
        <f>IF(S784&lt;&gt;0,VLOOKUP(S784,DM_DUAN,3,0),"")</f>
        <v>#N/A</v>
      </c>
      <c r="S784" s="66" t="str">
        <f>IF(U784&lt;&gt;0,VLOOKUP(U784,DM_DUAN,3,0),"")</f>
        <v>KIMCUONGLAND</v>
      </c>
      <c r="T784" s="64"/>
      <c r="U784" s="67" t="s">
        <v>638</v>
      </c>
      <c r="V784" s="64" t="str">
        <f>IF(W784&lt;&gt;0,VLOOKUP(W784,DM_DUAN,3,0),"")</f>
        <v>#N/A</v>
      </c>
      <c r="W784" s="83" t="s">
        <v>784</v>
      </c>
      <c r="X784" s="64" t="str">
        <f>IF(Y784&lt;&gt;0,VLOOKUP(Y784,DM_DUAN,3,0),"")</f>
        <v>#N/A</v>
      </c>
      <c r="Y784" s="69" t="s">
        <v>176</v>
      </c>
      <c r="Z784" s="64" t="str">
        <f>IF(AA784&lt;&gt;0,VLOOKUP(AA784,DM_DUAN,3,0),"")</f>
        <v>#N/A</v>
      </c>
      <c r="AA784" s="70" t="s">
        <v>705</v>
      </c>
      <c r="AB784" s="64" t="str">
        <f>IF(AC784&lt;&gt;0,VLOOKUP(AC784,DM_DUAN,3,0),"")</f>
        <v>#N/A</v>
      </c>
      <c r="AC784" s="70" t="s">
        <v>772</v>
      </c>
      <c r="AD784" s="64" t="str">
        <f>IF(AC784&lt;&gt;0,VLOOKUP(AC784,DM_NV,2,0),"")</f>
        <v>Phan Tấn Đạt</v>
      </c>
      <c r="AE784" s="83" t="s">
        <v>276</v>
      </c>
      <c r="AF784" s="64" t="str">
        <f>IF(AE784&lt;&gt;0,VLOOKUP(AE784,DM_NV,2,0),"")</f>
        <v>#N/A</v>
      </c>
    </row>
    <row r="785">
      <c r="A785" s="51"/>
      <c r="B785" s="52"/>
      <c r="C785" s="53" t="str">
        <f t="shared" si="4"/>
        <v>04/2022</v>
      </c>
      <c r="D785" s="99">
        <v>44664.0</v>
      </c>
      <c r="E785" s="141" t="s">
        <v>826</v>
      </c>
      <c r="F785" s="142"/>
      <c r="G785" s="100" t="s">
        <v>278</v>
      </c>
      <c r="H785" s="58" t="str">
        <f>IF(G785="","",VLOOKUP($G785,'Quy chuẩn hạch toán'!$B:$E,2,0))</f>
        <v>154</v>
      </c>
      <c r="I785" s="58" t="str">
        <f>IF(H785="","",VLOOKUP($G785,'Quy chuẩn hạch toán'!$B:$E,3,0))</f>
        <v>1111</v>
      </c>
      <c r="J785" s="152">
        <v>1000000.0</v>
      </c>
      <c r="K785" s="60"/>
      <c r="L785" s="61"/>
      <c r="M785" s="62"/>
      <c r="N785" s="63"/>
      <c r="O785" s="64"/>
      <c r="P785" s="64"/>
      <c r="Q785" s="89"/>
      <c r="R785" s="64"/>
      <c r="S785" s="66"/>
      <c r="T785" s="64"/>
      <c r="U785" s="67" t="s">
        <v>638</v>
      </c>
      <c r="V785" s="64"/>
      <c r="W785" s="83" t="s">
        <v>784</v>
      </c>
      <c r="X785" s="64"/>
      <c r="Y785" s="69" t="s">
        <v>176</v>
      </c>
      <c r="Z785" s="64"/>
      <c r="AA785" s="70" t="s">
        <v>705</v>
      </c>
      <c r="AB785" s="64"/>
      <c r="AC785" s="70"/>
      <c r="AD785" s="64" t="str">
        <f>IF(AC785&lt;&gt;0,VLOOKUP(AC785,DM_NV,2,0),"")</f>
        <v/>
      </c>
      <c r="AE785" s="83" t="s">
        <v>263</v>
      </c>
      <c r="AF785" s="64" t="str">
        <f>IF(AE785&lt;&gt;0,VLOOKUP(AE785,DM_NV,2,0),"")</f>
        <v>#N/A</v>
      </c>
    </row>
    <row r="786">
      <c r="A786" s="51"/>
      <c r="B786" s="52"/>
      <c r="C786" s="53" t="str">
        <f t="shared" si="4"/>
        <v>04/2022</v>
      </c>
      <c r="D786" s="99">
        <v>44664.0</v>
      </c>
      <c r="E786" s="55" t="s">
        <v>827</v>
      </c>
      <c r="F786" s="56"/>
      <c r="G786" s="57" t="s">
        <v>282</v>
      </c>
      <c r="H786" s="58" t="str">
        <f>IF(G786="","",VLOOKUP($G786,'Quy chuẩn hạch toán'!$B:$E,2,0))</f>
        <v>1111</v>
      </c>
      <c r="I786" s="58" t="str">
        <f>IF(H786="","",VLOOKUP($G786,'Quy chuẩn hạch toán'!$B:$E,3,0))</f>
        <v>131</v>
      </c>
      <c r="J786" s="102">
        <v>1.01E8</v>
      </c>
      <c r="K786" s="60"/>
      <c r="L786" s="61"/>
      <c r="M786" s="62"/>
      <c r="N786" s="63"/>
      <c r="O786" s="64" t="str">
        <f>IF($Q786&lt;&gt;0,VLOOKUP($Q786,DM_KM,3,0),"")</f>
        <v/>
      </c>
      <c r="P786" s="64" t="str">
        <f>IF($Q786&lt;&gt;0,VLOOKUP($Q786,DM_KM,5,0),"")</f>
        <v/>
      </c>
      <c r="Q786" s="89"/>
      <c r="R786" s="64" t="str">
        <f>IF(S786&lt;&gt;0,VLOOKUP(S786,DM_DUAN,3,0),"")</f>
        <v>#N/A</v>
      </c>
      <c r="S786" s="66" t="str">
        <f>IF(U786&lt;&gt;0,VLOOKUP(U786,DM_DUAN,3,0),"")</f>
        <v>KIMCUONGLAND</v>
      </c>
      <c r="T786" s="64"/>
      <c r="U786" s="67" t="s">
        <v>638</v>
      </c>
      <c r="V786" s="64" t="str">
        <f>IF(W786&lt;&gt;0,VLOOKUP(W786,DM_DUAN,3,0),"")</f>
        <v>#N/A</v>
      </c>
      <c r="W786" s="83" t="s">
        <v>784</v>
      </c>
      <c r="X786" s="64" t="str">
        <f>IF(Y786&lt;&gt;0,VLOOKUP(Y786,DM_DUAN,3,0),"")</f>
        <v>#N/A</v>
      </c>
      <c r="Y786" s="69" t="s">
        <v>176</v>
      </c>
      <c r="Z786" s="64" t="str">
        <f>IF(AA786&lt;&gt;0,VLOOKUP(AA786,DM_DUAN,3,0),"")</f>
        <v>#N/A</v>
      </c>
      <c r="AA786" s="70" t="s">
        <v>705</v>
      </c>
      <c r="AB786" s="64" t="str">
        <f>IF(AC786&lt;&gt;0,VLOOKUP(AC786,DM_DUAN,3,0),"")</f>
        <v/>
      </c>
      <c r="AC786" s="70"/>
      <c r="AD786" s="64" t="str">
        <f>IF(AC786&lt;&gt;0,VLOOKUP(AC786,DM_NV,2,0),"")</f>
        <v/>
      </c>
      <c r="AE786" s="68"/>
      <c r="AF786" s="64" t="str">
        <f>IF(AE786&lt;&gt;0,VLOOKUP(AE786,DM_NV,2,0),"")</f>
        <v/>
      </c>
    </row>
    <row r="787">
      <c r="A787" s="51"/>
      <c r="B787" s="52"/>
      <c r="C787" s="53" t="str">
        <f t="shared" si="4"/>
        <v>04/2022</v>
      </c>
      <c r="D787" s="99">
        <v>44664.0</v>
      </c>
      <c r="E787" s="107" t="s">
        <v>828</v>
      </c>
      <c r="F787" s="110"/>
      <c r="G787" s="57" t="s">
        <v>275</v>
      </c>
      <c r="H787" s="58" t="str">
        <f>IF(G787="","",VLOOKUP($G787,'Quy chuẩn hạch toán'!$B:$E,2,0))</f>
        <v>3341</v>
      </c>
      <c r="I787" s="58" t="str">
        <f>IF(H787="","",VLOOKUP($G787,'Quy chuẩn hạch toán'!$B:$E,3,0))</f>
        <v>1111</v>
      </c>
      <c r="J787" s="105">
        <v>1980000.0</v>
      </c>
      <c r="K787" s="60"/>
      <c r="L787" s="61"/>
      <c r="M787" s="62"/>
      <c r="N787" s="63"/>
      <c r="O787" s="64"/>
      <c r="P787" s="64"/>
      <c r="Q787" s="89"/>
      <c r="R787" s="64"/>
      <c r="S787" s="66"/>
      <c r="T787" s="64"/>
      <c r="U787" s="67" t="s">
        <v>638</v>
      </c>
      <c r="V787" s="64"/>
      <c r="W787" s="83" t="s">
        <v>790</v>
      </c>
      <c r="X787" s="64"/>
      <c r="Y787" s="69" t="s">
        <v>176</v>
      </c>
      <c r="Z787" s="64"/>
      <c r="AA787" s="70" t="s">
        <v>177</v>
      </c>
      <c r="AB787" s="64"/>
      <c r="AC787" s="70" t="s">
        <v>603</v>
      </c>
      <c r="AD787" s="64" t="str">
        <f>IF(AC787&lt;&gt;0,VLOOKUP(AC787,DM_NV,2,0),"")</f>
        <v>Trần Minh Khánh</v>
      </c>
      <c r="AE787" s="83" t="s">
        <v>276</v>
      </c>
      <c r="AF787" s="64" t="str">
        <f>IF(AE787&lt;&gt;0,VLOOKUP(AE787,DM_NV,2,0),"")</f>
        <v>#N/A</v>
      </c>
    </row>
    <row r="788">
      <c r="A788" s="51"/>
      <c r="B788" s="52"/>
      <c r="C788" s="53" t="str">
        <f t="shared" si="4"/>
        <v>04/2022</v>
      </c>
      <c r="D788" s="99">
        <v>44664.0</v>
      </c>
      <c r="E788" s="107" t="s">
        <v>829</v>
      </c>
      <c r="F788" s="110"/>
      <c r="G788" s="57" t="s">
        <v>275</v>
      </c>
      <c r="H788" s="58" t="str">
        <f>IF(G788="","",VLOOKUP($G788,'Quy chuẩn hạch toán'!$B:$E,2,0))</f>
        <v>3341</v>
      </c>
      <c r="I788" s="58" t="str">
        <f>IF(H788="","",VLOOKUP($G788,'Quy chuẩn hạch toán'!$B:$E,3,0))</f>
        <v>1111</v>
      </c>
      <c r="J788" s="105">
        <v>2.0325E7</v>
      </c>
      <c r="K788" s="60"/>
      <c r="L788" s="61"/>
      <c r="M788" s="62"/>
      <c r="N788" s="63"/>
      <c r="O788" s="64" t="str">
        <f>IF($Q788&lt;&gt;0,VLOOKUP($Q788,DM_KM,3,0),"")</f>
        <v/>
      </c>
      <c r="P788" s="64" t="str">
        <f>IF($Q788&lt;&gt;0,VLOOKUP($Q788,DM_KM,5,0),"")</f>
        <v/>
      </c>
      <c r="Q788" s="89"/>
      <c r="R788" s="64" t="str">
        <f>IF(S788&lt;&gt;0,VLOOKUP(S788,DM_DUAN,3,0),"")</f>
        <v>#N/A</v>
      </c>
      <c r="S788" s="66" t="str">
        <f>IF(U788&lt;&gt;0,VLOOKUP(U788,DM_DUAN,3,0),"")</f>
        <v>KIMCUONGLAND</v>
      </c>
      <c r="T788" s="64"/>
      <c r="U788" s="67" t="s">
        <v>638</v>
      </c>
      <c r="V788" s="64" t="str">
        <f>IF(W788&lt;&gt;0,VLOOKUP(W788,DM_DUAN,3,0),"")</f>
        <v>#N/A</v>
      </c>
      <c r="W788" s="83" t="s">
        <v>790</v>
      </c>
      <c r="X788" s="64" t="str">
        <f>IF(Y788&lt;&gt;0,VLOOKUP(Y788,DM_DUAN,3,0),"")</f>
        <v>#N/A</v>
      </c>
      <c r="Y788" s="69" t="s">
        <v>176</v>
      </c>
      <c r="Z788" s="64" t="str">
        <f>IF(AA788&lt;&gt;0,VLOOKUP(AA788,DM_DUAN,3,0),"")</f>
        <v>#N/A</v>
      </c>
      <c r="AA788" s="70" t="s">
        <v>177</v>
      </c>
      <c r="AB788" s="64" t="str">
        <f>IF(AC788&lt;&gt;0,VLOOKUP(AC788,DM_DUAN,3,0),"")</f>
        <v>#N/A</v>
      </c>
      <c r="AC788" s="70" t="s">
        <v>791</v>
      </c>
      <c r="AD788" s="64" t="str">
        <f>IF(AC788&lt;&gt;0,VLOOKUP(AC788,DM_NV,2,0),"")</f>
        <v>Hồ Thị Thuý An</v>
      </c>
      <c r="AE788" s="83" t="s">
        <v>276</v>
      </c>
      <c r="AF788" s="64" t="str">
        <f>IF(AE788&lt;&gt;0,VLOOKUP(AE788,DM_NV,2,0),"")</f>
        <v>#N/A</v>
      </c>
    </row>
    <row r="789">
      <c r="A789" s="51"/>
      <c r="B789" s="52"/>
      <c r="C789" s="53" t="str">
        <f t="shared" si="4"/>
        <v>04/2022</v>
      </c>
      <c r="D789" s="99">
        <v>44664.0</v>
      </c>
      <c r="E789" s="141" t="s">
        <v>830</v>
      </c>
      <c r="F789" s="142"/>
      <c r="G789" s="100" t="s">
        <v>278</v>
      </c>
      <c r="H789" s="58" t="str">
        <f>IF(G789="","",VLOOKUP($G789,'Quy chuẩn hạch toán'!$B:$E,2,0))</f>
        <v>154</v>
      </c>
      <c r="I789" s="58" t="str">
        <f>IF(H789="","",VLOOKUP($G789,'Quy chuẩn hạch toán'!$B:$E,3,0))</f>
        <v>1111</v>
      </c>
      <c r="J789" s="152">
        <v>1000000.0</v>
      </c>
      <c r="K789" s="60"/>
      <c r="L789" s="61"/>
      <c r="M789" s="62"/>
      <c r="N789" s="63"/>
      <c r="O789" s="64"/>
      <c r="P789" s="64"/>
      <c r="Q789" s="89"/>
      <c r="R789" s="64"/>
      <c r="S789" s="66"/>
      <c r="T789" s="64"/>
      <c r="U789" s="67" t="s">
        <v>638</v>
      </c>
      <c r="V789" s="64"/>
      <c r="W789" s="83" t="s">
        <v>790</v>
      </c>
      <c r="X789" s="64"/>
      <c r="Y789" s="69" t="s">
        <v>176</v>
      </c>
      <c r="Z789" s="64"/>
      <c r="AA789" s="70" t="s">
        <v>177</v>
      </c>
      <c r="AB789" s="64"/>
      <c r="AC789" s="70"/>
      <c r="AD789" s="64" t="str">
        <f>IF(AC789&lt;&gt;0,VLOOKUP(AC789,DM_NV,2,0),"")</f>
        <v/>
      </c>
      <c r="AE789" s="83" t="s">
        <v>263</v>
      </c>
      <c r="AF789" s="64" t="str">
        <f>IF(AE789&lt;&gt;0,VLOOKUP(AE789,DM_NV,2,0),"")</f>
        <v>#N/A</v>
      </c>
    </row>
    <row r="790">
      <c r="A790" s="51"/>
      <c r="B790" s="52"/>
      <c r="C790" s="53" t="str">
        <f t="shared" si="4"/>
        <v>04/2022</v>
      </c>
      <c r="D790" s="99">
        <v>44664.0</v>
      </c>
      <c r="E790" s="107" t="s">
        <v>831</v>
      </c>
      <c r="F790" s="110"/>
      <c r="G790" s="57" t="s">
        <v>282</v>
      </c>
      <c r="H790" s="58" t="str">
        <f>IF(G790="","",VLOOKUP($G790,'Quy chuẩn hạch toán'!$B:$E,2,0))</f>
        <v>1111</v>
      </c>
      <c r="I790" s="58" t="str">
        <f>IF(H790="","",VLOOKUP($G790,'Quy chuẩn hạch toán'!$B:$E,3,0))</f>
        <v>131</v>
      </c>
      <c r="J790" s="105">
        <v>1.02E8</v>
      </c>
      <c r="K790" s="60"/>
      <c r="L790" s="61"/>
      <c r="M790" s="62"/>
      <c r="N790" s="63"/>
      <c r="O790" s="64" t="str">
        <f>IF($Q790&lt;&gt;0,VLOOKUP($Q790,DM_KM,3,0),"")</f>
        <v/>
      </c>
      <c r="P790" s="64" t="str">
        <f>IF($Q790&lt;&gt;0,VLOOKUP($Q790,DM_KM,5,0),"")</f>
        <v/>
      </c>
      <c r="Q790" s="89"/>
      <c r="R790" s="64" t="str">
        <f>IF(S790&lt;&gt;0,VLOOKUP(S790,DM_DUAN,3,0),"")</f>
        <v>#N/A</v>
      </c>
      <c r="S790" s="66" t="str">
        <f>IF(U790&lt;&gt;0,VLOOKUP(U790,DM_DUAN,3,0),"")</f>
        <v>KIMCUONGLAND</v>
      </c>
      <c r="T790" s="64"/>
      <c r="U790" s="67" t="s">
        <v>638</v>
      </c>
      <c r="V790" s="64" t="str">
        <f>IF(W790&lt;&gt;0,VLOOKUP(W790,DM_DUAN,3,0),"")</f>
        <v>#N/A</v>
      </c>
      <c r="W790" s="83" t="s">
        <v>790</v>
      </c>
      <c r="X790" s="64" t="str">
        <f>IF(Y790&lt;&gt;0,VLOOKUP(Y790,DM_DUAN,3,0),"")</f>
        <v>#N/A</v>
      </c>
      <c r="Y790" s="69" t="s">
        <v>176</v>
      </c>
      <c r="Z790" s="64" t="str">
        <f>IF(AA790&lt;&gt;0,VLOOKUP(AA790,DM_DUAN,3,0),"")</f>
        <v>#N/A</v>
      </c>
      <c r="AA790" s="70" t="s">
        <v>177</v>
      </c>
      <c r="AB790" s="64" t="str">
        <f>IF(AC790&lt;&gt;0,VLOOKUP(AC790,DM_DUAN,3,0),"")</f>
        <v/>
      </c>
      <c r="AC790" s="70"/>
      <c r="AD790" s="64" t="str">
        <f>IF(AC790&lt;&gt;0,VLOOKUP(AC790,DM_NV,2,0),"")</f>
        <v/>
      </c>
      <c r="AE790" s="68"/>
      <c r="AF790" s="64" t="str">
        <f>IF(AE790&lt;&gt;0,VLOOKUP(AE790,DM_NV,2,0),"")</f>
        <v/>
      </c>
    </row>
    <row r="791">
      <c r="A791" s="51"/>
      <c r="B791" s="52"/>
      <c r="C791" s="53" t="str">
        <f t="shared" si="4"/>
        <v>04/2022</v>
      </c>
      <c r="D791" s="99">
        <v>44664.0</v>
      </c>
      <c r="E791" s="141" t="s">
        <v>832</v>
      </c>
      <c r="F791" s="142"/>
      <c r="G791" s="57" t="s">
        <v>733</v>
      </c>
      <c r="H791" s="58" t="str">
        <f>IF(G791="","",VLOOKUP($G791,'Quy chuẩn hạch toán'!$B:$E,2,0))</f>
        <v>154</v>
      </c>
      <c r="I791" s="58" t="str">
        <f>IF(H791="","",VLOOKUP($G791,'Quy chuẩn hạch toán'!$B:$E,3,0))</f>
        <v>3342</v>
      </c>
      <c r="J791" s="152">
        <v>1635000.0</v>
      </c>
      <c r="K791" s="60"/>
      <c r="L791" s="61"/>
      <c r="M791" s="62"/>
      <c r="N791" s="63"/>
      <c r="O791" s="64"/>
      <c r="P791" s="64"/>
      <c r="Q791" s="89"/>
      <c r="R791" s="64"/>
      <c r="S791" s="66"/>
      <c r="T791" s="64"/>
      <c r="U791" s="67" t="s">
        <v>638</v>
      </c>
      <c r="V791" s="64"/>
      <c r="W791" s="83" t="s">
        <v>728</v>
      </c>
      <c r="X791" s="64"/>
      <c r="Y791" s="69" t="s">
        <v>176</v>
      </c>
      <c r="Z791" s="64"/>
      <c r="AA791" s="70" t="s">
        <v>177</v>
      </c>
      <c r="AB791" s="64"/>
      <c r="AC791" s="70"/>
      <c r="AD791" s="64" t="str">
        <f>IF(AC791&lt;&gt;0,VLOOKUP(AC791,DM_NV,2,0),"")</f>
        <v/>
      </c>
      <c r="AE791" s="68"/>
      <c r="AF791" s="64" t="str">
        <f>IF(AE791&lt;&gt;0,VLOOKUP(AE791,DM_NV,2,0),"")</f>
        <v/>
      </c>
    </row>
    <row r="792">
      <c r="A792" s="51"/>
      <c r="B792" s="52"/>
      <c r="C792" s="53" t="str">
        <f t="shared" si="4"/>
        <v>04/2022</v>
      </c>
      <c r="D792" s="99">
        <v>44664.0</v>
      </c>
      <c r="E792" s="107" t="s">
        <v>833</v>
      </c>
      <c r="F792" s="110"/>
      <c r="G792" s="57" t="s">
        <v>275</v>
      </c>
      <c r="H792" s="58" t="str">
        <f>IF(G792="","",VLOOKUP($G792,'Quy chuẩn hạch toán'!$B:$E,2,0))</f>
        <v>3341</v>
      </c>
      <c r="I792" s="58" t="str">
        <f>IF(H792="","",VLOOKUP($G792,'Quy chuẩn hạch toán'!$B:$E,3,0))</f>
        <v>1111</v>
      </c>
      <c r="J792" s="105">
        <v>2.2075E7</v>
      </c>
      <c r="K792" s="60"/>
      <c r="L792" s="61"/>
      <c r="M792" s="62"/>
      <c r="N792" s="63"/>
      <c r="O792" s="64" t="str">
        <f>IF($Q792&lt;&gt;0,VLOOKUP($Q792,DM_KM,3,0),"")</f>
        <v/>
      </c>
      <c r="P792" s="64" t="str">
        <f>IF($Q792&lt;&gt;0,VLOOKUP($Q792,DM_KM,5,0),"")</f>
        <v/>
      </c>
      <c r="Q792" s="89"/>
      <c r="R792" s="64" t="str">
        <f>IF(S792&lt;&gt;0,VLOOKUP(S792,DM_DUAN,3,0),"")</f>
        <v>#N/A</v>
      </c>
      <c r="S792" s="66" t="str">
        <f>IF(U792&lt;&gt;0,VLOOKUP(U792,DM_DUAN,3,0),"")</f>
        <v>KIMCUONGLAND</v>
      </c>
      <c r="T792" s="64"/>
      <c r="U792" s="67" t="s">
        <v>638</v>
      </c>
      <c r="V792" s="64" t="str">
        <f>IF(W792&lt;&gt;0,VLOOKUP(W792,DM_DUAN,3,0),"")</f>
        <v>#N/A</v>
      </c>
      <c r="W792" s="83" t="s">
        <v>728</v>
      </c>
      <c r="X792" s="64" t="str">
        <f>IF(Y792&lt;&gt;0,VLOOKUP(Y792,DM_DUAN,3,0),"")</f>
        <v>#N/A</v>
      </c>
      <c r="Y792" s="69" t="s">
        <v>176</v>
      </c>
      <c r="Z792" s="64" t="str">
        <f>IF(AA792&lt;&gt;0,VLOOKUP(AA792,DM_DUAN,3,0),"")</f>
        <v>#N/A</v>
      </c>
      <c r="AA792" s="70" t="s">
        <v>177</v>
      </c>
      <c r="AB792" s="64" t="str">
        <f>IF(AC792&lt;&gt;0,VLOOKUP(AC792,DM_DUAN,3,0),"")</f>
        <v>#N/A</v>
      </c>
      <c r="AC792" s="70" t="s">
        <v>178</v>
      </c>
      <c r="AD792" s="64" t="str">
        <f>IF(AC792&lt;&gt;0,VLOOKUP(AC792,DM_NV,2,0),"")</f>
        <v>Lê Hoàng Quân</v>
      </c>
      <c r="AE792" s="83" t="s">
        <v>276</v>
      </c>
      <c r="AF792" s="64" t="str">
        <f>IF(AE792&lt;&gt;0,VLOOKUP(AE792,DM_NV,2,0),"")</f>
        <v>#N/A</v>
      </c>
    </row>
    <row r="793">
      <c r="A793" s="51"/>
      <c r="B793" s="52"/>
      <c r="C793" s="53" t="str">
        <f t="shared" si="4"/>
        <v>04/2022</v>
      </c>
      <c r="D793" s="99">
        <v>44664.0</v>
      </c>
      <c r="E793" s="141" t="s">
        <v>834</v>
      </c>
      <c r="F793" s="142"/>
      <c r="G793" s="100" t="s">
        <v>278</v>
      </c>
      <c r="H793" s="58" t="str">
        <f>IF(G793="","",VLOOKUP($G793,'Quy chuẩn hạch toán'!$B:$E,2,0))</f>
        <v>154</v>
      </c>
      <c r="I793" s="58" t="str">
        <f>IF(H793="","",VLOOKUP($G793,'Quy chuẩn hạch toán'!$B:$E,3,0))</f>
        <v>1111</v>
      </c>
      <c r="J793" s="152">
        <v>1000000.0</v>
      </c>
      <c r="K793" s="60"/>
      <c r="L793" s="61"/>
      <c r="M793" s="62"/>
      <c r="N793" s="63"/>
      <c r="O793" s="64"/>
      <c r="P793" s="64"/>
      <c r="Q793" s="89"/>
      <c r="R793" s="64"/>
      <c r="S793" s="66"/>
      <c r="T793" s="64"/>
      <c r="U793" s="67" t="s">
        <v>638</v>
      </c>
      <c r="V793" s="64"/>
      <c r="W793" s="83" t="s">
        <v>728</v>
      </c>
      <c r="X793" s="64"/>
      <c r="Y793" s="69" t="s">
        <v>176</v>
      </c>
      <c r="Z793" s="64"/>
      <c r="AA793" s="70" t="s">
        <v>177</v>
      </c>
      <c r="AB793" s="64"/>
      <c r="AC793" s="70"/>
      <c r="AD793" s="64" t="str">
        <f>IF(AC793&lt;&gt;0,VLOOKUP(AC793,DM_NV,2,0),"")</f>
        <v/>
      </c>
      <c r="AE793" s="83" t="s">
        <v>263</v>
      </c>
      <c r="AF793" s="64" t="str">
        <f>IF(AE793&lt;&gt;0,VLOOKUP(AE793,DM_NV,2,0),"")</f>
        <v>#N/A</v>
      </c>
    </row>
    <row r="794">
      <c r="A794" s="51"/>
      <c r="B794" s="52"/>
      <c r="C794" s="53" t="str">
        <f t="shared" si="4"/>
        <v>04/2022</v>
      </c>
      <c r="D794" s="99">
        <v>44664.0</v>
      </c>
      <c r="E794" s="107" t="s">
        <v>835</v>
      </c>
      <c r="F794" s="110"/>
      <c r="G794" s="57" t="s">
        <v>282</v>
      </c>
      <c r="H794" s="58" t="str">
        <f>IF(G794="","",VLOOKUP($G794,'Quy chuẩn hạch toán'!$B:$E,2,0))</f>
        <v>1111</v>
      </c>
      <c r="I794" s="58" t="str">
        <f>IF(H794="","",VLOOKUP($G794,'Quy chuẩn hạch toán'!$B:$E,3,0))</f>
        <v>131</v>
      </c>
      <c r="J794" s="105">
        <v>1.12E8</v>
      </c>
      <c r="K794" s="60"/>
      <c r="L794" s="61"/>
      <c r="M794" s="62"/>
      <c r="N794" s="63"/>
      <c r="O794" s="64" t="str">
        <f>IF($Q794&lt;&gt;0,VLOOKUP($Q794,DM_KM,3,0),"")</f>
        <v/>
      </c>
      <c r="P794" s="64" t="str">
        <f>IF($Q794&lt;&gt;0,VLOOKUP($Q794,DM_KM,5,0),"")</f>
        <v/>
      </c>
      <c r="Q794" s="89"/>
      <c r="R794" s="64" t="str">
        <f>IF(S794&lt;&gt;0,VLOOKUP(S794,DM_DUAN,3,0),"")</f>
        <v>#N/A</v>
      </c>
      <c r="S794" s="66" t="str">
        <f>IF(U794&lt;&gt;0,VLOOKUP(U794,DM_DUAN,3,0),"")</f>
        <v>KIMCUONGLAND</v>
      </c>
      <c r="T794" s="64"/>
      <c r="U794" s="67" t="s">
        <v>638</v>
      </c>
      <c r="V794" s="64" t="str">
        <f>IF(W794&lt;&gt;0,VLOOKUP(W794,DM_DUAN,3,0),"")</f>
        <v>#N/A</v>
      </c>
      <c r="W794" s="83" t="s">
        <v>728</v>
      </c>
      <c r="X794" s="64" t="str">
        <f>IF(Y794&lt;&gt;0,VLOOKUP(Y794,DM_DUAN,3,0),"")</f>
        <v>#N/A</v>
      </c>
      <c r="Y794" s="69" t="s">
        <v>176</v>
      </c>
      <c r="Z794" s="64" t="str">
        <f>IF(AA794&lt;&gt;0,VLOOKUP(AA794,DM_DUAN,3,0),"")</f>
        <v>#N/A</v>
      </c>
      <c r="AA794" s="70" t="s">
        <v>177</v>
      </c>
      <c r="AB794" s="64" t="str">
        <f>IF(AC794&lt;&gt;0,VLOOKUP(AC794,DM_DUAN,3,0),"")</f>
        <v/>
      </c>
      <c r="AC794" s="70"/>
      <c r="AD794" s="64" t="str">
        <f>IF(AC794&lt;&gt;0,VLOOKUP(AC794,DM_NV,2,0),"")</f>
        <v/>
      </c>
      <c r="AE794" s="68"/>
      <c r="AF794" s="64" t="str">
        <f>IF(AE794&lt;&gt;0,VLOOKUP(AE794,DM_NV,2,0),"")</f>
        <v/>
      </c>
    </row>
    <row r="795">
      <c r="A795" s="51"/>
      <c r="B795" s="52"/>
      <c r="C795" s="53" t="str">
        <f t="shared" si="4"/>
        <v>04/2022</v>
      </c>
      <c r="D795" s="99">
        <v>44664.0</v>
      </c>
      <c r="E795" s="79" t="s">
        <v>836</v>
      </c>
      <c r="F795" s="80"/>
      <c r="G795" s="57" t="s">
        <v>733</v>
      </c>
      <c r="H795" s="58" t="str">
        <f>IF(G795="","",VLOOKUP($G795,'Quy chuẩn hạch toán'!$B:$E,2,0))</f>
        <v>154</v>
      </c>
      <c r="I795" s="58" t="str">
        <f>IF(H795="","",VLOOKUP($G795,'Quy chuẩn hạch toán'!$B:$E,3,0))</f>
        <v>3342</v>
      </c>
      <c r="J795" s="101">
        <v>1635000.0</v>
      </c>
      <c r="K795" s="60"/>
      <c r="L795" s="61"/>
      <c r="M795" s="62"/>
      <c r="N795" s="63"/>
      <c r="O795" s="64"/>
      <c r="P795" s="64"/>
      <c r="Q795" s="89"/>
      <c r="R795" s="64"/>
      <c r="S795" s="66"/>
      <c r="T795" s="64"/>
      <c r="U795" s="67" t="s">
        <v>638</v>
      </c>
      <c r="V795" s="64"/>
      <c r="W795" s="83" t="s">
        <v>737</v>
      </c>
      <c r="X795" s="64"/>
      <c r="Y795" s="69" t="s">
        <v>176</v>
      </c>
      <c r="Z795" s="64"/>
      <c r="AA795" s="70" t="s">
        <v>177</v>
      </c>
      <c r="AB795" s="64"/>
      <c r="AC795" s="70"/>
      <c r="AD795" s="64" t="str">
        <f>IF(AC795&lt;&gt;0,VLOOKUP(AC795,DM_NV,2,0),"")</f>
        <v/>
      </c>
      <c r="AE795" s="68"/>
      <c r="AF795" s="64" t="str">
        <f>IF(AE795&lt;&gt;0,VLOOKUP(AE795,DM_NV,2,0),"")</f>
        <v/>
      </c>
    </row>
    <row r="796">
      <c r="A796" s="51"/>
      <c r="B796" s="52"/>
      <c r="C796" s="53" t="str">
        <f t="shared" si="4"/>
        <v>04/2022</v>
      </c>
      <c r="D796" s="99">
        <v>44664.0</v>
      </c>
      <c r="E796" s="107" t="s">
        <v>837</v>
      </c>
      <c r="F796" s="110"/>
      <c r="G796" s="57" t="s">
        <v>275</v>
      </c>
      <c r="H796" s="58" t="str">
        <f>IF(G796="","",VLOOKUP($G796,'Quy chuẩn hạch toán'!$B:$E,2,0))</f>
        <v>3341</v>
      </c>
      <c r="I796" s="58" t="str">
        <f>IF(H796="","",VLOOKUP($G796,'Quy chuẩn hạch toán'!$B:$E,3,0))</f>
        <v>1111</v>
      </c>
      <c r="J796" s="105">
        <v>2.2075E7</v>
      </c>
      <c r="K796" s="60"/>
      <c r="L796" s="61"/>
      <c r="M796" s="62"/>
      <c r="N796" s="63"/>
      <c r="O796" s="64" t="str">
        <f>IF($Q796&lt;&gt;0,VLOOKUP($Q796,DM_KM,3,0),"")</f>
        <v/>
      </c>
      <c r="P796" s="64" t="str">
        <f>IF($Q796&lt;&gt;0,VLOOKUP($Q796,DM_KM,5,0),"")</f>
        <v/>
      </c>
      <c r="Q796" s="89"/>
      <c r="R796" s="64" t="str">
        <f>IF(S796&lt;&gt;0,VLOOKUP(S796,DM_DUAN,3,0),"")</f>
        <v>#N/A</v>
      </c>
      <c r="S796" s="66" t="str">
        <f>IF(U796&lt;&gt;0,VLOOKUP(U796,DM_DUAN,3,0),"")</f>
        <v>KIMCUONGLAND</v>
      </c>
      <c r="T796" s="64"/>
      <c r="U796" s="67" t="s">
        <v>638</v>
      </c>
      <c r="V796" s="64" t="str">
        <f>IF(W796&lt;&gt;0,VLOOKUP(W796,DM_DUAN,3,0),"")</f>
        <v>#N/A</v>
      </c>
      <c r="W796" s="83" t="s">
        <v>737</v>
      </c>
      <c r="X796" s="64" t="str">
        <f>IF(Y796&lt;&gt;0,VLOOKUP(Y796,DM_DUAN,3,0),"")</f>
        <v>#N/A</v>
      </c>
      <c r="Y796" s="69" t="s">
        <v>176</v>
      </c>
      <c r="Z796" s="64" t="str">
        <f>IF(AA796&lt;&gt;0,VLOOKUP(AA796,DM_DUAN,3,0),"")</f>
        <v>#N/A</v>
      </c>
      <c r="AA796" s="70" t="s">
        <v>177</v>
      </c>
      <c r="AB796" s="64" t="str">
        <f>IF(AC796&lt;&gt;0,VLOOKUP(AC796,DM_DUAN,3,0),"")</f>
        <v>#N/A</v>
      </c>
      <c r="AC796" s="70" t="s">
        <v>178</v>
      </c>
      <c r="AD796" s="64" t="str">
        <f>IF(AC796&lt;&gt;0,VLOOKUP(AC796,DM_NV,2,0),"")</f>
        <v>Lê Hoàng Quân</v>
      </c>
      <c r="AE796" s="83" t="s">
        <v>276</v>
      </c>
      <c r="AF796" s="64" t="str">
        <f>IF(AE796&lt;&gt;0,VLOOKUP(AE796,DM_NV,2,0),"")</f>
        <v>#N/A</v>
      </c>
    </row>
    <row r="797">
      <c r="A797" s="51"/>
      <c r="B797" s="52"/>
      <c r="C797" s="53" t="str">
        <f t="shared" si="4"/>
        <v>04/2022</v>
      </c>
      <c r="D797" s="99">
        <v>44664.0</v>
      </c>
      <c r="E797" s="141" t="s">
        <v>838</v>
      </c>
      <c r="F797" s="142"/>
      <c r="G797" s="100" t="s">
        <v>278</v>
      </c>
      <c r="H797" s="58" t="str">
        <f>IF(G797="","",VLOOKUP($G797,'Quy chuẩn hạch toán'!$B:$E,2,0))</f>
        <v>154</v>
      </c>
      <c r="I797" s="58" t="str">
        <f>IF(H797="","",VLOOKUP($G797,'Quy chuẩn hạch toán'!$B:$E,3,0))</f>
        <v>1111</v>
      </c>
      <c r="J797" s="152">
        <v>1000000.0</v>
      </c>
      <c r="K797" s="60"/>
      <c r="L797" s="61"/>
      <c r="M797" s="62"/>
      <c r="N797" s="63"/>
      <c r="O797" s="64"/>
      <c r="P797" s="64"/>
      <c r="Q797" s="89"/>
      <c r="R797" s="64"/>
      <c r="S797" s="66"/>
      <c r="T797" s="64"/>
      <c r="U797" s="67" t="s">
        <v>638</v>
      </c>
      <c r="V797" s="64"/>
      <c r="W797" s="83" t="s">
        <v>737</v>
      </c>
      <c r="X797" s="64"/>
      <c r="Y797" s="69" t="s">
        <v>176</v>
      </c>
      <c r="Z797" s="64"/>
      <c r="AA797" s="70" t="s">
        <v>177</v>
      </c>
      <c r="AB797" s="64"/>
      <c r="AC797" s="70"/>
      <c r="AD797" s="64" t="str">
        <f>IF(AC797&lt;&gt;0,VLOOKUP(AC797,DM_NV,2,0),"")</f>
        <v/>
      </c>
      <c r="AE797" s="83" t="s">
        <v>263</v>
      </c>
      <c r="AF797" s="64" t="str">
        <f>IF(AE797&lt;&gt;0,VLOOKUP(AE797,DM_NV,2,0),"")</f>
        <v>#N/A</v>
      </c>
    </row>
    <row r="798">
      <c r="A798" s="51"/>
      <c r="B798" s="52"/>
      <c r="C798" s="53" t="str">
        <f t="shared" si="4"/>
        <v>04/2022</v>
      </c>
      <c r="D798" s="99">
        <v>44664.0</v>
      </c>
      <c r="E798" s="55" t="s">
        <v>839</v>
      </c>
      <c r="F798" s="56"/>
      <c r="G798" s="57" t="s">
        <v>282</v>
      </c>
      <c r="H798" s="58" t="str">
        <f>IF(G798="","",VLOOKUP($G798,'Quy chuẩn hạch toán'!$B:$E,2,0))</f>
        <v>1111</v>
      </c>
      <c r="I798" s="58" t="str">
        <f>IF(H798="","",VLOOKUP($G798,'Quy chuẩn hạch toán'!$B:$E,3,0))</f>
        <v>131</v>
      </c>
      <c r="J798" s="59">
        <v>1.12E8</v>
      </c>
      <c r="K798" s="60"/>
      <c r="L798" s="61"/>
      <c r="M798" s="62"/>
      <c r="N798" s="63"/>
      <c r="O798" s="64" t="str">
        <f>IF($Q798&lt;&gt;0,VLOOKUP($Q798,DM_KM,3,0),"")</f>
        <v/>
      </c>
      <c r="P798" s="64" t="str">
        <f>IF($Q798&lt;&gt;0,VLOOKUP($Q798,DM_KM,5,0),"")</f>
        <v/>
      </c>
      <c r="Q798" s="89"/>
      <c r="R798" s="64" t="str">
        <f>IF(S798&lt;&gt;0,VLOOKUP(S798,DM_DUAN,3,0),"")</f>
        <v>#N/A</v>
      </c>
      <c r="S798" s="66" t="str">
        <f>IF(U798&lt;&gt;0,VLOOKUP(U798,DM_DUAN,3,0),"")</f>
        <v>KIMCUONGLAND</v>
      </c>
      <c r="T798" s="64"/>
      <c r="U798" s="67" t="s">
        <v>638</v>
      </c>
      <c r="V798" s="64" t="str">
        <f>IF(W798&lt;&gt;0,VLOOKUP(W798,DM_DUAN,3,0),"")</f>
        <v>#N/A</v>
      </c>
      <c r="W798" s="83" t="s">
        <v>737</v>
      </c>
      <c r="X798" s="64" t="str">
        <f>IF(Y798&lt;&gt;0,VLOOKUP(Y798,DM_DUAN,3,0),"")</f>
        <v>#N/A</v>
      </c>
      <c r="Y798" s="69" t="s">
        <v>176</v>
      </c>
      <c r="Z798" s="64" t="str">
        <f>IF(AA798&lt;&gt;0,VLOOKUP(AA798,DM_DUAN,3,0),"")</f>
        <v>#N/A</v>
      </c>
      <c r="AA798" s="70" t="s">
        <v>177</v>
      </c>
      <c r="AB798" s="64" t="str">
        <f>IF(AC798&lt;&gt;0,VLOOKUP(AC798,DM_DUAN,3,0),"")</f>
        <v/>
      </c>
      <c r="AC798" s="70"/>
      <c r="AD798" s="64" t="str">
        <f>IF(AC798&lt;&gt;0,VLOOKUP(AC798,DM_NV,2,0),"")</f>
        <v/>
      </c>
      <c r="AE798" s="68"/>
      <c r="AF798" s="64" t="str">
        <f>IF(AE798&lt;&gt;0,VLOOKUP(AE798,DM_NV,2,0),"")</f>
        <v/>
      </c>
    </row>
    <row r="799">
      <c r="A799" s="51"/>
      <c r="B799" s="52"/>
      <c r="C799" s="53" t="str">
        <f t="shared" si="4"/>
        <v>04/2022</v>
      </c>
      <c r="D799" s="99">
        <v>44664.0</v>
      </c>
      <c r="E799" s="55" t="s">
        <v>840</v>
      </c>
      <c r="F799" s="56"/>
      <c r="G799" s="57" t="s">
        <v>275</v>
      </c>
      <c r="H799" s="58" t="str">
        <f>IF(G799="","",VLOOKUP($G799,'Quy chuẩn hạch toán'!$B:$E,2,0))</f>
        <v>3341</v>
      </c>
      <c r="I799" s="58" t="str">
        <f>IF(H799="","",VLOOKUP($G799,'Quy chuẩn hạch toán'!$B:$E,3,0))</f>
        <v>1111</v>
      </c>
      <c r="J799" s="59">
        <v>2.0325E7</v>
      </c>
      <c r="K799" s="60"/>
      <c r="L799" s="61"/>
      <c r="M799" s="62"/>
      <c r="N799" s="63"/>
      <c r="O799" s="64" t="str">
        <f>IF($Q799&lt;&gt;0,VLOOKUP($Q799,DM_KM,3,0),"")</f>
        <v/>
      </c>
      <c r="P799" s="64" t="str">
        <f>IF($Q799&lt;&gt;0,VLOOKUP($Q799,DM_KM,5,0),"")</f>
        <v/>
      </c>
      <c r="Q799" s="89"/>
      <c r="R799" s="64" t="str">
        <f>IF(S799&lt;&gt;0,VLOOKUP(S799,DM_DUAN,3,0),"")</f>
        <v>#N/A</v>
      </c>
      <c r="S799" s="66" t="str">
        <f>IF(U799&lt;&gt;0,VLOOKUP(U799,DM_DUAN,3,0),"")</f>
        <v>KIMCUONGLAND</v>
      </c>
      <c r="T799" s="64"/>
      <c r="U799" s="67" t="s">
        <v>638</v>
      </c>
      <c r="V799" s="64" t="str">
        <f>IF(W799&lt;&gt;0,VLOOKUP(W799,DM_DUAN,3,0),"")</f>
        <v>#N/A</v>
      </c>
      <c r="W799" s="83" t="s">
        <v>744</v>
      </c>
      <c r="X799" s="64" t="str">
        <f>IF(Y799&lt;&gt;0,VLOOKUP(Y799,DM_DUAN,3,0),"")</f>
        <v>#N/A</v>
      </c>
      <c r="Y799" s="69" t="s">
        <v>176</v>
      </c>
      <c r="Z799" s="64" t="str">
        <f>IF(AA799&lt;&gt;0,VLOOKUP(AA799,DM_DUAN,3,0),"")</f>
        <v>#N/A</v>
      </c>
      <c r="AA799" s="70" t="s">
        <v>177</v>
      </c>
      <c r="AB799" s="64" t="str">
        <f>IF(AC799&lt;&gt;0,VLOOKUP(AC799,DM_DUAN,3,0),"")</f>
        <v>#N/A</v>
      </c>
      <c r="AC799" s="70" t="s">
        <v>178</v>
      </c>
      <c r="AD799" s="64" t="str">
        <f>IF(AC799&lt;&gt;0,VLOOKUP(AC799,DM_NV,2,0),"")</f>
        <v>Lê Hoàng Quân</v>
      </c>
      <c r="AE799" s="83" t="s">
        <v>276</v>
      </c>
      <c r="AF799" s="64" t="str">
        <f>IF(AE799&lt;&gt;0,VLOOKUP(AE799,DM_NV,2,0),"")</f>
        <v>#N/A</v>
      </c>
    </row>
    <row r="800">
      <c r="A800" s="51"/>
      <c r="B800" s="52"/>
      <c r="C800" s="53" t="str">
        <f t="shared" si="4"/>
        <v>04/2022</v>
      </c>
      <c r="D800" s="99">
        <v>44664.0</v>
      </c>
      <c r="E800" s="79" t="s">
        <v>841</v>
      </c>
      <c r="F800" s="80"/>
      <c r="G800" s="100" t="s">
        <v>278</v>
      </c>
      <c r="H800" s="58" t="str">
        <f>IF(G800="","",VLOOKUP($G800,'Quy chuẩn hạch toán'!$B:$E,2,0))</f>
        <v>154</v>
      </c>
      <c r="I800" s="58" t="str">
        <f>IF(H800="","",VLOOKUP($G800,'Quy chuẩn hạch toán'!$B:$E,3,0))</f>
        <v>1111</v>
      </c>
      <c r="J800" s="101">
        <v>1000000.0</v>
      </c>
      <c r="K800" s="60"/>
      <c r="L800" s="61"/>
      <c r="M800" s="62"/>
      <c r="N800" s="63"/>
      <c r="O800" s="64"/>
      <c r="P800" s="64"/>
      <c r="Q800" s="89"/>
      <c r="R800" s="64"/>
      <c r="S800" s="66"/>
      <c r="T800" s="64"/>
      <c r="U800" s="67" t="s">
        <v>638</v>
      </c>
      <c r="V800" s="64"/>
      <c r="W800" s="83" t="s">
        <v>744</v>
      </c>
      <c r="X800" s="64"/>
      <c r="Y800" s="69" t="s">
        <v>176</v>
      </c>
      <c r="Z800" s="64"/>
      <c r="AA800" s="70" t="s">
        <v>177</v>
      </c>
      <c r="AB800" s="64"/>
      <c r="AC800" s="70"/>
      <c r="AD800" s="64" t="str">
        <f>IF(AC800&lt;&gt;0,VLOOKUP(AC800,DM_NV,2,0),"")</f>
        <v/>
      </c>
      <c r="AE800" s="83" t="s">
        <v>263</v>
      </c>
      <c r="AF800" s="64" t="str">
        <f>IF(AE800&lt;&gt;0,VLOOKUP(AE800,DM_NV,2,0),"")</f>
        <v>#N/A</v>
      </c>
    </row>
    <row r="801">
      <c r="A801" s="51"/>
      <c r="B801" s="52"/>
      <c r="C801" s="53" t="str">
        <f t="shared" si="4"/>
        <v>04/2022</v>
      </c>
      <c r="D801" s="99">
        <v>44664.0</v>
      </c>
      <c r="E801" s="55" t="s">
        <v>842</v>
      </c>
      <c r="F801" s="56"/>
      <c r="G801" s="57" t="s">
        <v>282</v>
      </c>
      <c r="H801" s="58" t="str">
        <f>IF(G801="","",VLOOKUP($G801,'Quy chuẩn hạch toán'!$B:$E,2,0))</f>
        <v>1111</v>
      </c>
      <c r="I801" s="58" t="str">
        <f>IF(H801="","",VLOOKUP($G801,'Quy chuẩn hạch toán'!$B:$E,3,0))</f>
        <v>131</v>
      </c>
      <c r="J801" s="59">
        <v>1.02E8</v>
      </c>
      <c r="K801" s="60"/>
      <c r="L801" s="61"/>
      <c r="M801" s="62"/>
      <c r="N801" s="63"/>
      <c r="O801" s="64" t="str">
        <f>IF($Q801&lt;&gt;0,VLOOKUP($Q801,DM_KM,3,0),"")</f>
        <v/>
      </c>
      <c r="P801" s="64" t="str">
        <f>IF($Q801&lt;&gt;0,VLOOKUP($Q801,DM_KM,5,0),"")</f>
        <v/>
      </c>
      <c r="Q801" s="89"/>
      <c r="R801" s="64" t="str">
        <f>IF(S801&lt;&gt;0,VLOOKUP(S801,DM_DUAN,3,0),"")</f>
        <v>#N/A</v>
      </c>
      <c r="S801" s="66" t="str">
        <f>IF(U801&lt;&gt;0,VLOOKUP(U801,DM_DUAN,3,0),"")</f>
        <v>KIMCUONGLAND</v>
      </c>
      <c r="T801" s="64"/>
      <c r="U801" s="67" t="s">
        <v>638</v>
      </c>
      <c r="V801" s="64" t="str">
        <f>IF(W801&lt;&gt;0,VLOOKUP(W801,DM_DUAN,3,0),"")</f>
        <v>#N/A</v>
      </c>
      <c r="W801" s="83" t="s">
        <v>744</v>
      </c>
      <c r="X801" s="64" t="str">
        <f>IF(Y801&lt;&gt;0,VLOOKUP(Y801,DM_DUAN,3,0),"")</f>
        <v>#N/A</v>
      </c>
      <c r="Y801" s="69" t="s">
        <v>176</v>
      </c>
      <c r="Z801" s="64" t="str">
        <f>IF(AA801&lt;&gt;0,VLOOKUP(AA801,DM_DUAN,3,0),"")</f>
        <v>#N/A</v>
      </c>
      <c r="AA801" s="70" t="s">
        <v>177</v>
      </c>
      <c r="AB801" s="64" t="str">
        <f>IF(AC801&lt;&gt;0,VLOOKUP(AC801,DM_DUAN,3,0),"")</f>
        <v/>
      </c>
      <c r="AC801" s="70"/>
      <c r="AD801" s="64" t="str">
        <f>IF(AC801&lt;&gt;0,VLOOKUP(AC801,DM_NV,2,0),"")</f>
        <v/>
      </c>
      <c r="AE801" s="68"/>
      <c r="AF801" s="64" t="str">
        <f>IF(AE801&lt;&gt;0,VLOOKUP(AE801,DM_NV,2,0),"")</f>
        <v/>
      </c>
    </row>
    <row r="802">
      <c r="A802" s="51"/>
      <c r="B802" s="52"/>
      <c r="C802" s="53" t="str">
        <f t="shared" si="4"/>
        <v>04/2022</v>
      </c>
      <c r="D802" s="99">
        <v>44664.0</v>
      </c>
      <c r="E802" s="55" t="s">
        <v>843</v>
      </c>
      <c r="F802" s="56"/>
      <c r="G802" s="57" t="s">
        <v>197</v>
      </c>
      <c r="H802" s="58" t="str">
        <f>IF(G802="","",VLOOKUP($G802,'Quy chuẩn hạch toán'!$B:$E,2,0))</f>
        <v>#N/A</v>
      </c>
      <c r="I802" s="58" t="str">
        <f>IF(H802="","",VLOOKUP($G802,'Quy chuẩn hạch toán'!$B:$E,3,0))</f>
        <v>#N/A</v>
      </c>
      <c r="J802" s="59">
        <v>5.25E8</v>
      </c>
      <c r="K802" s="60"/>
      <c r="L802" s="61"/>
      <c r="M802" s="62"/>
      <c r="N802" s="63"/>
      <c r="O802" s="64" t="str">
        <f>IF($Q802&lt;&gt;0,VLOOKUP($Q802,DM_KM,3,0),"")</f>
        <v>#N/A</v>
      </c>
      <c r="P802" s="64" t="str">
        <f>IF($Q802&lt;&gt;0,VLOOKUP($Q802,DM_KM,5,0),"")</f>
        <v>#N/A</v>
      </c>
      <c r="Q802" s="65" t="s">
        <v>198</v>
      </c>
      <c r="R802" s="64" t="str">
        <f>IF(S802&lt;&gt;0,VLOOKUP(S802,DM_DUAN,3,0),"")</f>
        <v>#N/A</v>
      </c>
      <c r="S802" s="66" t="str">
        <f>IF(U802&lt;&gt;0,VLOOKUP(U802,DM_DUAN,3,0),"")</f>
        <v>KIMCUONGLAND</v>
      </c>
      <c r="T802" s="64"/>
      <c r="U802" s="67" t="s">
        <v>638</v>
      </c>
      <c r="V802" s="64" t="str">
        <f>IF(W802&lt;&gt;0,VLOOKUP(W802,DM_DUAN,3,0),"")</f>
        <v>#N/A</v>
      </c>
      <c r="W802" s="83" t="s">
        <v>844</v>
      </c>
      <c r="X802" s="64" t="str">
        <f>IF(Y802&lt;&gt;0,VLOOKUP(Y802,DM_DUAN,3,0),"")</f>
        <v>#N/A</v>
      </c>
      <c r="Y802" s="69" t="s">
        <v>176</v>
      </c>
      <c r="Z802" s="64" t="str">
        <f>IF(AA802&lt;&gt;0,VLOOKUP(AA802,DM_DUAN,3,0),"")</f>
        <v>#N/A</v>
      </c>
      <c r="AA802" s="70" t="s">
        <v>705</v>
      </c>
      <c r="AB802" s="64" t="str">
        <f>IF(AC802&lt;&gt;0,VLOOKUP(AC802,DM_DUAN,3,0),"")</f>
        <v>#N/A</v>
      </c>
      <c r="AC802" s="70" t="s">
        <v>772</v>
      </c>
      <c r="AD802" s="64" t="str">
        <f>IF(AC802&lt;&gt;0,VLOOKUP(AC802,DM_NV,2,0),"")</f>
        <v>Phan Tấn Đạt</v>
      </c>
      <c r="AE802" s="68"/>
      <c r="AF802" s="64" t="str">
        <f>IF(AE802&lt;&gt;0,VLOOKUP(AE802,DM_NV,2,0),"")</f>
        <v/>
      </c>
    </row>
    <row r="803">
      <c r="A803" s="51"/>
      <c r="B803" s="52"/>
      <c r="C803" s="53" t="str">
        <f t="shared" si="4"/>
        <v/>
      </c>
      <c r="D803" s="99"/>
      <c r="E803" s="55"/>
      <c r="F803" s="56"/>
      <c r="G803" s="57"/>
      <c r="H803" s="58" t="str">
        <f>IF(G803="","",VLOOKUP($G803,'Quy chuẩn hạch toán'!$B:$E,2,0))</f>
        <v/>
      </c>
      <c r="I803" s="58" t="str">
        <f>IF(H803="","",VLOOKUP($G803,'Quy chuẩn hạch toán'!$B:$E,3,0))</f>
        <v/>
      </c>
      <c r="J803" s="59"/>
      <c r="K803" s="60"/>
      <c r="L803" s="61"/>
      <c r="M803" s="62"/>
      <c r="N803" s="63"/>
      <c r="O803" s="64"/>
      <c r="P803" s="64"/>
      <c r="Q803" s="65"/>
      <c r="R803" s="64" t="str">
        <f>IF(S803&lt;&gt;0,VLOOKUP(S803,DM_DUAN,3,0),"")</f>
        <v>#N/A</v>
      </c>
      <c r="S803" s="66" t="str">
        <f>IF(U803&lt;&gt;0,VLOOKUP(U803,DM_DUAN,3,0),"")</f>
        <v/>
      </c>
      <c r="T803" s="64"/>
      <c r="U803" s="67"/>
      <c r="V803" s="64" t="str">
        <f>IF(W803&lt;&gt;0,VLOOKUP(W803,DM_DUAN,3,0),"")</f>
        <v/>
      </c>
      <c r="W803" s="83"/>
      <c r="X803" s="64" t="str">
        <f>IF(Y803&lt;&gt;0,VLOOKUP(Y803,DM_DUAN,3,0),"")</f>
        <v/>
      </c>
      <c r="Y803" s="69"/>
      <c r="Z803" s="64" t="str">
        <f>IF(AA803&lt;&gt;0,VLOOKUP(AA803,DM_DUAN,3,0),"")</f>
        <v/>
      </c>
      <c r="AA803" s="70"/>
      <c r="AB803" s="64" t="str">
        <f>IF(AC803&lt;&gt;0,VLOOKUP(AC803,DM_DUAN,3,0),"")</f>
        <v/>
      </c>
      <c r="AC803" s="85"/>
      <c r="AD803" s="64" t="str">
        <f>IF(AC803&lt;&gt;0,VLOOKUP(AC803,DM_NV,2,0),"")</f>
        <v/>
      </c>
      <c r="AE803" s="68"/>
      <c r="AF803" s="64" t="str">
        <f>IF(AE803&lt;&gt;0,VLOOKUP(AE803,DM_NV,2,0),"")</f>
        <v/>
      </c>
    </row>
    <row r="804">
      <c r="A804" s="51"/>
      <c r="B804" s="52" t="str">
        <f>IF(D804="","",VLOOKUP(D804,'THAM CHIẾU'!$A:$B,2,0))</f>
        <v>#N/A</v>
      </c>
      <c r="C804" s="53" t="str">
        <f t="shared" si="4"/>
        <v>04/2022</v>
      </c>
      <c r="D804" s="99">
        <v>44664.0</v>
      </c>
      <c r="E804" s="55" t="s">
        <v>845</v>
      </c>
      <c r="F804" s="56"/>
      <c r="G804" s="57" t="s">
        <v>186</v>
      </c>
      <c r="H804" s="58" t="str">
        <f>IF(G804="","",VLOOKUP($G804,'Quy chuẩn hạch toán'!$B:$E,2,0))</f>
        <v>131</v>
      </c>
      <c r="I804" s="58" t="str">
        <f>IF(H804="","",VLOOKUP($G804,'Quy chuẩn hạch toán'!$B:$E,3,0))</f>
        <v>5113</v>
      </c>
      <c r="J804" s="59">
        <v>1.08E8</v>
      </c>
      <c r="K804" s="60"/>
      <c r="L804" s="61"/>
      <c r="M804" s="62"/>
      <c r="N804" s="63"/>
      <c r="O804" s="64" t="str">
        <f>IF($Q804&lt;&gt;0,VLOOKUP($Q804,DM_KM,3,0),"")</f>
        <v>511_TK</v>
      </c>
      <c r="P804" s="64">
        <f>IF($Q804&lt;&gt;0,VLOOKUP($Q804,DM_KM,5,0),"")</f>
        <v>511</v>
      </c>
      <c r="Q804" s="65" t="s">
        <v>187</v>
      </c>
      <c r="R804" s="64" t="str">
        <f>IF(S804&lt;&gt;0,VLOOKUP(S804,DM_DUAN,3,0),"")</f>
        <v>#N/A</v>
      </c>
      <c r="S804" s="66" t="str">
        <f>IF(U804&lt;&gt;0,VLOOKUP(U804,DM_DUAN,3,0),"")</f>
        <v>KIMCUONGLAND</v>
      </c>
      <c r="T804" s="64"/>
      <c r="U804" s="67" t="s">
        <v>638</v>
      </c>
      <c r="V804" s="64" t="str">
        <f>IF(W804&lt;&gt;0,VLOOKUP(W804,DM_DUAN,3,0),"")</f>
        <v>#N/A</v>
      </c>
      <c r="W804" s="83" t="s">
        <v>844</v>
      </c>
      <c r="X804" s="64" t="str">
        <f>IF(Y804&lt;&gt;0,VLOOKUP(Y804,DM_DUAN,3,0),"")</f>
        <v>#N/A</v>
      </c>
      <c r="Y804" s="69" t="s">
        <v>176</v>
      </c>
      <c r="Z804" s="64" t="str">
        <f>IF(AA804&lt;&gt;0,VLOOKUP(AA804,DM_DUAN,3,0),"")</f>
        <v>#N/A</v>
      </c>
      <c r="AA804" s="70" t="s">
        <v>705</v>
      </c>
      <c r="AB804" s="64" t="str">
        <f>IF(AC804&lt;&gt;0,VLOOKUP(AC804,DM_DUAN,3,0),"")</f>
        <v/>
      </c>
      <c r="AC804" s="85"/>
      <c r="AD804" s="64" t="str">
        <f>IF(AC804&lt;&gt;0,VLOOKUP(AC804,DM_NV,2,0),"")</f>
        <v/>
      </c>
      <c r="AE804" s="68"/>
      <c r="AF804" s="64" t="str">
        <f>IF(AE804&lt;&gt;0,VLOOKUP(AE804,DM_NV,2,0),"")</f>
        <v/>
      </c>
    </row>
    <row r="805">
      <c r="A805" s="51"/>
      <c r="B805" s="52" t="str">
        <f>IF(D805="","",VLOOKUP(D805,'THAM CHIẾU'!$A:$B,2,0))</f>
        <v>#N/A</v>
      </c>
      <c r="C805" s="53" t="str">
        <f t="shared" si="4"/>
        <v>04/2022</v>
      </c>
      <c r="D805" s="99">
        <v>44664.0</v>
      </c>
      <c r="E805" s="55" t="s">
        <v>846</v>
      </c>
      <c r="F805" s="56"/>
      <c r="G805" s="57" t="s">
        <v>189</v>
      </c>
      <c r="H805" s="58" t="str">
        <f>IF(G805="","",VLOOKUP($G805,'Quy chuẩn hạch toán'!$B:$E,2,0))</f>
        <v>154</v>
      </c>
      <c r="I805" s="58" t="str">
        <f>IF(H805="","",VLOOKUP($G805,'Quy chuẩn hạch toán'!$B:$E,3,0))</f>
        <v>3345</v>
      </c>
      <c r="J805" s="59">
        <v>2.1375E7</v>
      </c>
      <c r="K805" s="60"/>
      <c r="L805" s="61"/>
      <c r="M805" s="62"/>
      <c r="N805" s="63"/>
      <c r="O805" s="64" t="str">
        <f>IF($Q805&lt;&gt;0,VLOOKUP($Q805,DM_KM,3,0),"")</f>
        <v>#N/A</v>
      </c>
      <c r="P805" s="64" t="str">
        <f>IF($Q805&lt;&gt;0,VLOOKUP($Q805,DM_KM,5,0),"")</f>
        <v>#N/A</v>
      </c>
      <c r="Q805" s="65" t="s">
        <v>190</v>
      </c>
      <c r="R805" s="64" t="str">
        <f>IF(S805&lt;&gt;0,VLOOKUP(S805,DM_DUAN,3,0),"")</f>
        <v>#N/A</v>
      </c>
      <c r="S805" s="66" t="str">
        <f>IF(U805&lt;&gt;0,VLOOKUP(U805,DM_DUAN,3,0),"")</f>
        <v>KIMCUONGLAND</v>
      </c>
      <c r="T805" s="64"/>
      <c r="U805" s="67" t="s">
        <v>638</v>
      </c>
      <c r="V805" s="64" t="str">
        <f>IF(W805&lt;&gt;0,VLOOKUP(W805,DM_DUAN,3,0),"")</f>
        <v>#N/A</v>
      </c>
      <c r="W805" s="83" t="s">
        <v>844</v>
      </c>
      <c r="X805" s="64" t="str">
        <f>IF(Y805&lt;&gt;0,VLOOKUP(Y805,DM_DUAN,3,0),"")</f>
        <v>#N/A</v>
      </c>
      <c r="Y805" s="69" t="s">
        <v>176</v>
      </c>
      <c r="Z805" s="64" t="str">
        <f>IF(AA805&lt;&gt;0,VLOOKUP(AA805,DM_DUAN,3,0),"")</f>
        <v>#N/A</v>
      </c>
      <c r="AA805" s="70" t="s">
        <v>705</v>
      </c>
      <c r="AB805" s="64" t="str">
        <f>IF(AC805&lt;&gt;0,VLOOKUP(AC805,DM_DUAN,3,0),"")</f>
        <v>#N/A</v>
      </c>
      <c r="AC805" s="70" t="s">
        <v>772</v>
      </c>
      <c r="AD805" s="64" t="str">
        <f>IF(AC805&lt;&gt;0,VLOOKUP(AC805,DM_NV,2,0),"")</f>
        <v>Phan Tấn Đạt</v>
      </c>
      <c r="AE805" s="68"/>
      <c r="AF805" s="64" t="str">
        <f>IF(AE805&lt;&gt;0,VLOOKUP(AE805,DM_NV,2,0),"")</f>
        <v/>
      </c>
    </row>
    <row r="806">
      <c r="A806" s="51"/>
      <c r="B806" s="52"/>
      <c r="C806" s="53" t="str">
        <f t="shared" si="4"/>
        <v>04/2022</v>
      </c>
      <c r="D806" s="99">
        <v>44664.0</v>
      </c>
      <c r="E806" s="55" t="s">
        <v>847</v>
      </c>
      <c r="F806" s="56"/>
      <c r="G806" s="57" t="s">
        <v>200</v>
      </c>
      <c r="H806" s="58" t="str">
        <f>IF(G806="","",VLOOKUP($G806,'Quy chuẩn hạch toán'!$B:$E,2,0))</f>
        <v>154</v>
      </c>
      <c r="I806" s="58" t="str">
        <f>IF(H806="","",VLOOKUP($G806,'Quy chuẩn hạch toán'!$B:$E,3,0))</f>
        <v>3343</v>
      </c>
      <c r="J806" s="59">
        <v>1000000.0</v>
      </c>
      <c r="K806" s="60"/>
      <c r="L806" s="61"/>
      <c r="M806" s="62"/>
      <c r="N806" s="63"/>
      <c r="O806" s="64" t="str">
        <f>IF($Q806&lt;&gt;0,VLOOKUP($Q806,DM_KM,3,0),"")</f>
        <v>#N/A</v>
      </c>
      <c r="P806" s="64" t="str">
        <f>IF($Q806&lt;&gt;0,VLOOKUP($Q806,DM_KM,5,0),"")</f>
        <v>#N/A</v>
      </c>
      <c r="Q806" s="65" t="s">
        <v>201</v>
      </c>
      <c r="R806" s="64" t="str">
        <f>IF(S806&lt;&gt;0,VLOOKUP(S806,DM_DUAN,3,0),"")</f>
        <v>#N/A</v>
      </c>
      <c r="S806" s="66" t="str">
        <f>IF(U806&lt;&gt;0,VLOOKUP(U806,DM_DUAN,3,0),"")</f>
        <v>KIMCUONGLAND</v>
      </c>
      <c r="T806" s="64"/>
      <c r="U806" s="67" t="s">
        <v>638</v>
      </c>
      <c r="V806" s="64" t="str">
        <f>IF(W806&lt;&gt;0,VLOOKUP(W806,DM_DUAN,3,0),"")</f>
        <v>#N/A</v>
      </c>
      <c r="W806" s="83" t="s">
        <v>844</v>
      </c>
      <c r="X806" s="64" t="str">
        <f>IF(Y806&lt;&gt;0,VLOOKUP(Y806,DM_DUAN,3,0),"")</f>
        <v>#N/A</v>
      </c>
      <c r="Y806" s="69" t="s">
        <v>176</v>
      </c>
      <c r="Z806" s="64" t="str">
        <f>IF(AA806&lt;&gt;0,VLOOKUP(AA806,DM_DUAN,3,0),"")</f>
        <v>#N/A</v>
      </c>
      <c r="AA806" s="70" t="s">
        <v>705</v>
      </c>
      <c r="AB806" s="64" t="str">
        <f>IF(AC806&lt;&gt;0,VLOOKUP(AC806,DM_DUAN,3,0),"")</f>
        <v/>
      </c>
      <c r="AC806" s="85"/>
      <c r="AD806" s="64" t="str">
        <f>IF(AC806&lt;&gt;0,VLOOKUP(AC806,DM_NV,2,0),"")</f>
        <v/>
      </c>
      <c r="AE806" s="68"/>
      <c r="AF806" s="64" t="str">
        <f>IF(AE806&lt;&gt;0,VLOOKUP(AE806,DM_NV,2,0),"")</f>
        <v/>
      </c>
    </row>
    <row r="807">
      <c r="A807" s="51"/>
      <c r="B807" s="52"/>
      <c r="C807" s="53" t="str">
        <f t="shared" si="4"/>
        <v>04/2022</v>
      </c>
      <c r="D807" s="99">
        <v>44664.0</v>
      </c>
      <c r="E807" s="55" t="s">
        <v>848</v>
      </c>
      <c r="F807" s="56"/>
      <c r="G807" s="90"/>
      <c r="H807" s="58" t="str">
        <f>IF(G807="","",VLOOKUP($G807,'Quy chuẩn hạch toán'!$B:$E,2,0))</f>
        <v/>
      </c>
      <c r="I807" s="58" t="str">
        <f>IF(H807="","",VLOOKUP($G807,'Quy chuẩn hạch toán'!$B:$E,3,0))</f>
        <v/>
      </c>
      <c r="J807" s="59">
        <v>8400000.0</v>
      </c>
      <c r="K807" s="60"/>
      <c r="L807" s="61"/>
      <c r="M807" s="62"/>
      <c r="N807" s="63"/>
      <c r="O807" s="64" t="str">
        <f>IF($Q807&lt;&gt;0,VLOOKUP($Q807,DM_KM,3,0),"")</f>
        <v>#N/A</v>
      </c>
      <c r="P807" s="64" t="str">
        <f>IF($Q807&lt;&gt;0,VLOOKUP($Q807,DM_KM,5,0),"")</f>
        <v>#N/A</v>
      </c>
      <c r="Q807" s="65" t="s">
        <v>203</v>
      </c>
      <c r="R807" s="64" t="str">
        <f>IF(S807&lt;&gt;0,VLOOKUP(S807,DM_DUAN,3,0),"")</f>
        <v>#N/A</v>
      </c>
      <c r="S807" s="66" t="str">
        <f>IF(U807&lt;&gt;0,VLOOKUP(U807,DM_DUAN,3,0),"")</f>
        <v>KIMCUONGLAND</v>
      </c>
      <c r="T807" s="64"/>
      <c r="U807" s="67" t="s">
        <v>638</v>
      </c>
      <c r="V807" s="64" t="str">
        <f>IF(W807&lt;&gt;0,VLOOKUP(W807,DM_DUAN,3,0),"")</f>
        <v>#N/A</v>
      </c>
      <c r="W807" s="83" t="s">
        <v>844</v>
      </c>
      <c r="X807" s="64" t="str">
        <f>IF(Y807&lt;&gt;0,VLOOKUP(Y807,DM_DUAN,3,0),"")</f>
        <v>#N/A</v>
      </c>
      <c r="Y807" s="69" t="s">
        <v>176</v>
      </c>
      <c r="Z807" s="64" t="str">
        <f>IF(AA807&lt;&gt;0,VLOOKUP(AA807,DM_DUAN,3,0),"")</f>
        <v>#N/A</v>
      </c>
      <c r="AA807" s="70" t="s">
        <v>705</v>
      </c>
      <c r="AB807" s="64" t="str">
        <f>IF(AC807&lt;&gt;0,VLOOKUP(AC807,DM_DUAN,3,0),"")</f>
        <v/>
      </c>
      <c r="AC807" s="85"/>
      <c r="AD807" s="64" t="str">
        <f>IF(AC807&lt;&gt;0,VLOOKUP(AC807,DM_NV,2,0),"")</f>
        <v/>
      </c>
      <c r="AE807" s="68"/>
      <c r="AF807" s="64" t="str">
        <f>IF(AE807&lt;&gt;0,VLOOKUP(AE807,DM_NV,2,0),"")</f>
        <v/>
      </c>
    </row>
    <row r="808">
      <c r="A808" s="51"/>
      <c r="B808" s="52" t="str">
        <f>IF(D808="","",VLOOKUP(D808,'THAM CHIẾU'!$A:$B,2,0))</f>
        <v>#N/A</v>
      </c>
      <c r="C808" s="53" t="str">
        <f t="shared" si="4"/>
        <v>04/2022</v>
      </c>
      <c r="D808" s="99">
        <v>44664.0</v>
      </c>
      <c r="E808" s="55" t="s">
        <v>849</v>
      </c>
      <c r="F808" s="56"/>
      <c r="G808" s="57" t="s">
        <v>197</v>
      </c>
      <c r="H808" s="58" t="str">
        <f>IF(G808="","",VLOOKUP($G808,'Quy chuẩn hạch toán'!$B:$E,2,0))</f>
        <v>#N/A</v>
      </c>
      <c r="I808" s="58" t="str">
        <f>IF(H808="","",VLOOKUP($G808,'Quy chuẩn hạch toán'!$B:$E,3,0))</f>
        <v>#N/A</v>
      </c>
      <c r="J808" s="59">
        <v>4.75E8</v>
      </c>
      <c r="K808" s="60"/>
      <c r="L808" s="61"/>
      <c r="M808" s="62"/>
      <c r="N808" s="63"/>
      <c r="O808" s="64" t="str">
        <f>IF($Q808&lt;&gt;0,VLOOKUP($Q808,DM_KM,3,0),"")</f>
        <v>#N/A</v>
      </c>
      <c r="P808" s="64" t="str">
        <f>IF($Q808&lt;&gt;0,VLOOKUP($Q808,DM_KM,5,0),"")</f>
        <v>#N/A</v>
      </c>
      <c r="Q808" s="65" t="s">
        <v>198</v>
      </c>
      <c r="R808" s="64" t="str">
        <f>IF(S808&lt;&gt;0,VLOOKUP(S808,DM_DUAN,3,0),"")</f>
        <v>#N/A</v>
      </c>
      <c r="S808" s="66" t="str">
        <f>IF(U808&lt;&gt;0,VLOOKUP(U808,DM_DUAN,3,0),"")</f>
        <v>KIMCUONGLAND</v>
      </c>
      <c r="T808" s="64"/>
      <c r="U808" s="67" t="s">
        <v>638</v>
      </c>
      <c r="V808" s="64" t="str">
        <f>IF(W808&lt;&gt;0,VLOOKUP(W808,DM_DUAN,3,0),"")</f>
        <v>#N/A</v>
      </c>
      <c r="W808" s="83" t="s">
        <v>850</v>
      </c>
      <c r="X808" s="64" t="str">
        <f>IF(Y808&lt;&gt;0,VLOOKUP(Y808,DM_DUAN,3,0),"")</f>
        <v>#N/A</v>
      </c>
      <c r="Y808" s="69" t="s">
        <v>176</v>
      </c>
      <c r="Z808" s="64" t="str">
        <f>IF(AA808&lt;&gt;0,VLOOKUP(AA808,DM_DUAN,3,0),"")</f>
        <v>#N/A</v>
      </c>
      <c r="AA808" s="70" t="s">
        <v>177</v>
      </c>
      <c r="AB808" s="64" t="str">
        <f>IF(AC808&lt;&gt;0,VLOOKUP(AC808,DM_DUAN,3,0),"")</f>
        <v>#N/A</v>
      </c>
      <c r="AC808" s="70" t="s">
        <v>600</v>
      </c>
      <c r="AD808" s="64" t="str">
        <f>IF(AC808&lt;&gt;0,VLOOKUP(AC808,DM_NV,2,0),"")</f>
        <v>Nguyễn Quốc Việt</v>
      </c>
      <c r="AE808" s="68"/>
      <c r="AF808" s="64" t="str">
        <f>IF(AE808&lt;&gt;0,VLOOKUP(AE808,DM_NV,2,0),"")</f>
        <v/>
      </c>
    </row>
    <row r="809">
      <c r="A809" s="51"/>
      <c r="B809" s="52" t="str">
        <f>IF(D809="","",VLOOKUP(D809,'THAM CHIẾU'!$A:$B,2,0))</f>
        <v/>
      </c>
      <c r="C809" s="53" t="str">
        <f t="shared" si="4"/>
        <v/>
      </c>
      <c r="D809" s="99"/>
      <c r="E809" s="55"/>
      <c r="F809" s="56"/>
      <c r="G809" s="57"/>
      <c r="H809" s="58" t="str">
        <f>IF(G809="","",VLOOKUP($G809,'Quy chuẩn hạch toán'!$B:$E,2,0))</f>
        <v/>
      </c>
      <c r="I809" s="58" t="str">
        <f>IF(H809="","",VLOOKUP($G809,'Quy chuẩn hạch toán'!$B:$E,3,0))</f>
        <v/>
      </c>
      <c r="J809" s="59"/>
      <c r="K809" s="60"/>
      <c r="L809" s="61"/>
      <c r="M809" s="62"/>
      <c r="N809" s="63"/>
      <c r="O809" s="64"/>
      <c r="P809" s="64"/>
      <c r="Q809" s="65"/>
      <c r="R809" s="64" t="str">
        <f>IF(S809&lt;&gt;0,VLOOKUP(S809,DM_DUAN,3,0),"")</f>
        <v>#N/A</v>
      </c>
      <c r="S809" s="66" t="str">
        <f>IF(U809&lt;&gt;0,VLOOKUP(U809,DM_DUAN,3,0),"")</f>
        <v/>
      </c>
      <c r="T809" s="64"/>
      <c r="U809" s="67"/>
      <c r="V809" s="64" t="str">
        <f>IF(W809&lt;&gt;0,VLOOKUP(W809,DM_DUAN,3,0),"")</f>
        <v/>
      </c>
      <c r="W809" s="83"/>
      <c r="X809" s="64" t="str">
        <f>IF(Y809&lt;&gt;0,VLOOKUP(Y809,DM_DUAN,3,0),"")</f>
        <v/>
      </c>
      <c r="Y809" s="69"/>
      <c r="Z809" s="64" t="str">
        <f>IF(AA809&lt;&gt;0,VLOOKUP(AA809,DM_DUAN,3,0),"")</f>
        <v/>
      </c>
      <c r="AA809" s="70"/>
      <c r="AB809" s="64" t="str">
        <f>IF(AC809&lt;&gt;0,VLOOKUP(AC809,DM_DUAN,3,0),"")</f>
        <v/>
      </c>
      <c r="AC809" s="85"/>
      <c r="AD809" s="64" t="str">
        <f>IF(AC809&lt;&gt;0,VLOOKUP(AC809,DM_NV,2,0),"")</f>
        <v/>
      </c>
      <c r="AE809" s="68"/>
      <c r="AF809" s="64" t="str">
        <f>IF(AE809&lt;&gt;0,VLOOKUP(AE809,DM_NV,2,0),"")</f>
        <v/>
      </c>
    </row>
    <row r="810">
      <c r="A810" s="51"/>
      <c r="B810" s="52" t="str">
        <f>IF(D810="","",VLOOKUP(D810,'THAM CHIẾU'!$A:$B,2,0))</f>
        <v>#N/A</v>
      </c>
      <c r="C810" s="53" t="str">
        <f t="shared" si="4"/>
        <v>04/2022</v>
      </c>
      <c r="D810" s="99">
        <v>44664.0</v>
      </c>
      <c r="E810" s="55" t="s">
        <v>851</v>
      </c>
      <c r="F810" s="56"/>
      <c r="G810" s="57" t="s">
        <v>186</v>
      </c>
      <c r="H810" s="58" t="str">
        <f>IF(G810="","",VLOOKUP($G810,'Quy chuẩn hạch toán'!$B:$E,2,0))</f>
        <v>131</v>
      </c>
      <c r="I810" s="58" t="str">
        <f>IF(H810="","",VLOOKUP($G810,'Quy chuẩn hạch toán'!$B:$E,3,0))</f>
        <v>5113</v>
      </c>
      <c r="J810" s="59">
        <v>9.8E7</v>
      </c>
      <c r="K810" s="60"/>
      <c r="L810" s="61"/>
      <c r="M810" s="62"/>
      <c r="N810" s="63"/>
      <c r="O810" s="64" t="str">
        <f>IF($Q810&lt;&gt;0,VLOOKUP($Q810,DM_KM,3,0),"")</f>
        <v>511_TK</v>
      </c>
      <c r="P810" s="64">
        <f>IF($Q810&lt;&gt;0,VLOOKUP($Q810,DM_KM,5,0),"")</f>
        <v>511</v>
      </c>
      <c r="Q810" s="65" t="s">
        <v>187</v>
      </c>
      <c r="R810" s="64" t="str">
        <f>IF(S810&lt;&gt;0,VLOOKUP(S810,DM_DUAN,3,0),"")</f>
        <v>#N/A</v>
      </c>
      <c r="S810" s="66" t="str">
        <f>IF(U810&lt;&gt;0,VLOOKUP(U810,DM_DUAN,3,0),"")</f>
        <v>KIMCUONGLAND</v>
      </c>
      <c r="T810" s="64"/>
      <c r="U810" s="67" t="s">
        <v>638</v>
      </c>
      <c r="V810" s="64" t="str">
        <f>IF(W810&lt;&gt;0,VLOOKUP(W810,DM_DUAN,3,0),"")</f>
        <v>#N/A</v>
      </c>
      <c r="W810" s="83" t="s">
        <v>850</v>
      </c>
      <c r="X810" s="64" t="str">
        <f>IF(Y810&lt;&gt;0,VLOOKUP(Y810,DM_DUAN,3,0),"")</f>
        <v>#N/A</v>
      </c>
      <c r="Y810" s="69" t="s">
        <v>176</v>
      </c>
      <c r="Z810" s="64" t="str">
        <f>IF(AA810&lt;&gt;0,VLOOKUP(AA810,DM_DUAN,3,0),"")</f>
        <v>#N/A</v>
      </c>
      <c r="AA810" s="70" t="s">
        <v>177</v>
      </c>
      <c r="AB810" s="64" t="str">
        <f>IF(AC810&lt;&gt;0,VLOOKUP(AC810,DM_DUAN,3,0),"")</f>
        <v/>
      </c>
      <c r="AC810" s="85"/>
      <c r="AD810" s="64" t="str">
        <f>IF(AC810&lt;&gt;0,VLOOKUP(AC810,DM_NV,2,0),"")</f>
        <v/>
      </c>
      <c r="AE810" s="68"/>
      <c r="AF810" s="64" t="str">
        <f>IF(AE810&lt;&gt;0,VLOOKUP(AE810,DM_NV,2,0),"")</f>
        <v/>
      </c>
    </row>
    <row r="811">
      <c r="A811" s="51"/>
      <c r="B811" s="52" t="str">
        <f>IF(D811="","",VLOOKUP(D811,'THAM CHIẾU'!$A:$B,2,0))</f>
        <v>#N/A</v>
      </c>
      <c r="C811" s="53" t="str">
        <f t="shared" si="4"/>
        <v>04/2022</v>
      </c>
      <c r="D811" s="99">
        <v>44664.0</v>
      </c>
      <c r="E811" s="55" t="s">
        <v>852</v>
      </c>
      <c r="F811" s="56"/>
      <c r="G811" s="57" t="s">
        <v>189</v>
      </c>
      <c r="H811" s="58" t="str">
        <f>IF(G811="","",VLOOKUP($G811,'Quy chuẩn hạch toán'!$B:$E,2,0))</f>
        <v>154</v>
      </c>
      <c r="I811" s="58" t="str">
        <f>IF(H811="","",VLOOKUP($G811,'Quy chuẩn hạch toán'!$B:$E,3,0))</f>
        <v>3345</v>
      </c>
      <c r="J811" s="59">
        <v>1.9625E7</v>
      </c>
      <c r="K811" s="60"/>
      <c r="L811" s="61"/>
      <c r="M811" s="62"/>
      <c r="N811" s="63"/>
      <c r="O811" s="64" t="str">
        <f>IF($Q811&lt;&gt;0,VLOOKUP($Q811,DM_KM,3,0),"")</f>
        <v>#N/A</v>
      </c>
      <c r="P811" s="64" t="str">
        <f>IF($Q811&lt;&gt;0,VLOOKUP($Q811,DM_KM,5,0),"")</f>
        <v>#N/A</v>
      </c>
      <c r="Q811" s="65" t="s">
        <v>190</v>
      </c>
      <c r="R811" s="64" t="str">
        <f>IF(S811&lt;&gt;0,VLOOKUP(S811,DM_DUAN,3,0),"")</f>
        <v>#N/A</v>
      </c>
      <c r="S811" s="66" t="str">
        <f>IF(U811&lt;&gt;0,VLOOKUP(U811,DM_DUAN,3,0),"")</f>
        <v>KIMCUONGLAND</v>
      </c>
      <c r="T811" s="64"/>
      <c r="U811" s="67" t="s">
        <v>638</v>
      </c>
      <c r="V811" s="64" t="str">
        <f>IF(W811&lt;&gt;0,VLOOKUP(W811,DM_DUAN,3,0),"")</f>
        <v>#N/A</v>
      </c>
      <c r="W811" s="83" t="s">
        <v>850</v>
      </c>
      <c r="X811" s="64" t="str">
        <f>IF(Y811&lt;&gt;0,VLOOKUP(Y811,DM_DUAN,3,0),"")</f>
        <v>#N/A</v>
      </c>
      <c r="Y811" s="69" t="s">
        <v>176</v>
      </c>
      <c r="Z811" s="64" t="str">
        <f>IF(AA811&lt;&gt;0,VLOOKUP(AA811,DM_DUAN,3,0),"")</f>
        <v>#N/A</v>
      </c>
      <c r="AA811" s="70" t="s">
        <v>177</v>
      </c>
      <c r="AB811" s="64" t="str">
        <f>IF(AC811&lt;&gt;0,VLOOKUP(AC811,DM_DUAN,3,0),"")</f>
        <v>#N/A</v>
      </c>
      <c r="AC811" s="70" t="s">
        <v>600</v>
      </c>
      <c r="AD811" s="64" t="str">
        <f>IF(AC811&lt;&gt;0,VLOOKUP(AC811,DM_NV,2,0),"")</f>
        <v>Nguyễn Quốc Việt</v>
      </c>
      <c r="AE811" s="68"/>
      <c r="AF811" s="64" t="str">
        <f>IF(AE811&lt;&gt;0,VLOOKUP(AE811,DM_NV,2,0),"")</f>
        <v/>
      </c>
    </row>
    <row r="812">
      <c r="A812" s="51"/>
      <c r="B812" s="52" t="str">
        <f>IF(D812="","",VLOOKUP(D812,'THAM CHIẾU'!$A:$B,2,0))</f>
        <v>#N/A</v>
      </c>
      <c r="C812" s="53" t="str">
        <f t="shared" si="4"/>
        <v>04/2022</v>
      </c>
      <c r="D812" s="99">
        <v>44664.0</v>
      </c>
      <c r="E812" s="55" t="s">
        <v>853</v>
      </c>
      <c r="F812" s="56"/>
      <c r="G812" s="57" t="s">
        <v>200</v>
      </c>
      <c r="H812" s="58" t="str">
        <f>IF(G812="","",VLOOKUP($G812,'Quy chuẩn hạch toán'!$B:$E,2,0))</f>
        <v>154</v>
      </c>
      <c r="I812" s="58" t="str">
        <f>IF(H812="","",VLOOKUP($G812,'Quy chuẩn hạch toán'!$B:$E,3,0))</f>
        <v>3343</v>
      </c>
      <c r="J812" s="59">
        <v>1000000.0</v>
      </c>
      <c r="K812" s="60"/>
      <c r="L812" s="61"/>
      <c r="M812" s="62"/>
      <c r="N812" s="63"/>
      <c r="O812" s="64" t="str">
        <f>IF($Q812&lt;&gt;0,VLOOKUP($Q812,DM_KM,3,0),"")</f>
        <v>#N/A</v>
      </c>
      <c r="P812" s="64" t="str">
        <f>IF($Q812&lt;&gt;0,VLOOKUP($Q812,DM_KM,5,0),"")</f>
        <v>#N/A</v>
      </c>
      <c r="Q812" s="65" t="s">
        <v>201</v>
      </c>
      <c r="R812" s="64" t="str">
        <f>IF(S812&lt;&gt;0,VLOOKUP(S812,DM_DUAN,3,0),"")</f>
        <v>#N/A</v>
      </c>
      <c r="S812" s="66" t="str">
        <f>IF(U812&lt;&gt;0,VLOOKUP(U812,DM_DUAN,3,0),"")</f>
        <v>KIMCUONGLAND</v>
      </c>
      <c r="T812" s="64"/>
      <c r="U812" s="67" t="s">
        <v>638</v>
      </c>
      <c r="V812" s="64" t="str">
        <f>IF(W812&lt;&gt;0,VLOOKUP(W812,DM_DUAN,3,0),"")</f>
        <v>#N/A</v>
      </c>
      <c r="W812" s="83" t="s">
        <v>850</v>
      </c>
      <c r="X812" s="64" t="str">
        <f>IF(Y812&lt;&gt;0,VLOOKUP(Y812,DM_DUAN,3,0),"")</f>
        <v>#N/A</v>
      </c>
      <c r="Y812" s="69" t="s">
        <v>176</v>
      </c>
      <c r="Z812" s="64" t="str">
        <f>IF(AA812&lt;&gt;0,VLOOKUP(AA812,DM_DUAN,3,0),"")</f>
        <v>#N/A</v>
      </c>
      <c r="AA812" s="70" t="s">
        <v>177</v>
      </c>
      <c r="AB812" s="64" t="str">
        <f>IF(AC812&lt;&gt;0,VLOOKUP(AC812,DM_DUAN,3,0),"")</f>
        <v/>
      </c>
      <c r="AC812" s="85"/>
      <c r="AD812" s="64" t="str">
        <f>IF(AC812&lt;&gt;0,VLOOKUP(AC812,DM_NV,2,0),"")</f>
        <v/>
      </c>
      <c r="AE812" s="68"/>
      <c r="AF812" s="64" t="str">
        <f>IF(AE812&lt;&gt;0,VLOOKUP(AE812,DM_NV,2,0),"")</f>
        <v/>
      </c>
    </row>
    <row r="813">
      <c r="A813" s="51"/>
      <c r="B813" s="52" t="str">
        <f>IF(D813="","",VLOOKUP(D813,'THAM CHIẾU'!$A:$B,2,0))</f>
        <v>#N/A</v>
      </c>
      <c r="C813" s="53" t="str">
        <f t="shared" si="4"/>
        <v>04/2022</v>
      </c>
      <c r="D813" s="99">
        <v>44664.0</v>
      </c>
      <c r="E813" s="55" t="s">
        <v>854</v>
      </c>
      <c r="F813" s="56"/>
      <c r="G813" s="57" t="s">
        <v>733</v>
      </c>
      <c r="H813" s="58" t="str">
        <f>IF(G813="","",VLOOKUP($G813,'Quy chuẩn hạch toán'!$B:$E,2,0))</f>
        <v>154</v>
      </c>
      <c r="I813" s="58" t="str">
        <f>IF(H813="","",VLOOKUP($G813,'Quy chuẩn hạch toán'!$B:$E,3,0))</f>
        <v>3342</v>
      </c>
      <c r="J813" s="59">
        <v>1440000.0</v>
      </c>
      <c r="K813" s="60"/>
      <c r="L813" s="61"/>
      <c r="M813" s="62"/>
      <c r="N813" s="63"/>
      <c r="O813" s="64" t="str">
        <f>IF($Q813&lt;&gt;0,VLOOKUP($Q813,DM_KM,3,0),"")</f>
        <v>#N/A</v>
      </c>
      <c r="P813" s="64" t="str">
        <f>IF($Q813&lt;&gt;0,VLOOKUP($Q813,DM_KM,5,0),"")</f>
        <v>#N/A</v>
      </c>
      <c r="Q813" s="65" t="s">
        <v>734</v>
      </c>
      <c r="R813" s="64" t="str">
        <f>IF(S813&lt;&gt;0,VLOOKUP(S813,DM_DUAN,3,0),"")</f>
        <v>#N/A</v>
      </c>
      <c r="S813" s="66" t="str">
        <f>IF(U813&lt;&gt;0,VLOOKUP(U813,DM_DUAN,3,0),"")</f>
        <v>KIMCUONGLAND</v>
      </c>
      <c r="T813" s="64"/>
      <c r="U813" s="67" t="s">
        <v>638</v>
      </c>
      <c r="V813" s="64" t="str">
        <f>IF(W813&lt;&gt;0,VLOOKUP(W813,DM_DUAN,3,0),"")</f>
        <v>#N/A</v>
      </c>
      <c r="W813" s="83" t="s">
        <v>850</v>
      </c>
      <c r="X813" s="64" t="str">
        <f>IF(Y813&lt;&gt;0,VLOOKUP(Y813,DM_DUAN,3,0),"")</f>
        <v>#N/A</v>
      </c>
      <c r="Y813" s="69" t="s">
        <v>176</v>
      </c>
      <c r="Z813" s="64" t="str">
        <f>IF(AA813&lt;&gt;0,VLOOKUP(AA813,DM_DUAN,3,0),"")</f>
        <v>#N/A</v>
      </c>
      <c r="AA813" s="70" t="s">
        <v>177</v>
      </c>
      <c r="AB813" s="64" t="str">
        <f>IF(AC813&lt;&gt;0,VLOOKUP(AC813,DM_DUAN,3,0),"")</f>
        <v>#N/A</v>
      </c>
      <c r="AC813" s="70" t="s">
        <v>600</v>
      </c>
      <c r="AD813" s="64" t="str">
        <f>IF(AC813&lt;&gt;0,VLOOKUP(AC813,DM_NV,2,0),"")</f>
        <v>Nguyễn Quốc Việt</v>
      </c>
      <c r="AE813" s="68"/>
      <c r="AF813" s="64" t="str">
        <f>IF(AE813&lt;&gt;0,VLOOKUP(AE813,DM_NV,2,0),"")</f>
        <v/>
      </c>
    </row>
    <row r="814">
      <c r="A814" s="51"/>
      <c r="B814" s="52" t="str">
        <f>IF(D814="","",VLOOKUP(D814,'THAM CHIẾU'!$A:$B,2,0))</f>
        <v>#N/A</v>
      </c>
      <c r="C814" s="53" t="str">
        <f t="shared" si="4"/>
        <v>04/2022</v>
      </c>
      <c r="D814" s="99">
        <v>44664.0</v>
      </c>
      <c r="E814" s="55" t="s">
        <v>855</v>
      </c>
      <c r="F814" s="56"/>
      <c r="G814" s="90"/>
      <c r="H814" s="58" t="str">
        <f>IF(G814="","",VLOOKUP($G814,'Quy chuẩn hạch toán'!$B:$E,2,0))</f>
        <v/>
      </c>
      <c r="I814" s="58" t="str">
        <f>IF(H814="","",VLOOKUP($G814,'Quy chuẩn hạch toán'!$B:$E,3,0))</f>
        <v/>
      </c>
      <c r="J814" s="59">
        <v>7600000.0</v>
      </c>
      <c r="K814" s="60"/>
      <c r="L814" s="61"/>
      <c r="M814" s="62"/>
      <c r="N814" s="63"/>
      <c r="O814" s="64" t="str">
        <f>IF($Q814&lt;&gt;0,VLOOKUP($Q814,DM_KM,3,0),"")</f>
        <v>#N/A</v>
      </c>
      <c r="P814" s="64" t="str">
        <f>IF($Q814&lt;&gt;0,VLOOKUP($Q814,DM_KM,5,0),"")</f>
        <v>#N/A</v>
      </c>
      <c r="Q814" s="65" t="s">
        <v>203</v>
      </c>
      <c r="R814" s="64" t="str">
        <f>IF(S814&lt;&gt;0,VLOOKUP(S814,DM_DUAN,3,0),"")</f>
        <v>#N/A</v>
      </c>
      <c r="S814" s="66" t="str">
        <f>IF(U814&lt;&gt;0,VLOOKUP(U814,DM_DUAN,3,0),"")</f>
        <v>KIMCUONGLAND</v>
      </c>
      <c r="T814" s="64"/>
      <c r="U814" s="67" t="s">
        <v>638</v>
      </c>
      <c r="V814" s="64" t="str">
        <f>IF(W814&lt;&gt;0,VLOOKUP(W814,DM_DUAN,3,0),"")</f>
        <v>#N/A</v>
      </c>
      <c r="W814" s="83" t="s">
        <v>850</v>
      </c>
      <c r="X814" s="64" t="str">
        <f>IF(Y814&lt;&gt;0,VLOOKUP(Y814,DM_DUAN,3,0),"")</f>
        <v>#N/A</v>
      </c>
      <c r="Y814" s="69" t="s">
        <v>176</v>
      </c>
      <c r="Z814" s="64" t="str">
        <f>IF(AA814&lt;&gt;0,VLOOKUP(AA814,DM_DUAN,3,0),"")</f>
        <v>#N/A</v>
      </c>
      <c r="AA814" s="70" t="s">
        <v>177</v>
      </c>
      <c r="AB814" s="64" t="str">
        <f>IF(AC814&lt;&gt;0,VLOOKUP(AC814,DM_DUAN,3,0),"")</f>
        <v/>
      </c>
      <c r="AC814" s="85"/>
      <c r="AD814" s="64" t="str">
        <f>IF(AC814&lt;&gt;0,VLOOKUP(AC814,DM_NV,2,0),"")</f>
        <v/>
      </c>
      <c r="AE814" s="68"/>
      <c r="AF814" s="64" t="str">
        <f>IF(AE814&lt;&gt;0,VLOOKUP(AE814,DM_NV,2,0),"")</f>
        <v/>
      </c>
    </row>
    <row r="815">
      <c r="A815" s="51"/>
      <c r="B815" s="52" t="str">
        <f>IF(D815="","",VLOOKUP(D815,'THAM CHIẾU'!$A:$B,2,0))</f>
        <v>#N/A</v>
      </c>
      <c r="C815" s="53" t="str">
        <f t="shared" si="4"/>
        <v>04/2022</v>
      </c>
      <c r="D815" s="99">
        <v>44664.0</v>
      </c>
      <c r="E815" s="55" t="s">
        <v>856</v>
      </c>
      <c r="F815" s="56"/>
      <c r="G815" s="57" t="s">
        <v>197</v>
      </c>
      <c r="H815" s="58" t="str">
        <f>IF(G815="","",VLOOKUP($G815,'Quy chuẩn hạch toán'!$B:$E,2,0))</f>
        <v>#N/A</v>
      </c>
      <c r="I815" s="58" t="str">
        <f>IF(H815="","",VLOOKUP($G815,'Quy chuẩn hạch toán'!$B:$E,3,0))</f>
        <v>#N/A</v>
      </c>
      <c r="J815" s="59">
        <v>4.75E8</v>
      </c>
      <c r="K815" s="60"/>
      <c r="L815" s="61"/>
      <c r="M815" s="62"/>
      <c r="N815" s="63"/>
      <c r="O815" s="64" t="str">
        <f>IF($Q815&lt;&gt;0,VLOOKUP($Q815,DM_KM,3,0),"")</f>
        <v>#N/A</v>
      </c>
      <c r="P815" s="64" t="str">
        <f>IF($Q815&lt;&gt;0,VLOOKUP($Q815,DM_KM,5,0),"")</f>
        <v>#N/A</v>
      </c>
      <c r="Q815" s="65" t="s">
        <v>198</v>
      </c>
      <c r="R815" s="64" t="str">
        <f>IF(S815&lt;&gt;0,VLOOKUP(S815,DM_DUAN,3,0),"")</f>
        <v>#N/A</v>
      </c>
      <c r="S815" s="66" t="str">
        <f>IF(U815&lt;&gt;0,VLOOKUP(U815,DM_DUAN,3,0),"")</f>
        <v>KIMCUONGLAND</v>
      </c>
      <c r="T815" s="64"/>
      <c r="U815" s="67" t="s">
        <v>638</v>
      </c>
      <c r="V815" s="64" t="str">
        <f>IF(W815&lt;&gt;0,VLOOKUP(W815,DM_DUAN,3,0),"")</f>
        <v>#N/A</v>
      </c>
      <c r="W815" s="83" t="s">
        <v>857</v>
      </c>
      <c r="X815" s="64" t="str">
        <f>IF(Y815&lt;&gt;0,VLOOKUP(Y815,DM_DUAN,3,0),"")</f>
        <v>#N/A</v>
      </c>
      <c r="Y815" s="69" t="s">
        <v>176</v>
      </c>
      <c r="Z815" s="64" t="str">
        <f>IF(AA815&lt;&gt;0,VLOOKUP(AA815,DM_DUAN,3,0),"")</f>
        <v>#N/A</v>
      </c>
      <c r="AA815" s="70" t="s">
        <v>177</v>
      </c>
      <c r="AB815" s="64" t="str">
        <f>IF(AC815&lt;&gt;0,VLOOKUP(AC815,DM_DUAN,3,0),"")</f>
        <v>#N/A</v>
      </c>
      <c r="AC815" s="70" t="s">
        <v>600</v>
      </c>
      <c r="AD815" s="64" t="str">
        <f>IF(AC815&lt;&gt;0,VLOOKUP(AC815,DM_NV,2,0),"")</f>
        <v>Nguyễn Quốc Việt</v>
      </c>
      <c r="AE815" s="68"/>
      <c r="AF815" s="64" t="str">
        <f>IF(AE815&lt;&gt;0,VLOOKUP(AE815,DM_NV,2,0),"")</f>
        <v/>
      </c>
    </row>
    <row r="816">
      <c r="A816" s="51"/>
      <c r="B816" s="52" t="str">
        <f>IF(D816="","",VLOOKUP(D816,'THAM CHIẾU'!$A:$B,2,0))</f>
        <v/>
      </c>
      <c r="C816" s="53" t="str">
        <f t="shared" si="4"/>
        <v/>
      </c>
      <c r="D816" s="99"/>
      <c r="E816" s="55"/>
      <c r="F816" s="56"/>
      <c r="G816" s="57"/>
      <c r="H816" s="58" t="str">
        <f>IF(G816="","",VLOOKUP($G816,'Quy chuẩn hạch toán'!$B:$E,2,0))</f>
        <v/>
      </c>
      <c r="I816" s="58" t="str">
        <f>IF(H816="","",VLOOKUP($G816,'Quy chuẩn hạch toán'!$B:$E,3,0))</f>
        <v/>
      </c>
      <c r="J816" s="59"/>
      <c r="K816" s="60"/>
      <c r="L816" s="61"/>
      <c r="M816" s="62"/>
      <c r="N816" s="63"/>
      <c r="O816" s="64"/>
      <c r="P816" s="64"/>
      <c r="Q816" s="65"/>
      <c r="R816" s="64" t="str">
        <f>IF(S816&lt;&gt;0,VLOOKUP(S816,DM_DUAN,3,0),"")</f>
        <v>#N/A</v>
      </c>
      <c r="S816" s="66" t="str">
        <f>IF(U816&lt;&gt;0,VLOOKUP(U816,DM_DUAN,3,0),"")</f>
        <v/>
      </c>
      <c r="T816" s="64"/>
      <c r="U816" s="67"/>
      <c r="V816" s="64" t="str">
        <f>IF(W816&lt;&gt;0,VLOOKUP(W816,DM_DUAN,3,0),"")</f>
        <v/>
      </c>
      <c r="W816" s="83"/>
      <c r="X816" s="64" t="str">
        <f>IF(Y816&lt;&gt;0,VLOOKUP(Y816,DM_DUAN,3,0),"")</f>
        <v/>
      </c>
      <c r="Y816" s="69"/>
      <c r="Z816" s="64" t="str">
        <f>IF(AA816&lt;&gt;0,VLOOKUP(AA816,DM_DUAN,3,0),"")</f>
        <v/>
      </c>
      <c r="AA816" s="70"/>
      <c r="AB816" s="64" t="str">
        <f>IF(AC816&lt;&gt;0,VLOOKUP(AC816,DM_DUAN,3,0),"")</f>
        <v/>
      </c>
      <c r="AC816" s="85"/>
      <c r="AD816" s="64" t="str">
        <f>IF(AC816&lt;&gt;0,VLOOKUP(AC816,DM_NV,2,0),"")</f>
        <v/>
      </c>
      <c r="AE816" s="68"/>
      <c r="AF816" s="64" t="str">
        <f>IF(AE816&lt;&gt;0,VLOOKUP(AE816,DM_NV,2,0),"")</f>
        <v/>
      </c>
    </row>
    <row r="817">
      <c r="A817" s="51"/>
      <c r="B817" s="52" t="str">
        <f>IF(D817="","",VLOOKUP(D817,'THAM CHIẾU'!$A:$B,2,0))</f>
        <v>#N/A</v>
      </c>
      <c r="C817" s="53" t="str">
        <f t="shared" si="4"/>
        <v>04/2022</v>
      </c>
      <c r="D817" s="99">
        <v>44664.0</v>
      </c>
      <c r="E817" s="55" t="s">
        <v>858</v>
      </c>
      <c r="F817" s="56"/>
      <c r="G817" s="57" t="s">
        <v>186</v>
      </c>
      <c r="H817" s="58" t="str">
        <f>IF(G817="","",VLOOKUP($G817,'Quy chuẩn hạch toán'!$B:$E,2,0))</f>
        <v>131</v>
      </c>
      <c r="I817" s="58" t="str">
        <f>IF(H817="","",VLOOKUP($G817,'Quy chuẩn hạch toán'!$B:$E,3,0))</f>
        <v>5113</v>
      </c>
      <c r="J817" s="59">
        <v>9.8E7</v>
      </c>
      <c r="K817" s="60"/>
      <c r="L817" s="61"/>
      <c r="M817" s="62"/>
      <c r="N817" s="63"/>
      <c r="O817" s="64" t="str">
        <f>IF($Q817&lt;&gt;0,VLOOKUP($Q817,DM_KM,3,0),"")</f>
        <v>511_TK</v>
      </c>
      <c r="P817" s="64">
        <f>IF($Q817&lt;&gt;0,VLOOKUP($Q817,DM_KM,5,0),"")</f>
        <v>511</v>
      </c>
      <c r="Q817" s="65" t="s">
        <v>187</v>
      </c>
      <c r="R817" s="64" t="str">
        <f>IF(S817&lt;&gt;0,VLOOKUP(S817,DM_DUAN,3,0),"")</f>
        <v>#N/A</v>
      </c>
      <c r="S817" s="66" t="str">
        <f>IF(U817&lt;&gt;0,VLOOKUP(U817,DM_DUAN,3,0),"")</f>
        <v>KIMCUONGLAND</v>
      </c>
      <c r="T817" s="64"/>
      <c r="U817" s="67" t="s">
        <v>638</v>
      </c>
      <c r="V817" s="64" t="str">
        <f>IF(W817&lt;&gt;0,VLOOKUP(W817,DM_DUAN,3,0),"")</f>
        <v>#N/A</v>
      </c>
      <c r="W817" s="83" t="s">
        <v>857</v>
      </c>
      <c r="X817" s="64" t="str">
        <f>IF(Y817&lt;&gt;0,VLOOKUP(Y817,DM_DUAN,3,0),"")</f>
        <v>#N/A</v>
      </c>
      <c r="Y817" s="69" t="s">
        <v>176</v>
      </c>
      <c r="Z817" s="64" t="str">
        <f>IF(AA817&lt;&gt;0,VLOOKUP(AA817,DM_DUAN,3,0),"")</f>
        <v>#N/A</v>
      </c>
      <c r="AA817" s="70" t="s">
        <v>177</v>
      </c>
      <c r="AB817" s="64" t="str">
        <f>IF(AC817&lt;&gt;0,VLOOKUP(AC817,DM_DUAN,3,0),"")</f>
        <v/>
      </c>
      <c r="AC817" s="85"/>
      <c r="AD817" s="64" t="str">
        <f>IF(AC817&lt;&gt;0,VLOOKUP(AC817,DM_NV,2,0),"")</f>
        <v/>
      </c>
      <c r="AE817" s="68"/>
      <c r="AF817" s="64" t="str">
        <f>IF(AE817&lt;&gt;0,VLOOKUP(AE817,DM_NV,2,0),"")</f>
        <v/>
      </c>
    </row>
    <row r="818">
      <c r="A818" s="51"/>
      <c r="B818" s="52" t="str">
        <f>IF(D818="","",VLOOKUP(D818,'THAM CHIẾU'!$A:$B,2,0))</f>
        <v>#N/A</v>
      </c>
      <c r="C818" s="53" t="str">
        <f t="shared" si="4"/>
        <v>04/2022</v>
      </c>
      <c r="D818" s="99">
        <v>44664.0</v>
      </c>
      <c r="E818" s="55" t="s">
        <v>859</v>
      </c>
      <c r="F818" s="56"/>
      <c r="G818" s="57" t="s">
        <v>189</v>
      </c>
      <c r="H818" s="58" t="str">
        <f>IF(G818="","",VLOOKUP($G818,'Quy chuẩn hạch toán'!$B:$E,2,0))</f>
        <v>154</v>
      </c>
      <c r="I818" s="58" t="str">
        <f>IF(H818="","",VLOOKUP($G818,'Quy chuẩn hạch toán'!$B:$E,3,0))</f>
        <v>3345</v>
      </c>
      <c r="J818" s="59">
        <v>1.9625E7</v>
      </c>
      <c r="K818" s="60"/>
      <c r="L818" s="61"/>
      <c r="M818" s="62"/>
      <c r="N818" s="63"/>
      <c r="O818" s="64" t="str">
        <f>IF($Q818&lt;&gt;0,VLOOKUP($Q818,DM_KM,3,0),"")</f>
        <v>#N/A</v>
      </c>
      <c r="P818" s="64" t="str">
        <f>IF($Q818&lt;&gt;0,VLOOKUP($Q818,DM_KM,5,0),"")</f>
        <v>#N/A</v>
      </c>
      <c r="Q818" s="65" t="s">
        <v>190</v>
      </c>
      <c r="R818" s="64" t="str">
        <f>IF(S818&lt;&gt;0,VLOOKUP(S818,DM_DUAN,3,0),"")</f>
        <v>#N/A</v>
      </c>
      <c r="S818" s="66" t="str">
        <f>IF(U818&lt;&gt;0,VLOOKUP(U818,DM_DUAN,3,0),"")</f>
        <v>KIMCUONGLAND</v>
      </c>
      <c r="T818" s="64"/>
      <c r="U818" s="67" t="s">
        <v>638</v>
      </c>
      <c r="V818" s="64" t="str">
        <f>IF(W818&lt;&gt;0,VLOOKUP(W818,DM_DUAN,3,0),"")</f>
        <v>#N/A</v>
      </c>
      <c r="W818" s="83" t="s">
        <v>857</v>
      </c>
      <c r="X818" s="64" t="str">
        <f>IF(Y818&lt;&gt;0,VLOOKUP(Y818,DM_DUAN,3,0),"")</f>
        <v>#N/A</v>
      </c>
      <c r="Y818" s="69" t="s">
        <v>176</v>
      </c>
      <c r="Z818" s="64" t="str">
        <f>IF(AA818&lt;&gt;0,VLOOKUP(AA818,DM_DUAN,3,0),"")</f>
        <v>#N/A</v>
      </c>
      <c r="AA818" s="70" t="s">
        <v>177</v>
      </c>
      <c r="AB818" s="64" t="str">
        <f>IF(AC818&lt;&gt;0,VLOOKUP(AC818,DM_DUAN,3,0),"")</f>
        <v>#N/A</v>
      </c>
      <c r="AC818" s="70" t="s">
        <v>600</v>
      </c>
      <c r="AD818" s="64" t="str">
        <f>IF(AC818&lt;&gt;0,VLOOKUP(AC818,DM_NV,2,0),"")</f>
        <v>Nguyễn Quốc Việt</v>
      </c>
      <c r="AE818" s="68"/>
      <c r="AF818" s="64" t="str">
        <f>IF(AE818&lt;&gt;0,VLOOKUP(AE818,DM_NV,2,0),"")</f>
        <v/>
      </c>
    </row>
    <row r="819">
      <c r="A819" s="51"/>
      <c r="B819" s="52" t="str">
        <f>IF(D819="","",VLOOKUP(D819,'THAM CHIẾU'!$A:$B,2,0))</f>
        <v>#N/A</v>
      </c>
      <c r="C819" s="53" t="str">
        <f t="shared" si="4"/>
        <v>04/2022</v>
      </c>
      <c r="D819" s="99">
        <v>44664.0</v>
      </c>
      <c r="E819" s="55" t="s">
        <v>860</v>
      </c>
      <c r="F819" s="56"/>
      <c r="G819" s="57" t="s">
        <v>200</v>
      </c>
      <c r="H819" s="58" t="str">
        <f>IF(G819="","",VLOOKUP($G819,'Quy chuẩn hạch toán'!$B:$E,2,0))</f>
        <v>154</v>
      </c>
      <c r="I819" s="58" t="str">
        <f>IF(H819="","",VLOOKUP($G819,'Quy chuẩn hạch toán'!$B:$E,3,0))</f>
        <v>3343</v>
      </c>
      <c r="J819" s="59">
        <v>1000000.0</v>
      </c>
      <c r="K819" s="60"/>
      <c r="L819" s="61"/>
      <c r="M819" s="62"/>
      <c r="N819" s="63"/>
      <c r="O819" s="64" t="str">
        <f>IF($Q819&lt;&gt;0,VLOOKUP($Q819,DM_KM,3,0),"")</f>
        <v>#N/A</v>
      </c>
      <c r="P819" s="64" t="str">
        <f>IF($Q819&lt;&gt;0,VLOOKUP($Q819,DM_KM,5,0),"")</f>
        <v>#N/A</v>
      </c>
      <c r="Q819" s="65" t="s">
        <v>201</v>
      </c>
      <c r="R819" s="64" t="str">
        <f>IF(S819&lt;&gt;0,VLOOKUP(S819,DM_DUAN,3,0),"")</f>
        <v>#N/A</v>
      </c>
      <c r="S819" s="66" t="str">
        <f>IF(U819&lt;&gt;0,VLOOKUP(U819,DM_DUAN,3,0),"")</f>
        <v>KIMCUONGLAND</v>
      </c>
      <c r="T819" s="64"/>
      <c r="U819" s="67" t="s">
        <v>638</v>
      </c>
      <c r="V819" s="64" t="str">
        <f>IF(W819&lt;&gt;0,VLOOKUP(W819,DM_DUAN,3,0),"")</f>
        <v>#N/A</v>
      </c>
      <c r="W819" s="83" t="s">
        <v>857</v>
      </c>
      <c r="X819" s="64" t="str">
        <f>IF(Y819&lt;&gt;0,VLOOKUP(Y819,DM_DUAN,3,0),"")</f>
        <v>#N/A</v>
      </c>
      <c r="Y819" s="69" t="s">
        <v>176</v>
      </c>
      <c r="Z819" s="64" t="str">
        <f>IF(AA819&lt;&gt;0,VLOOKUP(AA819,DM_DUAN,3,0),"")</f>
        <v>#N/A</v>
      </c>
      <c r="AA819" s="70" t="s">
        <v>177</v>
      </c>
      <c r="AB819" s="64" t="str">
        <f>IF(AC819&lt;&gt;0,VLOOKUP(AC819,DM_DUAN,3,0),"")</f>
        <v/>
      </c>
      <c r="AC819" s="85"/>
      <c r="AD819" s="64" t="str">
        <f>IF(AC819&lt;&gt;0,VLOOKUP(AC819,DM_NV,2,0),"")</f>
        <v/>
      </c>
      <c r="AE819" s="68"/>
      <c r="AF819" s="64" t="str">
        <f>IF(AE819&lt;&gt;0,VLOOKUP(AE819,DM_NV,2,0),"")</f>
        <v/>
      </c>
    </row>
    <row r="820">
      <c r="A820" s="51"/>
      <c r="B820" s="52" t="str">
        <f>IF(D820="","",VLOOKUP(D820,'THAM CHIẾU'!$A:$B,2,0))</f>
        <v>#N/A</v>
      </c>
      <c r="C820" s="53" t="str">
        <f t="shared" si="4"/>
        <v>04/2022</v>
      </c>
      <c r="D820" s="99">
        <v>44664.0</v>
      </c>
      <c r="E820" s="55" t="s">
        <v>861</v>
      </c>
      <c r="F820" s="56"/>
      <c r="G820" s="57" t="s">
        <v>733</v>
      </c>
      <c r="H820" s="58" t="str">
        <f>IF(G820="","",VLOOKUP($G820,'Quy chuẩn hạch toán'!$B:$E,2,0))</f>
        <v>154</v>
      </c>
      <c r="I820" s="58" t="str">
        <f>IF(H820="","",VLOOKUP($G820,'Quy chuẩn hạch toán'!$B:$E,3,0))</f>
        <v>3342</v>
      </c>
      <c r="J820" s="59">
        <v>1440000.0</v>
      </c>
      <c r="K820" s="60"/>
      <c r="L820" s="61"/>
      <c r="M820" s="62"/>
      <c r="N820" s="63"/>
      <c r="O820" s="64" t="str">
        <f>IF($Q820&lt;&gt;0,VLOOKUP($Q820,DM_KM,3,0),"")</f>
        <v>#N/A</v>
      </c>
      <c r="P820" s="64" t="str">
        <f>IF($Q820&lt;&gt;0,VLOOKUP($Q820,DM_KM,5,0),"")</f>
        <v>#N/A</v>
      </c>
      <c r="Q820" s="65" t="s">
        <v>734</v>
      </c>
      <c r="R820" s="64" t="str">
        <f>IF(S820&lt;&gt;0,VLOOKUP(S820,DM_DUAN,3,0),"")</f>
        <v>#N/A</v>
      </c>
      <c r="S820" s="66" t="str">
        <f>IF(U820&lt;&gt;0,VLOOKUP(U820,DM_DUAN,3,0),"")</f>
        <v>KIMCUONGLAND</v>
      </c>
      <c r="T820" s="64"/>
      <c r="U820" s="67" t="s">
        <v>638</v>
      </c>
      <c r="V820" s="64" t="str">
        <f>IF(W820&lt;&gt;0,VLOOKUP(W820,DM_DUAN,3,0),"")</f>
        <v>#N/A</v>
      </c>
      <c r="W820" s="83" t="s">
        <v>857</v>
      </c>
      <c r="X820" s="64" t="str">
        <f>IF(Y820&lt;&gt;0,VLOOKUP(Y820,DM_DUAN,3,0),"")</f>
        <v>#N/A</v>
      </c>
      <c r="Y820" s="69" t="s">
        <v>176</v>
      </c>
      <c r="Z820" s="64" t="str">
        <f>IF(AA820&lt;&gt;0,VLOOKUP(AA820,DM_DUAN,3,0),"")</f>
        <v>#N/A</v>
      </c>
      <c r="AA820" s="70" t="s">
        <v>177</v>
      </c>
      <c r="AB820" s="64" t="str">
        <f>IF(AC820&lt;&gt;0,VLOOKUP(AC820,DM_DUAN,3,0),"")</f>
        <v>#N/A</v>
      </c>
      <c r="AC820" s="70" t="s">
        <v>600</v>
      </c>
      <c r="AD820" s="64" t="str">
        <f>IF(AC820&lt;&gt;0,VLOOKUP(AC820,DM_NV,2,0),"")</f>
        <v>Nguyễn Quốc Việt</v>
      </c>
      <c r="AE820" s="68"/>
      <c r="AF820" s="64" t="str">
        <f>IF(AE820&lt;&gt;0,VLOOKUP(AE820,DM_NV,2,0),"")</f>
        <v/>
      </c>
    </row>
    <row r="821">
      <c r="A821" s="51"/>
      <c r="B821" s="52" t="str">
        <f>IF(D821="","",VLOOKUP(D821,'THAM CHIẾU'!$A:$B,2,0))</f>
        <v>#N/A</v>
      </c>
      <c r="C821" s="53" t="str">
        <f t="shared" si="4"/>
        <v>04/2022</v>
      </c>
      <c r="D821" s="99">
        <v>44664.0</v>
      </c>
      <c r="E821" s="55" t="s">
        <v>862</v>
      </c>
      <c r="F821" s="56"/>
      <c r="G821" s="90"/>
      <c r="H821" s="58" t="str">
        <f>IF(G821="","",VLOOKUP($G821,'Quy chuẩn hạch toán'!$B:$E,2,0))</f>
        <v/>
      </c>
      <c r="I821" s="58" t="str">
        <f>IF(H821="","",VLOOKUP($G821,'Quy chuẩn hạch toán'!$B:$E,3,0))</f>
        <v/>
      </c>
      <c r="J821" s="59">
        <v>7600000.0</v>
      </c>
      <c r="K821" s="60"/>
      <c r="L821" s="61"/>
      <c r="M821" s="62"/>
      <c r="N821" s="63"/>
      <c r="O821" s="64" t="str">
        <f>IF($Q821&lt;&gt;0,VLOOKUP($Q821,DM_KM,3,0),"")</f>
        <v>#N/A</v>
      </c>
      <c r="P821" s="64" t="str">
        <f>IF($Q821&lt;&gt;0,VLOOKUP($Q821,DM_KM,5,0),"")</f>
        <v>#N/A</v>
      </c>
      <c r="Q821" s="65" t="s">
        <v>203</v>
      </c>
      <c r="R821" s="64" t="str">
        <f>IF(S821&lt;&gt;0,VLOOKUP(S821,DM_DUAN,3,0),"")</f>
        <v>#N/A</v>
      </c>
      <c r="S821" s="66" t="str">
        <f>IF(U821&lt;&gt;0,VLOOKUP(U821,DM_DUAN,3,0),"")</f>
        <v>KIMCUONGLAND</v>
      </c>
      <c r="T821" s="64"/>
      <c r="U821" s="67" t="s">
        <v>638</v>
      </c>
      <c r="V821" s="64" t="str">
        <f>IF(W821&lt;&gt;0,VLOOKUP(W821,DM_DUAN,3,0),"")</f>
        <v>#N/A</v>
      </c>
      <c r="W821" s="83" t="s">
        <v>857</v>
      </c>
      <c r="X821" s="64" t="str">
        <f>IF(Y821&lt;&gt;0,VLOOKUP(Y821,DM_DUAN,3,0),"")</f>
        <v>#N/A</v>
      </c>
      <c r="Y821" s="69" t="s">
        <v>176</v>
      </c>
      <c r="Z821" s="64" t="str">
        <f>IF(AA821&lt;&gt;0,VLOOKUP(AA821,DM_DUAN,3,0),"")</f>
        <v>#N/A</v>
      </c>
      <c r="AA821" s="70" t="s">
        <v>177</v>
      </c>
      <c r="AB821" s="64" t="str">
        <f>IF(AC821&lt;&gt;0,VLOOKUP(AC821,DM_DUAN,3,0),"")</f>
        <v/>
      </c>
      <c r="AC821" s="85"/>
      <c r="AD821" s="64" t="str">
        <f>IF(AC821&lt;&gt;0,VLOOKUP(AC821,DM_NV,2,0),"")</f>
        <v/>
      </c>
      <c r="AE821" s="68"/>
      <c r="AF821" s="64" t="str">
        <f>IF(AE821&lt;&gt;0,VLOOKUP(AE821,DM_NV,2,0),"")</f>
        <v/>
      </c>
    </row>
    <row r="822">
      <c r="A822" s="51"/>
      <c r="B822" s="52" t="str">
        <f>IF(D822="","",VLOOKUP(D822,'THAM CHIẾU'!$A:$B,2,0))</f>
        <v>#N/A</v>
      </c>
      <c r="C822" s="53" t="str">
        <f t="shared" si="4"/>
        <v>04/2022</v>
      </c>
      <c r="D822" s="99">
        <v>44664.0</v>
      </c>
      <c r="E822" s="79" t="s">
        <v>863</v>
      </c>
      <c r="F822" s="80"/>
      <c r="G822" s="57" t="s">
        <v>733</v>
      </c>
      <c r="H822" s="58" t="str">
        <f>IF(G822="","",VLOOKUP($G822,'Quy chuẩn hạch toán'!$B:$E,2,0))</f>
        <v>154</v>
      </c>
      <c r="I822" s="58" t="str">
        <f>IF(H822="","",VLOOKUP($G822,'Quy chuẩn hạch toán'!$B:$E,3,0))</f>
        <v>3342</v>
      </c>
      <c r="J822" s="101">
        <v>1425000.0</v>
      </c>
      <c r="K822" s="60"/>
      <c r="L822" s="61"/>
      <c r="M822" s="62"/>
      <c r="N822" s="63"/>
      <c r="O822" s="64"/>
      <c r="P822" s="64"/>
      <c r="Q822" s="65" t="s">
        <v>734</v>
      </c>
      <c r="R822" s="64" t="str">
        <f>IF(S822&lt;&gt;0,VLOOKUP(S822,DM_DUAN,3,0),"")</f>
        <v>#N/A</v>
      </c>
      <c r="S822" s="66" t="str">
        <f>IF(U822&lt;&gt;0,VLOOKUP(U822,DM_DUAN,3,0),"")</f>
        <v>KIMCUONGLAND</v>
      </c>
      <c r="T822" s="64"/>
      <c r="U822" s="67" t="s">
        <v>638</v>
      </c>
      <c r="V822" s="64" t="str">
        <f>IF(W822&lt;&gt;0,VLOOKUP(W822,DM_DUAN,3,0),"")</f>
        <v>#N/A</v>
      </c>
      <c r="W822" s="83" t="s">
        <v>750</v>
      </c>
      <c r="X822" s="64" t="str">
        <f>IF(Y822&lt;&gt;0,VLOOKUP(Y822,DM_DUAN,3,0),"")</f>
        <v>#N/A</v>
      </c>
      <c r="Y822" s="69" t="s">
        <v>176</v>
      </c>
      <c r="Z822" s="64" t="str">
        <f>IF(AA822&lt;&gt;0,VLOOKUP(AA822,DM_DUAN,3,0),"")</f>
        <v>#N/A</v>
      </c>
      <c r="AA822" s="70" t="s">
        <v>177</v>
      </c>
      <c r="AB822" s="64" t="str">
        <f>IF(AC822&lt;&gt;0,VLOOKUP(AC822,DM_DUAN,3,0),"")</f>
        <v/>
      </c>
      <c r="AC822" s="70"/>
      <c r="AD822" s="64" t="str">
        <f>IF(AC822&lt;&gt;0,VLOOKUP(AC822,DM_NV,2,0),"")</f>
        <v/>
      </c>
      <c r="AE822" s="68"/>
      <c r="AF822" s="64" t="str">
        <f>IF(AE822&lt;&gt;0,VLOOKUP(AE822,DM_NV,2,0),"")</f>
        <v/>
      </c>
    </row>
    <row r="823">
      <c r="A823" s="51"/>
      <c r="B823" s="52" t="str">
        <f>IF(D823="","",VLOOKUP(D823,'THAM CHIẾU'!$A:$B,2,0))</f>
        <v>#N/A</v>
      </c>
      <c r="C823" s="53" t="str">
        <f t="shared" si="4"/>
        <v>04/2022</v>
      </c>
      <c r="D823" s="99">
        <v>44664.0</v>
      </c>
      <c r="E823" s="55" t="s">
        <v>864</v>
      </c>
      <c r="F823" s="56"/>
      <c r="G823" s="57" t="s">
        <v>275</v>
      </c>
      <c r="H823" s="58" t="str">
        <f>IF(G823="","",VLOOKUP($G823,'Quy chuẩn hạch toán'!$B:$E,2,0))</f>
        <v>3341</v>
      </c>
      <c r="I823" s="58" t="str">
        <f>IF(H823="","",VLOOKUP($G823,'Quy chuẩn hạch toán'!$B:$E,3,0))</f>
        <v>1111</v>
      </c>
      <c r="J823" s="59">
        <v>1.9625E7</v>
      </c>
      <c r="K823" s="60"/>
      <c r="L823" s="61"/>
      <c r="M823" s="62"/>
      <c r="N823" s="63"/>
      <c r="O823" s="64" t="str">
        <f>IF($Q823&lt;&gt;0,VLOOKUP($Q823,DM_KM,3,0),"")</f>
        <v/>
      </c>
      <c r="P823" s="64" t="str">
        <f>IF($Q823&lt;&gt;0,VLOOKUP($Q823,DM_KM,5,0),"")</f>
        <v/>
      </c>
      <c r="Q823" s="89"/>
      <c r="R823" s="64" t="str">
        <f>IF(S823&lt;&gt;0,VLOOKUP(S823,DM_DUAN,3,0),"")</f>
        <v>#N/A</v>
      </c>
      <c r="S823" s="66" t="str">
        <f>IF(U823&lt;&gt;0,VLOOKUP(U823,DM_DUAN,3,0),"")</f>
        <v>KIMCUONGLAND</v>
      </c>
      <c r="T823" s="64"/>
      <c r="U823" s="67" t="s">
        <v>638</v>
      </c>
      <c r="V823" s="64" t="str">
        <f>IF(W823&lt;&gt;0,VLOOKUP(W823,DM_DUAN,3,0),"")</f>
        <v>#N/A</v>
      </c>
      <c r="W823" s="83" t="s">
        <v>750</v>
      </c>
      <c r="X823" s="64" t="str">
        <f>IF(Y823&lt;&gt;0,VLOOKUP(Y823,DM_DUAN,3,0),"")</f>
        <v>#N/A</v>
      </c>
      <c r="Y823" s="69" t="s">
        <v>176</v>
      </c>
      <c r="Z823" s="64" t="str">
        <f>IF(AA823&lt;&gt;0,VLOOKUP(AA823,DM_DUAN,3,0),"")</f>
        <v>#N/A</v>
      </c>
      <c r="AA823" s="70" t="s">
        <v>177</v>
      </c>
      <c r="AB823" s="64" t="str">
        <f>IF(AC823&lt;&gt;0,VLOOKUP(AC823,DM_DUAN,3,0),"")</f>
        <v>#N/A</v>
      </c>
      <c r="AC823" s="70" t="s">
        <v>178</v>
      </c>
      <c r="AD823" s="64" t="str">
        <f>IF(AC823&lt;&gt;0,VLOOKUP(AC823,DM_NV,2,0),"")</f>
        <v>Lê Hoàng Quân</v>
      </c>
      <c r="AE823" s="83" t="s">
        <v>276</v>
      </c>
      <c r="AF823" s="64" t="str">
        <f>IF(AE823&lt;&gt;0,VLOOKUP(AE823,DM_NV,2,0),"")</f>
        <v>#N/A</v>
      </c>
    </row>
    <row r="824">
      <c r="A824" s="51"/>
      <c r="B824" s="52" t="str">
        <f>IF(D824="","",VLOOKUP(D824,'THAM CHIẾU'!$A:$B,2,0))</f>
        <v>#N/A</v>
      </c>
      <c r="C824" s="53" t="str">
        <f t="shared" si="4"/>
        <v>04/2022</v>
      </c>
      <c r="D824" s="99">
        <v>44664.0</v>
      </c>
      <c r="E824" s="79" t="s">
        <v>865</v>
      </c>
      <c r="F824" s="80"/>
      <c r="G824" s="100" t="s">
        <v>278</v>
      </c>
      <c r="H824" s="58" t="str">
        <f>IF(G824="","",VLOOKUP($G824,'Quy chuẩn hạch toán'!$B:$E,2,0))</f>
        <v>154</v>
      </c>
      <c r="I824" s="58" t="str">
        <f>IF(H824="","",VLOOKUP($G824,'Quy chuẩn hạch toán'!$B:$E,3,0))</f>
        <v>1111</v>
      </c>
      <c r="J824" s="101">
        <v>1000000.0</v>
      </c>
      <c r="K824" s="60"/>
      <c r="L824" s="61"/>
      <c r="M824" s="62"/>
      <c r="N824" s="63"/>
      <c r="O824" s="64"/>
      <c r="P824" s="64"/>
      <c r="Q824" s="89"/>
      <c r="R824" s="64"/>
      <c r="S824" s="66"/>
      <c r="T824" s="64"/>
      <c r="U824" s="67" t="s">
        <v>638</v>
      </c>
      <c r="V824" s="64"/>
      <c r="W824" s="83" t="s">
        <v>750</v>
      </c>
      <c r="X824" s="64"/>
      <c r="Y824" s="69" t="s">
        <v>176</v>
      </c>
      <c r="Z824" s="64"/>
      <c r="AA824" s="70" t="s">
        <v>177</v>
      </c>
      <c r="AB824" s="64"/>
      <c r="AC824" s="70"/>
      <c r="AD824" s="64" t="str">
        <f>IF(AC824&lt;&gt;0,VLOOKUP(AC824,DM_NV,2,0),"")</f>
        <v/>
      </c>
      <c r="AE824" s="83" t="s">
        <v>263</v>
      </c>
      <c r="AF824" s="64" t="str">
        <f>IF(AE824&lt;&gt;0,VLOOKUP(AE824,DM_NV,2,0),"")</f>
        <v>#N/A</v>
      </c>
    </row>
    <row r="825">
      <c r="A825" s="51"/>
      <c r="B825" s="52" t="str">
        <f>IF(D825="","",VLOOKUP(D825,'THAM CHIẾU'!$A:$B,2,0))</f>
        <v>#N/A</v>
      </c>
      <c r="C825" s="53" t="str">
        <f t="shared" si="4"/>
        <v>04/2022</v>
      </c>
      <c r="D825" s="99">
        <v>44664.0</v>
      </c>
      <c r="E825" s="55" t="s">
        <v>866</v>
      </c>
      <c r="F825" s="56"/>
      <c r="G825" s="57" t="s">
        <v>282</v>
      </c>
      <c r="H825" s="58" t="str">
        <f>IF(G825="","",VLOOKUP($G825,'Quy chuẩn hạch toán'!$B:$E,2,0))</f>
        <v>1111</v>
      </c>
      <c r="I825" s="58" t="str">
        <f>IF(H825="","",VLOOKUP($G825,'Quy chuẩn hạch toán'!$B:$E,3,0))</f>
        <v>131</v>
      </c>
      <c r="J825" s="59">
        <v>9.8E7</v>
      </c>
      <c r="K825" s="60"/>
      <c r="L825" s="61"/>
      <c r="M825" s="62"/>
      <c r="N825" s="63"/>
      <c r="O825" s="64" t="str">
        <f>IF($Q825&lt;&gt;0,VLOOKUP($Q825,DM_KM,3,0),"")</f>
        <v/>
      </c>
      <c r="P825" s="64" t="str">
        <f>IF($Q825&lt;&gt;0,VLOOKUP($Q825,DM_KM,5,0),"")</f>
        <v/>
      </c>
      <c r="Q825" s="89"/>
      <c r="R825" s="64" t="str">
        <f>IF(S825&lt;&gt;0,VLOOKUP(S825,DM_DUAN,3,0),"")</f>
        <v>#N/A</v>
      </c>
      <c r="S825" s="66" t="str">
        <f>IF(U825&lt;&gt;0,VLOOKUP(U825,DM_DUAN,3,0),"")</f>
        <v>KIMCUONGLAND</v>
      </c>
      <c r="T825" s="64"/>
      <c r="U825" s="67" t="s">
        <v>638</v>
      </c>
      <c r="V825" s="64" t="str">
        <f>IF(W825&lt;&gt;0,VLOOKUP(W825,DM_DUAN,3,0),"")</f>
        <v>#N/A</v>
      </c>
      <c r="W825" s="83" t="s">
        <v>750</v>
      </c>
      <c r="X825" s="64" t="str">
        <f>IF(Y825&lt;&gt;0,VLOOKUP(Y825,DM_DUAN,3,0),"")</f>
        <v>#N/A</v>
      </c>
      <c r="Y825" s="69" t="s">
        <v>176</v>
      </c>
      <c r="Z825" s="64" t="str">
        <f>IF(AA825&lt;&gt;0,VLOOKUP(AA825,DM_DUAN,3,0),"")</f>
        <v>#N/A</v>
      </c>
      <c r="AA825" s="70" t="s">
        <v>177</v>
      </c>
      <c r="AB825" s="64" t="str">
        <f>IF(AC825&lt;&gt;0,VLOOKUP(AC825,DM_DUAN,3,0),"")</f>
        <v/>
      </c>
      <c r="AC825" s="70"/>
      <c r="AD825" s="64" t="str">
        <f>IF(AC825&lt;&gt;0,VLOOKUP(AC825,DM_NV,2,0),"")</f>
        <v/>
      </c>
      <c r="AE825" s="68"/>
      <c r="AF825" s="64" t="str">
        <f>IF(AE825&lt;&gt;0,VLOOKUP(AE825,DM_NV,2,0),"")</f>
        <v/>
      </c>
    </row>
    <row r="826">
      <c r="A826" s="51"/>
      <c r="B826" s="52" t="str">
        <f>IF(D826="","",VLOOKUP(D826,'THAM CHIẾU'!$A:$B,2,0))</f>
        <v>#N/A</v>
      </c>
      <c r="C826" s="53" t="str">
        <f t="shared" si="4"/>
        <v>04/2022</v>
      </c>
      <c r="D826" s="99">
        <v>44664.0</v>
      </c>
      <c r="E826" s="55" t="s">
        <v>867</v>
      </c>
      <c r="F826" s="56"/>
      <c r="G826" s="57" t="s">
        <v>275</v>
      </c>
      <c r="H826" s="58" t="str">
        <f>IF(G826="","",VLOOKUP($G826,'Quy chuẩn hạch toán'!$B:$E,2,0))</f>
        <v>3341</v>
      </c>
      <c r="I826" s="58" t="str">
        <f>IF(H826="","",VLOOKUP($G826,'Quy chuẩn hạch toán'!$B:$E,3,0))</f>
        <v>1111</v>
      </c>
      <c r="J826" s="59">
        <v>6.0E7</v>
      </c>
      <c r="K826" s="60"/>
      <c r="L826" s="61"/>
      <c r="M826" s="62"/>
      <c r="N826" s="63"/>
      <c r="O826" s="64" t="str">
        <f>IF($Q826&lt;&gt;0,VLOOKUP($Q826,DM_KM,3,0),"")</f>
        <v/>
      </c>
      <c r="P826" s="64" t="str">
        <f>IF($Q826&lt;&gt;0,VLOOKUP($Q826,DM_KM,5,0),"")</f>
        <v/>
      </c>
      <c r="Q826" s="89"/>
      <c r="R826" s="64" t="str">
        <f>IF(S826&lt;&gt;0,VLOOKUP(S826,DM_DUAN,3,0),"")</f>
        <v>#N/A</v>
      </c>
      <c r="S826" s="66" t="str">
        <f>IF(U826&lt;&gt;0,VLOOKUP(U826,DM_DUAN,3,0),"")</f>
        <v>THANHNAM</v>
      </c>
      <c r="T826" s="64"/>
      <c r="U826" s="67" t="s">
        <v>530</v>
      </c>
      <c r="V826" s="64" t="str">
        <f>IF(W826&lt;&gt;0,VLOOKUP(W826,DM_DUAN,3,0),"")</f>
        <v>#N/A</v>
      </c>
      <c r="W826" s="83" t="s">
        <v>718</v>
      </c>
      <c r="X826" s="64" t="str">
        <f>IF(Y826&lt;&gt;0,VLOOKUP(Y826,DM_DUAN,3,0),"")</f>
        <v>#N/A</v>
      </c>
      <c r="Y826" s="69" t="s">
        <v>176</v>
      </c>
      <c r="Z826" s="64" t="str">
        <f>IF(AA826&lt;&gt;0,VLOOKUP(AA826,DM_DUAN,3,0),"")</f>
        <v>#N/A</v>
      </c>
      <c r="AA826" s="70" t="s">
        <v>177</v>
      </c>
      <c r="AB826" s="64" t="str">
        <f>IF(AC826&lt;&gt;0,VLOOKUP(AC826,DM_DUAN,3,0),"")</f>
        <v>#N/A</v>
      </c>
      <c r="AC826" s="70" t="s">
        <v>600</v>
      </c>
      <c r="AD826" s="64" t="str">
        <f>IF(AC826&lt;&gt;0,VLOOKUP(AC826,DM_NV,2,0),"")</f>
        <v>Nguyễn Quốc Việt</v>
      </c>
      <c r="AE826" s="83" t="s">
        <v>276</v>
      </c>
      <c r="AF826" s="64" t="str">
        <f>IF(AE826&lt;&gt;0,VLOOKUP(AE826,DM_NV,2,0),"")</f>
        <v>#N/A</v>
      </c>
    </row>
    <row r="827">
      <c r="A827" s="51"/>
      <c r="B827" s="52" t="str">
        <f>IF(D827="","",VLOOKUP(D827,'THAM CHIẾU'!$A:$B,2,0))</f>
        <v>#N/A</v>
      </c>
      <c r="C827" s="53" t="str">
        <f t="shared" si="4"/>
        <v>04/2022</v>
      </c>
      <c r="D827" s="99">
        <v>44664.0</v>
      </c>
      <c r="E827" s="55" t="s">
        <v>868</v>
      </c>
      <c r="F827" s="56"/>
      <c r="G827" s="57" t="s">
        <v>275</v>
      </c>
      <c r="H827" s="58" t="str">
        <f>IF(G827="","",VLOOKUP($G827,'Quy chuẩn hạch toán'!$B:$E,2,0))</f>
        <v>3341</v>
      </c>
      <c r="I827" s="58" t="str">
        <f>IF(H827="","",VLOOKUP($G827,'Quy chuẩn hạch toán'!$B:$E,3,0))</f>
        <v>1111</v>
      </c>
      <c r="J827" s="59">
        <v>4500000.0</v>
      </c>
      <c r="K827" s="60"/>
      <c r="L827" s="61"/>
      <c r="M827" s="62"/>
      <c r="N827" s="63"/>
      <c r="O827" s="64"/>
      <c r="P827" s="64"/>
      <c r="Q827" s="89"/>
      <c r="R827" s="64"/>
      <c r="S827" s="66"/>
      <c r="T827" s="64"/>
      <c r="U827" s="67" t="s">
        <v>530</v>
      </c>
      <c r="V827" s="64"/>
      <c r="W827" s="83" t="s">
        <v>718</v>
      </c>
      <c r="X827" s="64"/>
      <c r="Y827" s="69" t="s">
        <v>176</v>
      </c>
      <c r="Z827" s="64"/>
      <c r="AA827" s="70" t="s">
        <v>177</v>
      </c>
      <c r="AB827" s="64"/>
      <c r="AC827" s="70" t="s">
        <v>603</v>
      </c>
      <c r="AD827" s="64" t="str">
        <f>IF(AC827&lt;&gt;0,VLOOKUP(AC827,DM_NV,2,0),"")</f>
        <v>Trần Minh Khánh</v>
      </c>
      <c r="AE827" s="83" t="s">
        <v>276</v>
      </c>
      <c r="AF827" s="64" t="str">
        <f>IF(AE827&lt;&gt;0,VLOOKUP(AE827,DM_NV,2,0),"")</f>
        <v>#N/A</v>
      </c>
    </row>
    <row r="828">
      <c r="A828" s="51"/>
      <c r="B828" s="52" t="str">
        <f>IF(D828="","",VLOOKUP(D828,'THAM CHIẾU'!$A:$B,2,0))</f>
        <v>#N/A</v>
      </c>
      <c r="C828" s="53" t="str">
        <f t="shared" si="4"/>
        <v>04/2022</v>
      </c>
      <c r="D828" s="99">
        <v>44664.0</v>
      </c>
      <c r="E828" s="79" t="s">
        <v>869</v>
      </c>
      <c r="F828" s="80"/>
      <c r="G828" s="100" t="s">
        <v>278</v>
      </c>
      <c r="H828" s="58" t="str">
        <f>IF(G828="","",VLOOKUP($G828,'Quy chuẩn hạch toán'!$B:$E,2,0))</f>
        <v>154</v>
      </c>
      <c r="I828" s="58" t="str">
        <f>IF(H828="","",VLOOKUP($G828,'Quy chuẩn hạch toán'!$B:$E,3,0))</f>
        <v>1111</v>
      </c>
      <c r="J828" s="101">
        <v>1000000.0</v>
      </c>
      <c r="K828" s="60"/>
      <c r="L828" s="61"/>
      <c r="M828" s="62"/>
      <c r="N828" s="63"/>
      <c r="O828" s="64"/>
      <c r="P828" s="64"/>
      <c r="Q828" s="89"/>
      <c r="R828" s="64"/>
      <c r="S828" s="66"/>
      <c r="T828" s="64"/>
      <c r="U828" s="67" t="s">
        <v>530</v>
      </c>
      <c r="V828" s="64"/>
      <c r="W828" s="83" t="s">
        <v>718</v>
      </c>
      <c r="X828" s="64"/>
      <c r="Y828" s="69" t="s">
        <v>176</v>
      </c>
      <c r="Z828" s="64"/>
      <c r="AA828" s="70" t="s">
        <v>177</v>
      </c>
      <c r="AB828" s="64"/>
      <c r="AC828" s="70"/>
      <c r="AD828" s="64" t="str">
        <f>IF(AC828&lt;&gt;0,VLOOKUP(AC828,DM_NV,2,0),"")</f>
        <v/>
      </c>
      <c r="AE828" s="83" t="s">
        <v>263</v>
      </c>
      <c r="AF828" s="64" t="str">
        <f>IF(AE828&lt;&gt;0,VLOOKUP(AE828,DM_NV,2,0),"")</f>
        <v>#N/A</v>
      </c>
    </row>
    <row r="829">
      <c r="A829" s="51"/>
      <c r="B829" s="52" t="str">
        <f>IF(D829="","",VLOOKUP(D829,'THAM CHIẾU'!$A:$B,2,0))</f>
        <v>#N/A</v>
      </c>
      <c r="C829" s="53" t="str">
        <f t="shared" si="4"/>
        <v>04/2022</v>
      </c>
      <c r="D829" s="99">
        <v>44664.0</v>
      </c>
      <c r="E829" s="55" t="s">
        <v>870</v>
      </c>
      <c r="F829" s="56"/>
      <c r="G829" s="57" t="s">
        <v>282</v>
      </c>
      <c r="H829" s="58" t="str">
        <f>IF(G829="","",VLOOKUP($G829,'Quy chuẩn hạch toán'!$B:$E,2,0))</f>
        <v>1111</v>
      </c>
      <c r="I829" s="58" t="str">
        <f>IF(H829="","",VLOOKUP($G829,'Quy chuẩn hạch toán'!$B:$E,3,0))</f>
        <v>131</v>
      </c>
      <c r="J829" s="59">
        <v>1.71E8</v>
      </c>
      <c r="K829" s="60"/>
      <c r="L829" s="61"/>
      <c r="M829" s="62"/>
      <c r="N829" s="63"/>
      <c r="O829" s="64" t="str">
        <f>IF($Q829&lt;&gt;0,VLOOKUP($Q829,DM_KM,3,0),"")</f>
        <v/>
      </c>
      <c r="P829" s="64" t="str">
        <f>IF($Q829&lt;&gt;0,VLOOKUP($Q829,DM_KM,5,0),"")</f>
        <v/>
      </c>
      <c r="Q829" s="89"/>
      <c r="R829" s="64" t="str">
        <f>IF(S829&lt;&gt;0,VLOOKUP(S829,DM_DUAN,3,0),"")</f>
        <v>#N/A</v>
      </c>
      <c r="S829" s="66" t="str">
        <f>IF(U829&lt;&gt;0,VLOOKUP(U829,DM_DUAN,3,0),"")</f>
        <v>THANHNAM</v>
      </c>
      <c r="T829" s="64"/>
      <c r="U829" s="67" t="s">
        <v>530</v>
      </c>
      <c r="V829" s="64" t="str">
        <f>IF(W829&lt;&gt;0,VLOOKUP(W829,DM_DUAN,3,0),"")</f>
        <v>#N/A</v>
      </c>
      <c r="W829" s="83" t="s">
        <v>718</v>
      </c>
      <c r="X829" s="64" t="str">
        <f>IF(Y829&lt;&gt;0,VLOOKUP(Y829,DM_DUAN,3,0),"")</f>
        <v>#N/A</v>
      </c>
      <c r="Y829" s="69" t="s">
        <v>176</v>
      </c>
      <c r="Z829" s="64" t="str">
        <f>IF(AA829&lt;&gt;0,VLOOKUP(AA829,DM_DUAN,3,0),"")</f>
        <v>#N/A</v>
      </c>
      <c r="AA829" s="70" t="s">
        <v>177</v>
      </c>
      <c r="AB829" s="64" t="str">
        <f>IF(AC829&lt;&gt;0,VLOOKUP(AC829,DM_DUAN,3,0),"")</f>
        <v/>
      </c>
      <c r="AC829" s="85"/>
      <c r="AD829" s="64" t="str">
        <f>IF(AC829&lt;&gt;0,VLOOKUP(AC829,DM_NV,2,0),"")</f>
        <v/>
      </c>
      <c r="AE829" s="68"/>
      <c r="AF829" s="64" t="str">
        <f>IF(AE829&lt;&gt;0,VLOOKUP(AE829,DM_NV,2,0),"")</f>
        <v/>
      </c>
    </row>
    <row r="830">
      <c r="A830" s="51"/>
      <c r="B830" s="52" t="str">
        <f>IF(D830="","",VLOOKUP(D830,'THAM CHIẾU'!$A:$B,2,0))</f>
        <v>#N/A</v>
      </c>
      <c r="C830" s="53" t="str">
        <f t="shared" si="4"/>
        <v>04/2022</v>
      </c>
      <c r="D830" s="99">
        <v>44664.0</v>
      </c>
      <c r="E830" s="55" t="s">
        <v>871</v>
      </c>
      <c r="F830" s="56"/>
      <c r="G830" s="57" t="s">
        <v>205</v>
      </c>
      <c r="H830" s="58" t="str">
        <f>IF(G830="","",VLOOKUP($G830,'Quy chuẩn hạch toán'!$B:$E,2,0))</f>
        <v>642</v>
      </c>
      <c r="I830" s="58" t="str">
        <f>IF(H830="","",VLOOKUP($G830,'Quy chuẩn hạch toán'!$B:$E,3,0))</f>
        <v>1111</v>
      </c>
      <c r="J830" s="59">
        <v>14737.0</v>
      </c>
      <c r="K830" s="60"/>
      <c r="L830" s="61"/>
      <c r="M830" s="62"/>
      <c r="N830" s="63"/>
      <c r="O830" s="64" t="str">
        <f>IF($Q830&lt;&gt;0,VLOOKUP($Q830,DM_KM,3,0),"")</f>
        <v>#N/A</v>
      </c>
      <c r="P830" s="64" t="str">
        <f>IF($Q830&lt;&gt;0,VLOOKUP($Q830,DM_KM,5,0),"")</f>
        <v>#N/A</v>
      </c>
      <c r="Q830" s="65" t="s">
        <v>222</v>
      </c>
      <c r="R830" s="64" t="str">
        <f>IF(S830&lt;&gt;0,VLOOKUP(S830,DM_DUAN,3,0),"")</f>
        <v>#N/A</v>
      </c>
      <c r="S830" s="66" t="str">
        <f>IF(U830&lt;&gt;0,VLOOKUP(U830,DM_DUAN,3,0),"")</f>
        <v/>
      </c>
      <c r="T830" s="64"/>
      <c r="U830" s="93"/>
      <c r="V830" s="64" t="str">
        <f>IF(W830&lt;&gt;0,VLOOKUP(W830,DM_DUAN,3,0),"")</f>
        <v/>
      </c>
      <c r="W830" s="68"/>
      <c r="X830" s="64" t="str">
        <f>IF(Y830&lt;&gt;0,VLOOKUP(Y830,DM_DUAN,3,0),"")</f>
        <v>#N/A</v>
      </c>
      <c r="Y830" s="69" t="s">
        <v>207</v>
      </c>
      <c r="Z830" s="64" t="str">
        <f>IF(AA830&lt;&gt;0,VLOOKUP(AA830,DM_DUAN,3,0),"")</f>
        <v>#N/A</v>
      </c>
      <c r="AA830" s="70" t="s">
        <v>705</v>
      </c>
      <c r="AB830" s="64" t="str">
        <f>IF(AC830&lt;&gt;0,VLOOKUP(AC830,DM_DUAN,3,0),"")</f>
        <v/>
      </c>
      <c r="AC830" s="85"/>
      <c r="AD830" s="64" t="str">
        <f>IF(AC830&lt;&gt;0,VLOOKUP(AC830,DM_NV,2,0),"")</f>
        <v/>
      </c>
      <c r="AE830" s="68"/>
      <c r="AF830" s="64" t="str">
        <f>IF(AE830&lt;&gt;0,VLOOKUP(AE830,DM_NV,2,0),"")</f>
        <v/>
      </c>
    </row>
    <row r="831">
      <c r="A831" s="51"/>
      <c r="B831" s="52" t="str">
        <f>IF(D831="","",VLOOKUP(D831,'THAM CHIẾU'!$A:$B,2,0))</f>
        <v>#N/A</v>
      </c>
      <c r="C831" s="53" t="str">
        <f t="shared" si="4"/>
        <v>04/2022</v>
      </c>
      <c r="D831" s="99">
        <v>44664.0</v>
      </c>
      <c r="E831" s="55" t="s">
        <v>871</v>
      </c>
      <c r="F831" s="56"/>
      <c r="G831" s="57" t="s">
        <v>205</v>
      </c>
      <c r="H831" s="58" t="str">
        <f>IF(G831="","",VLOOKUP($G831,'Quy chuẩn hạch toán'!$B:$E,2,0))</f>
        <v>642</v>
      </c>
      <c r="I831" s="58" t="str">
        <f>IF(H831="","",VLOOKUP($G831,'Quy chuẩn hạch toán'!$B:$E,3,0))</f>
        <v>1111</v>
      </c>
      <c r="J831" s="59">
        <v>29474.0</v>
      </c>
      <c r="K831" s="60"/>
      <c r="L831" s="61"/>
      <c r="M831" s="62"/>
      <c r="N831" s="63"/>
      <c r="O831" s="64" t="str">
        <f>IF($Q831&lt;&gt;0,VLOOKUP($Q831,DM_KM,3,0),"")</f>
        <v>#N/A</v>
      </c>
      <c r="P831" s="64" t="str">
        <f>IF($Q831&lt;&gt;0,VLOOKUP($Q831,DM_KM,5,0),"")</f>
        <v>#N/A</v>
      </c>
      <c r="Q831" s="65" t="s">
        <v>222</v>
      </c>
      <c r="R831" s="64" t="str">
        <f>IF(S831&lt;&gt;0,VLOOKUP(S831,DM_DUAN,3,0),"")</f>
        <v>#N/A</v>
      </c>
      <c r="S831" s="66" t="str">
        <f>IF(U831&lt;&gt;0,VLOOKUP(U831,DM_DUAN,3,0),"")</f>
        <v/>
      </c>
      <c r="T831" s="64"/>
      <c r="U831" s="93"/>
      <c r="V831" s="64" t="str">
        <f>IF(W831&lt;&gt;0,VLOOKUP(W831,DM_DUAN,3,0),"")</f>
        <v/>
      </c>
      <c r="W831" s="68"/>
      <c r="X831" s="64" t="str">
        <f>IF(Y831&lt;&gt;0,VLOOKUP(Y831,DM_DUAN,3,0),"")</f>
        <v>#N/A</v>
      </c>
      <c r="Y831" s="69" t="s">
        <v>207</v>
      </c>
      <c r="Z831" s="64" t="str">
        <f>IF(AA831&lt;&gt;0,VLOOKUP(AA831,DM_DUAN,3,0),"")</f>
        <v>#N/A</v>
      </c>
      <c r="AA831" s="70" t="s">
        <v>183</v>
      </c>
      <c r="AB831" s="64" t="str">
        <f>IF(AC831&lt;&gt;0,VLOOKUP(AC831,DM_DUAN,3,0),"")</f>
        <v/>
      </c>
      <c r="AC831" s="85"/>
      <c r="AD831" s="64" t="str">
        <f>IF(AC831&lt;&gt;0,VLOOKUP(AC831,DM_NV,2,0),"")</f>
        <v/>
      </c>
      <c r="AE831" s="68"/>
      <c r="AF831" s="64" t="str">
        <f>IF(AE831&lt;&gt;0,VLOOKUP(AE831,DM_NV,2,0),"")</f>
        <v/>
      </c>
    </row>
    <row r="832">
      <c r="A832" s="51"/>
      <c r="B832" s="52" t="str">
        <f>IF(D832="","",VLOOKUP(D832,'THAM CHIẾU'!$A:$B,2,0))</f>
        <v>#N/A</v>
      </c>
      <c r="C832" s="53" t="str">
        <f t="shared" si="4"/>
        <v>04/2022</v>
      </c>
      <c r="D832" s="99">
        <v>44664.0</v>
      </c>
      <c r="E832" s="55" t="s">
        <v>871</v>
      </c>
      <c r="F832" s="56"/>
      <c r="G832" s="57" t="s">
        <v>205</v>
      </c>
      <c r="H832" s="58" t="str">
        <f>IF(G832="","",VLOOKUP($G832,'Quy chuẩn hạch toán'!$B:$E,2,0))</f>
        <v>642</v>
      </c>
      <c r="I832" s="58" t="str">
        <f>IF(H832="","",VLOOKUP($G832,'Quy chuẩn hạch toán'!$B:$E,3,0))</f>
        <v>1111</v>
      </c>
      <c r="J832" s="59">
        <v>11053.0</v>
      </c>
      <c r="K832" s="60"/>
      <c r="L832" s="61"/>
      <c r="M832" s="62"/>
      <c r="N832" s="63"/>
      <c r="O832" s="64" t="str">
        <f>IF($Q832&lt;&gt;0,VLOOKUP($Q832,DM_KM,3,0),"")</f>
        <v>#N/A</v>
      </c>
      <c r="P832" s="64" t="str">
        <f>IF($Q832&lt;&gt;0,VLOOKUP($Q832,DM_KM,5,0),"")</f>
        <v>#N/A</v>
      </c>
      <c r="Q832" s="65" t="s">
        <v>222</v>
      </c>
      <c r="R832" s="64" t="str">
        <f>IF(S832&lt;&gt;0,VLOOKUP(S832,DM_DUAN,3,0),"")</f>
        <v>#N/A</v>
      </c>
      <c r="S832" s="66" t="str">
        <f>IF(U832&lt;&gt;0,VLOOKUP(U832,DM_DUAN,3,0),"")</f>
        <v/>
      </c>
      <c r="T832" s="64"/>
      <c r="U832" s="93"/>
      <c r="V832" s="64" t="str">
        <f>IF(W832&lt;&gt;0,VLOOKUP(W832,DM_DUAN,3,0),"")</f>
        <v/>
      </c>
      <c r="W832" s="68"/>
      <c r="X832" s="64" t="str">
        <f>IF(Y832&lt;&gt;0,VLOOKUP(Y832,DM_DUAN,3,0),"")</f>
        <v>#N/A</v>
      </c>
      <c r="Y832" s="69" t="s">
        <v>207</v>
      </c>
      <c r="Z832" s="64" t="str">
        <f>IF(AA832&lt;&gt;0,VLOOKUP(AA832,DM_DUAN,3,0),"")</f>
        <v>#N/A</v>
      </c>
      <c r="AA832" s="70" t="s">
        <v>177</v>
      </c>
      <c r="AB832" s="64" t="str">
        <f>IF(AC832&lt;&gt;0,VLOOKUP(AC832,DM_DUAN,3,0),"")</f>
        <v/>
      </c>
      <c r="AC832" s="85"/>
      <c r="AD832" s="64" t="str">
        <f>IF(AC832&lt;&gt;0,VLOOKUP(AC832,DM_NV,2,0),"")</f>
        <v/>
      </c>
      <c r="AE832" s="68"/>
      <c r="AF832" s="64" t="str">
        <f>IF(AE832&lt;&gt;0,VLOOKUP(AE832,DM_NV,2,0),"")</f>
        <v/>
      </c>
    </row>
    <row r="833">
      <c r="A833" s="51"/>
      <c r="B833" s="52" t="str">
        <f>IF(D833="","",VLOOKUP(D833,'THAM CHIẾU'!$A:$B,2,0))</f>
        <v>#N/A</v>
      </c>
      <c r="C833" s="53" t="str">
        <f t="shared" si="4"/>
        <v>04/2022</v>
      </c>
      <c r="D833" s="99">
        <v>44664.0</v>
      </c>
      <c r="E833" s="55" t="s">
        <v>871</v>
      </c>
      <c r="F833" s="56"/>
      <c r="G833" s="57" t="s">
        <v>205</v>
      </c>
      <c r="H833" s="58" t="str">
        <f>IF(G833="","",VLOOKUP($G833,'Quy chuẩn hạch toán'!$B:$E,2,0))</f>
        <v>642</v>
      </c>
      <c r="I833" s="58" t="str">
        <f>IF(H833="","",VLOOKUP($G833,'Quy chuẩn hạch toán'!$B:$E,3,0))</f>
        <v>1111</v>
      </c>
      <c r="J833" s="59">
        <v>14737.0</v>
      </c>
      <c r="K833" s="60"/>
      <c r="L833" s="61"/>
      <c r="M833" s="62"/>
      <c r="N833" s="63"/>
      <c r="O833" s="64" t="str">
        <f>IF($Q833&lt;&gt;0,VLOOKUP($Q833,DM_KM,3,0),"")</f>
        <v>#N/A</v>
      </c>
      <c r="P833" s="64" t="str">
        <f>IF($Q833&lt;&gt;0,VLOOKUP($Q833,DM_KM,5,0),"")</f>
        <v>#N/A</v>
      </c>
      <c r="Q833" s="65" t="s">
        <v>222</v>
      </c>
      <c r="R833" s="64" t="str">
        <f>IF(S833&lt;&gt;0,VLOOKUP(S833,DM_DUAN,3,0),"")</f>
        <v>#N/A</v>
      </c>
      <c r="S833" s="66" t="str">
        <f>IF(U833&lt;&gt;0,VLOOKUP(U833,DM_DUAN,3,0),"")</f>
        <v/>
      </c>
      <c r="T833" s="64"/>
      <c r="U833" s="93"/>
      <c r="V833" s="64" t="str">
        <f>IF(W833&lt;&gt;0,VLOOKUP(W833,DM_DUAN,3,0),"")</f>
        <v/>
      </c>
      <c r="W833" s="68"/>
      <c r="X833" s="64" t="str">
        <f>IF(Y833&lt;&gt;0,VLOOKUP(Y833,DM_DUAN,3,0),"")</f>
        <v>#N/A</v>
      </c>
      <c r="Y833" s="69" t="s">
        <v>207</v>
      </c>
      <c r="Z833" s="64" t="str">
        <f>IF(AA833&lt;&gt;0,VLOOKUP(AA833,DM_DUAN,3,0),"")</f>
        <v>#N/A</v>
      </c>
      <c r="AA833" s="70" t="s">
        <v>210</v>
      </c>
      <c r="AB833" s="64" t="str">
        <f>IF(AC833&lt;&gt;0,VLOOKUP(AC833,DM_DUAN,3,0),"")</f>
        <v/>
      </c>
      <c r="AC833" s="85"/>
      <c r="AD833" s="64" t="str">
        <f>IF(AC833&lt;&gt;0,VLOOKUP(AC833,DM_NV,2,0),"")</f>
        <v/>
      </c>
      <c r="AE833" s="68"/>
      <c r="AF833" s="64" t="str">
        <f>IF(AE833&lt;&gt;0,VLOOKUP(AE833,DM_NV,2,0),"")</f>
        <v/>
      </c>
    </row>
    <row r="834">
      <c r="A834" s="51"/>
      <c r="B834" s="52" t="str">
        <f>IF(D834="","",VLOOKUP(D834,'THAM CHIẾU'!$A:$B,2,0))</f>
        <v>#N/A</v>
      </c>
      <c r="C834" s="53" t="str">
        <f t="shared" si="4"/>
        <v>04/2022</v>
      </c>
      <c r="D834" s="99">
        <v>44664.0</v>
      </c>
      <c r="E834" s="55" t="s">
        <v>872</v>
      </c>
      <c r="F834" s="56"/>
      <c r="G834" s="57" t="s">
        <v>205</v>
      </c>
      <c r="H834" s="58" t="str">
        <f>IF(G834="","",VLOOKUP($G834,'Quy chuẩn hạch toán'!$B:$E,2,0))</f>
        <v>642</v>
      </c>
      <c r="I834" s="58" t="str">
        <f>IF(H834="","",VLOOKUP($G834,'Quy chuẩn hạch toán'!$B:$E,3,0))</f>
        <v>1111</v>
      </c>
      <c r="J834" s="59">
        <v>189474.0</v>
      </c>
      <c r="K834" s="60"/>
      <c r="L834" s="61"/>
      <c r="M834" s="62"/>
      <c r="N834" s="63"/>
      <c r="O834" s="64" t="str">
        <f>IF($Q834&lt;&gt;0,VLOOKUP($Q834,DM_KM,3,0),"")</f>
        <v>#N/A</v>
      </c>
      <c r="P834" s="64" t="str">
        <f>IF($Q834&lt;&gt;0,VLOOKUP($Q834,DM_KM,5,0),"")</f>
        <v>#N/A</v>
      </c>
      <c r="Q834" s="155" t="s">
        <v>573</v>
      </c>
      <c r="R834" s="64" t="str">
        <f>IF(S834&lt;&gt;0,VLOOKUP(S834,DM_DUAN,3,0),"")</f>
        <v>#N/A</v>
      </c>
      <c r="S834" s="66" t="str">
        <f>IF(U834&lt;&gt;0,VLOOKUP(U834,DM_DUAN,3,0),"")</f>
        <v/>
      </c>
      <c r="T834" s="64"/>
      <c r="U834" s="93"/>
      <c r="V834" s="64" t="str">
        <f>IF(W834&lt;&gt;0,VLOOKUP(W834,DM_DUAN,3,0),"")</f>
        <v/>
      </c>
      <c r="W834" s="68"/>
      <c r="X834" s="64" t="str">
        <f>IF(Y834&lt;&gt;0,VLOOKUP(Y834,DM_DUAN,3,0),"")</f>
        <v>#N/A</v>
      </c>
      <c r="Y834" s="69" t="s">
        <v>207</v>
      </c>
      <c r="Z834" s="64" t="str">
        <f>IF(AA834&lt;&gt;0,VLOOKUP(AA834,DM_DUAN,3,0),"")</f>
        <v>#N/A</v>
      </c>
      <c r="AA834" s="70" t="s">
        <v>705</v>
      </c>
      <c r="AB834" s="64" t="str">
        <f>IF(AC834&lt;&gt;0,VLOOKUP(AC834,DM_DUAN,3,0),"")</f>
        <v/>
      </c>
      <c r="AC834" s="85"/>
      <c r="AD834" s="64" t="str">
        <f>IF(AC834&lt;&gt;0,VLOOKUP(AC834,DM_NV,2,0),"")</f>
        <v/>
      </c>
      <c r="AE834" s="83" t="s">
        <v>227</v>
      </c>
      <c r="AF834" s="64" t="str">
        <f>IF(AE834&lt;&gt;0,VLOOKUP(AE834,DM_NV,2,0),"")</f>
        <v>#N/A</v>
      </c>
    </row>
    <row r="835">
      <c r="A835" s="51"/>
      <c r="B835" s="52" t="str">
        <f>IF(D835="","",VLOOKUP(D835,'THAM CHIẾU'!$A:$B,2,0))</f>
        <v>#N/A</v>
      </c>
      <c r="C835" s="53" t="str">
        <f t="shared" si="4"/>
        <v>04/2022</v>
      </c>
      <c r="D835" s="99">
        <v>44664.0</v>
      </c>
      <c r="E835" s="55" t="s">
        <v>872</v>
      </c>
      <c r="F835" s="56"/>
      <c r="G835" s="57" t="s">
        <v>205</v>
      </c>
      <c r="H835" s="58" t="str">
        <f>IF(G835="","",VLOOKUP($G835,'Quy chuẩn hạch toán'!$B:$E,2,0))</f>
        <v>642</v>
      </c>
      <c r="I835" s="58" t="str">
        <f>IF(H835="","",VLOOKUP($G835,'Quy chuẩn hạch toán'!$B:$E,3,0))</f>
        <v>1111</v>
      </c>
      <c r="J835" s="59">
        <v>378947.0</v>
      </c>
      <c r="K835" s="60"/>
      <c r="L835" s="61"/>
      <c r="M835" s="62"/>
      <c r="N835" s="63"/>
      <c r="O835" s="64" t="str">
        <f>IF($Q835&lt;&gt;0,VLOOKUP($Q835,DM_KM,3,0),"")</f>
        <v>#N/A</v>
      </c>
      <c r="P835" s="64" t="str">
        <f>IF($Q835&lt;&gt;0,VLOOKUP($Q835,DM_KM,5,0),"")</f>
        <v>#N/A</v>
      </c>
      <c r="Q835" s="155" t="s">
        <v>573</v>
      </c>
      <c r="R835" s="64" t="str">
        <f>IF(S835&lt;&gt;0,VLOOKUP(S835,DM_DUAN,3,0),"")</f>
        <v>#N/A</v>
      </c>
      <c r="S835" s="66" t="str">
        <f>IF(U835&lt;&gt;0,VLOOKUP(U835,DM_DUAN,3,0),"")</f>
        <v/>
      </c>
      <c r="T835" s="64"/>
      <c r="U835" s="93"/>
      <c r="V835" s="64" t="str">
        <f>IF(W835&lt;&gt;0,VLOOKUP(W835,DM_DUAN,3,0),"")</f>
        <v/>
      </c>
      <c r="W835" s="68"/>
      <c r="X835" s="64" t="str">
        <f>IF(Y835&lt;&gt;0,VLOOKUP(Y835,DM_DUAN,3,0),"")</f>
        <v>#N/A</v>
      </c>
      <c r="Y835" s="69" t="s">
        <v>207</v>
      </c>
      <c r="Z835" s="64" t="str">
        <f>IF(AA835&lt;&gt;0,VLOOKUP(AA835,DM_DUAN,3,0),"")</f>
        <v>#N/A</v>
      </c>
      <c r="AA835" s="70" t="s">
        <v>183</v>
      </c>
      <c r="AB835" s="64" t="str">
        <f>IF(AC835&lt;&gt;0,VLOOKUP(AC835,DM_DUAN,3,0),"")</f>
        <v/>
      </c>
      <c r="AC835" s="85"/>
      <c r="AD835" s="64" t="str">
        <f>IF(AC835&lt;&gt;0,VLOOKUP(AC835,DM_NV,2,0),"")</f>
        <v/>
      </c>
      <c r="AE835" s="83" t="s">
        <v>227</v>
      </c>
      <c r="AF835" s="64" t="str">
        <f>IF(AE835&lt;&gt;0,VLOOKUP(AE835,DM_NV,2,0),"")</f>
        <v>#N/A</v>
      </c>
    </row>
    <row r="836">
      <c r="A836" s="51"/>
      <c r="B836" s="52" t="str">
        <f>IF(D836="","",VLOOKUP(D836,'THAM CHIẾU'!$A:$B,2,0))</f>
        <v>#N/A</v>
      </c>
      <c r="C836" s="53" t="str">
        <f t="shared" si="4"/>
        <v>04/2022</v>
      </c>
      <c r="D836" s="99">
        <v>44664.0</v>
      </c>
      <c r="E836" s="55" t="s">
        <v>872</v>
      </c>
      <c r="F836" s="56"/>
      <c r="G836" s="57" t="s">
        <v>205</v>
      </c>
      <c r="H836" s="58" t="str">
        <f>IF(G836="","",VLOOKUP($G836,'Quy chuẩn hạch toán'!$B:$E,2,0))</f>
        <v>642</v>
      </c>
      <c r="I836" s="58" t="str">
        <f>IF(H836="","",VLOOKUP($G836,'Quy chuẩn hạch toán'!$B:$E,3,0))</f>
        <v>1111</v>
      </c>
      <c r="J836" s="59">
        <v>142105.0</v>
      </c>
      <c r="K836" s="60"/>
      <c r="L836" s="61"/>
      <c r="M836" s="62"/>
      <c r="N836" s="63"/>
      <c r="O836" s="64" t="str">
        <f>IF($Q836&lt;&gt;0,VLOOKUP($Q836,DM_KM,3,0),"")</f>
        <v>#N/A</v>
      </c>
      <c r="P836" s="64" t="str">
        <f>IF($Q836&lt;&gt;0,VLOOKUP($Q836,DM_KM,5,0),"")</f>
        <v>#N/A</v>
      </c>
      <c r="Q836" s="155" t="s">
        <v>573</v>
      </c>
      <c r="R836" s="64" t="str">
        <f>IF(S836&lt;&gt;0,VLOOKUP(S836,DM_DUAN,3,0),"")</f>
        <v>#N/A</v>
      </c>
      <c r="S836" s="66" t="str">
        <f>IF(U836&lt;&gt;0,VLOOKUP(U836,DM_DUAN,3,0),"")</f>
        <v/>
      </c>
      <c r="T836" s="64"/>
      <c r="U836" s="93"/>
      <c r="V836" s="64" t="str">
        <f>IF(W836&lt;&gt;0,VLOOKUP(W836,DM_DUAN,3,0),"")</f>
        <v/>
      </c>
      <c r="W836" s="68"/>
      <c r="X836" s="64" t="str">
        <f>IF(Y836&lt;&gt;0,VLOOKUP(Y836,DM_DUAN,3,0),"")</f>
        <v>#N/A</v>
      </c>
      <c r="Y836" s="69" t="s">
        <v>207</v>
      </c>
      <c r="Z836" s="64" t="str">
        <f>IF(AA836&lt;&gt;0,VLOOKUP(AA836,DM_DUAN,3,0),"")</f>
        <v>#N/A</v>
      </c>
      <c r="AA836" s="70" t="s">
        <v>177</v>
      </c>
      <c r="AB836" s="64" t="str">
        <f>IF(AC836&lt;&gt;0,VLOOKUP(AC836,DM_DUAN,3,0),"")</f>
        <v/>
      </c>
      <c r="AC836" s="85"/>
      <c r="AD836" s="64" t="str">
        <f>IF(AC836&lt;&gt;0,VLOOKUP(AC836,DM_NV,2,0),"")</f>
        <v/>
      </c>
      <c r="AE836" s="83" t="s">
        <v>227</v>
      </c>
      <c r="AF836" s="64" t="str">
        <f>IF(AE836&lt;&gt;0,VLOOKUP(AE836,DM_NV,2,0),"")</f>
        <v>#N/A</v>
      </c>
    </row>
    <row r="837">
      <c r="A837" s="51"/>
      <c r="B837" s="52" t="str">
        <f>IF(D837="","",VLOOKUP(D837,'THAM CHIẾU'!$A:$B,2,0))</f>
        <v>#N/A</v>
      </c>
      <c r="C837" s="53" t="str">
        <f t="shared" si="4"/>
        <v>04/2022</v>
      </c>
      <c r="D837" s="99">
        <v>44664.0</v>
      </c>
      <c r="E837" s="55" t="s">
        <v>872</v>
      </c>
      <c r="F837" s="56"/>
      <c r="G837" s="57" t="s">
        <v>205</v>
      </c>
      <c r="H837" s="58" t="str">
        <f>IF(G837="","",VLOOKUP($G837,'Quy chuẩn hạch toán'!$B:$E,2,0))</f>
        <v>642</v>
      </c>
      <c r="I837" s="58" t="str">
        <f>IF(H837="","",VLOOKUP($G837,'Quy chuẩn hạch toán'!$B:$E,3,0))</f>
        <v>1111</v>
      </c>
      <c r="J837" s="59">
        <v>189474.0</v>
      </c>
      <c r="K837" s="60"/>
      <c r="L837" s="61"/>
      <c r="M837" s="62"/>
      <c r="N837" s="63"/>
      <c r="O837" s="64" t="str">
        <f>IF($Q837&lt;&gt;0,VLOOKUP($Q837,DM_KM,3,0),"")</f>
        <v>#N/A</v>
      </c>
      <c r="P837" s="64" t="str">
        <f>IF($Q837&lt;&gt;0,VLOOKUP($Q837,DM_KM,5,0),"")</f>
        <v>#N/A</v>
      </c>
      <c r="Q837" s="155" t="s">
        <v>573</v>
      </c>
      <c r="R837" s="64" t="str">
        <f>IF(S837&lt;&gt;0,VLOOKUP(S837,DM_DUAN,3,0),"")</f>
        <v>#N/A</v>
      </c>
      <c r="S837" s="66" t="str">
        <f>IF(U837&lt;&gt;0,VLOOKUP(U837,DM_DUAN,3,0),"")</f>
        <v/>
      </c>
      <c r="T837" s="64"/>
      <c r="U837" s="93"/>
      <c r="V837" s="64" t="str">
        <f>IF(W837&lt;&gt;0,VLOOKUP(W837,DM_DUAN,3,0),"")</f>
        <v/>
      </c>
      <c r="W837" s="68"/>
      <c r="X837" s="64" t="str">
        <f>IF(Y837&lt;&gt;0,VLOOKUP(Y837,DM_DUAN,3,0),"")</f>
        <v>#N/A</v>
      </c>
      <c r="Y837" s="69" t="s">
        <v>207</v>
      </c>
      <c r="Z837" s="64" t="str">
        <f>IF(AA837&lt;&gt;0,VLOOKUP(AA837,DM_DUAN,3,0),"")</f>
        <v>#N/A</v>
      </c>
      <c r="AA837" s="70" t="s">
        <v>210</v>
      </c>
      <c r="AB837" s="64" t="str">
        <f>IF(AC837&lt;&gt;0,VLOOKUP(AC837,DM_DUAN,3,0),"")</f>
        <v/>
      </c>
      <c r="AC837" s="85"/>
      <c r="AD837" s="64" t="str">
        <f>IF(AC837&lt;&gt;0,VLOOKUP(AC837,DM_NV,2,0),"")</f>
        <v/>
      </c>
      <c r="AE837" s="83" t="s">
        <v>227</v>
      </c>
      <c r="AF837" s="64" t="str">
        <f>IF(AE837&lt;&gt;0,VLOOKUP(AE837,DM_NV,2,0),"")</f>
        <v>#N/A</v>
      </c>
    </row>
    <row r="838">
      <c r="A838" s="51"/>
      <c r="B838" s="52" t="str">
        <f>IF(D838="","",VLOOKUP(D838,'THAM CHIẾU'!$A:$B,2,0))</f>
        <v>#N/A</v>
      </c>
      <c r="C838" s="53" t="str">
        <f t="shared" si="4"/>
        <v>04/2022</v>
      </c>
      <c r="D838" s="99">
        <v>44664.0</v>
      </c>
      <c r="E838" s="55" t="s">
        <v>873</v>
      </c>
      <c r="F838" s="56"/>
      <c r="G838" s="57" t="s">
        <v>205</v>
      </c>
      <c r="H838" s="58" t="str">
        <f>IF(G838="","",VLOOKUP($G838,'Quy chuẩn hạch toán'!$B:$E,2,0))</f>
        <v>642</v>
      </c>
      <c r="I838" s="58" t="str">
        <f>IF(H838="","",VLOOKUP($G838,'Quy chuẩn hạch toán'!$B:$E,3,0))</f>
        <v>1111</v>
      </c>
      <c r="J838" s="59">
        <v>251579.0</v>
      </c>
      <c r="K838" s="60"/>
      <c r="L838" s="61"/>
      <c r="M838" s="62"/>
      <c r="N838" s="63"/>
      <c r="O838" s="64" t="str">
        <f>IF($Q838&lt;&gt;0,VLOOKUP($Q838,DM_KM,3,0),"")</f>
        <v>#N/A</v>
      </c>
      <c r="P838" s="64" t="str">
        <f>IF($Q838&lt;&gt;0,VLOOKUP($Q838,DM_KM,5,0),"")</f>
        <v>#N/A</v>
      </c>
      <c r="Q838" s="65" t="s">
        <v>272</v>
      </c>
      <c r="R838" s="64" t="str">
        <f>IF(S838&lt;&gt;0,VLOOKUP(S838,DM_DUAN,3,0),"")</f>
        <v>#N/A</v>
      </c>
      <c r="S838" s="66" t="str">
        <f>IF(U838&lt;&gt;0,VLOOKUP(U838,DM_DUAN,3,0),"")</f>
        <v/>
      </c>
      <c r="T838" s="64"/>
      <c r="U838" s="93"/>
      <c r="V838" s="64" t="str">
        <f>IF(W838&lt;&gt;0,VLOOKUP(W838,DM_DUAN,3,0),"")</f>
        <v/>
      </c>
      <c r="W838" s="68"/>
      <c r="X838" s="64" t="str">
        <f>IF(Y838&lt;&gt;0,VLOOKUP(Y838,DM_DUAN,3,0),"")</f>
        <v>#N/A</v>
      </c>
      <c r="Y838" s="69" t="s">
        <v>207</v>
      </c>
      <c r="Z838" s="64" t="str">
        <f>IF(AA838&lt;&gt;0,VLOOKUP(AA838,DM_DUAN,3,0),"")</f>
        <v>#N/A</v>
      </c>
      <c r="AA838" s="70" t="s">
        <v>705</v>
      </c>
      <c r="AB838" s="64" t="str">
        <f>IF(AC838&lt;&gt;0,VLOOKUP(AC838,DM_DUAN,3,0),"")</f>
        <v/>
      </c>
      <c r="AC838" s="85"/>
      <c r="AD838" s="64" t="str">
        <f>IF(AC838&lt;&gt;0,VLOOKUP(AC838,DM_NV,2,0),"")</f>
        <v/>
      </c>
      <c r="AE838" s="83" t="s">
        <v>227</v>
      </c>
      <c r="AF838" s="64" t="str">
        <f>IF(AE838&lt;&gt;0,VLOOKUP(AE838,DM_NV,2,0),"")</f>
        <v>#N/A</v>
      </c>
    </row>
    <row r="839">
      <c r="A839" s="51"/>
      <c r="B839" s="52" t="str">
        <f>IF(D839="","",VLOOKUP(D839,'THAM CHIẾU'!$A:$B,2,0))</f>
        <v>#N/A</v>
      </c>
      <c r="C839" s="53" t="str">
        <f t="shared" si="4"/>
        <v>04/2022</v>
      </c>
      <c r="D839" s="99">
        <v>44664.0</v>
      </c>
      <c r="E839" s="55" t="s">
        <v>873</v>
      </c>
      <c r="F839" s="56"/>
      <c r="G839" s="57" t="s">
        <v>205</v>
      </c>
      <c r="H839" s="58" t="str">
        <f>IF(G839="","",VLOOKUP($G839,'Quy chuẩn hạch toán'!$B:$E,2,0))</f>
        <v>642</v>
      </c>
      <c r="I839" s="58" t="str">
        <f>IF(H839="","",VLOOKUP($G839,'Quy chuẩn hạch toán'!$B:$E,3,0))</f>
        <v>1111</v>
      </c>
      <c r="J839" s="59">
        <v>503158.0</v>
      </c>
      <c r="K839" s="60"/>
      <c r="L839" s="61"/>
      <c r="M839" s="62"/>
      <c r="N839" s="63"/>
      <c r="O839" s="64" t="str">
        <f>IF($Q839&lt;&gt;0,VLOOKUP($Q839,DM_KM,3,0),"")</f>
        <v>#N/A</v>
      </c>
      <c r="P839" s="64" t="str">
        <f>IF($Q839&lt;&gt;0,VLOOKUP($Q839,DM_KM,5,0),"")</f>
        <v>#N/A</v>
      </c>
      <c r="Q839" s="65" t="s">
        <v>272</v>
      </c>
      <c r="R839" s="64" t="str">
        <f>IF(S839&lt;&gt;0,VLOOKUP(S839,DM_DUAN,3,0),"")</f>
        <v>#N/A</v>
      </c>
      <c r="S839" s="66" t="str">
        <f>IF(U839&lt;&gt;0,VLOOKUP(U839,DM_DUAN,3,0),"")</f>
        <v/>
      </c>
      <c r="T839" s="64"/>
      <c r="U839" s="93"/>
      <c r="V839" s="64" t="str">
        <f>IF(W839&lt;&gt;0,VLOOKUP(W839,DM_DUAN,3,0),"")</f>
        <v/>
      </c>
      <c r="W839" s="68"/>
      <c r="X839" s="64" t="str">
        <f>IF(Y839&lt;&gt;0,VLOOKUP(Y839,DM_DUAN,3,0),"")</f>
        <v>#N/A</v>
      </c>
      <c r="Y839" s="69" t="s">
        <v>207</v>
      </c>
      <c r="Z839" s="64" t="str">
        <f>IF(AA839&lt;&gt;0,VLOOKUP(AA839,DM_DUAN,3,0),"")</f>
        <v>#N/A</v>
      </c>
      <c r="AA839" s="70" t="s">
        <v>183</v>
      </c>
      <c r="AB839" s="64" t="str">
        <f>IF(AC839&lt;&gt;0,VLOOKUP(AC839,DM_DUAN,3,0),"")</f>
        <v/>
      </c>
      <c r="AC839" s="85"/>
      <c r="AD839" s="64" t="str">
        <f>IF(AC839&lt;&gt;0,VLOOKUP(AC839,DM_NV,2,0),"")</f>
        <v/>
      </c>
      <c r="AE839" s="83" t="s">
        <v>227</v>
      </c>
      <c r="AF839" s="64" t="str">
        <f>IF(AE839&lt;&gt;0,VLOOKUP(AE839,DM_NV,2,0),"")</f>
        <v>#N/A</v>
      </c>
    </row>
    <row r="840">
      <c r="A840" s="51"/>
      <c r="B840" s="52" t="str">
        <f>IF(D840="","",VLOOKUP(D840,'THAM CHIẾU'!$A:$B,2,0))</f>
        <v>#N/A</v>
      </c>
      <c r="C840" s="53" t="str">
        <f t="shared" si="4"/>
        <v>04/2022</v>
      </c>
      <c r="D840" s="99">
        <v>44664.0</v>
      </c>
      <c r="E840" s="55" t="s">
        <v>873</v>
      </c>
      <c r="F840" s="56"/>
      <c r="G840" s="57" t="s">
        <v>205</v>
      </c>
      <c r="H840" s="58" t="str">
        <f>IF(G840="","",VLOOKUP($G840,'Quy chuẩn hạch toán'!$B:$E,2,0))</f>
        <v>642</v>
      </c>
      <c r="I840" s="58" t="str">
        <f>IF(H840="","",VLOOKUP($G840,'Quy chuẩn hạch toán'!$B:$E,3,0))</f>
        <v>1111</v>
      </c>
      <c r="J840" s="59">
        <v>188684.0</v>
      </c>
      <c r="K840" s="60"/>
      <c r="L840" s="61"/>
      <c r="M840" s="62"/>
      <c r="N840" s="63"/>
      <c r="O840" s="64" t="str">
        <f>IF($Q840&lt;&gt;0,VLOOKUP($Q840,DM_KM,3,0),"")</f>
        <v>#N/A</v>
      </c>
      <c r="P840" s="64" t="str">
        <f>IF($Q840&lt;&gt;0,VLOOKUP($Q840,DM_KM,5,0),"")</f>
        <v>#N/A</v>
      </c>
      <c r="Q840" s="65" t="s">
        <v>272</v>
      </c>
      <c r="R840" s="64" t="str">
        <f>IF(S840&lt;&gt;0,VLOOKUP(S840,DM_DUAN,3,0),"")</f>
        <v>#N/A</v>
      </c>
      <c r="S840" s="66" t="str">
        <f>IF(U840&lt;&gt;0,VLOOKUP(U840,DM_DUAN,3,0),"")</f>
        <v/>
      </c>
      <c r="T840" s="64"/>
      <c r="U840" s="93"/>
      <c r="V840" s="64" t="str">
        <f>IF(W840&lt;&gt;0,VLOOKUP(W840,DM_DUAN,3,0),"")</f>
        <v/>
      </c>
      <c r="W840" s="68"/>
      <c r="X840" s="64" t="str">
        <f>IF(Y840&lt;&gt;0,VLOOKUP(Y840,DM_DUAN,3,0),"")</f>
        <v>#N/A</v>
      </c>
      <c r="Y840" s="69" t="s">
        <v>207</v>
      </c>
      <c r="Z840" s="64" t="str">
        <f>IF(AA840&lt;&gt;0,VLOOKUP(AA840,DM_DUAN,3,0),"")</f>
        <v>#N/A</v>
      </c>
      <c r="AA840" s="70" t="s">
        <v>177</v>
      </c>
      <c r="AB840" s="64" t="str">
        <f>IF(AC840&lt;&gt;0,VLOOKUP(AC840,DM_DUAN,3,0),"")</f>
        <v/>
      </c>
      <c r="AC840" s="85"/>
      <c r="AD840" s="64" t="str">
        <f>IF(AC840&lt;&gt;0,VLOOKUP(AC840,DM_NV,2,0),"")</f>
        <v/>
      </c>
      <c r="AE840" s="83" t="s">
        <v>227</v>
      </c>
      <c r="AF840" s="64" t="str">
        <f>IF(AE840&lt;&gt;0,VLOOKUP(AE840,DM_NV,2,0),"")</f>
        <v>#N/A</v>
      </c>
    </row>
    <row r="841">
      <c r="A841" s="51"/>
      <c r="B841" s="52" t="str">
        <f>IF(D841="","",VLOOKUP(D841,'THAM CHIẾU'!$A:$B,2,0))</f>
        <v>#N/A</v>
      </c>
      <c r="C841" s="53" t="str">
        <f t="shared" si="4"/>
        <v>04/2022</v>
      </c>
      <c r="D841" s="99">
        <v>44664.0</v>
      </c>
      <c r="E841" s="55" t="s">
        <v>873</v>
      </c>
      <c r="F841" s="56"/>
      <c r="G841" s="57" t="s">
        <v>205</v>
      </c>
      <c r="H841" s="58" t="str">
        <f>IF(G841="","",VLOOKUP($G841,'Quy chuẩn hạch toán'!$B:$E,2,0))</f>
        <v>642</v>
      </c>
      <c r="I841" s="58" t="str">
        <f>IF(H841="","",VLOOKUP($G841,'Quy chuẩn hạch toán'!$B:$E,3,0))</f>
        <v>1111</v>
      </c>
      <c r="J841" s="59">
        <v>251579.0</v>
      </c>
      <c r="K841" s="60"/>
      <c r="L841" s="61"/>
      <c r="M841" s="62"/>
      <c r="N841" s="63"/>
      <c r="O841" s="64" t="str">
        <f>IF($Q841&lt;&gt;0,VLOOKUP($Q841,DM_KM,3,0),"")</f>
        <v>#N/A</v>
      </c>
      <c r="P841" s="64" t="str">
        <f>IF($Q841&lt;&gt;0,VLOOKUP($Q841,DM_KM,5,0),"")</f>
        <v>#N/A</v>
      </c>
      <c r="Q841" s="65" t="s">
        <v>272</v>
      </c>
      <c r="R841" s="64" t="str">
        <f>IF(S841&lt;&gt;0,VLOOKUP(S841,DM_DUAN,3,0),"")</f>
        <v>#N/A</v>
      </c>
      <c r="S841" s="66" t="str">
        <f>IF(U841&lt;&gt;0,VLOOKUP(U841,DM_DUAN,3,0),"")</f>
        <v/>
      </c>
      <c r="T841" s="64"/>
      <c r="U841" s="93"/>
      <c r="V841" s="64" t="str">
        <f>IF(W841&lt;&gt;0,VLOOKUP(W841,DM_DUAN,3,0),"")</f>
        <v/>
      </c>
      <c r="W841" s="68"/>
      <c r="X841" s="64" t="str">
        <f>IF(Y841&lt;&gt;0,VLOOKUP(Y841,DM_DUAN,3,0),"")</f>
        <v>#N/A</v>
      </c>
      <c r="Y841" s="69" t="s">
        <v>207</v>
      </c>
      <c r="Z841" s="64" t="str">
        <f>IF(AA841&lt;&gt;0,VLOOKUP(AA841,DM_DUAN,3,0),"")</f>
        <v>#N/A</v>
      </c>
      <c r="AA841" s="70" t="s">
        <v>210</v>
      </c>
      <c r="AB841" s="64" t="str">
        <f>IF(AC841&lt;&gt;0,VLOOKUP(AC841,DM_DUAN,3,0),"")</f>
        <v/>
      </c>
      <c r="AC841" s="85"/>
      <c r="AD841" s="64" t="str">
        <f>IF(AC841&lt;&gt;0,VLOOKUP(AC841,DM_NV,2,0),"")</f>
        <v/>
      </c>
      <c r="AE841" s="83" t="s">
        <v>227</v>
      </c>
      <c r="AF841" s="64" t="str">
        <f>IF(AE841&lt;&gt;0,VLOOKUP(AE841,DM_NV,2,0),"")</f>
        <v>#N/A</v>
      </c>
    </row>
    <row r="842">
      <c r="A842" s="51"/>
      <c r="B842" s="52" t="str">
        <f>IF(D842="","",VLOOKUP(D842,'THAM CHIẾU'!$A:$B,2,0))</f>
        <v>#N/A</v>
      </c>
      <c r="C842" s="53" t="str">
        <f t="shared" si="4"/>
        <v>04/2022</v>
      </c>
      <c r="D842" s="99">
        <v>44664.0</v>
      </c>
      <c r="E842" s="55" t="s">
        <v>874</v>
      </c>
      <c r="F842" s="56"/>
      <c r="G842" s="57" t="s">
        <v>173</v>
      </c>
      <c r="H842" s="58" t="str">
        <f>IF(G842="","",VLOOKUP($G842,'Quy chuẩn hạch toán'!$B:$E,2,0))</f>
        <v>641</v>
      </c>
      <c r="I842" s="58" t="str">
        <f>IF(H842="","",VLOOKUP($G842,'Quy chuẩn hạch toán'!$B:$E,3,0))</f>
        <v>331</v>
      </c>
      <c r="J842" s="59">
        <v>2720000.0</v>
      </c>
      <c r="K842" s="60"/>
      <c r="L842" s="61"/>
      <c r="M842" s="62"/>
      <c r="N842" s="63"/>
      <c r="O842" s="64" t="str">
        <f>IF($Q842&lt;&gt;0,VLOOKUP($Q842,DM_KM,3,0),"")</f>
        <v>#N/A</v>
      </c>
      <c r="P842" s="64" t="str">
        <f>IF($Q842&lt;&gt;0,VLOOKUP($Q842,DM_KM,5,0),"")</f>
        <v>#N/A</v>
      </c>
      <c r="Q842" s="65" t="s">
        <v>174</v>
      </c>
      <c r="R842" s="64" t="str">
        <f>IF(S842&lt;&gt;0,VLOOKUP(S842,DM_DUAN,3,0),"")</f>
        <v>#N/A</v>
      </c>
      <c r="S842" s="66" t="str">
        <f>IF(U842&lt;&gt;0,VLOOKUP(U842,DM_DUAN,3,0),"")</f>
        <v>KIMCUONGLAND</v>
      </c>
      <c r="T842" s="64"/>
      <c r="U842" s="67" t="s">
        <v>875</v>
      </c>
      <c r="V842" s="64" t="str">
        <f>IF(W842&lt;&gt;0,VLOOKUP(W842,DM_DUAN,3,0),"")</f>
        <v/>
      </c>
      <c r="W842" s="68"/>
      <c r="X842" s="64" t="str">
        <f>IF(Y842&lt;&gt;0,VLOOKUP(Y842,DM_DUAN,3,0),"")</f>
        <v>#N/A</v>
      </c>
      <c r="Y842" s="69" t="s">
        <v>176</v>
      </c>
      <c r="Z842" s="64" t="str">
        <f>IF(AA842&lt;&gt;0,VLOOKUP(AA842,DM_DUAN,3,0),"")</f>
        <v>#N/A</v>
      </c>
      <c r="AA842" s="70" t="s">
        <v>705</v>
      </c>
      <c r="AB842" s="64" t="str">
        <f>IF(AC842&lt;&gt;0,VLOOKUP(AC842,DM_DUAN,3,0),"")</f>
        <v/>
      </c>
      <c r="AC842" s="85"/>
      <c r="AD842" s="64" t="str">
        <f>IF(AC842&lt;&gt;0,VLOOKUP(AC842,DM_NV,2,0),"")</f>
        <v/>
      </c>
      <c r="AE842" s="68"/>
      <c r="AF842" s="64" t="str">
        <f>IF(AE842&lt;&gt;0,VLOOKUP(AE842,DM_NV,2,0),"")</f>
        <v/>
      </c>
    </row>
    <row r="843">
      <c r="A843" s="51"/>
      <c r="B843" s="52" t="str">
        <f>IF(D843="","",VLOOKUP(D843,'THAM CHIẾU'!$A:$B,2,0))</f>
        <v>#N/A</v>
      </c>
      <c r="C843" s="53" t="str">
        <f t="shared" si="4"/>
        <v>04/2022</v>
      </c>
      <c r="D843" s="99">
        <v>44664.0</v>
      </c>
      <c r="E843" s="55" t="s">
        <v>876</v>
      </c>
      <c r="F843" s="56"/>
      <c r="G843" s="57" t="s">
        <v>173</v>
      </c>
      <c r="H843" s="58" t="str">
        <f>IF(G843="","",VLOOKUP($G843,'Quy chuẩn hạch toán'!$B:$E,2,0))</f>
        <v>641</v>
      </c>
      <c r="I843" s="58" t="str">
        <f>IF(H843="","",VLOOKUP($G843,'Quy chuẩn hạch toán'!$B:$E,3,0))</f>
        <v>331</v>
      </c>
      <c r="J843" s="59">
        <v>2684000.0</v>
      </c>
      <c r="K843" s="60"/>
      <c r="L843" s="61"/>
      <c r="M843" s="62"/>
      <c r="N843" s="63"/>
      <c r="O843" s="64" t="str">
        <f>IF($Q843&lt;&gt;0,VLOOKUP($Q843,DM_KM,3,0),"")</f>
        <v>#N/A</v>
      </c>
      <c r="P843" s="64" t="str">
        <f>IF($Q843&lt;&gt;0,VLOOKUP($Q843,DM_KM,5,0),"")</f>
        <v>#N/A</v>
      </c>
      <c r="Q843" s="65" t="s">
        <v>174</v>
      </c>
      <c r="R843" s="64" t="str">
        <f>IF(S843&lt;&gt;0,VLOOKUP(S843,DM_DUAN,3,0),"")</f>
        <v>#N/A</v>
      </c>
      <c r="S843" s="66" t="str">
        <f>IF(U843&lt;&gt;0,VLOOKUP(U843,DM_DUAN,3,0),"")</f>
        <v>KIMCUONGLAND</v>
      </c>
      <c r="T843" s="64"/>
      <c r="U843" s="67" t="s">
        <v>638</v>
      </c>
      <c r="V843" s="64" t="str">
        <f>IF(W843&lt;&gt;0,VLOOKUP(W843,DM_DUAN,3,0),"")</f>
        <v/>
      </c>
      <c r="W843" s="68"/>
      <c r="X843" s="64" t="str">
        <f>IF(Y843&lt;&gt;0,VLOOKUP(Y843,DM_DUAN,3,0),"")</f>
        <v>#N/A</v>
      </c>
      <c r="Y843" s="69" t="s">
        <v>176</v>
      </c>
      <c r="Z843" s="64" t="str">
        <f>IF(AA843&lt;&gt;0,VLOOKUP(AA843,DM_DUAN,3,0),"")</f>
        <v>#N/A</v>
      </c>
      <c r="AA843" s="70" t="s">
        <v>177</v>
      </c>
      <c r="AB843" s="64" t="str">
        <f>IF(AC843&lt;&gt;0,VLOOKUP(AC843,DM_DUAN,3,0),"")</f>
        <v/>
      </c>
      <c r="AC843" s="85"/>
      <c r="AD843" s="64" t="str">
        <f>IF(AC843&lt;&gt;0,VLOOKUP(AC843,DM_NV,2,0),"")</f>
        <v/>
      </c>
      <c r="AE843" s="68"/>
      <c r="AF843" s="64" t="str">
        <f>IF(AE843&lt;&gt;0,VLOOKUP(AE843,DM_NV,2,0),"")</f>
        <v/>
      </c>
    </row>
    <row r="844">
      <c r="A844" s="51"/>
      <c r="B844" s="52" t="str">
        <f>IF(D844="","",VLOOKUP(D844,'THAM CHIẾU'!$A:$B,2,0))</f>
        <v>#N/A</v>
      </c>
      <c r="C844" s="53" t="str">
        <f t="shared" si="4"/>
        <v>04/2022</v>
      </c>
      <c r="D844" s="99">
        <v>44665.0</v>
      </c>
      <c r="E844" s="55" t="s">
        <v>877</v>
      </c>
      <c r="F844" s="56"/>
      <c r="G844" s="57" t="s">
        <v>205</v>
      </c>
      <c r="H844" s="58" t="str">
        <f>IF(G844="","",VLOOKUP($G844,'Quy chuẩn hạch toán'!$B:$E,2,0))</f>
        <v>642</v>
      </c>
      <c r="I844" s="58" t="str">
        <f>IF(H844="","",VLOOKUP($G844,'Quy chuẩn hạch toán'!$B:$E,3,0))</f>
        <v>1111</v>
      </c>
      <c r="J844" s="59">
        <v>327579.0</v>
      </c>
      <c r="K844" s="60"/>
      <c r="L844" s="61"/>
      <c r="M844" s="62"/>
      <c r="N844" s="63"/>
      <c r="O844" s="64" t="str">
        <f>IF($Q844&lt;&gt;0,VLOOKUP($Q844,DM_KM,3,0),"")</f>
        <v>#N/A</v>
      </c>
      <c r="P844" s="64" t="str">
        <f>IF($Q844&lt;&gt;0,VLOOKUP($Q844,DM_KM,5,0),"")</f>
        <v>#N/A</v>
      </c>
      <c r="Q844" s="65" t="s">
        <v>262</v>
      </c>
      <c r="R844" s="64" t="str">
        <f>IF(S844&lt;&gt;0,VLOOKUP(S844,DM_DUAN,3,0),"")</f>
        <v>#N/A</v>
      </c>
      <c r="S844" s="66" t="str">
        <f>IF(U844&lt;&gt;0,VLOOKUP(U844,DM_DUAN,3,0),"")</f>
        <v/>
      </c>
      <c r="T844" s="64"/>
      <c r="U844" s="93"/>
      <c r="V844" s="64" t="str">
        <f>IF(W844&lt;&gt;0,VLOOKUP(W844,DM_DUAN,3,0),"")</f>
        <v/>
      </c>
      <c r="W844" s="68"/>
      <c r="X844" s="64" t="str">
        <f>IF(Y844&lt;&gt;0,VLOOKUP(Y844,DM_DUAN,3,0),"")</f>
        <v>#N/A</v>
      </c>
      <c r="Y844" s="69" t="s">
        <v>207</v>
      </c>
      <c r="Z844" s="64" t="str">
        <f>IF(AA844&lt;&gt;0,VLOOKUP(AA844,DM_DUAN,3,0),"")</f>
        <v>#N/A</v>
      </c>
      <c r="AA844" s="70" t="s">
        <v>705</v>
      </c>
      <c r="AB844" s="64" t="str">
        <f>IF(AC844&lt;&gt;0,VLOOKUP(AC844,DM_DUAN,3,0),"")</f>
        <v/>
      </c>
      <c r="AC844" s="85"/>
      <c r="AD844" s="64" t="str">
        <f>IF(AC844&lt;&gt;0,VLOOKUP(AC844,DM_NV,2,0),"")</f>
        <v/>
      </c>
      <c r="AE844" s="83" t="s">
        <v>263</v>
      </c>
      <c r="AF844" s="64" t="str">
        <f>IF(AE844&lt;&gt;0,VLOOKUP(AE844,DM_NV,2,0),"")</f>
        <v>#N/A</v>
      </c>
    </row>
    <row r="845">
      <c r="A845" s="51"/>
      <c r="B845" s="52" t="str">
        <f>IF(D845="","",VLOOKUP(D845,'THAM CHIẾU'!$A:$B,2,0))</f>
        <v>#N/A</v>
      </c>
      <c r="C845" s="53" t="str">
        <f t="shared" si="4"/>
        <v>04/2022</v>
      </c>
      <c r="D845" s="99">
        <v>44665.0</v>
      </c>
      <c r="E845" s="125" t="s">
        <v>877</v>
      </c>
      <c r="F845" s="126"/>
      <c r="G845" s="57" t="s">
        <v>205</v>
      </c>
      <c r="H845" s="58" t="str">
        <f>IF(G845="","",VLOOKUP($G845,'Quy chuẩn hạch toán'!$B:$E,2,0))</f>
        <v>642</v>
      </c>
      <c r="I845" s="58" t="str">
        <f>IF(H845="","",VLOOKUP($G845,'Quy chuẩn hạch toán'!$B:$E,3,0))</f>
        <v>1111</v>
      </c>
      <c r="J845" s="59">
        <v>655158.0</v>
      </c>
      <c r="K845" s="60"/>
      <c r="L845" s="61"/>
      <c r="M845" s="62"/>
      <c r="N845" s="63"/>
      <c r="O845" s="64" t="str">
        <f>IF($Q845&lt;&gt;0,VLOOKUP($Q845,DM_KM,3,0),"")</f>
        <v>#N/A</v>
      </c>
      <c r="P845" s="64" t="str">
        <f>IF($Q845&lt;&gt;0,VLOOKUP($Q845,DM_KM,5,0),"")</f>
        <v>#N/A</v>
      </c>
      <c r="Q845" s="65" t="s">
        <v>262</v>
      </c>
      <c r="R845" s="64" t="str">
        <f>IF(S845&lt;&gt;0,VLOOKUP(S845,DM_DUAN,3,0),"")</f>
        <v>#N/A</v>
      </c>
      <c r="S845" s="66" t="str">
        <f>IF(U845&lt;&gt;0,VLOOKUP(U845,DM_DUAN,3,0),"")</f>
        <v/>
      </c>
      <c r="T845" s="64"/>
      <c r="U845" s="93"/>
      <c r="V845" s="64" t="str">
        <f>IF(W845&lt;&gt;0,VLOOKUP(W845,DM_DUAN,3,0),"")</f>
        <v/>
      </c>
      <c r="W845" s="68"/>
      <c r="X845" s="64" t="str">
        <f>IF(Y845&lt;&gt;0,VLOOKUP(Y845,DM_DUAN,3,0),"")</f>
        <v>#N/A</v>
      </c>
      <c r="Y845" s="69" t="s">
        <v>207</v>
      </c>
      <c r="Z845" s="64" t="str">
        <f>IF(AA845&lt;&gt;0,VLOOKUP(AA845,DM_DUAN,3,0),"")</f>
        <v>#N/A</v>
      </c>
      <c r="AA845" s="70" t="s">
        <v>183</v>
      </c>
      <c r="AB845" s="64" t="str">
        <f>IF(AC845&lt;&gt;0,VLOOKUP(AC845,DM_DUAN,3,0),"")</f>
        <v/>
      </c>
      <c r="AC845" s="85"/>
      <c r="AD845" s="64" t="str">
        <f>IF(AC845&lt;&gt;0,VLOOKUP(AC845,DM_NV,2,0),"")</f>
        <v/>
      </c>
      <c r="AE845" s="83" t="s">
        <v>263</v>
      </c>
      <c r="AF845" s="64" t="str">
        <f>IF(AE845&lt;&gt;0,VLOOKUP(AE845,DM_NV,2,0),"")</f>
        <v>#N/A</v>
      </c>
    </row>
    <row r="846">
      <c r="A846" s="51"/>
      <c r="B846" s="52" t="str">
        <f>IF(D846="","",VLOOKUP(D846,'THAM CHIẾU'!$A:$B,2,0))</f>
        <v>#N/A</v>
      </c>
      <c r="C846" s="53" t="str">
        <f t="shared" si="4"/>
        <v>04/2022</v>
      </c>
      <c r="D846" s="99">
        <v>44665.0</v>
      </c>
      <c r="E846" s="115" t="s">
        <v>877</v>
      </c>
      <c r="F846" s="108"/>
      <c r="G846" s="57" t="s">
        <v>205</v>
      </c>
      <c r="H846" s="58" t="str">
        <f>IF(G846="","",VLOOKUP($G846,'Quy chuẩn hạch toán'!$B:$E,2,0))</f>
        <v>642</v>
      </c>
      <c r="I846" s="58" t="str">
        <f>IF(H846="","",VLOOKUP($G846,'Quy chuẩn hạch toán'!$B:$E,3,0))</f>
        <v>1111</v>
      </c>
      <c r="J846" s="59">
        <v>245684.0</v>
      </c>
      <c r="K846" s="60"/>
      <c r="L846" s="61"/>
      <c r="M846" s="62"/>
      <c r="N846" s="63"/>
      <c r="O846" s="64" t="str">
        <f>IF($Q846&lt;&gt;0,VLOOKUP($Q846,DM_KM,3,0),"")</f>
        <v>#N/A</v>
      </c>
      <c r="P846" s="64" t="str">
        <f>IF($Q846&lt;&gt;0,VLOOKUP($Q846,DM_KM,5,0),"")</f>
        <v>#N/A</v>
      </c>
      <c r="Q846" s="65" t="s">
        <v>262</v>
      </c>
      <c r="R846" s="64" t="str">
        <f>IF(S846&lt;&gt;0,VLOOKUP(S846,DM_DUAN,3,0),"")</f>
        <v>#N/A</v>
      </c>
      <c r="S846" s="66" t="str">
        <f>IF(U846&lt;&gt;0,VLOOKUP(U846,DM_DUAN,3,0),"")</f>
        <v/>
      </c>
      <c r="T846" s="64"/>
      <c r="U846" s="93"/>
      <c r="V846" s="64" t="str">
        <f>IF(W846&lt;&gt;0,VLOOKUP(W846,DM_DUAN,3,0),"")</f>
        <v/>
      </c>
      <c r="W846" s="68"/>
      <c r="X846" s="64" t="str">
        <f>IF(Y846&lt;&gt;0,VLOOKUP(Y846,DM_DUAN,3,0),"")</f>
        <v>#N/A</v>
      </c>
      <c r="Y846" s="69" t="s">
        <v>207</v>
      </c>
      <c r="Z846" s="64" t="str">
        <f>IF(AA846&lt;&gt;0,VLOOKUP(AA846,DM_DUAN,3,0),"")</f>
        <v>#N/A</v>
      </c>
      <c r="AA846" s="70" t="s">
        <v>177</v>
      </c>
      <c r="AB846" s="64" t="str">
        <f>IF(AC846&lt;&gt;0,VLOOKUP(AC846,DM_DUAN,3,0),"")</f>
        <v/>
      </c>
      <c r="AC846" s="85"/>
      <c r="AD846" s="64" t="str">
        <f>IF(AC846&lt;&gt;0,VLOOKUP(AC846,DM_NV,2,0),"")</f>
        <v/>
      </c>
      <c r="AE846" s="83" t="s">
        <v>263</v>
      </c>
      <c r="AF846" s="64" t="str">
        <f>IF(AE846&lt;&gt;0,VLOOKUP(AE846,DM_NV,2,0),"")</f>
        <v>#N/A</v>
      </c>
    </row>
    <row r="847">
      <c r="A847" s="51"/>
      <c r="B847" s="52" t="str">
        <f>IF(D847="","",VLOOKUP(D847,'THAM CHIẾU'!$A:$B,2,0))</f>
        <v>#N/A</v>
      </c>
      <c r="C847" s="53" t="str">
        <f t="shared" si="4"/>
        <v>04/2022</v>
      </c>
      <c r="D847" s="99">
        <v>44665.0</v>
      </c>
      <c r="E847" s="115" t="s">
        <v>877</v>
      </c>
      <c r="F847" s="108"/>
      <c r="G847" s="57" t="s">
        <v>205</v>
      </c>
      <c r="H847" s="58" t="str">
        <f>IF(G847="","",VLOOKUP($G847,'Quy chuẩn hạch toán'!$B:$E,2,0))</f>
        <v>642</v>
      </c>
      <c r="I847" s="58" t="str">
        <f>IF(H847="","",VLOOKUP($G847,'Quy chuẩn hạch toán'!$B:$E,3,0))</f>
        <v>1111</v>
      </c>
      <c r="J847" s="59">
        <v>327579.0</v>
      </c>
      <c r="K847" s="60"/>
      <c r="L847" s="61"/>
      <c r="M847" s="62"/>
      <c r="N847" s="63"/>
      <c r="O847" s="64" t="str">
        <f>IF($Q847&lt;&gt;0,VLOOKUP($Q847,DM_KM,3,0),"")</f>
        <v>#N/A</v>
      </c>
      <c r="P847" s="64" t="str">
        <f>IF($Q847&lt;&gt;0,VLOOKUP($Q847,DM_KM,5,0),"")</f>
        <v>#N/A</v>
      </c>
      <c r="Q847" s="65" t="s">
        <v>262</v>
      </c>
      <c r="R847" s="64" t="str">
        <f>IF(S847&lt;&gt;0,VLOOKUP(S847,DM_DUAN,3,0),"")</f>
        <v>#N/A</v>
      </c>
      <c r="S847" s="66" t="str">
        <f>IF(U847&lt;&gt;0,VLOOKUP(U847,DM_DUAN,3,0),"")</f>
        <v/>
      </c>
      <c r="T847" s="64"/>
      <c r="U847" s="93"/>
      <c r="V847" s="64" t="str">
        <f>IF(W847&lt;&gt;0,VLOOKUP(W847,DM_DUAN,3,0),"")</f>
        <v/>
      </c>
      <c r="W847" s="68"/>
      <c r="X847" s="64" t="str">
        <f>IF(Y847&lt;&gt;0,VLOOKUP(Y847,DM_DUAN,3,0),"")</f>
        <v>#N/A</v>
      </c>
      <c r="Y847" s="69" t="s">
        <v>207</v>
      </c>
      <c r="Z847" s="64" t="str">
        <f>IF(AA847&lt;&gt;0,VLOOKUP(AA847,DM_DUAN,3,0),"")</f>
        <v>#N/A</v>
      </c>
      <c r="AA847" s="70" t="s">
        <v>210</v>
      </c>
      <c r="AB847" s="64" t="str">
        <f>IF(AC847&lt;&gt;0,VLOOKUP(AC847,DM_DUAN,3,0),"")</f>
        <v/>
      </c>
      <c r="AC847" s="85"/>
      <c r="AD847" s="64" t="str">
        <f>IF(AC847&lt;&gt;0,VLOOKUP(AC847,DM_NV,2,0),"")</f>
        <v/>
      </c>
      <c r="AE847" s="83" t="s">
        <v>263</v>
      </c>
      <c r="AF847" s="64" t="str">
        <f>IF(AE847&lt;&gt;0,VLOOKUP(AE847,DM_NV,2,0),"")</f>
        <v>#N/A</v>
      </c>
    </row>
    <row r="848">
      <c r="A848" s="51"/>
      <c r="B848" s="52" t="str">
        <f>IF(D848="","",VLOOKUP(D848,'THAM CHIẾU'!$A:$B,2,0))</f>
        <v>#N/A</v>
      </c>
      <c r="C848" s="53" t="str">
        <f t="shared" si="4"/>
        <v>04/2022</v>
      </c>
      <c r="D848" s="99">
        <v>44665.0</v>
      </c>
      <c r="E848" s="125" t="s">
        <v>878</v>
      </c>
      <c r="F848" s="126"/>
      <c r="G848" s="137" t="s">
        <v>879</v>
      </c>
      <c r="H848" s="58" t="str">
        <f>IF(G848="","",VLOOKUP($G848,'Quy chuẩn hạch toán'!$B:$E,2,0))</f>
        <v>154</v>
      </c>
      <c r="I848" s="58" t="str">
        <f>IF(H848="","",VLOOKUP($G848,'Quy chuẩn hạch toán'!$B:$E,3,0))</f>
        <v>1111</v>
      </c>
      <c r="J848" s="59">
        <v>166000.0</v>
      </c>
      <c r="K848" s="60"/>
      <c r="L848" s="61"/>
      <c r="M848" s="62"/>
      <c r="N848" s="63"/>
      <c r="O848" s="64" t="str">
        <f>IF($Q848&lt;&gt;0,VLOOKUP($Q848,DM_KM,3,0),"")</f>
        <v>#N/A</v>
      </c>
      <c r="P848" s="64" t="str">
        <f>IF($Q848&lt;&gt;0,VLOOKUP($Q848,DM_KM,5,0),"")</f>
        <v>#N/A</v>
      </c>
      <c r="Q848" s="65" t="s">
        <v>419</v>
      </c>
      <c r="R848" s="64" t="str">
        <f>IF(S848&lt;&gt;0,VLOOKUP(S848,DM_DUAN,3,0),"")</f>
        <v>#N/A</v>
      </c>
      <c r="S848" s="66" t="str">
        <f>IF(U848&lt;&gt;0,VLOOKUP(U848,DM_DUAN,3,0),"")</f>
        <v/>
      </c>
      <c r="T848" s="64"/>
      <c r="U848" s="93"/>
      <c r="V848" s="64" t="str">
        <f>IF(W848&lt;&gt;0,VLOOKUP(W848,DM_DUAN,3,0),"")</f>
        <v/>
      </c>
      <c r="W848" s="68"/>
      <c r="X848" s="64" t="str">
        <f>IF(Y848&lt;&gt;0,VLOOKUP(Y848,DM_DUAN,3,0),"")</f>
        <v>#N/A</v>
      </c>
      <c r="Y848" s="69" t="s">
        <v>207</v>
      </c>
      <c r="Z848" s="64" t="str">
        <f>IF(AA848&lt;&gt;0,VLOOKUP(AA848,DM_DUAN,3,0),"")</f>
        <v>#N/A</v>
      </c>
      <c r="AA848" s="70" t="s">
        <v>810</v>
      </c>
      <c r="AB848" s="64" t="str">
        <f>IF(AC848&lt;&gt;0,VLOOKUP(AC848,DM_DUAN,3,0),"")</f>
        <v/>
      </c>
      <c r="AC848" s="85"/>
      <c r="AD848" s="64" t="str">
        <f>IF(AC848&lt;&gt;0,VLOOKUP(AC848,DM_NV,2,0),"")</f>
        <v/>
      </c>
      <c r="AE848" s="68"/>
      <c r="AF848" s="64" t="str">
        <f>IF(AE848&lt;&gt;0,VLOOKUP(AE848,DM_NV,2,0),"")</f>
        <v/>
      </c>
    </row>
    <row r="849">
      <c r="A849" s="51"/>
      <c r="B849" s="52" t="str">
        <f>IF(D849="","",VLOOKUP(D849,'THAM CHIẾU'!$A:$B,2,0))</f>
        <v>#N/A</v>
      </c>
      <c r="C849" s="53" t="str">
        <f t="shared" si="4"/>
        <v>04/2022</v>
      </c>
      <c r="D849" s="99">
        <v>44665.0</v>
      </c>
      <c r="E849" s="115" t="s">
        <v>880</v>
      </c>
      <c r="F849" s="108"/>
      <c r="G849" s="57" t="s">
        <v>205</v>
      </c>
      <c r="H849" s="58" t="str">
        <f>IF(G849="","",VLOOKUP($G849,'Quy chuẩn hạch toán'!$B:$E,2,0))</f>
        <v>642</v>
      </c>
      <c r="I849" s="58" t="str">
        <f>IF(H849="","",VLOOKUP($G849,'Quy chuẩn hạch toán'!$B:$E,3,0))</f>
        <v>1111</v>
      </c>
      <c r="J849" s="59">
        <v>160000.0</v>
      </c>
      <c r="K849" s="60"/>
      <c r="L849" s="61"/>
      <c r="M849" s="62"/>
      <c r="N849" s="63"/>
      <c r="O849" s="64" t="str">
        <f>IF($Q849&lt;&gt;0,VLOOKUP($Q849,DM_KM,3,0),"")</f>
        <v>VHVP</v>
      </c>
      <c r="P849" s="64">
        <f>IF($Q849&lt;&gt;0,VLOOKUP($Q849,DM_KM,5,0),"")</f>
        <v>642</v>
      </c>
      <c r="Q849" s="65" t="s">
        <v>382</v>
      </c>
      <c r="R849" s="64" t="str">
        <f>IF(S849&lt;&gt;0,VLOOKUP(S849,DM_DUAN,3,0),"")</f>
        <v>#N/A</v>
      </c>
      <c r="S849" s="66" t="str">
        <f>IF(U849&lt;&gt;0,VLOOKUP(U849,DM_DUAN,3,0),"")</f>
        <v/>
      </c>
      <c r="T849" s="64"/>
      <c r="U849" s="93"/>
      <c r="V849" s="64" t="str">
        <f>IF(W849&lt;&gt;0,VLOOKUP(W849,DM_DUAN,3,0),"")</f>
        <v/>
      </c>
      <c r="W849" s="68"/>
      <c r="X849" s="64" t="str">
        <f>IF(Y849&lt;&gt;0,VLOOKUP(Y849,DM_DUAN,3,0),"")</f>
        <v>#N/A</v>
      </c>
      <c r="Y849" s="69" t="s">
        <v>207</v>
      </c>
      <c r="Z849" s="64" t="str">
        <f>IF(AA849&lt;&gt;0,VLOOKUP(AA849,DM_DUAN,3,0),"")</f>
        <v>#N/A</v>
      </c>
      <c r="AA849" s="70" t="s">
        <v>177</v>
      </c>
      <c r="AB849" s="64" t="str">
        <f>IF(AC849&lt;&gt;0,VLOOKUP(AC849,DM_DUAN,3,0),"")</f>
        <v/>
      </c>
      <c r="AC849" s="85"/>
      <c r="AD849" s="64" t="str">
        <f>IF(AC849&lt;&gt;0,VLOOKUP(AC849,DM_NV,2,0),"")</f>
        <v/>
      </c>
      <c r="AE849" s="83" t="s">
        <v>263</v>
      </c>
      <c r="AF849" s="64" t="str">
        <f>IF(AE849&lt;&gt;0,VLOOKUP(AE849,DM_NV,2,0),"")</f>
        <v>#N/A</v>
      </c>
    </row>
    <row r="850">
      <c r="A850" s="51"/>
      <c r="B850" s="52" t="str">
        <f>IF(D850="","",VLOOKUP(D850,'THAM CHIẾU'!$A:$B,2,0))</f>
        <v>#N/A</v>
      </c>
      <c r="C850" s="53" t="str">
        <f t="shared" si="4"/>
        <v>04/2022</v>
      </c>
      <c r="D850" s="99">
        <v>44666.0</v>
      </c>
      <c r="E850" s="115" t="s">
        <v>881</v>
      </c>
      <c r="F850" s="108"/>
      <c r="G850" s="57" t="s">
        <v>275</v>
      </c>
      <c r="H850" s="58" t="str">
        <f>IF(G850="","",VLOOKUP($G850,'Quy chuẩn hạch toán'!$B:$E,2,0))</f>
        <v>3341</v>
      </c>
      <c r="I850" s="58" t="str">
        <f>IF(H850="","",VLOOKUP($G850,'Quy chuẩn hạch toán'!$B:$E,3,0))</f>
        <v>1111</v>
      </c>
      <c r="J850" s="59">
        <v>2.1375E7</v>
      </c>
      <c r="K850" s="60"/>
      <c r="L850" s="61"/>
      <c r="M850" s="62"/>
      <c r="N850" s="63"/>
      <c r="O850" s="64" t="str">
        <f>IF($Q850&lt;&gt;0,VLOOKUP($Q850,DM_KM,3,0),"")</f>
        <v/>
      </c>
      <c r="P850" s="64" t="str">
        <f>IF($Q850&lt;&gt;0,VLOOKUP($Q850,DM_KM,5,0),"")</f>
        <v/>
      </c>
      <c r="Q850" s="89"/>
      <c r="R850" s="64" t="str">
        <f>IF(S850&lt;&gt;0,VLOOKUP(S850,DM_DUAN,3,0),"")</f>
        <v>#N/A</v>
      </c>
      <c r="S850" s="66" t="str">
        <f>IF(U850&lt;&gt;0,VLOOKUP(U850,DM_DUAN,3,0),"")</f>
        <v>KIMCUONGLAND</v>
      </c>
      <c r="T850" s="64"/>
      <c r="U850" s="67" t="s">
        <v>638</v>
      </c>
      <c r="V850" s="64" t="str">
        <f>IF(W850&lt;&gt;0,VLOOKUP(W850,DM_DUAN,3,0),"")</f>
        <v>#N/A</v>
      </c>
      <c r="W850" s="83" t="s">
        <v>844</v>
      </c>
      <c r="X850" s="64" t="str">
        <f>IF(Y850&lt;&gt;0,VLOOKUP(Y850,DM_DUAN,3,0),"")</f>
        <v>#N/A</v>
      </c>
      <c r="Y850" s="69" t="s">
        <v>176</v>
      </c>
      <c r="Z850" s="64" t="str">
        <f>IF(AA850&lt;&gt;0,VLOOKUP(AA850,DM_DUAN,3,0),"")</f>
        <v>#N/A</v>
      </c>
      <c r="AA850" s="70" t="s">
        <v>705</v>
      </c>
      <c r="AB850" s="64" t="str">
        <f>IF(AC850&lt;&gt;0,VLOOKUP(AC850,DM_DUAN,3,0),"")</f>
        <v>#N/A</v>
      </c>
      <c r="AC850" s="70" t="s">
        <v>772</v>
      </c>
      <c r="AD850" s="64" t="str">
        <f>IF(AC850&lt;&gt;0,VLOOKUP(AC850,DM_NV,2,0),"")</f>
        <v>Phan Tấn Đạt</v>
      </c>
      <c r="AE850" s="83" t="s">
        <v>276</v>
      </c>
      <c r="AF850" s="64" t="str">
        <f>IF(AE850&lt;&gt;0,VLOOKUP(AE850,DM_NV,2,0),"")</f>
        <v>#N/A</v>
      </c>
    </row>
    <row r="851">
      <c r="A851" s="51"/>
      <c r="B851" s="52" t="str">
        <f>IF(D851="","",VLOOKUP(D851,'THAM CHIẾU'!$A:$B,2,0))</f>
        <v>#N/A</v>
      </c>
      <c r="C851" s="53" t="str">
        <f t="shared" si="4"/>
        <v>04/2022</v>
      </c>
      <c r="D851" s="99">
        <v>44666.0</v>
      </c>
      <c r="E851" s="79" t="s">
        <v>882</v>
      </c>
      <c r="F851" s="80"/>
      <c r="G851" s="100" t="s">
        <v>278</v>
      </c>
      <c r="H851" s="58" t="str">
        <f>IF(G851="","",VLOOKUP($G851,'Quy chuẩn hạch toán'!$B:$E,2,0))</f>
        <v>154</v>
      </c>
      <c r="I851" s="58" t="str">
        <f>IF(H851="","",VLOOKUP($G851,'Quy chuẩn hạch toán'!$B:$E,3,0))</f>
        <v>1111</v>
      </c>
      <c r="J851" s="101">
        <v>1000000.0</v>
      </c>
      <c r="K851" s="60"/>
      <c r="L851" s="61"/>
      <c r="M851" s="62"/>
      <c r="N851" s="63"/>
      <c r="O851" s="64"/>
      <c r="P851" s="64"/>
      <c r="Q851" s="89"/>
      <c r="R851" s="64"/>
      <c r="S851" s="66"/>
      <c r="T851" s="64"/>
      <c r="U851" s="67" t="s">
        <v>638</v>
      </c>
      <c r="V851" s="64"/>
      <c r="W851" s="83" t="s">
        <v>844</v>
      </c>
      <c r="X851" s="64"/>
      <c r="Y851" s="69" t="s">
        <v>176</v>
      </c>
      <c r="Z851" s="64"/>
      <c r="AA851" s="70" t="s">
        <v>705</v>
      </c>
      <c r="AB851" s="64"/>
      <c r="AC851" s="70"/>
      <c r="AD851" s="64" t="str">
        <f>IF(AC851&lt;&gt;0,VLOOKUP(AC851,DM_NV,2,0),"")</f>
        <v/>
      </c>
      <c r="AE851" s="83" t="s">
        <v>263</v>
      </c>
      <c r="AF851" s="64" t="str">
        <f>IF(AE851&lt;&gt;0,VLOOKUP(AE851,DM_NV,2,0),"")</f>
        <v>#N/A</v>
      </c>
    </row>
    <row r="852">
      <c r="A852" s="51"/>
      <c r="B852" s="52" t="str">
        <f>IF(D852="","",VLOOKUP(D852,'THAM CHIẾU'!$A:$B,2,0))</f>
        <v>#N/A</v>
      </c>
      <c r="C852" s="53" t="str">
        <f t="shared" si="4"/>
        <v>04/2022</v>
      </c>
      <c r="D852" s="99">
        <v>44666.0</v>
      </c>
      <c r="E852" s="55" t="s">
        <v>883</v>
      </c>
      <c r="F852" s="56"/>
      <c r="G852" s="57" t="s">
        <v>282</v>
      </c>
      <c r="H852" s="58" t="str">
        <f>IF(G852="","",VLOOKUP($G852,'Quy chuẩn hạch toán'!$B:$E,2,0))</f>
        <v>1111</v>
      </c>
      <c r="I852" s="58" t="str">
        <f>IF(H852="","",VLOOKUP($G852,'Quy chuẩn hạch toán'!$B:$E,3,0))</f>
        <v>131</v>
      </c>
      <c r="J852" s="59">
        <v>1.08E8</v>
      </c>
      <c r="K852" s="60"/>
      <c r="L852" s="61"/>
      <c r="M852" s="62"/>
      <c r="N852" s="63"/>
      <c r="O852" s="64" t="str">
        <f>IF($Q852&lt;&gt;0,VLOOKUP($Q852,DM_KM,3,0),"")</f>
        <v/>
      </c>
      <c r="P852" s="64" t="str">
        <f>IF($Q852&lt;&gt;0,VLOOKUP($Q852,DM_KM,5,0),"")</f>
        <v/>
      </c>
      <c r="Q852" s="89"/>
      <c r="R852" s="64" t="str">
        <f>IF(S852&lt;&gt;0,VLOOKUP(S852,DM_DUAN,3,0),"")</f>
        <v>#N/A</v>
      </c>
      <c r="S852" s="66" t="str">
        <f>IF(U852&lt;&gt;0,VLOOKUP(U852,DM_DUAN,3,0),"")</f>
        <v>KIMCUONGLAND</v>
      </c>
      <c r="T852" s="64"/>
      <c r="U852" s="67" t="s">
        <v>638</v>
      </c>
      <c r="V852" s="64" t="str">
        <f>IF(W852&lt;&gt;0,VLOOKUP(W852,DM_DUAN,3,0),"")</f>
        <v>#N/A</v>
      </c>
      <c r="W852" s="83" t="s">
        <v>844</v>
      </c>
      <c r="X852" s="64" t="str">
        <f>IF(Y852&lt;&gt;0,VLOOKUP(Y852,DM_DUAN,3,0),"")</f>
        <v>#N/A</v>
      </c>
      <c r="Y852" s="69" t="s">
        <v>176</v>
      </c>
      <c r="Z852" s="64" t="str">
        <f>IF(AA852&lt;&gt;0,VLOOKUP(AA852,DM_DUAN,3,0),"")</f>
        <v>#N/A</v>
      </c>
      <c r="AA852" s="70" t="s">
        <v>705</v>
      </c>
      <c r="AB852" s="64" t="str">
        <f>IF(AC852&lt;&gt;0,VLOOKUP(AC852,DM_DUAN,3,0),"")</f>
        <v/>
      </c>
      <c r="AC852" s="85"/>
      <c r="AD852" s="64" t="str">
        <f>IF(AC852&lt;&gt;0,VLOOKUP(AC852,DM_NV,2,0),"")</f>
        <v/>
      </c>
      <c r="AE852" s="68"/>
      <c r="AF852" s="64" t="str">
        <f>IF(AE852&lt;&gt;0,VLOOKUP(AE852,DM_NV,2,0),"")</f>
        <v/>
      </c>
    </row>
    <row r="853">
      <c r="A853" s="51"/>
      <c r="B853" s="52" t="str">
        <f>IF(D853="","",VLOOKUP(D853,'THAM CHIẾU'!$A:$B,2,0))</f>
        <v>#N/A</v>
      </c>
      <c r="C853" s="53" t="str">
        <f t="shared" si="4"/>
        <v>04/2022</v>
      </c>
      <c r="D853" s="99">
        <v>44666.0</v>
      </c>
      <c r="E853" s="79" t="s">
        <v>884</v>
      </c>
      <c r="F853" s="80"/>
      <c r="G853" s="57" t="s">
        <v>733</v>
      </c>
      <c r="H853" s="58" t="str">
        <f>IF(G853="","",VLOOKUP($G853,'Quy chuẩn hạch toán'!$B:$E,2,0))</f>
        <v>154</v>
      </c>
      <c r="I853" s="58" t="str">
        <f>IF(H853="","",VLOOKUP($G853,'Quy chuẩn hạch toán'!$B:$E,3,0))</f>
        <v>3342</v>
      </c>
      <c r="J853" s="101">
        <v>1440000.0</v>
      </c>
      <c r="K853" s="60"/>
      <c r="L853" s="61"/>
      <c r="M853" s="62"/>
      <c r="N853" s="63"/>
      <c r="O853" s="64"/>
      <c r="P853" s="64"/>
      <c r="Q853" s="89"/>
      <c r="R853" s="64"/>
      <c r="S853" s="66"/>
      <c r="T853" s="64"/>
      <c r="U853" s="67" t="s">
        <v>638</v>
      </c>
      <c r="V853" s="64"/>
      <c r="W853" s="83" t="s">
        <v>850</v>
      </c>
      <c r="X853" s="64"/>
      <c r="Y853" s="69" t="s">
        <v>176</v>
      </c>
      <c r="Z853" s="64"/>
      <c r="AA853" s="70" t="s">
        <v>177</v>
      </c>
      <c r="AB853" s="64"/>
      <c r="AC853" s="70" t="s">
        <v>600</v>
      </c>
      <c r="AD853" s="64" t="str">
        <f>IF(AC853&lt;&gt;0,VLOOKUP(AC853,DM_NV,2,0),"")</f>
        <v>Nguyễn Quốc Việt</v>
      </c>
      <c r="AE853" s="68"/>
      <c r="AF853" s="64" t="str">
        <f>IF(AE853&lt;&gt;0,VLOOKUP(AE853,DM_NV,2,0),"")</f>
        <v/>
      </c>
    </row>
    <row r="854">
      <c r="A854" s="51"/>
      <c r="B854" s="52" t="str">
        <f>IF(D854="","",VLOOKUP(D854,'THAM CHIẾU'!$A:$B,2,0))</f>
        <v>#N/A</v>
      </c>
      <c r="C854" s="53" t="str">
        <f t="shared" si="4"/>
        <v>04/2022</v>
      </c>
      <c r="D854" s="99">
        <v>44666.0</v>
      </c>
      <c r="E854" s="55" t="s">
        <v>885</v>
      </c>
      <c r="F854" s="56"/>
      <c r="G854" s="57" t="s">
        <v>275</v>
      </c>
      <c r="H854" s="58" t="str">
        <f>IF(G854="","",VLOOKUP($G854,'Quy chuẩn hạch toán'!$B:$E,2,0))</f>
        <v>3341</v>
      </c>
      <c r="I854" s="58" t="str">
        <f>IF(H854="","",VLOOKUP($G854,'Quy chuẩn hạch toán'!$B:$E,3,0))</f>
        <v>1111</v>
      </c>
      <c r="J854" s="59">
        <v>1.9625E7</v>
      </c>
      <c r="K854" s="60"/>
      <c r="L854" s="61"/>
      <c r="M854" s="62"/>
      <c r="N854" s="63"/>
      <c r="O854" s="64" t="str">
        <f>IF($Q854&lt;&gt;0,VLOOKUP($Q854,DM_KM,3,0),"")</f>
        <v/>
      </c>
      <c r="P854" s="64" t="str">
        <f>IF($Q854&lt;&gt;0,VLOOKUP($Q854,DM_KM,5,0),"")</f>
        <v/>
      </c>
      <c r="Q854" s="89"/>
      <c r="R854" s="64" t="str">
        <f>IF(S854&lt;&gt;0,VLOOKUP(S854,DM_DUAN,3,0),"")</f>
        <v>#N/A</v>
      </c>
      <c r="S854" s="66" t="str">
        <f>IF(U854&lt;&gt;0,VLOOKUP(U854,DM_DUAN,3,0),"")</f>
        <v>KIMCUONGLAND</v>
      </c>
      <c r="T854" s="64"/>
      <c r="U854" s="67" t="s">
        <v>638</v>
      </c>
      <c r="V854" s="64" t="str">
        <f>IF(W854&lt;&gt;0,VLOOKUP(W854,DM_DUAN,3,0),"")</f>
        <v>#N/A</v>
      </c>
      <c r="W854" s="83" t="s">
        <v>850</v>
      </c>
      <c r="X854" s="64" t="str">
        <f>IF(Y854&lt;&gt;0,VLOOKUP(Y854,DM_DUAN,3,0),"")</f>
        <v>#N/A</v>
      </c>
      <c r="Y854" s="69" t="s">
        <v>176</v>
      </c>
      <c r="Z854" s="64" t="str">
        <f>IF(AA854&lt;&gt;0,VLOOKUP(AA854,DM_DUAN,3,0),"")</f>
        <v>#N/A</v>
      </c>
      <c r="AA854" s="70" t="s">
        <v>177</v>
      </c>
      <c r="AB854" s="64" t="str">
        <f>IF(AC854&lt;&gt;0,VLOOKUP(AC854,DM_DUAN,3,0),"")</f>
        <v>#N/A</v>
      </c>
      <c r="AC854" s="70" t="s">
        <v>600</v>
      </c>
      <c r="AD854" s="64" t="str">
        <f>IF(AC854&lt;&gt;0,VLOOKUP(AC854,DM_NV,2,0),"")</f>
        <v>Nguyễn Quốc Việt</v>
      </c>
      <c r="AE854" s="83" t="s">
        <v>276</v>
      </c>
      <c r="AF854" s="64" t="str">
        <f>IF(AE854&lt;&gt;0,VLOOKUP(AE854,DM_NV,2,0),"")</f>
        <v>#N/A</v>
      </c>
    </row>
    <row r="855">
      <c r="A855" s="51"/>
      <c r="B855" s="52" t="str">
        <f>IF(D855="","",VLOOKUP(D855,'THAM CHIẾU'!$A:$B,2,0))</f>
        <v>#N/A</v>
      </c>
      <c r="C855" s="53" t="str">
        <f t="shared" si="4"/>
        <v>04/2022</v>
      </c>
      <c r="D855" s="99">
        <v>44666.0</v>
      </c>
      <c r="E855" s="79" t="s">
        <v>886</v>
      </c>
      <c r="F855" s="80"/>
      <c r="G855" s="100" t="s">
        <v>278</v>
      </c>
      <c r="H855" s="58" t="str">
        <f>IF(G855="","",VLOOKUP($G855,'Quy chuẩn hạch toán'!$B:$E,2,0))</f>
        <v>154</v>
      </c>
      <c r="I855" s="58" t="str">
        <f>IF(H855="","",VLOOKUP($G855,'Quy chuẩn hạch toán'!$B:$E,3,0))</f>
        <v>1111</v>
      </c>
      <c r="J855" s="101">
        <v>1000000.0</v>
      </c>
      <c r="K855" s="60"/>
      <c r="L855" s="61"/>
      <c r="M855" s="62"/>
      <c r="N855" s="63"/>
      <c r="O855" s="64"/>
      <c r="P855" s="64"/>
      <c r="Q855" s="89"/>
      <c r="R855" s="64"/>
      <c r="S855" s="66"/>
      <c r="T855" s="64"/>
      <c r="U855" s="67" t="s">
        <v>638</v>
      </c>
      <c r="V855" s="64"/>
      <c r="W855" s="83" t="s">
        <v>850</v>
      </c>
      <c r="X855" s="64"/>
      <c r="Y855" s="69" t="s">
        <v>176</v>
      </c>
      <c r="Z855" s="64"/>
      <c r="AA855" s="70" t="s">
        <v>177</v>
      </c>
      <c r="AB855" s="64"/>
      <c r="AC855" s="70"/>
      <c r="AD855" s="64" t="str">
        <f>IF(AC855&lt;&gt;0,VLOOKUP(AC855,DM_NV,2,0),"")</f>
        <v/>
      </c>
      <c r="AE855" s="83" t="s">
        <v>263</v>
      </c>
      <c r="AF855" s="64" t="str">
        <f>IF(AE855&lt;&gt;0,VLOOKUP(AE855,DM_NV,2,0),"")</f>
        <v>#N/A</v>
      </c>
    </row>
    <row r="856">
      <c r="A856" s="51"/>
      <c r="B856" s="52" t="str">
        <f>IF(D856="","",VLOOKUP(D856,'THAM CHIẾU'!$A:$B,2,0))</f>
        <v>#N/A</v>
      </c>
      <c r="C856" s="53" t="str">
        <f t="shared" si="4"/>
        <v>04/2022</v>
      </c>
      <c r="D856" s="99">
        <v>44666.0</v>
      </c>
      <c r="E856" s="55" t="s">
        <v>887</v>
      </c>
      <c r="F856" s="56"/>
      <c r="G856" s="57" t="s">
        <v>282</v>
      </c>
      <c r="H856" s="58" t="str">
        <f>IF(G856="","",VLOOKUP($G856,'Quy chuẩn hạch toán'!$B:$E,2,0))</f>
        <v>1111</v>
      </c>
      <c r="I856" s="58" t="str">
        <f>IF(H856="","",VLOOKUP($G856,'Quy chuẩn hạch toán'!$B:$E,3,0))</f>
        <v>131</v>
      </c>
      <c r="J856" s="59">
        <v>9.8E7</v>
      </c>
      <c r="K856" s="60"/>
      <c r="L856" s="61"/>
      <c r="M856" s="62"/>
      <c r="N856" s="63"/>
      <c r="O856" s="64" t="str">
        <f>IF($Q856&lt;&gt;0,VLOOKUP($Q856,DM_KM,3,0),"")</f>
        <v/>
      </c>
      <c r="P856" s="64" t="str">
        <f>IF($Q856&lt;&gt;0,VLOOKUP($Q856,DM_KM,5,0),"")</f>
        <v/>
      </c>
      <c r="Q856" s="89"/>
      <c r="R856" s="64" t="str">
        <f>IF(S856&lt;&gt;0,VLOOKUP(S856,DM_DUAN,3,0),"")</f>
        <v>#N/A</v>
      </c>
      <c r="S856" s="66" t="str">
        <f>IF(U856&lt;&gt;0,VLOOKUP(U856,DM_DUAN,3,0),"")</f>
        <v>KIMCUONGLAND</v>
      </c>
      <c r="T856" s="64"/>
      <c r="U856" s="67" t="s">
        <v>638</v>
      </c>
      <c r="V856" s="64" t="str">
        <f>IF(W856&lt;&gt;0,VLOOKUP(W856,DM_DUAN,3,0),"")</f>
        <v>#N/A</v>
      </c>
      <c r="W856" s="83" t="s">
        <v>850</v>
      </c>
      <c r="X856" s="64" t="str">
        <f>IF(Y856&lt;&gt;0,VLOOKUP(Y856,DM_DUAN,3,0),"")</f>
        <v>#N/A</v>
      </c>
      <c r="Y856" s="69" t="s">
        <v>176</v>
      </c>
      <c r="Z856" s="64" t="str">
        <f>IF(AA856&lt;&gt;0,VLOOKUP(AA856,DM_DUAN,3,0),"")</f>
        <v>#N/A</v>
      </c>
      <c r="AA856" s="70" t="s">
        <v>177</v>
      </c>
      <c r="AB856" s="64" t="str">
        <f>IF(AC856&lt;&gt;0,VLOOKUP(AC856,DM_DUAN,3,0),"")</f>
        <v/>
      </c>
      <c r="AC856" s="85"/>
      <c r="AD856" s="64" t="str">
        <f>IF(AC856&lt;&gt;0,VLOOKUP(AC856,DM_NV,2,0),"")</f>
        <v/>
      </c>
      <c r="AE856" s="68"/>
      <c r="AF856" s="64" t="str">
        <f>IF(AE856&lt;&gt;0,VLOOKUP(AE856,DM_NV,2,0),"")</f>
        <v/>
      </c>
    </row>
    <row r="857">
      <c r="A857" s="51"/>
      <c r="B857" s="52" t="str">
        <f>IF(D857="","",VLOOKUP(D857,'THAM CHIẾU'!$A:$B,2,0))</f>
        <v>#N/A</v>
      </c>
      <c r="C857" s="53" t="str">
        <f t="shared" si="4"/>
        <v>04/2022</v>
      </c>
      <c r="D857" s="99">
        <v>44666.0</v>
      </c>
      <c r="E857" s="55" t="s">
        <v>888</v>
      </c>
      <c r="F857" s="56"/>
      <c r="G857" s="57" t="s">
        <v>275</v>
      </c>
      <c r="H857" s="58" t="str">
        <f>IF(G857="","",VLOOKUP($G857,'Quy chuẩn hạch toán'!$B:$E,2,0))</f>
        <v>3341</v>
      </c>
      <c r="I857" s="58" t="str">
        <f>IF(H857="","",VLOOKUP($G857,'Quy chuẩn hạch toán'!$B:$E,3,0))</f>
        <v>1111</v>
      </c>
      <c r="J857" s="59">
        <v>1.9625E7</v>
      </c>
      <c r="K857" s="60"/>
      <c r="L857" s="61"/>
      <c r="M857" s="62"/>
      <c r="N857" s="63"/>
      <c r="O857" s="64" t="str">
        <f>IF($Q857&lt;&gt;0,VLOOKUP($Q857,DM_KM,3,0),"")</f>
        <v/>
      </c>
      <c r="P857" s="64" t="str">
        <f>IF($Q857&lt;&gt;0,VLOOKUP($Q857,DM_KM,5,0),"")</f>
        <v/>
      </c>
      <c r="Q857" s="89"/>
      <c r="R857" s="64" t="str">
        <f>IF(S857&lt;&gt;0,VLOOKUP(S857,DM_DUAN,3,0),"")</f>
        <v>#N/A</v>
      </c>
      <c r="S857" s="66" t="str">
        <f>IF(U857&lt;&gt;0,VLOOKUP(U857,DM_DUAN,3,0),"")</f>
        <v>KIMCUONGLAND</v>
      </c>
      <c r="T857" s="64"/>
      <c r="U857" s="67" t="s">
        <v>638</v>
      </c>
      <c r="V857" s="64" t="str">
        <f>IF(W857&lt;&gt;0,VLOOKUP(W857,DM_DUAN,3,0),"")</f>
        <v>#N/A</v>
      </c>
      <c r="W857" s="83" t="s">
        <v>857</v>
      </c>
      <c r="X857" s="64" t="str">
        <f>IF(Y857&lt;&gt;0,VLOOKUP(Y857,DM_DUAN,3,0),"")</f>
        <v>#N/A</v>
      </c>
      <c r="Y857" s="69" t="s">
        <v>176</v>
      </c>
      <c r="Z857" s="64" t="str">
        <f>IF(AA857&lt;&gt;0,VLOOKUP(AA857,DM_DUAN,3,0),"")</f>
        <v>#N/A</v>
      </c>
      <c r="AA857" s="70" t="s">
        <v>177</v>
      </c>
      <c r="AB857" s="64" t="str">
        <f>IF(AC857&lt;&gt;0,VLOOKUP(AC857,DM_DUAN,3,0),"")</f>
        <v>#N/A</v>
      </c>
      <c r="AC857" s="70" t="s">
        <v>600</v>
      </c>
      <c r="AD857" s="64" t="str">
        <f>IF(AC857&lt;&gt;0,VLOOKUP(AC857,DM_NV,2,0),"")</f>
        <v>Nguyễn Quốc Việt</v>
      </c>
      <c r="AE857" s="83" t="s">
        <v>276</v>
      </c>
      <c r="AF857" s="64" t="str">
        <f>IF(AE857&lt;&gt;0,VLOOKUP(AE857,DM_NV,2,0),"")</f>
        <v>#N/A</v>
      </c>
    </row>
    <row r="858">
      <c r="A858" s="51"/>
      <c r="B858" s="52" t="str">
        <f>IF(D858="","",VLOOKUP(D858,'THAM CHIẾU'!$A:$B,2,0))</f>
        <v>#N/A</v>
      </c>
      <c r="C858" s="53" t="str">
        <f t="shared" si="4"/>
        <v>04/2022</v>
      </c>
      <c r="D858" s="99">
        <v>44666.0</v>
      </c>
      <c r="E858" s="79" t="s">
        <v>889</v>
      </c>
      <c r="F858" s="80"/>
      <c r="G858" s="100" t="s">
        <v>278</v>
      </c>
      <c r="H858" s="58" t="str">
        <f>IF(G858="","",VLOOKUP($G858,'Quy chuẩn hạch toán'!$B:$E,2,0))</f>
        <v>154</v>
      </c>
      <c r="I858" s="58" t="str">
        <f>IF(H858="","",VLOOKUP($G858,'Quy chuẩn hạch toán'!$B:$E,3,0))</f>
        <v>1111</v>
      </c>
      <c r="J858" s="101">
        <v>1000000.0</v>
      </c>
      <c r="K858" s="60"/>
      <c r="L858" s="61"/>
      <c r="M858" s="62"/>
      <c r="N858" s="63"/>
      <c r="O858" s="64"/>
      <c r="P858" s="64"/>
      <c r="Q858" s="89"/>
      <c r="R858" s="64"/>
      <c r="S858" s="66"/>
      <c r="T858" s="64"/>
      <c r="U858" s="67" t="s">
        <v>638</v>
      </c>
      <c r="V858" s="64"/>
      <c r="W858" s="83" t="s">
        <v>857</v>
      </c>
      <c r="X858" s="64"/>
      <c r="Y858" s="69" t="s">
        <v>176</v>
      </c>
      <c r="Z858" s="64"/>
      <c r="AA858" s="70" t="s">
        <v>177</v>
      </c>
      <c r="AB858" s="64"/>
      <c r="AC858" s="70"/>
      <c r="AD858" s="64" t="str">
        <f>IF(AC858&lt;&gt;0,VLOOKUP(AC858,DM_NV,2,0),"")</f>
        <v/>
      </c>
      <c r="AE858" s="83" t="s">
        <v>263</v>
      </c>
      <c r="AF858" s="64" t="str">
        <f>IF(AE858&lt;&gt;0,VLOOKUP(AE858,DM_NV,2,0),"")</f>
        <v>#N/A</v>
      </c>
    </row>
    <row r="859">
      <c r="A859" s="51"/>
      <c r="B859" s="52" t="str">
        <f>IF(D859="","",VLOOKUP(D859,'THAM CHIẾU'!$A:$B,2,0))</f>
        <v>#N/A</v>
      </c>
      <c r="C859" s="53" t="str">
        <f t="shared" si="4"/>
        <v>04/2022</v>
      </c>
      <c r="D859" s="99">
        <v>44666.0</v>
      </c>
      <c r="E859" s="79" t="s">
        <v>890</v>
      </c>
      <c r="F859" s="80"/>
      <c r="G859" s="57" t="s">
        <v>733</v>
      </c>
      <c r="H859" s="58" t="str">
        <f>IF(G859="","",VLOOKUP($G859,'Quy chuẩn hạch toán'!$B:$E,2,0))</f>
        <v>154</v>
      </c>
      <c r="I859" s="58" t="str">
        <f>IF(H859="","",VLOOKUP($G859,'Quy chuẩn hạch toán'!$B:$E,3,0))</f>
        <v>3342</v>
      </c>
      <c r="J859" s="101">
        <v>1440000.0</v>
      </c>
      <c r="K859" s="60"/>
      <c r="L859" s="61"/>
      <c r="M859" s="62"/>
      <c r="N859" s="63"/>
      <c r="O859" s="64"/>
      <c r="P859" s="64"/>
      <c r="Q859" s="89"/>
      <c r="R859" s="64"/>
      <c r="S859" s="66"/>
      <c r="T859" s="64"/>
      <c r="U859" s="67" t="s">
        <v>638</v>
      </c>
      <c r="V859" s="64"/>
      <c r="W859" s="83" t="s">
        <v>857</v>
      </c>
      <c r="X859" s="64"/>
      <c r="Y859" s="69" t="s">
        <v>176</v>
      </c>
      <c r="Z859" s="64"/>
      <c r="AA859" s="70" t="s">
        <v>177</v>
      </c>
      <c r="AB859" s="64"/>
      <c r="AC859" s="70" t="s">
        <v>600</v>
      </c>
      <c r="AD859" s="64" t="str">
        <f>IF(AC859&lt;&gt;0,VLOOKUP(AC859,DM_NV,2,0),"")</f>
        <v>Nguyễn Quốc Việt</v>
      </c>
      <c r="AE859" s="68"/>
      <c r="AF859" s="64" t="str">
        <f>IF(AE859&lt;&gt;0,VLOOKUP(AE859,DM_NV,2,0),"")</f>
        <v/>
      </c>
    </row>
    <row r="860">
      <c r="A860" s="51"/>
      <c r="B860" s="52" t="str">
        <f>IF(D860="","",VLOOKUP(D860,'THAM CHIẾU'!$A:$B,2,0))</f>
        <v>#N/A</v>
      </c>
      <c r="C860" s="53" t="str">
        <f t="shared" si="4"/>
        <v>04/2022</v>
      </c>
      <c r="D860" s="99">
        <v>44666.0</v>
      </c>
      <c r="E860" s="55" t="s">
        <v>891</v>
      </c>
      <c r="F860" s="56"/>
      <c r="G860" s="57" t="s">
        <v>282</v>
      </c>
      <c r="H860" s="58" t="str">
        <f>IF(G860="","",VLOOKUP($G860,'Quy chuẩn hạch toán'!$B:$E,2,0))</f>
        <v>1111</v>
      </c>
      <c r="I860" s="58" t="str">
        <f>IF(H860="","",VLOOKUP($G860,'Quy chuẩn hạch toán'!$B:$E,3,0))</f>
        <v>131</v>
      </c>
      <c r="J860" s="59">
        <v>9.8E7</v>
      </c>
      <c r="K860" s="60"/>
      <c r="L860" s="61"/>
      <c r="M860" s="62"/>
      <c r="N860" s="63"/>
      <c r="O860" s="64" t="str">
        <f>IF($Q860&lt;&gt;0,VLOOKUP($Q860,DM_KM,3,0),"")</f>
        <v/>
      </c>
      <c r="P860" s="64" t="str">
        <f>IF($Q860&lt;&gt;0,VLOOKUP($Q860,DM_KM,5,0),"")</f>
        <v/>
      </c>
      <c r="Q860" s="89"/>
      <c r="R860" s="64" t="str">
        <f>IF(S860&lt;&gt;0,VLOOKUP(S860,DM_DUAN,3,0),"")</f>
        <v>#N/A</v>
      </c>
      <c r="S860" s="66" t="str">
        <f>IF(U860&lt;&gt;0,VLOOKUP(U860,DM_DUAN,3,0),"")</f>
        <v>KIMCUONGLAND</v>
      </c>
      <c r="T860" s="64"/>
      <c r="U860" s="67" t="s">
        <v>638</v>
      </c>
      <c r="V860" s="64" t="str">
        <f>IF(W860&lt;&gt;0,VLOOKUP(W860,DM_DUAN,3,0),"")</f>
        <v>#N/A</v>
      </c>
      <c r="W860" s="83" t="s">
        <v>857</v>
      </c>
      <c r="X860" s="64" t="str">
        <f>IF(Y860&lt;&gt;0,VLOOKUP(Y860,DM_DUAN,3,0),"")</f>
        <v>#N/A</v>
      </c>
      <c r="Y860" s="69" t="s">
        <v>176</v>
      </c>
      <c r="Z860" s="64" t="str">
        <f>IF(AA860&lt;&gt;0,VLOOKUP(AA860,DM_DUAN,3,0),"")</f>
        <v>#N/A</v>
      </c>
      <c r="AA860" s="70" t="s">
        <v>177</v>
      </c>
      <c r="AB860" s="64" t="str">
        <f>IF(AC860&lt;&gt;0,VLOOKUP(AC860,DM_DUAN,3,0),"")</f>
        <v/>
      </c>
      <c r="AC860" s="85"/>
      <c r="AD860" s="64" t="str">
        <f>IF(AC860&lt;&gt;0,VLOOKUP(AC860,DM_NV,2,0),"")</f>
        <v/>
      </c>
      <c r="AE860" s="68"/>
      <c r="AF860" s="64" t="str">
        <f>IF(AE860&lt;&gt;0,VLOOKUP(AE860,DM_NV,2,0),"")</f>
        <v/>
      </c>
    </row>
    <row r="861">
      <c r="A861" s="51"/>
      <c r="B861" s="52" t="str">
        <f>IF(D861="","",VLOOKUP(D861,'THAM CHIẾU'!$A:$B,2,0))</f>
        <v>#N/A</v>
      </c>
      <c r="C861" s="53" t="str">
        <f t="shared" si="4"/>
        <v>04/2022</v>
      </c>
      <c r="D861" s="99">
        <v>44666.0</v>
      </c>
      <c r="E861" s="55" t="s">
        <v>892</v>
      </c>
      <c r="F861" s="56"/>
      <c r="G861" s="57" t="s">
        <v>205</v>
      </c>
      <c r="H861" s="58" t="str">
        <f>IF(G861="","",VLOOKUP($G861,'Quy chuẩn hạch toán'!$B:$E,2,0))</f>
        <v>642</v>
      </c>
      <c r="I861" s="58" t="str">
        <f>IF(H861="","",VLOOKUP($G861,'Quy chuẩn hạch toán'!$B:$E,3,0))</f>
        <v>1111</v>
      </c>
      <c r="J861" s="59">
        <v>59789.0</v>
      </c>
      <c r="K861" s="60"/>
      <c r="L861" s="61"/>
      <c r="M861" s="62"/>
      <c r="N861" s="63"/>
      <c r="O861" s="64" t="str">
        <f>IF($Q861&lt;&gt;0,VLOOKUP($Q861,DM_KM,3,0),"")</f>
        <v>#N/A</v>
      </c>
      <c r="P861" s="64" t="str">
        <f>IF($Q861&lt;&gt;0,VLOOKUP($Q861,DM_KM,5,0),"")</f>
        <v>#N/A</v>
      </c>
      <c r="Q861" s="65" t="s">
        <v>219</v>
      </c>
      <c r="R861" s="64" t="str">
        <f>IF(S861&lt;&gt;0,VLOOKUP(S861,DM_DUAN,3,0),"")</f>
        <v>#N/A</v>
      </c>
      <c r="S861" s="66" t="str">
        <f>IF(U861&lt;&gt;0,VLOOKUP(U861,DM_DUAN,3,0),"")</f>
        <v/>
      </c>
      <c r="T861" s="64"/>
      <c r="U861" s="93"/>
      <c r="V861" s="64" t="str">
        <f>IF(W861&lt;&gt;0,VLOOKUP(W861,DM_DUAN,3,0),"")</f>
        <v/>
      </c>
      <c r="W861" s="68"/>
      <c r="X861" s="64" t="str">
        <f>IF(Y861&lt;&gt;0,VLOOKUP(Y861,DM_DUAN,3,0),"")</f>
        <v>#N/A</v>
      </c>
      <c r="Y861" s="69" t="s">
        <v>207</v>
      </c>
      <c r="Z861" s="64" t="str">
        <f>IF(AA861&lt;&gt;0,VLOOKUP(AA861,DM_DUAN,3,0),"")</f>
        <v>#N/A</v>
      </c>
      <c r="AA861" s="70" t="s">
        <v>705</v>
      </c>
      <c r="AB861" s="64" t="str">
        <f>IF(AC861&lt;&gt;0,VLOOKUP(AC861,DM_DUAN,3,0),"")</f>
        <v/>
      </c>
      <c r="AC861" s="85"/>
      <c r="AD861" s="64" t="str">
        <f>IF(AC861&lt;&gt;0,VLOOKUP(AC861,DM_NV,2,0),"")</f>
        <v/>
      </c>
      <c r="AE861" s="83" t="s">
        <v>220</v>
      </c>
      <c r="AF861" s="64" t="str">
        <f>IF(AE861&lt;&gt;0,VLOOKUP(AE861,DM_NV,2,0),"")</f>
        <v>#N/A</v>
      </c>
    </row>
    <row r="862">
      <c r="A862" s="51"/>
      <c r="B862" s="52" t="str">
        <f>IF(D862="","",VLOOKUP(D862,'THAM CHIẾU'!$A:$B,2,0))</f>
        <v>#N/A</v>
      </c>
      <c r="C862" s="53" t="str">
        <f t="shared" si="4"/>
        <v>04/2022</v>
      </c>
      <c r="D862" s="99">
        <v>44666.0</v>
      </c>
      <c r="E862" s="55" t="s">
        <v>892</v>
      </c>
      <c r="F862" s="56"/>
      <c r="G862" s="57" t="s">
        <v>205</v>
      </c>
      <c r="H862" s="58" t="str">
        <f>IF(G862="","",VLOOKUP($G862,'Quy chuẩn hạch toán'!$B:$E,2,0))</f>
        <v>642</v>
      </c>
      <c r="I862" s="58" t="str">
        <f>IF(H862="","",VLOOKUP($G862,'Quy chuẩn hạch toán'!$B:$E,3,0))</f>
        <v>1111</v>
      </c>
      <c r="J862" s="59">
        <v>119579.0</v>
      </c>
      <c r="K862" s="60"/>
      <c r="L862" s="61"/>
      <c r="M862" s="62"/>
      <c r="N862" s="63"/>
      <c r="O862" s="64" t="str">
        <f>IF($Q862&lt;&gt;0,VLOOKUP($Q862,DM_KM,3,0),"")</f>
        <v>#N/A</v>
      </c>
      <c r="P862" s="64" t="str">
        <f>IF($Q862&lt;&gt;0,VLOOKUP($Q862,DM_KM,5,0),"")</f>
        <v>#N/A</v>
      </c>
      <c r="Q862" s="65" t="s">
        <v>219</v>
      </c>
      <c r="R862" s="64" t="str">
        <f>IF(S862&lt;&gt;0,VLOOKUP(S862,DM_DUAN,3,0),"")</f>
        <v>#N/A</v>
      </c>
      <c r="S862" s="66" t="str">
        <f>IF(U862&lt;&gt;0,VLOOKUP(U862,DM_DUAN,3,0),"")</f>
        <v/>
      </c>
      <c r="T862" s="64"/>
      <c r="U862" s="93"/>
      <c r="V862" s="64" t="str">
        <f>IF(W862&lt;&gt;0,VLOOKUP(W862,DM_DUAN,3,0),"")</f>
        <v/>
      </c>
      <c r="W862" s="68"/>
      <c r="X862" s="64" t="str">
        <f>IF(Y862&lt;&gt;0,VLOOKUP(Y862,DM_DUAN,3,0),"")</f>
        <v>#N/A</v>
      </c>
      <c r="Y862" s="69" t="s">
        <v>207</v>
      </c>
      <c r="Z862" s="64" t="str">
        <f>IF(AA862&lt;&gt;0,VLOOKUP(AA862,DM_DUAN,3,0),"")</f>
        <v>#N/A</v>
      </c>
      <c r="AA862" s="70" t="s">
        <v>183</v>
      </c>
      <c r="AB862" s="64" t="str">
        <f>IF(AC862&lt;&gt;0,VLOOKUP(AC862,DM_DUAN,3,0),"")</f>
        <v/>
      </c>
      <c r="AC862" s="85"/>
      <c r="AD862" s="64" t="str">
        <f>IF(AC862&lt;&gt;0,VLOOKUP(AC862,DM_NV,2,0),"")</f>
        <v/>
      </c>
      <c r="AE862" s="83" t="s">
        <v>220</v>
      </c>
      <c r="AF862" s="64" t="str">
        <f>IF(AE862&lt;&gt;0,VLOOKUP(AE862,DM_NV,2,0),"")</f>
        <v>#N/A</v>
      </c>
    </row>
    <row r="863">
      <c r="A863" s="51"/>
      <c r="B863" s="52" t="str">
        <f>IF(D863="","",VLOOKUP(D863,'THAM CHIẾU'!$A:$B,2,0))</f>
        <v>#N/A</v>
      </c>
      <c r="C863" s="53" t="str">
        <f t="shared" si="4"/>
        <v>04/2022</v>
      </c>
      <c r="D863" s="99">
        <v>44666.0</v>
      </c>
      <c r="E863" s="55" t="s">
        <v>892</v>
      </c>
      <c r="F863" s="56"/>
      <c r="G863" s="57" t="s">
        <v>205</v>
      </c>
      <c r="H863" s="58" t="str">
        <f>IF(G863="","",VLOOKUP($G863,'Quy chuẩn hạch toán'!$B:$E,2,0))</f>
        <v>642</v>
      </c>
      <c r="I863" s="58" t="str">
        <f>IF(H863="","",VLOOKUP($G863,'Quy chuẩn hạch toán'!$B:$E,3,0))</f>
        <v>1111</v>
      </c>
      <c r="J863" s="59">
        <v>44842.0</v>
      </c>
      <c r="K863" s="60"/>
      <c r="L863" s="61"/>
      <c r="M863" s="62"/>
      <c r="N863" s="63"/>
      <c r="O863" s="64" t="str">
        <f>IF($Q863&lt;&gt;0,VLOOKUP($Q863,DM_KM,3,0),"")</f>
        <v>#N/A</v>
      </c>
      <c r="P863" s="64" t="str">
        <f>IF($Q863&lt;&gt;0,VLOOKUP($Q863,DM_KM,5,0),"")</f>
        <v>#N/A</v>
      </c>
      <c r="Q863" s="65" t="s">
        <v>219</v>
      </c>
      <c r="R863" s="64" t="str">
        <f>IF(S863&lt;&gt;0,VLOOKUP(S863,DM_DUAN,3,0),"")</f>
        <v>#N/A</v>
      </c>
      <c r="S863" s="66" t="str">
        <f>IF(U863&lt;&gt;0,VLOOKUP(U863,DM_DUAN,3,0),"")</f>
        <v/>
      </c>
      <c r="T863" s="64"/>
      <c r="U863" s="93"/>
      <c r="V863" s="64" t="str">
        <f>IF(W863&lt;&gt;0,VLOOKUP(W863,DM_DUAN,3,0),"")</f>
        <v/>
      </c>
      <c r="W863" s="68"/>
      <c r="X863" s="64" t="str">
        <f>IF(Y863&lt;&gt;0,VLOOKUP(Y863,DM_DUAN,3,0),"")</f>
        <v>#N/A</v>
      </c>
      <c r="Y863" s="69" t="s">
        <v>207</v>
      </c>
      <c r="Z863" s="64" t="str">
        <f>IF(AA863&lt;&gt;0,VLOOKUP(AA863,DM_DUAN,3,0),"")</f>
        <v>#N/A</v>
      </c>
      <c r="AA863" s="70" t="s">
        <v>177</v>
      </c>
      <c r="AB863" s="64" t="str">
        <f>IF(AC863&lt;&gt;0,VLOOKUP(AC863,DM_DUAN,3,0),"")</f>
        <v/>
      </c>
      <c r="AC863" s="85"/>
      <c r="AD863" s="64" t="str">
        <f>IF(AC863&lt;&gt;0,VLOOKUP(AC863,DM_NV,2,0),"")</f>
        <v/>
      </c>
      <c r="AE863" s="83" t="s">
        <v>220</v>
      </c>
      <c r="AF863" s="64" t="str">
        <f>IF(AE863&lt;&gt;0,VLOOKUP(AE863,DM_NV,2,0),"")</f>
        <v>#N/A</v>
      </c>
    </row>
    <row r="864">
      <c r="A864" s="51"/>
      <c r="B864" s="52" t="str">
        <f>IF(D864="","",VLOOKUP(D864,'THAM CHIẾU'!$A:$B,2,0))</f>
        <v>#N/A</v>
      </c>
      <c r="C864" s="53" t="str">
        <f t="shared" si="4"/>
        <v>04/2022</v>
      </c>
      <c r="D864" s="99">
        <v>44666.0</v>
      </c>
      <c r="E864" s="55" t="s">
        <v>892</v>
      </c>
      <c r="F864" s="56"/>
      <c r="G864" s="57" t="s">
        <v>205</v>
      </c>
      <c r="H864" s="58" t="str">
        <f>IF(G864="","",VLOOKUP($G864,'Quy chuẩn hạch toán'!$B:$E,2,0))</f>
        <v>642</v>
      </c>
      <c r="I864" s="58" t="str">
        <f>IF(H864="","",VLOOKUP($G864,'Quy chuẩn hạch toán'!$B:$E,3,0))</f>
        <v>1111</v>
      </c>
      <c r="J864" s="59">
        <v>59789.0</v>
      </c>
      <c r="K864" s="60"/>
      <c r="L864" s="61"/>
      <c r="M864" s="62"/>
      <c r="N864" s="63"/>
      <c r="O864" s="64" t="str">
        <f>IF($Q864&lt;&gt;0,VLOOKUP($Q864,DM_KM,3,0),"")</f>
        <v>#N/A</v>
      </c>
      <c r="P864" s="64" t="str">
        <f>IF($Q864&lt;&gt;0,VLOOKUP($Q864,DM_KM,5,0),"")</f>
        <v>#N/A</v>
      </c>
      <c r="Q864" s="65" t="s">
        <v>219</v>
      </c>
      <c r="R864" s="64" t="str">
        <f>IF(S864&lt;&gt;0,VLOOKUP(S864,DM_DUAN,3,0),"")</f>
        <v>#N/A</v>
      </c>
      <c r="S864" s="66" t="str">
        <f>IF(U864&lt;&gt;0,VLOOKUP(U864,DM_DUAN,3,0),"")</f>
        <v/>
      </c>
      <c r="T864" s="64"/>
      <c r="U864" s="93"/>
      <c r="V864" s="64" t="str">
        <f>IF(W864&lt;&gt;0,VLOOKUP(W864,DM_DUAN,3,0),"")</f>
        <v/>
      </c>
      <c r="W864" s="68"/>
      <c r="X864" s="64" t="str">
        <f>IF(Y864&lt;&gt;0,VLOOKUP(Y864,DM_DUAN,3,0),"")</f>
        <v>#N/A</v>
      </c>
      <c r="Y864" s="69" t="s">
        <v>207</v>
      </c>
      <c r="Z864" s="64" t="str">
        <f>IF(AA864&lt;&gt;0,VLOOKUP(AA864,DM_DUAN,3,0),"")</f>
        <v>#N/A</v>
      </c>
      <c r="AA864" s="70" t="s">
        <v>210</v>
      </c>
      <c r="AB864" s="64" t="str">
        <f>IF(AC864&lt;&gt;0,VLOOKUP(AC864,DM_DUAN,3,0),"")</f>
        <v/>
      </c>
      <c r="AC864" s="85"/>
      <c r="AD864" s="64" t="str">
        <f>IF(AC864&lt;&gt;0,VLOOKUP(AC864,DM_NV,2,0),"")</f>
        <v/>
      </c>
      <c r="AE864" s="83" t="s">
        <v>220</v>
      </c>
      <c r="AF864" s="64" t="str">
        <f>IF(AE864&lt;&gt;0,VLOOKUP(AE864,DM_NV,2,0),"")</f>
        <v>#N/A</v>
      </c>
    </row>
    <row r="865">
      <c r="A865" s="51"/>
      <c r="B865" s="52" t="str">
        <f>IF(D865="","",VLOOKUP(D865,'THAM CHIẾU'!$A:$B,2,0))</f>
        <v>#N/A</v>
      </c>
      <c r="C865" s="53" t="str">
        <f t="shared" si="4"/>
        <v>04/2022</v>
      </c>
      <c r="D865" s="99">
        <v>44667.0</v>
      </c>
      <c r="E865" s="55" t="s">
        <v>893</v>
      </c>
      <c r="F865" s="56"/>
      <c r="G865" s="57" t="s">
        <v>197</v>
      </c>
      <c r="H865" s="58" t="str">
        <f>IF(G865="","",VLOOKUP($G865,'Quy chuẩn hạch toán'!$B:$E,2,0))</f>
        <v>#N/A</v>
      </c>
      <c r="I865" s="58" t="str">
        <f>IF(H865="","",VLOOKUP($G865,'Quy chuẩn hạch toán'!$B:$E,3,0))</f>
        <v>#N/A</v>
      </c>
      <c r="J865" s="59">
        <v>4.95E8</v>
      </c>
      <c r="K865" s="60"/>
      <c r="L865" s="61"/>
      <c r="M865" s="62"/>
      <c r="N865" s="63"/>
      <c r="O865" s="64" t="str">
        <f>IF($Q865&lt;&gt;0,VLOOKUP($Q865,DM_KM,3,0),"")</f>
        <v>#N/A</v>
      </c>
      <c r="P865" s="64" t="str">
        <f>IF($Q865&lt;&gt;0,VLOOKUP($Q865,DM_KM,5,0),"")</f>
        <v>#N/A</v>
      </c>
      <c r="Q865" s="65" t="s">
        <v>198</v>
      </c>
      <c r="R865" s="64" t="str">
        <f>IF(S865&lt;&gt;0,VLOOKUP(S865,DM_DUAN,3,0),"")</f>
        <v>#N/A</v>
      </c>
      <c r="S865" s="66" t="str">
        <f>IF(U865&lt;&gt;0,VLOOKUP(U865,DM_DUAN,3,0),"")</f>
        <v>KIMCUONGLAND</v>
      </c>
      <c r="T865" s="64"/>
      <c r="U865" s="67" t="s">
        <v>638</v>
      </c>
      <c r="V865" s="64" t="str">
        <f>IF(W865&lt;&gt;0,VLOOKUP(W865,DM_DUAN,3,0),"")</f>
        <v>#N/A</v>
      </c>
      <c r="W865" s="83" t="s">
        <v>894</v>
      </c>
      <c r="X865" s="64" t="str">
        <f>IF(Y865&lt;&gt;0,VLOOKUP(Y865,DM_DUAN,3,0),"")</f>
        <v>#N/A</v>
      </c>
      <c r="Y865" s="69" t="s">
        <v>176</v>
      </c>
      <c r="Z865" s="64" t="str">
        <f>IF(AA865&lt;&gt;0,VLOOKUP(AA865,DM_DUAN,3,0),"")</f>
        <v>#N/A</v>
      </c>
      <c r="AA865" s="70" t="s">
        <v>177</v>
      </c>
      <c r="AB865" s="64" t="str">
        <f>IF(AC865&lt;&gt;0,VLOOKUP(AC865,DM_DUAN,3,0),"")</f>
        <v>#N/A</v>
      </c>
      <c r="AC865" s="70" t="s">
        <v>791</v>
      </c>
      <c r="AD865" s="64" t="str">
        <f>IF(AC865&lt;&gt;0,VLOOKUP(AC865,DM_NV,2,0),"")</f>
        <v>Hồ Thị Thuý An</v>
      </c>
      <c r="AE865" s="68"/>
      <c r="AF865" s="64" t="str">
        <f>IF(AE865&lt;&gt;0,VLOOKUP(AE865,DM_NV,2,0),"")</f>
        <v/>
      </c>
    </row>
    <row r="866">
      <c r="A866" s="51"/>
      <c r="B866" s="52" t="str">
        <f>IF(D866="","",VLOOKUP(D866,'THAM CHIẾU'!$A:$B,2,0))</f>
        <v/>
      </c>
      <c r="C866" s="53" t="str">
        <f t="shared" si="4"/>
        <v/>
      </c>
      <c r="D866" s="99"/>
      <c r="E866" s="55"/>
      <c r="F866" s="56"/>
      <c r="G866" s="57"/>
      <c r="H866" s="58" t="str">
        <f>IF(G866="","",VLOOKUP($G866,'Quy chuẩn hạch toán'!$B:$E,2,0))</f>
        <v/>
      </c>
      <c r="I866" s="58" t="str">
        <f>IF(H866="","",VLOOKUP($G866,'Quy chuẩn hạch toán'!$B:$E,3,0))</f>
        <v/>
      </c>
      <c r="J866" s="59"/>
      <c r="K866" s="60"/>
      <c r="L866" s="61"/>
      <c r="M866" s="62"/>
      <c r="N866" s="63"/>
      <c r="O866" s="64" t="str">
        <f>IF($Q866&lt;&gt;0,VLOOKUP($Q866,DM_KM,3,0),"")</f>
        <v/>
      </c>
      <c r="P866" s="64" t="str">
        <f>IF($Q866&lt;&gt;0,VLOOKUP($Q866,DM_KM,5,0),"")</f>
        <v/>
      </c>
      <c r="Q866" s="65"/>
      <c r="R866" s="64" t="str">
        <f>IF(S866&lt;&gt;0,VLOOKUP(S866,DM_DUAN,3,0),"")</f>
        <v>#N/A</v>
      </c>
      <c r="S866" s="66" t="str">
        <f>IF(U866&lt;&gt;0,VLOOKUP(U866,DM_DUAN,3,0),"")</f>
        <v/>
      </c>
      <c r="T866" s="64"/>
      <c r="U866" s="67"/>
      <c r="V866" s="64" t="str">
        <f>IF(W866&lt;&gt;0,VLOOKUP(W866,DM_DUAN,3,0),"")</f>
        <v/>
      </c>
      <c r="W866" s="83"/>
      <c r="X866" s="64" t="str">
        <f>IF(Y866&lt;&gt;0,VLOOKUP(Y866,DM_DUAN,3,0),"")</f>
        <v/>
      </c>
      <c r="Y866" s="69"/>
      <c r="Z866" s="64" t="str">
        <f>IF(AA866&lt;&gt;0,VLOOKUP(AA866,DM_DUAN,3,0),"")</f>
        <v/>
      </c>
      <c r="AA866" s="70"/>
      <c r="AB866" s="64" t="str">
        <f>IF(AC866&lt;&gt;0,VLOOKUP(AC866,DM_DUAN,3,0),"")</f>
        <v/>
      </c>
      <c r="AC866" s="70"/>
      <c r="AD866" s="64" t="str">
        <f>IF(AC866&lt;&gt;0,VLOOKUP(AC866,DM_NV,2,0),"")</f>
        <v/>
      </c>
      <c r="AE866" s="68"/>
      <c r="AF866" s="64" t="str">
        <f>IF(AE866&lt;&gt;0,VLOOKUP(AE866,DM_NV,2,0),"")</f>
        <v/>
      </c>
    </row>
    <row r="867">
      <c r="A867" s="51"/>
      <c r="B867" s="52" t="str">
        <f>IF(D867="","",VLOOKUP(D867,'THAM CHIẾU'!$A:$B,2,0))</f>
        <v>#N/A</v>
      </c>
      <c r="C867" s="53" t="str">
        <f t="shared" si="4"/>
        <v>04/2022</v>
      </c>
      <c r="D867" s="99">
        <v>44667.0</v>
      </c>
      <c r="E867" s="55" t="s">
        <v>895</v>
      </c>
      <c r="F867" s="56"/>
      <c r="G867" s="57" t="s">
        <v>186</v>
      </c>
      <c r="H867" s="58" t="str">
        <f>IF(G867="","",VLOOKUP($G867,'Quy chuẩn hạch toán'!$B:$E,2,0))</f>
        <v>131</v>
      </c>
      <c r="I867" s="58" t="str">
        <f>IF(H867="","",VLOOKUP($G867,'Quy chuẩn hạch toán'!$B:$E,3,0))</f>
        <v>5113</v>
      </c>
      <c r="J867" s="59">
        <v>9.9E7</v>
      </c>
      <c r="K867" s="60"/>
      <c r="L867" s="61"/>
      <c r="M867" s="62"/>
      <c r="N867" s="63"/>
      <c r="O867" s="64" t="str">
        <f>IF($Q867&lt;&gt;0,VLOOKUP($Q867,DM_KM,3,0),"")</f>
        <v>511_TK</v>
      </c>
      <c r="P867" s="64">
        <f>IF($Q867&lt;&gt;0,VLOOKUP($Q867,DM_KM,5,0),"")</f>
        <v>511</v>
      </c>
      <c r="Q867" s="65" t="s">
        <v>187</v>
      </c>
      <c r="R867" s="64" t="str">
        <f>IF(S867&lt;&gt;0,VLOOKUP(S867,DM_DUAN,3,0),"")</f>
        <v>#N/A</v>
      </c>
      <c r="S867" s="66" t="str">
        <f>IF(U867&lt;&gt;0,VLOOKUP(U867,DM_DUAN,3,0),"")</f>
        <v>KIMCUONGLAND</v>
      </c>
      <c r="T867" s="64"/>
      <c r="U867" s="67" t="s">
        <v>638</v>
      </c>
      <c r="V867" s="64" t="str">
        <f>IF(W867&lt;&gt;0,VLOOKUP(W867,DM_DUAN,3,0),"")</f>
        <v>#N/A</v>
      </c>
      <c r="W867" s="83" t="s">
        <v>894</v>
      </c>
      <c r="X867" s="64" t="str">
        <f>IF(Y867&lt;&gt;0,VLOOKUP(Y867,DM_DUAN,3,0),"")</f>
        <v>#N/A</v>
      </c>
      <c r="Y867" s="69" t="s">
        <v>176</v>
      </c>
      <c r="Z867" s="64" t="str">
        <f>IF(AA867&lt;&gt;0,VLOOKUP(AA867,DM_DUAN,3,0),"")</f>
        <v>#N/A</v>
      </c>
      <c r="AA867" s="70" t="s">
        <v>177</v>
      </c>
      <c r="AB867" s="64" t="str">
        <f>IF(AC867&lt;&gt;0,VLOOKUP(AC867,DM_DUAN,3,0),"")</f>
        <v/>
      </c>
      <c r="AC867" s="70"/>
      <c r="AD867" s="64" t="str">
        <f>IF(AC867&lt;&gt;0,VLOOKUP(AC867,DM_NV,2,0),"")</f>
        <v/>
      </c>
      <c r="AE867" s="68"/>
      <c r="AF867" s="64" t="str">
        <f>IF(AE867&lt;&gt;0,VLOOKUP(AE867,DM_NV,2,0),"")</f>
        <v/>
      </c>
    </row>
    <row r="868">
      <c r="A868" s="51"/>
      <c r="B868" s="52" t="str">
        <f>IF(D868="","",VLOOKUP(D868,'THAM CHIẾU'!$A:$B,2,0))</f>
        <v>#N/A</v>
      </c>
      <c r="C868" s="53" t="str">
        <f t="shared" si="4"/>
        <v>04/2022</v>
      </c>
      <c r="D868" s="99">
        <v>44667.0</v>
      </c>
      <c r="E868" s="55" t="s">
        <v>896</v>
      </c>
      <c r="F868" s="56"/>
      <c r="G868" s="57" t="s">
        <v>189</v>
      </c>
      <c r="H868" s="58" t="str">
        <f>IF(G868="","",VLOOKUP($G868,'Quy chuẩn hạch toán'!$B:$E,2,0))</f>
        <v>154</v>
      </c>
      <c r="I868" s="58" t="str">
        <f>IF(H868="","",VLOOKUP($G868,'Quy chuẩn hạch toán'!$B:$E,3,0))</f>
        <v>3345</v>
      </c>
      <c r="J868" s="59">
        <v>1.7325E7</v>
      </c>
      <c r="K868" s="60"/>
      <c r="L868" s="61"/>
      <c r="M868" s="62"/>
      <c r="N868" s="63"/>
      <c r="O868" s="64" t="str">
        <f>IF($Q868&lt;&gt;0,VLOOKUP($Q868,DM_KM,3,0),"")</f>
        <v>#N/A</v>
      </c>
      <c r="P868" s="64" t="str">
        <f>IF($Q868&lt;&gt;0,VLOOKUP($Q868,DM_KM,5,0),"")</f>
        <v>#N/A</v>
      </c>
      <c r="Q868" s="65" t="s">
        <v>190</v>
      </c>
      <c r="R868" s="64" t="str">
        <f>IF(S868&lt;&gt;0,VLOOKUP(S868,DM_DUAN,3,0),"")</f>
        <v>#N/A</v>
      </c>
      <c r="S868" s="66" t="str">
        <f>IF(U868&lt;&gt;0,VLOOKUP(U868,DM_DUAN,3,0),"")</f>
        <v>KIMCUONGLAND</v>
      </c>
      <c r="T868" s="64"/>
      <c r="U868" s="67" t="s">
        <v>638</v>
      </c>
      <c r="V868" s="64" t="str">
        <f>IF(W868&lt;&gt;0,VLOOKUP(W868,DM_DUAN,3,0),"")</f>
        <v>#N/A</v>
      </c>
      <c r="W868" s="83" t="s">
        <v>894</v>
      </c>
      <c r="X868" s="64" t="str">
        <f>IF(Y868&lt;&gt;0,VLOOKUP(Y868,DM_DUAN,3,0),"")</f>
        <v>#N/A</v>
      </c>
      <c r="Y868" s="69" t="s">
        <v>176</v>
      </c>
      <c r="Z868" s="64" t="str">
        <f>IF(AA868&lt;&gt;0,VLOOKUP(AA868,DM_DUAN,3,0),"")</f>
        <v>#N/A</v>
      </c>
      <c r="AA868" s="70" t="s">
        <v>177</v>
      </c>
      <c r="AB868" s="64" t="str">
        <f>IF(AC868&lt;&gt;0,VLOOKUP(AC868,DM_DUAN,3,0),"")</f>
        <v>#N/A</v>
      </c>
      <c r="AC868" s="70" t="s">
        <v>791</v>
      </c>
      <c r="AD868" s="64" t="str">
        <f>IF(AC868&lt;&gt;0,VLOOKUP(AC868,DM_NV,2,0),"")</f>
        <v>Hồ Thị Thuý An</v>
      </c>
      <c r="AE868" s="68"/>
      <c r="AF868" s="64" t="str">
        <f>IF(AE868&lt;&gt;0,VLOOKUP(AE868,DM_NV,2,0),"")</f>
        <v/>
      </c>
    </row>
    <row r="869">
      <c r="A869" s="51"/>
      <c r="B869" s="52"/>
      <c r="C869" s="53" t="str">
        <f t="shared" si="4"/>
        <v>04/2022</v>
      </c>
      <c r="D869" s="99">
        <v>44667.0</v>
      </c>
      <c r="E869" s="55" t="s">
        <v>897</v>
      </c>
      <c r="F869" s="56"/>
      <c r="G869" s="57" t="s">
        <v>200</v>
      </c>
      <c r="H869" s="58" t="str">
        <f>IF(G869="","",VLOOKUP($G869,'Quy chuẩn hạch toán'!$B:$E,2,0))</f>
        <v>154</v>
      </c>
      <c r="I869" s="58" t="str">
        <f>IF(H869="","",VLOOKUP($G869,'Quy chuẩn hạch toán'!$B:$E,3,0))</f>
        <v>3343</v>
      </c>
      <c r="J869" s="59">
        <v>1000000.0</v>
      </c>
      <c r="K869" s="60"/>
      <c r="L869" s="61"/>
      <c r="M869" s="62"/>
      <c r="N869" s="63"/>
      <c r="O869" s="64" t="str">
        <f>IF($Q869&lt;&gt;0,VLOOKUP($Q869,DM_KM,3,0),"")</f>
        <v>#N/A</v>
      </c>
      <c r="P869" s="64" t="str">
        <f>IF($Q869&lt;&gt;0,VLOOKUP($Q869,DM_KM,5,0),"")</f>
        <v>#N/A</v>
      </c>
      <c r="Q869" s="65" t="s">
        <v>201</v>
      </c>
      <c r="R869" s="64" t="str">
        <f>IF(S869&lt;&gt;0,VLOOKUP(S869,DM_DUAN,3,0),"")</f>
        <v>#N/A</v>
      </c>
      <c r="S869" s="66" t="str">
        <f>IF(U869&lt;&gt;0,VLOOKUP(U869,DM_DUAN,3,0),"")</f>
        <v>KIMCUONGLAND</v>
      </c>
      <c r="T869" s="64"/>
      <c r="U869" s="67" t="s">
        <v>638</v>
      </c>
      <c r="V869" s="64" t="str">
        <f>IF(W869&lt;&gt;0,VLOOKUP(W869,DM_DUAN,3,0),"")</f>
        <v>#N/A</v>
      </c>
      <c r="W869" s="83" t="s">
        <v>894</v>
      </c>
      <c r="X869" s="64" t="str">
        <f>IF(Y869&lt;&gt;0,VLOOKUP(Y869,DM_DUAN,3,0),"")</f>
        <v>#N/A</v>
      </c>
      <c r="Y869" s="69" t="s">
        <v>176</v>
      </c>
      <c r="Z869" s="64" t="str">
        <f>IF(AA869&lt;&gt;0,VLOOKUP(AA869,DM_DUAN,3,0),"")</f>
        <v>#N/A</v>
      </c>
      <c r="AA869" s="70" t="s">
        <v>177</v>
      </c>
      <c r="AB869" s="64" t="str">
        <f>IF(AC869&lt;&gt;0,VLOOKUP(AC869,DM_DUAN,3,0),"")</f>
        <v>#N/A</v>
      </c>
      <c r="AC869" s="70" t="s">
        <v>791</v>
      </c>
      <c r="AD869" s="64" t="str">
        <f>IF(AC869&lt;&gt;0,VLOOKUP(AC869,DM_NV,2,0),"")</f>
        <v>Hồ Thị Thuý An</v>
      </c>
      <c r="AE869" s="68"/>
      <c r="AF869" s="64" t="str">
        <f>IF(AE869&lt;&gt;0,VLOOKUP(AE869,DM_NV,2,0),"")</f>
        <v/>
      </c>
    </row>
    <row r="870">
      <c r="A870" s="51"/>
      <c r="B870" s="52"/>
      <c r="C870" s="53" t="str">
        <f t="shared" si="4"/>
        <v>04/2022</v>
      </c>
      <c r="D870" s="99">
        <v>44667.0</v>
      </c>
      <c r="E870" s="55" t="s">
        <v>898</v>
      </c>
      <c r="F870" s="126"/>
      <c r="G870" s="156"/>
      <c r="H870" s="58" t="str">
        <f>IF(G870="","",VLOOKUP($G870,'Quy chuẩn hạch toán'!$B:$E,2,0))</f>
        <v/>
      </c>
      <c r="I870" s="58" t="str">
        <f>IF(H870="","",VLOOKUP($G870,'Quy chuẩn hạch toán'!$B:$E,3,0))</f>
        <v/>
      </c>
      <c r="J870" s="102">
        <v>7920000.0</v>
      </c>
      <c r="K870" s="60"/>
      <c r="L870" s="61"/>
      <c r="M870" s="62"/>
      <c r="N870" s="63"/>
      <c r="O870" s="64" t="str">
        <f>IF($Q870&lt;&gt;0,VLOOKUP($Q870,DM_KM,3,0),"")</f>
        <v>#N/A</v>
      </c>
      <c r="P870" s="64" t="str">
        <f>IF($Q870&lt;&gt;0,VLOOKUP($Q870,DM_KM,5,0),"")</f>
        <v>#N/A</v>
      </c>
      <c r="Q870" s="65" t="s">
        <v>203</v>
      </c>
      <c r="R870" s="64" t="str">
        <f>IF(S870&lt;&gt;0,VLOOKUP(S870,DM_DUAN,3,0),"")</f>
        <v>#N/A</v>
      </c>
      <c r="S870" s="66" t="str">
        <f>IF(U870&lt;&gt;0,VLOOKUP(U870,DM_DUAN,3,0),"")</f>
        <v>KIMCUONGLAND</v>
      </c>
      <c r="T870" s="64"/>
      <c r="U870" s="67" t="s">
        <v>638</v>
      </c>
      <c r="V870" s="64" t="str">
        <f>IF(W870&lt;&gt;0,VLOOKUP(W870,DM_DUAN,3,0),"")</f>
        <v>#N/A</v>
      </c>
      <c r="W870" s="83" t="s">
        <v>894</v>
      </c>
      <c r="X870" s="64" t="str">
        <f>IF(Y870&lt;&gt;0,VLOOKUP(Y870,DM_DUAN,3,0),"")</f>
        <v>#N/A</v>
      </c>
      <c r="Y870" s="69" t="s">
        <v>176</v>
      </c>
      <c r="Z870" s="64" t="str">
        <f>IF(AA870&lt;&gt;0,VLOOKUP(AA870,DM_DUAN,3,0),"")</f>
        <v>#N/A</v>
      </c>
      <c r="AA870" s="70" t="s">
        <v>177</v>
      </c>
      <c r="AB870" s="64" t="str">
        <f>IF(AC870&lt;&gt;0,VLOOKUP(AC870,DM_DUAN,3,0),"")</f>
        <v>#N/A</v>
      </c>
      <c r="AC870" s="70" t="s">
        <v>791</v>
      </c>
      <c r="AD870" s="64" t="str">
        <f>IF(AC870&lt;&gt;0,VLOOKUP(AC870,DM_NV,2,0),"")</f>
        <v>Hồ Thị Thuý An</v>
      </c>
      <c r="AE870" s="68"/>
      <c r="AF870" s="64" t="str">
        <f>IF(AE870&lt;&gt;0,VLOOKUP(AE870,DM_NV,2,0),"")</f>
        <v/>
      </c>
    </row>
    <row r="871">
      <c r="A871" s="51"/>
      <c r="B871" s="52"/>
      <c r="C871" s="53" t="str">
        <f t="shared" si="4"/>
        <v>04/2022</v>
      </c>
      <c r="D871" s="99">
        <v>44667.0</v>
      </c>
      <c r="E871" s="107" t="s">
        <v>899</v>
      </c>
      <c r="F871" s="110"/>
      <c r="G871" s="57" t="s">
        <v>275</v>
      </c>
      <c r="H871" s="58" t="str">
        <f>IF(G871="","",VLOOKUP($G871,'Quy chuẩn hạch toán'!$B:$E,2,0))</f>
        <v>3341</v>
      </c>
      <c r="I871" s="58" t="str">
        <f>IF(H871="","",VLOOKUP($G871,'Quy chuẩn hạch toán'!$B:$E,3,0))</f>
        <v>1111</v>
      </c>
      <c r="J871" s="105">
        <v>4500000.0</v>
      </c>
      <c r="K871" s="60"/>
      <c r="L871" s="61"/>
      <c r="M871" s="62"/>
      <c r="N871" s="63"/>
      <c r="O871" s="64" t="str">
        <f>IF($Q871&lt;&gt;0,VLOOKUP($Q871,DM_KM,3,0),"")</f>
        <v/>
      </c>
      <c r="P871" s="64" t="str">
        <f>IF($Q871&lt;&gt;0,VLOOKUP($Q871,DM_KM,5,0),"")</f>
        <v/>
      </c>
      <c r="Q871" s="65"/>
      <c r="R871" s="64" t="str">
        <f>IF(S871&lt;&gt;0,VLOOKUP(S871,DM_DUAN,3,0),"")</f>
        <v>#N/A</v>
      </c>
      <c r="S871" s="66" t="str">
        <f>IF(U871&lt;&gt;0,VLOOKUP(U871,DM_DUAN,3,0),"")</f>
        <v>THANHNAM</v>
      </c>
      <c r="T871" s="64"/>
      <c r="U871" s="67" t="s">
        <v>530</v>
      </c>
      <c r="V871" s="64" t="str">
        <f>IF(W871&lt;&gt;0,VLOOKUP(W871,DM_DUAN,3,0),"")</f>
        <v>#N/A</v>
      </c>
      <c r="W871" s="83" t="s">
        <v>757</v>
      </c>
      <c r="X871" s="64" t="str">
        <f>IF(Y871&lt;&gt;0,VLOOKUP(Y871,DM_DUAN,3,0),"")</f>
        <v>#N/A</v>
      </c>
      <c r="Y871" s="69" t="s">
        <v>176</v>
      </c>
      <c r="Z871" s="64" t="str">
        <f>IF(AA871&lt;&gt;0,VLOOKUP(AA871,DM_DUAN,3,0),"")</f>
        <v>#N/A</v>
      </c>
      <c r="AA871" s="70" t="s">
        <v>183</v>
      </c>
      <c r="AB871" s="64" t="str">
        <f>IF(AC871&lt;&gt;0,VLOOKUP(AC871,DM_DUAN,3,0),"")</f>
        <v>#N/A</v>
      </c>
      <c r="AC871" s="70" t="s">
        <v>232</v>
      </c>
      <c r="AD871" s="64" t="str">
        <f>IF(AC871&lt;&gt;0,VLOOKUP(AC871,DM_NV,2,0),"")</f>
        <v>Lê Quốc Tuấn</v>
      </c>
      <c r="AE871" s="83" t="s">
        <v>276</v>
      </c>
      <c r="AF871" s="64" t="str">
        <f>IF(AE871&lt;&gt;0,VLOOKUP(AE871,DM_NV,2,0),"")</f>
        <v>#N/A</v>
      </c>
    </row>
    <row r="872">
      <c r="A872" s="51"/>
      <c r="B872" s="52"/>
      <c r="C872" s="53" t="str">
        <f t="shared" si="4"/>
        <v>04/2022</v>
      </c>
      <c r="D872" s="99">
        <v>44667.0</v>
      </c>
      <c r="E872" s="107" t="s">
        <v>900</v>
      </c>
      <c r="F872" s="110"/>
      <c r="G872" s="57" t="s">
        <v>275</v>
      </c>
      <c r="H872" s="58" t="str">
        <f>IF(G872="","",VLOOKUP($G872,'Quy chuẩn hạch toán'!$B:$E,2,0))</f>
        <v>3341</v>
      </c>
      <c r="I872" s="58" t="str">
        <f>IF(H872="","",VLOOKUP($G872,'Quy chuẩn hạch toán'!$B:$E,3,0))</f>
        <v>1111</v>
      </c>
      <c r="J872" s="105">
        <v>6.5E7</v>
      </c>
      <c r="K872" s="60"/>
      <c r="L872" s="61"/>
      <c r="M872" s="62"/>
      <c r="N872" s="63"/>
      <c r="O872" s="64" t="str">
        <f>IF($Q872&lt;&gt;0,VLOOKUP($Q872,DM_KM,3,0),"")</f>
        <v/>
      </c>
      <c r="P872" s="64" t="str">
        <f>IF($Q872&lt;&gt;0,VLOOKUP($Q872,DM_KM,5,0),"")</f>
        <v/>
      </c>
      <c r="Q872" s="89"/>
      <c r="R872" s="64" t="str">
        <f>IF(S872&lt;&gt;0,VLOOKUP(S872,DM_DUAN,3,0),"")</f>
        <v>#N/A</v>
      </c>
      <c r="S872" s="66" t="str">
        <f>IF(U872&lt;&gt;0,VLOOKUP(U872,DM_DUAN,3,0),"")</f>
        <v>THANHNAM</v>
      </c>
      <c r="T872" s="64"/>
      <c r="U872" s="67" t="s">
        <v>530</v>
      </c>
      <c r="V872" s="64" t="str">
        <f>IF(W872&lt;&gt;0,VLOOKUP(W872,DM_DUAN,3,0),"")</f>
        <v>#N/A</v>
      </c>
      <c r="W872" s="83" t="s">
        <v>757</v>
      </c>
      <c r="X872" s="64" t="str">
        <f>IF(Y872&lt;&gt;0,VLOOKUP(Y872,DM_DUAN,3,0),"")</f>
        <v>#N/A</v>
      </c>
      <c r="Y872" s="69" t="s">
        <v>176</v>
      </c>
      <c r="Z872" s="64" t="str">
        <f>IF(AA872&lt;&gt;0,VLOOKUP(AA872,DM_DUAN,3,0),"")</f>
        <v>#N/A</v>
      </c>
      <c r="AA872" s="70" t="s">
        <v>183</v>
      </c>
      <c r="AB872" s="64" t="str">
        <f>IF(AC872&lt;&gt;0,VLOOKUP(AC872,DM_DUAN,3,0),"")</f>
        <v>#N/A</v>
      </c>
      <c r="AC872" s="70" t="s">
        <v>758</v>
      </c>
      <c r="AD872" s="64" t="str">
        <f>IF(AC872&lt;&gt;0,VLOOKUP(AC872,DM_NV,2,0),"")</f>
        <v>Nguyễn Chí Tâm</v>
      </c>
      <c r="AE872" s="83" t="s">
        <v>276</v>
      </c>
      <c r="AF872" s="64" t="str">
        <f>IF(AE872&lt;&gt;0,VLOOKUP(AE872,DM_NV,2,0),"")</f>
        <v>#N/A</v>
      </c>
    </row>
    <row r="873">
      <c r="A873" s="51"/>
      <c r="B873" s="52"/>
      <c r="C873" s="53" t="str">
        <f t="shared" si="4"/>
        <v>04/2022</v>
      </c>
      <c r="D873" s="99">
        <v>44667.0</v>
      </c>
      <c r="E873" s="141" t="s">
        <v>901</v>
      </c>
      <c r="F873" s="142"/>
      <c r="G873" s="100" t="s">
        <v>278</v>
      </c>
      <c r="H873" s="58" t="str">
        <f>IF(G873="","",VLOOKUP($G873,'Quy chuẩn hạch toán'!$B:$E,2,0))</f>
        <v>154</v>
      </c>
      <c r="I873" s="58" t="str">
        <f>IF(H873="","",VLOOKUP($G873,'Quy chuẩn hạch toán'!$B:$E,3,0))</f>
        <v>1111</v>
      </c>
      <c r="J873" s="152">
        <v>1000000.0</v>
      </c>
      <c r="K873" s="60"/>
      <c r="L873" s="61"/>
      <c r="M873" s="62"/>
      <c r="N873" s="63"/>
      <c r="O873" s="64"/>
      <c r="P873" s="64"/>
      <c r="Q873" s="89"/>
      <c r="R873" s="64"/>
      <c r="S873" s="66"/>
      <c r="T873" s="64"/>
      <c r="U873" s="67" t="s">
        <v>530</v>
      </c>
      <c r="V873" s="64"/>
      <c r="W873" s="83" t="s">
        <v>757</v>
      </c>
      <c r="X873" s="64"/>
      <c r="Y873" s="69" t="s">
        <v>176</v>
      </c>
      <c r="Z873" s="64"/>
      <c r="AA873" s="70" t="s">
        <v>183</v>
      </c>
      <c r="AB873" s="64"/>
      <c r="AC873" s="70"/>
      <c r="AD873" s="64" t="str">
        <f>IF(AC873&lt;&gt;0,VLOOKUP(AC873,DM_NV,2,0),"")</f>
        <v/>
      </c>
      <c r="AE873" s="83" t="s">
        <v>263</v>
      </c>
      <c r="AF873" s="64" t="str">
        <f>IF(AE873&lt;&gt;0,VLOOKUP(AE873,DM_NV,2,0),"")</f>
        <v>#N/A</v>
      </c>
    </row>
    <row r="874">
      <c r="A874" s="51"/>
      <c r="B874" s="52"/>
      <c r="C874" s="53" t="str">
        <f t="shared" si="4"/>
        <v>04/2022</v>
      </c>
      <c r="D874" s="99">
        <v>44667.0</v>
      </c>
      <c r="E874" s="107" t="s">
        <v>902</v>
      </c>
      <c r="F874" s="110"/>
      <c r="G874" s="57" t="s">
        <v>282</v>
      </c>
      <c r="H874" s="58" t="str">
        <f>IF(G874="","",VLOOKUP($G874,'Quy chuẩn hạch toán'!$B:$E,2,0))</f>
        <v>1111</v>
      </c>
      <c r="I874" s="58" t="str">
        <f>IF(H874="","",VLOOKUP($G874,'Quy chuẩn hạch toán'!$B:$E,3,0))</f>
        <v>131</v>
      </c>
      <c r="J874" s="105">
        <v>1.76E8</v>
      </c>
      <c r="K874" s="60"/>
      <c r="L874" s="61"/>
      <c r="M874" s="62"/>
      <c r="N874" s="63"/>
      <c r="O874" s="64" t="str">
        <f>IF($Q874&lt;&gt;0,VLOOKUP($Q874,DM_KM,3,0),"")</f>
        <v/>
      </c>
      <c r="P874" s="64" t="str">
        <f>IF($Q874&lt;&gt;0,VLOOKUP($Q874,DM_KM,5,0),"")</f>
        <v/>
      </c>
      <c r="Q874" s="89"/>
      <c r="R874" s="64" t="str">
        <f>IF(S874&lt;&gt;0,VLOOKUP(S874,DM_DUAN,3,0),"")</f>
        <v>#N/A</v>
      </c>
      <c r="S874" s="66" t="str">
        <f>IF(U874&lt;&gt;0,VLOOKUP(U874,DM_DUAN,3,0),"")</f>
        <v>THANHNAM</v>
      </c>
      <c r="T874" s="64"/>
      <c r="U874" s="67" t="s">
        <v>530</v>
      </c>
      <c r="V874" s="64" t="str">
        <f>IF(W874&lt;&gt;0,VLOOKUP(W874,DM_DUAN,3,0),"")</f>
        <v>#N/A</v>
      </c>
      <c r="W874" s="83" t="s">
        <v>757</v>
      </c>
      <c r="X874" s="64" t="str">
        <f>IF(Y874&lt;&gt;0,VLOOKUP(Y874,DM_DUAN,3,0),"")</f>
        <v>#N/A</v>
      </c>
      <c r="Y874" s="69" t="s">
        <v>176</v>
      </c>
      <c r="Z874" s="64" t="str">
        <f>IF(AA874&lt;&gt;0,VLOOKUP(AA874,DM_DUAN,3,0),"")</f>
        <v>#N/A</v>
      </c>
      <c r="AA874" s="70" t="s">
        <v>183</v>
      </c>
      <c r="AB874" s="64" t="str">
        <f>IF(AC874&lt;&gt;0,VLOOKUP(AC874,DM_DUAN,3,0),"")</f>
        <v/>
      </c>
      <c r="AC874" s="85"/>
      <c r="AD874" s="64" t="str">
        <f>IF(AC874&lt;&gt;0,VLOOKUP(AC874,DM_NV,2,0),"")</f>
        <v/>
      </c>
      <c r="AE874" s="68"/>
      <c r="AF874" s="64" t="str">
        <f>IF(AE874&lt;&gt;0,VLOOKUP(AE874,DM_NV,2,0),"")</f>
        <v/>
      </c>
    </row>
    <row r="875">
      <c r="A875" s="51"/>
      <c r="B875" s="52"/>
      <c r="C875" s="53" t="str">
        <f t="shared" si="4"/>
        <v>04/2022</v>
      </c>
      <c r="D875" s="99">
        <v>44667.0</v>
      </c>
      <c r="E875" s="55" t="s">
        <v>903</v>
      </c>
      <c r="F875" s="56"/>
      <c r="G875" s="57" t="s">
        <v>275</v>
      </c>
      <c r="H875" s="58" t="str">
        <f>IF(G875="","",VLOOKUP($G875,'Quy chuẩn hạch toán'!$B:$E,2,0))</f>
        <v>3341</v>
      </c>
      <c r="I875" s="58" t="str">
        <f>IF(H875="","",VLOOKUP($G875,'Quy chuẩn hạch toán'!$B:$E,3,0))</f>
        <v>1111</v>
      </c>
      <c r="J875" s="59">
        <v>6.0E7</v>
      </c>
      <c r="K875" s="60"/>
      <c r="L875" s="61"/>
      <c r="M875" s="62"/>
      <c r="N875" s="63"/>
      <c r="O875" s="64" t="str">
        <f>IF($Q875&lt;&gt;0,VLOOKUP($Q875,DM_KM,3,0),"")</f>
        <v/>
      </c>
      <c r="P875" s="64" t="str">
        <f>IF($Q875&lt;&gt;0,VLOOKUP($Q875,DM_KM,5,0),"")</f>
        <v/>
      </c>
      <c r="Q875" s="89"/>
      <c r="R875" s="64" t="str">
        <f>IF(S875&lt;&gt;0,VLOOKUP(S875,DM_DUAN,3,0),"")</f>
        <v>#N/A</v>
      </c>
      <c r="S875" s="66" t="str">
        <f>IF(U875&lt;&gt;0,VLOOKUP(U875,DM_DUAN,3,0),"")</f>
        <v>THANHNAM</v>
      </c>
      <c r="T875" s="64"/>
      <c r="U875" s="67" t="s">
        <v>530</v>
      </c>
      <c r="V875" s="64" t="str">
        <f>IF(W875&lt;&gt;0,VLOOKUP(W875,DM_DUAN,3,0),"")</f>
        <v>#N/A</v>
      </c>
      <c r="W875" s="83" t="s">
        <v>799</v>
      </c>
      <c r="X875" s="64" t="str">
        <f>IF(Y875&lt;&gt;0,VLOOKUP(Y875,DM_DUAN,3,0),"")</f>
        <v>#N/A</v>
      </c>
      <c r="Y875" s="69" t="s">
        <v>176</v>
      </c>
      <c r="Z875" s="64" t="str">
        <f>IF(AA875&lt;&gt;0,VLOOKUP(AA875,DM_DUAN,3,0),"")</f>
        <v>#N/A</v>
      </c>
      <c r="AA875" s="70" t="s">
        <v>183</v>
      </c>
      <c r="AB875" s="64" t="str">
        <f>IF(AC875&lt;&gt;0,VLOOKUP(AC875,DM_DUAN,3,0),"")</f>
        <v>#N/A</v>
      </c>
      <c r="AC875" s="70" t="s">
        <v>800</v>
      </c>
      <c r="AD875" s="64" t="str">
        <f>IF(AC875&lt;&gt;0,VLOOKUP(AC875,DM_NV,2,0),"")</f>
        <v>Huỳnh Hải Âu</v>
      </c>
      <c r="AE875" s="83" t="s">
        <v>276</v>
      </c>
      <c r="AF875" s="64" t="str">
        <f>IF(AE875&lt;&gt;0,VLOOKUP(AE875,DM_NV,2,0),"")</f>
        <v>#N/A</v>
      </c>
    </row>
    <row r="876">
      <c r="A876" s="51"/>
      <c r="B876" s="52" t="str">
        <f>IF(D876="","",VLOOKUP(D876,'THAM CHIẾU'!$A:$B,2,0))</f>
        <v>#N/A</v>
      </c>
      <c r="C876" s="53" t="str">
        <f t="shared" si="4"/>
        <v>04/2022</v>
      </c>
      <c r="D876" s="99">
        <v>44667.0</v>
      </c>
      <c r="E876" s="79" t="s">
        <v>904</v>
      </c>
      <c r="F876" s="80"/>
      <c r="G876" s="100" t="s">
        <v>278</v>
      </c>
      <c r="H876" s="58" t="str">
        <f>IF(G876="","",VLOOKUP($G876,'Quy chuẩn hạch toán'!$B:$E,2,0))</f>
        <v>154</v>
      </c>
      <c r="I876" s="58" t="str">
        <f>IF(H876="","",VLOOKUP($G876,'Quy chuẩn hạch toán'!$B:$E,3,0))</f>
        <v>1111</v>
      </c>
      <c r="J876" s="101">
        <v>1000000.0</v>
      </c>
      <c r="K876" s="60"/>
      <c r="L876" s="61"/>
      <c r="M876" s="62"/>
      <c r="N876" s="63"/>
      <c r="O876" s="64"/>
      <c r="P876" s="64"/>
      <c r="Q876" s="89"/>
      <c r="R876" s="64"/>
      <c r="S876" s="66"/>
      <c r="T876" s="64"/>
      <c r="U876" s="67" t="s">
        <v>530</v>
      </c>
      <c r="V876" s="64"/>
      <c r="W876" s="83" t="s">
        <v>799</v>
      </c>
      <c r="X876" s="64"/>
      <c r="Y876" s="69" t="s">
        <v>176</v>
      </c>
      <c r="Z876" s="64"/>
      <c r="AA876" s="70" t="s">
        <v>183</v>
      </c>
      <c r="AB876" s="64"/>
      <c r="AC876" s="70"/>
      <c r="AD876" s="64" t="str">
        <f>IF(AC876&lt;&gt;0,VLOOKUP(AC876,DM_NV,2,0),"")</f>
        <v/>
      </c>
      <c r="AE876" s="83" t="s">
        <v>263</v>
      </c>
      <c r="AF876" s="64" t="str">
        <f>IF(AE876&lt;&gt;0,VLOOKUP(AE876,DM_NV,2,0),"")</f>
        <v>#N/A</v>
      </c>
    </row>
    <row r="877">
      <c r="A877" s="51"/>
      <c r="B877" s="52" t="str">
        <f>IF(D877="","",VLOOKUP(D877,'THAM CHIẾU'!$A:$B,2,0))</f>
        <v>#N/A</v>
      </c>
      <c r="C877" s="53" t="str">
        <f t="shared" si="4"/>
        <v>04/2022</v>
      </c>
      <c r="D877" s="99">
        <v>44667.0</v>
      </c>
      <c r="E877" s="55" t="s">
        <v>905</v>
      </c>
      <c r="F877" s="56"/>
      <c r="G877" s="57" t="s">
        <v>275</v>
      </c>
      <c r="H877" s="58" t="str">
        <f>IF(G877="","",VLOOKUP($G877,'Quy chuẩn hạch toán'!$B:$E,2,0))</f>
        <v>3341</v>
      </c>
      <c r="I877" s="58" t="str">
        <f>IF(H877="","",VLOOKUP($G877,'Quy chuẩn hạch toán'!$B:$E,3,0))</f>
        <v>1111</v>
      </c>
      <c r="J877" s="59">
        <v>4500000.0</v>
      </c>
      <c r="K877" s="60"/>
      <c r="L877" s="61"/>
      <c r="M877" s="62"/>
      <c r="N877" s="63"/>
      <c r="O877" s="64" t="str">
        <f>IF($Q877&lt;&gt;0,VLOOKUP($Q877,DM_KM,3,0),"")</f>
        <v/>
      </c>
      <c r="P877" s="64" t="str">
        <f>IF($Q877&lt;&gt;0,VLOOKUP($Q877,DM_KM,5,0),"")</f>
        <v/>
      </c>
      <c r="Q877" s="65"/>
      <c r="R877" s="64" t="str">
        <f>IF(S877&lt;&gt;0,VLOOKUP(S877,DM_DUAN,3,0),"")</f>
        <v>#N/A</v>
      </c>
      <c r="S877" s="66" t="str">
        <f>IF(U877&lt;&gt;0,VLOOKUP(U877,DM_DUAN,3,0),"")</f>
        <v>THANHNAM</v>
      </c>
      <c r="T877" s="64"/>
      <c r="U877" s="67" t="s">
        <v>530</v>
      </c>
      <c r="V877" s="64" t="str">
        <f>IF(W877&lt;&gt;0,VLOOKUP(W877,DM_DUAN,3,0),"")</f>
        <v>#N/A</v>
      </c>
      <c r="W877" s="83" t="s">
        <v>799</v>
      </c>
      <c r="X877" s="64" t="str">
        <f>IF(Y877&lt;&gt;0,VLOOKUP(Y877,DM_DUAN,3,0),"")</f>
        <v>#N/A</v>
      </c>
      <c r="Y877" s="69" t="s">
        <v>176</v>
      </c>
      <c r="Z877" s="64" t="str">
        <f>IF(AA877&lt;&gt;0,VLOOKUP(AA877,DM_DUAN,3,0),"")</f>
        <v>#N/A</v>
      </c>
      <c r="AA877" s="70" t="s">
        <v>183</v>
      </c>
      <c r="AB877" s="64" t="str">
        <f>IF(AC877&lt;&gt;0,VLOOKUP(AC877,DM_DUAN,3,0),"")</f>
        <v>#N/A</v>
      </c>
      <c r="AC877" s="70" t="s">
        <v>195</v>
      </c>
      <c r="AD877" s="64" t="str">
        <f>IF(AC877&lt;&gt;0,VLOOKUP(AC877,DM_NV,2,0),"")</f>
        <v>Phan Thị Thùy Mai</v>
      </c>
      <c r="AE877" s="83" t="s">
        <v>276</v>
      </c>
      <c r="AF877" s="64" t="str">
        <f>IF(AE877&lt;&gt;0,VLOOKUP(AE877,DM_NV,2,0),"")</f>
        <v>#N/A</v>
      </c>
    </row>
    <row r="878">
      <c r="A878" s="51"/>
      <c r="B878" s="52" t="str">
        <f>IF(D878="","",VLOOKUP(D878,'THAM CHIẾU'!$A:$B,2,0))</f>
        <v>#N/A</v>
      </c>
      <c r="C878" s="53" t="str">
        <f t="shared" si="4"/>
        <v>04/2022</v>
      </c>
      <c r="D878" s="99">
        <v>44667.0</v>
      </c>
      <c r="E878" s="55" t="s">
        <v>906</v>
      </c>
      <c r="F878" s="56"/>
      <c r="G878" s="57" t="s">
        <v>282</v>
      </c>
      <c r="H878" s="58" t="str">
        <f>IF(G878="","",VLOOKUP($G878,'Quy chuẩn hạch toán'!$B:$E,2,0))</f>
        <v>1111</v>
      </c>
      <c r="I878" s="58" t="str">
        <f>IF(H878="","",VLOOKUP($G878,'Quy chuẩn hạch toán'!$B:$E,3,0))</f>
        <v>131</v>
      </c>
      <c r="J878" s="59">
        <v>1.71E8</v>
      </c>
      <c r="K878" s="60"/>
      <c r="L878" s="61"/>
      <c r="M878" s="62"/>
      <c r="N878" s="63"/>
      <c r="O878" s="64" t="str">
        <f>IF($Q878&lt;&gt;0,VLOOKUP($Q878,DM_KM,3,0),"")</f>
        <v/>
      </c>
      <c r="P878" s="64" t="str">
        <f>IF($Q878&lt;&gt;0,VLOOKUP($Q878,DM_KM,5,0),"")</f>
        <v/>
      </c>
      <c r="Q878" s="89"/>
      <c r="R878" s="64" t="str">
        <f>IF(S878&lt;&gt;0,VLOOKUP(S878,DM_DUAN,3,0),"")</f>
        <v>#N/A</v>
      </c>
      <c r="S878" s="66" t="str">
        <f>IF(U878&lt;&gt;0,VLOOKUP(U878,DM_DUAN,3,0),"")</f>
        <v>THANHNAM</v>
      </c>
      <c r="T878" s="64"/>
      <c r="U878" s="67" t="s">
        <v>530</v>
      </c>
      <c r="V878" s="64" t="str">
        <f>IF(W878&lt;&gt;0,VLOOKUP(W878,DM_DUAN,3,0),"")</f>
        <v>#N/A</v>
      </c>
      <c r="W878" s="83" t="s">
        <v>799</v>
      </c>
      <c r="X878" s="64" t="str">
        <f>IF(Y878&lt;&gt;0,VLOOKUP(Y878,DM_DUAN,3,0),"")</f>
        <v>#N/A</v>
      </c>
      <c r="Y878" s="69" t="s">
        <v>176</v>
      </c>
      <c r="Z878" s="64" t="str">
        <f>IF(AA878&lt;&gt;0,VLOOKUP(AA878,DM_DUAN,3,0),"")</f>
        <v>#N/A</v>
      </c>
      <c r="AA878" s="70" t="s">
        <v>183</v>
      </c>
      <c r="AB878" s="64" t="str">
        <f>IF(AC878&lt;&gt;0,VLOOKUP(AC878,DM_DUAN,3,0),"")</f>
        <v/>
      </c>
      <c r="AC878" s="85"/>
      <c r="AD878" s="64" t="str">
        <f>IF(AC878&lt;&gt;0,VLOOKUP(AC878,DM_NV,2,0),"")</f>
        <v/>
      </c>
      <c r="AE878" s="68"/>
      <c r="AF878" s="64" t="str">
        <f>IF(AE878&lt;&gt;0,VLOOKUP(AE878,DM_NV,2,0),"")</f>
        <v/>
      </c>
    </row>
    <row r="879">
      <c r="A879" s="51"/>
      <c r="B879" s="52" t="str">
        <f>IF(D879="","",VLOOKUP(D879,'THAM CHIẾU'!$A:$B,2,0))</f>
        <v>#N/A</v>
      </c>
      <c r="C879" s="53" t="str">
        <f t="shared" si="4"/>
        <v>04/2022</v>
      </c>
      <c r="D879" s="99">
        <v>44667.0</v>
      </c>
      <c r="E879" s="55" t="s">
        <v>907</v>
      </c>
      <c r="F879" s="56"/>
      <c r="G879" s="57" t="s">
        <v>173</v>
      </c>
      <c r="H879" s="58" t="str">
        <f>IF(G879="","",VLOOKUP($G879,'Quy chuẩn hạch toán'!$B:$E,2,0))</f>
        <v>641</v>
      </c>
      <c r="I879" s="58" t="str">
        <f>IF(H879="","",VLOOKUP($G879,'Quy chuẩn hạch toán'!$B:$E,3,0))</f>
        <v>331</v>
      </c>
      <c r="J879" s="59">
        <v>1880000.0</v>
      </c>
      <c r="K879" s="60"/>
      <c r="L879" s="61"/>
      <c r="M879" s="62"/>
      <c r="N879" s="63"/>
      <c r="O879" s="64" t="str">
        <f>IF($Q879&lt;&gt;0,VLOOKUP($Q879,DM_KM,3,0),"")</f>
        <v>#N/A</v>
      </c>
      <c r="P879" s="64" t="str">
        <f>IF($Q879&lt;&gt;0,VLOOKUP($Q879,DM_KM,5,0),"")</f>
        <v>#N/A</v>
      </c>
      <c r="Q879" s="65" t="s">
        <v>174</v>
      </c>
      <c r="R879" s="64" t="str">
        <f>IF(S879&lt;&gt;0,VLOOKUP(S879,DM_DUAN,3,0),"")</f>
        <v>#N/A</v>
      </c>
      <c r="S879" s="66" t="str">
        <f>IF(U879&lt;&gt;0,VLOOKUP(U879,DM_DUAN,3,0),"")</f>
        <v>KIMCUONGLAND</v>
      </c>
      <c r="T879" s="64"/>
      <c r="U879" s="67" t="s">
        <v>638</v>
      </c>
      <c r="V879" s="64" t="str">
        <f>IF(W879&lt;&gt;0,VLOOKUP(W879,DM_DUAN,3,0),"")</f>
        <v/>
      </c>
      <c r="W879" s="68"/>
      <c r="X879" s="64" t="str">
        <f>IF(Y879&lt;&gt;0,VLOOKUP(Y879,DM_DUAN,3,0),"")</f>
        <v>#N/A</v>
      </c>
      <c r="Y879" s="69" t="s">
        <v>176</v>
      </c>
      <c r="Z879" s="64" t="str">
        <f>IF(AA879&lt;&gt;0,VLOOKUP(AA879,DM_DUAN,3,0),"")</f>
        <v>#N/A</v>
      </c>
      <c r="AA879" s="70" t="s">
        <v>177</v>
      </c>
      <c r="AB879" s="64" t="str">
        <f>IF(AC879&lt;&gt;0,VLOOKUP(AC879,DM_DUAN,3,0),"")</f>
        <v/>
      </c>
      <c r="AC879" s="85"/>
      <c r="AD879" s="64" t="str">
        <f>IF(AC879&lt;&gt;0,VLOOKUP(AC879,DM_NV,2,0),"")</f>
        <v/>
      </c>
      <c r="AE879" s="68"/>
      <c r="AF879" s="64" t="str">
        <f>IF(AE879&lt;&gt;0,VLOOKUP(AE879,DM_NV,2,0),"")</f>
        <v/>
      </c>
    </row>
    <row r="880">
      <c r="A880" s="51"/>
      <c r="B880" s="52" t="str">
        <f>IF(D880="","",VLOOKUP(D880,'THAM CHIẾU'!$A:$B,2,0))</f>
        <v>#N/A</v>
      </c>
      <c r="C880" s="53" t="str">
        <f t="shared" si="4"/>
        <v>04/2022</v>
      </c>
      <c r="D880" s="99">
        <v>44668.0</v>
      </c>
      <c r="E880" s="55" t="s">
        <v>908</v>
      </c>
      <c r="F880" s="56"/>
      <c r="G880" s="57" t="s">
        <v>249</v>
      </c>
      <c r="H880" s="58" t="str">
        <f>IF(G880="","",VLOOKUP($G880,'Quy chuẩn hạch toán'!$B:$E,2,0))</f>
        <v>642</v>
      </c>
      <c r="I880" s="58" t="str">
        <f>IF(H880="","",VLOOKUP($G880,'Quy chuẩn hạch toán'!$B:$E,3,0))</f>
        <v>331</v>
      </c>
      <c r="J880" s="59">
        <v>505263.0</v>
      </c>
      <c r="K880" s="60"/>
      <c r="L880" s="61"/>
      <c r="M880" s="62"/>
      <c r="N880" s="63"/>
      <c r="O880" s="64" t="str">
        <f>IF($Q880&lt;&gt;0,VLOOKUP($Q880,DM_KM,3,0),"")</f>
        <v>#N/A</v>
      </c>
      <c r="P880" s="64" t="str">
        <f>IF($Q880&lt;&gt;0,VLOOKUP($Q880,DM_KM,5,0),"")</f>
        <v>#N/A</v>
      </c>
      <c r="Q880" s="65" t="s">
        <v>174</v>
      </c>
      <c r="R880" s="64" t="str">
        <f>IF(S880&lt;&gt;0,VLOOKUP(S880,DM_DUAN,3,0),"")</f>
        <v>#N/A</v>
      </c>
      <c r="S880" s="66" t="str">
        <f>IF(U880&lt;&gt;0,VLOOKUP(U880,DM_DUAN,3,0),"")</f>
        <v/>
      </c>
      <c r="T880" s="64"/>
      <c r="U880" s="67"/>
      <c r="V880" s="64" t="str">
        <f>IF(W880&lt;&gt;0,VLOOKUP(W880,DM_DUAN,3,0),"")</f>
        <v/>
      </c>
      <c r="W880" s="68"/>
      <c r="X880" s="64" t="str">
        <f>IF(Y880&lt;&gt;0,VLOOKUP(Y880,DM_DUAN,3,0),"")</f>
        <v>#N/A</v>
      </c>
      <c r="Y880" s="69" t="s">
        <v>207</v>
      </c>
      <c r="Z880" s="64" t="str">
        <f>IF(AA880&lt;&gt;0,VLOOKUP(AA880,DM_DUAN,3,0),"")</f>
        <v>#N/A</v>
      </c>
      <c r="AA880" s="70" t="s">
        <v>705</v>
      </c>
      <c r="AB880" s="64" t="str">
        <f>IF(AC880&lt;&gt;0,VLOOKUP(AC880,DM_DUAN,3,0),"")</f>
        <v/>
      </c>
      <c r="AC880" s="85"/>
      <c r="AD880" s="64" t="str">
        <f>IF(AC880&lt;&gt;0,VLOOKUP(AC880,DM_NV,2,0),"")</f>
        <v/>
      </c>
      <c r="AE880" s="68"/>
      <c r="AF880" s="64" t="str">
        <f>IF(AE880&lt;&gt;0,VLOOKUP(AE880,DM_NV,2,0),"")</f>
        <v/>
      </c>
    </row>
    <row r="881">
      <c r="A881" s="51"/>
      <c r="B881" s="52" t="str">
        <f>IF(D881="","",VLOOKUP(D881,'THAM CHIẾU'!$A:$B,2,0))</f>
        <v>#N/A</v>
      </c>
      <c r="C881" s="53" t="str">
        <f t="shared" si="4"/>
        <v>04/2022</v>
      </c>
      <c r="D881" s="99">
        <v>44668.0</v>
      </c>
      <c r="E881" s="55" t="s">
        <v>908</v>
      </c>
      <c r="F881" s="56"/>
      <c r="G881" s="57" t="s">
        <v>249</v>
      </c>
      <c r="H881" s="58" t="str">
        <f>IF(G881="","",VLOOKUP($G881,'Quy chuẩn hạch toán'!$B:$E,2,0))</f>
        <v>642</v>
      </c>
      <c r="I881" s="58" t="str">
        <f>IF(H881="","",VLOOKUP($G881,'Quy chuẩn hạch toán'!$B:$E,3,0))</f>
        <v>331</v>
      </c>
      <c r="J881" s="59">
        <v>1010526.0</v>
      </c>
      <c r="K881" s="60"/>
      <c r="L881" s="61"/>
      <c r="M881" s="62"/>
      <c r="N881" s="63"/>
      <c r="O881" s="64" t="str">
        <f>IF($Q881&lt;&gt;0,VLOOKUP($Q881,DM_KM,3,0),"")</f>
        <v>#N/A</v>
      </c>
      <c r="P881" s="64" t="str">
        <f>IF($Q881&lt;&gt;0,VLOOKUP($Q881,DM_KM,5,0),"")</f>
        <v>#N/A</v>
      </c>
      <c r="Q881" s="65" t="s">
        <v>174</v>
      </c>
      <c r="R881" s="64" t="str">
        <f>IF(S881&lt;&gt;0,VLOOKUP(S881,DM_DUAN,3,0),"")</f>
        <v>#N/A</v>
      </c>
      <c r="S881" s="66" t="str">
        <f>IF(U881&lt;&gt;0,VLOOKUP(U881,DM_DUAN,3,0),"")</f>
        <v/>
      </c>
      <c r="T881" s="64"/>
      <c r="U881" s="93"/>
      <c r="V881" s="64" t="str">
        <f>IF(W881&lt;&gt;0,VLOOKUP(W881,DM_DUAN,3,0),"")</f>
        <v/>
      </c>
      <c r="W881" s="68"/>
      <c r="X881" s="64" t="str">
        <f>IF(Y881&lt;&gt;0,VLOOKUP(Y881,DM_DUAN,3,0),"")</f>
        <v>#N/A</v>
      </c>
      <c r="Y881" s="69" t="s">
        <v>207</v>
      </c>
      <c r="Z881" s="64" t="str">
        <f>IF(AA881&lt;&gt;0,VLOOKUP(AA881,DM_DUAN,3,0),"")</f>
        <v>#N/A</v>
      </c>
      <c r="AA881" s="70" t="s">
        <v>183</v>
      </c>
      <c r="AB881" s="64" t="str">
        <f>IF(AC881&lt;&gt;0,VLOOKUP(AC881,DM_DUAN,3,0),"")</f>
        <v/>
      </c>
      <c r="AC881" s="85"/>
      <c r="AD881" s="64" t="str">
        <f>IF(AC881&lt;&gt;0,VLOOKUP(AC881,DM_NV,2,0),"")</f>
        <v/>
      </c>
      <c r="AE881" s="68"/>
      <c r="AF881" s="64" t="str">
        <f>IF(AE881&lt;&gt;0,VLOOKUP(AE881,DM_NV,2,0),"")</f>
        <v/>
      </c>
    </row>
    <row r="882">
      <c r="A882" s="51"/>
      <c r="B882" s="52" t="str">
        <f>IF(D882="","",VLOOKUP(D882,'THAM CHIẾU'!$A:$B,2,0))</f>
        <v>#N/A</v>
      </c>
      <c r="C882" s="53" t="str">
        <f t="shared" si="4"/>
        <v>04/2022</v>
      </c>
      <c r="D882" s="99">
        <v>44668.0</v>
      </c>
      <c r="E882" s="55" t="s">
        <v>908</v>
      </c>
      <c r="F882" s="56"/>
      <c r="G882" s="57" t="s">
        <v>249</v>
      </c>
      <c r="H882" s="58" t="str">
        <f>IF(G882="","",VLOOKUP($G882,'Quy chuẩn hạch toán'!$B:$E,2,0))</f>
        <v>642</v>
      </c>
      <c r="I882" s="58" t="str">
        <f>IF(H882="","",VLOOKUP($G882,'Quy chuẩn hạch toán'!$B:$E,3,0))</f>
        <v>331</v>
      </c>
      <c r="J882" s="59">
        <v>378947.0</v>
      </c>
      <c r="K882" s="60"/>
      <c r="L882" s="61"/>
      <c r="M882" s="62"/>
      <c r="N882" s="63"/>
      <c r="O882" s="64" t="str">
        <f>IF($Q882&lt;&gt;0,VLOOKUP($Q882,DM_KM,3,0),"")</f>
        <v>#N/A</v>
      </c>
      <c r="P882" s="64" t="str">
        <f>IF($Q882&lt;&gt;0,VLOOKUP($Q882,DM_KM,5,0),"")</f>
        <v>#N/A</v>
      </c>
      <c r="Q882" s="65" t="s">
        <v>174</v>
      </c>
      <c r="R882" s="64" t="str">
        <f>IF(S882&lt;&gt;0,VLOOKUP(S882,DM_DUAN,3,0),"")</f>
        <v>#N/A</v>
      </c>
      <c r="S882" s="66" t="str">
        <f>IF(U882&lt;&gt;0,VLOOKUP(U882,DM_DUAN,3,0),"")</f>
        <v/>
      </c>
      <c r="T882" s="64"/>
      <c r="U882" s="67"/>
      <c r="V882" s="64" t="str">
        <f>IF(W882&lt;&gt;0,VLOOKUP(W882,DM_DUAN,3,0),"")</f>
        <v/>
      </c>
      <c r="W882" s="68"/>
      <c r="X882" s="64" t="str">
        <f>IF(Y882&lt;&gt;0,VLOOKUP(Y882,DM_DUAN,3,0),"")</f>
        <v>#N/A</v>
      </c>
      <c r="Y882" s="69" t="s">
        <v>207</v>
      </c>
      <c r="Z882" s="64" t="str">
        <f>IF(AA882&lt;&gt;0,VLOOKUP(AA882,DM_DUAN,3,0),"")</f>
        <v>#N/A</v>
      </c>
      <c r="AA882" s="70" t="s">
        <v>177</v>
      </c>
      <c r="AB882" s="64" t="str">
        <f>IF(AC882&lt;&gt;0,VLOOKUP(AC882,DM_DUAN,3,0),"")</f>
        <v/>
      </c>
      <c r="AC882" s="85"/>
      <c r="AD882" s="64" t="str">
        <f>IF(AC882&lt;&gt;0,VLOOKUP(AC882,DM_NV,2,0),"")</f>
        <v/>
      </c>
      <c r="AE882" s="68"/>
      <c r="AF882" s="64" t="str">
        <f>IF(AE882&lt;&gt;0,VLOOKUP(AE882,DM_NV,2,0),"")</f>
        <v/>
      </c>
    </row>
    <row r="883">
      <c r="A883" s="51"/>
      <c r="B883" s="52" t="str">
        <f>IF(D883="","",VLOOKUP(D883,'THAM CHIẾU'!$A:$B,2,0))</f>
        <v>#N/A</v>
      </c>
      <c r="C883" s="53" t="str">
        <f t="shared" si="4"/>
        <v>04/2022</v>
      </c>
      <c r="D883" s="99">
        <v>44668.0</v>
      </c>
      <c r="E883" s="55" t="s">
        <v>908</v>
      </c>
      <c r="F883" s="56"/>
      <c r="G883" s="57" t="s">
        <v>249</v>
      </c>
      <c r="H883" s="58" t="str">
        <f>IF(G883="","",VLOOKUP($G883,'Quy chuẩn hạch toán'!$B:$E,2,0))</f>
        <v>642</v>
      </c>
      <c r="I883" s="58" t="str">
        <f>IF(H883="","",VLOOKUP($G883,'Quy chuẩn hạch toán'!$B:$E,3,0))</f>
        <v>331</v>
      </c>
      <c r="J883" s="59">
        <v>505263.0</v>
      </c>
      <c r="K883" s="60"/>
      <c r="L883" s="61"/>
      <c r="M883" s="62"/>
      <c r="N883" s="63"/>
      <c r="O883" s="64" t="str">
        <f>IF($Q883&lt;&gt;0,VLOOKUP($Q883,DM_KM,3,0),"")</f>
        <v>#N/A</v>
      </c>
      <c r="P883" s="64" t="str">
        <f>IF($Q883&lt;&gt;0,VLOOKUP($Q883,DM_KM,5,0),"")</f>
        <v>#N/A</v>
      </c>
      <c r="Q883" s="65" t="s">
        <v>174</v>
      </c>
      <c r="R883" s="64" t="str">
        <f>IF(S883&lt;&gt;0,VLOOKUP(S883,DM_DUAN,3,0),"")</f>
        <v>#N/A</v>
      </c>
      <c r="S883" s="66" t="str">
        <f>IF(U883&lt;&gt;0,VLOOKUP(U883,DM_DUAN,3,0),"")</f>
        <v/>
      </c>
      <c r="T883" s="64"/>
      <c r="U883" s="93"/>
      <c r="V883" s="64" t="str">
        <f>IF(W883&lt;&gt;0,VLOOKUP(W883,DM_DUAN,3,0),"")</f>
        <v/>
      </c>
      <c r="W883" s="68"/>
      <c r="X883" s="64" t="str">
        <f>IF(Y883&lt;&gt;0,VLOOKUP(Y883,DM_DUAN,3,0),"")</f>
        <v>#N/A</v>
      </c>
      <c r="Y883" s="69" t="s">
        <v>207</v>
      </c>
      <c r="Z883" s="64" t="str">
        <f>IF(AA883&lt;&gt;0,VLOOKUP(AA883,DM_DUAN,3,0),"")</f>
        <v>#N/A</v>
      </c>
      <c r="AA883" s="70" t="s">
        <v>210</v>
      </c>
      <c r="AB883" s="64" t="str">
        <f>IF(AC883&lt;&gt;0,VLOOKUP(AC883,DM_DUAN,3,0),"")</f>
        <v/>
      </c>
      <c r="AC883" s="85"/>
      <c r="AD883" s="64" t="str">
        <f>IF(AC883&lt;&gt;0,VLOOKUP(AC883,DM_NV,2,0),"")</f>
        <v/>
      </c>
      <c r="AE883" s="68"/>
      <c r="AF883" s="64" t="str">
        <f>IF(AE883&lt;&gt;0,VLOOKUP(AE883,DM_NV,2,0),"")</f>
        <v/>
      </c>
    </row>
    <row r="884">
      <c r="A884" s="51"/>
      <c r="B884" s="52" t="str">
        <f>IF(D884="","",VLOOKUP(D884,'THAM CHIẾU'!$A:$B,2,0))</f>
        <v>#N/A</v>
      </c>
      <c r="C884" s="53" t="str">
        <f t="shared" si="4"/>
        <v>04/2022</v>
      </c>
      <c r="D884" s="99">
        <v>44668.0</v>
      </c>
      <c r="E884" s="55" t="s">
        <v>909</v>
      </c>
      <c r="F884" s="56"/>
      <c r="G884" s="57" t="s">
        <v>173</v>
      </c>
      <c r="H884" s="58" t="str">
        <f>IF(G884="","",VLOOKUP($G884,'Quy chuẩn hạch toán'!$B:$E,2,0))</f>
        <v>641</v>
      </c>
      <c r="I884" s="58" t="str">
        <f>IF(H884="","",VLOOKUP($G884,'Quy chuẩn hạch toán'!$B:$E,3,0))</f>
        <v>331</v>
      </c>
      <c r="J884" s="59">
        <v>2800000.0</v>
      </c>
      <c r="K884" s="60"/>
      <c r="L884" s="61"/>
      <c r="M884" s="62"/>
      <c r="N884" s="63"/>
      <c r="O884" s="64" t="str">
        <f>IF($Q884&lt;&gt;0,VLOOKUP($Q884,DM_KM,3,0),"")</f>
        <v>#N/A</v>
      </c>
      <c r="P884" s="64" t="str">
        <f>IF($Q884&lt;&gt;0,VLOOKUP($Q884,DM_KM,5,0),"")</f>
        <v>#N/A</v>
      </c>
      <c r="Q884" s="65" t="s">
        <v>174</v>
      </c>
      <c r="R884" s="64" t="str">
        <f>IF(S884&lt;&gt;0,VLOOKUP(S884,DM_DUAN,3,0),"")</f>
        <v>#N/A</v>
      </c>
      <c r="S884" s="66" t="str">
        <f>IF(U884&lt;&gt;0,VLOOKUP(U884,DM_DUAN,3,0),"")</f>
        <v>THANHNAM</v>
      </c>
      <c r="T884" s="64"/>
      <c r="U884" s="67" t="s">
        <v>597</v>
      </c>
      <c r="V884" s="64" t="str">
        <f>IF(W884&lt;&gt;0,VLOOKUP(W884,DM_DUAN,3,0),"")</f>
        <v/>
      </c>
      <c r="W884" s="68"/>
      <c r="X884" s="64" t="str">
        <f>IF(Y884&lt;&gt;0,VLOOKUP(Y884,DM_DUAN,3,0),"")</f>
        <v>#N/A</v>
      </c>
      <c r="Y884" s="69" t="s">
        <v>207</v>
      </c>
      <c r="Z884" s="64" t="str">
        <f>IF(AA884&lt;&gt;0,VLOOKUP(AA884,DM_DUAN,3,0),"")</f>
        <v>#N/A</v>
      </c>
      <c r="AA884" s="70" t="s">
        <v>183</v>
      </c>
      <c r="AB884" s="64" t="str">
        <f>IF(AC884&lt;&gt;0,VLOOKUP(AC884,DM_DUAN,3,0),"")</f>
        <v/>
      </c>
      <c r="AC884" s="85"/>
      <c r="AD884" s="64" t="str">
        <f>IF(AC884&lt;&gt;0,VLOOKUP(AC884,DM_NV,2,0),"")</f>
        <v/>
      </c>
      <c r="AE884" s="68"/>
      <c r="AF884" s="64" t="str">
        <f>IF(AE884&lt;&gt;0,VLOOKUP(AE884,DM_NV,2,0),"")</f>
        <v/>
      </c>
    </row>
    <row r="885">
      <c r="A885" s="51"/>
      <c r="B885" s="52" t="str">
        <f>IF(D885="","",VLOOKUP(D885,'THAM CHIẾU'!$A:$B,2,0))</f>
        <v>#N/A</v>
      </c>
      <c r="C885" s="53" t="str">
        <f t="shared" si="4"/>
        <v>04/2022</v>
      </c>
      <c r="D885" s="99">
        <v>44669.0</v>
      </c>
      <c r="E885" s="55" t="s">
        <v>910</v>
      </c>
      <c r="F885" s="56"/>
      <c r="G885" s="57" t="s">
        <v>205</v>
      </c>
      <c r="H885" s="58" t="str">
        <f>IF(G885="","",VLOOKUP($G885,'Quy chuẩn hạch toán'!$B:$E,2,0))</f>
        <v>642</v>
      </c>
      <c r="I885" s="58" t="str">
        <f>IF(H885="","",VLOOKUP($G885,'Quy chuẩn hạch toán'!$B:$E,3,0))</f>
        <v>1111</v>
      </c>
      <c r="J885" s="59">
        <v>1279474.0</v>
      </c>
      <c r="K885" s="60"/>
      <c r="L885" s="61"/>
      <c r="M885" s="62"/>
      <c r="N885" s="63"/>
      <c r="O885" s="64" t="str">
        <f>IF($Q885&lt;&gt;0,VLOOKUP($Q885,DM_KM,3,0),"")</f>
        <v>#N/A</v>
      </c>
      <c r="P885" s="64" t="str">
        <f>IF($Q885&lt;&gt;0,VLOOKUP($Q885,DM_KM,5,0),"")</f>
        <v>#N/A</v>
      </c>
      <c r="Q885" s="65" t="s">
        <v>272</v>
      </c>
      <c r="R885" s="64" t="str">
        <f>IF(S885&lt;&gt;0,VLOOKUP(S885,DM_DUAN,3,0),"")</f>
        <v>#N/A</v>
      </c>
      <c r="S885" s="66" t="str">
        <f>IF(U885&lt;&gt;0,VLOOKUP(U885,DM_DUAN,3,0),"")</f>
        <v/>
      </c>
      <c r="T885" s="64"/>
      <c r="U885" s="93"/>
      <c r="V885" s="64" t="str">
        <f>IF(W885&lt;&gt;0,VLOOKUP(W885,DM_DUAN,3,0),"")</f>
        <v/>
      </c>
      <c r="W885" s="68"/>
      <c r="X885" s="64" t="str">
        <f>IF(Y885&lt;&gt;0,VLOOKUP(Y885,DM_DUAN,3,0),"")</f>
        <v>#N/A</v>
      </c>
      <c r="Y885" s="69" t="s">
        <v>207</v>
      </c>
      <c r="Z885" s="64" t="str">
        <f>IF(AA885&lt;&gt;0,VLOOKUP(AA885,DM_DUAN,3,0),"")</f>
        <v>#N/A</v>
      </c>
      <c r="AA885" s="70" t="s">
        <v>705</v>
      </c>
      <c r="AB885" s="64" t="str">
        <f>IF(AC885&lt;&gt;0,VLOOKUP(AC885,DM_DUAN,3,0),"")</f>
        <v/>
      </c>
      <c r="AC885" s="85"/>
      <c r="AD885" s="64" t="str">
        <f>IF(AC885&lt;&gt;0,VLOOKUP(AC885,DM_NV,2,0),"")</f>
        <v/>
      </c>
      <c r="AE885" s="83" t="s">
        <v>227</v>
      </c>
      <c r="AF885" s="64" t="str">
        <f>IF(AE885&lt;&gt;0,VLOOKUP(AE885,DM_NV,2,0),"")</f>
        <v>#N/A</v>
      </c>
    </row>
    <row r="886">
      <c r="A886" s="51"/>
      <c r="B886" s="52" t="str">
        <f>IF(D886="","",VLOOKUP(D886,'THAM CHIẾU'!$A:$B,2,0))</f>
        <v>#N/A</v>
      </c>
      <c r="C886" s="53" t="str">
        <f t="shared" si="4"/>
        <v>04/2022</v>
      </c>
      <c r="D886" s="99">
        <v>44669.0</v>
      </c>
      <c r="E886" s="55" t="s">
        <v>910</v>
      </c>
      <c r="F886" s="56"/>
      <c r="G886" s="57" t="s">
        <v>205</v>
      </c>
      <c r="H886" s="58" t="str">
        <f>IF(G886="","",VLOOKUP($G886,'Quy chuẩn hạch toán'!$B:$E,2,0))</f>
        <v>642</v>
      </c>
      <c r="I886" s="58" t="str">
        <f>IF(H886="","",VLOOKUP($G886,'Quy chuẩn hạch toán'!$B:$E,3,0))</f>
        <v>1111</v>
      </c>
      <c r="J886" s="59">
        <v>2558947.0</v>
      </c>
      <c r="K886" s="60"/>
      <c r="L886" s="61"/>
      <c r="M886" s="62"/>
      <c r="N886" s="63"/>
      <c r="O886" s="64" t="str">
        <f>IF($Q886&lt;&gt;0,VLOOKUP($Q886,DM_KM,3,0),"")</f>
        <v>#N/A</v>
      </c>
      <c r="P886" s="64" t="str">
        <f>IF($Q886&lt;&gt;0,VLOOKUP($Q886,DM_KM,5,0),"")</f>
        <v>#N/A</v>
      </c>
      <c r="Q886" s="65" t="s">
        <v>272</v>
      </c>
      <c r="R886" s="64" t="str">
        <f>IF(S886&lt;&gt;0,VLOOKUP(S886,DM_DUAN,3,0),"")</f>
        <v>#N/A</v>
      </c>
      <c r="S886" s="66" t="str">
        <f>IF(U886&lt;&gt;0,VLOOKUP(U886,DM_DUAN,3,0),"")</f>
        <v/>
      </c>
      <c r="T886" s="64"/>
      <c r="U886" s="93"/>
      <c r="V886" s="64" t="str">
        <f>IF(W886&lt;&gt;0,VLOOKUP(W886,DM_DUAN,3,0),"")</f>
        <v/>
      </c>
      <c r="W886" s="68"/>
      <c r="X886" s="64" t="str">
        <f>IF(Y886&lt;&gt;0,VLOOKUP(Y886,DM_DUAN,3,0),"")</f>
        <v>#N/A</v>
      </c>
      <c r="Y886" s="69" t="s">
        <v>207</v>
      </c>
      <c r="Z886" s="64" t="str">
        <f>IF(AA886&lt;&gt;0,VLOOKUP(AA886,DM_DUAN,3,0),"")</f>
        <v>#N/A</v>
      </c>
      <c r="AA886" s="70" t="s">
        <v>183</v>
      </c>
      <c r="AB886" s="64" t="str">
        <f>IF(AC886&lt;&gt;0,VLOOKUP(AC886,DM_DUAN,3,0),"")</f>
        <v/>
      </c>
      <c r="AC886" s="85"/>
      <c r="AD886" s="64" t="str">
        <f>IF(AC886&lt;&gt;0,VLOOKUP(AC886,DM_NV,2,0),"")</f>
        <v/>
      </c>
      <c r="AE886" s="83" t="s">
        <v>227</v>
      </c>
      <c r="AF886" s="64" t="str">
        <f>IF(AE886&lt;&gt;0,VLOOKUP(AE886,DM_NV,2,0),"")</f>
        <v>#N/A</v>
      </c>
    </row>
    <row r="887">
      <c r="A887" s="51"/>
      <c r="B887" s="52" t="str">
        <f>IF(D887="","",VLOOKUP(D887,'THAM CHIẾU'!$A:$B,2,0))</f>
        <v>#N/A</v>
      </c>
      <c r="C887" s="53" t="str">
        <f t="shared" si="4"/>
        <v>04/2022</v>
      </c>
      <c r="D887" s="99">
        <v>44669.0</v>
      </c>
      <c r="E887" s="55" t="s">
        <v>910</v>
      </c>
      <c r="F887" s="56"/>
      <c r="G887" s="57" t="s">
        <v>205</v>
      </c>
      <c r="H887" s="58" t="str">
        <f>IF(G887="","",VLOOKUP($G887,'Quy chuẩn hạch toán'!$B:$E,2,0))</f>
        <v>642</v>
      </c>
      <c r="I887" s="58" t="str">
        <f>IF(H887="","",VLOOKUP($G887,'Quy chuẩn hạch toán'!$B:$E,3,0))</f>
        <v>1111</v>
      </c>
      <c r="J887" s="59">
        <v>959605.0</v>
      </c>
      <c r="K887" s="60"/>
      <c r="L887" s="61"/>
      <c r="M887" s="62"/>
      <c r="N887" s="63"/>
      <c r="O887" s="64" t="str">
        <f>IF($Q887&lt;&gt;0,VLOOKUP($Q887,DM_KM,3,0),"")</f>
        <v>#N/A</v>
      </c>
      <c r="P887" s="64" t="str">
        <f>IF($Q887&lt;&gt;0,VLOOKUP($Q887,DM_KM,5,0),"")</f>
        <v>#N/A</v>
      </c>
      <c r="Q887" s="65" t="s">
        <v>272</v>
      </c>
      <c r="R887" s="64" t="str">
        <f>IF(S887&lt;&gt;0,VLOOKUP(S887,DM_DUAN,3,0),"")</f>
        <v>#N/A</v>
      </c>
      <c r="S887" s="66" t="str">
        <f>IF(U887&lt;&gt;0,VLOOKUP(U887,DM_DUAN,3,0),"")</f>
        <v/>
      </c>
      <c r="T887" s="64"/>
      <c r="U887" s="93"/>
      <c r="V887" s="64" t="str">
        <f>IF(W887&lt;&gt;0,VLOOKUP(W887,DM_DUAN,3,0),"")</f>
        <v/>
      </c>
      <c r="W887" s="68"/>
      <c r="X887" s="64" t="str">
        <f>IF(Y887&lt;&gt;0,VLOOKUP(Y887,DM_DUAN,3,0),"")</f>
        <v>#N/A</v>
      </c>
      <c r="Y887" s="69" t="s">
        <v>207</v>
      </c>
      <c r="Z887" s="64" t="str">
        <f>IF(AA887&lt;&gt;0,VLOOKUP(AA887,DM_DUAN,3,0),"")</f>
        <v>#N/A</v>
      </c>
      <c r="AA887" s="70" t="s">
        <v>177</v>
      </c>
      <c r="AB887" s="64" t="str">
        <f>IF(AC887&lt;&gt;0,VLOOKUP(AC887,DM_DUAN,3,0),"")</f>
        <v/>
      </c>
      <c r="AC887" s="85"/>
      <c r="AD887" s="64" t="str">
        <f>IF(AC887&lt;&gt;0,VLOOKUP(AC887,DM_NV,2,0),"")</f>
        <v/>
      </c>
      <c r="AE887" s="83" t="s">
        <v>227</v>
      </c>
      <c r="AF887" s="64" t="str">
        <f>IF(AE887&lt;&gt;0,VLOOKUP(AE887,DM_NV,2,0),"")</f>
        <v>#N/A</v>
      </c>
    </row>
    <row r="888">
      <c r="A888" s="51"/>
      <c r="B888" s="52" t="str">
        <f>IF(D888="","",VLOOKUP(D888,'THAM CHIẾU'!$A:$B,2,0))</f>
        <v>#N/A</v>
      </c>
      <c r="C888" s="53" t="str">
        <f t="shared" si="4"/>
        <v>04/2022</v>
      </c>
      <c r="D888" s="99">
        <v>44669.0</v>
      </c>
      <c r="E888" s="55" t="s">
        <v>910</v>
      </c>
      <c r="F888" s="56"/>
      <c r="G888" s="57" t="s">
        <v>205</v>
      </c>
      <c r="H888" s="58" t="str">
        <f>IF(G888="","",VLOOKUP($G888,'Quy chuẩn hạch toán'!$B:$E,2,0))</f>
        <v>642</v>
      </c>
      <c r="I888" s="58" t="str">
        <f>IF(H888="","",VLOOKUP($G888,'Quy chuẩn hạch toán'!$B:$E,3,0))</f>
        <v>1111</v>
      </c>
      <c r="J888" s="59">
        <v>1279474.0</v>
      </c>
      <c r="K888" s="60"/>
      <c r="L888" s="61"/>
      <c r="M888" s="62"/>
      <c r="N888" s="63"/>
      <c r="O888" s="64" t="str">
        <f>IF($Q888&lt;&gt;0,VLOOKUP($Q888,DM_KM,3,0),"")</f>
        <v>#N/A</v>
      </c>
      <c r="P888" s="64" t="str">
        <f>IF($Q888&lt;&gt;0,VLOOKUP($Q888,DM_KM,5,0),"")</f>
        <v>#N/A</v>
      </c>
      <c r="Q888" s="65" t="s">
        <v>272</v>
      </c>
      <c r="R888" s="64" t="str">
        <f>IF(S888&lt;&gt;0,VLOOKUP(S888,DM_DUAN,3,0),"")</f>
        <v>#N/A</v>
      </c>
      <c r="S888" s="66" t="str">
        <f>IF(U888&lt;&gt;0,VLOOKUP(U888,DM_DUAN,3,0),"")</f>
        <v/>
      </c>
      <c r="T888" s="64"/>
      <c r="U888" s="93"/>
      <c r="V888" s="64" t="str">
        <f>IF(W888&lt;&gt;0,VLOOKUP(W888,DM_DUAN,3,0),"")</f>
        <v/>
      </c>
      <c r="W888" s="68"/>
      <c r="X888" s="64" t="str">
        <f>IF(Y888&lt;&gt;0,VLOOKUP(Y888,DM_DUAN,3,0),"")</f>
        <v>#N/A</v>
      </c>
      <c r="Y888" s="69" t="s">
        <v>207</v>
      </c>
      <c r="Z888" s="64" t="str">
        <f>IF(AA888&lt;&gt;0,VLOOKUP(AA888,DM_DUAN,3,0),"")</f>
        <v>#N/A</v>
      </c>
      <c r="AA888" s="70" t="s">
        <v>210</v>
      </c>
      <c r="AB888" s="64" t="str">
        <f>IF(AC888&lt;&gt;0,VLOOKUP(AC888,DM_DUAN,3,0),"")</f>
        <v/>
      </c>
      <c r="AC888" s="85"/>
      <c r="AD888" s="64" t="str">
        <f>IF(AC888&lt;&gt;0,VLOOKUP(AC888,DM_NV,2,0),"")</f>
        <v/>
      </c>
      <c r="AE888" s="83" t="s">
        <v>227</v>
      </c>
      <c r="AF888" s="64" t="str">
        <f>IF(AE888&lt;&gt;0,VLOOKUP(AE888,DM_NV,2,0),"")</f>
        <v>#N/A</v>
      </c>
    </row>
    <row r="889">
      <c r="A889" s="51"/>
      <c r="B889" s="52" t="str">
        <f>IF(D889="","",VLOOKUP(D889,'THAM CHIẾU'!$A:$B,2,0))</f>
        <v>#N/A</v>
      </c>
      <c r="C889" s="53" t="str">
        <f t="shared" si="4"/>
        <v>04/2022</v>
      </c>
      <c r="D889" s="99">
        <v>44669.0</v>
      </c>
      <c r="E889" s="55" t="s">
        <v>911</v>
      </c>
      <c r="F889" s="56"/>
      <c r="G889" s="57" t="s">
        <v>205</v>
      </c>
      <c r="H889" s="58" t="str">
        <f>IF(G889="","",VLOOKUP($G889,'Quy chuẩn hạch toán'!$B:$E,2,0))</f>
        <v>642</v>
      </c>
      <c r="I889" s="58" t="str">
        <f>IF(H889="","",VLOOKUP($G889,'Quy chuẩn hạch toán'!$B:$E,3,0))</f>
        <v>1111</v>
      </c>
      <c r="J889" s="59">
        <v>65263.0</v>
      </c>
      <c r="K889" s="60"/>
      <c r="L889" s="61"/>
      <c r="M889" s="62"/>
      <c r="N889" s="63"/>
      <c r="O889" s="64" t="str">
        <f>IF($Q889&lt;&gt;0,VLOOKUP($Q889,DM_KM,3,0),"")</f>
        <v>#N/A</v>
      </c>
      <c r="P889" s="64" t="str">
        <f>IF($Q889&lt;&gt;0,VLOOKUP($Q889,DM_KM,5,0),"")</f>
        <v>#N/A</v>
      </c>
      <c r="Q889" s="65" t="s">
        <v>219</v>
      </c>
      <c r="R889" s="64" t="str">
        <f>IF(S889&lt;&gt;0,VLOOKUP(S889,DM_DUAN,3,0),"")</f>
        <v>#N/A</v>
      </c>
      <c r="S889" s="66" t="str">
        <f>IF(U889&lt;&gt;0,VLOOKUP(U889,DM_DUAN,3,0),"")</f>
        <v/>
      </c>
      <c r="T889" s="64"/>
      <c r="U889" s="93"/>
      <c r="V889" s="64" t="str">
        <f>IF(W889&lt;&gt;0,VLOOKUP(W889,DM_DUAN,3,0),"")</f>
        <v/>
      </c>
      <c r="W889" s="68"/>
      <c r="X889" s="64" t="str">
        <f>IF(Y889&lt;&gt;0,VLOOKUP(Y889,DM_DUAN,3,0),"")</f>
        <v>#N/A</v>
      </c>
      <c r="Y889" s="69" t="s">
        <v>207</v>
      </c>
      <c r="Z889" s="64" t="str">
        <f>IF(AA889&lt;&gt;0,VLOOKUP(AA889,DM_DUAN,3,0),"")</f>
        <v>#N/A</v>
      </c>
      <c r="AA889" s="70" t="s">
        <v>705</v>
      </c>
      <c r="AB889" s="64" t="str">
        <f>IF(AC889&lt;&gt;0,VLOOKUP(AC889,DM_DUAN,3,0),"")</f>
        <v/>
      </c>
      <c r="AC889" s="85"/>
      <c r="AD889" s="64" t="str">
        <f>IF(AC889&lt;&gt;0,VLOOKUP(AC889,DM_NV,2,0),"")</f>
        <v/>
      </c>
      <c r="AE889" s="83" t="s">
        <v>220</v>
      </c>
      <c r="AF889" s="64" t="str">
        <f>IF(AE889&lt;&gt;0,VLOOKUP(AE889,DM_NV,2,0),"")</f>
        <v>#N/A</v>
      </c>
    </row>
    <row r="890">
      <c r="A890" s="51"/>
      <c r="B890" s="52" t="str">
        <f>IF(D890="","",VLOOKUP(D890,'THAM CHIẾU'!$A:$B,2,0))</f>
        <v>#N/A</v>
      </c>
      <c r="C890" s="53" t="str">
        <f t="shared" si="4"/>
        <v>04/2022</v>
      </c>
      <c r="D890" s="99">
        <v>44669.0</v>
      </c>
      <c r="E890" s="55" t="s">
        <v>911</v>
      </c>
      <c r="F890" s="56"/>
      <c r="G890" s="57" t="s">
        <v>205</v>
      </c>
      <c r="H890" s="58" t="str">
        <f>IF(G890="","",VLOOKUP($G890,'Quy chuẩn hạch toán'!$B:$E,2,0))</f>
        <v>642</v>
      </c>
      <c r="I890" s="58" t="str">
        <f>IF(H890="","",VLOOKUP($G890,'Quy chuẩn hạch toán'!$B:$E,3,0))</f>
        <v>1111</v>
      </c>
      <c r="J890" s="59">
        <v>130526.0</v>
      </c>
      <c r="K890" s="60"/>
      <c r="L890" s="61"/>
      <c r="M890" s="62"/>
      <c r="N890" s="63"/>
      <c r="O890" s="64" t="str">
        <f>IF($Q890&lt;&gt;0,VLOOKUP($Q890,DM_KM,3,0),"")</f>
        <v>#N/A</v>
      </c>
      <c r="P890" s="64" t="str">
        <f>IF($Q890&lt;&gt;0,VLOOKUP($Q890,DM_KM,5,0),"")</f>
        <v>#N/A</v>
      </c>
      <c r="Q890" s="65" t="s">
        <v>219</v>
      </c>
      <c r="R890" s="64" t="str">
        <f>IF(S890&lt;&gt;0,VLOOKUP(S890,DM_DUAN,3,0),"")</f>
        <v>#N/A</v>
      </c>
      <c r="S890" s="66" t="str">
        <f>IF(U890&lt;&gt;0,VLOOKUP(U890,DM_DUAN,3,0),"")</f>
        <v/>
      </c>
      <c r="T890" s="64"/>
      <c r="U890" s="93"/>
      <c r="V890" s="64" t="str">
        <f>IF(W890&lt;&gt;0,VLOOKUP(W890,DM_DUAN,3,0),"")</f>
        <v/>
      </c>
      <c r="W890" s="68"/>
      <c r="X890" s="64" t="str">
        <f>IF(Y890&lt;&gt;0,VLOOKUP(Y890,DM_DUAN,3,0),"")</f>
        <v>#N/A</v>
      </c>
      <c r="Y890" s="69" t="s">
        <v>207</v>
      </c>
      <c r="Z890" s="64" t="str">
        <f>IF(AA890&lt;&gt;0,VLOOKUP(AA890,DM_DUAN,3,0),"")</f>
        <v>#N/A</v>
      </c>
      <c r="AA890" s="70" t="s">
        <v>183</v>
      </c>
      <c r="AB890" s="64" t="str">
        <f>IF(AC890&lt;&gt;0,VLOOKUP(AC890,DM_DUAN,3,0),"")</f>
        <v/>
      </c>
      <c r="AC890" s="85"/>
      <c r="AD890" s="64" t="str">
        <f>IF(AC890&lt;&gt;0,VLOOKUP(AC890,DM_NV,2,0),"")</f>
        <v/>
      </c>
      <c r="AE890" s="83" t="s">
        <v>220</v>
      </c>
      <c r="AF890" s="64" t="str">
        <f>IF(AE890&lt;&gt;0,VLOOKUP(AE890,DM_NV,2,0),"")</f>
        <v>#N/A</v>
      </c>
    </row>
    <row r="891">
      <c r="A891" s="51"/>
      <c r="B891" s="52" t="str">
        <f>IF(D891="","",VLOOKUP(D891,'THAM CHIẾU'!$A:$B,2,0))</f>
        <v>#N/A</v>
      </c>
      <c r="C891" s="53" t="str">
        <f t="shared" si="4"/>
        <v>04/2022</v>
      </c>
      <c r="D891" s="99">
        <v>44669.0</v>
      </c>
      <c r="E891" s="55" t="s">
        <v>911</v>
      </c>
      <c r="F891" s="56"/>
      <c r="G891" s="57" t="s">
        <v>205</v>
      </c>
      <c r="H891" s="58" t="str">
        <f>IF(G891="","",VLOOKUP($G891,'Quy chuẩn hạch toán'!$B:$E,2,0))</f>
        <v>642</v>
      </c>
      <c r="I891" s="58" t="str">
        <f>IF(H891="","",VLOOKUP($G891,'Quy chuẩn hạch toán'!$B:$E,3,0))</f>
        <v>1111</v>
      </c>
      <c r="J891" s="59">
        <v>48947.0</v>
      </c>
      <c r="K891" s="60"/>
      <c r="L891" s="61"/>
      <c r="M891" s="62"/>
      <c r="N891" s="63"/>
      <c r="O891" s="64" t="str">
        <f>IF($Q891&lt;&gt;0,VLOOKUP($Q891,DM_KM,3,0),"")</f>
        <v>#N/A</v>
      </c>
      <c r="P891" s="64" t="str">
        <f>IF($Q891&lt;&gt;0,VLOOKUP($Q891,DM_KM,5,0),"")</f>
        <v>#N/A</v>
      </c>
      <c r="Q891" s="65" t="s">
        <v>219</v>
      </c>
      <c r="R891" s="64" t="str">
        <f>IF(S891&lt;&gt;0,VLOOKUP(S891,DM_DUAN,3,0),"")</f>
        <v>#N/A</v>
      </c>
      <c r="S891" s="66" t="str">
        <f>IF(U891&lt;&gt;0,VLOOKUP(U891,DM_DUAN,3,0),"")</f>
        <v/>
      </c>
      <c r="T891" s="64"/>
      <c r="U891" s="93"/>
      <c r="V891" s="64" t="str">
        <f>IF(W891&lt;&gt;0,VLOOKUP(W891,DM_DUAN,3,0),"")</f>
        <v/>
      </c>
      <c r="W891" s="68"/>
      <c r="X891" s="64" t="str">
        <f>IF(Y891&lt;&gt;0,VLOOKUP(Y891,DM_DUAN,3,0),"")</f>
        <v>#N/A</v>
      </c>
      <c r="Y891" s="69" t="s">
        <v>207</v>
      </c>
      <c r="Z891" s="64" t="str">
        <f>IF(AA891&lt;&gt;0,VLOOKUP(AA891,DM_DUAN,3,0),"")</f>
        <v>#N/A</v>
      </c>
      <c r="AA891" s="70" t="s">
        <v>177</v>
      </c>
      <c r="AB891" s="64" t="str">
        <f>IF(AC891&lt;&gt;0,VLOOKUP(AC891,DM_DUAN,3,0),"")</f>
        <v/>
      </c>
      <c r="AC891" s="85"/>
      <c r="AD891" s="64" t="str">
        <f>IF(AC891&lt;&gt;0,VLOOKUP(AC891,DM_NV,2,0),"")</f>
        <v/>
      </c>
      <c r="AE891" s="83" t="s">
        <v>220</v>
      </c>
      <c r="AF891" s="64" t="str">
        <f>IF(AE891&lt;&gt;0,VLOOKUP(AE891,DM_NV,2,0),"")</f>
        <v>#N/A</v>
      </c>
    </row>
    <row r="892">
      <c r="A892" s="51"/>
      <c r="B892" s="52" t="str">
        <f>IF(D892="","",VLOOKUP(D892,'THAM CHIẾU'!$A:$B,2,0))</f>
        <v>#N/A</v>
      </c>
      <c r="C892" s="53" t="str">
        <f t="shared" si="4"/>
        <v>04/2022</v>
      </c>
      <c r="D892" s="99">
        <v>44669.0</v>
      </c>
      <c r="E892" s="55" t="s">
        <v>911</v>
      </c>
      <c r="F892" s="56"/>
      <c r="G892" s="57" t="s">
        <v>205</v>
      </c>
      <c r="H892" s="58" t="str">
        <f>IF(G892="","",VLOOKUP($G892,'Quy chuẩn hạch toán'!$B:$E,2,0))</f>
        <v>642</v>
      </c>
      <c r="I892" s="58" t="str">
        <f>IF(H892="","",VLOOKUP($G892,'Quy chuẩn hạch toán'!$B:$E,3,0))</f>
        <v>1111</v>
      </c>
      <c r="J892" s="59">
        <v>65263.0</v>
      </c>
      <c r="K892" s="60"/>
      <c r="L892" s="61"/>
      <c r="M892" s="62"/>
      <c r="N892" s="63"/>
      <c r="O892" s="64" t="str">
        <f>IF($Q892&lt;&gt;0,VLOOKUP($Q892,DM_KM,3,0),"")</f>
        <v>#N/A</v>
      </c>
      <c r="P892" s="64" t="str">
        <f>IF($Q892&lt;&gt;0,VLOOKUP($Q892,DM_KM,5,0),"")</f>
        <v>#N/A</v>
      </c>
      <c r="Q892" s="65" t="s">
        <v>219</v>
      </c>
      <c r="R892" s="64" t="str">
        <f>IF(S892&lt;&gt;0,VLOOKUP(S892,DM_DUAN,3,0),"")</f>
        <v>#N/A</v>
      </c>
      <c r="S892" s="66" t="str">
        <f>IF(U892&lt;&gt;0,VLOOKUP(U892,DM_DUAN,3,0),"")</f>
        <v/>
      </c>
      <c r="T892" s="64"/>
      <c r="U892" s="93"/>
      <c r="V892" s="64" t="str">
        <f>IF(W892&lt;&gt;0,VLOOKUP(W892,DM_DUAN,3,0),"")</f>
        <v/>
      </c>
      <c r="W892" s="68"/>
      <c r="X892" s="64" t="str">
        <f>IF(Y892&lt;&gt;0,VLOOKUP(Y892,DM_DUAN,3,0),"")</f>
        <v>#N/A</v>
      </c>
      <c r="Y892" s="69" t="s">
        <v>207</v>
      </c>
      <c r="Z892" s="64" t="str">
        <f>IF(AA892&lt;&gt;0,VLOOKUP(AA892,DM_DUAN,3,0),"")</f>
        <v>#N/A</v>
      </c>
      <c r="AA892" s="70" t="s">
        <v>210</v>
      </c>
      <c r="AB892" s="64" t="str">
        <f>IF(AC892&lt;&gt;0,VLOOKUP(AC892,DM_DUAN,3,0),"")</f>
        <v/>
      </c>
      <c r="AC892" s="85"/>
      <c r="AD892" s="64" t="str">
        <f>IF(AC892&lt;&gt;0,VLOOKUP(AC892,DM_NV,2,0),"")</f>
        <v/>
      </c>
      <c r="AE892" s="83" t="s">
        <v>220</v>
      </c>
      <c r="AF892" s="64" t="str">
        <f>IF(AE892&lt;&gt;0,VLOOKUP(AE892,DM_NV,2,0),"")</f>
        <v>#N/A</v>
      </c>
    </row>
    <row r="893">
      <c r="A893" s="51"/>
      <c r="B893" s="52" t="str">
        <f>IF(D893="","",VLOOKUP(D893,'THAM CHIẾU'!$A:$B,2,0))</f>
        <v>#N/A</v>
      </c>
      <c r="C893" s="53" t="str">
        <f t="shared" si="4"/>
        <v>04/2022</v>
      </c>
      <c r="D893" s="99">
        <v>44670.0</v>
      </c>
      <c r="E893" s="55" t="s">
        <v>912</v>
      </c>
      <c r="F893" s="56"/>
      <c r="G893" s="57" t="s">
        <v>180</v>
      </c>
      <c r="H893" s="58" t="str">
        <f>IF(G893="","",VLOOKUP($G893,'Quy chuẩn hạch toán'!$B:$E,2,0))</f>
        <v>521</v>
      </c>
      <c r="I893" s="58" t="str">
        <f>IF(H893="","",VLOOKUP($G893,'Quy chuẩn hạch toán'!$B:$E,3,0))</f>
        <v>131</v>
      </c>
      <c r="J893" s="59">
        <v>7400000.0</v>
      </c>
      <c r="K893" s="60"/>
      <c r="L893" s="61"/>
      <c r="M893" s="62"/>
      <c r="N893" s="63"/>
      <c r="O893" s="64" t="str">
        <f>IF($Q893&lt;&gt;0,VLOOKUP($Q893,DM_KM,3,0),"")</f>
        <v>#N/A</v>
      </c>
      <c r="P893" s="64" t="str">
        <f>IF($Q893&lt;&gt;0,VLOOKUP($Q893,DM_KM,5,0),"")</f>
        <v>#N/A</v>
      </c>
      <c r="Q893" s="65" t="s">
        <v>181</v>
      </c>
      <c r="R893" s="64"/>
      <c r="S893" s="66"/>
      <c r="T893" s="64"/>
      <c r="U893" s="67" t="s">
        <v>636</v>
      </c>
      <c r="V893" s="64"/>
      <c r="W893" s="83" t="s">
        <v>913</v>
      </c>
      <c r="X893" s="64"/>
      <c r="Y893" s="84" t="s">
        <v>176</v>
      </c>
      <c r="Z893" s="64"/>
      <c r="AA893" s="70" t="s">
        <v>183</v>
      </c>
      <c r="AB893" s="64"/>
      <c r="AC893" s="70"/>
      <c r="AD893" s="64" t="str">
        <f>IF(AC893&lt;&gt;0,VLOOKUP(AC893,DM_NV,2,0),"")</f>
        <v/>
      </c>
      <c r="AE893" s="68"/>
      <c r="AF893" s="64" t="str">
        <f>IF(AE893&lt;&gt;0,VLOOKUP(AE893,DM_NV,2,0),"")</f>
        <v/>
      </c>
    </row>
    <row r="894">
      <c r="A894" s="51"/>
      <c r="B894" s="52" t="str">
        <f>IF(D894="","",VLOOKUP(D894,'THAM CHIẾU'!$A:$B,2,0))</f>
        <v>#N/A</v>
      </c>
      <c r="C894" s="53" t="str">
        <f t="shared" si="4"/>
        <v>04/2022</v>
      </c>
      <c r="D894" s="99">
        <v>44670.0</v>
      </c>
      <c r="E894" s="55" t="s">
        <v>914</v>
      </c>
      <c r="F894" s="56"/>
      <c r="G894" s="57" t="s">
        <v>197</v>
      </c>
      <c r="H894" s="58" t="str">
        <f>IF(G894="","",VLOOKUP($G894,'Quy chuẩn hạch toán'!$B:$E,2,0))</f>
        <v>#N/A</v>
      </c>
      <c r="I894" s="58" t="str">
        <f>IF(H894="","",VLOOKUP($G894,'Quy chuẩn hạch toán'!$B:$E,3,0))</f>
        <v>#N/A</v>
      </c>
      <c r="J894" s="59">
        <v>6.77E8</v>
      </c>
      <c r="K894" s="60"/>
      <c r="L894" s="61"/>
      <c r="M894" s="62"/>
      <c r="N894" s="63"/>
      <c r="O894" s="64" t="str">
        <f>IF($Q894&lt;&gt;0,VLOOKUP($Q894,DM_KM,3,0),"")</f>
        <v>#N/A</v>
      </c>
      <c r="P894" s="64" t="str">
        <f>IF($Q894&lt;&gt;0,VLOOKUP($Q894,DM_KM,5,0),"")</f>
        <v>#N/A</v>
      </c>
      <c r="Q894" s="65" t="s">
        <v>198</v>
      </c>
      <c r="R894" s="64" t="str">
        <f>IF(S894&lt;&gt;0,VLOOKUP(S894,DM_DUAN,3,0),"")</f>
        <v>#N/A</v>
      </c>
      <c r="S894" s="66" t="str">
        <f>IF(U894&lt;&gt;0,VLOOKUP(U894,DM_DUAN,3,0),"")</f>
        <v>KIMCUONGLAND</v>
      </c>
      <c r="T894" s="64"/>
      <c r="U894" s="67" t="s">
        <v>636</v>
      </c>
      <c r="V894" s="64" t="str">
        <f>IF(W894&lt;&gt;0,VLOOKUP(W894,DM_DUAN,3,0),"")</f>
        <v>#N/A</v>
      </c>
      <c r="W894" s="83" t="s">
        <v>913</v>
      </c>
      <c r="X894" s="64" t="str">
        <f>IF(Y894&lt;&gt;0,VLOOKUP(Y894,DM_DUAN,3,0),"")</f>
        <v>#N/A</v>
      </c>
      <c r="Y894" s="69" t="s">
        <v>176</v>
      </c>
      <c r="Z894" s="64" t="str">
        <f>IF(AA894&lt;&gt;0,VLOOKUP(AA894,DM_DUAN,3,0),"")</f>
        <v>#N/A</v>
      </c>
      <c r="AA894" s="70" t="s">
        <v>183</v>
      </c>
      <c r="AB894" s="64" t="str">
        <f>IF(AC894&lt;&gt;0,VLOOKUP(AC894,DM_DUAN,3,0),"")</f>
        <v>#N/A</v>
      </c>
      <c r="AC894" s="70" t="s">
        <v>406</v>
      </c>
      <c r="AD894" s="64" t="str">
        <f>IF(AC894&lt;&gt;0,VLOOKUP(AC894,DM_NV,2,0),"")</f>
        <v>Bùi Thị Yến Nhi</v>
      </c>
      <c r="AE894" s="68"/>
      <c r="AF894" s="64" t="str">
        <f>IF(AE894&lt;&gt;0,VLOOKUP(AE894,DM_NV,2,0),"")</f>
        <v/>
      </c>
    </row>
    <row r="895">
      <c r="A895" s="51"/>
      <c r="B895" s="52" t="str">
        <f>IF(D895="","",VLOOKUP(D895,'THAM CHIẾU'!$A:$B,2,0))</f>
        <v/>
      </c>
      <c r="C895" s="53" t="str">
        <f t="shared" si="4"/>
        <v/>
      </c>
      <c r="D895" s="99"/>
      <c r="E895" s="55"/>
      <c r="F895" s="56"/>
      <c r="G895" s="57"/>
      <c r="H895" s="58" t="str">
        <f>IF(G895="","",VLOOKUP($G895,'Quy chuẩn hạch toán'!$B:$E,2,0))</f>
        <v/>
      </c>
      <c r="I895" s="58" t="str">
        <f>IF(H895="","",VLOOKUP($G895,'Quy chuẩn hạch toán'!$B:$E,3,0))</f>
        <v/>
      </c>
      <c r="J895" s="59"/>
      <c r="K895" s="60"/>
      <c r="L895" s="61"/>
      <c r="M895" s="62"/>
      <c r="N895" s="63"/>
      <c r="O895" s="64" t="str">
        <f>IF($Q895&lt;&gt;0,VLOOKUP($Q895,DM_KM,3,0),"")</f>
        <v/>
      </c>
      <c r="P895" s="64" t="str">
        <f>IF($Q895&lt;&gt;0,VLOOKUP($Q895,DM_KM,5,0),"")</f>
        <v/>
      </c>
      <c r="Q895" s="65"/>
      <c r="R895" s="64" t="str">
        <f>IF(S895&lt;&gt;0,VLOOKUP(S895,DM_DUAN,3,0),"")</f>
        <v>#N/A</v>
      </c>
      <c r="S895" s="66" t="str">
        <f>IF(U895&lt;&gt;0,VLOOKUP(U895,DM_DUAN,3,0),"")</f>
        <v/>
      </c>
      <c r="T895" s="64"/>
      <c r="U895" s="67"/>
      <c r="V895" s="64" t="str">
        <f>IF(W895&lt;&gt;0,VLOOKUP(W895,DM_DUAN,3,0),"")</f>
        <v/>
      </c>
      <c r="W895" s="83"/>
      <c r="X895" s="64" t="str">
        <f>IF(Y895&lt;&gt;0,VLOOKUP(Y895,DM_DUAN,3,0),"")</f>
        <v/>
      </c>
      <c r="Y895" s="69"/>
      <c r="Z895" s="64" t="str">
        <f>IF(AA895&lt;&gt;0,VLOOKUP(AA895,DM_DUAN,3,0),"")</f>
        <v/>
      </c>
      <c r="AA895" s="70"/>
      <c r="AB895" s="64" t="str">
        <f>IF(AC895&lt;&gt;0,VLOOKUP(AC895,DM_DUAN,3,0),"")</f>
        <v/>
      </c>
      <c r="AC895" s="70"/>
      <c r="AD895" s="64" t="str">
        <f>IF(AC895&lt;&gt;0,VLOOKUP(AC895,DM_NV,2,0),"")</f>
        <v/>
      </c>
      <c r="AE895" s="68"/>
      <c r="AF895" s="64" t="str">
        <f>IF(AE895&lt;&gt;0,VLOOKUP(AE895,DM_NV,2,0),"")</f>
        <v/>
      </c>
    </row>
    <row r="896">
      <c r="A896" s="51"/>
      <c r="B896" s="52" t="str">
        <f>IF(D896="","",VLOOKUP(D896,'THAM CHIẾU'!$A:$B,2,0))</f>
        <v>#N/A</v>
      </c>
      <c r="C896" s="53" t="str">
        <f t="shared" si="4"/>
        <v>04/2022</v>
      </c>
      <c r="D896" s="99">
        <v>44670.0</v>
      </c>
      <c r="E896" s="55" t="s">
        <v>915</v>
      </c>
      <c r="F896" s="56"/>
      <c r="G896" s="57" t="s">
        <v>186</v>
      </c>
      <c r="H896" s="58" t="str">
        <f>IF(G896="","",VLOOKUP($G896,'Quy chuẩn hạch toán'!$B:$E,2,0))</f>
        <v>131</v>
      </c>
      <c r="I896" s="58" t="str">
        <f>IF(H896="","",VLOOKUP($G896,'Quy chuẩn hạch toán'!$B:$E,3,0))</f>
        <v>5113</v>
      </c>
      <c r="J896" s="59">
        <v>1.1132E8</v>
      </c>
      <c r="K896" s="60"/>
      <c r="L896" s="61"/>
      <c r="M896" s="62"/>
      <c r="N896" s="63"/>
      <c r="O896" s="64" t="str">
        <f>IF($Q896&lt;&gt;0,VLOOKUP($Q896,DM_KM,3,0),"")</f>
        <v>511_TK</v>
      </c>
      <c r="P896" s="64">
        <f>IF($Q896&lt;&gt;0,VLOOKUP($Q896,DM_KM,5,0),"")</f>
        <v>511</v>
      </c>
      <c r="Q896" s="65" t="s">
        <v>187</v>
      </c>
      <c r="R896" s="64" t="str">
        <f>IF(S896&lt;&gt;0,VLOOKUP(S896,DM_DUAN,3,0),"")</f>
        <v>#N/A</v>
      </c>
      <c r="S896" s="66" t="str">
        <f>IF(U896&lt;&gt;0,VLOOKUP(U896,DM_DUAN,3,0),"")</f>
        <v>KIMCUONGLAND</v>
      </c>
      <c r="T896" s="64"/>
      <c r="U896" s="67" t="s">
        <v>636</v>
      </c>
      <c r="V896" s="64" t="str">
        <f>IF(W896&lt;&gt;0,VLOOKUP(W896,DM_DUAN,3,0),"")</f>
        <v>#N/A</v>
      </c>
      <c r="W896" s="83" t="s">
        <v>913</v>
      </c>
      <c r="X896" s="64" t="str">
        <f>IF(Y896&lt;&gt;0,VLOOKUP(Y896,DM_DUAN,3,0),"")</f>
        <v>#N/A</v>
      </c>
      <c r="Y896" s="69" t="s">
        <v>176</v>
      </c>
      <c r="Z896" s="64" t="str">
        <f>IF(AA896&lt;&gt;0,VLOOKUP(AA896,DM_DUAN,3,0),"")</f>
        <v>#N/A</v>
      </c>
      <c r="AA896" s="70" t="s">
        <v>183</v>
      </c>
      <c r="AB896" s="64" t="str">
        <f>IF(AC896&lt;&gt;0,VLOOKUP(AC896,DM_DUAN,3,0),"")</f>
        <v/>
      </c>
      <c r="AC896" s="70"/>
      <c r="AD896" s="64" t="str">
        <f>IF(AC896&lt;&gt;0,VLOOKUP(AC896,DM_NV,2,0),"")</f>
        <v/>
      </c>
      <c r="AE896" s="68"/>
      <c r="AF896" s="64" t="str">
        <f>IF(AE896&lt;&gt;0,VLOOKUP(AE896,DM_NV,2,0),"")</f>
        <v/>
      </c>
    </row>
    <row r="897">
      <c r="A897" s="51"/>
      <c r="B897" s="52" t="str">
        <f>IF(D897="","",VLOOKUP(D897,'THAM CHIẾU'!$A:$B,2,0))</f>
        <v>#N/A</v>
      </c>
      <c r="C897" s="53" t="str">
        <f t="shared" si="4"/>
        <v>04/2022</v>
      </c>
      <c r="D897" s="99">
        <v>44670.0</v>
      </c>
      <c r="E897" s="55" t="s">
        <v>916</v>
      </c>
      <c r="F897" s="56"/>
      <c r="G897" s="57" t="s">
        <v>189</v>
      </c>
      <c r="H897" s="58" t="str">
        <f>IF(G897="","",VLOOKUP($G897,'Quy chuẩn hạch toán'!$B:$E,2,0))</f>
        <v>154</v>
      </c>
      <c r="I897" s="58" t="str">
        <f>IF(H897="","",VLOOKUP($G897,'Quy chuẩn hạch toán'!$B:$E,3,0))</f>
        <v>3345</v>
      </c>
      <c r="J897" s="59">
        <v>2.2995E7</v>
      </c>
      <c r="K897" s="60"/>
      <c r="L897" s="61"/>
      <c r="M897" s="62"/>
      <c r="N897" s="63"/>
      <c r="O897" s="64" t="str">
        <f>IF($Q897&lt;&gt;0,VLOOKUP($Q897,DM_KM,3,0),"")</f>
        <v>#N/A</v>
      </c>
      <c r="P897" s="64" t="str">
        <f>IF($Q897&lt;&gt;0,VLOOKUP($Q897,DM_KM,5,0),"")</f>
        <v>#N/A</v>
      </c>
      <c r="Q897" s="65" t="s">
        <v>190</v>
      </c>
      <c r="R897" s="64" t="str">
        <f>IF(S897&lt;&gt;0,VLOOKUP(S897,DM_DUAN,3,0),"")</f>
        <v>#N/A</v>
      </c>
      <c r="S897" s="66" t="str">
        <f>IF(U897&lt;&gt;0,VLOOKUP(U897,DM_DUAN,3,0),"")</f>
        <v>KIMCUONGLAND</v>
      </c>
      <c r="T897" s="64"/>
      <c r="U897" s="67" t="s">
        <v>636</v>
      </c>
      <c r="V897" s="64" t="str">
        <f>IF(W897&lt;&gt;0,VLOOKUP(W897,DM_DUAN,3,0),"")</f>
        <v>#N/A</v>
      </c>
      <c r="W897" s="83" t="s">
        <v>913</v>
      </c>
      <c r="X897" s="64" t="str">
        <f>IF(Y897&lt;&gt;0,VLOOKUP(Y897,DM_DUAN,3,0),"")</f>
        <v>#N/A</v>
      </c>
      <c r="Y897" s="69" t="s">
        <v>176</v>
      </c>
      <c r="Z897" s="64" t="str">
        <f>IF(AA897&lt;&gt;0,VLOOKUP(AA897,DM_DUAN,3,0),"")</f>
        <v>#N/A</v>
      </c>
      <c r="AA897" s="70" t="s">
        <v>183</v>
      </c>
      <c r="AB897" s="64" t="str">
        <f>IF(AC897&lt;&gt;0,VLOOKUP(AC897,DM_DUAN,3,0),"")</f>
        <v>#N/A</v>
      </c>
      <c r="AC897" s="70" t="s">
        <v>406</v>
      </c>
      <c r="AD897" s="64" t="str">
        <f>IF(AC897&lt;&gt;0,VLOOKUP(AC897,DM_NV,2,0),"")</f>
        <v>Bùi Thị Yến Nhi</v>
      </c>
      <c r="AE897" s="68"/>
      <c r="AF897" s="64" t="str">
        <f>IF(AE897&lt;&gt;0,VLOOKUP(AE897,DM_NV,2,0),"")</f>
        <v/>
      </c>
    </row>
    <row r="898">
      <c r="A898" s="51"/>
      <c r="B898" s="52" t="str">
        <f>IF(D898="","",VLOOKUP(D898,'THAM CHIẾU'!$A:$B,2,0))</f>
        <v>#N/A</v>
      </c>
      <c r="C898" s="53" t="str">
        <f t="shared" si="4"/>
        <v>04/2022</v>
      </c>
      <c r="D898" s="99">
        <v>44670.0</v>
      </c>
      <c r="E898" s="55" t="s">
        <v>917</v>
      </c>
      <c r="F898" s="56"/>
      <c r="G898" s="57" t="s">
        <v>200</v>
      </c>
      <c r="H898" s="58" t="str">
        <f>IF(G898="","",VLOOKUP($G898,'Quy chuẩn hạch toán'!$B:$E,2,0))</f>
        <v>154</v>
      </c>
      <c r="I898" s="58" t="str">
        <f>IF(H898="","",VLOOKUP($G898,'Quy chuẩn hạch toán'!$B:$E,3,0))</f>
        <v>3343</v>
      </c>
      <c r="J898" s="59">
        <v>1000000.0</v>
      </c>
      <c r="K898" s="60"/>
      <c r="L898" s="61"/>
      <c r="M898" s="62"/>
      <c r="N898" s="63"/>
      <c r="O898" s="64" t="str">
        <f>IF($Q898&lt;&gt;0,VLOOKUP($Q898,DM_KM,3,0),"")</f>
        <v>#N/A</v>
      </c>
      <c r="P898" s="64" t="str">
        <f>IF($Q898&lt;&gt;0,VLOOKUP($Q898,DM_KM,5,0),"")</f>
        <v>#N/A</v>
      </c>
      <c r="Q898" s="65" t="s">
        <v>201</v>
      </c>
      <c r="R898" s="64" t="str">
        <f>IF(S898&lt;&gt;0,VLOOKUP(S898,DM_DUAN,3,0),"")</f>
        <v>#N/A</v>
      </c>
      <c r="S898" s="66" t="str">
        <f>IF(U898&lt;&gt;0,VLOOKUP(U898,DM_DUAN,3,0),"")</f>
        <v>KIMCUONGLAND</v>
      </c>
      <c r="T898" s="64"/>
      <c r="U898" s="67" t="s">
        <v>636</v>
      </c>
      <c r="V898" s="64" t="str">
        <f>IF(W898&lt;&gt;0,VLOOKUP(W898,DM_DUAN,3,0),"")</f>
        <v>#N/A</v>
      </c>
      <c r="W898" s="83" t="s">
        <v>913</v>
      </c>
      <c r="X898" s="64" t="str">
        <f>IF(Y898&lt;&gt;0,VLOOKUP(Y898,DM_DUAN,3,0),"")</f>
        <v>#N/A</v>
      </c>
      <c r="Y898" s="69" t="s">
        <v>176</v>
      </c>
      <c r="Z898" s="64" t="str">
        <f>IF(AA898&lt;&gt;0,VLOOKUP(AA898,DM_DUAN,3,0),"")</f>
        <v>#N/A</v>
      </c>
      <c r="AA898" s="70" t="s">
        <v>183</v>
      </c>
      <c r="AB898" s="64" t="str">
        <f>IF(AC898&lt;&gt;0,VLOOKUP(AC898,DM_DUAN,3,0),"")</f>
        <v/>
      </c>
      <c r="AC898" s="70"/>
      <c r="AD898" s="64" t="str">
        <f>IF(AC898&lt;&gt;0,VLOOKUP(AC898,DM_NV,2,0),"")</f>
        <v/>
      </c>
      <c r="AE898" s="68"/>
      <c r="AF898" s="64" t="str">
        <f>IF(AE898&lt;&gt;0,VLOOKUP(AE898,DM_NV,2,0),"")</f>
        <v/>
      </c>
    </row>
    <row r="899">
      <c r="A899" s="51"/>
      <c r="B899" s="52" t="str">
        <f>IF(D899="","",VLOOKUP(D899,'THAM CHIẾU'!$A:$B,2,0))</f>
        <v>#N/A</v>
      </c>
      <c r="C899" s="53" t="str">
        <f t="shared" si="4"/>
        <v>04/2022</v>
      </c>
      <c r="D899" s="99">
        <v>44670.0</v>
      </c>
      <c r="E899" s="55" t="s">
        <v>918</v>
      </c>
      <c r="F899" s="56"/>
      <c r="G899" s="90"/>
      <c r="H899" s="58" t="str">
        <f>IF(G899="","",VLOOKUP($G899,'Quy chuẩn hạch toán'!$B:$E,2,0))</f>
        <v/>
      </c>
      <c r="I899" s="58" t="str">
        <f>IF(H899="","",VLOOKUP($G899,'Quy chuẩn hạch toán'!$B:$E,3,0))</f>
        <v/>
      </c>
      <c r="J899" s="59">
        <v>8665600.0</v>
      </c>
      <c r="K899" s="60"/>
      <c r="L899" s="61"/>
      <c r="M899" s="62"/>
      <c r="N899" s="63"/>
      <c r="O899" s="64" t="str">
        <f>IF($Q899&lt;&gt;0,VLOOKUP($Q899,DM_KM,3,0),"")</f>
        <v>#N/A</v>
      </c>
      <c r="P899" s="64" t="str">
        <f>IF($Q899&lt;&gt;0,VLOOKUP($Q899,DM_KM,5,0),"")</f>
        <v>#N/A</v>
      </c>
      <c r="Q899" s="65" t="s">
        <v>203</v>
      </c>
      <c r="R899" s="64" t="str">
        <f>IF(S899&lt;&gt;0,VLOOKUP(S899,DM_DUAN,3,0),"")</f>
        <v>#N/A</v>
      </c>
      <c r="S899" s="66" t="str">
        <f>IF(U899&lt;&gt;0,VLOOKUP(U899,DM_DUAN,3,0),"")</f>
        <v>KIMCUONGLAND</v>
      </c>
      <c r="T899" s="64"/>
      <c r="U899" s="67" t="s">
        <v>636</v>
      </c>
      <c r="V899" s="64" t="str">
        <f>IF(W899&lt;&gt;0,VLOOKUP(W899,DM_DUAN,3,0),"")</f>
        <v>#N/A</v>
      </c>
      <c r="W899" s="83" t="s">
        <v>913</v>
      </c>
      <c r="X899" s="64" t="str">
        <f>IF(Y899&lt;&gt;0,VLOOKUP(Y899,DM_DUAN,3,0),"")</f>
        <v>#N/A</v>
      </c>
      <c r="Y899" s="69" t="s">
        <v>176</v>
      </c>
      <c r="Z899" s="64" t="str">
        <f>IF(AA899&lt;&gt;0,VLOOKUP(AA899,DM_DUAN,3,0),"")</f>
        <v>#N/A</v>
      </c>
      <c r="AA899" s="70" t="s">
        <v>183</v>
      </c>
      <c r="AB899" s="64" t="str">
        <f>IF(AC899&lt;&gt;0,VLOOKUP(AC899,DM_DUAN,3,0),"")</f>
        <v/>
      </c>
      <c r="AC899" s="70"/>
      <c r="AD899" s="64" t="str">
        <f>IF(AC899&lt;&gt;0,VLOOKUP(AC899,DM_NV,2,0),"")</f>
        <v/>
      </c>
      <c r="AE899" s="68"/>
      <c r="AF899" s="64" t="str">
        <f>IF(AE899&lt;&gt;0,VLOOKUP(AE899,DM_NV,2,0),"")</f>
        <v/>
      </c>
    </row>
    <row r="900">
      <c r="A900" s="51"/>
      <c r="B900" s="52" t="str">
        <f>IF(D900="","",VLOOKUP(D900,'THAM CHIẾU'!$A:$B,2,0))</f>
        <v>#N/A</v>
      </c>
      <c r="C900" s="53" t="str">
        <f t="shared" si="4"/>
        <v>04/2022</v>
      </c>
      <c r="D900" s="99">
        <v>44670.0</v>
      </c>
      <c r="E900" s="55" t="s">
        <v>919</v>
      </c>
      <c r="F900" s="56"/>
      <c r="G900" s="57" t="s">
        <v>205</v>
      </c>
      <c r="H900" s="58" t="str">
        <f>IF(G900="","",VLOOKUP($G900,'Quy chuẩn hạch toán'!$B:$E,2,0))</f>
        <v>642</v>
      </c>
      <c r="I900" s="58" t="str">
        <f>IF(H900="","",VLOOKUP($G900,'Quy chuẩn hạch toán'!$B:$E,3,0))</f>
        <v>1111</v>
      </c>
      <c r="J900" s="59">
        <v>800000.0</v>
      </c>
      <c r="K900" s="60"/>
      <c r="L900" s="61"/>
      <c r="M900" s="62"/>
      <c r="N900" s="63"/>
      <c r="O900" s="64" t="str">
        <f>IF($Q900&lt;&gt;0,VLOOKUP($Q900,DM_KM,3,0),"")</f>
        <v>#N/A</v>
      </c>
      <c r="P900" s="64" t="str">
        <f>IF($Q900&lt;&gt;0,VLOOKUP($Q900,DM_KM,5,0),"")</f>
        <v>#N/A</v>
      </c>
      <c r="Q900" s="65" t="s">
        <v>419</v>
      </c>
      <c r="R900" s="64" t="str">
        <f>IF(S900&lt;&gt;0,VLOOKUP(S900,DM_DUAN,3,0),"")</f>
        <v>#N/A</v>
      </c>
      <c r="S900" s="66" t="str">
        <f>IF(U900&lt;&gt;0,VLOOKUP(U900,DM_DUAN,3,0),"")</f>
        <v/>
      </c>
      <c r="T900" s="64"/>
      <c r="U900" s="93"/>
      <c r="V900" s="64" t="str">
        <f>IF(W900&lt;&gt;0,VLOOKUP(W900,DM_DUAN,3,0),"")</f>
        <v/>
      </c>
      <c r="W900" s="68"/>
      <c r="X900" s="64" t="str">
        <f>IF(Y900&lt;&gt;0,VLOOKUP(Y900,DM_DUAN,3,0),"")</f>
        <v>#N/A</v>
      </c>
      <c r="Y900" s="69" t="s">
        <v>207</v>
      </c>
      <c r="Z900" s="64" t="str">
        <f>IF(AA900&lt;&gt;0,VLOOKUP(AA900,DM_DUAN,3,0),"")</f>
        <v>#N/A</v>
      </c>
      <c r="AA900" s="70" t="s">
        <v>177</v>
      </c>
      <c r="AB900" s="64" t="str">
        <f>IF(AC900&lt;&gt;0,VLOOKUP(AC900,DM_DUAN,3,0),"")</f>
        <v/>
      </c>
      <c r="AC900" s="85"/>
      <c r="AD900" s="64" t="str">
        <f>IF(AC900&lt;&gt;0,VLOOKUP(AC900,DM_NV,2,0),"")</f>
        <v/>
      </c>
      <c r="AE900" s="68"/>
      <c r="AF900" s="64" t="str">
        <f>IF(AE900&lt;&gt;0,VLOOKUP(AE900,DM_NV,2,0),"")</f>
        <v/>
      </c>
    </row>
    <row r="901">
      <c r="A901" s="51"/>
      <c r="B901" s="52" t="str">
        <f>IF(D901="","",VLOOKUP(D901,'THAM CHIẾU'!$A:$B,2,0))</f>
        <v>#N/A</v>
      </c>
      <c r="C901" s="53" t="str">
        <f t="shared" si="4"/>
        <v>04/2022</v>
      </c>
      <c r="D901" s="99">
        <v>44670.0</v>
      </c>
      <c r="E901" s="55" t="s">
        <v>920</v>
      </c>
      <c r="F901" s="56"/>
      <c r="G901" s="57" t="s">
        <v>173</v>
      </c>
      <c r="H901" s="58" t="str">
        <f>IF(G901="","",VLOOKUP($G901,'Quy chuẩn hạch toán'!$B:$E,2,0))</f>
        <v>641</v>
      </c>
      <c r="I901" s="58" t="str">
        <f>IF(H901="","",VLOOKUP($G901,'Quy chuẩn hạch toán'!$B:$E,3,0))</f>
        <v>331</v>
      </c>
      <c r="J901" s="59">
        <v>3132000.0</v>
      </c>
      <c r="K901" s="60"/>
      <c r="L901" s="61"/>
      <c r="M901" s="62"/>
      <c r="N901" s="63"/>
      <c r="O901" s="64" t="str">
        <f>IF($Q901&lt;&gt;0,VLOOKUP($Q901,DM_KM,3,0),"")</f>
        <v>#N/A</v>
      </c>
      <c r="P901" s="64" t="str">
        <f>IF($Q901&lt;&gt;0,VLOOKUP($Q901,DM_KM,5,0),"")</f>
        <v>#N/A</v>
      </c>
      <c r="Q901" s="65" t="s">
        <v>174</v>
      </c>
      <c r="R901" s="64" t="str">
        <f>IF(S901&lt;&gt;0,VLOOKUP(S901,DM_DUAN,3,0),"")</f>
        <v>#N/A</v>
      </c>
      <c r="S901" s="66" t="str">
        <f>IF(U901&lt;&gt;0,VLOOKUP(U901,DM_DUAN,3,0),"")</f>
        <v>KIMCUONGLAND</v>
      </c>
      <c r="T901" s="64"/>
      <c r="U901" s="67" t="s">
        <v>638</v>
      </c>
      <c r="V901" s="64" t="str">
        <f>IF(W901&lt;&gt;0,VLOOKUP(W901,DM_DUAN,3,0),"")</f>
        <v/>
      </c>
      <c r="W901" s="68"/>
      <c r="X901" s="64" t="str">
        <f>IF(Y901&lt;&gt;0,VLOOKUP(Y901,DM_DUAN,3,0),"")</f>
        <v>#N/A</v>
      </c>
      <c r="Y901" s="69" t="s">
        <v>176</v>
      </c>
      <c r="Z901" s="64" t="str">
        <f>IF(AA901&lt;&gt;0,VLOOKUP(AA901,DM_DUAN,3,0),"")</f>
        <v>#N/A</v>
      </c>
      <c r="AA901" s="70" t="s">
        <v>705</v>
      </c>
      <c r="AB901" s="64" t="str">
        <f>IF(AC901&lt;&gt;0,VLOOKUP(AC901,DM_DUAN,3,0),"")</f>
        <v/>
      </c>
      <c r="AC901" s="85"/>
      <c r="AD901" s="64" t="str">
        <f>IF(AC901&lt;&gt;0,VLOOKUP(AC901,DM_NV,2,0),"")</f>
        <v/>
      </c>
      <c r="AE901" s="68"/>
      <c r="AF901" s="64" t="str">
        <f>IF(AE901&lt;&gt;0,VLOOKUP(AE901,DM_NV,2,0),"")</f>
        <v/>
      </c>
    </row>
    <row r="902">
      <c r="A902" s="51"/>
      <c r="B902" s="52" t="str">
        <f>IF(D902="","",VLOOKUP(D902,'THAM CHIẾU'!$A:$B,2,0))</f>
        <v>#N/A</v>
      </c>
      <c r="C902" s="53" t="str">
        <f t="shared" si="4"/>
        <v>04/2022</v>
      </c>
      <c r="D902" s="99">
        <v>44671.0</v>
      </c>
      <c r="E902" s="55" t="s">
        <v>921</v>
      </c>
      <c r="F902" s="56"/>
      <c r="G902" s="57" t="s">
        <v>205</v>
      </c>
      <c r="H902" s="58" t="str">
        <f>IF(G902="","",VLOOKUP($G902,'Quy chuẩn hạch toán'!$B:$E,2,0))</f>
        <v>642</v>
      </c>
      <c r="I902" s="58" t="str">
        <f>IF(H902="","",VLOOKUP($G902,'Quy chuẩn hạch toán'!$B:$E,3,0))</f>
        <v>1111</v>
      </c>
      <c r="J902" s="59">
        <v>171000.0</v>
      </c>
      <c r="K902" s="60"/>
      <c r="L902" s="61"/>
      <c r="M902" s="62"/>
      <c r="N902" s="63"/>
      <c r="O902" s="64" t="str">
        <f>IF($Q902&lt;&gt;0,VLOOKUP($Q902,DM_KM,3,0),"")</f>
        <v>#N/A</v>
      </c>
      <c r="P902" s="64" t="str">
        <f>IF($Q902&lt;&gt;0,VLOOKUP($Q902,DM_KM,5,0),"")</f>
        <v>#N/A</v>
      </c>
      <c r="Q902" s="65" t="s">
        <v>262</v>
      </c>
      <c r="R902" s="64" t="str">
        <f>IF(S902&lt;&gt;0,VLOOKUP(S902,DM_DUAN,3,0),"")</f>
        <v>#N/A</v>
      </c>
      <c r="S902" s="66" t="str">
        <f>IF(U902&lt;&gt;0,VLOOKUP(U902,DM_DUAN,3,0),"")</f>
        <v/>
      </c>
      <c r="T902" s="64"/>
      <c r="U902" s="93"/>
      <c r="V902" s="64" t="str">
        <f>IF(W902&lt;&gt;0,VLOOKUP(W902,DM_DUAN,3,0),"")</f>
        <v/>
      </c>
      <c r="W902" s="68"/>
      <c r="X902" s="64" t="str">
        <f>IF(Y902&lt;&gt;0,VLOOKUP(Y902,DM_DUAN,3,0),"")</f>
        <v>#N/A</v>
      </c>
      <c r="Y902" s="69" t="s">
        <v>176</v>
      </c>
      <c r="Z902" s="64" t="str">
        <f>IF(AA902&lt;&gt;0,VLOOKUP(AA902,DM_DUAN,3,0),"")</f>
        <v>#N/A</v>
      </c>
      <c r="AA902" s="70" t="s">
        <v>177</v>
      </c>
      <c r="AB902" s="64" t="str">
        <f>IF(AC902&lt;&gt;0,VLOOKUP(AC902,DM_DUAN,3,0),"")</f>
        <v/>
      </c>
      <c r="AC902" s="85"/>
      <c r="AD902" s="64" t="str">
        <f>IF(AC902&lt;&gt;0,VLOOKUP(AC902,DM_NV,2,0),"")</f>
        <v/>
      </c>
      <c r="AE902" s="83" t="s">
        <v>411</v>
      </c>
      <c r="AF902" s="64" t="str">
        <f>IF(AE902&lt;&gt;0,VLOOKUP(AE902,DM_NV,2,0),"")</f>
        <v>#N/A</v>
      </c>
    </row>
    <row r="903">
      <c r="A903" s="51"/>
      <c r="B903" s="52" t="str">
        <f>IF(D903="","",VLOOKUP(D903,'THAM CHIẾU'!$A:$B,2,0))</f>
        <v>#N/A</v>
      </c>
      <c r="C903" s="53" t="str">
        <f t="shared" si="4"/>
        <v>04/2022</v>
      </c>
      <c r="D903" s="99">
        <v>44671.0</v>
      </c>
      <c r="E903" s="55" t="s">
        <v>922</v>
      </c>
      <c r="F903" s="56"/>
      <c r="G903" s="57" t="s">
        <v>205</v>
      </c>
      <c r="H903" s="58" t="str">
        <f>IF(G903="","",VLOOKUP($G903,'Quy chuẩn hạch toán'!$B:$E,2,0))</f>
        <v>642</v>
      </c>
      <c r="I903" s="58" t="str">
        <f>IF(H903="","",VLOOKUP($G903,'Quy chuẩn hạch toán'!$B:$E,3,0))</f>
        <v>1111</v>
      </c>
      <c r="J903" s="59">
        <v>31579.0</v>
      </c>
      <c r="K903" s="60"/>
      <c r="L903" s="61"/>
      <c r="M903" s="62"/>
      <c r="N903" s="63"/>
      <c r="O903" s="64" t="str">
        <f>IF($Q903&lt;&gt;0,VLOOKUP($Q903,DM_KM,3,0),"")</f>
        <v>#N/A</v>
      </c>
      <c r="P903" s="64" t="str">
        <f>IF($Q903&lt;&gt;0,VLOOKUP($Q903,DM_KM,5,0),"")</f>
        <v>#N/A</v>
      </c>
      <c r="Q903" s="65" t="s">
        <v>222</v>
      </c>
      <c r="R903" s="64" t="str">
        <f>IF(S903&lt;&gt;0,VLOOKUP(S903,DM_DUAN,3,0),"")</f>
        <v>#N/A</v>
      </c>
      <c r="S903" s="66" t="str">
        <f>IF(U903&lt;&gt;0,VLOOKUP(U903,DM_DUAN,3,0),"")</f>
        <v/>
      </c>
      <c r="T903" s="64"/>
      <c r="U903" s="93"/>
      <c r="V903" s="64" t="str">
        <f>IF(W903&lt;&gt;0,VLOOKUP(W903,DM_DUAN,3,0),"")</f>
        <v/>
      </c>
      <c r="W903" s="68"/>
      <c r="X903" s="64" t="str">
        <f>IF(Y903&lt;&gt;0,VLOOKUP(Y903,DM_DUAN,3,0),"")</f>
        <v>#N/A</v>
      </c>
      <c r="Y903" s="69" t="s">
        <v>207</v>
      </c>
      <c r="Z903" s="64" t="str">
        <f>IF(AA903&lt;&gt;0,VLOOKUP(AA903,DM_DUAN,3,0),"")</f>
        <v>#N/A</v>
      </c>
      <c r="AA903" s="70" t="s">
        <v>705</v>
      </c>
      <c r="AB903" s="64" t="str">
        <f>IF(AC903&lt;&gt;0,VLOOKUP(AC903,DM_DUAN,3,0),"")</f>
        <v/>
      </c>
      <c r="AC903" s="85"/>
      <c r="AD903" s="64" t="str">
        <f>IF(AC903&lt;&gt;0,VLOOKUP(AC903,DM_NV,2,0),"")</f>
        <v/>
      </c>
      <c r="AE903" s="83" t="s">
        <v>223</v>
      </c>
      <c r="AF903" s="64" t="str">
        <f>IF(AE903&lt;&gt;0,VLOOKUP(AE903,DM_NV,2,0),"")</f>
        <v>#N/A</v>
      </c>
    </row>
    <row r="904">
      <c r="A904" s="51"/>
      <c r="B904" s="52" t="str">
        <f>IF(D904="","",VLOOKUP(D904,'THAM CHIẾU'!$A:$B,2,0))</f>
        <v>#N/A</v>
      </c>
      <c r="C904" s="53" t="str">
        <f t="shared" si="4"/>
        <v>04/2022</v>
      </c>
      <c r="D904" s="99">
        <v>44671.0</v>
      </c>
      <c r="E904" s="55" t="s">
        <v>922</v>
      </c>
      <c r="F904" s="56"/>
      <c r="G904" s="57" t="s">
        <v>205</v>
      </c>
      <c r="H904" s="58" t="str">
        <f>IF(G904="","",VLOOKUP($G904,'Quy chuẩn hạch toán'!$B:$E,2,0))</f>
        <v>642</v>
      </c>
      <c r="I904" s="58" t="str">
        <f>IF(H904="","",VLOOKUP($G904,'Quy chuẩn hạch toán'!$B:$E,3,0))</f>
        <v>1111</v>
      </c>
      <c r="J904" s="59">
        <v>63158.0</v>
      </c>
      <c r="K904" s="60"/>
      <c r="L904" s="61"/>
      <c r="M904" s="62"/>
      <c r="N904" s="63"/>
      <c r="O904" s="64" t="str">
        <f>IF($Q904&lt;&gt;0,VLOOKUP($Q904,DM_KM,3,0),"")</f>
        <v>#N/A</v>
      </c>
      <c r="P904" s="64" t="str">
        <f>IF($Q904&lt;&gt;0,VLOOKUP($Q904,DM_KM,5,0),"")</f>
        <v>#N/A</v>
      </c>
      <c r="Q904" s="65" t="s">
        <v>222</v>
      </c>
      <c r="R904" s="64" t="str">
        <f>IF(S904&lt;&gt;0,VLOOKUP(S904,DM_DUAN,3,0),"")</f>
        <v>#N/A</v>
      </c>
      <c r="S904" s="66" t="str">
        <f>IF(U904&lt;&gt;0,VLOOKUP(U904,DM_DUAN,3,0),"")</f>
        <v/>
      </c>
      <c r="T904" s="64"/>
      <c r="U904" s="93"/>
      <c r="V904" s="64" t="str">
        <f>IF(W904&lt;&gt;0,VLOOKUP(W904,DM_DUAN,3,0),"")</f>
        <v/>
      </c>
      <c r="W904" s="68"/>
      <c r="X904" s="64" t="str">
        <f>IF(Y904&lt;&gt;0,VLOOKUP(Y904,DM_DUAN,3,0),"")</f>
        <v>#N/A</v>
      </c>
      <c r="Y904" s="69" t="s">
        <v>207</v>
      </c>
      <c r="Z904" s="64" t="str">
        <f>IF(AA904&lt;&gt;0,VLOOKUP(AA904,DM_DUAN,3,0),"")</f>
        <v>#N/A</v>
      </c>
      <c r="AA904" s="70" t="s">
        <v>183</v>
      </c>
      <c r="AB904" s="64" t="str">
        <f>IF(AC904&lt;&gt;0,VLOOKUP(AC904,DM_DUAN,3,0),"")</f>
        <v/>
      </c>
      <c r="AC904" s="85"/>
      <c r="AD904" s="64" t="str">
        <f>IF(AC904&lt;&gt;0,VLOOKUP(AC904,DM_NV,2,0),"")</f>
        <v/>
      </c>
      <c r="AE904" s="83" t="s">
        <v>223</v>
      </c>
      <c r="AF904" s="64" t="str">
        <f>IF(AE904&lt;&gt;0,VLOOKUP(AE904,DM_NV,2,0),"")</f>
        <v>#N/A</v>
      </c>
    </row>
    <row r="905">
      <c r="A905" s="51"/>
      <c r="B905" s="52" t="str">
        <f>IF(D905="","",VLOOKUP(D905,'THAM CHIẾU'!$A:$B,2,0))</f>
        <v>#N/A</v>
      </c>
      <c r="C905" s="53" t="str">
        <f t="shared" si="4"/>
        <v>04/2022</v>
      </c>
      <c r="D905" s="99">
        <v>44671.0</v>
      </c>
      <c r="E905" s="55" t="s">
        <v>922</v>
      </c>
      <c r="F905" s="56"/>
      <c r="G905" s="57" t="s">
        <v>205</v>
      </c>
      <c r="H905" s="58" t="str">
        <f>IF(G905="","",VLOOKUP($G905,'Quy chuẩn hạch toán'!$B:$E,2,0))</f>
        <v>642</v>
      </c>
      <c r="I905" s="58" t="str">
        <f>IF(H905="","",VLOOKUP($G905,'Quy chuẩn hạch toán'!$B:$E,3,0))</f>
        <v>1111</v>
      </c>
      <c r="J905" s="59">
        <v>23684.0</v>
      </c>
      <c r="K905" s="60"/>
      <c r="L905" s="61"/>
      <c r="M905" s="62"/>
      <c r="N905" s="63"/>
      <c r="O905" s="64" t="str">
        <f>IF($Q905&lt;&gt;0,VLOOKUP($Q905,DM_KM,3,0),"")</f>
        <v>#N/A</v>
      </c>
      <c r="P905" s="64" t="str">
        <f>IF($Q905&lt;&gt;0,VLOOKUP($Q905,DM_KM,5,0),"")</f>
        <v>#N/A</v>
      </c>
      <c r="Q905" s="65" t="s">
        <v>222</v>
      </c>
      <c r="R905" s="64" t="str">
        <f>IF(S905&lt;&gt;0,VLOOKUP(S905,DM_DUAN,3,0),"")</f>
        <v>#N/A</v>
      </c>
      <c r="S905" s="66" t="str">
        <f>IF(U905&lt;&gt;0,VLOOKUP(U905,DM_DUAN,3,0),"")</f>
        <v/>
      </c>
      <c r="T905" s="64"/>
      <c r="U905" s="93"/>
      <c r="V905" s="64" t="str">
        <f>IF(W905&lt;&gt;0,VLOOKUP(W905,DM_DUAN,3,0),"")</f>
        <v/>
      </c>
      <c r="W905" s="68"/>
      <c r="X905" s="64" t="str">
        <f>IF(Y905&lt;&gt;0,VLOOKUP(Y905,DM_DUAN,3,0),"")</f>
        <v>#N/A</v>
      </c>
      <c r="Y905" s="69" t="s">
        <v>207</v>
      </c>
      <c r="Z905" s="64" t="str">
        <f>IF(AA905&lt;&gt;0,VLOOKUP(AA905,DM_DUAN,3,0),"")</f>
        <v>#N/A</v>
      </c>
      <c r="AA905" s="70" t="s">
        <v>177</v>
      </c>
      <c r="AB905" s="64" t="str">
        <f>IF(AC905&lt;&gt;0,VLOOKUP(AC905,DM_DUAN,3,0),"")</f>
        <v/>
      </c>
      <c r="AC905" s="85"/>
      <c r="AD905" s="64" t="str">
        <f>IF(AC905&lt;&gt;0,VLOOKUP(AC905,DM_NV,2,0),"")</f>
        <v/>
      </c>
      <c r="AE905" s="83" t="s">
        <v>223</v>
      </c>
      <c r="AF905" s="64" t="str">
        <f>IF(AE905&lt;&gt;0,VLOOKUP(AE905,DM_NV,2,0),"")</f>
        <v>#N/A</v>
      </c>
    </row>
    <row r="906">
      <c r="A906" s="51"/>
      <c r="B906" s="52" t="str">
        <f>IF(D906="","",VLOOKUP(D906,'THAM CHIẾU'!$A:$B,2,0))</f>
        <v>#N/A</v>
      </c>
      <c r="C906" s="53" t="str">
        <f t="shared" si="4"/>
        <v>04/2022</v>
      </c>
      <c r="D906" s="99">
        <v>44671.0</v>
      </c>
      <c r="E906" s="55" t="s">
        <v>922</v>
      </c>
      <c r="F906" s="56"/>
      <c r="G906" s="57" t="s">
        <v>205</v>
      </c>
      <c r="H906" s="58" t="str">
        <f>IF(G906="","",VLOOKUP($G906,'Quy chuẩn hạch toán'!$B:$E,2,0))</f>
        <v>642</v>
      </c>
      <c r="I906" s="58" t="str">
        <f>IF(H906="","",VLOOKUP($G906,'Quy chuẩn hạch toán'!$B:$E,3,0))</f>
        <v>1111</v>
      </c>
      <c r="J906" s="59">
        <v>31579.0</v>
      </c>
      <c r="K906" s="60"/>
      <c r="L906" s="61"/>
      <c r="M906" s="62"/>
      <c r="N906" s="63"/>
      <c r="O906" s="64" t="str">
        <f>IF($Q906&lt;&gt;0,VLOOKUP($Q906,DM_KM,3,0),"")</f>
        <v>#N/A</v>
      </c>
      <c r="P906" s="64" t="str">
        <f>IF($Q906&lt;&gt;0,VLOOKUP($Q906,DM_KM,5,0),"")</f>
        <v>#N/A</v>
      </c>
      <c r="Q906" s="65" t="s">
        <v>222</v>
      </c>
      <c r="R906" s="64" t="str">
        <f>IF(S906&lt;&gt;0,VLOOKUP(S906,DM_DUAN,3,0),"")</f>
        <v>#N/A</v>
      </c>
      <c r="S906" s="66" t="str">
        <f>IF(U906&lt;&gt;0,VLOOKUP(U906,DM_DUAN,3,0),"")</f>
        <v/>
      </c>
      <c r="T906" s="64"/>
      <c r="U906" s="93"/>
      <c r="V906" s="64" t="str">
        <f>IF(W906&lt;&gt;0,VLOOKUP(W906,DM_DUAN,3,0),"")</f>
        <v/>
      </c>
      <c r="W906" s="68"/>
      <c r="X906" s="64" t="str">
        <f>IF(Y906&lt;&gt;0,VLOOKUP(Y906,DM_DUAN,3,0),"")</f>
        <v>#N/A</v>
      </c>
      <c r="Y906" s="69" t="s">
        <v>207</v>
      </c>
      <c r="Z906" s="64" t="str">
        <f>IF(AA906&lt;&gt;0,VLOOKUP(AA906,DM_DUAN,3,0),"")</f>
        <v>#N/A</v>
      </c>
      <c r="AA906" s="70" t="s">
        <v>210</v>
      </c>
      <c r="AB906" s="64" t="str">
        <f>IF(AC906&lt;&gt;0,VLOOKUP(AC906,DM_DUAN,3,0),"")</f>
        <v/>
      </c>
      <c r="AC906" s="85"/>
      <c r="AD906" s="64" t="str">
        <f>IF(AC906&lt;&gt;0,VLOOKUP(AC906,DM_NV,2,0),"")</f>
        <v/>
      </c>
      <c r="AE906" s="83" t="s">
        <v>223</v>
      </c>
      <c r="AF906" s="64" t="str">
        <f>IF(AE906&lt;&gt;0,VLOOKUP(AE906,DM_NV,2,0),"")</f>
        <v>#N/A</v>
      </c>
    </row>
    <row r="907">
      <c r="A907" s="51"/>
      <c r="B907" s="52" t="str">
        <f>IF(D907="","",VLOOKUP(D907,'THAM CHIẾU'!$A:$B,2,0))</f>
        <v>#N/A</v>
      </c>
      <c r="C907" s="53" t="str">
        <f t="shared" si="4"/>
        <v>04/2022</v>
      </c>
      <c r="D907" s="99">
        <v>44671.0</v>
      </c>
      <c r="E907" s="55" t="s">
        <v>923</v>
      </c>
      <c r="F907" s="56"/>
      <c r="G907" s="57" t="s">
        <v>205</v>
      </c>
      <c r="H907" s="58" t="str">
        <f>IF(G907="","",VLOOKUP($G907,'Quy chuẩn hạch toán'!$B:$E,2,0))</f>
        <v>642</v>
      </c>
      <c r="I907" s="58" t="str">
        <f>IF(H907="","",VLOOKUP($G907,'Quy chuẩn hạch toán'!$B:$E,3,0))</f>
        <v>1111</v>
      </c>
      <c r="J907" s="59">
        <v>115053.0</v>
      </c>
      <c r="K907" s="60"/>
      <c r="L907" s="61"/>
      <c r="M907" s="62"/>
      <c r="N907" s="63"/>
      <c r="O907" s="64" t="str">
        <f>IF($Q907&lt;&gt;0,VLOOKUP($Q907,DM_KM,3,0),"")</f>
        <v>#N/A</v>
      </c>
      <c r="P907" s="64" t="str">
        <f>IF($Q907&lt;&gt;0,VLOOKUP($Q907,DM_KM,5,0),"")</f>
        <v>#N/A</v>
      </c>
      <c r="Q907" s="65" t="s">
        <v>410</v>
      </c>
      <c r="R907" s="64" t="str">
        <f>IF(S907&lt;&gt;0,VLOOKUP(S907,DM_DUAN,3,0),"")</f>
        <v>#N/A</v>
      </c>
      <c r="S907" s="66" t="str">
        <f>IF(U907&lt;&gt;0,VLOOKUP(U907,DM_DUAN,3,0),"")</f>
        <v/>
      </c>
      <c r="T907" s="64"/>
      <c r="U907" s="93"/>
      <c r="V907" s="64" t="str">
        <f>IF(W907&lt;&gt;0,VLOOKUP(W907,DM_DUAN,3,0),"")</f>
        <v/>
      </c>
      <c r="W907" s="68"/>
      <c r="X907" s="64" t="str">
        <f>IF(Y907&lt;&gt;0,VLOOKUP(Y907,DM_DUAN,3,0),"")</f>
        <v>#N/A</v>
      </c>
      <c r="Y907" s="69" t="s">
        <v>207</v>
      </c>
      <c r="Z907" s="64" t="str">
        <f>IF(AA907&lt;&gt;0,VLOOKUP(AA907,DM_DUAN,3,0),"")</f>
        <v>#N/A</v>
      </c>
      <c r="AA907" s="70" t="s">
        <v>705</v>
      </c>
      <c r="AB907" s="64" t="str">
        <f>IF(AC907&lt;&gt;0,VLOOKUP(AC907,DM_DUAN,3,0),"")</f>
        <v/>
      </c>
      <c r="AC907" s="85"/>
      <c r="AD907" s="64" t="str">
        <f>IF(AC907&lt;&gt;0,VLOOKUP(AC907,DM_NV,2,0),"")</f>
        <v/>
      </c>
      <c r="AE907" s="83" t="s">
        <v>411</v>
      </c>
      <c r="AF907" s="64" t="str">
        <f>IF(AE907&lt;&gt;0,VLOOKUP(AE907,DM_NV,2,0),"")</f>
        <v>#N/A</v>
      </c>
    </row>
    <row r="908">
      <c r="A908" s="51"/>
      <c r="B908" s="52" t="str">
        <f>IF(D908="","",VLOOKUP(D908,'THAM CHIẾU'!$A:$B,2,0))</f>
        <v>#N/A</v>
      </c>
      <c r="C908" s="53" t="str">
        <f t="shared" si="4"/>
        <v>04/2022</v>
      </c>
      <c r="D908" s="99">
        <v>44671.0</v>
      </c>
      <c r="E908" s="55" t="s">
        <v>923</v>
      </c>
      <c r="F908" s="56"/>
      <c r="G908" s="57" t="s">
        <v>205</v>
      </c>
      <c r="H908" s="58" t="str">
        <f>IF(G908="","",VLOOKUP($G908,'Quy chuẩn hạch toán'!$B:$E,2,0))</f>
        <v>642</v>
      </c>
      <c r="I908" s="58" t="str">
        <f>IF(H908="","",VLOOKUP($G908,'Quy chuẩn hạch toán'!$B:$E,3,0))</f>
        <v>1111</v>
      </c>
      <c r="J908" s="59">
        <v>230105.0</v>
      </c>
      <c r="K908" s="60"/>
      <c r="L908" s="61"/>
      <c r="M908" s="62"/>
      <c r="N908" s="63"/>
      <c r="O908" s="64" t="str">
        <f>IF($Q908&lt;&gt;0,VLOOKUP($Q908,DM_KM,3,0),"")</f>
        <v>#N/A</v>
      </c>
      <c r="P908" s="64" t="str">
        <f>IF($Q908&lt;&gt;0,VLOOKUP($Q908,DM_KM,5,0),"")</f>
        <v>#N/A</v>
      </c>
      <c r="Q908" s="65" t="s">
        <v>410</v>
      </c>
      <c r="R908" s="64" t="str">
        <f>IF(S908&lt;&gt;0,VLOOKUP(S908,DM_DUAN,3,0),"")</f>
        <v>#N/A</v>
      </c>
      <c r="S908" s="66" t="str">
        <f>IF(U908&lt;&gt;0,VLOOKUP(U908,DM_DUAN,3,0),"")</f>
        <v/>
      </c>
      <c r="T908" s="64"/>
      <c r="U908" s="93"/>
      <c r="V908" s="64" t="str">
        <f>IF(W908&lt;&gt;0,VLOOKUP(W908,DM_DUAN,3,0),"")</f>
        <v/>
      </c>
      <c r="W908" s="68"/>
      <c r="X908" s="64" t="str">
        <f>IF(Y908&lt;&gt;0,VLOOKUP(Y908,DM_DUAN,3,0),"")</f>
        <v>#N/A</v>
      </c>
      <c r="Y908" s="69" t="s">
        <v>207</v>
      </c>
      <c r="Z908" s="64" t="str">
        <f>IF(AA908&lt;&gt;0,VLOOKUP(AA908,DM_DUAN,3,0),"")</f>
        <v>#N/A</v>
      </c>
      <c r="AA908" s="70" t="s">
        <v>183</v>
      </c>
      <c r="AB908" s="64" t="str">
        <f>IF(AC908&lt;&gt;0,VLOOKUP(AC908,DM_DUAN,3,0),"")</f>
        <v/>
      </c>
      <c r="AC908" s="85"/>
      <c r="AD908" s="64" t="str">
        <f>IF(AC908&lt;&gt;0,VLOOKUP(AC908,DM_NV,2,0),"")</f>
        <v/>
      </c>
      <c r="AE908" s="83" t="s">
        <v>411</v>
      </c>
      <c r="AF908" s="64" t="str">
        <f>IF(AE908&lt;&gt;0,VLOOKUP(AE908,DM_NV,2,0),"")</f>
        <v>#N/A</v>
      </c>
    </row>
    <row r="909">
      <c r="A909" s="51"/>
      <c r="B909" s="52" t="str">
        <f>IF(D909="","",VLOOKUP(D909,'THAM CHIẾU'!$A:$B,2,0))</f>
        <v>#N/A</v>
      </c>
      <c r="C909" s="53" t="str">
        <f t="shared" si="4"/>
        <v>04/2022</v>
      </c>
      <c r="D909" s="99">
        <v>44671.0</v>
      </c>
      <c r="E909" s="55" t="s">
        <v>923</v>
      </c>
      <c r="F909" s="56"/>
      <c r="G909" s="57" t="s">
        <v>205</v>
      </c>
      <c r="H909" s="58" t="str">
        <f>IF(G909="","",VLOOKUP($G909,'Quy chuẩn hạch toán'!$B:$E,2,0))</f>
        <v>642</v>
      </c>
      <c r="I909" s="58" t="str">
        <f>IF(H909="","",VLOOKUP($G909,'Quy chuẩn hạch toán'!$B:$E,3,0))</f>
        <v>1111</v>
      </c>
      <c r="J909" s="59">
        <v>86289.0</v>
      </c>
      <c r="K909" s="60"/>
      <c r="L909" s="61"/>
      <c r="M909" s="62"/>
      <c r="N909" s="63"/>
      <c r="O909" s="64" t="str">
        <f>IF($Q909&lt;&gt;0,VLOOKUP($Q909,DM_KM,3,0),"")</f>
        <v>#N/A</v>
      </c>
      <c r="P909" s="64" t="str">
        <f>IF($Q909&lt;&gt;0,VLOOKUP($Q909,DM_KM,5,0),"")</f>
        <v>#N/A</v>
      </c>
      <c r="Q909" s="65" t="s">
        <v>410</v>
      </c>
      <c r="R909" s="64" t="str">
        <f>IF(S909&lt;&gt;0,VLOOKUP(S909,DM_DUAN,3,0),"")</f>
        <v>#N/A</v>
      </c>
      <c r="S909" s="66" t="str">
        <f>IF(U909&lt;&gt;0,VLOOKUP(U909,DM_DUAN,3,0),"")</f>
        <v/>
      </c>
      <c r="T909" s="64"/>
      <c r="U909" s="93"/>
      <c r="V909" s="64" t="str">
        <f>IF(W909&lt;&gt;0,VLOOKUP(W909,DM_DUAN,3,0),"")</f>
        <v/>
      </c>
      <c r="W909" s="68"/>
      <c r="X909" s="64" t="str">
        <f>IF(Y909&lt;&gt;0,VLOOKUP(Y909,DM_DUAN,3,0),"")</f>
        <v>#N/A</v>
      </c>
      <c r="Y909" s="69" t="s">
        <v>207</v>
      </c>
      <c r="Z909" s="64" t="str">
        <f>IF(AA909&lt;&gt;0,VLOOKUP(AA909,DM_DUAN,3,0),"")</f>
        <v>#N/A</v>
      </c>
      <c r="AA909" s="70" t="s">
        <v>177</v>
      </c>
      <c r="AB909" s="64" t="str">
        <f>IF(AC909&lt;&gt;0,VLOOKUP(AC909,DM_DUAN,3,0),"")</f>
        <v/>
      </c>
      <c r="AC909" s="85"/>
      <c r="AD909" s="64" t="str">
        <f>IF(AC909&lt;&gt;0,VLOOKUP(AC909,DM_NV,2,0),"")</f>
        <v/>
      </c>
      <c r="AE909" s="83" t="s">
        <v>411</v>
      </c>
      <c r="AF909" s="64" t="str">
        <f>IF(AE909&lt;&gt;0,VLOOKUP(AE909,DM_NV,2,0),"")</f>
        <v>#N/A</v>
      </c>
    </row>
    <row r="910">
      <c r="A910" s="51"/>
      <c r="B910" s="52" t="str">
        <f>IF(D910="","",VLOOKUP(D910,'THAM CHIẾU'!$A:$B,2,0))</f>
        <v>#N/A</v>
      </c>
      <c r="C910" s="53" t="str">
        <f t="shared" si="4"/>
        <v>04/2022</v>
      </c>
      <c r="D910" s="99">
        <v>44671.0</v>
      </c>
      <c r="E910" s="55" t="s">
        <v>923</v>
      </c>
      <c r="F910" s="56"/>
      <c r="G910" s="57" t="s">
        <v>205</v>
      </c>
      <c r="H910" s="58" t="str">
        <f>IF(G910="","",VLOOKUP($G910,'Quy chuẩn hạch toán'!$B:$E,2,0))</f>
        <v>642</v>
      </c>
      <c r="I910" s="58" t="str">
        <f>IF(H910="","",VLOOKUP($G910,'Quy chuẩn hạch toán'!$B:$E,3,0))</f>
        <v>1111</v>
      </c>
      <c r="J910" s="59">
        <v>115053.0</v>
      </c>
      <c r="K910" s="60"/>
      <c r="L910" s="61"/>
      <c r="M910" s="62"/>
      <c r="N910" s="63"/>
      <c r="O910" s="64" t="str">
        <f>IF($Q910&lt;&gt;0,VLOOKUP($Q910,DM_KM,3,0),"")</f>
        <v>#N/A</v>
      </c>
      <c r="P910" s="64" t="str">
        <f>IF($Q910&lt;&gt;0,VLOOKUP($Q910,DM_KM,5,0),"")</f>
        <v>#N/A</v>
      </c>
      <c r="Q910" s="65" t="s">
        <v>410</v>
      </c>
      <c r="R910" s="64" t="str">
        <f>IF(S910&lt;&gt;0,VLOOKUP(S910,DM_DUAN,3,0),"")</f>
        <v>#N/A</v>
      </c>
      <c r="S910" s="66" t="str">
        <f>IF(U910&lt;&gt;0,VLOOKUP(U910,DM_DUAN,3,0),"")</f>
        <v/>
      </c>
      <c r="T910" s="64"/>
      <c r="U910" s="93"/>
      <c r="V910" s="64" t="str">
        <f>IF(W910&lt;&gt;0,VLOOKUP(W910,DM_DUAN,3,0),"")</f>
        <v/>
      </c>
      <c r="W910" s="68"/>
      <c r="X910" s="64" t="str">
        <f>IF(Y910&lt;&gt;0,VLOOKUP(Y910,DM_DUAN,3,0),"")</f>
        <v>#N/A</v>
      </c>
      <c r="Y910" s="69" t="s">
        <v>207</v>
      </c>
      <c r="Z910" s="64" t="str">
        <f>IF(AA910&lt;&gt;0,VLOOKUP(AA910,DM_DUAN,3,0),"")</f>
        <v>#N/A</v>
      </c>
      <c r="AA910" s="70" t="s">
        <v>210</v>
      </c>
      <c r="AB910" s="64" t="str">
        <f>IF(AC910&lt;&gt;0,VLOOKUP(AC910,DM_DUAN,3,0),"")</f>
        <v/>
      </c>
      <c r="AC910" s="85"/>
      <c r="AD910" s="64" t="str">
        <f>IF(AC910&lt;&gt;0,VLOOKUP(AC910,DM_NV,2,0),"")</f>
        <v/>
      </c>
      <c r="AE910" s="83" t="s">
        <v>411</v>
      </c>
      <c r="AF910" s="64" t="str">
        <f>IF(AE910&lt;&gt;0,VLOOKUP(AE910,DM_NV,2,0),"")</f>
        <v>#N/A</v>
      </c>
    </row>
    <row r="911">
      <c r="A911" s="51"/>
      <c r="B911" s="52" t="str">
        <f>IF(D911="","",VLOOKUP(D911,'THAM CHIẾU'!$A:$B,2,0))</f>
        <v>#N/A</v>
      </c>
      <c r="C911" s="53" t="str">
        <f t="shared" si="4"/>
        <v>04/2022</v>
      </c>
      <c r="D911" s="99">
        <v>44671.0</v>
      </c>
      <c r="E911" s="55" t="s">
        <v>924</v>
      </c>
      <c r="F911" s="56"/>
      <c r="G911" s="57" t="s">
        <v>205</v>
      </c>
      <c r="H911" s="58" t="str">
        <f>IF(G911="","",VLOOKUP($G911,'Quy chuẩn hạch toán'!$B:$E,2,0))</f>
        <v>642</v>
      </c>
      <c r="I911" s="58" t="str">
        <f>IF(H911="","",VLOOKUP($G911,'Quy chuẩn hạch toán'!$B:$E,3,0))</f>
        <v>1111</v>
      </c>
      <c r="J911" s="59">
        <v>507500.0</v>
      </c>
      <c r="K911" s="60"/>
      <c r="L911" s="61"/>
      <c r="M911" s="62"/>
      <c r="N911" s="63"/>
      <c r="O911" s="64" t="str">
        <f>IF($Q911&lt;&gt;0,VLOOKUP($Q911,DM_KM,3,0),"")</f>
        <v>#N/A</v>
      </c>
      <c r="P911" s="64" t="str">
        <f>IF($Q911&lt;&gt;0,VLOOKUP($Q911,DM_KM,5,0),"")</f>
        <v>#N/A</v>
      </c>
      <c r="Q911" s="65" t="s">
        <v>410</v>
      </c>
      <c r="R911" s="64" t="str">
        <f>IF(S911&lt;&gt;0,VLOOKUP(S911,DM_DUAN,3,0),"")</f>
        <v>#N/A</v>
      </c>
      <c r="S911" s="66" t="str">
        <f>IF(U911&lt;&gt;0,VLOOKUP(U911,DM_DUAN,3,0),"")</f>
        <v/>
      </c>
      <c r="T911" s="64"/>
      <c r="U911" s="93"/>
      <c r="V911" s="64" t="str">
        <f>IF(W911&lt;&gt;0,VLOOKUP(W911,DM_DUAN,3,0),"")</f>
        <v/>
      </c>
      <c r="W911" s="68"/>
      <c r="X911" s="64" t="str">
        <f>IF(Y911&lt;&gt;0,VLOOKUP(Y911,DM_DUAN,3,0),"")</f>
        <v>#N/A</v>
      </c>
      <c r="Y911" s="69" t="s">
        <v>207</v>
      </c>
      <c r="Z911" s="64" t="str">
        <f>IF(AA911&lt;&gt;0,VLOOKUP(AA911,DM_DUAN,3,0),"")</f>
        <v>#N/A</v>
      </c>
      <c r="AA911" s="70" t="s">
        <v>705</v>
      </c>
      <c r="AB911" s="64" t="str">
        <f>IF(AC911&lt;&gt;0,VLOOKUP(AC911,DM_DUAN,3,0),"")</f>
        <v/>
      </c>
      <c r="AC911" s="85"/>
      <c r="AD911" s="64" t="str">
        <f>IF(AC911&lt;&gt;0,VLOOKUP(AC911,DM_NV,2,0),"")</f>
        <v/>
      </c>
      <c r="AE911" s="83" t="s">
        <v>411</v>
      </c>
      <c r="AF911" s="64" t="str">
        <f>IF(AE911&lt;&gt;0,VLOOKUP(AE911,DM_NV,2,0),"")</f>
        <v>#N/A</v>
      </c>
    </row>
    <row r="912">
      <c r="A912" s="51"/>
      <c r="B912" s="52" t="str">
        <f>IF(D912="","",VLOOKUP(D912,'THAM CHIẾU'!$A:$B,2,0))</f>
        <v>#N/A</v>
      </c>
      <c r="C912" s="53" t="str">
        <f t="shared" si="4"/>
        <v>04/2022</v>
      </c>
      <c r="D912" s="99">
        <v>44672.0</v>
      </c>
      <c r="E912" s="55" t="s">
        <v>925</v>
      </c>
      <c r="F912" s="56"/>
      <c r="G912" s="57" t="s">
        <v>197</v>
      </c>
      <c r="H912" s="58" t="str">
        <f>IF(G912="","",VLOOKUP($G912,'Quy chuẩn hạch toán'!$B:$E,2,0))</f>
        <v>#N/A</v>
      </c>
      <c r="I912" s="58" t="str">
        <f>IF(H912="","",VLOOKUP($G912,'Quy chuẩn hạch toán'!$B:$E,3,0))</f>
        <v>#N/A</v>
      </c>
      <c r="J912" s="59">
        <v>4.8E8</v>
      </c>
      <c r="K912" s="60"/>
      <c r="L912" s="61"/>
      <c r="M912" s="62"/>
      <c r="N912" s="63"/>
      <c r="O912" s="64" t="str">
        <f>IF($Q912&lt;&gt;0,VLOOKUP($Q912,DM_KM,3,0),"")</f>
        <v>#N/A</v>
      </c>
      <c r="P912" s="64" t="str">
        <f>IF($Q912&lt;&gt;0,VLOOKUP($Q912,DM_KM,5,0),"")</f>
        <v>#N/A</v>
      </c>
      <c r="Q912" s="65" t="s">
        <v>198</v>
      </c>
      <c r="R912" s="64" t="str">
        <f>IF(S912&lt;&gt;0,VLOOKUP(S912,DM_DUAN,3,0),"")</f>
        <v>#N/A</v>
      </c>
      <c r="S912" s="66" t="str">
        <f>IF(U912&lt;&gt;0,VLOOKUP(U912,DM_DUAN,3,0),"")</f>
        <v>KIMCUONGLAND</v>
      </c>
      <c r="T912" s="64"/>
      <c r="U912" s="67" t="s">
        <v>638</v>
      </c>
      <c r="V912" s="64" t="str">
        <f>IF(W912&lt;&gt;0,VLOOKUP(W912,DM_DUAN,3,0),"")</f>
        <v>#N/A</v>
      </c>
      <c r="W912" s="83" t="s">
        <v>926</v>
      </c>
      <c r="X912" s="64" t="str">
        <f>IF(Y912&lt;&gt;0,VLOOKUP(Y912,DM_DUAN,3,0),"")</f>
        <v>#N/A</v>
      </c>
      <c r="Y912" s="69" t="s">
        <v>176</v>
      </c>
      <c r="Z912" s="64" t="str">
        <f>IF(AA912&lt;&gt;0,VLOOKUP(AA912,DM_DUAN,3,0),"")</f>
        <v>#N/A</v>
      </c>
      <c r="AA912" s="70" t="s">
        <v>177</v>
      </c>
      <c r="AB912" s="64" t="str">
        <f>IF(AC912&lt;&gt;0,VLOOKUP(AC912,DM_DUAN,3,0),"")</f>
        <v>#N/A</v>
      </c>
      <c r="AC912" s="70" t="s">
        <v>791</v>
      </c>
      <c r="AD912" s="64" t="str">
        <f>IF(AC912&lt;&gt;0,VLOOKUP(AC912,DM_NV,2,0),"")</f>
        <v>Hồ Thị Thuý An</v>
      </c>
      <c r="AE912" s="68"/>
      <c r="AF912" s="64" t="str">
        <f>IF(AE912&lt;&gt;0,VLOOKUP(AE912,DM_NV,2,0),"")</f>
        <v/>
      </c>
    </row>
    <row r="913">
      <c r="A913" s="51"/>
      <c r="B913" s="52" t="str">
        <f>IF(D913="","",VLOOKUP(D913,'THAM CHIẾU'!$A:$B,2,0))</f>
        <v/>
      </c>
      <c r="C913" s="53" t="str">
        <f t="shared" si="4"/>
        <v/>
      </c>
      <c r="D913" s="99"/>
      <c r="E913" s="55"/>
      <c r="F913" s="56"/>
      <c r="G913" s="57"/>
      <c r="H913" s="58" t="str">
        <f>IF(G913="","",VLOOKUP($G913,'Quy chuẩn hạch toán'!$B:$E,2,0))</f>
        <v/>
      </c>
      <c r="I913" s="58" t="str">
        <f>IF(H913="","",VLOOKUP($G913,'Quy chuẩn hạch toán'!$B:$E,3,0))</f>
        <v/>
      </c>
      <c r="J913" s="59"/>
      <c r="K913" s="60"/>
      <c r="L913" s="61"/>
      <c r="M913" s="62"/>
      <c r="N913" s="63"/>
      <c r="O913" s="64" t="str">
        <f>IF($Q913&lt;&gt;0,VLOOKUP($Q913,DM_KM,3,0),"")</f>
        <v/>
      </c>
      <c r="P913" s="64" t="str">
        <f>IF($Q913&lt;&gt;0,VLOOKUP($Q913,DM_KM,5,0),"")</f>
        <v/>
      </c>
      <c r="Q913" s="65"/>
      <c r="R913" s="64" t="str">
        <f>IF(S913&lt;&gt;0,VLOOKUP(S913,DM_DUAN,3,0),"")</f>
        <v>#N/A</v>
      </c>
      <c r="S913" s="66" t="str">
        <f>IF(U913&lt;&gt;0,VLOOKUP(U913,DM_DUAN,3,0),"")</f>
        <v/>
      </c>
      <c r="T913" s="64"/>
      <c r="U913" s="67"/>
      <c r="V913" s="64" t="str">
        <f>IF(W913&lt;&gt;0,VLOOKUP(W913,DM_DUAN,3,0),"")</f>
        <v/>
      </c>
      <c r="W913" s="83"/>
      <c r="X913" s="64" t="str">
        <f>IF(Y913&lt;&gt;0,VLOOKUP(Y913,DM_DUAN,3,0),"")</f>
        <v/>
      </c>
      <c r="Y913" s="69"/>
      <c r="Z913" s="64" t="str">
        <f>IF(AA913&lt;&gt;0,VLOOKUP(AA913,DM_DUAN,3,0),"")</f>
        <v/>
      </c>
      <c r="AA913" s="70"/>
      <c r="AB913" s="64" t="str">
        <f>IF(AC913&lt;&gt;0,VLOOKUP(AC913,DM_DUAN,3,0),"")</f>
        <v/>
      </c>
      <c r="AC913" s="70"/>
      <c r="AD913" s="64" t="str">
        <f>IF(AC913&lt;&gt;0,VLOOKUP(AC913,DM_NV,2,0),"")</f>
        <v/>
      </c>
      <c r="AE913" s="68"/>
      <c r="AF913" s="64" t="str">
        <f>IF(AE913&lt;&gt;0,VLOOKUP(AE913,DM_NV,2,0),"")</f>
        <v/>
      </c>
    </row>
    <row r="914">
      <c r="A914" s="51"/>
      <c r="B914" s="52" t="str">
        <f>IF(D914="","",VLOOKUP(D914,'THAM CHIẾU'!$A:$B,2,0))</f>
        <v>#N/A</v>
      </c>
      <c r="C914" s="53" t="str">
        <f t="shared" si="4"/>
        <v>04/2022</v>
      </c>
      <c r="D914" s="99">
        <v>44672.0</v>
      </c>
      <c r="E914" s="55" t="s">
        <v>927</v>
      </c>
      <c r="F914" s="56"/>
      <c r="G914" s="57" t="s">
        <v>186</v>
      </c>
      <c r="H914" s="58" t="str">
        <f>IF(G914="","",VLOOKUP($G914,'Quy chuẩn hạch toán'!$B:$E,2,0))</f>
        <v>131</v>
      </c>
      <c r="I914" s="58" t="str">
        <f>IF(H914="","",VLOOKUP($G914,'Quy chuẩn hạch toán'!$B:$E,3,0))</f>
        <v>5113</v>
      </c>
      <c r="J914" s="59">
        <v>8.5E7</v>
      </c>
      <c r="K914" s="60"/>
      <c r="L914" s="61"/>
      <c r="M914" s="62"/>
      <c r="N914" s="63"/>
      <c r="O914" s="64" t="str">
        <f>IF($Q914&lt;&gt;0,VLOOKUP($Q914,DM_KM,3,0),"")</f>
        <v>511_TK</v>
      </c>
      <c r="P914" s="64">
        <f>IF($Q914&lt;&gt;0,VLOOKUP($Q914,DM_KM,5,0),"")</f>
        <v>511</v>
      </c>
      <c r="Q914" s="65" t="s">
        <v>187</v>
      </c>
      <c r="R914" s="64" t="str">
        <f>IF(S914&lt;&gt;0,VLOOKUP(S914,DM_DUAN,3,0),"")</f>
        <v>#N/A</v>
      </c>
      <c r="S914" s="66" t="str">
        <f>IF(U914&lt;&gt;0,VLOOKUP(U914,DM_DUAN,3,0),"")</f>
        <v>KIMCUONGLAND</v>
      </c>
      <c r="T914" s="64"/>
      <c r="U914" s="67" t="s">
        <v>638</v>
      </c>
      <c r="V914" s="64" t="str">
        <f>IF(W914&lt;&gt;0,VLOOKUP(W914,DM_DUAN,3,0),"")</f>
        <v>#N/A</v>
      </c>
      <c r="W914" s="83" t="s">
        <v>926</v>
      </c>
      <c r="X914" s="64" t="str">
        <f>IF(Y914&lt;&gt;0,VLOOKUP(Y914,DM_DUAN,3,0),"")</f>
        <v>#N/A</v>
      </c>
      <c r="Y914" s="69" t="s">
        <v>176</v>
      </c>
      <c r="Z914" s="64" t="str">
        <f>IF(AA914&lt;&gt;0,VLOOKUP(AA914,DM_DUAN,3,0),"")</f>
        <v>#N/A</v>
      </c>
      <c r="AA914" s="70" t="s">
        <v>177</v>
      </c>
      <c r="AB914" s="64" t="str">
        <f>IF(AC914&lt;&gt;0,VLOOKUP(AC914,DM_DUAN,3,0),"")</f>
        <v/>
      </c>
      <c r="AC914" s="70"/>
      <c r="AD914" s="64" t="str">
        <f>IF(AC914&lt;&gt;0,VLOOKUP(AC914,DM_NV,2,0),"")</f>
        <v/>
      </c>
      <c r="AE914" s="68"/>
      <c r="AF914" s="64" t="str">
        <f>IF(AE914&lt;&gt;0,VLOOKUP(AE914,DM_NV,2,0),"")</f>
        <v/>
      </c>
    </row>
    <row r="915">
      <c r="A915" s="51"/>
      <c r="B915" s="52" t="str">
        <f>IF(D915="","",VLOOKUP(D915,'THAM CHIẾU'!$A:$B,2,0))</f>
        <v>#N/A</v>
      </c>
      <c r="C915" s="53" t="str">
        <f t="shared" si="4"/>
        <v>04/2022</v>
      </c>
      <c r="D915" s="99">
        <v>44672.0</v>
      </c>
      <c r="E915" s="55" t="s">
        <v>928</v>
      </c>
      <c r="F915" s="56"/>
      <c r="G915" s="57" t="s">
        <v>189</v>
      </c>
      <c r="H915" s="58" t="str">
        <f>IF(G915="","",VLOOKUP($G915,'Quy chuẩn hạch toán'!$B:$E,2,0))</f>
        <v>154</v>
      </c>
      <c r="I915" s="58" t="str">
        <f>IF(H915="","",VLOOKUP($G915,'Quy chuẩn hạch toán'!$B:$E,3,0))</f>
        <v>3345</v>
      </c>
      <c r="J915" s="59">
        <v>1.98E7</v>
      </c>
      <c r="K915" s="60"/>
      <c r="L915" s="61"/>
      <c r="M915" s="62"/>
      <c r="N915" s="63"/>
      <c r="O915" s="64" t="str">
        <f>IF($Q915&lt;&gt;0,VLOOKUP($Q915,DM_KM,3,0),"")</f>
        <v>#N/A</v>
      </c>
      <c r="P915" s="64" t="str">
        <f>IF($Q915&lt;&gt;0,VLOOKUP($Q915,DM_KM,5,0),"")</f>
        <v>#N/A</v>
      </c>
      <c r="Q915" s="65" t="s">
        <v>190</v>
      </c>
      <c r="R915" s="64" t="str">
        <f>IF(S915&lt;&gt;0,VLOOKUP(S915,DM_DUAN,3,0),"")</f>
        <v>#N/A</v>
      </c>
      <c r="S915" s="66" t="str">
        <f>IF(U915&lt;&gt;0,VLOOKUP(U915,DM_DUAN,3,0),"")</f>
        <v>KIMCUONGLAND</v>
      </c>
      <c r="T915" s="64"/>
      <c r="U915" s="67" t="s">
        <v>638</v>
      </c>
      <c r="V915" s="64" t="str">
        <f>IF(W915&lt;&gt;0,VLOOKUP(W915,DM_DUAN,3,0),"")</f>
        <v>#N/A</v>
      </c>
      <c r="W915" s="83" t="s">
        <v>926</v>
      </c>
      <c r="X915" s="64" t="str">
        <f>IF(Y915&lt;&gt;0,VLOOKUP(Y915,DM_DUAN,3,0),"")</f>
        <v>#N/A</v>
      </c>
      <c r="Y915" s="69" t="s">
        <v>176</v>
      </c>
      <c r="Z915" s="64" t="str">
        <f>IF(AA915&lt;&gt;0,VLOOKUP(AA915,DM_DUAN,3,0),"")</f>
        <v>#N/A</v>
      </c>
      <c r="AA915" s="70" t="s">
        <v>177</v>
      </c>
      <c r="AB915" s="64" t="str">
        <f>IF(AC915&lt;&gt;0,VLOOKUP(AC915,DM_DUAN,3,0),"")</f>
        <v>#N/A</v>
      </c>
      <c r="AC915" s="70" t="s">
        <v>791</v>
      </c>
      <c r="AD915" s="64" t="str">
        <f>IF(AC915&lt;&gt;0,VLOOKUP(AC915,DM_NV,2,0),"")</f>
        <v>Hồ Thị Thuý An</v>
      </c>
      <c r="AE915" s="68"/>
      <c r="AF915" s="64" t="str">
        <f>IF(AE915&lt;&gt;0,VLOOKUP(AE915,DM_NV,2,0),"")</f>
        <v/>
      </c>
    </row>
    <row r="916">
      <c r="A916" s="51"/>
      <c r="B916" s="52" t="str">
        <f>IF(D916="","",VLOOKUP(D916,'THAM CHIẾU'!$A:$B,2,0))</f>
        <v>#N/A</v>
      </c>
      <c r="C916" s="53" t="str">
        <f t="shared" si="4"/>
        <v>04/2022</v>
      </c>
      <c r="D916" s="99">
        <v>44672.0</v>
      </c>
      <c r="E916" s="55" t="s">
        <v>929</v>
      </c>
      <c r="F916" s="56"/>
      <c r="G916" s="57" t="s">
        <v>200</v>
      </c>
      <c r="H916" s="58" t="str">
        <f>IF(G916="","",VLOOKUP($G916,'Quy chuẩn hạch toán'!$B:$E,2,0))</f>
        <v>154</v>
      </c>
      <c r="I916" s="58" t="str">
        <f>IF(H916="","",VLOOKUP($G916,'Quy chuẩn hạch toán'!$B:$E,3,0))</f>
        <v>3343</v>
      </c>
      <c r="J916" s="59">
        <v>1000000.0</v>
      </c>
      <c r="K916" s="60"/>
      <c r="L916" s="61"/>
      <c r="M916" s="62"/>
      <c r="N916" s="63"/>
      <c r="O916" s="64" t="str">
        <f>IF($Q916&lt;&gt;0,VLOOKUP($Q916,DM_KM,3,0),"")</f>
        <v>#N/A</v>
      </c>
      <c r="P916" s="64" t="str">
        <f>IF($Q916&lt;&gt;0,VLOOKUP($Q916,DM_KM,5,0),"")</f>
        <v>#N/A</v>
      </c>
      <c r="Q916" s="65" t="s">
        <v>201</v>
      </c>
      <c r="R916" s="64" t="str">
        <f>IF(S916&lt;&gt;0,VLOOKUP(S916,DM_DUAN,3,0),"")</f>
        <v>#N/A</v>
      </c>
      <c r="S916" s="66" t="str">
        <f>IF(U916&lt;&gt;0,VLOOKUP(U916,DM_DUAN,3,0),"")</f>
        <v>KIMCUONGLAND</v>
      </c>
      <c r="T916" s="64"/>
      <c r="U916" s="67" t="s">
        <v>638</v>
      </c>
      <c r="V916" s="64" t="str">
        <f>IF(W916&lt;&gt;0,VLOOKUP(W916,DM_DUAN,3,0),"")</f>
        <v>#N/A</v>
      </c>
      <c r="W916" s="83" t="s">
        <v>926</v>
      </c>
      <c r="X916" s="64" t="str">
        <f>IF(Y916&lt;&gt;0,VLOOKUP(Y916,DM_DUAN,3,0),"")</f>
        <v>#N/A</v>
      </c>
      <c r="Y916" s="69" t="s">
        <v>176</v>
      </c>
      <c r="Z916" s="64" t="str">
        <f>IF(AA916&lt;&gt;0,VLOOKUP(AA916,DM_DUAN,3,0),"")</f>
        <v>#N/A</v>
      </c>
      <c r="AA916" s="70" t="s">
        <v>177</v>
      </c>
      <c r="AB916" s="64" t="str">
        <f>IF(AC916&lt;&gt;0,VLOOKUP(AC916,DM_DUAN,3,0),"")</f>
        <v/>
      </c>
      <c r="AC916" s="70"/>
      <c r="AD916" s="64" t="str">
        <f>IF(AC916&lt;&gt;0,VLOOKUP(AC916,DM_NV,2,0),"")</f>
        <v/>
      </c>
      <c r="AE916" s="68"/>
      <c r="AF916" s="64" t="str">
        <f>IF(AE916&lt;&gt;0,VLOOKUP(AE916,DM_NV,2,0),"")</f>
        <v/>
      </c>
    </row>
    <row r="917">
      <c r="A917" s="51"/>
      <c r="B917" s="52" t="str">
        <f>IF(D917="","",VLOOKUP(D917,'THAM CHIẾU'!$A:$B,2,0))</f>
        <v>#N/A</v>
      </c>
      <c r="C917" s="53" t="str">
        <f t="shared" si="4"/>
        <v>04/2022</v>
      </c>
      <c r="D917" s="99">
        <v>44672.0</v>
      </c>
      <c r="E917" s="55" t="s">
        <v>930</v>
      </c>
      <c r="F917" s="56"/>
      <c r="G917" s="57" t="s">
        <v>733</v>
      </c>
      <c r="H917" s="58" t="str">
        <f>IF(G917="","",VLOOKUP($G917,'Quy chuẩn hạch toán'!$B:$E,2,0))</f>
        <v>154</v>
      </c>
      <c r="I917" s="58" t="str">
        <f>IF(H917="","",VLOOKUP($G917,'Quy chuẩn hạch toán'!$B:$E,3,0))</f>
        <v>3342</v>
      </c>
      <c r="J917" s="59">
        <v>1440000.0</v>
      </c>
      <c r="K917" s="60"/>
      <c r="L917" s="61"/>
      <c r="M917" s="62"/>
      <c r="N917" s="63"/>
      <c r="O917" s="64" t="str">
        <f>IF($Q917&lt;&gt;0,VLOOKUP($Q917,DM_KM,3,0),"")</f>
        <v>#N/A</v>
      </c>
      <c r="P917" s="64" t="str">
        <f>IF($Q917&lt;&gt;0,VLOOKUP($Q917,DM_KM,5,0),"")</f>
        <v>#N/A</v>
      </c>
      <c r="Q917" s="65" t="s">
        <v>734</v>
      </c>
      <c r="R917" s="64" t="str">
        <f>IF(S917&lt;&gt;0,VLOOKUP(S917,DM_DUAN,3,0),"")</f>
        <v>#N/A</v>
      </c>
      <c r="S917" s="66" t="str">
        <f>IF(U917&lt;&gt;0,VLOOKUP(U917,DM_DUAN,3,0),"")</f>
        <v>KIMCUONGLAND</v>
      </c>
      <c r="T917" s="64"/>
      <c r="U917" s="67" t="s">
        <v>638</v>
      </c>
      <c r="V917" s="64" t="str">
        <f>IF(W917&lt;&gt;0,VLOOKUP(W917,DM_DUAN,3,0),"")</f>
        <v>#N/A</v>
      </c>
      <c r="W917" s="83" t="s">
        <v>926</v>
      </c>
      <c r="X917" s="64" t="str">
        <f>IF(Y917&lt;&gt;0,VLOOKUP(Y917,DM_DUAN,3,0),"")</f>
        <v>#N/A</v>
      </c>
      <c r="Y917" s="69" t="s">
        <v>176</v>
      </c>
      <c r="Z917" s="64" t="str">
        <f>IF(AA917&lt;&gt;0,VLOOKUP(AA917,DM_DUAN,3,0),"")</f>
        <v>#N/A</v>
      </c>
      <c r="AA917" s="70" t="s">
        <v>177</v>
      </c>
      <c r="AB917" s="64" t="str">
        <f>IF(AC917&lt;&gt;0,VLOOKUP(AC917,DM_DUAN,3,0),"")</f>
        <v>#N/A</v>
      </c>
      <c r="AC917" s="70" t="s">
        <v>791</v>
      </c>
      <c r="AD917" s="64" t="str">
        <f>IF(AC917&lt;&gt;0,VLOOKUP(AC917,DM_NV,2,0),"")</f>
        <v>Hồ Thị Thuý An</v>
      </c>
      <c r="AE917" s="68"/>
      <c r="AF917" s="64" t="str">
        <f>IF(AE917&lt;&gt;0,VLOOKUP(AE917,DM_NV,2,0),"")</f>
        <v/>
      </c>
    </row>
    <row r="918">
      <c r="A918" s="51"/>
      <c r="B918" s="52" t="str">
        <f>IF(D918="","",VLOOKUP(D918,'THAM CHIẾU'!$A:$B,2,0))</f>
        <v>#N/A</v>
      </c>
      <c r="C918" s="53" t="str">
        <f t="shared" si="4"/>
        <v>04/2022</v>
      </c>
      <c r="D918" s="99">
        <v>44672.0</v>
      </c>
      <c r="E918" s="55" t="s">
        <v>931</v>
      </c>
      <c r="F918" s="56"/>
      <c r="G918" s="90"/>
      <c r="H918" s="58" t="str">
        <f>IF(G918="","",VLOOKUP($G918,'Quy chuẩn hạch toán'!$B:$E,2,0))</f>
        <v/>
      </c>
      <c r="I918" s="58" t="str">
        <f>IF(H918="","",VLOOKUP($G918,'Quy chuẩn hạch toán'!$B:$E,3,0))</f>
        <v/>
      </c>
      <c r="J918" s="59">
        <v>6800000.0</v>
      </c>
      <c r="K918" s="60"/>
      <c r="L918" s="61"/>
      <c r="M918" s="62"/>
      <c r="N918" s="63"/>
      <c r="O918" s="64" t="str">
        <f>IF($Q918&lt;&gt;0,VLOOKUP($Q918,DM_KM,3,0),"")</f>
        <v>#N/A</v>
      </c>
      <c r="P918" s="64" t="str">
        <f>IF($Q918&lt;&gt;0,VLOOKUP($Q918,DM_KM,5,0),"")</f>
        <v>#N/A</v>
      </c>
      <c r="Q918" s="65" t="s">
        <v>203</v>
      </c>
      <c r="R918" s="64" t="str">
        <f>IF(S918&lt;&gt;0,VLOOKUP(S918,DM_DUAN,3,0),"")</f>
        <v>#N/A</v>
      </c>
      <c r="S918" s="66" t="str">
        <f>IF(U918&lt;&gt;0,VLOOKUP(U918,DM_DUAN,3,0),"")</f>
        <v>KIMCUONGLAND</v>
      </c>
      <c r="T918" s="64"/>
      <c r="U918" s="67" t="s">
        <v>638</v>
      </c>
      <c r="V918" s="64" t="str">
        <f>IF(W918&lt;&gt;0,VLOOKUP(W918,DM_DUAN,3,0),"")</f>
        <v>#N/A</v>
      </c>
      <c r="W918" s="83" t="s">
        <v>926</v>
      </c>
      <c r="X918" s="64" t="str">
        <f>IF(Y918&lt;&gt;0,VLOOKUP(Y918,DM_DUAN,3,0),"")</f>
        <v>#N/A</v>
      </c>
      <c r="Y918" s="69" t="s">
        <v>176</v>
      </c>
      <c r="Z918" s="64" t="str">
        <f>IF(AA918&lt;&gt;0,VLOOKUP(AA918,DM_DUAN,3,0),"")</f>
        <v>#N/A</v>
      </c>
      <c r="AA918" s="70" t="s">
        <v>177</v>
      </c>
      <c r="AB918" s="64" t="str">
        <f>IF(AC918&lt;&gt;0,VLOOKUP(AC918,DM_DUAN,3,0),"")</f>
        <v/>
      </c>
      <c r="AC918" s="70"/>
      <c r="AD918" s="64" t="str">
        <f>IF(AC918&lt;&gt;0,VLOOKUP(AC918,DM_NV,2,0),"")</f>
        <v/>
      </c>
      <c r="AE918" s="68"/>
      <c r="AF918" s="64" t="str">
        <f>IF(AE918&lt;&gt;0,VLOOKUP(AE918,DM_NV,2,0),"")</f>
        <v/>
      </c>
    </row>
    <row r="919">
      <c r="A919" s="51"/>
      <c r="B919" s="52" t="str">
        <f>IF(D919="","",VLOOKUP(D919,'THAM CHIẾU'!$A:$B,2,0))</f>
        <v>#N/A</v>
      </c>
      <c r="C919" s="53" t="str">
        <f t="shared" si="4"/>
        <v>04/2022</v>
      </c>
      <c r="D919" s="99">
        <v>44672.0</v>
      </c>
      <c r="E919" s="55" t="s">
        <v>932</v>
      </c>
      <c r="F919" s="56"/>
      <c r="G919" s="57" t="s">
        <v>197</v>
      </c>
      <c r="H919" s="58" t="str">
        <f>IF(G919="","",VLOOKUP($G919,'Quy chuẩn hạch toán'!$B:$E,2,0))</f>
        <v>#N/A</v>
      </c>
      <c r="I919" s="58" t="str">
        <f>IF(H919="","",VLOOKUP($G919,'Quy chuẩn hạch toán'!$B:$E,3,0))</f>
        <v>#N/A</v>
      </c>
      <c r="J919" s="59">
        <v>4.8E8</v>
      </c>
      <c r="K919" s="60"/>
      <c r="L919" s="61"/>
      <c r="M919" s="62"/>
      <c r="N919" s="63"/>
      <c r="O919" s="64" t="str">
        <f>IF($Q919&lt;&gt;0,VLOOKUP($Q919,DM_KM,3,0),"")</f>
        <v>#N/A</v>
      </c>
      <c r="P919" s="64" t="str">
        <f>IF($Q919&lt;&gt;0,VLOOKUP($Q919,DM_KM,5,0),"")</f>
        <v>#N/A</v>
      </c>
      <c r="Q919" s="65" t="s">
        <v>198</v>
      </c>
      <c r="R919" s="64" t="str">
        <f>IF(S919&lt;&gt;0,VLOOKUP(S919,DM_DUAN,3,0),"")</f>
        <v>#N/A</v>
      </c>
      <c r="S919" s="66" t="str">
        <f>IF(U919&lt;&gt;0,VLOOKUP(U919,DM_DUAN,3,0),"")</f>
        <v>KIMCUONGLAND</v>
      </c>
      <c r="T919" s="64"/>
      <c r="U919" s="67" t="s">
        <v>638</v>
      </c>
      <c r="V919" s="64" t="str">
        <f>IF(W919&lt;&gt;0,VLOOKUP(W919,DM_DUAN,3,0),"")</f>
        <v>#N/A</v>
      </c>
      <c r="W919" s="83" t="s">
        <v>933</v>
      </c>
      <c r="X919" s="64" t="str">
        <f>IF(Y919&lt;&gt;0,VLOOKUP(Y919,DM_DUAN,3,0),"")</f>
        <v>#N/A</v>
      </c>
      <c r="Y919" s="69" t="s">
        <v>176</v>
      </c>
      <c r="Z919" s="64" t="str">
        <f>IF(AA919&lt;&gt;0,VLOOKUP(AA919,DM_DUAN,3,0),"")</f>
        <v>#N/A</v>
      </c>
      <c r="AA919" s="70" t="s">
        <v>177</v>
      </c>
      <c r="AB919" s="64" t="str">
        <f>IF(AC919&lt;&gt;0,VLOOKUP(AC919,DM_DUAN,3,0),"")</f>
        <v>#N/A</v>
      </c>
      <c r="AC919" s="70" t="s">
        <v>791</v>
      </c>
      <c r="AD919" s="64" t="str">
        <f>IF(AC919&lt;&gt;0,VLOOKUP(AC919,DM_NV,2,0),"")</f>
        <v>Hồ Thị Thuý An</v>
      </c>
      <c r="AE919" s="68"/>
      <c r="AF919" s="64" t="str">
        <f>IF(AE919&lt;&gt;0,VLOOKUP(AE919,DM_NV,2,0),"")</f>
        <v/>
      </c>
    </row>
    <row r="920">
      <c r="A920" s="51"/>
      <c r="B920" s="52" t="str">
        <f>IF(D920="","",VLOOKUP(D920,'THAM CHIẾU'!$A:$B,2,0))</f>
        <v/>
      </c>
      <c r="C920" s="53" t="str">
        <f t="shared" si="4"/>
        <v/>
      </c>
      <c r="D920" s="99"/>
      <c r="E920" s="55"/>
      <c r="F920" s="56"/>
      <c r="G920" s="57"/>
      <c r="H920" s="58" t="str">
        <f>IF(G920="","",VLOOKUP($G920,'Quy chuẩn hạch toán'!$B:$E,2,0))</f>
        <v/>
      </c>
      <c r="I920" s="58" t="str">
        <f>IF(H920="","",VLOOKUP($G920,'Quy chuẩn hạch toán'!$B:$E,3,0))</f>
        <v/>
      </c>
      <c r="J920" s="59"/>
      <c r="K920" s="60"/>
      <c r="L920" s="61"/>
      <c r="M920" s="62"/>
      <c r="N920" s="63"/>
      <c r="O920" s="64" t="str">
        <f>IF($Q920&lt;&gt;0,VLOOKUP($Q920,DM_KM,3,0),"")</f>
        <v/>
      </c>
      <c r="P920" s="64" t="str">
        <f>IF($Q920&lt;&gt;0,VLOOKUP($Q920,DM_KM,5,0),"")</f>
        <v/>
      </c>
      <c r="Q920" s="65"/>
      <c r="R920" s="64" t="str">
        <f>IF(S920&lt;&gt;0,VLOOKUP(S920,DM_DUAN,3,0),"")</f>
        <v>#N/A</v>
      </c>
      <c r="S920" s="66" t="str">
        <f>IF(U920&lt;&gt;0,VLOOKUP(U920,DM_DUAN,3,0),"")</f>
        <v/>
      </c>
      <c r="T920" s="64"/>
      <c r="U920" s="67"/>
      <c r="V920" s="64" t="str">
        <f>IF(W920&lt;&gt;0,VLOOKUP(W920,DM_DUAN,3,0),"")</f>
        <v/>
      </c>
      <c r="W920" s="83"/>
      <c r="X920" s="64" t="str">
        <f>IF(Y920&lt;&gt;0,VLOOKUP(Y920,DM_DUAN,3,0),"")</f>
        <v/>
      </c>
      <c r="Y920" s="69"/>
      <c r="Z920" s="64" t="str">
        <f>IF(AA920&lt;&gt;0,VLOOKUP(AA920,DM_DUAN,3,0),"")</f>
        <v/>
      </c>
      <c r="AA920" s="70"/>
      <c r="AB920" s="64" t="str">
        <f>IF(AC920&lt;&gt;0,VLOOKUP(AC920,DM_DUAN,3,0),"")</f>
        <v/>
      </c>
      <c r="AC920" s="70"/>
      <c r="AD920" s="64" t="str">
        <f>IF(AC920&lt;&gt;0,VLOOKUP(AC920,DM_NV,2,0),"")</f>
        <v/>
      </c>
      <c r="AE920" s="68"/>
      <c r="AF920" s="64" t="str">
        <f>IF(AE920&lt;&gt;0,VLOOKUP(AE920,DM_NV,2,0),"")</f>
        <v/>
      </c>
    </row>
    <row r="921">
      <c r="A921" s="51"/>
      <c r="B921" s="52" t="str">
        <f>IF(D921="","",VLOOKUP(D921,'THAM CHIẾU'!$A:$B,2,0))</f>
        <v>#N/A</v>
      </c>
      <c r="C921" s="53" t="str">
        <f t="shared" si="4"/>
        <v>04/2022</v>
      </c>
      <c r="D921" s="99">
        <v>44672.0</v>
      </c>
      <c r="E921" s="55" t="s">
        <v>934</v>
      </c>
      <c r="F921" s="56"/>
      <c r="G921" s="57" t="s">
        <v>186</v>
      </c>
      <c r="H921" s="58" t="str">
        <f>IF(G921="","",VLOOKUP($G921,'Quy chuẩn hạch toán'!$B:$E,2,0))</f>
        <v>131</v>
      </c>
      <c r="I921" s="58" t="str">
        <f>IF(H921="","",VLOOKUP($G921,'Quy chuẩn hạch toán'!$B:$E,3,0))</f>
        <v>5113</v>
      </c>
      <c r="J921" s="59">
        <v>8.5E7</v>
      </c>
      <c r="K921" s="60"/>
      <c r="L921" s="61"/>
      <c r="M921" s="62"/>
      <c r="N921" s="63"/>
      <c r="O921" s="64" t="str">
        <f>IF($Q921&lt;&gt;0,VLOOKUP($Q921,DM_KM,3,0),"")</f>
        <v>511_TK</v>
      </c>
      <c r="P921" s="64">
        <f>IF($Q921&lt;&gt;0,VLOOKUP($Q921,DM_KM,5,0),"")</f>
        <v>511</v>
      </c>
      <c r="Q921" s="65" t="s">
        <v>187</v>
      </c>
      <c r="R921" s="64" t="str">
        <f>IF(S921&lt;&gt;0,VLOOKUP(S921,DM_DUAN,3,0),"")</f>
        <v>#N/A</v>
      </c>
      <c r="S921" s="66" t="str">
        <f>IF(U921&lt;&gt;0,VLOOKUP(U921,DM_DUAN,3,0),"")</f>
        <v>KIMCUONGLAND</v>
      </c>
      <c r="T921" s="64"/>
      <c r="U921" s="67" t="s">
        <v>638</v>
      </c>
      <c r="V921" s="64" t="str">
        <f>IF(W921&lt;&gt;0,VLOOKUP(W921,DM_DUAN,3,0),"")</f>
        <v>#N/A</v>
      </c>
      <c r="W921" s="83" t="s">
        <v>933</v>
      </c>
      <c r="X921" s="64" t="str">
        <f>IF(Y921&lt;&gt;0,VLOOKUP(Y921,DM_DUAN,3,0),"")</f>
        <v>#N/A</v>
      </c>
      <c r="Y921" s="69" t="s">
        <v>176</v>
      </c>
      <c r="Z921" s="64" t="str">
        <f>IF(AA921&lt;&gt;0,VLOOKUP(AA921,DM_DUAN,3,0),"")</f>
        <v>#N/A</v>
      </c>
      <c r="AA921" s="70" t="s">
        <v>177</v>
      </c>
      <c r="AB921" s="64" t="str">
        <f>IF(AC921&lt;&gt;0,VLOOKUP(AC921,DM_DUAN,3,0),"")</f>
        <v/>
      </c>
      <c r="AC921" s="70"/>
      <c r="AD921" s="64" t="str">
        <f>IF(AC921&lt;&gt;0,VLOOKUP(AC921,DM_NV,2,0),"")</f>
        <v/>
      </c>
      <c r="AE921" s="68"/>
      <c r="AF921" s="64" t="str">
        <f>IF(AE921&lt;&gt;0,VLOOKUP(AE921,DM_NV,2,0),"")</f>
        <v/>
      </c>
    </row>
    <row r="922">
      <c r="A922" s="51"/>
      <c r="B922" s="52" t="str">
        <f>IF(D922="","",VLOOKUP(D922,'THAM CHIẾU'!$A:$B,2,0))</f>
        <v>#N/A</v>
      </c>
      <c r="C922" s="53" t="str">
        <f t="shared" si="4"/>
        <v>04/2022</v>
      </c>
      <c r="D922" s="99">
        <v>44672.0</v>
      </c>
      <c r="E922" s="55" t="s">
        <v>935</v>
      </c>
      <c r="F922" s="56"/>
      <c r="G922" s="57" t="s">
        <v>189</v>
      </c>
      <c r="H922" s="58" t="str">
        <f>IF(G922="","",VLOOKUP($G922,'Quy chuẩn hạch toán'!$B:$E,2,0))</f>
        <v>154</v>
      </c>
      <c r="I922" s="58" t="str">
        <f>IF(H922="","",VLOOKUP($G922,'Quy chuẩn hạch toán'!$B:$E,3,0))</f>
        <v>3345</v>
      </c>
      <c r="J922" s="59">
        <v>1.98E7</v>
      </c>
      <c r="K922" s="60"/>
      <c r="L922" s="61"/>
      <c r="M922" s="62"/>
      <c r="N922" s="63"/>
      <c r="O922" s="64" t="str">
        <f>IF($Q922&lt;&gt;0,VLOOKUP($Q922,DM_KM,3,0),"")</f>
        <v>#N/A</v>
      </c>
      <c r="P922" s="64" t="str">
        <f>IF($Q922&lt;&gt;0,VLOOKUP($Q922,DM_KM,5,0),"")</f>
        <v>#N/A</v>
      </c>
      <c r="Q922" s="65" t="s">
        <v>190</v>
      </c>
      <c r="R922" s="64" t="str">
        <f>IF(S922&lt;&gt;0,VLOOKUP(S922,DM_DUAN,3,0),"")</f>
        <v>#N/A</v>
      </c>
      <c r="S922" s="66" t="str">
        <f>IF(U922&lt;&gt;0,VLOOKUP(U922,DM_DUAN,3,0),"")</f>
        <v>KIMCUONGLAND</v>
      </c>
      <c r="T922" s="64"/>
      <c r="U922" s="67" t="s">
        <v>638</v>
      </c>
      <c r="V922" s="64" t="str">
        <f>IF(W922&lt;&gt;0,VLOOKUP(W922,DM_DUAN,3,0),"")</f>
        <v>#N/A</v>
      </c>
      <c r="W922" s="83" t="s">
        <v>933</v>
      </c>
      <c r="X922" s="64" t="str">
        <f>IF(Y922&lt;&gt;0,VLOOKUP(Y922,DM_DUAN,3,0),"")</f>
        <v>#N/A</v>
      </c>
      <c r="Y922" s="69" t="s">
        <v>176</v>
      </c>
      <c r="Z922" s="64" t="str">
        <f>IF(AA922&lt;&gt;0,VLOOKUP(AA922,DM_DUAN,3,0),"")</f>
        <v>#N/A</v>
      </c>
      <c r="AA922" s="70" t="s">
        <v>177</v>
      </c>
      <c r="AB922" s="64" t="str">
        <f>IF(AC922&lt;&gt;0,VLOOKUP(AC922,DM_DUAN,3,0),"")</f>
        <v>#N/A</v>
      </c>
      <c r="AC922" s="70" t="s">
        <v>791</v>
      </c>
      <c r="AD922" s="64" t="str">
        <f>IF(AC922&lt;&gt;0,VLOOKUP(AC922,DM_NV,2,0),"")</f>
        <v>Hồ Thị Thuý An</v>
      </c>
      <c r="AE922" s="68"/>
      <c r="AF922" s="64" t="str">
        <f>IF(AE922&lt;&gt;0,VLOOKUP(AE922,DM_NV,2,0),"")</f>
        <v/>
      </c>
    </row>
    <row r="923">
      <c r="A923" s="51"/>
      <c r="B923" s="52" t="str">
        <f>IF(D923="","",VLOOKUP(D923,'THAM CHIẾU'!$A:$B,2,0))</f>
        <v>#N/A</v>
      </c>
      <c r="C923" s="53" t="str">
        <f t="shared" si="4"/>
        <v>04/2022</v>
      </c>
      <c r="D923" s="99">
        <v>44672.0</v>
      </c>
      <c r="E923" s="55" t="s">
        <v>936</v>
      </c>
      <c r="F923" s="56"/>
      <c r="G923" s="57" t="s">
        <v>200</v>
      </c>
      <c r="H923" s="58" t="str">
        <f>IF(G923="","",VLOOKUP($G923,'Quy chuẩn hạch toán'!$B:$E,2,0))</f>
        <v>154</v>
      </c>
      <c r="I923" s="58" t="str">
        <f>IF(H923="","",VLOOKUP($G923,'Quy chuẩn hạch toán'!$B:$E,3,0))</f>
        <v>3343</v>
      </c>
      <c r="J923" s="59">
        <v>1000000.0</v>
      </c>
      <c r="K923" s="60"/>
      <c r="L923" s="61"/>
      <c r="M923" s="62"/>
      <c r="N923" s="63"/>
      <c r="O923" s="64" t="str">
        <f>IF($Q923&lt;&gt;0,VLOOKUP($Q923,DM_KM,3,0),"")</f>
        <v>#N/A</v>
      </c>
      <c r="P923" s="64" t="str">
        <f>IF($Q923&lt;&gt;0,VLOOKUP($Q923,DM_KM,5,0),"")</f>
        <v>#N/A</v>
      </c>
      <c r="Q923" s="65" t="s">
        <v>201</v>
      </c>
      <c r="R923" s="64" t="str">
        <f>IF(S923&lt;&gt;0,VLOOKUP(S923,DM_DUAN,3,0),"")</f>
        <v>#N/A</v>
      </c>
      <c r="S923" s="66" t="str">
        <f>IF(U923&lt;&gt;0,VLOOKUP(U923,DM_DUAN,3,0),"")</f>
        <v>KIMCUONGLAND</v>
      </c>
      <c r="T923" s="64"/>
      <c r="U923" s="67" t="s">
        <v>638</v>
      </c>
      <c r="V923" s="64" t="str">
        <f>IF(W923&lt;&gt;0,VLOOKUP(W923,DM_DUAN,3,0),"")</f>
        <v>#N/A</v>
      </c>
      <c r="W923" s="83" t="s">
        <v>933</v>
      </c>
      <c r="X923" s="64" t="str">
        <f>IF(Y923&lt;&gt;0,VLOOKUP(Y923,DM_DUAN,3,0),"")</f>
        <v>#N/A</v>
      </c>
      <c r="Y923" s="69" t="s">
        <v>176</v>
      </c>
      <c r="Z923" s="64" t="str">
        <f>IF(AA923&lt;&gt;0,VLOOKUP(AA923,DM_DUAN,3,0),"")</f>
        <v>#N/A</v>
      </c>
      <c r="AA923" s="70" t="s">
        <v>177</v>
      </c>
      <c r="AB923" s="64" t="str">
        <f>IF(AC923&lt;&gt;0,VLOOKUP(AC923,DM_DUAN,3,0),"")</f>
        <v/>
      </c>
      <c r="AC923" s="70"/>
      <c r="AD923" s="64" t="str">
        <f>IF(AC923&lt;&gt;0,VLOOKUP(AC923,DM_NV,2,0),"")</f>
        <v/>
      </c>
      <c r="AE923" s="68"/>
      <c r="AF923" s="64" t="str">
        <f>IF(AE923&lt;&gt;0,VLOOKUP(AE923,DM_NV,2,0),"")</f>
        <v/>
      </c>
    </row>
    <row r="924">
      <c r="A924" s="51"/>
      <c r="B924" s="52" t="str">
        <f>IF(D924="","",VLOOKUP(D924,'THAM CHIẾU'!$A:$B,2,0))</f>
        <v>#N/A</v>
      </c>
      <c r="C924" s="53" t="str">
        <f t="shared" si="4"/>
        <v>04/2022</v>
      </c>
      <c r="D924" s="99">
        <v>44672.0</v>
      </c>
      <c r="E924" s="55" t="s">
        <v>937</v>
      </c>
      <c r="F924" s="56"/>
      <c r="G924" s="57" t="s">
        <v>733</v>
      </c>
      <c r="H924" s="58" t="str">
        <f>IF(G924="","",VLOOKUP($G924,'Quy chuẩn hạch toán'!$B:$E,2,0))</f>
        <v>154</v>
      </c>
      <c r="I924" s="58" t="str">
        <f>IF(H924="","",VLOOKUP($G924,'Quy chuẩn hạch toán'!$B:$E,3,0))</f>
        <v>3342</v>
      </c>
      <c r="J924" s="59">
        <v>1440000.0</v>
      </c>
      <c r="K924" s="60"/>
      <c r="L924" s="61"/>
      <c r="M924" s="62"/>
      <c r="N924" s="63"/>
      <c r="O924" s="64" t="str">
        <f>IF($Q924&lt;&gt;0,VLOOKUP($Q924,DM_KM,3,0),"")</f>
        <v>#N/A</v>
      </c>
      <c r="P924" s="64" t="str">
        <f>IF($Q924&lt;&gt;0,VLOOKUP($Q924,DM_KM,5,0),"")</f>
        <v>#N/A</v>
      </c>
      <c r="Q924" s="65" t="s">
        <v>734</v>
      </c>
      <c r="R924" s="64" t="str">
        <f>IF(S924&lt;&gt;0,VLOOKUP(S924,DM_DUAN,3,0),"")</f>
        <v>#N/A</v>
      </c>
      <c r="S924" s="66" t="str">
        <f>IF(U924&lt;&gt;0,VLOOKUP(U924,DM_DUAN,3,0),"")</f>
        <v>KIMCUONGLAND</v>
      </c>
      <c r="T924" s="64"/>
      <c r="U924" s="67" t="s">
        <v>638</v>
      </c>
      <c r="V924" s="64" t="str">
        <f>IF(W924&lt;&gt;0,VLOOKUP(W924,DM_DUAN,3,0),"")</f>
        <v>#N/A</v>
      </c>
      <c r="W924" s="83" t="s">
        <v>933</v>
      </c>
      <c r="X924" s="64" t="str">
        <f>IF(Y924&lt;&gt;0,VLOOKUP(Y924,DM_DUAN,3,0),"")</f>
        <v>#N/A</v>
      </c>
      <c r="Y924" s="69" t="s">
        <v>176</v>
      </c>
      <c r="Z924" s="64" t="str">
        <f>IF(AA924&lt;&gt;0,VLOOKUP(AA924,DM_DUAN,3,0),"")</f>
        <v>#N/A</v>
      </c>
      <c r="AA924" s="70" t="s">
        <v>177</v>
      </c>
      <c r="AB924" s="64" t="str">
        <f>IF(AC924&lt;&gt;0,VLOOKUP(AC924,DM_DUAN,3,0),"")</f>
        <v>#N/A</v>
      </c>
      <c r="AC924" s="70" t="s">
        <v>791</v>
      </c>
      <c r="AD924" s="64" t="str">
        <f>IF(AC924&lt;&gt;0,VLOOKUP(AC924,DM_NV,2,0),"")</f>
        <v>Hồ Thị Thuý An</v>
      </c>
      <c r="AE924" s="68"/>
      <c r="AF924" s="64" t="str">
        <f>IF(AE924&lt;&gt;0,VLOOKUP(AE924,DM_NV,2,0),"")</f>
        <v/>
      </c>
    </row>
    <row r="925">
      <c r="A925" s="51"/>
      <c r="B925" s="52" t="str">
        <f>IF(D925="","",VLOOKUP(D925,'THAM CHIẾU'!$A:$B,2,0))</f>
        <v>#N/A</v>
      </c>
      <c r="C925" s="53" t="str">
        <f t="shared" si="4"/>
        <v>04/2022</v>
      </c>
      <c r="D925" s="99">
        <v>44672.0</v>
      </c>
      <c r="E925" s="55" t="s">
        <v>938</v>
      </c>
      <c r="F925" s="56"/>
      <c r="G925" s="90"/>
      <c r="H925" s="58" t="str">
        <f>IF(G925="","",VLOOKUP($G925,'Quy chuẩn hạch toán'!$B:$E,2,0))</f>
        <v/>
      </c>
      <c r="I925" s="58" t="str">
        <f>IF(H925="","",VLOOKUP($G925,'Quy chuẩn hạch toán'!$B:$E,3,0))</f>
        <v/>
      </c>
      <c r="J925" s="59">
        <v>6800000.0</v>
      </c>
      <c r="K925" s="60"/>
      <c r="L925" s="61"/>
      <c r="M925" s="62"/>
      <c r="N925" s="63"/>
      <c r="O925" s="64" t="str">
        <f>IF($Q925&lt;&gt;0,VLOOKUP($Q925,DM_KM,3,0),"")</f>
        <v>#N/A</v>
      </c>
      <c r="P925" s="64" t="str">
        <f>IF($Q925&lt;&gt;0,VLOOKUP($Q925,DM_KM,5,0),"")</f>
        <v>#N/A</v>
      </c>
      <c r="Q925" s="65" t="s">
        <v>203</v>
      </c>
      <c r="R925" s="64" t="str">
        <f>IF(S925&lt;&gt;0,VLOOKUP(S925,DM_DUAN,3,0),"")</f>
        <v>#N/A</v>
      </c>
      <c r="S925" s="66" t="str">
        <f>IF(U925&lt;&gt;0,VLOOKUP(U925,DM_DUAN,3,0),"")</f>
        <v>KIMCUONGLAND</v>
      </c>
      <c r="T925" s="64"/>
      <c r="U925" s="67" t="s">
        <v>638</v>
      </c>
      <c r="V925" s="64" t="str">
        <f>IF(W925&lt;&gt;0,VLOOKUP(W925,DM_DUAN,3,0),"")</f>
        <v>#N/A</v>
      </c>
      <c r="W925" s="83" t="s">
        <v>933</v>
      </c>
      <c r="X925" s="64" t="str">
        <f>IF(Y925&lt;&gt;0,VLOOKUP(Y925,DM_DUAN,3,0),"")</f>
        <v>#N/A</v>
      </c>
      <c r="Y925" s="69" t="s">
        <v>176</v>
      </c>
      <c r="Z925" s="64" t="str">
        <f>IF(AA925&lt;&gt;0,VLOOKUP(AA925,DM_DUAN,3,0),"")</f>
        <v>#N/A</v>
      </c>
      <c r="AA925" s="70" t="s">
        <v>177</v>
      </c>
      <c r="AB925" s="64" t="str">
        <f>IF(AC925&lt;&gt;0,VLOOKUP(AC925,DM_DUAN,3,0),"")</f>
        <v/>
      </c>
      <c r="AC925" s="70"/>
      <c r="AD925" s="64" t="str">
        <f>IF(AC925&lt;&gt;0,VLOOKUP(AC925,DM_NV,2,0),"")</f>
        <v/>
      </c>
      <c r="AE925" s="68"/>
      <c r="AF925" s="64" t="str">
        <f>IF(AE925&lt;&gt;0,VLOOKUP(AE925,DM_NV,2,0),"")</f>
        <v/>
      </c>
    </row>
    <row r="926">
      <c r="A926" s="51"/>
      <c r="B926" s="52" t="str">
        <f>IF(D926="","",VLOOKUP(D926,'THAM CHIẾU'!$A:$B,2,0))</f>
        <v>#N/A</v>
      </c>
      <c r="C926" s="53" t="str">
        <f t="shared" si="4"/>
        <v>04/2022</v>
      </c>
      <c r="D926" s="99">
        <v>44672.0</v>
      </c>
      <c r="E926" s="55" t="s">
        <v>939</v>
      </c>
      <c r="F926" s="56"/>
      <c r="G926" s="57" t="s">
        <v>197</v>
      </c>
      <c r="H926" s="58" t="str">
        <f>IF(G926="","",VLOOKUP($G926,'Quy chuẩn hạch toán'!$B:$E,2,0))</f>
        <v>#N/A</v>
      </c>
      <c r="I926" s="58" t="str">
        <f>IF(H926="","",VLOOKUP($G926,'Quy chuẩn hạch toán'!$B:$E,3,0))</f>
        <v>#N/A</v>
      </c>
      <c r="J926" s="59">
        <v>4.8E8</v>
      </c>
      <c r="K926" s="60"/>
      <c r="L926" s="61"/>
      <c r="M926" s="62"/>
      <c r="N926" s="63"/>
      <c r="O926" s="64" t="str">
        <f>IF($Q926&lt;&gt;0,VLOOKUP($Q926,DM_KM,3,0),"")</f>
        <v>#N/A</v>
      </c>
      <c r="P926" s="64" t="str">
        <f>IF($Q926&lt;&gt;0,VLOOKUP($Q926,DM_KM,5,0),"")</f>
        <v>#N/A</v>
      </c>
      <c r="Q926" s="65" t="s">
        <v>198</v>
      </c>
      <c r="R926" s="64" t="str">
        <f>IF(S926&lt;&gt;0,VLOOKUP(S926,DM_DUAN,3,0),"")</f>
        <v>#N/A</v>
      </c>
      <c r="S926" s="66" t="str">
        <f>IF(U926&lt;&gt;0,VLOOKUP(U926,DM_DUAN,3,0),"")</f>
        <v>KIMCUONGLAND</v>
      </c>
      <c r="T926" s="64"/>
      <c r="U926" s="67" t="s">
        <v>638</v>
      </c>
      <c r="V926" s="64" t="str">
        <f>IF(W926&lt;&gt;0,VLOOKUP(W926,DM_DUAN,3,0),"")</f>
        <v>#N/A</v>
      </c>
      <c r="W926" s="83" t="s">
        <v>940</v>
      </c>
      <c r="X926" s="64" t="str">
        <f>IF(Y926&lt;&gt;0,VLOOKUP(Y926,DM_DUAN,3,0),"")</f>
        <v>#N/A</v>
      </c>
      <c r="Y926" s="69" t="s">
        <v>176</v>
      </c>
      <c r="Z926" s="64" t="str">
        <f>IF(AA926&lt;&gt;0,VLOOKUP(AA926,DM_DUAN,3,0),"")</f>
        <v>#N/A</v>
      </c>
      <c r="AA926" s="70" t="s">
        <v>177</v>
      </c>
      <c r="AB926" s="64" t="str">
        <f>IF(AC926&lt;&gt;0,VLOOKUP(AC926,DM_DUAN,3,0),"")</f>
        <v>#N/A</v>
      </c>
      <c r="AC926" s="70" t="s">
        <v>791</v>
      </c>
      <c r="AD926" s="64" t="str">
        <f>IF(AC926&lt;&gt;0,VLOOKUP(AC926,DM_NV,2,0),"")</f>
        <v>Hồ Thị Thuý An</v>
      </c>
      <c r="AE926" s="68"/>
      <c r="AF926" s="64" t="str">
        <f>IF(AE926&lt;&gt;0,VLOOKUP(AE926,DM_NV,2,0),"")</f>
        <v/>
      </c>
    </row>
    <row r="927">
      <c r="A927" s="51"/>
      <c r="B927" s="52" t="str">
        <f>IF(D927="","",VLOOKUP(D927,'THAM CHIẾU'!$A:$B,2,0))</f>
        <v/>
      </c>
      <c r="C927" s="53" t="str">
        <f t="shared" si="4"/>
        <v/>
      </c>
      <c r="D927" s="99"/>
      <c r="E927" s="55"/>
      <c r="F927" s="56"/>
      <c r="G927" s="57"/>
      <c r="H927" s="58" t="str">
        <f>IF(G927="","",VLOOKUP($G927,'Quy chuẩn hạch toán'!$B:$E,2,0))</f>
        <v/>
      </c>
      <c r="I927" s="58" t="str">
        <f>IF(H927="","",VLOOKUP($G927,'Quy chuẩn hạch toán'!$B:$E,3,0))</f>
        <v/>
      </c>
      <c r="J927" s="59"/>
      <c r="K927" s="60"/>
      <c r="L927" s="61"/>
      <c r="M927" s="62"/>
      <c r="N927" s="63"/>
      <c r="O927" s="64" t="str">
        <f>IF($Q927&lt;&gt;0,VLOOKUP($Q927,DM_KM,3,0),"")</f>
        <v/>
      </c>
      <c r="P927" s="64" t="str">
        <f>IF($Q927&lt;&gt;0,VLOOKUP($Q927,DM_KM,5,0),"")</f>
        <v/>
      </c>
      <c r="Q927" s="65"/>
      <c r="R927" s="64" t="str">
        <f>IF(S927&lt;&gt;0,VLOOKUP(S927,DM_DUAN,3,0),"")</f>
        <v>#N/A</v>
      </c>
      <c r="S927" s="66" t="str">
        <f>IF(U927&lt;&gt;0,VLOOKUP(U927,DM_DUAN,3,0),"")</f>
        <v/>
      </c>
      <c r="T927" s="64"/>
      <c r="U927" s="67"/>
      <c r="V927" s="64" t="str">
        <f>IF(W927&lt;&gt;0,VLOOKUP(W927,DM_DUAN,3,0),"")</f>
        <v/>
      </c>
      <c r="W927" s="83"/>
      <c r="X927" s="64" t="str">
        <f>IF(Y927&lt;&gt;0,VLOOKUP(Y927,DM_DUAN,3,0),"")</f>
        <v/>
      </c>
      <c r="Y927" s="69"/>
      <c r="Z927" s="64" t="str">
        <f>IF(AA927&lt;&gt;0,VLOOKUP(AA927,DM_DUAN,3,0),"")</f>
        <v/>
      </c>
      <c r="AA927" s="70"/>
      <c r="AB927" s="64" t="str">
        <f>IF(AC927&lt;&gt;0,VLOOKUP(AC927,DM_DUAN,3,0),"")</f>
        <v/>
      </c>
      <c r="AC927" s="70"/>
      <c r="AD927" s="64" t="str">
        <f>IF(AC927&lt;&gt;0,VLOOKUP(AC927,DM_NV,2,0),"")</f>
        <v/>
      </c>
      <c r="AE927" s="68"/>
      <c r="AF927" s="64" t="str">
        <f>IF(AE927&lt;&gt;0,VLOOKUP(AE927,DM_NV,2,0),"")</f>
        <v/>
      </c>
    </row>
    <row r="928">
      <c r="A928" s="51"/>
      <c r="B928" s="52" t="str">
        <f>IF(D928="","",VLOOKUP(D928,'THAM CHIẾU'!$A:$B,2,0))</f>
        <v>#N/A</v>
      </c>
      <c r="C928" s="53" t="str">
        <f t="shared" si="4"/>
        <v>04/2022</v>
      </c>
      <c r="D928" s="99">
        <v>44672.0</v>
      </c>
      <c r="E928" s="55" t="s">
        <v>941</v>
      </c>
      <c r="F928" s="56"/>
      <c r="G928" s="57" t="s">
        <v>186</v>
      </c>
      <c r="H928" s="58" t="str">
        <f>IF(G928="","",VLOOKUP($G928,'Quy chuẩn hạch toán'!$B:$E,2,0))</f>
        <v>131</v>
      </c>
      <c r="I928" s="58" t="str">
        <f>IF(H928="","",VLOOKUP($G928,'Quy chuẩn hạch toán'!$B:$E,3,0))</f>
        <v>5113</v>
      </c>
      <c r="J928" s="59">
        <v>8.5E7</v>
      </c>
      <c r="K928" s="60"/>
      <c r="L928" s="61"/>
      <c r="M928" s="62"/>
      <c r="N928" s="63"/>
      <c r="O928" s="64" t="str">
        <f>IF($Q928&lt;&gt;0,VLOOKUP($Q928,DM_KM,3,0),"")</f>
        <v>511_TK</v>
      </c>
      <c r="P928" s="64">
        <f>IF($Q928&lt;&gt;0,VLOOKUP($Q928,DM_KM,5,0),"")</f>
        <v>511</v>
      </c>
      <c r="Q928" s="65" t="s">
        <v>187</v>
      </c>
      <c r="R928" s="64" t="str">
        <f>IF(S928&lt;&gt;0,VLOOKUP(S928,DM_DUAN,3,0),"")</f>
        <v>#N/A</v>
      </c>
      <c r="S928" s="66" t="str">
        <f>IF(U928&lt;&gt;0,VLOOKUP(U928,DM_DUAN,3,0),"")</f>
        <v>KIMCUONGLAND</v>
      </c>
      <c r="T928" s="64"/>
      <c r="U928" s="67" t="s">
        <v>638</v>
      </c>
      <c r="V928" s="64" t="str">
        <f>IF(W928&lt;&gt;0,VLOOKUP(W928,DM_DUAN,3,0),"")</f>
        <v>#N/A</v>
      </c>
      <c r="W928" s="83" t="s">
        <v>940</v>
      </c>
      <c r="X928" s="64" t="str">
        <f>IF(Y928&lt;&gt;0,VLOOKUP(Y928,DM_DUAN,3,0),"")</f>
        <v>#N/A</v>
      </c>
      <c r="Y928" s="69" t="s">
        <v>176</v>
      </c>
      <c r="Z928" s="64" t="str">
        <f>IF(AA928&lt;&gt;0,VLOOKUP(AA928,DM_DUAN,3,0),"")</f>
        <v>#N/A</v>
      </c>
      <c r="AA928" s="70" t="s">
        <v>177</v>
      </c>
      <c r="AB928" s="64" t="str">
        <f>IF(AC928&lt;&gt;0,VLOOKUP(AC928,DM_DUAN,3,0),"")</f>
        <v/>
      </c>
      <c r="AC928" s="70"/>
      <c r="AD928" s="64" t="str">
        <f>IF(AC928&lt;&gt;0,VLOOKUP(AC928,DM_NV,2,0),"")</f>
        <v/>
      </c>
      <c r="AE928" s="68"/>
      <c r="AF928" s="64" t="str">
        <f>IF(AE928&lt;&gt;0,VLOOKUP(AE928,DM_NV,2,0),"")</f>
        <v/>
      </c>
    </row>
    <row r="929">
      <c r="A929" s="51"/>
      <c r="B929" s="52" t="str">
        <f>IF(D929="","",VLOOKUP(D929,'THAM CHIẾU'!$A:$B,2,0))</f>
        <v>#N/A</v>
      </c>
      <c r="C929" s="53" t="str">
        <f t="shared" si="4"/>
        <v>04/2022</v>
      </c>
      <c r="D929" s="99">
        <v>44672.0</v>
      </c>
      <c r="E929" s="55" t="s">
        <v>942</v>
      </c>
      <c r="F929" s="56"/>
      <c r="G929" s="57" t="s">
        <v>189</v>
      </c>
      <c r="H929" s="58" t="str">
        <f>IF(G929="","",VLOOKUP($G929,'Quy chuẩn hạch toán'!$B:$E,2,0))</f>
        <v>154</v>
      </c>
      <c r="I929" s="58" t="str">
        <f>IF(H929="","",VLOOKUP($G929,'Quy chuẩn hạch toán'!$B:$E,3,0))</f>
        <v>3345</v>
      </c>
      <c r="J929" s="59">
        <v>1.98E7</v>
      </c>
      <c r="K929" s="60"/>
      <c r="L929" s="61"/>
      <c r="M929" s="62"/>
      <c r="N929" s="63"/>
      <c r="O929" s="64" t="str">
        <f>IF($Q929&lt;&gt;0,VLOOKUP($Q929,DM_KM,3,0),"")</f>
        <v>#N/A</v>
      </c>
      <c r="P929" s="64" t="str">
        <f>IF($Q929&lt;&gt;0,VLOOKUP($Q929,DM_KM,5,0),"")</f>
        <v>#N/A</v>
      </c>
      <c r="Q929" s="65" t="s">
        <v>190</v>
      </c>
      <c r="R929" s="64" t="str">
        <f>IF(S929&lt;&gt;0,VLOOKUP(S929,DM_DUAN,3,0),"")</f>
        <v>#N/A</v>
      </c>
      <c r="S929" s="66" t="str">
        <f>IF(U929&lt;&gt;0,VLOOKUP(U929,DM_DUAN,3,0),"")</f>
        <v>KIMCUONGLAND</v>
      </c>
      <c r="T929" s="64"/>
      <c r="U929" s="67" t="s">
        <v>638</v>
      </c>
      <c r="V929" s="64" t="str">
        <f>IF(W929&lt;&gt;0,VLOOKUP(W929,DM_DUAN,3,0),"")</f>
        <v>#N/A</v>
      </c>
      <c r="W929" s="83" t="s">
        <v>940</v>
      </c>
      <c r="X929" s="64" t="str">
        <f>IF(Y929&lt;&gt;0,VLOOKUP(Y929,DM_DUAN,3,0),"")</f>
        <v>#N/A</v>
      </c>
      <c r="Y929" s="69" t="s">
        <v>176</v>
      </c>
      <c r="Z929" s="64" t="str">
        <f>IF(AA929&lt;&gt;0,VLOOKUP(AA929,DM_DUAN,3,0),"")</f>
        <v>#N/A</v>
      </c>
      <c r="AA929" s="70" t="s">
        <v>177</v>
      </c>
      <c r="AB929" s="64" t="str">
        <f>IF(AC929&lt;&gt;0,VLOOKUP(AC929,DM_DUAN,3,0),"")</f>
        <v>#N/A</v>
      </c>
      <c r="AC929" s="70" t="s">
        <v>791</v>
      </c>
      <c r="AD929" s="64" t="str">
        <f>IF(AC929&lt;&gt;0,VLOOKUP(AC929,DM_NV,2,0),"")</f>
        <v>Hồ Thị Thuý An</v>
      </c>
      <c r="AE929" s="68"/>
      <c r="AF929" s="64" t="str">
        <f>IF(AE929&lt;&gt;0,VLOOKUP(AE929,DM_NV,2,0),"")</f>
        <v/>
      </c>
    </row>
    <row r="930">
      <c r="A930" s="51"/>
      <c r="B930" s="52" t="str">
        <f>IF(D930="","",VLOOKUP(D930,'THAM CHIẾU'!$A:$B,2,0))</f>
        <v>#N/A</v>
      </c>
      <c r="C930" s="53" t="str">
        <f t="shared" si="4"/>
        <v>04/2022</v>
      </c>
      <c r="D930" s="99">
        <v>44672.0</v>
      </c>
      <c r="E930" s="55" t="s">
        <v>943</v>
      </c>
      <c r="F930" s="56"/>
      <c r="G930" s="57" t="s">
        <v>200</v>
      </c>
      <c r="H930" s="58" t="str">
        <f>IF(G930="","",VLOOKUP($G930,'Quy chuẩn hạch toán'!$B:$E,2,0))</f>
        <v>154</v>
      </c>
      <c r="I930" s="58" t="str">
        <f>IF(H930="","",VLOOKUP($G930,'Quy chuẩn hạch toán'!$B:$E,3,0))</f>
        <v>3343</v>
      </c>
      <c r="J930" s="59">
        <v>1000000.0</v>
      </c>
      <c r="K930" s="60"/>
      <c r="L930" s="61"/>
      <c r="M930" s="62"/>
      <c r="N930" s="63"/>
      <c r="O930" s="64" t="str">
        <f>IF($Q930&lt;&gt;0,VLOOKUP($Q930,DM_KM,3,0),"")</f>
        <v>#N/A</v>
      </c>
      <c r="P930" s="64" t="str">
        <f>IF($Q930&lt;&gt;0,VLOOKUP($Q930,DM_KM,5,0),"")</f>
        <v>#N/A</v>
      </c>
      <c r="Q930" s="65" t="s">
        <v>201</v>
      </c>
      <c r="R930" s="64" t="str">
        <f>IF(S930&lt;&gt;0,VLOOKUP(S930,DM_DUAN,3,0),"")</f>
        <v>#N/A</v>
      </c>
      <c r="S930" s="66" t="str">
        <f>IF(U930&lt;&gt;0,VLOOKUP(U930,DM_DUAN,3,0),"")</f>
        <v>KIMCUONGLAND</v>
      </c>
      <c r="T930" s="64"/>
      <c r="U930" s="67" t="s">
        <v>638</v>
      </c>
      <c r="V930" s="64" t="str">
        <f>IF(W930&lt;&gt;0,VLOOKUP(W930,DM_DUAN,3,0),"")</f>
        <v>#N/A</v>
      </c>
      <c r="W930" s="83" t="s">
        <v>940</v>
      </c>
      <c r="X930" s="64" t="str">
        <f>IF(Y930&lt;&gt;0,VLOOKUP(Y930,DM_DUAN,3,0),"")</f>
        <v>#N/A</v>
      </c>
      <c r="Y930" s="69" t="s">
        <v>176</v>
      </c>
      <c r="Z930" s="64" t="str">
        <f>IF(AA930&lt;&gt;0,VLOOKUP(AA930,DM_DUAN,3,0),"")</f>
        <v>#N/A</v>
      </c>
      <c r="AA930" s="70" t="s">
        <v>177</v>
      </c>
      <c r="AB930" s="64" t="str">
        <f>IF(AC930&lt;&gt;0,VLOOKUP(AC930,DM_DUAN,3,0),"")</f>
        <v/>
      </c>
      <c r="AC930" s="70"/>
      <c r="AD930" s="64" t="str">
        <f>IF(AC930&lt;&gt;0,VLOOKUP(AC930,DM_NV,2,0),"")</f>
        <v/>
      </c>
      <c r="AE930" s="68"/>
      <c r="AF930" s="64" t="str">
        <f>IF(AE930&lt;&gt;0,VLOOKUP(AE930,DM_NV,2,0),"")</f>
        <v/>
      </c>
    </row>
    <row r="931">
      <c r="A931" s="51"/>
      <c r="B931" s="52" t="str">
        <f>IF(D931="","",VLOOKUP(D931,'THAM CHIẾU'!$A:$B,2,0))</f>
        <v>#N/A</v>
      </c>
      <c r="C931" s="53" t="str">
        <f t="shared" si="4"/>
        <v>04/2022</v>
      </c>
      <c r="D931" s="99">
        <v>44672.0</v>
      </c>
      <c r="E931" s="55" t="s">
        <v>944</v>
      </c>
      <c r="F931" s="56"/>
      <c r="G931" s="57" t="s">
        <v>733</v>
      </c>
      <c r="H931" s="58" t="str">
        <f>IF(G931="","",VLOOKUP($G931,'Quy chuẩn hạch toán'!$B:$E,2,0))</f>
        <v>154</v>
      </c>
      <c r="I931" s="58" t="str">
        <f>IF(H931="","",VLOOKUP($G931,'Quy chuẩn hạch toán'!$B:$E,3,0))</f>
        <v>3342</v>
      </c>
      <c r="J931" s="59">
        <v>1440000.0</v>
      </c>
      <c r="K931" s="60"/>
      <c r="L931" s="61"/>
      <c r="M931" s="62"/>
      <c r="N931" s="63"/>
      <c r="O931" s="64" t="str">
        <f>IF($Q931&lt;&gt;0,VLOOKUP($Q931,DM_KM,3,0),"")</f>
        <v>#N/A</v>
      </c>
      <c r="P931" s="64" t="str">
        <f>IF($Q931&lt;&gt;0,VLOOKUP($Q931,DM_KM,5,0),"")</f>
        <v>#N/A</v>
      </c>
      <c r="Q931" s="65" t="s">
        <v>734</v>
      </c>
      <c r="R931" s="64" t="str">
        <f>IF(S931&lt;&gt;0,VLOOKUP(S931,DM_DUAN,3,0),"")</f>
        <v>#N/A</v>
      </c>
      <c r="S931" s="66" t="str">
        <f>IF(U931&lt;&gt;0,VLOOKUP(U931,DM_DUAN,3,0),"")</f>
        <v>KIMCUONGLAND</v>
      </c>
      <c r="T931" s="64"/>
      <c r="U931" s="67" t="s">
        <v>638</v>
      </c>
      <c r="V931" s="64" t="str">
        <f>IF(W931&lt;&gt;0,VLOOKUP(W931,DM_DUAN,3,0),"")</f>
        <v>#N/A</v>
      </c>
      <c r="W931" s="83" t="s">
        <v>940</v>
      </c>
      <c r="X931" s="64" t="str">
        <f>IF(Y931&lt;&gt;0,VLOOKUP(Y931,DM_DUAN,3,0),"")</f>
        <v>#N/A</v>
      </c>
      <c r="Y931" s="69" t="s">
        <v>176</v>
      </c>
      <c r="Z931" s="64" t="str">
        <f>IF(AA931&lt;&gt;0,VLOOKUP(AA931,DM_DUAN,3,0),"")</f>
        <v>#N/A</v>
      </c>
      <c r="AA931" s="70" t="s">
        <v>177</v>
      </c>
      <c r="AB931" s="64" t="str">
        <f>IF(AC931&lt;&gt;0,VLOOKUP(AC931,DM_DUAN,3,0),"")</f>
        <v>#N/A</v>
      </c>
      <c r="AC931" s="70" t="s">
        <v>791</v>
      </c>
      <c r="AD931" s="64" t="str">
        <f>IF(AC931&lt;&gt;0,VLOOKUP(AC931,DM_NV,2,0),"")</f>
        <v>Hồ Thị Thuý An</v>
      </c>
      <c r="AE931" s="68"/>
      <c r="AF931" s="64" t="str">
        <f>IF(AE931&lt;&gt;0,VLOOKUP(AE931,DM_NV,2,0),"")</f>
        <v/>
      </c>
    </row>
    <row r="932">
      <c r="A932" s="51"/>
      <c r="B932" s="52" t="str">
        <f>IF(D932="","",VLOOKUP(D932,'THAM CHIẾU'!$A:$B,2,0))</f>
        <v>#N/A</v>
      </c>
      <c r="C932" s="53" t="str">
        <f t="shared" si="4"/>
        <v>04/2022</v>
      </c>
      <c r="D932" s="99">
        <v>44672.0</v>
      </c>
      <c r="E932" s="55" t="s">
        <v>945</v>
      </c>
      <c r="F932" s="56"/>
      <c r="G932" s="90"/>
      <c r="H932" s="58" t="str">
        <f>IF(G932="","",VLOOKUP($G932,'Quy chuẩn hạch toán'!$B:$E,2,0))</f>
        <v/>
      </c>
      <c r="I932" s="58" t="str">
        <f>IF(H932="","",VLOOKUP($G932,'Quy chuẩn hạch toán'!$B:$E,3,0))</f>
        <v/>
      </c>
      <c r="J932" s="59">
        <v>6800000.0</v>
      </c>
      <c r="K932" s="60"/>
      <c r="L932" s="61"/>
      <c r="M932" s="62"/>
      <c r="N932" s="63"/>
      <c r="O932" s="64" t="str">
        <f>IF($Q932&lt;&gt;0,VLOOKUP($Q932,DM_KM,3,0),"")</f>
        <v>#N/A</v>
      </c>
      <c r="P932" s="64" t="str">
        <f>IF($Q932&lt;&gt;0,VLOOKUP($Q932,DM_KM,5,0),"")</f>
        <v>#N/A</v>
      </c>
      <c r="Q932" s="65" t="s">
        <v>203</v>
      </c>
      <c r="R932" s="64" t="str">
        <f>IF(S932&lt;&gt;0,VLOOKUP(S932,DM_DUAN,3,0),"")</f>
        <v>#N/A</v>
      </c>
      <c r="S932" s="66" t="str">
        <f>IF(U932&lt;&gt;0,VLOOKUP(U932,DM_DUAN,3,0),"")</f>
        <v>KIMCUONGLAND</v>
      </c>
      <c r="T932" s="64"/>
      <c r="U932" s="67" t="s">
        <v>638</v>
      </c>
      <c r="V932" s="64" t="str">
        <f>IF(W932&lt;&gt;0,VLOOKUP(W932,DM_DUAN,3,0),"")</f>
        <v>#N/A</v>
      </c>
      <c r="W932" s="83" t="s">
        <v>940</v>
      </c>
      <c r="X932" s="64" t="str">
        <f>IF(Y932&lt;&gt;0,VLOOKUP(Y932,DM_DUAN,3,0),"")</f>
        <v>#N/A</v>
      </c>
      <c r="Y932" s="69" t="s">
        <v>176</v>
      </c>
      <c r="Z932" s="64" t="str">
        <f>IF(AA932&lt;&gt;0,VLOOKUP(AA932,DM_DUAN,3,0),"")</f>
        <v>#N/A</v>
      </c>
      <c r="AA932" s="70" t="s">
        <v>177</v>
      </c>
      <c r="AB932" s="64" t="str">
        <f>IF(AC932&lt;&gt;0,VLOOKUP(AC932,DM_DUAN,3,0),"")</f>
        <v/>
      </c>
      <c r="AC932" s="70"/>
      <c r="AD932" s="64" t="str">
        <f>IF(AC932&lt;&gt;0,VLOOKUP(AC932,DM_NV,2,0),"")</f>
        <v/>
      </c>
      <c r="AE932" s="68"/>
      <c r="AF932" s="64" t="str">
        <f>IF(AE932&lt;&gt;0,VLOOKUP(AE932,DM_NV,2,0),"")</f>
        <v/>
      </c>
    </row>
    <row r="933">
      <c r="A933" s="51"/>
      <c r="B933" s="52" t="str">
        <f>IF(D933="","",VLOOKUP(D933,'THAM CHIẾU'!$A:$B,2,0))</f>
        <v>#N/A</v>
      </c>
      <c r="C933" s="53" t="str">
        <f t="shared" si="4"/>
        <v>04/2022</v>
      </c>
      <c r="D933" s="99">
        <v>44672.0</v>
      </c>
      <c r="E933" s="55" t="s">
        <v>946</v>
      </c>
      <c r="F933" s="56"/>
      <c r="G933" s="57" t="s">
        <v>173</v>
      </c>
      <c r="H933" s="58" t="str">
        <f>IF(G933="","",VLOOKUP($G933,'Quy chuẩn hạch toán'!$B:$E,2,0))</f>
        <v>641</v>
      </c>
      <c r="I933" s="58" t="str">
        <f>IF(H933="","",VLOOKUP($G933,'Quy chuẩn hạch toán'!$B:$E,3,0))</f>
        <v>331</v>
      </c>
      <c r="J933" s="59">
        <v>1792000.0</v>
      </c>
      <c r="K933" s="60"/>
      <c r="L933" s="61"/>
      <c r="M933" s="62"/>
      <c r="N933" s="63"/>
      <c r="O933" s="64" t="str">
        <f>IF($Q933&lt;&gt;0,VLOOKUP($Q933,DM_KM,3,0),"")</f>
        <v>#N/A</v>
      </c>
      <c r="P933" s="64" t="str">
        <f>IF($Q933&lt;&gt;0,VLOOKUP($Q933,DM_KM,5,0),"")</f>
        <v>#N/A</v>
      </c>
      <c r="Q933" s="65" t="s">
        <v>174</v>
      </c>
      <c r="R933" s="64" t="str">
        <f>IF(S933&lt;&gt;0,VLOOKUP(S933,DM_DUAN,3,0),"")</f>
        <v>#N/A</v>
      </c>
      <c r="S933" s="66" t="str">
        <f>IF(U933&lt;&gt;0,VLOOKUP(U933,DM_DUAN,3,0),"")</f>
        <v>KIMCUONGLAND</v>
      </c>
      <c r="T933" s="64"/>
      <c r="U933" s="67" t="s">
        <v>638</v>
      </c>
      <c r="V933" s="64" t="str">
        <f>IF(W933&lt;&gt;0,VLOOKUP(W933,DM_DUAN,3,0),"")</f>
        <v/>
      </c>
      <c r="W933" s="68"/>
      <c r="X933" s="64" t="str">
        <f>IF(Y933&lt;&gt;0,VLOOKUP(Y933,DM_DUAN,3,0),"")</f>
        <v>#N/A</v>
      </c>
      <c r="Y933" s="69" t="s">
        <v>176</v>
      </c>
      <c r="Z933" s="64" t="str">
        <f>IF(AA933&lt;&gt;0,VLOOKUP(AA933,DM_DUAN,3,0),"")</f>
        <v>#N/A</v>
      </c>
      <c r="AA933" s="70" t="s">
        <v>177</v>
      </c>
      <c r="AB933" s="64" t="str">
        <f>IF(AC933&lt;&gt;0,VLOOKUP(AC933,DM_DUAN,3,0),"")</f>
        <v/>
      </c>
      <c r="AC933" s="85"/>
      <c r="AD933" s="64" t="str">
        <f>IF(AC933&lt;&gt;0,VLOOKUP(AC933,DM_NV,2,0),"")</f>
        <v/>
      </c>
      <c r="AE933" s="68"/>
      <c r="AF933" s="64" t="str">
        <f>IF(AE933&lt;&gt;0,VLOOKUP(AE933,DM_NV,2,0),"")</f>
        <v/>
      </c>
    </row>
    <row r="934">
      <c r="A934" s="51"/>
      <c r="B934" s="52" t="str">
        <f>IF(D934="","",VLOOKUP(D934,'THAM CHIẾU'!$A:$B,2,0))</f>
        <v>#N/A</v>
      </c>
      <c r="C934" s="53" t="str">
        <f t="shared" si="4"/>
        <v>04/2022</v>
      </c>
      <c r="D934" s="99">
        <v>44672.0</v>
      </c>
      <c r="E934" s="55" t="s">
        <v>947</v>
      </c>
      <c r="F934" s="56"/>
      <c r="G934" s="57" t="s">
        <v>173</v>
      </c>
      <c r="H934" s="58" t="str">
        <f>IF(G934="","",VLOOKUP($G934,'Quy chuẩn hạch toán'!$B:$E,2,0))</f>
        <v>641</v>
      </c>
      <c r="I934" s="58" t="str">
        <f>IF(H934="","",VLOOKUP($G934,'Quy chuẩn hạch toán'!$B:$E,3,0))</f>
        <v>331</v>
      </c>
      <c r="J934" s="59">
        <v>3116000.0</v>
      </c>
      <c r="K934" s="60"/>
      <c r="L934" s="61"/>
      <c r="M934" s="62"/>
      <c r="N934" s="63"/>
      <c r="O934" s="64" t="str">
        <f>IF($Q934&lt;&gt;0,VLOOKUP($Q934,DM_KM,3,0),"")</f>
        <v>#N/A</v>
      </c>
      <c r="P934" s="64" t="str">
        <f>IF($Q934&lt;&gt;0,VLOOKUP($Q934,DM_KM,5,0),"")</f>
        <v>#N/A</v>
      </c>
      <c r="Q934" s="65" t="s">
        <v>174</v>
      </c>
      <c r="R934" s="64" t="str">
        <f>IF(S934&lt;&gt;0,VLOOKUP(S934,DM_DUAN,3,0),"")</f>
        <v>#N/A</v>
      </c>
      <c r="S934" s="66" t="str">
        <f>IF(U934&lt;&gt;0,VLOOKUP(U934,DM_DUAN,3,0),"")</f>
        <v>KIMCUONGLAND</v>
      </c>
      <c r="T934" s="64"/>
      <c r="U934" s="67" t="s">
        <v>638</v>
      </c>
      <c r="V934" s="64" t="str">
        <f>IF(W934&lt;&gt;0,VLOOKUP(W934,DM_DUAN,3,0),"")</f>
        <v/>
      </c>
      <c r="W934" s="68"/>
      <c r="X934" s="64" t="str">
        <f>IF(Y934&lt;&gt;0,VLOOKUP(Y934,DM_DUAN,3,0),"")</f>
        <v>#N/A</v>
      </c>
      <c r="Y934" s="69" t="s">
        <v>176</v>
      </c>
      <c r="Z934" s="64" t="str">
        <f>IF(AA934&lt;&gt;0,VLOOKUP(AA934,DM_DUAN,3,0),"")</f>
        <v>#N/A</v>
      </c>
      <c r="AA934" s="70" t="s">
        <v>177</v>
      </c>
      <c r="AB934" s="64" t="str">
        <f>IF(AC934&lt;&gt;0,VLOOKUP(AC934,DM_DUAN,3,0),"")</f>
        <v/>
      </c>
      <c r="AC934" s="85"/>
      <c r="AD934" s="64" t="str">
        <f>IF(AC934&lt;&gt;0,VLOOKUP(AC934,DM_NV,2,0),"")</f>
        <v/>
      </c>
      <c r="AE934" s="68"/>
      <c r="AF934" s="64" t="str">
        <f>IF(AE934&lt;&gt;0,VLOOKUP(AE934,DM_NV,2,0),"")</f>
        <v/>
      </c>
    </row>
    <row r="935">
      <c r="A935" s="51"/>
      <c r="B935" s="52" t="str">
        <f>IF(D935="","",VLOOKUP(D935,'THAM CHIẾU'!$A:$B,2,0))</f>
        <v>#N/A</v>
      </c>
      <c r="C935" s="53" t="str">
        <f t="shared" si="4"/>
        <v>04/2022</v>
      </c>
      <c r="D935" s="99">
        <v>44673.0</v>
      </c>
      <c r="E935" s="55" t="s">
        <v>948</v>
      </c>
      <c r="F935" s="56"/>
      <c r="G935" s="57" t="s">
        <v>197</v>
      </c>
      <c r="H935" s="58" t="str">
        <f>IF(G935="","",VLOOKUP($G935,'Quy chuẩn hạch toán'!$B:$E,2,0))</f>
        <v>#N/A</v>
      </c>
      <c r="I935" s="58" t="str">
        <f>IF(H935="","",VLOOKUP($G935,'Quy chuẩn hạch toán'!$B:$E,3,0))</f>
        <v>#N/A</v>
      </c>
      <c r="J935" s="59">
        <v>9.47E8</v>
      </c>
      <c r="K935" s="60"/>
      <c r="L935" s="61"/>
      <c r="M935" s="62"/>
      <c r="N935" s="63"/>
      <c r="O935" s="64" t="str">
        <f>IF($Q935&lt;&gt;0,VLOOKUP($Q935,DM_KM,3,0),"")</f>
        <v>#N/A</v>
      </c>
      <c r="P935" s="64" t="str">
        <f>IF($Q935&lt;&gt;0,VLOOKUP($Q935,DM_KM,5,0),"")</f>
        <v>#N/A</v>
      </c>
      <c r="Q935" s="65" t="s">
        <v>198</v>
      </c>
      <c r="R935" s="64" t="str">
        <f>IF(S935&lt;&gt;0,VLOOKUP(S935,DM_DUAN,3,0),"")</f>
        <v>#N/A</v>
      </c>
      <c r="S935" s="66" t="str">
        <f>IF(U935&lt;&gt;0,VLOOKUP(U935,DM_DUAN,3,0),"")</f>
        <v>KIMCUONGLAND</v>
      </c>
      <c r="T935" s="64"/>
      <c r="U935" s="67" t="s">
        <v>636</v>
      </c>
      <c r="V935" s="64" t="str">
        <f>IF(W935&lt;&gt;0,VLOOKUP(W935,DM_DUAN,3,0),"")</f>
        <v>#N/A</v>
      </c>
      <c r="W935" s="83" t="s">
        <v>949</v>
      </c>
      <c r="X935" s="64" t="str">
        <f>IF(Y935&lt;&gt;0,VLOOKUP(Y935,DM_DUAN,3,0),"")</f>
        <v>#N/A</v>
      </c>
      <c r="Y935" s="69" t="s">
        <v>176</v>
      </c>
      <c r="Z935" s="64" t="str">
        <f>IF(AA935&lt;&gt;0,VLOOKUP(AA935,DM_DUAN,3,0),"")</f>
        <v>#N/A</v>
      </c>
      <c r="AA935" s="70" t="s">
        <v>183</v>
      </c>
      <c r="AB935" s="64" t="str">
        <f>IF(AC935&lt;&gt;0,VLOOKUP(AC935,DM_DUAN,3,0),"")</f>
        <v>#N/A</v>
      </c>
      <c r="AC935" s="70" t="s">
        <v>388</v>
      </c>
      <c r="AD935" s="64" t="str">
        <f>IF(AC935&lt;&gt;0,VLOOKUP(AC935,DM_NV,2,0),"")</f>
        <v>Lâm Hồ Tiểu Ngọc</v>
      </c>
      <c r="AE935" s="68"/>
      <c r="AF935" s="64" t="str">
        <f>IF(AE935&lt;&gt;0,VLOOKUP(AE935,DM_NV,2,0),"")</f>
        <v/>
      </c>
    </row>
    <row r="936">
      <c r="A936" s="51"/>
      <c r="B936" s="52" t="str">
        <f>IF(D936="","",VLOOKUP(D936,'THAM CHIẾU'!$A:$B,2,0))</f>
        <v/>
      </c>
      <c r="C936" s="53" t="str">
        <f t="shared" si="4"/>
        <v/>
      </c>
      <c r="D936" s="99"/>
      <c r="E936" s="55"/>
      <c r="F936" s="56"/>
      <c r="G936" s="57"/>
      <c r="H936" s="58" t="str">
        <f>IF(G936="","",VLOOKUP($G936,'Quy chuẩn hạch toán'!$B:$E,2,0))</f>
        <v/>
      </c>
      <c r="I936" s="58" t="str">
        <f>IF(H936="","",VLOOKUP($G936,'Quy chuẩn hạch toán'!$B:$E,3,0))</f>
        <v/>
      </c>
      <c r="J936" s="59"/>
      <c r="K936" s="60"/>
      <c r="L936" s="61"/>
      <c r="M936" s="62"/>
      <c r="N936" s="63"/>
      <c r="O936" s="64" t="str">
        <f>IF($Q936&lt;&gt;0,VLOOKUP($Q936,DM_KM,3,0),"")</f>
        <v/>
      </c>
      <c r="P936" s="64" t="str">
        <f>IF($Q936&lt;&gt;0,VLOOKUP($Q936,DM_KM,5,0),"")</f>
        <v/>
      </c>
      <c r="Q936" s="65"/>
      <c r="R936" s="64" t="str">
        <f>IF(S936&lt;&gt;0,VLOOKUP(S936,DM_DUAN,3,0),"")</f>
        <v>#N/A</v>
      </c>
      <c r="S936" s="66" t="str">
        <f>IF(U936&lt;&gt;0,VLOOKUP(U936,DM_DUAN,3,0),"")</f>
        <v/>
      </c>
      <c r="T936" s="64"/>
      <c r="U936" s="67"/>
      <c r="V936" s="64" t="str">
        <f>IF(W936&lt;&gt;0,VLOOKUP(W936,DM_DUAN,3,0),"")</f>
        <v/>
      </c>
      <c r="W936" s="83"/>
      <c r="X936" s="64" t="str">
        <f>IF(Y936&lt;&gt;0,VLOOKUP(Y936,DM_DUAN,3,0),"")</f>
        <v/>
      </c>
      <c r="Y936" s="69"/>
      <c r="Z936" s="64" t="str">
        <f>IF(AA936&lt;&gt;0,VLOOKUP(AA936,DM_DUAN,3,0),"")</f>
        <v/>
      </c>
      <c r="AA936" s="70"/>
      <c r="AB936" s="64" t="str">
        <f>IF(AC936&lt;&gt;0,VLOOKUP(AC936,DM_DUAN,3,0),"")</f>
        <v/>
      </c>
      <c r="AC936" s="70"/>
      <c r="AD936" s="64" t="str">
        <f>IF(AC936&lt;&gt;0,VLOOKUP(AC936,DM_NV,2,0),"")</f>
        <v/>
      </c>
      <c r="AE936" s="68"/>
      <c r="AF936" s="64" t="str">
        <f>IF(AE936&lt;&gt;0,VLOOKUP(AE936,DM_NV,2,0),"")</f>
        <v/>
      </c>
    </row>
    <row r="937">
      <c r="A937" s="51"/>
      <c r="B937" s="52" t="str">
        <f>IF(D937="","",VLOOKUP(D937,'THAM CHIẾU'!$A:$B,2,0))</f>
        <v>#N/A</v>
      </c>
      <c r="C937" s="53" t="str">
        <f t="shared" si="4"/>
        <v>04/2022</v>
      </c>
      <c r="D937" s="99">
        <v>44673.0</v>
      </c>
      <c r="E937" s="55" t="s">
        <v>950</v>
      </c>
      <c r="F937" s="56"/>
      <c r="G937" s="57" t="s">
        <v>186</v>
      </c>
      <c r="H937" s="58" t="str">
        <f>IF(G937="","",VLOOKUP($G937,'Quy chuẩn hạch toán'!$B:$E,2,0))</f>
        <v>131</v>
      </c>
      <c r="I937" s="58" t="str">
        <f>IF(H937="","",VLOOKUP($G937,'Quy chuẩn hạch toán'!$B:$E,3,0))</f>
        <v>5113</v>
      </c>
      <c r="J937" s="59">
        <v>1.5452E8</v>
      </c>
      <c r="K937" s="60"/>
      <c r="L937" s="61"/>
      <c r="M937" s="62"/>
      <c r="N937" s="63"/>
      <c r="O937" s="64" t="str">
        <f>IF($Q937&lt;&gt;0,VLOOKUP($Q937,DM_KM,3,0),"")</f>
        <v>511_TK</v>
      </c>
      <c r="P937" s="64">
        <f>IF($Q937&lt;&gt;0,VLOOKUP($Q937,DM_KM,5,0),"")</f>
        <v>511</v>
      </c>
      <c r="Q937" s="65" t="s">
        <v>187</v>
      </c>
      <c r="R937" s="64" t="str">
        <f>IF(S937&lt;&gt;0,VLOOKUP(S937,DM_DUAN,3,0),"")</f>
        <v>#N/A</v>
      </c>
      <c r="S937" s="66" t="str">
        <f>IF(U937&lt;&gt;0,VLOOKUP(U937,DM_DUAN,3,0),"")</f>
        <v>KIMCUONGLAND</v>
      </c>
      <c r="T937" s="64"/>
      <c r="U937" s="67" t="s">
        <v>636</v>
      </c>
      <c r="V937" s="64" t="str">
        <f>IF(W937&lt;&gt;0,VLOOKUP(W937,DM_DUAN,3,0),"")</f>
        <v>#N/A</v>
      </c>
      <c r="W937" s="83" t="s">
        <v>949</v>
      </c>
      <c r="X937" s="64" t="str">
        <f>IF(Y937&lt;&gt;0,VLOOKUP(Y937,DM_DUAN,3,0),"")</f>
        <v>#N/A</v>
      </c>
      <c r="Y937" s="69" t="s">
        <v>176</v>
      </c>
      <c r="Z937" s="64" t="str">
        <f>IF(AA937&lt;&gt;0,VLOOKUP(AA937,DM_DUAN,3,0),"")</f>
        <v>#N/A</v>
      </c>
      <c r="AA937" s="70" t="s">
        <v>183</v>
      </c>
      <c r="AB937" s="64" t="str">
        <f>IF(AC937&lt;&gt;0,VLOOKUP(AC937,DM_DUAN,3,0),"")</f>
        <v/>
      </c>
      <c r="AC937" s="70"/>
      <c r="AD937" s="64" t="str">
        <f>IF(AC937&lt;&gt;0,VLOOKUP(AC937,DM_NV,2,0),"")</f>
        <v/>
      </c>
      <c r="AE937" s="68"/>
      <c r="AF937" s="64" t="str">
        <f>IF(AE937&lt;&gt;0,VLOOKUP(AE937,DM_NV,2,0),"")</f>
        <v/>
      </c>
    </row>
    <row r="938">
      <c r="A938" s="51"/>
      <c r="B938" s="52" t="str">
        <f>IF(D938="","",VLOOKUP(D938,'THAM CHIẾU'!$A:$B,2,0))</f>
        <v>#N/A</v>
      </c>
      <c r="C938" s="53" t="str">
        <f t="shared" si="4"/>
        <v>04/2022</v>
      </c>
      <c r="D938" s="99">
        <v>44673.0</v>
      </c>
      <c r="E938" s="55" t="s">
        <v>951</v>
      </c>
      <c r="F938" s="56"/>
      <c r="G938" s="57" t="s">
        <v>189</v>
      </c>
      <c r="H938" s="58" t="str">
        <f>IF(G938="","",VLOOKUP($G938,'Quy chuẩn hạch toán'!$B:$E,2,0))</f>
        <v>154</v>
      </c>
      <c r="I938" s="58" t="str">
        <f>IF(H938="","",VLOOKUP($G938,'Quy chuẩn hạch toán'!$B:$E,3,0))</f>
        <v>3345</v>
      </c>
      <c r="J938" s="59">
        <v>2.6145E7</v>
      </c>
      <c r="K938" s="60"/>
      <c r="L938" s="61"/>
      <c r="M938" s="62"/>
      <c r="N938" s="63"/>
      <c r="O938" s="64" t="str">
        <f>IF($Q938&lt;&gt;0,VLOOKUP($Q938,DM_KM,3,0),"")</f>
        <v>#N/A</v>
      </c>
      <c r="P938" s="64" t="str">
        <f>IF($Q938&lt;&gt;0,VLOOKUP($Q938,DM_KM,5,0),"")</f>
        <v>#N/A</v>
      </c>
      <c r="Q938" s="65" t="s">
        <v>190</v>
      </c>
      <c r="R938" s="64" t="str">
        <f>IF(S938&lt;&gt;0,VLOOKUP(S938,DM_DUAN,3,0),"")</f>
        <v>#N/A</v>
      </c>
      <c r="S938" s="66" t="str">
        <f>IF(U938&lt;&gt;0,VLOOKUP(U938,DM_DUAN,3,0),"")</f>
        <v>KIMCUONGLAND</v>
      </c>
      <c r="T938" s="64"/>
      <c r="U938" s="67" t="s">
        <v>636</v>
      </c>
      <c r="V938" s="64" t="str">
        <f>IF(W938&lt;&gt;0,VLOOKUP(W938,DM_DUAN,3,0),"")</f>
        <v>#N/A</v>
      </c>
      <c r="W938" s="83" t="s">
        <v>949</v>
      </c>
      <c r="X938" s="64" t="str">
        <f>IF(Y938&lt;&gt;0,VLOOKUP(Y938,DM_DUAN,3,0),"")</f>
        <v>#N/A</v>
      </c>
      <c r="Y938" s="69" t="s">
        <v>176</v>
      </c>
      <c r="Z938" s="64" t="str">
        <f>IF(AA938&lt;&gt;0,VLOOKUP(AA938,DM_DUAN,3,0),"")</f>
        <v>#N/A</v>
      </c>
      <c r="AA938" s="70" t="s">
        <v>183</v>
      </c>
      <c r="AB938" s="64" t="str">
        <f>IF(AC938&lt;&gt;0,VLOOKUP(AC938,DM_DUAN,3,0),"")</f>
        <v>#N/A</v>
      </c>
      <c r="AC938" s="70" t="s">
        <v>388</v>
      </c>
      <c r="AD938" s="64" t="str">
        <f>IF(AC938&lt;&gt;0,VLOOKUP(AC938,DM_NV,2,0),"")</f>
        <v>Lâm Hồ Tiểu Ngọc</v>
      </c>
      <c r="AE938" s="68"/>
      <c r="AF938" s="64" t="str">
        <f>IF(AE938&lt;&gt;0,VLOOKUP(AE938,DM_NV,2,0),"")</f>
        <v/>
      </c>
    </row>
    <row r="939">
      <c r="A939" s="51"/>
      <c r="B939" s="52" t="str">
        <f>IF(D939="","",VLOOKUP(D939,'THAM CHIẾU'!$A:$B,2,0))</f>
        <v>#N/A</v>
      </c>
      <c r="C939" s="53" t="str">
        <f t="shared" si="4"/>
        <v>04/2022</v>
      </c>
      <c r="D939" s="99">
        <v>44673.0</v>
      </c>
      <c r="E939" s="55" t="s">
        <v>952</v>
      </c>
      <c r="F939" s="56"/>
      <c r="G939" s="57" t="s">
        <v>200</v>
      </c>
      <c r="H939" s="58" t="str">
        <f>IF(G939="","",VLOOKUP($G939,'Quy chuẩn hạch toán'!$B:$E,2,0))</f>
        <v>154</v>
      </c>
      <c r="I939" s="58" t="str">
        <f>IF(H939="","",VLOOKUP($G939,'Quy chuẩn hạch toán'!$B:$E,3,0))</f>
        <v>3343</v>
      </c>
      <c r="J939" s="59">
        <v>1000000.0</v>
      </c>
      <c r="K939" s="60"/>
      <c r="L939" s="61"/>
      <c r="M939" s="62"/>
      <c r="N939" s="63"/>
      <c r="O939" s="64" t="str">
        <f>IF($Q939&lt;&gt;0,VLOOKUP($Q939,DM_KM,3,0),"")</f>
        <v>#N/A</v>
      </c>
      <c r="P939" s="64" t="str">
        <f>IF($Q939&lt;&gt;0,VLOOKUP($Q939,DM_KM,5,0),"")</f>
        <v>#N/A</v>
      </c>
      <c r="Q939" s="65" t="s">
        <v>201</v>
      </c>
      <c r="R939" s="64" t="str">
        <f>IF(S939&lt;&gt;0,VLOOKUP(S939,DM_DUAN,3,0),"")</f>
        <v>#N/A</v>
      </c>
      <c r="S939" s="66" t="str">
        <f>IF(U939&lt;&gt;0,VLOOKUP(U939,DM_DUAN,3,0),"")</f>
        <v>KIMCUONGLAND</v>
      </c>
      <c r="T939" s="64"/>
      <c r="U939" s="67" t="s">
        <v>636</v>
      </c>
      <c r="V939" s="64" t="str">
        <f>IF(W939&lt;&gt;0,VLOOKUP(W939,DM_DUAN,3,0),"")</f>
        <v>#N/A</v>
      </c>
      <c r="W939" s="83" t="s">
        <v>949</v>
      </c>
      <c r="X939" s="64" t="str">
        <f>IF(Y939&lt;&gt;0,VLOOKUP(Y939,DM_DUAN,3,0),"")</f>
        <v>#N/A</v>
      </c>
      <c r="Y939" s="69" t="s">
        <v>176</v>
      </c>
      <c r="Z939" s="64" t="str">
        <f>IF(AA939&lt;&gt;0,VLOOKUP(AA939,DM_DUAN,3,0),"")</f>
        <v>#N/A</v>
      </c>
      <c r="AA939" s="70" t="s">
        <v>183</v>
      </c>
      <c r="AB939" s="64" t="str">
        <f>IF(AC939&lt;&gt;0,VLOOKUP(AC939,DM_DUAN,3,0),"")</f>
        <v/>
      </c>
      <c r="AC939" s="70"/>
      <c r="AD939" s="64" t="str">
        <f>IF(AC939&lt;&gt;0,VLOOKUP(AC939,DM_NV,2,0),"")</f>
        <v/>
      </c>
      <c r="AE939" s="68"/>
      <c r="AF939" s="64" t="str">
        <f>IF(AE939&lt;&gt;0,VLOOKUP(AE939,DM_NV,2,0),"")</f>
        <v/>
      </c>
    </row>
    <row r="940">
      <c r="A940" s="51"/>
      <c r="B940" s="52" t="str">
        <f>IF(D940="","",VLOOKUP(D940,'THAM CHIẾU'!$A:$B,2,0))</f>
        <v>#N/A</v>
      </c>
      <c r="C940" s="53" t="str">
        <f t="shared" si="4"/>
        <v>04/2022</v>
      </c>
      <c r="D940" s="99">
        <v>44673.0</v>
      </c>
      <c r="E940" s="55" t="s">
        <v>953</v>
      </c>
      <c r="F940" s="56"/>
      <c r="G940" s="90"/>
      <c r="H940" s="58" t="str">
        <f>IF(G940="","",VLOOKUP($G940,'Quy chuẩn hạch toán'!$B:$E,2,0))</f>
        <v/>
      </c>
      <c r="I940" s="58" t="str">
        <f>IF(H940="","",VLOOKUP($G940,'Quy chuẩn hạch toán'!$B:$E,3,0))</f>
        <v/>
      </c>
      <c r="J940" s="59">
        <v>1.21216E7</v>
      </c>
      <c r="K940" s="60"/>
      <c r="L940" s="61"/>
      <c r="M940" s="62"/>
      <c r="N940" s="63"/>
      <c r="O940" s="64" t="str">
        <f>IF($Q940&lt;&gt;0,VLOOKUP($Q940,DM_KM,3,0),"")</f>
        <v>#N/A</v>
      </c>
      <c r="P940" s="64" t="str">
        <f>IF($Q940&lt;&gt;0,VLOOKUP($Q940,DM_KM,5,0),"")</f>
        <v>#N/A</v>
      </c>
      <c r="Q940" s="65" t="s">
        <v>203</v>
      </c>
      <c r="R940" s="64" t="str">
        <f>IF(S940&lt;&gt;0,VLOOKUP(S940,DM_DUAN,3,0),"")</f>
        <v>#N/A</v>
      </c>
      <c r="S940" s="66" t="str">
        <f>IF(U940&lt;&gt;0,VLOOKUP(U940,DM_DUAN,3,0),"")</f>
        <v>KIMCUONGLAND</v>
      </c>
      <c r="T940" s="64"/>
      <c r="U940" s="67" t="s">
        <v>636</v>
      </c>
      <c r="V940" s="64" t="str">
        <f>IF(W940&lt;&gt;0,VLOOKUP(W940,DM_DUAN,3,0),"")</f>
        <v>#N/A</v>
      </c>
      <c r="W940" s="83" t="s">
        <v>949</v>
      </c>
      <c r="X940" s="64" t="str">
        <f>IF(Y940&lt;&gt;0,VLOOKUP(Y940,DM_DUAN,3,0),"")</f>
        <v>#N/A</v>
      </c>
      <c r="Y940" s="69" t="s">
        <v>176</v>
      </c>
      <c r="Z940" s="64" t="str">
        <f>IF(AA940&lt;&gt;0,VLOOKUP(AA940,DM_DUAN,3,0),"")</f>
        <v>#N/A</v>
      </c>
      <c r="AA940" s="70" t="s">
        <v>183</v>
      </c>
      <c r="AB940" s="64" t="str">
        <f>IF(AC940&lt;&gt;0,VLOOKUP(AC940,DM_DUAN,3,0),"")</f>
        <v/>
      </c>
      <c r="AC940" s="70"/>
      <c r="AD940" s="64" t="str">
        <f>IF(AC940&lt;&gt;0,VLOOKUP(AC940,DM_NV,2,0),"")</f>
        <v/>
      </c>
      <c r="AE940" s="68"/>
      <c r="AF940" s="64" t="str">
        <f>IF(AE940&lt;&gt;0,VLOOKUP(AE940,DM_NV,2,0),"")</f>
        <v/>
      </c>
    </row>
    <row r="941">
      <c r="A941" s="51"/>
      <c r="B941" s="52" t="str">
        <f>IF(D941="","",VLOOKUP(D941,'THAM CHIẾU'!$A:$B,2,0))</f>
        <v>#N/A</v>
      </c>
      <c r="C941" s="53" t="str">
        <f t="shared" si="4"/>
        <v>04/2022</v>
      </c>
      <c r="D941" s="99">
        <v>44673.0</v>
      </c>
      <c r="E941" s="55" t="s">
        <v>954</v>
      </c>
      <c r="F941" s="56"/>
      <c r="G941" s="57" t="s">
        <v>173</v>
      </c>
      <c r="H941" s="58" t="str">
        <f>IF(G941="","",VLOOKUP($G941,'Quy chuẩn hạch toán'!$B:$E,2,0))</f>
        <v>641</v>
      </c>
      <c r="I941" s="58" t="str">
        <f>IF(H941="","",VLOOKUP($G941,'Quy chuẩn hạch toán'!$B:$E,3,0))</f>
        <v>331</v>
      </c>
      <c r="J941" s="59">
        <v>1856000.0</v>
      </c>
      <c r="K941" s="60"/>
      <c r="L941" s="61"/>
      <c r="M941" s="62"/>
      <c r="N941" s="63"/>
      <c r="O941" s="64" t="str">
        <f>IF($Q941&lt;&gt;0,VLOOKUP($Q941,DM_KM,3,0),"")</f>
        <v>#N/A</v>
      </c>
      <c r="P941" s="64" t="str">
        <f>IF($Q941&lt;&gt;0,VLOOKUP($Q941,DM_KM,5,0),"")</f>
        <v>#N/A</v>
      </c>
      <c r="Q941" s="65" t="s">
        <v>174</v>
      </c>
      <c r="R941" s="64" t="str">
        <f>IF(S941&lt;&gt;0,VLOOKUP(S941,DM_DUAN,3,0),"")</f>
        <v>#N/A</v>
      </c>
      <c r="S941" s="66" t="str">
        <f>IF(U941&lt;&gt;0,VLOOKUP(U941,DM_DUAN,3,0),"")</f>
        <v>KIMCUONGLAND</v>
      </c>
      <c r="T941" s="64"/>
      <c r="U941" s="67" t="s">
        <v>636</v>
      </c>
      <c r="V941" s="64" t="str">
        <f>IF(W941&lt;&gt;0,VLOOKUP(W941,DM_DUAN,3,0),"")</f>
        <v/>
      </c>
      <c r="W941" s="68"/>
      <c r="X941" s="64" t="str">
        <f>IF(Y941&lt;&gt;0,VLOOKUP(Y941,DM_DUAN,3,0),"")</f>
        <v>#N/A</v>
      </c>
      <c r="Y941" s="69" t="s">
        <v>176</v>
      </c>
      <c r="Z941" s="64" t="str">
        <f>IF(AA941&lt;&gt;0,VLOOKUP(AA941,DM_DUAN,3,0),"")</f>
        <v>#N/A</v>
      </c>
      <c r="AA941" s="70" t="s">
        <v>183</v>
      </c>
      <c r="AB941" s="64" t="str">
        <f>IF(AC941&lt;&gt;0,VLOOKUP(AC941,DM_DUAN,3,0),"")</f>
        <v/>
      </c>
      <c r="AC941" s="70"/>
      <c r="AD941" s="64" t="str">
        <f>IF(AC941&lt;&gt;0,VLOOKUP(AC941,DM_NV,2,0),"")</f>
        <v/>
      </c>
      <c r="AE941" s="68"/>
      <c r="AF941" s="64" t="str">
        <f>IF(AE941&lt;&gt;0,VLOOKUP(AE941,DM_NV,2,0),"")</f>
        <v/>
      </c>
    </row>
    <row r="942">
      <c r="A942" s="51"/>
      <c r="B942" s="52" t="str">
        <f>IF(D942="","",VLOOKUP(D942,'THAM CHIẾU'!$A:$B,2,0))</f>
        <v>#N/A</v>
      </c>
      <c r="C942" s="53" t="str">
        <f t="shared" si="4"/>
        <v>04/2022</v>
      </c>
      <c r="D942" s="99">
        <v>44673.0</v>
      </c>
      <c r="E942" s="55" t="s">
        <v>955</v>
      </c>
      <c r="F942" s="56"/>
      <c r="G942" s="57" t="s">
        <v>173</v>
      </c>
      <c r="H942" s="58" t="str">
        <f>IF(G942="","",VLOOKUP($G942,'Quy chuẩn hạch toán'!$B:$E,2,0))</f>
        <v>641</v>
      </c>
      <c r="I942" s="58" t="str">
        <f>IF(H942="","",VLOOKUP($G942,'Quy chuẩn hạch toán'!$B:$E,3,0))</f>
        <v>331</v>
      </c>
      <c r="J942" s="59">
        <v>2636000.0</v>
      </c>
      <c r="K942" s="60"/>
      <c r="L942" s="61"/>
      <c r="M942" s="62"/>
      <c r="N942" s="63"/>
      <c r="O942" s="64" t="str">
        <f>IF($Q942&lt;&gt;0,VLOOKUP($Q942,DM_KM,3,0),"")</f>
        <v>#N/A</v>
      </c>
      <c r="P942" s="64" t="str">
        <f>IF($Q942&lt;&gt;0,VLOOKUP($Q942,DM_KM,5,0),"")</f>
        <v>#N/A</v>
      </c>
      <c r="Q942" s="65" t="s">
        <v>174</v>
      </c>
      <c r="R942" s="64" t="str">
        <f>IF(S942&lt;&gt;0,VLOOKUP(S942,DM_DUAN,3,0),"")</f>
        <v>#N/A</v>
      </c>
      <c r="S942" s="66" t="str">
        <f>IF(U942&lt;&gt;0,VLOOKUP(U942,DM_DUAN,3,0),"")</f>
        <v>CLOUDLAND</v>
      </c>
      <c r="T942" s="64"/>
      <c r="U942" s="67" t="s">
        <v>956</v>
      </c>
      <c r="V942" s="64" t="str">
        <f>IF(W942&lt;&gt;0,VLOOKUP(W942,DM_DUAN,3,0),"")</f>
        <v/>
      </c>
      <c r="W942" s="68"/>
      <c r="X942" s="64" t="str">
        <f>IF(Y942&lt;&gt;0,VLOOKUP(Y942,DM_DUAN,3,0),"")</f>
        <v>#N/A</v>
      </c>
      <c r="Y942" s="69" t="s">
        <v>176</v>
      </c>
      <c r="Z942" s="64" t="str">
        <f>IF(AA942&lt;&gt;0,VLOOKUP(AA942,DM_DUAN,3,0),"")</f>
        <v>#N/A</v>
      </c>
      <c r="AA942" s="70" t="s">
        <v>810</v>
      </c>
      <c r="AB942" s="64" t="str">
        <f>IF(AC942&lt;&gt;0,VLOOKUP(AC942,DM_DUAN,3,0),"")</f>
        <v/>
      </c>
      <c r="AC942" s="85"/>
      <c r="AD942" s="64" t="str">
        <f>IF(AC942&lt;&gt;0,VLOOKUP(AC942,DM_NV,2,0),"")</f>
        <v/>
      </c>
      <c r="AE942" s="68"/>
      <c r="AF942" s="64" t="str">
        <f>IF(AE942&lt;&gt;0,VLOOKUP(AE942,DM_NV,2,0),"")</f>
        <v/>
      </c>
    </row>
    <row r="943">
      <c r="A943" s="51"/>
      <c r="B943" s="52" t="str">
        <f>IF(D943="","",VLOOKUP(D943,'THAM CHIẾU'!$A:$B,2,0))</f>
        <v>#N/A</v>
      </c>
      <c r="C943" s="53" t="str">
        <f t="shared" si="4"/>
        <v>04/2022</v>
      </c>
      <c r="D943" s="99">
        <v>44675.0</v>
      </c>
      <c r="E943" s="55" t="s">
        <v>957</v>
      </c>
      <c r="F943" s="56"/>
      <c r="G943" s="57" t="s">
        <v>282</v>
      </c>
      <c r="H943" s="58" t="str">
        <f>IF(G943="","",VLOOKUP($G943,'Quy chuẩn hạch toán'!$B:$E,2,0))</f>
        <v>1111</v>
      </c>
      <c r="I943" s="58" t="str">
        <f>IF(H943="","",VLOOKUP($G943,'Quy chuẩn hạch toán'!$B:$E,3,0))</f>
        <v>131</v>
      </c>
      <c r="J943" s="59">
        <v>9.9E7</v>
      </c>
      <c r="K943" s="60"/>
      <c r="L943" s="61"/>
      <c r="M943" s="62"/>
      <c r="N943" s="63"/>
      <c r="O943" s="64" t="str">
        <f>IF($Q943&lt;&gt;0,VLOOKUP($Q943,DM_KM,3,0),"")</f>
        <v/>
      </c>
      <c r="P943" s="64" t="str">
        <f>IF($Q943&lt;&gt;0,VLOOKUP($Q943,DM_KM,5,0),"")</f>
        <v/>
      </c>
      <c r="Q943" s="89"/>
      <c r="R943" s="64" t="str">
        <f>IF(S943&lt;&gt;0,VLOOKUP(S943,DM_DUAN,3,0),"")</f>
        <v>#N/A</v>
      </c>
      <c r="S943" s="66" t="str">
        <f>IF(U943&lt;&gt;0,VLOOKUP(U943,DM_DUAN,3,0),"")</f>
        <v>KIMCUONGLAND</v>
      </c>
      <c r="T943" s="64"/>
      <c r="U943" s="67" t="s">
        <v>638</v>
      </c>
      <c r="V943" s="64" t="str">
        <f>IF(W943&lt;&gt;0,VLOOKUP(W943,DM_DUAN,3,0),"")</f>
        <v>#N/A</v>
      </c>
      <c r="W943" s="83" t="s">
        <v>894</v>
      </c>
      <c r="X943" s="64" t="str">
        <f>IF(Y943&lt;&gt;0,VLOOKUP(Y943,DM_DUAN,3,0),"")</f>
        <v>#N/A</v>
      </c>
      <c r="Y943" s="69" t="s">
        <v>176</v>
      </c>
      <c r="Z943" s="64" t="str">
        <f>IF(AA943&lt;&gt;0,VLOOKUP(AA943,DM_DUAN,3,0),"")</f>
        <v>#N/A</v>
      </c>
      <c r="AA943" s="70" t="s">
        <v>177</v>
      </c>
      <c r="AB943" s="64" t="str">
        <f>IF(AC943&lt;&gt;0,VLOOKUP(AC943,DM_DUAN,3,0),"")</f>
        <v/>
      </c>
      <c r="AC943" s="85"/>
      <c r="AD943" s="64" t="str">
        <f>IF(AC943&lt;&gt;0,VLOOKUP(AC943,DM_NV,2,0),"")</f>
        <v/>
      </c>
      <c r="AE943" s="68"/>
      <c r="AF943" s="64" t="str">
        <f>IF(AE943&lt;&gt;0,VLOOKUP(AE943,DM_NV,2,0),"")</f>
        <v/>
      </c>
    </row>
    <row r="944">
      <c r="A944" s="51"/>
      <c r="B944" s="52" t="str">
        <f>IF(D944="","",VLOOKUP(D944,'THAM CHIẾU'!$A:$B,2,0))</f>
        <v>#N/A</v>
      </c>
      <c r="C944" s="53" t="str">
        <f t="shared" si="4"/>
        <v>04/2022</v>
      </c>
      <c r="D944" s="99">
        <v>44675.0</v>
      </c>
      <c r="E944" s="55" t="s">
        <v>958</v>
      </c>
      <c r="F944" s="56"/>
      <c r="G944" s="57" t="s">
        <v>282</v>
      </c>
      <c r="H944" s="58" t="str">
        <f>IF(G944="","",VLOOKUP($G944,'Quy chuẩn hạch toán'!$B:$E,2,0))</f>
        <v>1111</v>
      </c>
      <c r="I944" s="58" t="str">
        <f>IF(H944="","",VLOOKUP($G944,'Quy chuẩn hạch toán'!$B:$E,3,0))</f>
        <v>131</v>
      </c>
      <c r="J944" s="59">
        <v>8.5E7</v>
      </c>
      <c r="K944" s="60"/>
      <c r="L944" s="61"/>
      <c r="M944" s="62"/>
      <c r="N944" s="63"/>
      <c r="O944" s="64" t="str">
        <f>IF($Q944&lt;&gt;0,VLOOKUP($Q944,DM_KM,3,0),"")</f>
        <v/>
      </c>
      <c r="P944" s="64" t="str">
        <f>IF($Q944&lt;&gt;0,VLOOKUP($Q944,DM_KM,5,0),"")</f>
        <v/>
      </c>
      <c r="Q944" s="89"/>
      <c r="R944" s="64" t="str">
        <f>IF(S944&lt;&gt;0,VLOOKUP(S944,DM_DUAN,3,0),"")</f>
        <v>#N/A</v>
      </c>
      <c r="S944" s="66" t="str">
        <f>IF(U944&lt;&gt;0,VLOOKUP(U944,DM_DUAN,3,0),"")</f>
        <v>KIMCUONGLAND</v>
      </c>
      <c r="T944" s="64"/>
      <c r="U944" s="67" t="s">
        <v>638</v>
      </c>
      <c r="V944" s="64" t="str">
        <f>IF(W944&lt;&gt;0,VLOOKUP(W944,DM_DUAN,3,0),"")</f>
        <v>#N/A</v>
      </c>
      <c r="W944" s="83" t="s">
        <v>926</v>
      </c>
      <c r="X944" s="64" t="str">
        <f>IF(Y944&lt;&gt;0,VLOOKUP(Y944,DM_DUAN,3,0),"")</f>
        <v>#N/A</v>
      </c>
      <c r="Y944" s="69" t="s">
        <v>176</v>
      </c>
      <c r="Z944" s="64" t="str">
        <f>IF(AA944&lt;&gt;0,VLOOKUP(AA944,DM_DUAN,3,0),"")</f>
        <v>#N/A</v>
      </c>
      <c r="AA944" s="70" t="s">
        <v>177</v>
      </c>
      <c r="AB944" s="64" t="str">
        <f>IF(AC944&lt;&gt;0,VLOOKUP(AC944,DM_DUAN,3,0),"")</f>
        <v/>
      </c>
      <c r="AC944" s="85"/>
      <c r="AD944" s="64" t="str">
        <f>IF(AC944&lt;&gt;0,VLOOKUP(AC944,DM_NV,2,0),"")</f>
        <v/>
      </c>
      <c r="AE944" s="83" t="s">
        <v>276</v>
      </c>
      <c r="AF944" s="64" t="str">
        <f>IF(AE944&lt;&gt;0,VLOOKUP(AE944,DM_NV,2,0),"")</f>
        <v>#N/A</v>
      </c>
    </row>
    <row r="945">
      <c r="A945" s="51"/>
      <c r="B945" s="52" t="str">
        <f>IF(D945="","",VLOOKUP(D945,'THAM CHIẾU'!$A:$B,2,0))</f>
        <v>#N/A</v>
      </c>
      <c r="C945" s="53" t="str">
        <f t="shared" si="4"/>
        <v>04/2022</v>
      </c>
      <c r="D945" s="99">
        <v>44675.0</v>
      </c>
      <c r="E945" s="55" t="s">
        <v>959</v>
      </c>
      <c r="F945" s="56"/>
      <c r="G945" s="57" t="s">
        <v>225</v>
      </c>
      <c r="H945" s="58" t="str">
        <f>IF(G945="","",VLOOKUP($G945,'Quy chuẩn hạch toán'!$B:$E,2,0))</f>
        <v>154</v>
      </c>
      <c r="I945" s="58" t="str">
        <f>IF(H945="","",VLOOKUP($G945,'Quy chuẩn hạch toán'!$B:$E,3,0))</f>
        <v>1111</v>
      </c>
      <c r="J945" s="59">
        <v>126316.0</v>
      </c>
      <c r="K945" s="60"/>
      <c r="L945" s="61"/>
      <c r="M945" s="62"/>
      <c r="N945" s="63"/>
      <c r="O945" s="64" t="str">
        <f>IF($Q945&lt;&gt;0,VLOOKUP($Q945,DM_KM,3,0),"")</f>
        <v>#N/A</v>
      </c>
      <c r="P945" s="64" t="str">
        <f>IF($Q945&lt;&gt;0,VLOOKUP($Q945,DM_KM,5,0),"")</f>
        <v>#N/A</v>
      </c>
      <c r="Q945" s="65" t="s">
        <v>226</v>
      </c>
      <c r="R945" s="64" t="str">
        <f>IF(S945&lt;&gt;0,VLOOKUP(S945,DM_DUAN,3,0),"")</f>
        <v>#N/A</v>
      </c>
      <c r="S945" s="66" t="str">
        <f>IF(U945&lt;&gt;0,VLOOKUP(U945,DM_DUAN,3,0),"")</f>
        <v/>
      </c>
      <c r="T945" s="64"/>
      <c r="U945" s="93"/>
      <c r="V945" s="64" t="str">
        <f>IF(W945&lt;&gt;0,VLOOKUP(W945,DM_DUAN,3,0),"")</f>
        <v/>
      </c>
      <c r="W945" s="68"/>
      <c r="X945" s="64" t="str">
        <f>IF(Y945&lt;&gt;0,VLOOKUP(Y945,DM_DUAN,3,0),"")</f>
        <v>#N/A</v>
      </c>
      <c r="Y945" s="69" t="s">
        <v>176</v>
      </c>
      <c r="Z945" s="64" t="str">
        <f>IF(AA945&lt;&gt;0,VLOOKUP(AA945,DM_DUAN,3,0),"")</f>
        <v>#N/A</v>
      </c>
      <c r="AA945" s="70" t="s">
        <v>705</v>
      </c>
      <c r="AB945" s="64" t="str">
        <f>IF(AC945&lt;&gt;0,VLOOKUP(AC945,DM_DUAN,3,0),"")</f>
        <v/>
      </c>
      <c r="AC945" s="85"/>
      <c r="AD945" s="64" t="str">
        <f>IF(AC945&lt;&gt;0,VLOOKUP(AC945,DM_NV,2,0),"")</f>
        <v/>
      </c>
      <c r="AE945" s="83" t="s">
        <v>227</v>
      </c>
      <c r="AF945" s="64" t="str">
        <f>IF(AE945&lt;&gt;0,VLOOKUP(AE945,DM_NV,2,0),"")</f>
        <v>#N/A</v>
      </c>
    </row>
    <row r="946">
      <c r="A946" s="51"/>
      <c r="B946" s="52" t="str">
        <f>IF(D946="","",VLOOKUP(D946,'THAM CHIẾU'!$A:$B,2,0))</f>
        <v>#N/A</v>
      </c>
      <c r="C946" s="53" t="str">
        <f t="shared" si="4"/>
        <v>04/2022</v>
      </c>
      <c r="D946" s="99">
        <v>44675.0</v>
      </c>
      <c r="E946" s="55" t="s">
        <v>959</v>
      </c>
      <c r="F946" s="56"/>
      <c r="G946" s="57" t="s">
        <v>225</v>
      </c>
      <c r="H946" s="58" t="str">
        <f>IF(G946="","",VLOOKUP($G946,'Quy chuẩn hạch toán'!$B:$E,2,0))</f>
        <v>154</v>
      </c>
      <c r="I946" s="58" t="str">
        <f>IF(H946="","",VLOOKUP($G946,'Quy chuẩn hạch toán'!$B:$E,3,0))</f>
        <v>1111</v>
      </c>
      <c r="J946" s="59">
        <v>252632.0</v>
      </c>
      <c r="K946" s="60"/>
      <c r="L946" s="61"/>
      <c r="M946" s="62"/>
      <c r="N946" s="63"/>
      <c r="O946" s="64" t="str">
        <f>IF($Q946&lt;&gt;0,VLOOKUP($Q946,DM_KM,3,0),"")</f>
        <v>#N/A</v>
      </c>
      <c r="P946" s="64" t="str">
        <f>IF($Q946&lt;&gt;0,VLOOKUP($Q946,DM_KM,5,0),"")</f>
        <v>#N/A</v>
      </c>
      <c r="Q946" s="65" t="s">
        <v>226</v>
      </c>
      <c r="R946" s="64" t="str">
        <f>IF(S946&lt;&gt;0,VLOOKUP(S946,DM_DUAN,3,0),"")</f>
        <v>#N/A</v>
      </c>
      <c r="S946" s="66" t="str">
        <f>IF(U946&lt;&gt;0,VLOOKUP(U946,DM_DUAN,3,0),"")</f>
        <v/>
      </c>
      <c r="T946" s="64"/>
      <c r="U946" s="93"/>
      <c r="V946" s="64" t="str">
        <f>IF(W946&lt;&gt;0,VLOOKUP(W946,DM_DUAN,3,0),"")</f>
        <v/>
      </c>
      <c r="W946" s="68"/>
      <c r="X946" s="64" t="str">
        <f>IF(Y946&lt;&gt;0,VLOOKUP(Y946,DM_DUAN,3,0),"")</f>
        <v>#N/A</v>
      </c>
      <c r="Y946" s="69" t="s">
        <v>176</v>
      </c>
      <c r="Z946" s="64" t="str">
        <f>IF(AA946&lt;&gt;0,VLOOKUP(AA946,DM_DUAN,3,0),"")</f>
        <v>#N/A</v>
      </c>
      <c r="AA946" s="70" t="s">
        <v>183</v>
      </c>
      <c r="AB946" s="64" t="str">
        <f>IF(AC946&lt;&gt;0,VLOOKUP(AC946,DM_DUAN,3,0),"")</f>
        <v/>
      </c>
      <c r="AC946" s="85"/>
      <c r="AD946" s="64" t="str">
        <f>IF(AC946&lt;&gt;0,VLOOKUP(AC946,DM_NV,2,0),"")</f>
        <v/>
      </c>
      <c r="AE946" s="83" t="s">
        <v>227</v>
      </c>
      <c r="AF946" s="64" t="str">
        <f>IF(AE946&lt;&gt;0,VLOOKUP(AE946,DM_NV,2,0),"")</f>
        <v>#N/A</v>
      </c>
    </row>
    <row r="947">
      <c r="A947" s="51"/>
      <c r="B947" s="52" t="str">
        <f>IF(D947="","",VLOOKUP(D947,'THAM CHIẾU'!$A:$B,2,0))</f>
        <v>#N/A</v>
      </c>
      <c r="C947" s="53" t="str">
        <f t="shared" si="4"/>
        <v>04/2022</v>
      </c>
      <c r="D947" s="99">
        <v>44675.0</v>
      </c>
      <c r="E947" s="55" t="s">
        <v>959</v>
      </c>
      <c r="F947" s="56"/>
      <c r="G947" s="57" t="s">
        <v>225</v>
      </c>
      <c r="H947" s="58" t="str">
        <f>IF(G947="","",VLOOKUP($G947,'Quy chuẩn hạch toán'!$B:$E,2,0))</f>
        <v>154</v>
      </c>
      <c r="I947" s="58" t="str">
        <f>IF(H947="","",VLOOKUP($G947,'Quy chuẩn hạch toán'!$B:$E,3,0))</f>
        <v>1111</v>
      </c>
      <c r="J947" s="59">
        <v>94737.0</v>
      </c>
      <c r="K947" s="60"/>
      <c r="L947" s="61"/>
      <c r="M947" s="62"/>
      <c r="N947" s="63"/>
      <c r="O947" s="64" t="str">
        <f>IF($Q947&lt;&gt;0,VLOOKUP($Q947,DM_KM,3,0),"")</f>
        <v>#N/A</v>
      </c>
      <c r="P947" s="64" t="str">
        <f>IF($Q947&lt;&gt;0,VLOOKUP($Q947,DM_KM,5,0),"")</f>
        <v>#N/A</v>
      </c>
      <c r="Q947" s="65" t="s">
        <v>226</v>
      </c>
      <c r="R947" s="64" t="str">
        <f>IF(S947&lt;&gt;0,VLOOKUP(S947,DM_DUAN,3,0),"")</f>
        <v>#N/A</v>
      </c>
      <c r="S947" s="66" t="str">
        <f>IF(U947&lt;&gt;0,VLOOKUP(U947,DM_DUAN,3,0),"")</f>
        <v/>
      </c>
      <c r="T947" s="64"/>
      <c r="U947" s="93"/>
      <c r="V947" s="64" t="str">
        <f>IF(W947&lt;&gt;0,VLOOKUP(W947,DM_DUAN,3,0),"")</f>
        <v/>
      </c>
      <c r="W947" s="68"/>
      <c r="X947" s="64" t="str">
        <f>IF(Y947&lt;&gt;0,VLOOKUP(Y947,DM_DUAN,3,0),"")</f>
        <v>#N/A</v>
      </c>
      <c r="Y947" s="69" t="s">
        <v>176</v>
      </c>
      <c r="Z947" s="64" t="str">
        <f>IF(AA947&lt;&gt;0,VLOOKUP(AA947,DM_DUAN,3,0),"")</f>
        <v>#N/A</v>
      </c>
      <c r="AA947" s="70" t="s">
        <v>177</v>
      </c>
      <c r="AB947" s="64" t="str">
        <f>IF(AC947&lt;&gt;0,VLOOKUP(AC947,DM_DUAN,3,0),"")</f>
        <v/>
      </c>
      <c r="AC947" s="85"/>
      <c r="AD947" s="64" t="str">
        <f>IF(AC947&lt;&gt;0,VLOOKUP(AC947,DM_NV,2,0),"")</f>
        <v/>
      </c>
      <c r="AE947" s="83" t="s">
        <v>227</v>
      </c>
      <c r="AF947" s="64" t="str">
        <f>IF(AE947&lt;&gt;0,VLOOKUP(AE947,DM_NV,2,0),"")</f>
        <v>#N/A</v>
      </c>
    </row>
    <row r="948">
      <c r="A948" s="51"/>
      <c r="B948" s="52" t="str">
        <f>IF(D948="","",VLOOKUP(D948,'THAM CHIẾU'!$A:$B,2,0))</f>
        <v>#N/A</v>
      </c>
      <c r="C948" s="53" t="str">
        <f t="shared" si="4"/>
        <v>04/2022</v>
      </c>
      <c r="D948" s="99">
        <v>44675.0</v>
      </c>
      <c r="E948" s="55" t="s">
        <v>959</v>
      </c>
      <c r="F948" s="56"/>
      <c r="G948" s="57" t="s">
        <v>225</v>
      </c>
      <c r="H948" s="58" t="str">
        <f>IF(G948="","",VLOOKUP($G948,'Quy chuẩn hạch toán'!$B:$E,2,0))</f>
        <v>154</v>
      </c>
      <c r="I948" s="58" t="str">
        <f>IF(H948="","",VLOOKUP($G948,'Quy chuẩn hạch toán'!$B:$E,3,0))</f>
        <v>1111</v>
      </c>
      <c r="J948" s="59">
        <v>126316.0</v>
      </c>
      <c r="K948" s="60"/>
      <c r="L948" s="61"/>
      <c r="M948" s="62"/>
      <c r="N948" s="63"/>
      <c r="O948" s="64" t="str">
        <f>IF($Q948&lt;&gt;0,VLOOKUP($Q948,DM_KM,3,0),"")</f>
        <v>#N/A</v>
      </c>
      <c r="P948" s="64" t="str">
        <f>IF($Q948&lt;&gt;0,VLOOKUP($Q948,DM_KM,5,0),"")</f>
        <v>#N/A</v>
      </c>
      <c r="Q948" s="65" t="s">
        <v>226</v>
      </c>
      <c r="R948" s="64" t="str">
        <f>IF(S948&lt;&gt;0,VLOOKUP(S948,DM_DUAN,3,0),"")</f>
        <v>#N/A</v>
      </c>
      <c r="S948" s="66" t="str">
        <f>IF(U948&lt;&gt;0,VLOOKUP(U948,DM_DUAN,3,0),"")</f>
        <v/>
      </c>
      <c r="T948" s="64"/>
      <c r="U948" s="93"/>
      <c r="V948" s="64" t="str">
        <f>IF(W948&lt;&gt;0,VLOOKUP(W948,DM_DUAN,3,0),"")</f>
        <v/>
      </c>
      <c r="W948" s="68"/>
      <c r="X948" s="64" t="str">
        <f>IF(Y948&lt;&gt;0,VLOOKUP(Y948,DM_DUAN,3,0),"")</f>
        <v>#N/A</v>
      </c>
      <c r="Y948" s="69" t="s">
        <v>176</v>
      </c>
      <c r="Z948" s="64" t="str">
        <f>IF(AA948&lt;&gt;0,VLOOKUP(AA948,DM_DUAN,3,0),"")</f>
        <v>#N/A</v>
      </c>
      <c r="AA948" s="70" t="s">
        <v>210</v>
      </c>
      <c r="AB948" s="64" t="str">
        <f>IF(AC948&lt;&gt;0,VLOOKUP(AC948,DM_DUAN,3,0),"")</f>
        <v/>
      </c>
      <c r="AC948" s="85"/>
      <c r="AD948" s="64" t="str">
        <f>IF(AC948&lt;&gt;0,VLOOKUP(AC948,DM_NV,2,0),"")</f>
        <v/>
      </c>
      <c r="AE948" s="83" t="s">
        <v>227</v>
      </c>
      <c r="AF948" s="64" t="str">
        <f>IF(AE948&lt;&gt;0,VLOOKUP(AE948,DM_NV,2,0),"")</f>
        <v>#N/A</v>
      </c>
    </row>
    <row r="949">
      <c r="A949" s="51"/>
      <c r="B949" s="52" t="str">
        <f>IF(D949="","",VLOOKUP(D949,'THAM CHIẾU'!$A:$B,2,0))</f>
        <v>#N/A</v>
      </c>
      <c r="C949" s="53" t="str">
        <f t="shared" si="4"/>
        <v>04/2022</v>
      </c>
      <c r="D949" s="99">
        <v>44675.0</v>
      </c>
      <c r="E949" s="55" t="s">
        <v>960</v>
      </c>
      <c r="F949" s="56"/>
      <c r="G949" s="57" t="s">
        <v>173</v>
      </c>
      <c r="H949" s="58" t="str">
        <f>IF(G949="","",VLOOKUP($G949,'Quy chuẩn hạch toán'!$B:$E,2,0))</f>
        <v>641</v>
      </c>
      <c r="I949" s="58" t="str">
        <f>IF(H949="","",VLOOKUP($G949,'Quy chuẩn hạch toán'!$B:$E,3,0))</f>
        <v>331</v>
      </c>
      <c r="J949" s="59">
        <v>2640000.0</v>
      </c>
      <c r="K949" s="60"/>
      <c r="L949" s="61"/>
      <c r="M949" s="62"/>
      <c r="N949" s="63"/>
      <c r="O949" s="64" t="str">
        <f>IF($Q949&lt;&gt;0,VLOOKUP($Q949,DM_KM,3,0),"")</f>
        <v>#N/A</v>
      </c>
      <c r="P949" s="64" t="str">
        <f>IF($Q949&lt;&gt;0,VLOOKUP($Q949,DM_KM,5,0),"")</f>
        <v>#N/A</v>
      </c>
      <c r="Q949" s="65" t="s">
        <v>174</v>
      </c>
      <c r="R949" s="64" t="str">
        <f>IF(S949&lt;&gt;0,VLOOKUP(S949,DM_DUAN,3,0),"")</f>
        <v>#N/A</v>
      </c>
      <c r="S949" s="66" t="str">
        <f>IF(U949&lt;&gt;0,VLOOKUP(U949,DM_DUAN,3,0),"")</f>
        <v>CLOUDLAND</v>
      </c>
      <c r="T949" s="64"/>
      <c r="U949" s="67" t="s">
        <v>956</v>
      </c>
      <c r="V949" s="64" t="str">
        <f>IF(W949&lt;&gt;0,VLOOKUP(W949,DM_DUAN,3,0),"")</f>
        <v/>
      </c>
      <c r="W949" s="68"/>
      <c r="X949" s="64" t="str">
        <f>IF(Y949&lt;&gt;0,VLOOKUP(Y949,DM_DUAN,3,0),"")</f>
        <v>#N/A</v>
      </c>
      <c r="Y949" s="69" t="s">
        <v>176</v>
      </c>
      <c r="Z949" s="64" t="str">
        <f>IF(AA949&lt;&gt;0,VLOOKUP(AA949,DM_DUAN,3,0),"")</f>
        <v>#N/A</v>
      </c>
      <c r="AA949" s="70" t="s">
        <v>177</v>
      </c>
      <c r="AB949" s="64" t="str">
        <f>IF(AC949&lt;&gt;0,VLOOKUP(AC949,DM_DUAN,3,0),"")</f>
        <v/>
      </c>
      <c r="AC949" s="85"/>
      <c r="AD949" s="64" t="str">
        <f>IF(AC949&lt;&gt;0,VLOOKUP(AC949,DM_NV,2,0),"")</f>
        <v/>
      </c>
      <c r="AE949" s="68"/>
      <c r="AF949" s="64" t="str">
        <f>IF(AE949&lt;&gt;0,VLOOKUP(AE949,DM_NV,2,0),"")</f>
        <v/>
      </c>
    </row>
    <row r="950">
      <c r="A950" s="51"/>
      <c r="B950" s="52" t="str">
        <f>IF(D950="","",VLOOKUP(D950,'THAM CHIẾU'!$A:$B,2,0))</f>
        <v>#N/A</v>
      </c>
      <c r="C950" s="53" t="str">
        <f t="shared" si="4"/>
        <v>04/2022</v>
      </c>
      <c r="D950" s="99">
        <v>44675.0</v>
      </c>
      <c r="E950" s="55" t="s">
        <v>961</v>
      </c>
      <c r="F950" s="56"/>
      <c r="G950" s="57" t="s">
        <v>173</v>
      </c>
      <c r="H950" s="58" t="str">
        <f>IF(G950="","",VLOOKUP($G950,'Quy chuẩn hạch toán'!$B:$E,2,0))</f>
        <v>641</v>
      </c>
      <c r="I950" s="58" t="str">
        <f>IF(H950="","",VLOOKUP($G950,'Quy chuẩn hạch toán'!$B:$E,3,0))</f>
        <v>331</v>
      </c>
      <c r="J950" s="59">
        <v>1896000.0</v>
      </c>
      <c r="K950" s="60"/>
      <c r="L950" s="61"/>
      <c r="M950" s="62"/>
      <c r="N950" s="63"/>
      <c r="O950" s="64" t="str">
        <f>IF($Q950&lt;&gt;0,VLOOKUP($Q950,DM_KM,3,0),"")</f>
        <v>#N/A</v>
      </c>
      <c r="P950" s="64" t="str">
        <f>IF($Q950&lt;&gt;0,VLOOKUP($Q950,DM_KM,5,0),"")</f>
        <v>#N/A</v>
      </c>
      <c r="Q950" s="65" t="s">
        <v>174</v>
      </c>
      <c r="R950" s="64" t="str">
        <f>IF(S950&lt;&gt;0,VLOOKUP(S950,DM_DUAN,3,0),"")</f>
        <v>#N/A</v>
      </c>
      <c r="S950" s="66" t="str">
        <f>IF(U950&lt;&gt;0,VLOOKUP(U950,DM_DUAN,3,0),"")</f>
        <v>THANHNAM</v>
      </c>
      <c r="T950" s="64"/>
      <c r="U950" s="67" t="s">
        <v>597</v>
      </c>
      <c r="V950" s="64" t="str">
        <f>IF(W950&lt;&gt;0,VLOOKUP(W950,DM_DUAN,3,0),"")</f>
        <v/>
      </c>
      <c r="W950" s="68"/>
      <c r="X950" s="64" t="str">
        <f>IF(Y950&lt;&gt;0,VLOOKUP(Y950,DM_DUAN,3,0),"")</f>
        <v>#N/A</v>
      </c>
      <c r="Y950" s="69" t="s">
        <v>176</v>
      </c>
      <c r="Z950" s="64" t="str">
        <f>IF(AA950&lt;&gt;0,VLOOKUP(AA950,DM_DUAN,3,0),"")</f>
        <v>#N/A</v>
      </c>
      <c r="AA950" s="70" t="s">
        <v>183</v>
      </c>
      <c r="AB950" s="64" t="str">
        <f>IF(AC950&lt;&gt;0,VLOOKUP(AC950,DM_DUAN,3,0),"")</f>
        <v/>
      </c>
      <c r="AC950" s="85"/>
      <c r="AD950" s="64" t="str">
        <f>IF(AC950&lt;&gt;0,VLOOKUP(AC950,DM_NV,2,0),"")</f>
        <v/>
      </c>
      <c r="AE950" s="68"/>
      <c r="AF950" s="64" t="str">
        <f>IF(AE950&lt;&gt;0,VLOOKUP(AE950,DM_NV,2,0),"")</f>
        <v/>
      </c>
    </row>
    <row r="951">
      <c r="A951" s="51"/>
      <c r="B951" s="52" t="str">
        <f>IF(D951="","",VLOOKUP(D951,'THAM CHIẾU'!$A:$B,2,0))</f>
        <v>#N/A</v>
      </c>
      <c r="C951" s="53" t="str">
        <f t="shared" si="4"/>
        <v>04/2022</v>
      </c>
      <c r="D951" s="99">
        <v>44675.0</v>
      </c>
      <c r="E951" s="55" t="s">
        <v>962</v>
      </c>
      <c r="F951" s="56"/>
      <c r="G951" s="57" t="s">
        <v>173</v>
      </c>
      <c r="H951" s="58" t="str">
        <f>IF(G951="","",VLOOKUP($G951,'Quy chuẩn hạch toán'!$B:$E,2,0))</f>
        <v>641</v>
      </c>
      <c r="I951" s="58" t="str">
        <f>IF(H951="","",VLOOKUP($G951,'Quy chuẩn hạch toán'!$B:$E,3,0))</f>
        <v>331</v>
      </c>
      <c r="J951" s="59">
        <v>1120000.0</v>
      </c>
      <c r="K951" s="60"/>
      <c r="L951" s="61"/>
      <c r="M951" s="62"/>
      <c r="N951" s="63"/>
      <c r="O951" s="64" t="str">
        <f>IF($Q951&lt;&gt;0,VLOOKUP($Q951,DM_KM,3,0),"")</f>
        <v>#N/A</v>
      </c>
      <c r="P951" s="64" t="str">
        <f>IF($Q951&lt;&gt;0,VLOOKUP($Q951,DM_KM,5,0),"")</f>
        <v>#N/A</v>
      </c>
      <c r="Q951" s="65" t="s">
        <v>174</v>
      </c>
      <c r="R951" s="64" t="str">
        <f>IF(S951&lt;&gt;0,VLOOKUP(S951,DM_DUAN,3,0),"")</f>
        <v>#N/A</v>
      </c>
      <c r="S951" s="66" t="str">
        <f>IF(U951&lt;&gt;0,VLOOKUP(U951,DM_DUAN,3,0),"")</f>
        <v/>
      </c>
      <c r="T951" s="64"/>
      <c r="U951" s="93"/>
      <c r="V951" s="64" t="str">
        <f>IF(W951&lt;&gt;0,VLOOKUP(W951,DM_DUAN,3,0),"")</f>
        <v/>
      </c>
      <c r="W951" s="68"/>
      <c r="X951" s="64" t="str">
        <f>IF(Y951&lt;&gt;0,VLOOKUP(Y951,DM_DUAN,3,0),"")</f>
        <v>#N/A</v>
      </c>
      <c r="Y951" s="69" t="s">
        <v>176</v>
      </c>
      <c r="Z951" s="64" t="str">
        <f>IF(AA951&lt;&gt;0,VLOOKUP(AA951,DM_DUAN,3,0),"")</f>
        <v>#N/A</v>
      </c>
      <c r="AA951" s="70" t="s">
        <v>810</v>
      </c>
      <c r="AB951" s="64" t="str">
        <f>IF(AC951&lt;&gt;0,VLOOKUP(AC951,DM_DUAN,3,0),"")</f>
        <v/>
      </c>
      <c r="AC951" s="85"/>
      <c r="AD951" s="64" t="str">
        <f>IF(AC951&lt;&gt;0,VLOOKUP(AC951,DM_NV,2,0),"")</f>
        <v/>
      </c>
      <c r="AE951" s="68"/>
      <c r="AF951" s="64" t="str">
        <f>IF(AE951&lt;&gt;0,VLOOKUP(AE951,DM_NV,2,0),"")</f>
        <v/>
      </c>
    </row>
    <row r="952">
      <c r="A952" s="51"/>
      <c r="B952" s="52" t="str">
        <f>IF(D952="","",VLOOKUP(D952,'THAM CHIẾU'!$A:$B,2,0))</f>
        <v>#N/A</v>
      </c>
      <c r="C952" s="53" t="str">
        <f t="shared" si="4"/>
        <v>04/2022</v>
      </c>
      <c r="D952" s="99">
        <v>44676.0</v>
      </c>
      <c r="E952" s="55" t="s">
        <v>963</v>
      </c>
      <c r="F952" s="56"/>
      <c r="G952" s="57" t="s">
        <v>180</v>
      </c>
      <c r="H952" s="58" t="str">
        <f>IF(G952="","",VLOOKUP($G952,'Quy chuẩn hạch toán'!$B:$E,2,0))</f>
        <v>521</v>
      </c>
      <c r="I952" s="58" t="str">
        <f>IF(H952="","",VLOOKUP($G952,'Quy chuẩn hạch toán'!$B:$E,3,0))</f>
        <v>131</v>
      </c>
      <c r="J952" s="59">
        <v>2.0E7</v>
      </c>
      <c r="K952" s="60"/>
      <c r="L952" s="61"/>
      <c r="M952" s="62"/>
      <c r="N952" s="63"/>
      <c r="O952" s="64" t="str">
        <f>IF($Q952&lt;&gt;0,VLOOKUP($Q952,DM_KM,3,0),"")</f>
        <v>#N/A</v>
      </c>
      <c r="P952" s="64" t="str">
        <f>IF($Q952&lt;&gt;0,VLOOKUP($Q952,DM_KM,5,0),"")</f>
        <v>#N/A</v>
      </c>
      <c r="Q952" s="65" t="s">
        <v>181</v>
      </c>
      <c r="R952" s="64" t="str">
        <f>IF(S952&lt;&gt;0,VLOOKUP(S952,DM_DUAN,3,0),"")</f>
        <v>#N/A</v>
      </c>
      <c r="S952" s="66" t="str">
        <f>IF(U952&lt;&gt;0,VLOOKUP(U952,DM_DUAN,3,0),"")</f>
        <v>THANHNAM</v>
      </c>
      <c r="T952" s="64"/>
      <c r="U952" s="67" t="s">
        <v>530</v>
      </c>
      <c r="V952" s="64" t="str">
        <f>IF(W952&lt;&gt;0,VLOOKUP(W952,DM_DUAN,3,0),"")</f>
        <v>#N/A</v>
      </c>
      <c r="W952" s="83" t="s">
        <v>964</v>
      </c>
      <c r="X952" s="64" t="str">
        <f>IF(Y952&lt;&gt;0,VLOOKUP(Y952,DM_DUAN,3,0),"")</f>
        <v>#N/A</v>
      </c>
      <c r="Y952" s="84" t="s">
        <v>176</v>
      </c>
      <c r="Z952" s="64" t="str">
        <f>IF(AA952&lt;&gt;0,VLOOKUP(AA952,DM_DUAN,3,0),"")</f>
        <v>#N/A</v>
      </c>
      <c r="AA952" s="70" t="s">
        <v>183</v>
      </c>
      <c r="AB952" s="64" t="str">
        <f>IF(AC952&lt;&gt;0,VLOOKUP(AC952,DM_DUAN,3,0),"")</f>
        <v/>
      </c>
      <c r="AC952" s="85"/>
      <c r="AD952" s="64" t="str">
        <f>IF(AC952&lt;&gt;0,VLOOKUP(AC952,DM_NV,2,0),"")</f>
        <v/>
      </c>
      <c r="AE952" s="68"/>
      <c r="AF952" s="64" t="str">
        <f>IF(AE952&lt;&gt;0,VLOOKUP(AE952,DM_NV,2,0),"")</f>
        <v/>
      </c>
    </row>
    <row r="953">
      <c r="A953" s="51"/>
      <c r="B953" s="52" t="str">
        <f>IF(D953="","",VLOOKUP(D953,'THAM CHIẾU'!$A:$B,2,0))</f>
        <v>#N/A</v>
      </c>
      <c r="C953" s="53" t="str">
        <f t="shared" si="4"/>
        <v>04/2022</v>
      </c>
      <c r="D953" s="99">
        <v>44676.0</v>
      </c>
      <c r="E953" s="55" t="s">
        <v>965</v>
      </c>
      <c r="F953" s="56"/>
      <c r="G953" s="57" t="s">
        <v>197</v>
      </c>
      <c r="H953" s="58" t="str">
        <f>IF(G953="","",VLOOKUP($G953,'Quy chuẩn hạch toán'!$B:$E,2,0))</f>
        <v>#N/A</v>
      </c>
      <c r="I953" s="58" t="str">
        <f>IF(H953="","",VLOOKUP($G953,'Quy chuẩn hạch toán'!$B:$E,3,0))</f>
        <v>#N/A</v>
      </c>
      <c r="J953" s="59">
        <v>2.15E9</v>
      </c>
      <c r="K953" s="60"/>
      <c r="L953" s="61"/>
      <c r="M953" s="62"/>
      <c r="N953" s="63"/>
      <c r="O953" s="64" t="str">
        <f>IF($Q953&lt;&gt;0,VLOOKUP($Q953,DM_KM,3,0),"")</f>
        <v>#N/A</v>
      </c>
      <c r="P953" s="64" t="str">
        <f>IF($Q953&lt;&gt;0,VLOOKUP($Q953,DM_KM,5,0),"")</f>
        <v>#N/A</v>
      </c>
      <c r="Q953" s="65" t="s">
        <v>198</v>
      </c>
      <c r="R953" s="64" t="str">
        <f>IF(S953&lt;&gt;0,VLOOKUP(S953,DM_DUAN,3,0),"")</f>
        <v>#N/A</v>
      </c>
      <c r="S953" s="66" t="str">
        <f>IF(U953&lt;&gt;0,VLOOKUP(U953,DM_DUAN,3,0),"")</f>
        <v>THANHNAM</v>
      </c>
      <c r="T953" s="64"/>
      <c r="U953" s="67" t="s">
        <v>530</v>
      </c>
      <c r="V953" s="64" t="str">
        <f>IF(W953&lt;&gt;0,VLOOKUP(W953,DM_DUAN,3,0),"")</f>
        <v>#N/A</v>
      </c>
      <c r="W953" s="83" t="s">
        <v>964</v>
      </c>
      <c r="X953" s="64" t="str">
        <f>IF(Y953&lt;&gt;0,VLOOKUP(Y953,DM_DUAN,3,0),"")</f>
        <v>#N/A</v>
      </c>
      <c r="Y953" s="69" t="s">
        <v>176</v>
      </c>
      <c r="Z953" s="64" t="str">
        <f>IF(AA953&lt;&gt;0,VLOOKUP(AA953,DM_DUAN,3,0),"")</f>
        <v>#N/A</v>
      </c>
      <c r="AA953" s="70" t="s">
        <v>183</v>
      </c>
      <c r="AB953" s="64" t="str">
        <f>IF(AC953&lt;&gt;0,VLOOKUP(AC953,DM_DUAN,3,0),"")</f>
        <v>#N/A</v>
      </c>
      <c r="AC953" s="70" t="s">
        <v>966</v>
      </c>
      <c r="AD953" s="64" t="str">
        <f>IF(AC953&lt;&gt;0,VLOOKUP(AC953,DM_NV,2,0),"")</f>
        <v>Vũ Thị Kim Anh</v>
      </c>
      <c r="AE953" s="68"/>
      <c r="AF953" s="64" t="str">
        <f>IF(AE953&lt;&gt;0,VLOOKUP(AE953,DM_NV,2,0),"")</f>
        <v/>
      </c>
    </row>
    <row r="954">
      <c r="A954" s="51"/>
      <c r="B954" s="52" t="str">
        <f>IF(D954="","",VLOOKUP(D954,'THAM CHIẾU'!$A:$B,2,0))</f>
        <v/>
      </c>
      <c r="C954" s="53" t="str">
        <f t="shared" si="4"/>
        <v/>
      </c>
      <c r="D954" s="99"/>
      <c r="E954" s="55"/>
      <c r="F954" s="56"/>
      <c r="G954" s="57"/>
      <c r="H954" s="58" t="str">
        <f>IF(G954="","",VLOOKUP($G954,'Quy chuẩn hạch toán'!$B:$E,2,0))</f>
        <v/>
      </c>
      <c r="I954" s="58" t="str">
        <f>IF(H954="","",VLOOKUP($G954,'Quy chuẩn hạch toán'!$B:$E,3,0))</f>
        <v/>
      </c>
      <c r="J954" s="95"/>
      <c r="K954" s="60"/>
      <c r="L954" s="61"/>
      <c r="M954" s="62"/>
      <c r="N954" s="63"/>
      <c r="O954" s="64" t="str">
        <f>IF($Q954&lt;&gt;0,VLOOKUP($Q954,DM_KM,3,0),"")</f>
        <v/>
      </c>
      <c r="P954" s="64" t="str">
        <f>IF($Q954&lt;&gt;0,VLOOKUP($Q954,DM_KM,5,0),"")</f>
        <v/>
      </c>
      <c r="Q954" s="65"/>
      <c r="R954" s="64" t="str">
        <f>IF(S954&lt;&gt;0,VLOOKUP(S954,DM_DUAN,3,0),"")</f>
        <v>#N/A</v>
      </c>
      <c r="S954" s="66" t="str">
        <f>IF(U954&lt;&gt;0,VLOOKUP(U954,DM_DUAN,3,0),"")</f>
        <v/>
      </c>
      <c r="T954" s="64"/>
      <c r="U954" s="67"/>
      <c r="V954" s="64" t="str">
        <f>IF(W954&lt;&gt;0,VLOOKUP(W954,DM_DUAN,3,0),"")</f>
        <v/>
      </c>
      <c r="W954" s="83"/>
      <c r="X954" s="64" t="str">
        <f>IF(Y954&lt;&gt;0,VLOOKUP(Y954,DM_DUAN,3,0),"")</f>
        <v/>
      </c>
      <c r="Y954" s="69"/>
      <c r="Z954" s="64" t="str">
        <f>IF(AA954&lt;&gt;0,VLOOKUP(AA954,DM_DUAN,3,0),"")</f>
        <v/>
      </c>
      <c r="AA954" s="70"/>
      <c r="AB954" s="64" t="str">
        <f>IF(AC954&lt;&gt;0,VLOOKUP(AC954,DM_DUAN,3,0),"")</f>
        <v/>
      </c>
      <c r="AC954" s="85"/>
      <c r="AD954" s="64" t="str">
        <f>IF(AC954&lt;&gt;0,VLOOKUP(AC954,DM_NV,2,0),"")</f>
        <v/>
      </c>
      <c r="AE954" s="68"/>
      <c r="AF954" s="64" t="str">
        <f>IF(AE954&lt;&gt;0,VLOOKUP(AE954,DM_NV,2,0),"")</f>
        <v/>
      </c>
    </row>
    <row r="955">
      <c r="A955" s="51"/>
      <c r="B955" s="52" t="str">
        <f>IF(D955="","",VLOOKUP(D955,'THAM CHIẾU'!$A:$B,2,0))</f>
        <v>#N/A</v>
      </c>
      <c r="C955" s="53" t="str">
        <f t="shared" si="4"/>
        <v>04/2022</v>
      </c>
      <c r="D955" s="99">
        <v>44676.0</v>
      </c>
      <c r="E955" s="55" t="s">
        <v>967</v>
      </c>
      <c r="F955" s="56"/>
      <c r="G955" s="57" t="s">
        <v>186</v>
      </c>
      <c r="H955" s="58" t="str">
        <f>IF(G955="","",VLOOKUP($G955,'Quy chuẩn hạch toán'!$B:$E,2,0))</f>
        <v>131</v>
      </c>
      <c r="I955" s="58" t="str">
        <f>IF(H955="","",VLOOKUP($G955,'Quy chuẩn hạch toán'!$B:$E,3,0))</f>
        <v>5113</v>
      </c>
      <c r="J955" s="59">
        <v>1.69E8</v>
      </c>
      <c r="K955" s="60"/>
      <c r="L955" s="61"/>
      <c r="M955" s="62"/>
      <c r="N955" s="63"/>
      <c r="O955" s="64" t="str">
        <f>IF($Q955&lt;&gt;0,VLOOKUP($Q955,DM_KM,3,0),"")</f>
        <v>511_TK</v>
      </c>
      <c r="P955" s="64">
        <f>IF($Q955&lt;&gt;0,VLOOKUP($Q955,DM_KM,5,0),"")</f>
        <v>511</v>
      </c>
      <c r="Q955" s="65" t="s">
        <v>187</v>
      </c>
      <c r="R955" s="64" t="str">
        <f>IF(S955&lt;&gt;0,VLOOKUP(S955,DM_DUAN,3,0),"")</f>
        <v>#N/A</v>
      </c>
      <c r="S955" s="66" t="str">
        <f>IF(U955&lt;&gt;0,VLOOKUP(U955,DM_DUAN,3,0),"")</f>
        <v>THANHNAM</v>
      </c>
      <c r="T955" s="64"/>
      <c r="U955" s="67" t="s">
        <v>530</v>
      </c>
      <c r="V955" s="64" t="str">
        <f>IF(W955&lt;&gt;0,VLOOKUP(W955,DM_DUAN,3,0),"")</f>
        <v>#N/A</v>
      </c>
      <c r="W955" s="83" t="s">
        <v>964</v>
      </c>
      <c r="X955" s="64" t="str">
        <f>IF(Y955&lt;&gt;0,VLOOKUP(Y955,DM_DUAN,3,0),"")</f>
        <v>#N/A</v>
      </c>
      <c r="Y955" s="69" t="s">
        <v>176</v>
      </c>
      <c r="Z955" s="64" t="str">
        <f>IF(AA955&lt;&gt;0,VLOOKUP(AA955,DM_DUAN,3,0),"")</f>
        <v>#N/A</v>
      </c>
      <c r="AA955" s="70" t="s">
        <v>183</v>
      </c>
      <c r="AB955" s="64" t="str">
        <f>IF(AC955&lt;&gt;0,VLOOKUP(AC955,DM_DUAN,3,0),"")</f>
        <v/>
      </c>
      <c r="AC955" s="85"/>
      <c r="AD955" s="64" t="str">
        <f>IF(AC955&lt;&gt;0,VLOOKUP(AC955,DM_NV,2,0),"")</f>
        <v/>
      </c>
      <c r="AE955" s="68"/>
      <c r="AF955" s="64" t="str">
        <f>IF(AE955&lt;&gt;0,VLOOKUP(AE955,DM_NV,2,0),"")</f>
        <v/>
      </c>
    </row>
    <row r="956">
      <c r="A956" s="51"/>
      <c r="B956" s="52" t="str">
        <f>IF(D956="","",VLOOKUP(D956,'THAM CHIẾU'!$A:$B,2,0))</f>
        <v>#N/A</v>
      </c>
      <c r="C956" s="53" t="str">
        <f t="shared" si="4"/>
        <v>04/2022</v>
      </c>
      <c r="D956" s="99">
        <v>44676.0</v>
      </c>
      <c r="E956" s="55" t="s">
        <v>968</v>
      </c>
      <c r="F956" s="56"/>
      <c r="G956" s="57" t="s">
        <v>189</v>
      </c>
      <c r="H956" s="58" t="str">
        <f>IF(G956="","",VLOOKUP($G956,'Quy chuẩn hạch toán'!$B:$E,2,0))</f>
        <v>154</v>
      </c>
      <c r="I956" s="58" t="str">
        <f>IF(H956="","",VLOOKUP($G956,'Quy chuẩn hạch toán'!$B:$E,3,0))</f>
        <v>3345</v>
      </c>
      <c r="J956" s="59">
        <v>4.8E7</v>
      </c>
      <c r="K956" s="60"/>
      <c r="L956" s="61"/>
      <c r="M956" s="62"/>
      <c r="N956" s="63"/>
      <c r="O956" s="64" t="str">
        <f>IF($Q956&lt;&gt;0,VLOOKUP($Q956,DM_KM,3,0),"")</f>
        <v>#N/A</v>
      </c>
      <c r="P956" s="64" t="str">
        <f>IF($Q956&lt;&gt;0,VLOOKUP($Q956,DM_KM,5,0),"")</f>
        <v>#N/A</v>
      </c>
      <c r="Q956" s="65" t="s">
        <v>190</v>
      </c>
      <c r="R956" s="64" t="str">
        <f>IF(S956&lt;&gt;0,VLOOKUP(S956,DM_DUAN,3,0),"")</f>
        <v>#N/A</v>
      </c>
      <c r="S956" s="66" t="str">
        <f>IF(U956&lt;&gt;0,VLOOKUP(U956,DM_DUAN,3,0),"")</f>
        <v>THANHNAM</v>
      </c>
      <c r="T956" s="64"/>
      <c r="U956" s="67" t="s">
        <v>530</v>
      </c>
      <c r="V956" s="64" t="str">
        <f>IF(W956&lt;&gt;0,VLOOKUP(W956,DM_DUAN,3,0),"")</f>
        <v>#N/A</v>
      </c>
      <c r="W956" s="83" t="s">
        <v>964</v>
      </c>
      <c r="X956" s="64" t="str">
        <f>IF(Y956&lt;&gt;0,VLOOKUP(Y956,DM_DUAN,3,0),"")</f>
        <v>#N/A</v>
      </c>
      <c r="Y956" s="69" t="s">
        <v>176</v>
      </c>
      <c r="Z956" s="64" t="str">
        <f>IF(AA956&lt;&gt;0,VLOOKUP(AA956,DM_DUAN,3,0),"")</f>
        <v>#N/A</v>
      </c>
      <c r="AA956" s="70" t="s">
        <v>183</v>
      </c>
      <c r="AB956" s="64" t="str">
        <f>IF(AC956&lt;&gt;0,VLOOKUP(AC956,DM_DUAN,3,0),"")</f>
        <v>#N/A</v>
      </c>
      <c r="AC956" s="70" t="s">
        <v>966</v>
      </c>
      <c r="AD956" s="64" t="str">
        <f>IF(AC956&lt;&gt;0,VLOOKUP(AC956,DM_NV,2,0),"")</f>
        <v>Vũ Thị Kim Anh</v>
      </c>
      <c r="AE956" s="68"/>
      <c r="AF956" s="64" t="str">
        <f>IF(AE956&lt;&gt;0,VLOOKUP(AE956,DM_NV,2,0),"")</f>
        <v/>
      </c>
    </row>
    <row r="957">
      <c r="A957" s="51"/>
      <c r="B957" s="52" t="str">
        <f>IF(D957="","",VLOOKUP(D957,'THAM CHIẾU'!$A:$B,2,0))</f>
        <v>#N/A</v>
      </c>
      <c r="C957" s="53" t="str">
        <f t="shared" si="4"/>
        <v>04/2022</v>
      </c>
      <c r="D957" s="99">
        <v>44676.0</v>
      </c>
      <c r="E957" s="55" t="s">
        <v>969</v>
      </c>
      <c r="F957" s="56"/>
      <c r="G957" s="57" t="s">
        <v>193</v>
      </c>
      <c r="H957" s="58" t="str">
        <f>IF(G957="","",VLOOKUP($G957,'Quy chuẩn hạch toán'!$B:$E,2,0))</f>
        <v>154</v>
      </c>
      <c r="I957" s="58" t="str">
        <f>IF(H957="","",VLOOKUP($G957,'Quy chuẩn hạch toán'!$B:$E,3,0))</f>
        <v>3344</v>
      </c>
      <c r="J957" s="59">
        <v>4500000.0</v>
      </c>
      <c r="K957" s="60"/>
      <c r="L957" s="61"/>
      <c r="M957" s="62"/>
      <c r="N957" s="63"/>
      <c r="O957" s="64" t="str">
        <f>IF($Q957&lt;&gt;0,VLOOKUP($Q957,DM_KM,3,0),"")</f>
        <v>#N/A</v>
      </c>
      <c r="P957" s="64" t="str">
        <f>IF($Q957&lt;&gt;0,VLOOKUP($Q957,DM_KM,5,0),"")</f>
        <v>#N/A</v>
      </c>
      <c r="Q957" s="65" t="s">
        <v>194</v>
      </c>
      <c r="R957" s="64" t="str">
        <f>IF(S957&lt;&gt;0,VLOOKUP(S957,DM_DUAN,3,0),"")</f>
        <v>#N/A</v>
      </c>
      <c r="S957" s="66" t="str">
        <f>IF(U957&lt;&gt;0,VLOOKUP(U957,DM_DUAN,3,0),"")</f>
        <v>THANHNAM</v>
      </c>
      <c r="T957" s="64"/>
      <c r="U957" s="67" t="s">
        <v>530</v>
      </c>
      <c r="V957" s="64" t="str">
        <f>IF(W957&lt;&gt;0,VLOOKUP(W957,DM_DUAN,3,0),"")</f>
        <v>#N/A</v>
      </c>
      <c r="W957" s="83" t="s">
        <v>964</v>
      </c>
      <c r="X957" s="64" t="str">
        <f>IF(Y957&lt;&gt;0,VLOOKUP(Y957,DM_DUAN,3,0),"")</f>
        <v>#N/A</v>
      </c>
      <c r="Y957" s="69" t="s">
        <v>176</v>
      </c>
      <c r="Z957" s="64" t="str">
        <f>IF(AA957&lt;&gt;0,VLOOKUP(AA957,DM_DUAN,3,0),"")</f>
        <v>#N/A</v>
      </c>
      <c r="AA957" s="70" t="s">
        <v>183</v>
      </c>
      <c r="AB957" s="64" t="str">
        <f>IF(AC957&lt;&gt;0,VLOOKUP(AC957,DM_DUAN,3,0),"")</f>
        <v>#N/A</v>
      </c>
      <c r="AC957" s="70" t="s">
        <v>232</v>
      </c>
      <c r="AD957" s="64" t="str">
        <f>IF(AC957&lt;&gt;0,VLOOKUP(AC957,DM_NV,2,0),"")</f>
        <v>Lê Quốc Tuấn</v>
      </c>
      <c r="AE957" s="68"/>
      <c r="AF957" s="64" t="str">
        <f>IF(AE957&lt;&gt;0,VLOOKUP(AE957,DM_NV,2,0),"")</f>
        <v/>
      </c>
    </row>
    <row r="958">
      <c r="A958" s="51"/>
      <c r="B958" s="52" t="str">
        <f>IF(D958="","",VLOOKUP(D958,'THAM CHIẾU'!$A:$B,2,0))</f>
        <v>#N/A</v>
      </c>
      <c r="C958" s="53" t="str">
        <f t="shared" si="4"/>
        <v>04/2022</v>
      </c>
      <c r="D958" s="99">
        <v>44676.0</v>
      </c>
      <c r="E958" s="55" t="s">
        <v>970</v>
      </c>
      <c r="F958" s="56"/>
      <c r="G958" s="57" t="s">
        <v>200</v>
      </c>
      <c r="H958" s="58" t="str">
        <f>IF(G958="","",VLOOKUP($G958,'Quy chuẩn hạch toán'!$B:$E,2,0))</f>
        <v>154</v>
      </c>
      <c r="I958" s="58" t="str">
        <f>IF(H958="","",VLOOKUP($G958,'Quy chuẩn hạch toán'!$B:$E,3,0))</f>
        <v>3343</v>
      </c>
      <c r="J958" s="59">
        <v>1000000.0</v>
      </c>
      <c r="K958" s="60"/>
      <c r="L958" s="61"/>
      <c r="M958" s="62"/>
      <c r="N958" s="63"/>
      <c r="O958" s="64" t="str">
        <f>IF($Q958&lt;&gt;0,VLOOKUP($Q958,DM_KM,3,0),"")</f>
        <v>#N/A</v>
      </c>
      <c r="P958" s="64" t="str">
        <f>IF($Q958&lt;&gt;0,VLOOKUP($Q958,DM_KM,5,0),"")</f>
        <v>#N/A</v>
      </c>
      <c r="Q958" s="65" t="s">
        <v>201</v>
      </c>
      <c r="R958" s="64" t="str">
        <f>IF(S958&lt;&gt;0,VLOOKUP(S958,DM_DUAN,3,0),"")</f>
        <v>#N/A</v>
      </c>
      <c r="S958" s="66" t="str">
        <f>IF(U958&lt;&gt;0,VLOOKUP(U958,DM_DUAN,3,0),"")</f>
        <v>THANHNAM</v>
      </c>
      <c r="T958" s="64"/>
      <c r="U958" s="67" t="s">
        <v>530</v>
      </c>
      <c r="V958" s="64" t="str">
        <f>IF(W958&lt;&gt;0,VLOOKUP(W958,DM_DUAN,3,0),"")</f>
        <v>#N/A</v>
      </c>
      <c r="W958" s="83" t="s">
        <v>964</v>
      </c>
      <c r="X958" s="64" t="str">
        <f>IF(Y958&lt;&gt;0,VLOOKUP(Y958,DM_DUAN,3,0),"")</f>
        <v>#N/A</v>
      </c>
      <c r="Y958" s="69" t="s">
        <v>176</v>
      </c>
      <c r="Z958" s="64" t="str">
        <f>IF(AA958&lt;&gt;0,VLOOKUP(AA958,DM_DUAN,3,0),"")</f>
        <v>#N/A</v>
      </c>
      <c r="AA958" s="70" t="s">
        <v>183</v>
      </c>
      <c r="AB958" s="64" t="str">
        <f>IF(AC958&lt;&gt;0,VLOOKUP(AC958,DM_DUAN,3,0),"")</f>
        <v/>
      </c>
      <c r="AC958" s="85"/>
      <c r="AD958" s="64" t="str">
        <f>IF(AC958&lt;&gt;0,VLOOKUP(AC958,DM_NV,2,0),"")</f>
        <v/>
      </c>
      <c r="AE958" s="68"/>
      <c r="AF958" s="64" t="str">
        <f>IF(AE958&lt;&gt;0,VLOOKUP(AE958,DM_NV,2,0),"")</f>
        <v/>
      </c>
    </row>
    <row r="959">
      <c r="A959" s="51"/>
      <c r="B959" s="52" t="str">
        <f>IF(D959="","",VLOOKUP(D959,'THAM CHIẾU'!$A:$B,2,0))</f>
        <v>#N/A</v>
      </c>
      <c r="C959" s="53" t="str">
        <f t="shared" si="4"/>
        <v>04/2022</v>
      </c>
      <c r="D959" s="99">
        <v>44676.0</v>
      </c>
      <c r="E959" s="55" t="s">
        <v>971</v>
      </c>
      <c r="F959" s="56"/>
      <c r="G959" s="90"/>
      <c r="H959" s="58" t="str">
        <f>IF(G959="","",VLOOKUP($G959,'Quy chuẩn hạch toán'!$B:$E,2,0))</f>
        <v/>
      </c>
      <c r="I959" s="58" t="str">
        <f>IF(H959="","",VLOOKUP($G959,'Quy chuẩn hạch toán'!$B:$E,3,0))</f>
        <v/>
      </c>
      <c r="J959" s="59">
        <v>1.28E7</v>
      </c>
      <c r="K959" s="60"/>
      <c r="L959" s="61"/>
      <c r="M959" s="62"/>
      <c r="N959" s="63"/>
      <c r="O959" s="64" t="str">
        <f>IF($Q959&lt;&gt;0,VLOOKUP($Q959,DM_KM,3,0),"")</f>
        <v>#N/A</v>
      </c>
      <c r="P959" s="64" t="str">
        <f>IF($Q959&lt;&gt;0,VLOOKUP($Q959,DM_KM,5,0),"")</f>
        <v>#N/A</v>
      </c>
      <c r="Q959" s="65" t="s">
        <v>203</v>
      </c>
      <c r="R959" s="64" t="str">
        <f>IF(S959&lt;&gt;0,VLOOKUP(S959,DM_DUAN,3,0),"")</f>
        <v>#N/A</v>
      </c>
      <c r="S959" s="66" t="str">
        <f>IF(U959&lt;&gt;0,VLOOKUP(U959,DM_DUAN,3,0),"")</f>
        <v>THANHNAM</v>
      </c>
      <c r="T959" s="64"/>
      <c r="U959" s="67" t="s">
        <v>530</v>
      </c>
      <c r="V959" s="64" t="str">
        <f>IF(W959&lt;&gt;0,VLOOKUP(W959,DM_DUAN,3,0),"")</f>
        <v>#N/A</v>
      </c>
      <c r="W959" s="83" t="s">
        <v>964</v>
      </c>
      <c r="X959" s="64" t="str">
        <f>IF(Y959&lt;&gt;0,VLOOKUP(Y959,DM_DUAN,3,0),"")</f>
        <v>#N/A</v>
      </c>
      <c r="Y959" s="69" t="s">
        <v>176</v>
      </c>
      <c r="Z959" s="64" t="str">
        <f>IF(AA959&lt;&gt;0,VLOOKUP(AA959,DM_DUAN,3,0),"")</f>
        <v>#N/A</v>
      </c>
      <c r="AA959" s="70" t="s">
        <v>183</v>
      </c>
      <c r="AB959" s="64" t="str">
        <f>IF(AC959&lt;&gt;0,VLOOKUP(AC959,DM_DUAN,3,0),"")</f>
        <v/>
      </c>
      <c r="AC959" s="85"/>
      <c r="AD959" s="64" t="str">
        <f>IF(AC959&lt;&gt;0,VLOOKUP(AC959,DM_NV,2,0),"")</f>
        <v/>
      </c>
      <c r="AE959" s="68"/>
      <c r="AF959" s="64" t="str">
        <f>IF(AE959&lt;&gt;0,VLOOKUP(AE959,DM_NV,2,0),"")</f>
        <v/>
      </c>
    </row>
    <row r="960">
      <c r="A960" s="51"/>
      <c r="B960" s="52" t="str">
        <f>IF(D960="","",VLOOKUP(D960,'THAM CHIẾU'!$A:$B,2,0))</f>
        <v>#N/A</v>
      </c>
      <c r="C960" s="53" t="str">
        <f t="shared" si="4"/>
        <v>04/2022</v>
      </c>
      <c r="D960" s="99">
        <v>44677.0</v>
      </c>
      <c r="E960" s="55" t="s">
        <v>972</v>
      </c>
      <c r="F960" s="56"/>
      <c r="G960" s="57" t="s">
        <v>275</v>
      </c>
      <c r="H960" s="58" t="str">
        <f>IF(G960="","",VLOOKUP($G960,'Quy chuẩn hạch toán'!$B:$E,2,0))</f>
        <v>3341</v>
      </c>
      <c r="I960" s="58" t="str">
        <f>IF(H960="","",VLOOKUP($G960,'Quy chuẩn hạch toán'!$B:$E,3,0))</f>
        <v>1111</v>
      </c>
      <c r="J960" s="59">
        <v>1.7325E7</v>
      </c>
      <c r="K960" s="60"/>
      <c r="L960" s="61"/>
      <c r="M960" s="62"/>
      <c r="N960" s="63"/>
      <c r="O960" s="64" t="str">
        <f>IF($Q960&lt;&gt;0,VLOOKUP($Q960,DM_KM,3,0),"")</f>
        <v/>
      </c>
      <c r="P960" s="64" t="str">
        <f>IF($Q960&lt;&gt;0,VLOOKUP($Q960,DM_KM,5,0),"")</f>
        <v/>
      </c>
      <c r="Q960" s="89"/>
      <c r="R960" s="64" t="str">
        <f>IF(S960&lt;&gt;0,VLOOKUP(S960,DM_DUAN,3,0),"")</f>
        <v>#N/A</v>
      </c>
      <c r="S960" s="66" t="str">
        <f>IF(U960&lt;&gt;0,VLOOKUP(U960,DM_DUAN,3,0),"")</f>
        <v>KIMCUONGLAND</v>
      </c>
      <c r="T960" s="64"/>
      <c r="U960" s="67" t="s">
        <v>638</v>
      </c>
      <c r="V960" s="64" t="str">
        <f>IF(W960&lt;&gt;0,VLOOKUP(W960,DM_DUAN,3,0),"")</f>
        <v>#N/A</v>
      </c>
      <c r="W960" s="83" t="s">
        <v>894</v>
      </c>
      <c r="X960" s="64" t="str">
        <f>IF(Y960&lt;&gt;0,VLOOKUP(Y960,DM_DUAN,3,0),"")</f>
        <v>#N/A</v>
      </c>
      <c r="Y960" s="69" t="s">
        <v>176</v>
      </c>
      <c r="Z960" s="64" t="str">
        <f>IF(AA960&lt;&gt;0,VLOOKUP(AA960,DM_DUAN,3,0),"")</f>
        <v>#N/A</v>
      </c>
      <c r="AA960" s="70" t="s">
        <v>177</v>
      </c>
      <c r="AB960" s="64" t="str">
        <f>IF(AC960&lt;&gt;0,VLOOKUP(AC960,DM_DUAN,3,0),"")</f>
        <v>#N/A</v>
      </c>
      <c r="AC960" s="70" t="s">
        <v>791</v>
      </c>
      <c r="AD960" s="64" t="str">
        <f>IF(AC960&lt;&gt;0,VLOOKUP(AC960,DM_NV,2,0),"")</f>
        <v>Hồ Thị Thuý An</v>
      </c>
      <c r="AE960" s="83" t="s">
        <v>276</v>
      </c>
      <c r="AF960" s="64" t="str">
        <f>IF(AE960&lt;&gt;0,VLOOKUP(AE960,DM_NV,2,0),"")</f>
        <v>#N/A</v>
      </c>
    </row>
    <row r="961">
      <c r="A961" s="51"/>
      <c r="B961" s="52" t="str">
        <f>IF(D961="","",VLOOKUP(D961,'THAM CHIẾU'!$A:$B,2,0))</f>
        <v>#N/A</v>
      </c>
      <c r="C961" s="53" t="str">
        <f t="shared" si="4"/>
        <v>04/2022</v>
      </c>
      <c r="D961" s="99">
        <v>44677.0</v>
      </c>
      <c r="E961" s="55" t="s">
        <v>897</v>
      </c>
      <c r="F961" s="56"/>
      <c r="G961" s="100" t="s">
        <v>278</v>
      </c>
      <c r="H961" s="58" t="str">
        <f>IF(G961="","",VLOOKUP($G961,'Quy chuẩn hạch toán'!$B:$E,2,0))</f>
        <v>154</v>
      </c>
      <c r="I961" s="58" t="str">
        <f>IF(H961="","",VLOOKUP($G961,'Quy chuẩn hạch toán'!$B:$E,3,0))</f>
        <v>1111</v>
      </c>
      <c r="J961" s="59">
        <v>1000000.0</v>
      </c>
      <c r="K961" s="60"/>
      <c r="L961" s="61"/>
      <c r="M961" s="62"/>
      <c r="N961" s="63"/>
      <c r="O961" s="64"/>
      <c r="P961" s="64"/>
      <c r="Q961" s="89"/>
      <c r="R961" s="64"/>
      <c r="S961" s="66"/>
      <c r="T961" s="64"/>
      <c r="U961" s="67" t="s">
        <v>638</v>
      </c>
      <c r="V961" s="64"/>
      <c r="W961" s="83" t="s">
        <v>894</v>
      </c>
      <c r="X961" s="64"/>
      <c r="Y961" s="69" t="s">
        <v>176</v>
      </c>
      <c r="Z961" s="64"/>
      <c r="AA961" s="70" t="s">
        <v>177</v>
      </c>
      <c r="AB961" s="64"/>
      <c r="AC961" s="70"/>
      <c r="AD961" s="64" t="str">
        <f>IF(AC961&lt;&gt;0,VLOOKUP(AC961,DM_NV,2,0),"")</f>
        <v/>
      </c>
      <c r="AE961" s="83" t="s">
        <v>263</v>
      </c>
      <c r="AF961" s="64" t="str">
        <f>IF(AE961&lt;&gt;0,VLOOKUP(AE961,DM_NV,2,0),"")</f>
        <v>#N/A</v>
      </c>
    </row>
    <row r="962">
      <c r="A962" s="51"/>
      <c r="B962" s="52" t="str">
        <f>IF(D962="","",VLOOKUP(D962,'THAM CHIẾU'!$A:$B,2,0))</f>
        <v>#N/A</v>
      </c>
      <c r="C962" s="53" t="str">
        <f t="shared" si="4"/>
        <v>04/2022</v>
      </c>
      <c r="D962" s="99">
        <v>44677.0</v>
      </c>
      <c r="E962" s="55" t="s">
        <v>973</v>
      </c>
      <c r="F962" s="56"/>
      <c r="G962" s="57" t="s">
        <v>275</v>
      </c>
      <c r="H962" s="58" t="str">
        <f>IF(G962="","",VLOOKUP($G962,'Quy chuẩn hạch toán'!$B:$E,2,0))</f>
        <v>3341</v>
      </c>
      <c r="I962" s="58" t="str">
        <f>IF(H962="","",VLOOKUP($G962,'Quy chuẩn hạch toán'!$B:$E,3,0))</f>
        <v>1111</v>
      </c>
      <c r="J962" s="59">
        <v>2.6145E7</v>
      </c>
      <c r="K962" s="60"/>
      <c r="L962" s="61"/>
      <c r="M962" s="62"/>
      <c r="N962" s="63"/>
      <c r="O962" s="64" t="str">
        <f>IF($Q962&lt;&gt;0,VLOOKUP($Q962,DM_KM,3,0),"")</f>
        <v/>
      </c>
      <c r="P962" s="64" t="str">
        <f>IF($Q962&lt;&gt;0,VLOOKUP($Q962,DM_KM,5,0),"")</f>
        <v/>
      </c>
      <c r="Q962" s="89"/>
      <c r="R962" s="64" t="str">
        <f>IF(S962&lt;&gt;0,VLOOKUP(S962,DM_DUAN,3,0),"")</f>
        <v>#N/A</v>
      </c>
      <c r="S962" s="66" t="str">
        <f>IF(U962&lt;&gt;0,VLOOKUP(U962,DM_DUAN,3,0),"")</f>
        <v>KIMCUONGLAND</v>
      </c>
      <c r="T962" s="64"/>
      <c r="U962" s="67" t="s">
        <v>636</v>
      </c>
      <c r="V962" s="64" t="str">
        <f>IF(W962&lt;&gt;0,VLOOKUP(W962,DM_DUAN,3,0),"")</f>
        <v>#N/A</v>
      </c>
      <c r="W962" s="83" t="s">
        <v>949</v>
      </c>
      <c r="X962" s="64" t="str">
        <f>IF(Y962&lt;&gt;0,VLOOKUP(Y962,DM_DUAN,3,0),"")</f>
        <v>#N/A</v>
      </c>
      <c r="Y962" s="69" t="s">
        <v>176</v>
      </c>
      <c r="Z962" s="64" t="str">
        <f>IF(AA962&lt;&gt;0,VLOOKUP(AA962,DM_DUAN,3,0),"")</f>
        <v>#N/A</v>
      </c>
      <c r="AA962" s="70" t="s">
        <v>183</v>
      </c>
      <c r="AB962" s="64" t="str">
        <f>IF(AC962&lt;&gt;0,VLOOKUP(AC962,DM_DUAN,3,0),"")</f>
        <v>#N/A</v>
      </c>
      <c r="AC962" s="70" t="s">
        <v>388</v>
      </c>
      <c r="AD962" s="64" t="str">
        <f>IF(AC962&lt;&gt;0,VLOOKUP(AC962,DM_NV,2,0),"")</f>
        <v>Lâm Hồ Tiểu Ngọc</v>
      </c>
      <c r="AE962" s="83" t="s">
        <v>276</v>
      </c>
      <c r="AF962" s="64" t="str">
        <f>IF(AE962&lt;&gt;0,VLOOKUP(AE962,DM_NV,2,0),"")</f>
        <v>#N/A</v>
      </c>
    </row>
    <row r="963">
      <c r="A963" s="51"/>
      <c r="B963" s="52" t="str">
        <f>IF(D963="","",VLOOKUP(D963,'THAM CHIẾU'!$A:$B,2,0))</f>
        <v>#N/A</v>
      </c>
      <c r="C963" s="53" t="str">
        <f t="shared" si="4"/>
        <v>04/2022</v>
      </c>
      <c r="D963" s="99">
        <v>44677.0</v>
      </c>
      <c r="E963" s="79" t="s">
        <v>974</v>
      </c>
      <c r="F963" s="80"/>
      <c r="G963" s="100" t="s">
        <v>278</v>
      </c>
      <c r="H963" s="58" t="str">
        <f>IF(G963="","",VLOOKUP($G963,'Quy chuẩn hạch toán'!$B:$E,2,0))</f>
        <v>154</v>
      </c>
      <c r="I963" s="58" t="str">
        <f>IF(H963="","",VLOOKUP($G963,'Quy chuẩn hạch toán'!$B:$E,3,0))</f>
        <v>1111</v>
      </c>
      <c r="J963" s="101">
        <v>1000000.0</v>
      </c>
      <c r="K963" s="60"/>
      <c r="L963" s="61"/>
      <c r="M963" s="62"/>
      <c r="N963" s="63"/>
      <c r="O963" s="64"/>
      <c r="P963" s="64"/>
      <c r="Q963" s="65"/>
      <c r="R963" s="64"/>
      <c r="S963" s="66"/>
      <c r="T963" s="64"/>
      <c r="U963" s="67" t="s">
        <v>636</v>
      </c>
      <c r="V963" s="64"/>
      <c r="W963" s="83" t="s">
        <v>949</v>
      </c>
      <c r="X963" s="64"/>
      <c r="Y963" s="69" t="s">
        <v>176</v>
      </c>
      <c r="Z963" s="64"/>
      <c r="AA963" s="70" t="s">
        <v>183</v>
      </c>
      <c r="AB963" s="64"/>
      <c r="AC963" s="70"/>
      <c r="AD963" s="64" t="str">
        <f>IF(AC963&lt;&gt;0,VLOOKUP(AC963,DM_NV,2,0),"")</f>
        <v/>
      </c>
      <c r="AE963" s="83" t="s">
        <v>263</v>
      </c>
      <c r="AF963" s="64" t="str">
        <f>IF(AE963&lt;&gt;0,VLOOKUP(AE963,DM_NV,2,0),"")</f>
        <v>#N/A</v>
      </c>
    </row>
    <row r="964">
      <c r="A964" s="51"/>
      <c r="B964" s="52" t="str">
        <f>IF(D964="","",VLOOKUP(D964,'THAM CHIẾU'!$A:$B,2,0))</f>
        <v>#N/A</v>
      </c>
      <c r="C964" s="53" t="str">
        <f t="shared" si="4"/>
        <v>04/2022</v>
      </c>
      <c r="D964" s="99">
        <v>44677.0</v>
      </c>
      <c r="E964" s="55" t="s">
        <v>975</v>
      </c>
      <c r="F964" s="56"/>
      <c r="G964" s="57" t="s">
        <v>282</v>
      </c>
      <c r="H964" s="58" t="str">
        <f>IF(G964="","",VLOOKUP($G964,'Quy chuẩn hạch toán'!$B:$E,2,0))</f>
        <v>1111</v>
      </c>
      <c r="I964" s="58" t="str">
        <f>IF(H964="","",VLOOKUP($G964,'Quy chuẩn hạch toán'!$B:$E,3,0))</f>
        <v>131</v>
      </c>
      <c r="J964" s="59">
        <v>1.3952E8</v>
      </c>
      <c r="K964" s="60"/>
      <c r="L964" s="61"/>
      <c r="M964" s="62"/>
      <c r="N964" s="63"/>
      <c r="O964" s="64" t="str">
        <f>IF($Q964&lt;&gt;0,VLOOKUP($Q964,DM_KM,3,0),"")</f>
        <v/>
      </c>
      <c r="P964" s="64" t="str">
        <f>IF($Q964&lt;&gt;0,VLOOKUP($Q964,DM_KM,5,0),"")</f>
        <v/>
      </c>
      <c r="Q964" s="89"/>
      <c r="R964" s="64" t="str">
        <f>IF(S964&lt;&gt;0,VLOOKUP(S964,DM_DUAN,3,0),"")</f>
        <v>#N/A</v>
      </c>
      <c r="S964" s="66" t="str">
        <f>IF(U964&lt;&gt;0,VLOOKUP(U964,DM_DUAN,3,0),"")</f>
        <v>KIMCUONGLAND</v>
      </c>
      <c r="T964" s="64"/>
      <c r="U964" s="67" t="s">
        <v>636</v>
      </c>
      <c r="V964" s="64" t="str">
        <f>IF(W964&lt;&gt;0,VLOOKUP(W964,DM_DUAN,3,0),"")</f>
        <v>#N/A</v>
      </c>
      <c r="W964" s="83" t="s">
        <v>949</v>
      </c>
      <c r="X964" s="64" t="str">
        <f>IF(Y964&lt;&gt;0,VLOOKUP(Y964,DM_DUAN,3,0),"")</f>
        <v>#N/A</v>
      </c>
      <c r="Y964" s="69" t="s">
        <v>176</v>
      </c>
      <c r="Z964" s="64" t="str">
        <f>IF(AA964&lt;&gt;0,VLOOKUP(AA964,DM_DUAN,3,0),"")</f>
        <v>#N/A</v>
      </c>
      <c r="AA964" s="70" t="s">
        <v>183</v>
      </c>
      <c r="AB964" s="64" t="str">
        <f>IF(AC964&lt;&gt;0,VLOOKUP(AC964,DM_DUAN,3,0),"")</f>
        <v/>
      </c>
      <c r="AC964" s="85"/>
      <c r="AD964" s="64" t="str">
        <f>IF(AC964&lt;&gt;0,VLOOKUP(AC964,DM_NV,2,0),"")</f>
        <v/>
      </c>
      <c r="AE964" s="68"/>
      <c r="AF964" s="64" t="str">
        <f>IF(AE964&lt;&gt;0,VLOOKUP(AE964,DM_NV,2,0),"")</f>
        <v/>
      </c>
    </row>
    <row r="965">
      <c r="A965" s="51"/>
      <c r="B965" s="52" t="str">
        <f>IF(D965="","",VLOOKUP(D965,'THAM CHIẾU'!$A:$B,2,0))</f>
        <v>#N/A</v>
      </c>
      <c r="C965" s="53" t="str">
        <f t="shared" si="4"/>
        <v>04/2022</v>
      </c>
      <c r="D965" s="99">
        <v>44677.0</v>
      </c>
      <c r="E965" s="55" t="s">
        <v>976</v>
      </c>
      <c r="F965" s="56"/>
      <c r="G965" s="57" t="s">
        <v>280</v>
      </c>
      <c r="H965" s="58" t="str">
        <f>IF(G965="","",VLOOKUP($G965,'Quy chuẩn hạch toán'!$B:$E,2,0))</f>
        <v>521</v>
      </c>
      <c r="I965" s="58" t="str">
        <f>IF(H965="","",VLOOKUP($G965,'Quy chuẩn hạch toán'!$B:$E,3,0))</f>
        <v>1111</v>
      </c>
      <c r="J965" s="59">
        <v>7400000.0</v>
      </c>
      <c r="K965" s="60"/>
      <c r="L965" s="61"/>
      <c r="M965" s="62"/>
      <c r="N965" s="63"/>
      <c r="O965" s="64" t="str">
        <f>IF($Q965&lt;&gt;0,VLOOKUP($Q965,DM_KM,3,0),"")</f>
        <v/>
      </c>
      <c r="P965" s="64" t="str">
        <f>IF($Q965&lt;&gt;0,VLOOKUP($Q965,DM_KM,5,0),"")</f>
        <v/>
      </c>
      <c r="Q965" s="65"/>
      <c r="R965" s="64" t="str">
        <f>IF(S965&lt;&gt;0,VLOOKUP(S965,DM_DUAN,3,0),"")</f>
        <v>#N/A</v>
      </c>
      <c r="S965" s="66" t="str">
        <f>IF(U965&lt;&gt;0,VLOOKUP(U965,DM_DUAN,3,0),"")</f>
        <v>KIMCUONGLAND</v>
      </c>
      <c r="T965" s="64"/>
      <c r="U965" s="67" t="s">
        <v>636</v>
      </c>
      <c r="V965" s="64" t="str">
        <f>IF(W965&lt;&gt;0,VLOOKUP(W965,DM_DUAN,3,0),"")</f>
        <v>#N/A</v>
      </c>
      <c r="W965" s="83" t="s">
        <v>913</v>
      </c>
      <c r="X965" s="64" t="str">
        <f>IF(Y965&lt;&gt;0,VLOOKUP(Y965,DM_DUAN,3,0),"")</f>
        <v>#N/A</v>
      </c>
      <c r="Y965" s="69" t="s">
        <v>176</v>
      </c>
      <c r="Z965" s="64" t="str">
        <f>IF(AA965&lt;&gt;0,VLOOKUP(AA965,DM_DUAN,3,0),"")</f>
        <v>#N/A</v>
      </c>
      <c r="AA965" s="70" t="s">
        <v>183</v>
      </c>
      <c r="AB965" s="64" t="str">
        <f>IF(AC965&lt;&gt;0,VLOOKUP(AC965,DM_DUAN,3,0),"")</f>
        <v/>
      </c>
      <c r="AC965" s="85"/>
      <c r="AD965" s="64" t="str">
        <f>IF(AC965&lt;&gt;0,VLOOKUP(AC965,DM_NV,2,0),"")</f>
        <v/>
      </c>
      <c r="AE965" s="83" t="s">
        <v>181</v>
      </c>
      <c r="AF965" s="64" t="str">
        <f>IF(AE965&lt;&gt;0,VLOOKUP(AE965,DM_NV,2,0),"")</f>
        <v>#N/A</v>
      </c>
    </row>
    <row r="966">
      <c r="A966" s="51"/>
      <c r="B966" s="52" t="str">
        <f>IF(D966="","",VLOOKUP(D966,'THAM CHIẾU'!$A:$B,2,0))</f>
        <v>#N/A</v>
      </c>
      <c r="C966" s="53" t="str">
        <f t="shared" si="4"/>
        <v>04/2022</v>
      </c>
      <c r="D966" s="99">
        <v>44677.0</v>
      </c>
      <c r="E966" s="55" t="s">
        <v>977</v>
      </c>
      <c r="F966" s="56"/>
      <c r="G966" s="57" t="s">
        <v>275</v>
      </c>
      <c r="H966" s="58" t="str">
        <f>IF(G966="","",VLOOKUP($G966,'Quy chuẩn hạch toán'!$B:$E,2,0))</f>
        <v>3341</v>
      </c>
      <c r="I966" s="58" t="str">
        <f>IF(H966="","",VLOOKUP($G966,'Quy chuẩn hạch toán'!$B:$E,3,0))</f>
        <v>1111</v>
      </c>
      <c r="J966" s="59">
        <v>2.2995E7</v>
      </c>
      <c r="K966" s="60"/>
      <c r="L966" s="61"/>
      <c r="M966" s="62"/>
      <c r="N966" s="63"/>
      <c r="O966" s="64" t="str">
        <f>IF($Q966&lt;&gt;0,VLOOKUP($Q966,DM_KM,3,0),"")</f>
        <v/>
      </c>
      <c r="P966" s="64" t="str">
        <f>IF($Q966&lt;&gt;0,VLOOKUP($Q966,DM_KM,5,0),"")</f>
        <v/>
      </c>
      <c r="Q966" s="89"/>
      <c r="R966" s="64" t="str">
        <f>IF(S966&lt;&gt;0,VLOOKUP(S966,DM_DUAN,3,0),"")</f>
        <v>#N/A</v>
      </c>
      <c r="S966" s="66" t="str">
        <f>IF(U966&lt;&gt;0,VLOOKUP(U966,DM_DUAN,3,0),"")</f>
        <v>KIMCUONGLAND</v>
      </c>
      <c r="T966" s="64"/>
      <c r="U966" s="67" t="s">
        <v>636</v>
      </c>
      <c r="V966" s="64" t="str">
        <f>IF(W966&lt;&gt;0,VLOOKUP(W966,DM_DUAN,3,0),"")</f>
        <v>#N/A</v>
      </c>
      <c r="W966" s="83" t="s">
        <v>913</v>
      </c>
      <c r="X966" s="64" t="str">
        <f>IF(Y966&lt;&gt;0,VLOOKUP(Y966,DM_DUAN,3,0),"")</f>
        <v>#N/A</v>
      </c>
      <c r="Y966" s="69" t="s">
        <v>176</v>
      </c>
      <c r="Z966" s="64" t="str">
        <f>IF(AA966&lt;&gt;0,VLOOKUP(AA966,DM_DUAN,3,0),"")</f>
        <v>#N/A</v>
      </c>
      <c r="AA966" s="70" t="s">
        <v>183</v>
      </c>
      <c r="AB966" s="64" t="str">
        <f>IF(AC966&lt;&gt;0,VLOOKUP(AC966,DM_DUAN,3,0),"")</f>
        <v>#N/A</v>
      </c>
      <c r="AC966" s="70" t="s">
        <v>406</v>
      </c>
      <c r="AD966" s="64" t="str">
        <f>IF(AC966&lt;&gt;0,VLOOKUP(AC966,DM_NV,2,0),"")</f>
        <v>Bùi Thị Yến Nhi</v>
      </c>
      <c r="AE966" s="83" t="s">
        <v>276</v>
      </c>
      <c r="AF966" s="64" t="str">
        <f>IF(AE966&lt;&gt;0,VLOOKUP(AE966,DM_NV,2,0),"")</f>
        <v>#N/A</v>
      </c>
    </row>
    <row r="967">
      <c r="A967" s="51"/>
      <c r="B967" s="52" t="str">
        <f>IF(D967="","",VLOOKUP(D967,'THAM CHIẾU'!$A:$B,2,0))</f>
        <v>#N/A</v>
      </c>
      <c r="C967" s="53" t="str">
        <f t="shared" si="4"/>
        <v>04/2022</v>
      </c>
      <c r="D967" s="99">
        <v>44677.0</v>
      </c>
      <c r="E967" s="79" t="s">
        <v>978</v>
      </c>
      <c r="F967" s="80"/>
      <c r="G967" s="100" t="s">
        <v>278</v>
      </c>
      <c r="H967" s="58" t="str">
        <f>IF(G967="","",VLOOKUP($G967,'Quy chuẩn hạch toán'!$B:$E,2,0))</f>
        <v>154</v>
      </c>
      <c r="I967" s="58" t="str">
        <f>IF(H967="","",VLOOKUP($G967,'Quy chuẩn hạch toán'!$B:$E,3,0))</f>
        <v>1111</v>
      </c>
      <c r="J967" s="101">
        <v>1000000.0</v>
      </c>
      <c r="K967" s="60"/>
      <c r="L967" s="61"/>
      <c r="M967" s="62"/>
      <c r="N967" s="63"/>
      <c r="O967" s="64" t="str">
        <f>IF($Q967&lt;&gt;0,VLOOKUP($Q967,DM_KM,3,0),"")</f>
        <v/>
      </c>
      <c r="P967" s="64" t="str">
        <f>IF($Q967&lt;&gt;0,VLOOKUP($Q967,DM_KM,5,0),"")</f>
        <v/>
      </c>
      <c r="Q967" s="65"/>
      <c r="R967" s="64"/>
      <c r="S967" s="66"/>
      <c r="T967" s="64"/>
      <c r="U967" s="67" t="s">
        <v>636</v>
      </c>
      <c r="V967" s="64"/>
      <c r="W967" s="83" t="s">
        <v>913</v>
      </c>
      <c r="X967" s="64"/>
      <c r="Y967" s="69" t="s">
        <v>176</v>
      </c>
      <c r="Z967" s="64"/>
      <c r="AA967" s="70" t="s">
        <v>183</v>
      </c>
      <c r="AB967" s="64"/>
      <c r="AC967" s="70"/>
      <c r="AD967" s="64" t="str">
        <f>IF(AC967&lt;&gt;0,VLOOKUP(AC967,DM_NV,2,0),"")</f>
        <v/>
      </c>
      <c r="AE967" s="83" t="s">
        <v>263</v>
      </c>
      <c r="AF967" s="64" t="str">
        <f>IF(AE967&lt;&gt;0,VLOOKUP(AE967,DM_NV,2,0),"")</f>
        <v>#N/A</v>
      </c>
    </row>
    <row r="968">
      <c r="A968" s="51"/>
      <c r="B968" s="52"/>
      <c r="C968" s="53" t="str">
        <f t="shared" si="4"/>
        <v>04/2022</v>
      </c>
      <c r="D968" s="99">
        <v>44677.0</v>
      </c>
      <c r="E968" s="55" t="s">
        <v>979</v>
      </c>
      <c r="F968" s="56"/>
      <c r="G968" s="57" t="s">
        <v>282</v>
      </c>
      <c r="H968" s="58" t="str">
        <f>IF(G968="","",VLOOKUP($G968,'Quy chuẩn hạch toán'!$B:$E,2,0))</f>
        <v>1111</v>
      </c>
      <c r="I968" s="58" t="str">
        <f>IF(H968="","",VLOOKUP($G968,'Quy chuẩn hạch toán'!$B:$E,3,0))</f>
        <v>131</v>
      </c>
      <c r="J968" s="59">
        <v>1.0392E8</v>
      </c>
      <c r="K968" s="60"/>
      <c r="L968" s="61"/>
      <c r="M968" s="62"/>
      <c r="N968" s="63"/>
      <c r="O968" s="64" t="str">
        <f>IF($Q968&lt;&gt;0,VLOOKUP($Q968,DM_KM,3,0),"")</f>
        <v/>
      </c>
      <c r="P968" s="64" t="str">
        <f>IF($Q968&lt;&gt;0,VLOOKUP($Q968,DM_KM,5,0),"")</f>
        <v/>
      </c>
      <c r="Q968" s="89"/>
      <c r="R968" s="64" t="str">
        <f>IF(S968&lt;&gt;0,VLOOKUP(S968,DM_DUAN,3,0),"")</f>
        <v>#N/A</v>
      </c>
      <c r="S968" s="66" t="str">
        <f>IF(U968&lt;&gt;0,VLOOKUP(U968,DM_DUAN,3,0),"")</f>
        <v>KIMCUONGLAND</v>
      </c>
      <c r="T968" s="64"/>
      <c r="U968" s="67" t="s">
        <v>636</v>
      </c>
      <c r="V968" s="64" t="str">
        <f>IF(W968&lt;&gt;0,VLOOKUP(W968,DM_DUAN,3,0),"")</f>
        <v>#N/A</v>
      </c>
      <c r="W968" s="83" t="s">
        <v>913</v>
      </c>
      <c r="X968" s="64" t="str">
        <f>IF(Y968&lt;&gt;0,VLOOKUP(Y968,DM_DUAN,3,0),"")</f>
        <v>#N/A</v>
      </c>
      <c r="Y968" s="69" t="s">
        <v>176</v>
      </c>
      <c r="Z968" s="64" t="str">
        <f>IF(AA968&lt;&gt;0,VLOOKUP(AA968,DM_DUAN,3,0),"")</f>
        <v>#N/A</v>
      </c>
      <c r="AA968" s="70" t="s">
        <v>183</v>
      </c>
      <c r="AB968" s="64" t="str">
        <f>IF(AC968&lt;&gt;0,VLOOKUP(AC968,DM_DUAN,3,0),"")</f>
        <v/>
      </c>
      <c r="AC968" s="85"/>
      <c r="AD968" s="64" t="str">
        <f>IF(AC968&lt;&gt;0,VLOOKUP(AC968,DM_NV,2,0),"")</f>
        <v/>
      </c>
      <c r="AE968" s="68"/>
      <c r="AF968" s="64" t="str">
        <f>IF(AE968&lt;&gt;0,VLOOKUP(AE968,DM_NV,2,0),"")</f>
        <v/>
      </c>
    </row>
    <row r="969">
      <c r="A969" s="51"/>
      <c r="B969" s="52" t="str">
        <f>IF(D969="","",VLOOKUP(D969,'THAM CHIẾU'!$A:$B,2,0))</f>
        <v>#N/A</v>
      </c>
      <c r="C969" s="53" t="str">
        <f t="shared" si="4"/>
        <v>04/2022</v>
      </c>
      <c r="D969" s="99">
        <v>44677.0</v>
      </c>
      <c r="E969" s="55" t="s">
        <v>980</v>
      </c>
      <c r="F969" s="56"/>
      <c r="G969" s="57" t="s">
        <v>733</v>
      </c>
      <c r="H969" s="58" t="str">
        <f>IF(G969="","",VLOOKUP($G969,'Quy chuẩn hạch toán'!$B:$E,2,0))</f>
        <v>154</v>
      </c>
      <c r="I969" s="58" t="str">
        <f>IF(H969="","",VLOOKUP($G969,'Quy chuẩn hạch toán'!$B:$E,3,0))</f>
        <v>3342</v>
      </c>
      <c r="J969" s="59">
        <v>1440000.0</v>
      </c>
      <c r="K969" s="60"/>
      <c r="L969" s="61"/>
      <c r="M969" s="62"/>
      <c r="N969" s="63"/>
      <c r="O969" s="64" t="str">
        <f>IF($Q969&lt;&gt;0,VLOOKUP($Q969,DM_KM,3,0),"")</f>
        <v/>
      </c>
      <c r="P969" s="64" t="str">
        <f>IF($Q969&lt;&gt;0,VLOOKUP($Q969,DM_KM,5,0),"")</f>
        <v/>
      </c>
      <c r="Q969" s="65"/>
      <c r="R969" s="64" t="str">
        <f>IF(S969&lt;&gt;0,VLOOKUP(S969,DM_DUAN,3,0),"")</f>
        <v>#N/A</v>
      </c>
      <c r="S969" s="66" t="str">
        <f>IF(U969&lt;&gt;0,VLOOKUP(U969,DM_DUAN,3,0),"")</f>
        <v>KIMCUONGLAND</v>
      </c>
      <c r="T969" s="64"/>
      <c r="U969" s="67" t="s">
        <v>638</v>
      </c>
      <c r="V969" s="64" t="str">
        <f>IF(W969&lt;&gt;0,VLOOKUP(W969,DM_DUAN,3,0),"")</f>
        <v>#N/A</v>
      </c>
      <c r="W969" s="83" t="s">
        <v>926</v>
      </c>
      <c r="X969" s="64" t="str">
        <f>IF(Y969&lt;&gt;0,VLOOKUP(Y969,DM_DUAN,3,0),"")</f>
        <v>#N/A</v>
      </c>
      <c r="Y969" s="69" t="s">
        <v>176</v>
      </c>
      <c r="Z969" s="64" t="str">
        <f>IF(AA969&lt;&gt;0,VLOOKUP(AA969,DM_DUAN,3,0),"")</f>
        <v>#N/A</v>
      </c>
      <c r="AA969" s="70" t="s">
        <v>177</v>
      </c>
      <c r="AB969" s="64" t="str">
        <f>IF(AC969&lt;&gt;0,VLOOKUP(AC969,DM_DUAN,3,0),"")</f>
        <v>#N/A</v>
      </c>
      <c r="AC969" s="70" t="s">
        <v>791</v>
      </c>
      <c r="AD969" s="64" t="str">
        <f>IF(AC969&lt;&gt;0,VLOOKUP(AC969,DM_NV,2,0),"")</f>
        <v>Hồ Thị Thuý An</v>
      </c>
      <c r="AE969" s="68"/>
      <c r="AF969" s="64" t="str">
        <f>IF(AE969&lt;&gt;0,VLOOKUP(AE969,DM_NV,2,0),"")</f>
        <v/>
      </c>
    </row>
    <row r="970">
      <c r="A970" s="51"/>
      <c r="B970" s="52" t="str">
        <f>IF(D970="","",VLOOKUP(D970,'THAM CHIẾU'!$A:$B,2,0))</f>
        <v>#N/A</v>
      </c>
      <c r="C970" s="53" t="str">
        <f t="shared" si="4"/>
        <v>04/2022</v>
      </c>
      <c r="D970" s="99">
        <v>44677.0</v>
      </c>
      <c r="E970" s="55" t="s">
        <v>981</v>
      </c>
      <c r="F970" s="56"/>
      <c r="G970" s="57" t="s">
        <v>275</v>
      </c>
      <c r="H970" s="58" t="str">
        <f>IF(G970="","",VLOOKUP($G970,'Quy chuẩn hạch toán'!$B:$E,2,0))</f>
        <v>3341</v>
      </c>
      <c r="I970" s="58" t="str">
        <f>IF(H970="","",VLOOKUP($G970,'Quy chuẩn hạch toán'!$B:$E,3,0))</f>
        <v>1111</v>
      </c>
      <c r="J970" s="59">
        <v>1.98E7</v>
      </c>
      <c r="K970" s="60"/>
      <c r="L970" s="61"/>
      <c r="M970" s="62"/>
      <c r="N970" s="63"/>
      <c r="O970" s="64" t="str">
        <f>IF($Q970&lt;&gt;0,VLOOKUP($Q970,DM_KM,3,0),"")</f>
        <v/>
      </c>
      <c r="P970" s="64" t="str">
        <f>IF($Q970&lt;&gt;0,VLOOKUP($Q970,DM_KM,5,0),"")</f>
        <v/>
      </c>
      <c r="Q970" s="89"/>
      <c r="R970" s="64" t="str">
        <f>IF(S970&lt;&gt;0,VLOOKUP(S970,DM_DUAN,3,0),"")</f>
        <v>#N/A</v>
      </c>
      <c r="S970" s="66" t="str">
        <f>IF(U970&lt;&gt;0,VLOOKUP(U970,DM_DUAN,3,0),"")</f>
        <v>KIMCUONGLAND</v>
      </c>
      <c r="T970" s="64"/>
      <c r="U970" s="67" t="s">
        <v>638</v>
      </c>
      <c r="V970" s="64" t="str">
        <f>IF(W970&lt;&gt;0,VLOOKUP(W970,DM_DUAN,3,0),"")</f>
        <v>#N/A</v>
      </c>
      <c r="W970" s="83" t="s">
        <v>926</v>
      </c>
      <c r="X970" s="64" t="str">
        <f>IF(Y970&lt;&gt;0,VLOOKUP(Y970,DM_DUAN,3,0),"")</f>
        <v>#N/A</v>
      </c>
      <c r="Y970" s="69" t="s">
        <v>176</v>
      </c>
      <c r="Z970" s="64" t="str">
        <f>IF(AA970&lt;&gt;0,VLOOKUP(AA970,DM_DUAN,3,0),"")</f>
        <v>#N/A</v>
      </c>
      <c r="AA970" s="70" t="s">
        <v>177</v>
      </c>
      <c r="AB970" s="64" t="str">
        <f>IF(AC970&lt;&gt;0,VLOOKUP(AC970,DM_DUAN,3,0),"")</f>
        <v>#N/A</v>
      </c>
      <c r="AC970" s="70" t="s">
        <v>791</v>
      </c>
      <c r="AD970" s="64" t="str">
        <f>IF(AC970&lt;&gt;0,VLOOKUP(AC970,DM_NV,2,0),"")</f>
        <v>Hồ Thị Thuý An</v>
      </c>
      <c r="AE970" s="83" t="s">
        <v>276</v>
      </c>
      <c r="AF970" s="64" t="str">
        <f>IF(AE970&lt;&gt;0,VLOOKUP(AE970,DM_NV,2,0),"")</f>
        <v>#N/A</v>
      </c>
    </row>
    <row r="971">
      <c r="A971" s="51"/>
      <c r="B971" s="52" t="str">
        <f>IF(D971="","",VLOOKUP(D971,'THAM CHIẾU'!$A:$B,2,0))</f>
        <v>#N/A</v>
      </c>
      <c r="C971" s="53" t="str">
        <f t="shared" si="4"/>
        <v>04/2022</v>
      </c>
      <c r="D971" s="99">
        <v>44677.0</v>
      </c>
      <c r="E971" s="55" t="s">
        <v>982</v>
      </c>
      <c r="F971" s="56"/>
      <c r="G971" s="100" t="s">
        <v>278</v>
      </c>
      <c r="H971" s="58" t="str">
        <f>IF(G971="","",VLOOKUP($G971,'Quy chuẩn hạch toán'!$B:$E,2,0))</f>
        <v>154</v>
      </c>
      <c r="I971" s="58" t="str">
        <f>IF(H971="","",VLOOKUP($G971,'Quy chuẩn hạch toán'!$B:$E,3,0))</f>
        <v>1111</v>
      </c>
      <c r="J971" s="59">
        <v>1000000.0</v>
      </c>
      <c r="K971" s="60"/>
      <c r="L971" s="61"/>
      <c r="M971" s="62"/>
      <c r="N971" s="63"/>
      <c r="O971" s="64" t="str">
        <f>IF($Q971&lt;&gt;0,VLOOKUP($Q971,DM_KM,3,0),"")</f>
        <v/>
      </c>
      <c r="P971" s="64" t="str">
        <f>IF($Q971&lt;&gt;0,VLOOKUP($Q971,DM_KM,5,0),"")</f>
        <v/>
      </c>
      <c r="Q971" s="65"/>
      <c r="R971" s="64" t="str">
        <f>IF(S971&lt;&gt;0,VLOOKUP(S971,DM_DUAN,3,0),"")</f>
        <v>#N/A</v>
      </c>
      <c r="S971" s="66" t="str">
        <f>IF(U971&lt;&gt;0,VLOOKUP(U971,DM_DUAN,3,0),"")</f>
        <v>KIMCUONGLAND</v>
      </c>
      <c r="T971" s="64"/>
      <c r="U971" s="67" t="s">
        <v>638</v>
      </c>
      <c r="V971" s="64" t="str">
        <f>IF(W971&lt;&gt;0,VLOOKUP(W971,DM_DUAN,3,0),"")</f>
        <v>#N/A</v>
      </c>
      <c r="W971" s="83" t="s">
        <v>926</v>
      </c>
      <c r="X971" s="64" t="str">
        <f>IF(Y971&lt;&gt;0,VLOOKUP(Y971,DM_DUAN,3,0),"")</f>
        <v>#N/A</v>
      </c>
      <c r="Y971" s="69" t="s">
        <v>176</v>
      </c>
      <c r="Z971" s="64" t="str">
        <f>IF(AA971&lt;&gt;0,VLOOKUP(AA971,DM_DUAN,3,0),"")</f>
        <v>#N/A</v>
      </c>
      <c r="AA971" s="70" t="s">
        <v>177</v>
      </c>
      <c r="AB971" s="64" t="str">
        <f>IF(AC971&lt;&gt;0,VLOOKUP(AC971,DM_DUAN,3,0),"")</f>
        <v/>
      </c>
      <c r="AC971" s="70"/>
      <c r="AD971" s="64" t="str">
        <f>IF(AC971&lt;&gt;0,VLOOKUP(AC971,DM_NV,2,0),"")</f>
        <v/>
      </c>
      <c r="AE971" s="83" t="s">
        <v>263</v>
      </c>
      <c r="AF971" s="64" t="str">
        <f>IF(AE971&lt;&gt;0,VLOOKUP(AE971,DM_NV,2,0),"")</f>
        <v>#N/A</v>
      </c>
    </row>
    <row r="972">
      <c r="A972" s="51"/>
      <c r="B972" s="52" t="str">
        <f>IF(D972="","",VLOOKUP(D972,'THAM CHIẾU'!$A:$B,2,0))</f>
        <v>#N/A</v>
      </c>
      <c r="C972" s="53" t="str">
        <f t="shared" si="4"/>
        <v>04/2022</v>
      </c>
      <c r="D972" s="99">
        <v>44677.0</v>
      </c>
      <c r="E972" s="55" t="s">
        <v>983</v>
      </c>
      <c r="F972" s="56"/>
      <c r="G972" s="57" t="s">
        <v>733</v>
      </c>
      <c r="H972" s="58" t="str">
        <f>IF(G972="","",VLOOKUP($G972,'Quy chuẩn hạch toán'!$B:$E,2,0))</f>
        <v>154</v>
      </c>
      <c r="I972" s="58" t="str">
        <f>IF(H972="","",VLOOKUP($G972,'Quy chuẩn hạch toán'!$B:$E,3,0))</f>
        <v>3342</v>
      </c>
      <c r="J972" s="59">
        <v>1440000.0</v>
      </c>
      <c r="K972" s="60"/>
      <c r="L972" s="61"/>
      <c r="M972" s="62"/>
      <c r="N972" s="63"/>
      <c r="O972" s="64"/>
      <c r="P972" s="64"/>
      <c r="Q972" s="89"/>
      <c r="R972" s="64"/>
      <c r="S972" s="66"/>
      <c r="T972" s="64"/>
      <c r="U972" s="67" t="s">
        <v>638</v>
      </c>
      <c r="V972" s="64"/>
      <c r="W972" s="83" t="s">
        <v>933</v>
      </c>
      <c r="X972" s="64"/>
      <c r="Y972" s="69" t="s">
        <v>176</v>
      </c>
      <c r="Z972" s="64"/>
      <c r="AA972" s="70" t="s">
        <v>177</v>
      </c>
      <c r="AB972" s="64"/>
      <c r="AC972" s="70" t="s">
        <v>791</v>
      </c>
      <c r="AD972" s="64" t="str">
        <f>IF(AC972&lt;&gt;0,VLOOKUP(AC972,DM_NV,2,0),"")</f>
        <v>Hồ Thị Thuý An</v>
      </c>
      <c r="AE972" s="83"/>
      <c r="AF972" s="64" t="str">
        <f>IF(AE972&lt;&gt;0,VLOOKUP(AE972,DM_NV,2,0),"")</f>
        <v/>
      </c>
    </row>
    <row r="973">
      <c r="A973" s="51"/>
      <c r="B973" s="52" t="str">
        <f>IF(D973="","",VLOOKUP(D973,'THAM CHIẾU'!$A:$B,2,0))</f>
        <v>#N/A</v>
      </c>
      <c r="C973" s="53" t="str">
        <f t="shared" si="4"/>
        <v>04/2022</v>
      </c>
      <c r="D973" s="99">
        <v>44677.0</v>
      </c>
      <c r="E973" s="55" t="s">
        <v>984</v>
      </c>
      <c r="F973" s="56"/>
      <c r="G973" s="57" t="s">
        <v>275</v>
      </c>
      <c r="H973" s="58" t="str">
        <f>IF(G973="","",VLOOKUP($G973,'Quy chuẩn hạch toán'!$B:$E,2,0))</f>
        <v>3341</v>
      </c>
      <c r="I973" s="58" t="str">
        <f>IF(H973="","",VLOOKUP($G973,'Quy chuẩn hạch toán'!$B:$E,3,0))</f>
        <v>1111</v>
      </c>
      <c r="J973" s="59">
        <v>1.98E7</v>
      </c>
      <c r="K973" s="60"/>
      <c r="L973" s="61"/>
      <c r="M973" s="62"/>
      <c r="N973" s="63"/>
      <c r="O973" s="64" t="str">
        <f>IF($Q973&lt;&gt;0,VLOOKUP($Q973,DM_KM,3,0),"")</f>
        <v/>
      </c>
      <c r="P973" s="64" t="str">
        <f>IF($Q973&lt;&gt;0,VLOOKUP($Q973,DM_KM,5,0),"")</f>
        <v/>
      </c>
      <c r="Q973" s="89"/>
      <c r="R973" s="64" t="str">
        <f>IF(S973&lt;&gt;0,VLOOKUP(S973,DM_DUAN,3,0),"")</f>
        <v>#N/A</v>
      </c>
      <c r="S973" s="66" t="str">
        <f>IF(U973&lt;&gt;0,VLOOKUP(U973,DM_DUAN,3,0),"")</f>
        <v>KIMCUONGLAND</v>
      </c>
      <c r="T973" s="64"/>
      <c r="U973" s="67" t="s">
        <v>638</v>
      </c>
      <c r="V973" s="64" t="str">
        <f>IF(W973&lt;&gt;0,VLOOKUP(W973,DM_DUAN,3,0),"")</f>
        <v>#N/A</v>
      </c>
      <c r="W973" s="83" t="s">
        <v>933</v>
      </c>
      <c r="X973" s="64" t="str">
        <f>IF(Y973&lt;&gt;0,VLOOKUP(Y973,DM_DUAN,3,0),"")</f>
        <v>#N/A</v>
      </c>
      <c r="Y973" s="69" t="s">
        <v>176</v>
      </c>
      <c r="Z973" s="64" t="str">
        <f>IF(AA973&lt;&gt;0,VLOOKUP(AA973,DM_DUAN,3,0),"")</f>
        <v>#N/A</v>
      </c>
      <c r="AA973" s="70" t="s">
        <v>177</v>
      </c>
      <c r="AB973" s="64" t="str">
        <f>IF(AC973&lt;&gt;0,VLOOKUP(AC973,DM_DUAN,3,0),"")</f>
        <v>#N/A</v>
      </c>
      <c r="AC973" s="70" t="s">
        <v>791</v>
      </c>
      <c r="AD973" s="64" t="str">
        <f>IF(AC973&lt;&gt;0,VLOOKUP(AC973,DM_NV,2,0),"")</f>
        <v>Hồ Thị Thuý An</v>
      </c>
      <c r="AE973" s="83" t="s">
        <v>276</v>
      </c>
      <c r="AF973" s="64" t="str">
        <f>IF(AE973&lt;&gt;0,VLOOKUP(AE973,DM_NV,2,0),"")</f>
        <v>#N/A</v>
      </c>
    </row>
    <row r="974">
      <c r="A974" s="51"/>
      <c r="B974" s="52" t="str">
        <f>IF(D974="","",VLOOKUP(D974,'THAM CHIẾU'!$A:$B,2,0))</f>
        <v>#N/A</v>
      </c>
      <c r="C974" s="53" t="str">
        <f t="shared" si="4"/>
        <v>04/2022</v>
      </c>
      <c r="D974" s="99">
        <v>44677.0</v>
      </c>
      <c r="E974" s="55" t="s">
        <v>985</v>
      </c>
      <c r="F974" s="56"/>
      <c r="G974" s="57" t="s">
        <v>200</v>
      </c>
      <c r="H974" s="58" t="str">
        <f>IF(G974="","",VLOOKUP($G974,'Quy chuẩn hạch toán'!$B:$E,2,0))</f>
        <v>154</v>
      </c>
      <c r="I974" s="58" t="str">
        <f>IF(H974="","",VLOOKUP($G974,'Quy chuẩn hạch toán'!$B:$E,3,0))</f>
        <v>3343</v>
      </c>
      <c r="J974" s="59">
        <v>1000000.0</v>
      </c>
      <c r="K974" s="60"/>
      <c r="L974" s="61"/>
      <c r="M974" s="62"/>
      <c r="N974" s="63"/>
      <c r="O974" s="64"/>
      <c r="P974" s="64"/>
      <c r="Q974" s="89"/>
      <c r="R974" s="64"/>
      <c r="S974" s="66"/>
      <c r="T974" s="64"/>
      <c r="U974" s="67" t="s">
        <v>638</v>
      </c>
      <c r="V974" s="64"/>
      <c r="W974" s="83" t="s">
        <v>933</v>
      </c>
      <c r="X974" s="64"/>
      <c r="Y974" s="69" t="s">
        <v>176</v>
      </c>
      <c r="Z974" s="64"/>
      <c r="AA974" s="70" t="s">
        <v>177</v>
      </c>
      <c r="AB974" s="64"/>
      <c r="AC974" s="70"/>
      <c r="AD974" s="64" t="str">
        <f>IF(AC974&lt;&gt;0,VLOOKUP(AC974,DM_NV,2,0),"")</f>
        <v/>
      </c>
      <c r="AE974" s="83"/>
      <c r="AF974" s="64" t="str">
        <f>IF(AE974&lt;&gt;0,VLOOKUP(AE974,DM_NV,2,0),"")</f>
        <v/>
      </c>
    </row>
    <row r="975">
      <c r="A975" s="51"/>
      <c r="B975" s="52" t="str">
        <f>IF(D975="","",VLOOKUP(D975,'THAM CHIẾU'!$A:$B,2,0))</f>
        <v>#N/A</v>
      </c>
      <c r="C975" s="53" t="str">
        <f t="shared" si="4"/>
        <v>04/2022</v>
      </c>
      <c r="D975" s="99">
        <v>44677.0</v>
      </c>
      <c r="E975" s="55" t="s">
        <v>986</v>
      </c>
      <c r="F975" s="56"/>
      <c r="G975" s="57" t="s">
        <v>282</v>
      </c>
      <c r="H975" s="58" t="str">
        <f>IF(G975="","",VLOOKUP($G975,'Quy chuẩn hạch toán'!$B:$E,2,0))</f>
        <v>1111</v>
      </c>
      <c r="I975" s="58" t="str">
        <f>IF(H975="","",VLOOKUP($G975,'Quy chuẩn hạch toán'!$B:$E,3,0))</f>
        <v>131</v>
      </c>
      <c r="J975" s="59">
        <v>8.5E7</v>
      </c>
      <c r="K975" s="60"/>
      <c r="L975" s="61"/>
      <c r="M975" s="62"/>
      <c r="N975" s="63"/>
      <c r="O975" s="64" t="str">
        <f>IF($Q975&lt;&gt;0,VLOOKUP($Q975,DM_KM,3,0),"")</f>
        <v/>
      </c>
      <c r="P975" s="64" t="str">
        <f>IF($Q975&lt;&gt;0,VLOOKUP($Q975,DM_KM,5,0),"")</f>
        <v/>
      </c>
      <c r="Q975" s="89"/>
      <c r="R975" s="64" t="str">
        <f>IF(S975&lt;&gt;0,VLOOKUP(S975,DM_DUAN,3,0),"")</f>
        <v>#N/A</v>
      </c>
      <c r="S975" s="66" t="str">
        <f>IF(U975&lt;&gt;0,VLOOKUP(U975,DM_DUAN,3,0),"")</f>
        <v>KIMCUONGLAND</v>
      </c>
      <c r="T975" s="64"/>
      <c r="U975" s="67" t="s">
        <v>638</v>
      </c>
      <c r="V975" s="64" t="str">
        <f>IF(W975&lt;&gt;0,VLOOKUP(W975,DM_DUAN,3,0),"")</f>
        <v>#N/A</v>
      </c>
      <c r="W975" s="83" t="s">
        <v>933</v>
      </c>
      <c r="X975" s="64" t="str">
        <f>IF(Y975&lt;&gt;0,VLOOKUP(Y975,DM_DUAN,3,0),"")</f>
        <v>#N/A</v>
      </c>
      <c r="Y975" s="69" t="s">
        <v>176</v>
      </c>
      <c r="Z975" s="64" t="str">
        <f>IF(AA975&lt;&gt;0,VLOOKUP(AA975,DM_DUAN,3,0),"")</f>
        <v>#N/A</v>
      </c>
      <c r="AA975" s="70" t="s">
        <v>177</v>
      </c>
      <c r="AB975" s="64" t="str">
        <f>IF(AC975&lt;&gt;0,VLOOKUP(AC975,DM_DUAN,3,0),"")</f>
        <v/>
      </c>
      <c r="AC975" s="85"/>
      <c r="AD975" s="64" t="str">
        <f>IF(AC975&lt;&gt;0,VLOOKUP(AC975,DM_NV,2,0),"")</f>
        <v/>
      </c>
      <c r="AE975" s="83" t="s">
        <v>276</v>
      </c>
      <c r="AF975" s="64" t="str">
        <f>IF(AE975&lt;&gt;0,VLOOKUP(AE975,DM_NV,2,0),"")</f>
        <v>#N/A</v>
      </c>
    </row>
    <row r="976">
      <c r="A976" s="51"/>
      <c r="B976" s="52" t="str">
        <f>IF(D976="","",VLOOKUP(D976,'THAM CHIẾU'!$A:$B,2,0))</f>
        <v>#N/A</v>
      </c>
      <c r="C976" s="53" t="str">
        <f t="shared" si="4"/>
        <v>04/2022</v>
      </c>
      <c r="D976" s="99">
        <v>44677.0</v>
      </c>
      <c r="E976" s="55" t="s">
        <v>987</v>
      </c>
      <c r="F976" s="56"/>
      <c r="G976" s="57" t="s">
        <v>733</v>
      </c>
      <c r="H976" s="58" t="str">
        <f>IF(G976="","",VLOOKUP($G976,'Quy chuẩn hạch toán'!$B:$E,2,0))</f>
        <v>154</v>
      </c>
      <c r="I976" s="58" t="str">
        <f>IF(H976="","",VLOOKUP($G976,'Quy chuẩn hạch toán'!$B:$E,3,0))</f>
        <v>3342</v>
      </c>
      <c r="J976" s="59">
        <v>1440000.0</v>
      </c>
      <c r="K976" s="60"/>
      <c r="L976" s="61"/>
      <c r="M976" s="62"/>
      <c r="N976" s="63"/>
      <c r="O976" s="64"/>
      <c r="P976" s="64"/>
      <c r="Q976" s="65"/>
      <c r="R976" s="64"/>
      <c r="S976" s="66"/>
      <c r="T976" s="64"/>
      <c r="U976" s="67" t="s">
        <v>638</v>
      </c>
      <c r="V976" s="64"/>
      <c r="W976" s="83" t="s">
        <v>940</v>
      </c>
      <c r="X976" s="64"/>
      <c r="Y976" s="69" t="s">
        <v>176</v>
      </c>
      <c r="Z976" s="64"/>
      <c r="AA976" s="70" t="s">
        <v>177</v>
      </c>
      <c r="AB976" s="64"/>
      <c r="AC976" s="70" t="s">
        <v>791</v>
      </c>
      <c r="AD976" s="64" t="str">
        <f>IF(AC976&lt;&gt;0,VLOOKUP(AC976,DM_NV,2,0),"")</f>
        <v>Hồ Thị Thuý An</v>
      </c>
      <c r="AE976" s="68"/>
      <c r="AF976" s="64" t="str">
        <f>IF(AE976&lt;&gt;0,VLOOKUP(AE976,DM_NV,2,0),"")</f>
        <v/>
      </c>
    </row>
    <row r="977">
      <c r="A977" s="51"/>
      <c r="B977" s="52" t="str">
        <f>IF(D977="","",VLOOKUP(D977,'THAM CHIẾU'!$A:$B,2,0))</f>
        <v>#N/A</v>
      </c>
      <c r="C977" s="53" t="str">
        <f t="shared" si="4"/>
        <v>04/2022</v>
      </c>
      <c r="D977" s="99">
        <v>44677.0</v>
      </c>
      <c r="E977" s="55" t="s">
        <v>988</v>
      </c>
      <c r="F977" s="56"/>
      <c r="G977" s="57" t="s">
        <v>275</v>
      </c>
      <c r="H977" s="58" t="str">
        <f>IF(G977="","",VLOOKUP($G977,'Quy chuẩn hạch toán'!$B:$E,2,0))</f>
        <v>3341</v>
      </c>
      <c r="I977" s="58" t="str">
        <f>IF(H977="","",VLOOKUP($G977,'Quy chuẩn hạch toán'!$B:$E,3,0))</f>
        <v>1111</v>
      </c>
      <c r="J977" s="59">
        <v>1.98E7</v>
      </c>
      <c r="K977" s="60"/>
      <c r="L977" s="61"/>
      <c r="M977" s="62"/>
      <c r="N977" s="63"/>
      <c r="O977" s="64" t="str">
        <f>IF($Q977&lt;&gt;0,VLOOKUP($Q977,DM_KM,3,0),"")</f>
        <v/>
      </c>
      <c r="P977" s="64" t="str">
        <f>IF($Q977&lt;&gt;0,VLOOKUP($Q977,DM_KM,5,0),"")</f>
        <v/>
      </c>
      <c r="Q977" s="89"/>
      <c r="R977" s="64" t="str">
        <f>IF(S977&lt;&gt;0,VLOOKUP(S977,DM_DUAN,3,0),"")</f>
        <v>#N/A</v>
      </c>
      <c r="S977" s="66" t="str">
        <f>IF(U977&lt;&gt;0,VLOOKUP(U977,DM_DUAN,3,0),"")</f>
        <v>KIMCUONGLAND</v>
      </c>
      <c r="T977" s="64"/>
      <c r="U977" s="67" t="s">
        <v>638</v>
      </c>
      <c r="V977" s="64" t="str">
        <f>IF(W977&lt;&gt;0,VLOOKUP(W977,DM_DUAN,3,0),"")</f>
        <v>#N/A</v>
      </c>
      <c r="W977" s="83" t="s">
        <v>940</v>
      </c>
      <c r="X977" s="64" t="str">
        <f>IF(Y977&lt;&gt;0,VLOOKUP(Y977,DM_DUAN,3,0),"")</f>
        <v>#N/A</v>
      </c>
      <c r="Y977" s="69" t="s">
        <v>176</v>
      </c>
      <c r="Z977" s="64" t="str">
        <f>IF(AA977&lt;&gt;0,VLOOKUP(AA977,DM_DUAN,3,0),"")</f>
        <v>#N/A</v>
      </c>
      <c r="AA977" s="70" t="s">
        <v>177</v>
      </c>
      <c r="AB977" s="64" t="str">
        <f>IF(AC977&lt;&gt;0,VLOOKUP(AC977,DM_DUAN,3,0),"")</f>
        <v>#N/A</v>
      </c>
      <c r="AC977" s="70" t="s">
        <v>791</v>
      </c>
      <c r="AD977" s="64" t="str">
        <f>IF(AC977&lt;&gt;0,VLOOKUP(AC977,DM_NV,2,0),"")</f>
        <v>Hồ Thị Thuý An</v>
      </c>
      <c r="AE977" s="83" t="s">
        <v>276</v>
      </c>
      <c r="AF977" s="64" t="str">
        <f>IF(AE977&lt;&gt;0,VLOOKUP(AE977,DM_NV,2,0),"")</f>
        <v>#N/A</v>
      </c>
    </row>
    <row r="978">
      <c r="A978" s="51"/>
      <c r="B978" s="52"/>
      <c r="C978" s="53" t="str">
        <f t="shared" si="4"/>
        <v>04/2022</v>
      </c>
      <c r="D978" s="99">
        <v>44677.0</v>
      </c>
      <c r="E978" s="55" t="s">
        <v>989</v>
      </c>
      <c r="F978" s="56"/>
      <c r="G978" s="100" t="s">
        <v>278</v>
      </c>
      <c r="H978" s="58" t="str">
        <f>IF(G978="","",VLOOKUP($G978,'Quy chuẩn hạch toán'!$B:$E,2,0))</f>
        <v>154</v>
      </c>
      <c r="I978" s="58" t="str">
        <f>IF(H978="","",VLOOKUP($G978,'Quy chuẩn hạch toán'!$B:$E,3,0))</f>
        <v>1111</v>
      </c>
      <c r="J978" s="59">
        <v>1000000.0</v>
      </c>
      <c r="K978" s="60"/>
      <c r="L978" s="61"/>
      <c r="M978" s="62"/>
      <c r="N978" s="63"/>
      <c r="O978" s="64"/>
      <c r="P978" s="64"/>
      <c r="Q978" s="65"/>
      <c r="R978" s="64"/>
      <c r="S978" s="66"/>
      <c r="T978" s="64"/>
      <c r="U978" s="67" t="s">
        <v>638</v>
      </c>
      <c r="V978" s="64"/>
      <c r="W978" s="83" t="s">
        <v>940</v>
      </c>
      <c r="X978" s="64"/>
      <c r="Y978" s="69" t="s">
        <v>176</v>
      </c>
      <c r="Z978" s="64"/>
      <c r="AA978" s="70" t="s">
        <v>177</v>
      </c>
      <c r="AB978" s="64"/>
      <c r="AC978" s="70"/>
      <c r="AD978" s="64" t="str">
        <f>IF(AC978&lt;&gt;0,VLOOKUP(AC978,DM_NV,2,0),"")</f>
        <v/>
      </c>
      <c r="AE978" s="83" t="s">
        <v>263</v>
      </c>
      <c r="AF978" s="64" t="str">
        <f>IF(AE978&lt;&gt;0,VLOOKUP(AE978,DM_NV,2,0),"")</f>
        <v>#N/A</v>
      </c>
    </row>
    <row r="979">
      <c r="A979" s="51"/>
      <c r="B979" s="52"/>
      <c r="C979" s="53" t="str">
        <f t="shared" si="4"/>
        <v>04/2022</v>
      </c>
      <c r="D979" s="99">
        <v>44677.0</v>
      </c>
      <c r="E979" s="55" t="s">
        <v>990</v>
      </c>
      <c r="F979" s="56"/>
      <c r="G979" s="57" t="s">
        <v>282</v>
      </c>
      <c r="H979" s="58" t="str">
        <f>IF(G979="","",VLOOKUP($G979,'Quy chuẩn hạch toán'!$B:$E,2,0))</f>
        <v>1111</v>
      </c>
      <c r="I979" s="58" t="str">
        <f>IF(H979="","",VLOOKUP($G979,'Quy chuẩn hạch toán'!$B:$E,3,0))</f>
        <v>131</v>
      </c>
      <c r="J979" s="59">
        <v>8.5E7</v>
      </c>
      <c r="K979" s="60"/>
      <c r="L979" s="61"/>
      <c r="M979" s="62"/>
      <c r="N979" s="63"/>
      <c r="O979" s="64" t="str">
        <f>IF($Q979&lt;&gt;0,VLOOKUP($Q979,DM_KM,3,0),"")</f>
        <v/>
      </c>
      <c r="P979" s="64" t="str">
        <f>IF($Q979&lt;&gt;0,VLOOKUP($Q979,DM_KM,5,0),"")</f>
        <v/>
      </c>
      <c r="Q979" s="89"/>
      <c r="R979" s="64" t="str">
        <f>IF(S979&lt;&gt;0,VLOOKUP(S979,DM_DUAN,3,0),"")</f>
        <v>#N/A</v>
      </c>
      <c r="S979" s="66" t="str">
        <f>IF(U979&lt;&gt;0,VLOOKUP(U979,DM_DUAN,3,0),"")</f>
        <v>KIMCUONGLAND</v>
      </c>
      <c r="T979" s="64"/>
      <c r="U979" s="67" t="s">
        <v>638</v>
      </c>
      <c r="V979" s="64" t="str">
        <f>IF(W979&lt;&gt;0,VLOOKUP(W979,DM_DUAN,3,0),"")</f>
        <v>#N/A</v>
      </c>
      <c r="W979" s="83" t="s">
        <v>940</v>
      </c>
      <c r="X979" s="64" t="str">
        <f>IF(Y979&lt;&gt;0,VLOOKUP(Y979,DM_DUAN,3,0),"")</f>
        <v>#N/A</v>
      </c>
      <c r="Y979" s="69" t="s">
        <v>176</v>
      </c>
      <c r="Z979" s="64" t="str">
        <f>IF(AA979&lt;&gt;0,VLOOKUP(AA979,DM_DUAN,3,0),"")</f>
        <v>#N/A</v>
      </c>
      <c r="AA979" s="70" t="s">
        <v>177</v>
      </c>
      <c r="AB979" s="64" t="str">
        <f>IF(AC979&lt;&gt;0,VLOOKUP(AC979,DM_DUAN,3,0),"")</f>
        <v/>
      </c>
      <c r="AC979" s="85"/>
      <c r="AD979" s="64" t="str">
        <f>IF(AC979&lt;&gt;0,VLOOKUP(AC979,DM_NV,2,0),"")</f>
        <v/>
      </c>
      <c r="AE979" s="83" t="s">
        <v>276</v>
      </c>
      <c r="AF979" s="64" t="str">
        <f>IF(AE979&lt;&gt;0,VLOOKUP(AE979,DM_NV,2,0),"")</f>
        <v>#N/A</v>
      </c>
    </row>
    <row r="980">
      <c r="A980" s="51"/>
      <c r="B980" s="52" t="str">
        <f>IF(D980="","",VLOOKUP(D980,'THAM CHIẾU'!$A:$B,2,0))</f>
        <v>#N/A</v>
      </c>
      <c r="C980" s="53" t="str">
        <f t="shared" si="4"/>
        <v>04/2022</v>
      </c>
      <c r="D980" s="99">
        <v>44678.0</v>
      </c>
      <c r="E980" s="55" t="s">
        <v>991</v>
      </c>
      <c r="F980" s="56"/>
      <c r="G980" s="57" t="s">
        <v>197</v>
      </c>
      <c r="H980" s="58" t="str">
        <f>IF(G980="","",VLOOKUP($G980,'Quy chuẩn hạch toán'!$B:$E,2,0))</f>
        <v>#N/A</v>
      </c>
      <c r="I980" s="58" t="str">
        <f>IF(H980="","",VLOOKUP($G980,'Quy chuẩn hạch toán'!$B:$E,3,0))</f>
        <v>#N/A</v>
      </c>
      <c r="J980" s="59">
        <v>4.5E8</v>
      </c>
      <c r="K980" s="60"/>
      <c r="L980" s="61"/>
      <c r="M980" s="62"/>
      <c r="N980" s="63"/>
      <c r="O980" s="64" t="str">
        <f>IF($Q980&lt;&gt;0,VLOOKUP($Q980,DM_KM,3,0),"")</f>
        <v>#N/A</v>
      </c>
      <c r="P980" s="64" t="str">
        <f>IF($Q980&lt;&gt;0,VLOOKUP($Q980,DM_KM,5,0),"")</f>
        <v>#N/A</v>
      </c>
      <c r="Q980" s="65" t="s">
        <v>198</v>
      </c>
      <c r="R980" s="64" t="str">
        <f>IF(S980&lt;&gt;0,VLOOKUP(S980,DM_DUAN,3,0),"")</f>
        <v>#N/A</v>
      </c>
      <c r="S980" s="66" t="str">
        <f>IF(U980&lt;&gt;0,VLOOKUP(U980,DM_DUAN,3,0),"")</f>
        <v>KIMCUONGLAND</v>
      </c>
      <c r="T980" s="64"/>
      <c r="U980" s="67" t="s">
        <v>638</v>
      </c>
      <c r="V980" s="64" t="str">
        <f>IF(W980&lt;&gt;0,VLOOKUP(W980,DM_DUAN,3,0),"")</f>
        <v>#N/A</v>
      </c>
      <c r="W980" s="83" t="s">
        <v>992</v>
      </c>
      <c r="X980" s="64" t="str">
        <f>IF(Y980&lt;&gt;0,VLOOKUP(Y980,DM_DUAN,3,0),"")</f>
        <v>#N/A</v>
      </c>
      <c r="Y980" s="69" t="s">
        <v>176</v>
      </c>
      <c r="Z980" s="64" t="str">
        <f>IF(AA980&lt;&gt;0,VLOOKUP(AA980,DM_DUAN,3,0),"")</f>
        <v>#N/A</v>
      </c>
      <c r="AA980" s="70" t="s">
        <v>177</v>
      </c>
      <c r="AB980" s="64" t="str">
        <f>IF(AC980&lt;&gt;0,VLOOKUP(AC980,DM_DUAN,3,0),"")</f>
        <v>#N/A</v>
      </c>
      <c r="AC980" s="70" t="s">
        <v>795</v>
      </c>
      <c r="AD980" s="64" t="str">
        <f>IF(AC980&lt;&gt;0,VLOOKUP(AC980,DM_NV,2,0),"")</f>
        <v>Trịnh Công Hoàng</v>
      </c>
      <c r="AE980" s="68"/>
      <c r="AF980" s="64" t="str">
        <f>IF(AE980&lt;&gt;0,VLOOKUP(AE980,DM_NV,2,0),"")</f>
        <v/>
      </c>
    </row>
    <row r="981">
      <c r="A981" s="51"/>
      <c r="B981" s="52" t="str">
        <f>IF(D981="","",VLOOKUP(D981,'THAM CHIẾU'!$A:$B,2,0))</f>
        <v/>
      </c>
      <c r="C981" s="53" t="str">
        <f t="shared" si="4"/>
        <v/>
      </c>
      <c r="D981" s="99"/>
      <c r="E981" s="55"/>
      <c r="F981" s="56"/>
      <c r="G981" s="57"/>
      <c r="H981" s="58" t="str">
        <f>IF(G981="","",VLOOKUP($G981,'Quy chuẩn hạch toán'!$B:$E,2,0))</f>
        <v/>
      </c>
      <c r="I981" s="58" t="str">
        <f>IF(H981="","",VLOOKUP($G981,'Quy chuẩn hạch toán'!$B:$E,3,0))</f>
        <v/>
      </c>
      <c r="J981" s="95"/>
      <c r="K981" s="60"/>
      <c r="L981" s="61"/>
      <c r="M981" s="62"/>
      <c r="N981" s="63"/>
      <c r="O981" s="64" t="str">
        <f>IF($Q981&lt;&gt;0,VLOOKUP($Q981,DM_KM,3,0),"")</f>
        <v/>
      </c>
      <c r="P981" s="64" t="str">
        <f>IF($Q981&lt;&gt;0,VLOOKUP($Q981,DM_KM,5,0),"")</f>
        <v/>
      </c>
      <c r="Q981" s="65"/>
      <c r="R981" s="64" t="str">
        <f>IF(S981&lt;&gt;0,VLOOKUP(S981,DM_DUAN,3,0),"")</f>
        <v>#N/A</v>
      </c>
      <c r="S981" s="66" t="str">
        <f>IF(U981&lt;&gt;0,VLOOKUP(U981,DM_DUAN,3,0),"")</f>
        <v/>
      </c>
      <c r="T981" s="64"/>
      <c r="U981" s="67"/>
      <c r="V981" s="64" t="str">
        <f>IF(W981&lt;&gt;0,VLOOKUP(W981,DM_DUAN,3,0),"")</f>
        <v/>
      </c>
      <c r="W981" s="83"/>
      <c r="X981" s="64" t="str">
        <f>IF(Y981&lt;&gt;0,VLOOKUP(Y981,DM_DUAN,3,0),"")</f>
        <v/>
      </c>
      <c r="Y981" s="69"/>
      <c r="Z981" s="64" t="str">
        <f>IF(AA981&lt;&gt;0,VLOOKUP(AA981,DM_DUAN,3,0),"")</f>
        <v/>
      </c>
      <c r="AA981" s="70"/>
      <c r="AB981" s="64" t="str">
        <f>IF(AC981&lt;&gt;0,VLOOKUP(AC981,DM_DUAN,3,0),"")</f>
        <v/>
      </c>
      <c r="AC981" s="85"/>
      <c r="AD981" s="64" t="str">
        <f>IF(AC981&lt;&gt;0,VLOOKUP(AC981,DM_NV,2,0),"")</f>
        <v/>
      </c>
      <c r="AE981" s="68"/>
      <c r="AF981" s="64" t="str">
        <f>IF(AE981&lt;&gt;0,VLOOKUP(AE981,DM_NV,2,0),"")</f>
        <v/>
      </c>
    </row>
    <row r="982">
      <c r="A982" s="51"/>
      <c r="B982" s="52" t="str">
        <f>IF(D982="","",VLOOKUP(D982,'THAM CHIẾU'!$A:$B,2,0))</f>
        <v>#N/A</v>
      </c>
      <c r="C982" s="53" t="str">
        <f t="shared" si="4"/>
        <v>04/2022</v>
      </c>
      <c r="D982" s="99">
        <v>44678.0</v>
      </c>
      <c r="E982" s="55" t="s">
        <v>993</v>
      </c>
      <c r="F982" s="56"/>
      <c r="G982" s="57" t="s">
        <v>186</v>
      </c>
      <c r="H982" s="58" t="str">
        <f>IF(G982="","",VLOOKUP($G982,'Quy chuẩn hạch toán'!$B:$E,2,0))</f>
        <v>131</v>
      </c>
      <c r="I982" s="58" t="str">
        <f>IF(H982="","",VLOOKUP($G982,'Quy chuẩn hạch toán'!$B:$E,3,0))</f>
        <v>5113</v>
      </c>
      <c r="J982" s="59">
        <v>7.5E7</v>
      </c>
      <c r="K982" s="60"/>
      <c r="L982" s="61"/>
      <c r="M982" s="62"/>
      <c r="N982" s="63"/>
      <c r="O982" s="64" t="str">
        <f>IF($Q982&lt;&gt;0,VLOOKUP($Q982,DM_KM,3,0),"")</f>
        <v>511_TK</v>
      </c>
      <c r="P982" s="64">
        <f>IF($Q982&lt;&gt;0,VLOOKUP($Q982,DM_KM,5,0),"")</f>
        <v>511</v>
      </c>
      <c r="Q982" s="65" t="s">
        <v>187</v>
      </c>
      <c r="R982" s="64" t="str">
        <f>IF(S982&lt;&gt;0,VLOOKUP(S982,DM_DUAN,3,0),"")</f>
        <v>#N/A</v>
      </c>
      <c r="S982" s="66" t="str">
        <f>IF(U982&lt;&gt;0,VLOOKUP(U982,DM_DUAN,3,0),"")</f>
        <v>KIMCUONGLAND</v>
      </c>
      <c r="T982" s="64"/>
      <c r="U982" s="67" t="s">
        <v>638</v>
      </c>
      <c r="V982" s="64" t="str">
        <f>IF(W982&lt;&gt;0,VLOOKUP(W982,DM_DUAN,3,0),"")</f>
        <v>#N/A</v>
      </c>
      <c r="W982" s="83" t="s">
        <v>992</v>
      </c>
      <c r="X982" s="64" t="str">
        <f>IF(Y982&lt;&gt;0,VLOOKUP(Y982,DM_DUAN,3,0),"")</f>
        <v>#N/A</v>
      </c>
      <c r="Y982" s="69" t="s">
        <v>176</v>
      </c>
      <c r="Z982" s="64" t="str">
        <f>IF(AA982&lt;&gt;0,VLOOKUP(AA982,DM_DUAN,3,0),"")</f>
        <v>#N/A</v>
      </c>
      <c r="AA982" s="70" t="s">
        <v>177</v>
      </c>
      <c r="AB982" s="64" t="str">
        <f>IF(AC982&lt;&gt;0,VLOOKUP(AC982,DM_DUAN,3,0),"")</f>
        <v/>
      </c>
      <c r="AC982" s="85"/>
      <c r="AD982" s="64" t="str">
        <f>IF(AC982&lt;&gt;0,VLOOKUP(AC982,DM_NV,2,0),"")</f>
        <v/>
      </c>
      <c r="AE982" s="68"/>
      <c r="AF982" s="64" t="str">
        <f>IF(AE982&lt;&gt;0,VLOOKUP(AE982,DM_NV,2,0),"")</f>
        <v/>
      </c>
    </row>
    <row r="983">
      <c r="A983" s="51"/>
      <c r="B983" s="52" t="str">
        <f>IF(D983="","",VLOOKUP(D983,'THAM CHIẾU'!$A:$B,2,0))</f>
        <v>#N/A</v>
      </c>
      <c r="C983" s="53" t="str">
        <f t="shared" si="4"/>
        <v>04/2022</v>
      </c>
      <c r="D983" s="99">
        <v>44678.0</v>
      </c>
      <c r="E983" s="55" t="s">
        <v>994</v>
      </c>
      <c r="F983" s="56"/>
      <c r="G983" s="57" t="s">
        <v>189</v>
      </c>
      <c r="H983" s="58" t="str">
        <f>IF(G983="","",VLOOKUP($G983,'Quy chuẩn hạch toán'!$B:$E,2,0))</f>
        <v>154</v>
      </c>
      <c r="I983" s="58" t="str">
        <f>IF(H983="","",VLOOKUP($G983,'Quy chuẩn hạch toán'!$B:$E,3,0))</f>
        <v>3345</v>
      </c>
      <c r="J983" s="59">
        <v>1.875E7</v>
      </c>
      <c r="K983" s="60"/>
      <c r="L983" s="61"/>
      <c r="M983" s="62"/>
      <c r="N983" s="63"/>
      <c r="O983" s="64" t="str">
        <f>IF($Q983&lt;&gt;0,VLOOKUP($Q983,DM_KM,3,0),"")</f>
        <v>#N/A</v>
      </c>
      <c r="P983" s="64" t="str">
        <f>IF($Q983&lt;&gt;0,VLOOKUP($Q983,DM_KM,5,0),"")</f>
        <v>#N/A</v>
      </c>
      <c r="Q983" s="65" t="s">
        <v>190</v>
      </c>
      <c r="R983" s="64" t="str">
        <f>IF(S983&lt;&gt;0,VLOOKUP(S983,DM_DUAN,3,0),"")</f>
        <v>#N/A</v>
      </c>
      <c r="S983" s="66" t="str">
        <f>IF(U983&lt;&gt;0,VLOOKUP(U983,DM_DUAN,3,0),"")</f>
        <v>KIMCUONGLAND</v>
      </c>
      <c r="T983" s="64"/>
      <c r="U983" s="67" t="s">
        <v>638</v>
      </c>
      <c r="V983" s="64" t="str">
        <f>IF(W983&lt;&gt;0,VLOOKUP(W983,DM_DUAN,3,0),"")</f>
        <v>#N/A</v>
      </c>
      <c r="W983" s="83" t="s">
        <v>992</v>
      </c>
      <c r="X983" s="64" t="str">
        <f>IF(Y983&lt;&gt;0,VLOOKUP(Y983,DM_DUAN,3,0),"")</f>
        <v>#N/A</v>
      </c>
      <c r="Y983" s="69" t="s">
        <v>176</v>
      </c>
      <c r="Z983" s="64" t="str">
        <f>IF(AA983&lt;&gt;0,VLOOKUP(AA983,DM_DUAN,3,0),"")</f>
        <v>#N/A</v>
      </c>
      <c r="AA983" s="70" t="s">
        <v>177</v>
      </c>
      <c r="AB983" s="64" t="str">
        <f>IF(AC983&lt;&gt;0,VLOOKUP(AC983,DM_DUAN,3,0),"")</f>
        <v>#N/A</v>
      </c>
      <c r="AC983" s="70" t="s">
        <v>795</v>
      </c>
      <c r="AD983" s="64" t="str">
        <f>IF(AC983&lt;&gt;0,VLOOKUP(AC983,DM_NV,2,0),"")</f>
        <v>Trịnh Công Hoàng</v>
      </c>
      <c r="AE983" s="68"/>
      <c r="AF983" s="64" t="str">
        <f>IF(AE983&lt;&gt;0,VLOOKUP(AE983,DM_NV,2,0),"")</f>
        <v/>
      </c>
    </row>
    <row r="984">
      <c r="A984" s="51"/>
      <c r="B984" s="52" t="str">
        <f>IF(D984="","",VLOOKUP(D984,'THAM CHIẾU'!$A:$B,2,0))</f>
        <v>#N/A</v>
      </c>
      <c r="C984" s="53" t="str">
        <f t="shared" si="4"/>
        <v>04/2022</v>
      </c>
      <c r="D984" s="99">
        <v>44678.0</v>
      </c>
      <c r="E984" s="55" t="s">
        <v>995</v>
      </c>
      <c r="F984" s="56"/>
      <c r="G984" s="57" t="s">
        <v>200</v>
      </c>
      <c r="H984" s="58" t="str">
        <f>IF(G984="","",VLOOKUP($G984,'Quy chuẩn hạch toán'!$B:$E,2,0))</f>
        <v>154</v>
      </c>
      <c r="I984" s="58" t="str">
        <f>IF(H984="","",VLOOKUP($G984,'Quy chuẩn hạch toán'!$B:$E,3,0))</f>
        <v>3343</v>
      </c>
      <c r="J984" s="59">
        <v>1000000.0</v>
      </c>
      <c r="K984" s="60"/>
      <c r="L984" s="61"/>
      <c r="M984" s="62"/>
      <c r="N984" s="63"/>
      <c r="O984" s="64" t="str">
        <f>IF($Q984&lt;&gt;0,VLOOKUP($Q984,DM_KM,3,0),"")</f>
        <v>#N/A</v>
      </c>
      <c r="P984" s="64" t="str">
        <f>IF($Q984&lt;&gt;0,VLOOKUP($Q984,DM_KM,5,0),"")</f>
        <v>#N/A</v>
      </c>
      <c r="Q984" s="65" t="s">
        <v>201</v>
      </c>
      <c r="R984" s="64" t="str">
        <f>IF(S984&lt;&gt;0,VLOOKUP(S984,DM_DUAN,3,0),"")</f>
        <v>#N/A</v>
      </c>
      <c r="S984" s="66" t="str">
        <f>IF(U984&lt;&gt;0,VLOOKUP(U984,DM_DUAN,3,0),"")</f>
        <v>KIMCUONGLAND</v>
      </c>
      <c r="T984" s="64"/>
      <c r="U984" s="67" t="s">
        <v>638</v>
      </c>
      <c r="V984" s="64" t="str">
        <f>IF(W984&lt;&gt;0,VLOOKUP(W984,DM_DUAN,3,0),"")</f>
        <v>#N/A</v>
      </c>
      <c r="W984" s="83" t="s">
        <v>992</v>
      </c>
      <c r="X984" s="64" t="str">
        <f>IF(Y984&lt;&gt;0,VLOOKUP(Y984,DM_DUAN,3,0),"")</f>
        <v/>
      </c>
      <c r="Y984" s="84"/>
      <c r="Z984" s="64" t="str">
        <f>IF(AA984&lt;&gt;0,VLOOKUP(AA984,DM_DUAN,3,0),"")</f>
        <v>#N/A</v>
      </c>
      <c r="AA984" s="70" t="s">
        <v>177</v>
      </c>
      <c r="AB984" s="64" t="str">
        <f>IF(AC984&lt;&gt;0,VLOOKUP(AC984,DM_DUAN,3,0),"")</f>
        <v/>
      </c>
      <c r="AC984" s="85"/>
      <c r="AD984" s="64" t="str">
        <f>IF(AC984&lt;&gt;0,VLOOKUP(AC984,DM_NV,2,0),"")</f>
        <v/>
      </c>
      <c r="AE984" s="68"/>
      <c r="AF984" s="64" t="str">
        <f>IF(AE984&lt;&gt;0,VLOOKUP(AE984,DM_NV,2,0),"")</f>
        <v/>
      </c>
    </row>
    <row r="985">
      <c r="A985" s="51"/>
      <c r="B985" s="52" t="str">
        <f>IF(D985="","",VLOOKUP(D985,'THAM CHIẾU'!$A:$B,2,0))</f>
        <v>#N/A</v>
      </c>
      <c r="C985" s="53" t="str">
        <f t="shared" si="4"/>
        <v>04/2022</v>
      </c>
      <c r="D985" s="99">
        <v>44678.0</v>
      </c>
      <c r="E985" s="55" t="s">
        <v>996</v>
      </c>
      <c r="F985" s="56"/>
      <c r="G985" s="90"/>
      <c r="H985" s="58" t="str">
        <f>IF(G985="","",VLOOKUP($G985,'Quy chuẩn hạch toán'!$B:$E,2,0))</f>
        <v/>
      </c>
      <c r="I985" s="58" t="str">
        <f>IF(H985="","",VLOOKUP($G985,'Quy chuẩn hạch toán'!$B:$E,3,0))</f>
        <v/>
      </c>
      <c r="J985" s="59">
        <v>6000000.0</v>
      </c>
      <c r="K985" s="60"/>
      <c r="L985" s="61"/>
      <c r="M985" s="62"/>
      <c r="N985" s="63"/>
      <c r="O985" s="64" t="str">
        <f>IF($Q985&lt;&gt;0,VLOOKUP($Q985,DM_KM,3,0),"")</f>
        <v>#N/A</v>
      </c>
      <c r="P985" s="64" t="str">
        <f>IF($Q985&lt;&gt;0,VLOOKUP($Q985,DM_KM,5,0),"")</f>
        <v>#N/A</v>
      </c>
      <c r="Q985" s="65" t="s">
        <v>203</v>
      </c>
      <c r="R985" s="64" t="str">
        <f>IF(S985&lt;&gt;0,VLOOKUP(S985,DM_DUAN,3,0),"")</f>
        <v>#N/A</v>
      </c>
      <c r="S985" s="66" t="str">
        <f>IF(U985&lt;&gt;0,VLOOKUP(U985,DM_DUAN,3,0),"")</f>
        <v>KIMCUONGLAND</v>
      </c>
      <c r="T985" s="64"/>
      <c r="U985" s="67" t="s">
        <v>638</v>
      </c>
      <c r="V985" s="64" t="str">
        <f>IF(W985&lt;&gt;0,VLOOKUP(W985,DM_DUAN,3,0),"")</f>
        <v>#N/A</v>
      </c>
      <c r="W985" s="83" t="s">
        <v>992</v>
      </c>
      <c r="X985" s="64" t="str">
        <f>IF(Y985&lt;&gt;0,VLOOKUP(Y985,DM_DUAN,3,0),"")</f>
        <v/>
      </c>
      <c r="Y985" s="84"/>
      <c r="Z985" s="64" t="str">
        <f>IF(AA985&lt;&gt;0,VLOOKUP(AA985,DM_DUAN,3,0),"")</f>
        <v>#N/A</v>
      </c>
      <c r="AA985" s="70" t="s">
        <v>177</v>
      </c>
      <c r="AB985" s="64" t="str">
        <f>IF(AC985&lt;&gt;0,VLOOKUP(AC985,DM_DUAN,3,0),"")</f>
        <v/>
      </c>
      <c r="AC985" s="85"/>
      <c r="AD985" s="64" t="str">
        <f>IF(AC985&lt;&gt;0,VLOOKUP(AC985,DM_NV,2,0),"")</f>
        <v/>
      </c>
      <c r="AE985" s="68"/>
      <c r="AF985" s="64" t="str">
        <f>IF(AE985&lt;&gt;0,VLOOKUP(AE985,DM_NV,2,0),"")</f>
        <v/>
      </c>
    </row>
    <row r="986">
      <c r="A986" s="51"/>
      <c r="B986" s="52" t="str">
        <f>IF(D986="","",VLOOKUP(D986,'THAM CHIẾU'!$A:$B,2,0))</f>
        <v>#N/A</v>
      </c>
      <c r="C986" s="53" t="str">
        <f t="shared" si="4"/>
        <v>04/2022</v>
      </c>
      <c r="D986" s="99">
        <v>44678.0</v>
      </c>
      <c r="E986" s="55" t="s">
        <v>997</v>
      </c>
      <c r="F986" s="56"/>
      <c r="G986" s="57" t="s">
        <v>205</v>
      </c>
      <c r="H986" s="58" t="str">
        <f>IF(G986="","",VLOOKUP($G986,'Quy chuẩn hạch toán'!$B:$E,2,0))</f>
        <v>642</v>
      </c>
      <c r="I986" s="58" t="str">
        <f>IF(H986="","",VLOOKUP($G986,'Quy chuẩn hạch toán'!$B:$E,3,0))</f>
        <v>1111</v>
      </c>
      <c r="J986" s="59">
        <v>69895.0</v>
      </c>
      <c r="K986" s="60"/>
      <c r="L986" s="61"/>
      <c r="M986" s="62"/>
      <c r="N986" s="63"/>
      <c r="O986" s="64" t="str">
        <f>IF($Q986&lt;&gt;0,VLOOKUP($Q986,DM_KM,3,0),"")</f>
        <v>#N/A</v>
      </c>
      <c r="P986" s="64" t="str">
        <f>IF($Q986&lt;&gt;0,VLOOKUP($Q986,DM_KM,5,0),"")</f>
        <v>#N/A</v>
      </c>
      <c r="Q986" s="65" t="s">
        <v>262</v>
      </c>
      <c r="R986" s="64" t="str">
        <f>IF(S986&lt;&gt;0,VLOOKUP(S986,DM_DUAN,3,0),"")</f>
        <v>#N/A</v>
      </c>
      <c r="S986" s="66" t="str">
        <f>IF(U986&lt;&gt;0,VLOOKUP(U986,DM_DUAN,3,0),"")</f>
        <v/>
      </c>
      <c r="T986" s="64"/>
      <c r="U986" s="93"/>
      <c r="V986" s="64" t="str">
        <f>IF(W986&lt;&gt;0,VLOOKUP(W986,DM_DUAN,3,0),"")</f>
        <v/>
      </c>
      <c r="W986" s="68"/>
      <c r="X986" s="64" t="str">
        <f>IF(Y986&lt;&gt;0,VLOOKUP(Y986,DM_DUAN,3,0),"")</f>
        <v>#N/A</v>
      </c>
      <c r="Y986" s="69" t="s">
        <v>176</v>
      </c>
      <c r="Z986" s="64" t="str">
        <f>IF(AA986&lt;&gt;0,VLOOKUP(AA986,DM_DUAN,3,0),"")</f>
        <v>#N/A</v>
      </c>
      <c r="AA986" s="70" t="s">
        <v>705</v>
      </c>
      <c r="AB986" s="64" t="str">
        <f>IF(AC986&lt;&gt;0,VLOOKUP(AC986,DM_DUAN,3,0),"")</f>
        <v/>
      </c>
      <c r="AC986" s="85"/>
      <c r="AD986" s="64" t="str">
        <f>IF(AC986&lt;&gt;0,VLOOKUP(AC986,DM_NV,2,0),"")</f>
        <v/>
      </c>
      <c r="AE986" s="83" t="s">
        <v>411</v>
      </c>
      <c r="AF986" s="64" t="str">
        <f>IF(AE986&lt;&gt;0,VLOOKUP(AE986,DM_NV,2,0),"")</f>
        <v>#N/A</v>
      </c>
    </row>
    <row r="987">
      <c r="A987" s="51"/>
      <c r="B987" s="52"/>
      <c r="C987" s="53" t="str">
        <f t="shared" si="4"/>
        <v>04/2022</v>
      </c>
      <c r="D987" s="99">
        <v>44678.0</v>
      </c>
      <c r="E987" s="55" t="s">
        <v>997</v>
      </c>
      <c r="F987" s="56"/>
      <c r="G987" s="57" t="s">
        <v>205</v>
      </c>
      <c r="H987" s="58" t="str">
        <f>IF(G987="","",VLOOKUP($G987,'Quy chuẩn hạch toán'!$B:$E,2,0))</f>
        <v>642</v>
      </c>
      <c r="I987" s="58" t="str">
        <f>IF(H987="","",VLOOKUP($G987,'Quy chuẩn hạch toán'!$B:$E,3,0))</f>
        <v>1111</v>
      </c>
      <c r="J987" s="102">
        <v>139789.0</v>
      </c>
      <c r="K987" s="60"/>
      <c r="L987" s="61"/>
      <c r="M987" s="62"/>
      <c r="N987" s="63"/>
      <c r="O987" s="64" t="str">
        <f>IF($Q987&lt;&gt;0,VLOOKUP($Q987,DM_KM,3,0),"")</f>
        <v>#N/A</v>
      </c>
      <c r="P987" s="64" t="str">
        <f>IF($Q987&lt;&gt;0,VLOOKUP($Q987,DM_KM,5,0),"")</f>
        <v>#N/A</v>
      </c>
      <c r="Q987" s="65" t="s">
        <v>262</v>
      </c>
      <c r="R987" s="64" t="str">
        <f>IF(S987&lt;&gt;0,VLOOKUP(S987,DM_DUAN,3,0),"")</f>
        <v>#N/A</v>
      </c>
      <c r="S987" s="66" t="str">
        <f>IF(U987&lt;&gt;0,VLOOKUP(U987,DM_DUAN,3,0),"")</f>
        <v/>
      </c>
      <c r="T987" s="64"/>
      <c r="U987" s="93"/>
      <c r="V987" s="64" t="str">
        <f>IF(W987&lt;&gt;0,VLOOKUP(W987,DM_DUAN,3,0),"")</f>
        <v/>
      </c>
      <c r="W987" s="68"/>
      <c r="X987" s="64" t="str">
        <f>IF(Y987&lt;&gt;0,VLOOKUP(Y987,DM_DUAN,3,0),"")</f>
        <v>#N/A</v>
      </c>
      <c r="Y987" s="69" t="s">
        <v>176</v>
      </c>
      <c r="Z987" s="64" t="str">
        <f>IF(AA987&lt;&gt;0,VLOOKUP(AA987,DM_DUAN,3,0),"")</f>
        <v>#N/A</v>
      </c>
      <c r="AA987" s="70" t="s">
        <v>183</v>
      </c>
      <c r="AB987" s="64" t="str">
        <f>IF(AC987&lt;&gt;0,VLOOKUP(AC987,DM_DUAN,3,0),"")</f>
        <v/>
      </c>
      <c r="AC987" s="85"/>
      <c r="AD987" s="64" t="str">
        <f>IF(AC987&lt;&gt;0,VLOOKUP(AC987,DM_NV,2,0),"")</f>
        <v/>
      </c>
      <c r="AE987" s="83" t="s">
        <v>411</v>
      </c>
      <c r="AF987" s="64" t="str">
        <f>IF(AE987&lt;&gt;0,VLOOKUP(AE987,DM_NV,2,0),"")</f>
        <v>#N/A</v>
      </c>
    </row>
    <row r="988">
      <c r="A988" s="51"/>
      <c r="B988" s="52"/>
      <c r="C988" s="53" t="str">
        <f t="shared" si="4"/>
        <v>04/2022</v>
      </c>
      <c r="D988" s="99">
        <v>44678.0</v>
      </c>
      <c r="E988" s="107" t="s">
        <v>997</v>
      </c>
      <c r="F988" s="110"/>
      <c r="G988" s="57" t="s">
        <v>205</v>
      </c>
      <c r="H988" s="58" t="str">
        <f>IF(G988="","",VLOOKUP($G988,'Quy chuẩn hạch toán'!$B:$E,2,0))</f>
        <v>642</v>
      </c>
      <c r="I988" s="58" t="str">
        <f>IF(H988="","",VLOOKUP($G988,'Quy chuẩn hạch toán'!$B:$E,3,0))</f>
        <v>1111</v>
      </c>
      <c r="J988" s="105">
        <v>52421.0</v>
      </c>
      <c r="K988" s="60"/>
      <c r="L988" s="61"/>
      <c r="M988" s="62"/>
      <c r="N988" s="63"/>
      <c r="O988" s="64" t="str">
        <f>IF($Q988&lt;&gt;0,VLOOKUP($Q988,DM_KM,3,0),"")</f>
        <v>#N/A</v>
      </c>
      <c r="P988" s="64" t="str">
        <f>IF($Q988&lt;&gt;0,VLOOKUP($Q988,DM_KM,5,0),"")</f>
        <v>#N/A</v>
      </c>
      <c r="Q988" s="65" t="s">
        <v>262</v>
      </c>
      <c r="R988" s="64" t="str">
        <f>IF(S988&lt;&gt;0,VLOOKUP(S988,DM_DUAN,3,0),"")</f>
        <v>#N/A</v>
      </c>
      <c r="S988" s="66" t="str">
        <f>IF(U988&lt;&gt;0,VLOOKUP(U988,DM_DUAN,3,0),"")</f>
        <v/>
      </c>
      <c r="T988" s="64"/>
      <c r="U988" s="93"/>
      <c r="V988" s="64" t="str">
        <f>IF(W988&lt;&gt;0,VLOOKUP(W988,DM_DUAN,3,0),"")</f>
        <v/>
      </c>
      <c r="W988" s="68"/>
      <c r="X988" s="64" t="str">
        <f>IF(Y988&lt;&gt;0,VLOOKUP(Y988,DM_DUAN,3,0),"")</f>
        <v>#N/A</v>
      </c>
      <c r="Y988" s="69" t="s">
        <v>176</v>
      </c>
      <c r="Z988" s="64" t="str">
        <f>IF(AA988&lt;&gt;0,VLOOKUP(AA988,DM_DUAN,3,0),"")</f>
        <v>#N/A</v>
      </c>
      <c r="AA988" s="70" t="s">
        <v>177</v>
      </c>
      <c r="AB988" s="64" t="str">
        <f>IF(AC988&lt;&gt;0,VLOOKUP(AC988,DM_DUAN,3,0),"")</f>
        <v/>
      </c>
      <c r="AC988" s="85"/>
      <c r="AD988" s="64" t="str">
        <f>IF(AC988&lt;&gt;0,VLOOKUP(AC988,DM_NV,2,0),"")</f>
        <v/>
      </c>
      <c r="AE988" s="83" t="s">
        <v>411</v>
      </c>
      <c r="AF988" s="64" t="str">
        <f>IF(AE988&lt;&gt;0,VLOOKUP(AE988,DM_NV,2,0),"")</f>
        <v>#N/A</v>
      </c>
    </row>
    <row r="989">
      <c r="A989" s="51"/>
      <c r="B989" s="52" t="str">
        <f>IF(D989="","",VLOOKUP(D989,'THAM CHIẾU'!$A:$B,2,0))</f>
        <v>#N/A</v>
      </c>
      <c r="C989" s="53" t="str">
        <f t="shared" si="4"/>
        <v>04/2022</v>
      </c>
      <c r="D989" s="99">
        <v>44678.0</v>
      </c>
      <c r="E989" s="55" t="s">
        <v>997</v>
      </c>
      <c r="F989" s="56"/>
      <c r="G989" s="57" t="s">
        <v>205</v>
      </c>
      <c r="H989" s="58" t="str">
        <f>IF(G989="","",VLOOKUP($G989,'Quy chuẩn hạch toán'!$B:$E,2,0))</f>
        <v>642</v>
      </c>
      <c r="I989" s="58" t="str">
        <f>IF(H989="","",VLOOKUP($G989,'Quy chuẩn hạch toán'!$B:$E,3,0))</f>
        <v>1111</v>
      </c>
      <c r="J989" s="59">
        <v>69895.0</v>
      </c>
      <c r="K989" s="60"/>
      <c r="L989" s="61"/>
      <c r="M989" s="62"/>
      <c r="N989" s="63"/>
      <c r="O989" s="64" t="str">
        <f>IF($Q989&lt;&gt;0,VLOOKUP($Q989,DM_KM,3,0),"")</f>
        <v>#N/A</v>
      </c>
      <c r="P989" s="64" t="str">
        <f>IF($Q989&lt;&gt;0,VLOOKUP($Q989,DM_KM,5,0),"")</f>
        <v>#N/A</v>
      </c>
      <c r="Q989" s="65" t="s">
        <v>262</v>
      </c>
      <c r="R989" s="64" t="str">
        <f>IF(S989&lt;&gt;0,VLOOKUP(S989,DM_DUAN,3,0),"")</f>
        <v>#N/A</v>
      </c>
      <c r="S989" s="66" t="str">
        <f>IF(U989&lt;&gt;0,VLOOKUP(U989,DM_DUAN,3,0),"")</f>
        <v/>
      </c>
      <c r="T989" s="64"/>
      <c r="U989" s="93"/>
      <c r="V989" s="64" t="str">
        <f>IF(W989&lt;&gt;0,VLOOKUP(W989,DM_DUAN,3,0),"")</f>
        <v/>
      </c>
      <c r="W989" s="68"/>
      <c r="X989" s="64" t="str">
        <f>IF(Y989&lt;&gt;0,VLOOKUP(Y989,DM_DUAN,3,0),"")</f>
        <v>#N/A</v>
      </c>
      <c r="Y989" s="69" t="s">
        <v>176</v>
      </c>
      <c r="Z989" s="64" t="str">
        <f>IF(AA989&lt;&gt;0,VLOOKUP(AA989,DM_DUAN,3,0),"")</f>
        <v>#N/A</v>
      </c>
      <c r="AA989" s="70" t="s">
        <v>210</v>
      </c>
      <c r="AB989" s="64" t="str">
        <f>IF(AC989&lt;&gt;0,VLOOKUP(AC989,DM_DUAN,3,0),"")</f>
        <v/>
      </c>
      <c r="AC989" s="85"/>
      <c r="AD989" s="64" t="str">
        <f>IF(AC989&lt;&gt;0,VLOOKUP(AC989,DM_NV,2,0),"")</f>
        <v/>
      </c>
      <c r="AE989" s="83" t="s">
        <v>411</v>
      </c>
      <c r="AF989" s="64" t="str">
        <f>IF(AE989&lt;&gt;0,VLOOKUP(AE989,DM_NV,2,0),"")</f>
        <v>#N/A</v>
      </c>
    </row>
    <row r="990">
      <c r="A990" s="51"/>
      <c r="B990" s="52" t="str">
        <f>IF(D990="","",VLOOKUP(D990,'THAM CHIẾU'!$A:$B,2,0))</f>
        <v>#N/A</v>
      </c>
      <c r="C990" s="53" t="str">
        <f t="shared" si="4"/>
        <v>04/2022</v>
      </c>
      <c r="D990" s="99">
        <v>44678.0</v>
      </c>
      <c r="E990" s="55" t="s">
        <v>998</v>
      </c>
      <c r="F990" s="56"/>
      <c r="G990" s="57" t="s">
        <v>173</v>
      </c>
      <c r="H990" s="58" t="str">
        <f>IF(G990="","",VLOOKUP($G990,'Quy chuẩn hạch toán'!$B:$E,2,0))</f>
        <v>641</v>
      </c>
      <c r="I990" s="58" t="str">
        <f>IF(H990="","",VLOOKUP($G990,'Quy chuẩn hạch toán'!$B:$E,3,0))</f>
        <v>331</v>
      </c>
      <c r="J990" s="59">
        <v>3656000.0</v>
      </c>
      <c r="K990" s="60"/>
      <c r="L990" s="61"/>
      <c r="M990" s="62"/>
      <c r="N990" s="63"/>
      <c r="O990" s="64" t="str">
        <f>IF($Q990&lt;&gt;0,VLOOKUP($Q990,DM_KM,3,0),"")</f>
        <v>#N/A</v>
      </c>
      <c r="P990" s="64" t="str">
        <f>IF($Q990&lt;&gt;0,VLOOKUP($Q990,DM_KM,5,0),"")</f>
        <v>#N/A</v>
      </c>
      <c r="Q990" s="65" t="s">
        <v>174</v>
      </c>
      <c r="R990" s="64" t="str">
        <f>IF(S990&lt;&gt;0,VLOOKUP(S990,DM_DUAN,3,0),"")</f>
        <v>#N/A</v>
      </c>
      <c r="S990" s="66" t="str">
        <f>IF(U990&lt;&gt;0,VLOOKUP(U990,DM_DUAN,3,0),"")</f>
        <v>THANHNAM</v>
      </c>
      <c r="T990" s="64"/>
      <c r="U990" s="67" t="s">
        <v>530</v>
      </c>
      <c r="V990" s="64" t="str">
        <f>IF(W990&lt;&gt;0,VLOOKUP(W990,DM_DUAN,3,0),"")</f>
        <v/>
      </c>
      <c r="W990" s="68"/>
      <c r="X990" s="64" t="str">
        <f>IF(Y990&lt;&gt;0,VLOOKUP(Y990,DM_DUAN,3,0),"")</f>
        <v/>
      </c>
      <c r="Y990" s="84"/>
      <c r="Z990" s="64" t="str">
        <f>IF(AA990&lt;&gt;0,VLOOKUP(AA990,DM_DUAN,3,0),"")</f>
        <v>#N/A</v>
      </c>
      <c r="AA990" s="70" t="s">
        <v>705</v>
      </c>
      <c r="AB990" s="64" t="str">
        <f>IF(AC990&lt;&gt;0,VLOOKUP(AC990,DM_DUAN,3,0),"")</f>
        <v/>
      </c>
      <c r="AC990" s="85"/>
      <c r="AD990" s="64" t="str">
        <f>IF(AC990&lt;&gt;0,VLOOKUP(AC990,DM_NV,2,0),"")</f>
        <v/>
      </c>
      <c r="AE990" s="68"/>
      <c r="AF990" s="64" t="str">
        <f>IF(AE990&lt;&gt;0,VLOOKUP(AE990,DM_NV,2,0),"")</f>
        <v/>
      </c>
    </row>
    <row r="991">
      <c r="A991" s="51"/>
      <c r="B991" s="52" t="str">
        <f>IF(D991="","",VLOOKUP(D991,'THAM CHIẾU'!$A:$B,2,0))</f>
        <v>#N/A</v>
      </c>
      <c r="C991" s="53" t="str">
        <f t="shared" si="4"/>
        <v>04/2022</v>
      </c>
      <c r="D991" s="99">
        <v>44678.0</v>
      </c>
      <c r="E991" s="55" t="s">
        <v>999</v>
      </c>
      <c r="F991" s="56"/>
      <c r="G991" s="57" t="s">
        <v>173</v>
      </c>
      <c r="H991" s="58" t="str">
        <f>IF(G991="","",VLOOKUP($G991,'Quy chuẩn hạch toán'!$B:$E,2,0))</f>
        <v>641</v>
      </c>
      <c r="I991" s="58" t="str">
        <f>IF(H991="","",VLOOKUP($G991,'Quy chuẩn hạch toán'!$B:$E,3,0))</f>
        <v>331</v>
      </c>
      <c r="J991" s="59">
        <v>2500000.0</v>
      </c>
      <c r="K991" s="60"/>
      <c r="L991" s="61"/>
      <c r="M991" s="62"/>
      <c r="N991" s="63"/>
      <c r="O991" s="64" t="str">
        <f>IF($Q991&lt;&gt;0,VLOOKUP($Q991,DM_KM,3,0),"")</f>
        <v>#N/A</v>
      </c>
      <c r="P991" s="64" t="str">
        <f>IF($Q991&lt;&gt;0,VLOOKUP($Q991,DM_KM,5,0),"")</f>
        <v>#N/A</v>
      </c>
      <c r="Q991" s="65" t="s">
        <v>174</v>
      </c>
      <c r="R991" s="64" t="str">
        <f>IF(S991&lt;&gt;0,VLOOKUP(S991,DM_DUAN,3,0),"")</f>
        <v>#N/A</v>
      </c>
      <c r="S991" s="66" t="str">
        <f>IF(U991&lt;&gt;0,VLOOKUP(U991,DM_DUAN,3,0),"")</f>
        <v>KIMCUONGLAND</v>
      </c>
      <c r="T991" s="64"/>
      <c r="U991" s="67" t="s">
        <v>638</v>
      </c>
      <c r="V991" s="64" t="str">
        <f>IF(W991&lt;&gt;0,VLOOKUP(W991,DM_DUAN,3,0),"")</f>
        <v/>
      </c>
      <c r="W991" s="68"/>
      <c r="X991" s="64" t="str">
        <f>IF(Y991&lt;&gt;0,VLOOKUP(Y991,DM_DUAN,3,0),"")</f>
        <v/>
      </c>
      <c r="Y991" s="84"/>
      <c r="Z991" s="64" t="str">
        <f>IF(AA991&lt;&gt;0,VLOOKUP(AA991,DM_DUAN,3,0),"")</f>
        <v>#N/A</v>
      </c>
      <c r="AA991" s="70" t="s">
        <v>177</v>
      </c>
      <c r="AB991" s="64" t="str">
        <f>IF(AC991&lt;&gt;0,VLOOKUP(AC991,DM_DUAN,3,0),"")</f>
        <v/>
      </c>
      <c r="AC991" s="85"/>
      <c r="AD991" s="64" t="str">
        <f>IF(AC991&lt;&gt;0,VLOOKUP(AC991,DM_NV,2,0),"")</f>
        <v/>
      </c>
      <c r="AE991" s="68"/>
      <c r="AF991" s="64" t="str">
        <f>IF(AE991&lt;&gt;0,VLOOKUP(AE991,DM_NV,2,0),"")</f>
        <v/>
      </c>
    </row>
    <row r="992">
      <c r="A992" s="51"/>
      <c r="B992" s="52" t="str">
        <f>IF(D992="","",VLOOKUP(D992,'THAM CHIẾU'!$A:$B,2,0))</f>
        <v>#N/A</v>
      </c>
      <c r="C992" s="53" t="str">
        <f t="shared" si="4"/>
        <v>04/2022</v>
      </c>
      <c r="D992" s="99">
        <v>44678.0</v>
      </c>
      <c r="E992" s="55" t="s">
        <v>1000</v>
      </c>
      <c r="F992" s="56"/>
      <c r="G992" s="57" t="s">
        <v>173</v>
      </c>
      <c r="H992" s="58" t="str">
        <f>IF(G992="","",VLOOKUP($G992,'Quy chuẩn hạch toán'!$B:$E,2,0))</f>
        <v>641</v>
      </c>
      <c r="I992" s="58" t="str">
        <f>IF(H992="","",VLOOKUP($G992,'Quy chuẩn hạch toán'!$B:$E,3,0))</f>
        <v>331</v>
      </c>
      <c r="J992" s="59">
        <v>2600000.0</v>
      </c>
      <c r="K992" s="60"/>
      <c r="L992" s="61"/>
      <c r="M992" s="62"/>
      <c r="N992" s="63"/>
      <c r="O992" s="64" t="str">
        <f>IF($Q992&lt;&gt;0,VLOOKUP($Q992,DM_KM,3,0),"")</f>
        <v>#N/A</v>
      </c>
      <c r="P992" s="64" t="str">
        <f>IF($Q992&lt;&gt;0,VLOOKUP($Q992,DM_KM,5,0),"")</f>
        <v>#N/A</v>
      </c>
      <c r="Q992" s="65" t="s">
        <v>174</v>
      </c>
      <c r="R992" s="64" t="str">
        <f>IF(S992&lt;&gt;0,VLOOKUP(S992,DM_DUAN,3,0),"")</f>
        <v>#N/A</v>
      </c>
      <c r="S992" s="66" t="str">
        <f>IF(U992&lt;&gt;0,VLOOKUP(U992,DM_DUAN,3,0),"")</f>
        <v>CLOUDLAND</v>
      </c>
      <c r="T992" s="64"/>
      <c r="U992" s="67" t="s">
        <v>956</v>
      </c>
      <c r="V992" s="64" t="str">
        <f>IF(W992&lt;&gt;0,VLOOKUP(W992,DM_DUAN,3,0),"")</f>
        <v/>
      </c>
      <c r="W992" s="68"/>
      <c r="X992" s="64" t="str">
        <f>IF(Y992&lt;&gt;0,VLOOKUP(Y992,DM_DUAN,3,0),"")</f>
        <v/>
      </c>
      <c r="Y992" s="84"/>
      <c r="Z992" s="64" t="str">
        <f>IF(AA992&lt;&gt;0,VLOOKUP(AA992,DM_DUAN,3,0),"")</f>
        <v>#N/A</v>
      </c>
      <c r="AA992" s="70" t="s">
        <v>177</v>
      </c>
      <c r="AB992" s="64" t="str">
        <f>IF(AC992&lt;&gt;0,VLOOKUP(AC992,DM_DUAN,3,0),"")</f>
        <v/>
      </c>
      <c r="AC992" s="85"/>
      <c r="AD992" s="64" t="str">
        <f>IF(AC992&lt;&gt;0,VLOOKUP(AC992,DM_NV,2,0),"")</f>
        <v/>
      </c>
      <c r="AE992" s="68"/>
      <c r="AF992" s="64" t="str">
        <f>IF(AE992&lt;&gt;0,VLOOKUP(AE992,DM_NV,2,0),"")</f>
        <v/>
      </c>
    </row>
    <row r="993">
      <c r="A993" s="51"/>
      <c r="B993" s="52" t="str">
        <f>IF(D993="","",VLOOKUP(D993,'THAM CHIẾU'!$A:$B,2,0))</f>
        <v>#N/A</v>
      </c>
      <c r="C993" s="53" t="str">
        <f t="shared" si="4"/>
        <v>04/2022</v>
      </c>
      <c r="D993" s="99">
        <v>44679.0</v>
      </c>
      <c r="E993" s="55" t="s">
        <v>1001</v>
      </c>
      <c r="F993" s="56"/>
      <c r="G993" s="57" t="s">
        <v>197</v>
      </c>
      <c r="H993" s="58" t="str">
        <f>IF(G993="","",VLOOKUP($G993,'Quy chuẩn hạch toán'!$B:$E,2,0))</f>
        <v>#N/A</v>
      </c>
      <c r="I993" s="58" t="str">
        <f>IF(H993="","",VLOOKUP($G993,'Quy chuẩn hạch toán'!$B:$E,3,0))</f>
        <v>#N/A</v>
      </c>
      <c r="J993" s="59">
        <v>6.2E8</v>
      </c>
      <c r="K993" s="60"/>
      <c r="L993" s="61"/>
      <c r="M993" s="62"/>
      <c r="N993" s="63"/>
      <c r="O993" s="64" t="str">
        <f>IF($Q993&lt;&gt;0,VLOOKUP($Q993,DM_KM,3,0),"")</f>
        <v>#N/A</v>
      </c>
      <c r="P993" s="64" t="str">
        <f>IF($Q993&lt;&gt;0,VLOOKUP($Q993,DM_KM,5,0),"")</f>
        <v>#N/A</v>
      </c>
      <c r="Q993" s="65" t="s">
        <v>198</v>
      </c>
      <c r="R993" s="64" t="str">
        <f>IF(S993&lt;&gt;0,VLOOKUP(S993,DM_DUAN,3,0),"")</f>
        <v>#N/A</v>
      </c>
      <c r="S993" s="66" t="str">
        <f>IF(U993&lt;&gt;0,VLOOKUP(U993,DM_DUAN,3,0),"")</f>
        <v>KIMCUONGLAND</v>
      </c>
      <c r="T993" s="64"/>
      <c r="U993" s="67" t="s">
        <v>636</v>
      </c>
      <c r="V993" s="64" t="str">
        <f>IF(W993&lt;&gt;0,VLOOKUP(W993,DM_DUAN,3,0),"")</f>
        <v>#N/A</v>
      </c>
      <c r="W993" s="83" t="s">
        <v>1002</v>
      </c>
      <c r="X993" s="64" t="str">
        <f>IF(Y993&lt;&gt;0,VLOOKUP(Y993,DM_DUAN,3,0),"")</f>
        <v>#N/A</v>
      </c>
      <c r="Y993" s="69" t="s">
        <v>176</v>
      </c>
      <c r="Z993" s="64" t="str">
        <f>IF(AA993&lt;&gt;0,VLOOKUP(AA993,DM_DUAN,3,0),"")</f>
        <v>#N/A</v>
      </c>
      <c r="AA993" s="70" t="s">
        <v>705</v>
      </c>
      <c r="AB993" s="64" t="str">
        <f>IF(AC993&lt;&gt;0,VLOOKUP(AC993,DM_DUAN,3,0),"")</f>
        <v>#N/A</v>
      </c>
      <c r="AC993" s="70" t="s">
        <v>1003</v>
      </c>
      <c r="AD993" s="64" t="str">
        <f>IF(AC993&lt;&gt;0,VLOOKUP(AC993,DM_NV,2,0),"")</f>
        <v>Nguyễn Dũng Đạt</v>
      </c>
      <c r="AE993" s="68"/>
      <c r="AF993" s="64" t="str">
        <f>IF(AE993&lt;&gt;0,VLOOKUP(AE993,DM_NV,2,0),"")</f>
        <v/>
      </c>
    </row>
    <row r="994">
      <c r="A994" s="51"/>
      <c r="B994" s="52" t="str">
        <f>IF(D994="","",VLOOKUP(D994,'THAM CHIẾU'!$A:$B,2,0))</f>
        <v/>
      </c>
      <c r="C994" s="53" t="str">
        <f t="shared" si="4"/>
        <v/>
      </c>
      <c r="D994" s="99"/>
      <c r="E994" s="55"/>
      <c r="F994" s="56"/>
      <c r="G994" s="57"/>
      <c r="H994" s="58" t="str">
        <f>IF(G994="","",VLOOKUP($G994,'Quy chuẩn hạch toán'!$B:$E,2,0))</f>
        <v/>
      </c>
      <c r="I994" s="58" t="str">
        <f>IF(H994="","",VLOOKUP($G994,'Quy chuẩn hạch toán'!$B:$E,3,0))</f>
        <v/>
      </c>
      <c r="J994" s="95"/>
      <c r="K994" s="60"/>
      <c r="L994" s="61"/>
      <c r="M994" s="62"/>
      <c r="N994" s="63"/>
      <c r="O994" s="64" t="str">
        <f>IF($Q994&lt;&gt;0,VLOOKUP($Q994,DM_KM,3,0),"")</f>
        <v/>
      </c>
      <c r="P994" s="64" t="str">
        <f>IF($Q994&lt;&gt;0,VLOOKUP($Q994,DM_KM,5,0),"")</f>
        <v/>
      </c>
      <c r="Q994" s="65"/>
      <c r="R994" s="64" t="str">
        <f>IF(S994&lt;&gt;0,VLOOKUP(S994,DM_DUAN,3,0),"")</f>
        <v>#N/A</v>
      </c>
      <c r="S994" s="66" t="str">
        <f>IF(U994&lt;&gt;0,VLOOKUP(U994,DM_DUAN,3,0),"")</f>
        <v/>
      </c>
      <c r="T994" s="64"/>
      <c r="U994" s="67"/>
      <c r="V994" s="64" t="str">
        <f>IF(W994&lt;&gt;0,VLOOKUP(W994,DM_DUAN,3,0),"")</f>
        <v/>
      </c>
      <c r="W994" s="83"/>
      <c r="X994" s="64" t="str">
        <f>IF(Y994&lt;&gt;0,VLOOKUP(Y994,DM_DUAN,3,0),"")</f>
        <v/>
      </c>
      <c r="Y994" s="84"/>
      <c r="Z994" s="64" t="str">
        <f>IF(AA994&lt;&gt;0,VLOOKUP(AA994,DM_DUAN,3,0),"")</f>
        <v/>
      </c>
      <c r="AA994" s="70"/>
      <c r="AB994" s="64" t="str">
        <f>IF(AC994&lt;&gt;0,VLOOKUP(AC994,DM_DUAN,3,0),"")</f>
        <v/>
      </c>
      <c r="AC994" s="85"/>
      <c r="AD994" s="64" t="str">
        <f>IF(AC994&lt;&gt;0,VLOOKUP(AC994,DM_NV,2,0),"")</f>
        <v/>
      </c>
      <c r="AE994" s="68"/>
      <c r="AF994" s="64" t="str">
        <f>IF(AE994&lt;&gt;0,VLOOKUP(AE994,DM_NV,2,0),"")</f>
        <v/>
      </c>
    </row>
    <row r="995">
      <c r="A995" s="51"/>
      <c r="B995" s="52" t="str">
        <f>IF(D995="","",VLOOKUP(D995,'THAM CHIẾU'!$A:$B,2,0))</f>
        <v>#N/A</v>
      </c>
      <c r="C995" s="53" t="str">
        <f t="shared" si="4"/>
        <v>04/2022</v>
      </c>
      <c r="D995" s="99">
        <v>44679.0</v>
      </c>
      <c r="E995" s="55" t="s">
        <v>1004</v>
      </c>
      <c r="F995" s="56"/>
      <c r="G995" s="57" t="s">
        <v>186</v>
      </c>
      <c r="H995" s="58" t="str">
        <f>IF(G995="","",VLOOKUP($G995,'Quy chuẩn hạch toán'!$B:$E,2,0))</f>
        <v>131</v>
      </c>
      <c r="I995" s="58" t="str">
        <f>IF(H995="","",VLOOKUP($G995,'Quy chuẩn hạch toán'!$B:$E,3,0))</f>
        <v>5113</v>
      </c>
      <c r="J995" s="59">
        <v>9.92E7</v>
      </c>
      <c r="K995" s="60"/>
      <c r="L995" s="61"/>
      <c r="M995" s="62"/>
      <c r="N995" s="63"/>
      <c r="O995" s="64" t="str">
        <f>IF($Q995&lt;&gt;0,VLOOKUP($Q995,DM_KM,3,0),"")</f>
        <v>511_TK</v>
      </c>
      <c r="P995" s="64">
        <f>IF($Q995&lt;&gt;0,VLOOKUP($Q995,DM_KM,5,0),"")</f>
        <v>511</v>
      </c>
      <c r="Q995" s="65" t="s">
        <v>187</v>
      </c>
      <c r="R995" s="64" t="str">
        <f>IF(S995&lt;&gt;0,VLOOKUP(S995,DM_DUAN,3,0),"")</f>
        <v>#N/A</v>
      </c>
      <c r="S995" s="66" t="str">
        <f>IF(U995&lt;&gt;0,VLOOKUP(U995,DM_DUAN,3,0),"")</f>
        <v>KIMCUONGLAND</v>
      </c>
      <c r="T995" s="64"/>
      <c r="U995" s="67" t="s">
        <v>636</v>
      </c>
      <c r="V995" s="64" t="str">
        <f>IF(W995&lt;&gt;0,VLOOKUP(W995,DM_DUAN,3,0),"")</f>
        <v>#N/A</v>
      </c>
      <c r="W995" s="83" t="s">
        <v>1002</v>
      </c>
      <c r="X995" s="64" t="str">
        <f>IF(Y995&lt;&gt;0,VLOOKUP(Y995,DM_DUAN,3,0),"")</f>
        <v/>
      </c>
      <c r="Y995" s="84"/>
      <c r="Z995" s="64" t="str">
        <f>IF(AA995&lt;&gt;0,VLOOKUP(AA995,DM_DUAN,3,0),"")</f>
        <v>#N/A</v>
      </c>
      <c r="AA995" s="70" t="s">
        <v>705</v>
      </c>
      <c r="AB995" s="64" t="str">
        <f>IF(AC995&lt;&gt;0,VLOOKUP(AC995,DM_DUAN,3,0),"")</f>
        <v/>
      </c>
      <c r="AC995" s="85"/>
      <c r="AD995" s="64" t="str">
        <f>IF(AC995&lt;&gt;0,VLOOKUP(AC995,DM_NV,2,0),"")</f>
        <v/>
      </c>
      <c r="AE995" s="68"/>
      <c r="AF995" s="64" t="str">
        <f>IF(AE995&lt;&gt;0,VLOOKUP(AE995,DM_NV,2,0),"")</f>
        <v/>
      </c>
    </row>
    <row r="996">
      <c r="A996" s="51"/>
      <c r="B996" s="52" t="str">
        <f>IF(D996="","",VLOOKUP(D996,'THAM CHIẾU'!$A:$B,2,0))</f>
        <v>#N/A</v>
      </c>
      <c r="C996" s="53" t="str">
        <f t="shared" si="4"/>
        <v>04/2022</v>
      </c>
      <c r="D996" s="99">
        <v>44679.0</v>
      </c>
      <c r="E996" s="55" t="s">
        <v>1005</v>
      </c>
      <c r="F996" s="56"/>
      <c r="G996" s="57" t="s">
        <v>189</v>
      </c>
      <c r="H996" s="58" t="str">
        <f>IF(G996="","",VLOOKUP($G996,'Quy chuẩn hạch toán'!$B:$E,2,0))</f>
        <v>154</v>
      </c>
      <c r="I996" s="58" t="str">
        <f>IF(H996="","",VLOOKUP($G996,'Quy chuẩn hạch toán'!$B:$E,3,0))</f>
        <v>3345</v>
      </c>
      <c r="J996" s="59">
        <v>2.17E7</v>
      </c>
      <c r="K996" s="60"/>
      <c r="L996" s="61"/>
      <c r="M996" s="62"/>
      <c r="N996" s="63"/>
      <c r="O996" s="64" t="str">
        <f>IF($Q996&lt;&gt;0,VLOOKUP($Q996,DM_KM,3,0),"")</f>
        <v>#N/A</v>
      </c>
      <c r="P996" s="64" t="str">
        <f>IF($Q996&lt;&gt;0,VLOOKUP($Q996,DM_KM,5,0),"")</f>
        <v>#N/A</v>
      </c>
      <c r="Q996" s="65" t="s">
        <v>190</v>
      </c>
      <c r="R996" s="64" t="str">
        <f>IF(S996&lt;&gt;0,VLOOKUP(S996,DM_DUAN,3,0),"")</f>
        <v>#N/A</v>
      </c>
      <c r="S996" s="66" t="str">
        <f>IF(U996&lt;&gt;0,VLOOKUP(U996,DM_DUAN,3,0),"")</f>
        <v>KIMCUONGLAND</v>
      </c>
      <c r="T996" s="64"/>
      <c r="U996" s="67" t="s">
        <v>636</v>
      </c>
      <c r="V996" s="64" t="str">
        <f>IF(W996&lt;&gt;0,VLOOKUP(W996,DM_DUAN,3,0),"")</f>
        <v>#N/A</v>
      </c>
      <c r="W996" s="83" t="s">
        <v>1002</v>
      </c>
      <c r="X996" s="64" t="str">
        <f>IF(Y996&lt;&gt;0,VLOOKUP(Y996,DM_DUAN,3,0),"")</f>
        <v>#N/A</v>
      </c>
      <c r="Y996" s="69" t="s">
        <v>176</v>
      </c>
      <c r="Z996" s="64" t="str">
        <f>IF(AA996&lt;&gt;0,VLOOKUP(AA996,DM_DUAN,3,0),"")</f>
        <v>#N/A</v>
      </c>
      <c r="AA996" s="70" t="s">
        <v>705</v>
      </c>
      <c r="AB996" s="64" t="str">
        <f>IF(AC996&lt;&gt;0,VLOOKUP(AC996,DM_DUAN,3,0),"")</f>
        <v>#N/A</v>
      </c>
      <c r="AC996" s="70" t="s">
        <v>1003</v>
      </c>
      <c r="AD996" s="64" t="str">
        <f>IF(AC996&lt;&gt;0,VLOOKUP(AC996,DM_NV,2,0),"")</f>
        <v>Nguyễn Dũng Đạt</v>
      </c>
      <c r="AE996" s="68"/>
      <c r="AF996" s="64" t="str">
        <f>IF(AE996&lt;&gt;0,VLOOKUP(AE996,DM_NV,2,0),"")</f>
        <v/>
      </c>
    </row>
    <row r="997">
      <c r="A997" s="51"/>
      <c r="B997" s="52" t="str">
        <f>IF(D997="","",VLOOKUP(D997,'THAM CHIẾU'!$A:$B,2,0))</f>
        <v>#N/A</v>
      </c>
      <c r="C997" s="53" t="str">
        <f t="shared" si="4"/>
        <v>04/2022</v>
      </c>
      <c r="D997" s="99">
        <v>44679.0</v>
      </c>
      <c r="E997" s="55" t="s">
        <v>1006</v>
      </c>
      <c r="F997" s="56"/>
      <c r="G997" s="57" t="s">
        <v>200</v>
      </c>
      <c r="H997" s="58" t="str">
        <f>IF(G997="","",VLOOKUP($G997,'Quy chuẩn hạch toán'!$B:$E,2,0))</f>
        <v>154</v>
      </c>
      <c r="I997" s="58" t="str">
        <f>IF(H997="","",VLOOKUP($G997,'Quy chuẩn hạch toán'!$B:$E,3,0))</f>
        <v>3343</v>
      </c>
      <c r="J997" s="59">
        <v>1000000.0</v>
      </c>
      <c r="K997" s="60"/>
      <c r="L997" s="61"/>
      <c r="M997" s="62"/>
      <c r="N997" s="63"/>
      <c r="O997" s="64" t="str">
        <f>IF($Q997&lt;&gt;0,VLOOKUP($Q997,DM_KM,3,0),"")</f>
        <v>#N/A</v>
      </c>
      <c r="P997" s="64" t="str">
        <f>IF($Q997&lt;&gt;0,VLOOKUP($Q997,DM_KM,5,0),"")</f>
        <v>#N/A</v>
      </c>
      <c r="Q997" s="65" t="s">
        <v>201</v>
      </c>
      <c r="R997" s="64" t="str">
        <f>IF(S997&lt;&gt;0,VLOOKUP(S997,DM_DUAN,3,0),"")</f>
        <v>#N/A</v>
      </c>
      <c r="S997" s="66" t="str">
        <f>IF(U997&lt;&gt;0,VLOOKUP(U997,DM_DUAN,3,0),"")</f>
        <v>KIMCUONGLAND</v>
      </c>
      <c r="T997" s="64"/>
      <c r="U997" s="67" t="s">
        <v>636</v>
      </c>
      <c r="V997" s="64" t="str">
        <f>IF(W997&lt;&gt;0,VLOOKUP(W997,DM_DUAN,3,0),"")</f>
        <v>#N/A</v>
      </c>
      <c r="W997" s="83" t="s">
        <v>1002</v>
      </c>
      <c r="X997" s="64" t="str">
        <f>IF(Y997&lt;&gt;0,VLOOKUP(Y997,DM_DUAN,3,0),"")</f>
        <v/>
      </c>
      <c r="Y997" s="84"/>
      <c r="Z997" s="64" t="str">
        <f>IF(AA997&lt;&gt;0,VLOOKUP(AA997,DM_DUAN,3,0),"")</f>
        <v>#N/A</v>
      </c>
      <c r="AA997" s="70" t="s">
        <v>705</v>
      </c>
      <c r="AB997" s="64" t="str">
        <f>IF(AC997&lt;&gt;0,VLOOKUP(AC997,DM_DUAN,3,0),"")</f>
        <v/>
      </c>
      <c r="AC997" s="85"/>
      <c r="AD997" s="64" t="str">
        <f>IF(AC997&lt;&gt;0,VLOOKUP(AC997,DM_NV,2,0),"")</f>
        <v/>
      </c>
      <c r="AE997" s="68"/>
      <c r="AF997" s="64" t="str">
        <f>IF(AE997&lt;&gt;0,VLOOKUP(AE997,DM_NV,2,0),"")</f>
        <v/>
      </c>
    </row>
    <row r="998">
      <c r="A998" s="51"/>
      <c r="B998" s="52" t="str">
        <f>IF(D998="","",VLOOKUP(D998,'THAM CHIẾU'!$A:$B,2,0))</f>
        <v>#N/A</v>
      </c>
      <c r="C998" s="53" t="str">
        <f t="shared" si="4"/>
        <v>04/2022</v>
      </c>
      <c r="D998" s="99">
        <v>44679.0</v>
      </c>
      <c r="E998" s="55" t="s">
        <v>1007</v>
      </c>
      <c r="F998" s="56"/>
      <c r="G998" s="90"/>
      <c r="H998" s="58" t="str">
        <f>IF(G998="","",VLOOKUP($G998,'Quy chuẩn hạch toán'!$B:$E,2,0))</f>
        <v/>
      </c>
      <c r="I998" s="58" t="str">
        <f>IF(H998="","",VLOOKUP($G998,'Quy chuẩn hạch toán'!$B:$E,3,0))</f>
        <v/>
      </c>
      <c r="J998" s="59">
        <v>7936000.0</v>
      </c>
      <c r="K998" s="60"/>
      <c r="L998" s="61"/>
      <c r="M998" s="62"/>
      <c r="N998" s="63"/>
      <c r="O998" s="64" t="str">
        <f>IF($Q998&lt;&gt;0,VLOOKUP($Q998,DM_KM,3,0),"")</f>
        <v>#N/A</v>
      </c>
      <c r="P998" s="64" t="str">
        <f>IF($Q998&lt;&gt;0,VLOOKUP($Q998,DM_KM,5,0),"")</f>
        <v>#N/A</v>
      </c>
      <c r="Q998" s="65" t="s">
        <v>203</v>
      </c>
      <c r="R998" s="64" t="str">
        <f>IF(S998&lt;&gt;0,VLOOKUP(S998,DM_DUAN,3,0),"")</f>
        <v>#N/A</v>
      </c>
      <c r="S998" s="66" t="str">
        <f>IF(U998&lt;&gt;0,VLOOKUP(U998,DM_DUAN,3,0),"")</f>
        <v>KIMCUONGLAND</v>
      </c>
      <c r="T998" s="64"/>
      <c r="U998" s="67" t="s">
        <v>636</v>
      </c>
      <c r="V998" s="64" t="str">
        <f>IF(W998&lt;&gt;0,VLOOKUP(W998,DM_DUAN,3,0),"")</f>
        <v>#N/A</v>
      </c>
      <c r="W998" s="83" t="s">
        <v>1002</v>
      </c>
      <c r="X998" s="64" t="str">
        <f>IF(Y998&lt;&gt;0,VLOOKUP(Y998,DM_DUAN,3,0),"")</f>
        <v/>
      </c>
      <c r="Y998" s="84"/>
      <c r="Z998" s="64" t="str">
        <f>IF(AA998&lt;&gt;0,VLOOKUP(AA998,DM_DUAN,3,0),"")</f>
        <v>#N/A</v>
      </c>
      <c r="AA998" s="70" t="s">
        <v>705</v>
      </c>
      <c r="AB998" s="64" t="str">
        <f>IF(AC998&lt;&gt;0,VLOOKUP(AC998,DM_DUAN,3,0),"")</f>
        <v/>
      </c>
      <c r="AC998" s="85"/>
      <c r="AD998" s="64" t="str">
        <f>IF(AC998&lt;&gt;0,VLOOKUP(AC998,DM_NV,2,0),"")</f>
        <v/>
      </c>
      <c r="AE998" s="68"/>
      <c r="AF998" s="64" t="str">
        <f>IF(AE998&lt;&gt;0,VLOOKUP(AE998,DM_NV,2,0),"")</f>
        <v/>
      </c>
    </row>
    <row r="999">
      <c r="A999" s="51"/>
      <c r="B999" s="52" t="str">
        <f>IF(D999="","",VLOOKUP(D999,'THAM CHIẾU'!$A:$B,2,0))</f>
        <v>#N/A</v>
      </c>
      <c r="C999" s="53" t="str">
        <f t="shared" si="4"/>
        <v>04/2022</v>
      </c>
      <c r="D999" s="99">
        <v>44679.0</v>
      </c>
      <c r="E999" s="55" t="s">
        <v>1008</v>
      </c>
      <c r="F999" s="56"/>
      <c r="G999" s="57" t="s">
        <v>249</v>
      </c>
      <c r="H999" s="58" t="str">
        <f>IF(G999="","",VLOOKUP($G999,'Quy chuẩn hạch toán'!$B:$E,2,0))</f>
        <v>642</v>
      </c>
      <c r="I999" s="58" t="str">
        <f>IF(H999="","",VLOOKUP($G999,'Quy chuẩn hạch toán'!$B:$E,3,0))</f>
        <v>331</v>
      </c>
      <c r="J999" s="59">
        <v>421053.0</v>
      </c>
      <c r="K999" s="60"/>
      <c r="L999" s="61"/>
      <c r="M999" s="62"/>
      <c r="N999" s="63"/>
      <c r="O999" s="64" t="str">
        <f>IF($Q999&lt;&gt;0,VLOOKUP($Q999,DM_KM,3,0),"")</f>
        <v>THUEVP</v>
      </c>
      <c r="P999" s="64">
        <f>IF($Q999&lt;&gt;0,VLOOKUP($Q999,DM_KM,5,0),"")</f>
        <v>642</v>
      </c>
      <c r="Q999" s="65" t="s">
        <v>270</v>
      </c>
      <c r="R999" s="64" t="str">
        <f>IF(S999&lt;&gt;0,VLOOKUP(S999,DM_DUAN,3,0),"")</f>
        <v>#N/A</v>
      </c>
      <c r="S999" s="66" t="str">
        <f>IF(U999&lt;&gt;0,VLOOKUP(U999,DM_DUAN,3,0),"")</f>
        <v/>
      </c>
      <c r="T999" s="64"/>
      <c r="U999" s="93"/>
      <c r="V999" s="64" t="str">
        <f>IF(W999&lt;&gt;0,VLOOKUP(W999,DM_DUAN,3,0),"")</f>
        <v/>
      </c>
      <c r="W999" s="68"/>
      <c r="X999" s="64" t="str">
        <f>IF(Y999&lt;&gt;0,VLOOKUP(Y999,DM_DUAN,3,0),"")</f>
        <v>#N/A</v>
      </c>
      <c r="Y999" s="69" t="s">
        <v>176</v>
      </c>
      <c r="Z999" s="64" t="str">
        <f>IF(AA999&lt;&gt;0,VLOOKUP(AA999,DM_DUAN,3,0),"")</f>
        <v>#N/A</v>
      </c>
      <c r="AA999" s="70" t="s">
        <v>705</v>
      </c>
      <c r="AB999" s="64" t="str">
        <f>IF(AC999&lt;&gt;0,VLOOKUP(AC999,DM_DUAN,3,0),"")</f>
        <v/>
      </c>
      <c r="AC999" s="85"/>
      <c r="AD999" s="64" t="str">
        <f>IF(AC999&lt;&gt;0,VLOOKUP(AC999,DM_NV,2,0),"")</f>
        <v/>
      </c>
      <c r="AE999" s="68"/>
      <c r="AF999" s="64" t="str">
        <f>IF(AE999&lt;&gt;0,VLOOKUP(AE999,DM_NV,2,0),"")</f>
        <v/>
      </c>
    </row>
    <row r="1000">
      <c r="A1000" s="51"/>
      <c r="B1000" s="52" t="str">
        <f>IF(D1000="","",VLOOKUP(D1000,'THAM CHIẾU'!$A:$B,2,0))</f>
        <v>#N/A</v>
      </c>
      <c r="C1000" s="53" t="str">
        <f t="shared" si="4"/>
        <v>04/2022</v>
      </c>
      <c r="D1000" s="99">
        <v>44679.0</v>
      </c>
      <c r="E1000" s="55" t="s">
        <v>1008</v>
      </c>
      <c r="F1000" s="56"/>
      <c r="G1000" s="57" t="s">
        <v>249</v>
      </c>
      <c r="H1000" s="58" t="str">
        <f>IF(G1000="","",VLOOKUP($G1000,'Quy chuẩn hạch toán'!$B:$E,2,0))</f>
        <v>642</v>
      </c>
      <c r="I1000" s="58" t="str">
        <f>IF(H1000="","",VLOOKUP($G1000,'Quy chuẩn hạch toán'!$B:$E,3,0))</f>
        <v>331</v>
      </c>
      <c r="J1000" s="59">
        <v>842105.0</v>
      </c>
      <c r="K1000" s="60"/>
      <c r="L1000" s="61"/>
      <c r="M1000" s="62"/>
      <c r="N1000" s="63"/>
      <c r="O1000" s="64" t="str">
        <f>IF($Q1000&lt;&gt;0,VLOOKUP($Q1000,DM_KM,3,0),"")</f>
        <v>THUEVP</v>
      </c>
      <c r="P1000" s="64">
        <f>IF($Q1000&lt;&gt;0,VLOOKUP($Q1000,DM_KM,5,0),"")</f>
        <v>642</v>
      </c>
      <c r="Q1000" s="65" t="s">
        <v>270</v>
      </c>
      <c r="R1000" s="64" t="str">
        <f>IF(S1000&lt;&gt;0,VLOOKUP(S1000,DM_DUAN,3,0),"")</f>
        <v>#N/A</v>
      </c>
      <c r="S1000" s="66" t="str">
        <f>IF(U1000&lt;&gt;0,VLOOKUP(U1000,DM_DUAN,3,0),"")</f>
        <v/>
      </c>
      <c r="T1000" s="64"/>
      <c r="U1000" s="93"/>
      <c r="V1000" s="64" t="str">
        <f>IF(W1000&lt;&gt;0,VLOOKUP(W1000,DM_DUAN,3,0),"")</f>
        <v/>
      </c>
      <c r="W1000" s="68"/>
      <c r="X1000" s="64" t="str">
        <f>IF(Y1000&lt;&gt;0,VLOOKUP(Y1000,DM_DUAN,3,0),"")</f>
        <v>#N/A</v>
      </c>
      <c r="Y1000" s="69" t="s">
        <v>176</v>
      </c>
      <c r="Z1000" s="64" t="str">
        <f>IF(AA1000&lt;&gt;0,VLOOKUP(AA1000,DM_DUAN,3,0),"")</f>
        <v>#N/A</v>
      </c>
      <c r="AA1000" s="70" t="s">
        <v>183</v>
      </c>
      <c r="AB1000" s="64" t="str">
        <f>IF(AC1000&lt;&gt;0,VLOOKUP(AC1000,DM_DUAN,3,0),"")</f>
        <v/>
      </c>
      <c r="AC1000" s="85"/>
      <c r="AD1000" s="64" t="str">
        <f>IF(AC1000&lt;&gt;0,VLOOKUP(AC1000,DM_NV,2,0),"")</f>
        <v/>
      </c>
      <c r="AE1000" s="68"/>
      <c r="AF1000" s="64" t="str">
        <f>IF(AE1000&lt;&gt;0,VLOOKUP(AE1000,DM_NV,2,0),"")</f>
        <v/>
      </c>
    </row>
    <row r="1001">
      <c r="A1001" s="51"/>
      <c r="B1001" s="52" t="str">
        <f>IF(D1001="","",VLOOKUP(D1001,'THAM CHIẾU'!$A:$B,2,0))</f>
        <v>#N/A</v>
      </c>
      <c r="C1001" s="53" t="str">
        <f t="shared" si="4"/>
        <v>04/2022</v>
      </c>
      <c r="D1001" s="99">
        <v>44679.0</v>
      </c>
      <c r="E1001" s="55" t="s">
        <v>1008</v>
      </c>
      <c r="F1001" s="56"/>
      <c r="G1001" s="57" t="s">
        <v>249</v>
      </c>
      <c r="H1001" s="58" t="str">
        <f>IF(G1001="","",VLOOKUP($G1001,'Quy chuẩn hạch toán'!$B:$E,2,0))</f>
        <v>642</v>
      </c>
      <c r="I1001" s="58" t="str">
        <f>IF(H1001="","",VLOOKUP($G1001,'Quy chuẩn hạch toán'!$B:$E,3,0))</f>
        <v>331</v>
      </c>
      <c r="J1001" s="59">
        <v>315789.0</v>
      </c>
      <c r="K1001" s="60"/>
      <c r="L1001" s="61"/>
      <c r="M1001" s="62"/>
      <c r="N1001" s="63"/>
      <c r="O1001" s="64" t="str">
        <f>IF($Q1001&lt;&gt;0,VLOOKUP($Q1001,DM_KM,3,0),"")</f>
        <v>THUEVP</v>
      </c>
      <c r="P1001" s="64">
        <f>IF($Q1001&lt;&gt;0,VLOOKUP($Q1001,DM_KM,5,0),"")</f>
        <v>642</v>
      </c>
      <c r="Q1001" s="65" t="s">
        <v>270</v>
      </c>
      <c r="R1001" s="64" t="str">
        <f>IF(S1001&lt;&gt;0,VLOOKUP(S1001,DM_DUAN,3,0),"")</f>
        <v>#N/A</v>
      </c>
      <c r="S1001" s="66" t="str">
        <f>IF(U1001&lt;&gt;0,VLOOKUP(U1001,DM_DUAN,3,0),"")</f>
        <v/>
      </c>
      <c r="T1001" s="64"/>
      <c r="U1001" s="93"/>
      <c r="V1001" s="64" t="str">
        <f>IF(W1001&lt;&gt;0,VLOOKUP(W1001,DM_DUAN,3,0),"")</f>
        <v/>
      </c>
      <c r="W1001" s="68"/>
      <c r="X1001" s="64" t="str">
        <f>IF(Y1001&lt;&gt;0,VLOOKUP(Y1001,DM_DUAN,3,0),"")</f>
        <v>#N/A</v>
      </c>
      <c r="Y1001" s="69" t="s">
        <v>176</v>
      </c>
      <c r="Z1001" s="64" t="str">
        <f>IF(AA1001&lt;&gt;0,VLOOKUP(AA1001,DM_DUAN,3,0),"")</f>
        <v>#N/A</v>
      </c>
      <c r="AA1001" s="70" t="s">
        <v>177</v>
      </c>
      <c r="AB1001" s="64" t="str">
        <f>IF(AC1001&lt;&gt;0,VLOOKUP(AC1001,DM_DUAN,3,0),"")</f>
        <v/>
      </c>
      <c r="AC1001" s="85"/>
      <c r="AD1001" s="64" t="str">
        <f>IF(AC1001&lt;&gt;0,VLOOKUP(AC1001,DM_NV,2,0),"")</f>
        <v/>
      </c>
      <c r="AE1001" s="68"/>
      <c r="AF1001" s="64" t="str">
        <f>IF(AE1001&lt;&gt;0,VLOOKUP(AE1001,DM_NV,2,0),"")</f>
        <v/>
      </c>
    </row>
    <row r="1002">
      <c r="A1002" s="51"/>
      <c r="B1002" s="52" t="str">
        <f>IF(D1002="","",VLOOKUP(D1002,'THAM CHIẾU'!$A:$B,2,0))</f>
        <v>#N/A</v>
      </c>
      <c r="C1002" s="53" t="str">
        <f t="shared" si="4"/>
        <v>04/2022</v>
      </c>
      <c r="D1002" s="99">
        <v>44679.0</v>
      </c>
      <c r="E1002" s="55" t="s">
        <v>1008</v>
      </c>
      <c r="F1002" s="56"/>
      <c r="G1002" s="57" t="s">
        <v>249</v>
      </c>
      <c r="H1002" s="58" t="str">
        <f>IF(G1002="","",VLOOKUP($G1002,'Quy chuẩn hạch toán'!$B:$E,2,0))</f>
        <v>642</v>
      </c>
      <c r="I1002" s="58" t="str">
        <f>IF(H1002="","",VLOOKUP($G1002,'Quy chuẩn hạch toán'!$B:$E,3,0))</f>
        <v>331</v>
      </c>
      <c r="J1002" s="59">
        <v>421053.0</v>
      </c>
      <c r="K1002" s="60"/>
      <c r="L1002" s="61"/>
      <c r="M1002" s="62"/>
      <c r="N1002" s="63"/>
      <c r="O1002" s="64" t="str">
        <f>IF($Q1002&lt;&gt;0,VLOOKUP($Q1002,DM_KM,3,0),"")</f>
        <v>THUEVP</v>
      </c>
      <c r="P1002" s="64">
        <f>IF($Q1002&lt;&gt;0,VLOOKUP($Q1002,DM_KM,5,0),"")</f>
        <v>642</v>
      </c>
      <c r="Q1002" s="65" t="s">
        <v>270</v>
      </c>
      <c r="R1002" s="64" t="str">
        <f>IF(S1002&lt;&gt;0,VLOOKUP(S1002,DM_DUAN,3,0),"")</f>
        <v>#N/A</v>
      </c>
      <c r="S1002" s="66" t="str">
        <f>IF(U1002&lt;&gt;0,VLOOKUP(U1002,DM_DUAN,3,0),"")</f>
        <v/>
      </c>
      <c r="T1002" s="64"/>
      <c r="U1002" s="93"/>
      <c r="V1002" s="64" t="str">
        <f>IF(W1002&lt;&gt;0,VLOOKUP(W1002,DM_DUAN,3,0),"")</f>
        <v/>
      </c>
      <c r="W1002" s="68"/>
      <c r="X1002" s="64" t="str">
        <f>IF(Y1002&lt;&gt;0,VLOOKUP(Y1002,DM_DUAN,3,0),"")</f>
        <v>#N/A</v>
      </c>
      <c r="Y1002" s="69" t="s">
        <v>176</v>
      </c>
      <c r="Z1002" s="64" t="str">
        <f>IF(AA1002&lt;&gt;0,VLOOKUP(AA1002,DM_DUAN,3,0),"")</f>
        <v>#N/A</v>
      </c>
      <c r="AA1002" s="70" t="s">
        <v>210</v>
      </c>
      <c r="AB1002" s="64" t="str">
        <f>IF(AC1002&lt;&gt;0,VLOOKUP(AC1002,DM_DUAN,3,0),"")</f>
        <v/>
      </c>
      <c r="AC1002" s="85"/>
      <c r="AD1002" s="64" t="str">
        <f>IF(AC1002&lt;&gt;0,VLOOKUP(AC1002,DM_NV,2,0),"")</f>
        <v/>
      </c>
      <c r="AE1002" s="68"/>
      <c r="AF1002" s="64" t="str">
        <f>IF(AE1002&lt;&gt;0,VLOOKUP(AE1002,DM_NV,2,0),"")</f>
        <v/>
      </c>
    </row>
    <row r="1003">
      <c r="A1003" s="51"/>
      <c r="B1003" s="52" t="str">
        <f>IF(D1003="","",VLOOKUP(D1003,'THAM CHIẾU'!$A:$B,2,0))</f>
        <v>#N/A</v>
      </c>
      <c r="C1003" s="53" t="str">
        <f t="shared" si="4"/>
        <v>04/2022</v>
      </c>
      <c r="D1003" s="99">
        <v>44679.0</v>
      </c>
      <c r="E1003" s="55" t="s">
        <v>1009</v>
      </c>
      <c r="F1003" s="56"/>
      <c r="G1003" s="57" t="s">
        <v>173</v>
      </c>
      <c r="H1003" s="58" t="str">
        <f>IF(G1003="","",VLOOKUP($G1003,'Quy chuẩn hạch toán'!$B:$E,2,0))</f>
        <v>641</v>
      </c>
      <c r="I1003" s="58" t="str">
        <f>IF(H1003="","",VLOOKUP($G1003,'Quy chuẩn hạch toán'!$B:$E,3,0))</f>
        <v>331</v>
      </c>
      <c r="J1003" s="59">
        <v>2820000.0</v>
      </c>
      <c r="K1003" s="60"/>
      <c r="L1003" s="61"/>
      <c r="M1003" s="62"/>
      <c r="N1003" s="63"/>
      <c r="O1003" s="64" t="str">
        <f>IF($Q1003&lt;&gt;0,VLOOKUP($Q1003,DM_KM,3,0),"")</f>
        <v>#N/A</v>
      </c>
      <c r="P1003" s="64" t="str">
        <f>IF($Q1003&lt;&gt;0,VLOOKUP($Q1003,DM_KM,5,0),"")</f>
        <v>#N/A</v>
      </c>
      <c r="Q1003" s="65" t="s">
        <v>174</v>
      </c>
      <c r="R1003" s="64" t="str">
        <f>IF(S1003&lt;&gt;0,VLOOKUP(S1003,DM_DUAN,3,0),"")</f>
        <v>#N/A</v>
      </c>
      <c r="S1003" s="66" t="str">
        <f>IF(U1003&lt;&gt;0,VLOOKUP(U1003,DM_DUAN,3,0),"")</f>
        <v>KIMCUONGLAND</v>
      </c>
      <c r="T1003" s="64"/>
      <c r="U1003" s="67" t="s">
        <v>638</v>
      </c>
      <c r="V1003" s="64" t="str">
        <f>IF(W1003&lt;&gt;0,VLOOKUP(W1003,DM_DUAN,3,0),"")</f>
        <v/>
      </c>
      <c r="W1003" s="68"/>
      <c r="X1003" s="64" t="str">
        <f>IF(Y1003&lt;&gt;0,VLOOKUP(Y1003,DM_DUAN,3,0),"")</f>
        <v/>
      </c>
      <c r="Y1003" s="84"/>
      <c r="Z1003" s="64" t="str">
        <f>IF(AA1003&lt;&gt;0,VLOOKUP(AA1003,DM_DUAN,3,0),"")</f>
        <v>#N/A</v>
      </c>
      <c r="AA1003" s="70" t="s">
        <v>705</v>
      </c>
      <c r="AB1003" s="64" t="str">
        <f>IF(AC1003&lt;&gt;0,VLOOKUP(AC1003,DM_DUAN,3,0),"")</f>
        <v/>
      </c>
      <c r="AC1003" s="85"/>
      <c r="AD1003" s="64" t="str">
        <f>IF(AC1003&lt;&gt;0,VLOOKUP(AC1003,DM_NV,2,0),"")</f>
        <v/>
      </c>
      <c r="AE1003" s="68"/>
      <c r="AF1003" s="64" t="str">
        <f>IF(AE1003&lt;&gt;0,VLOOKUP(AE1003,DM_NV,2,0),"")</f>
        <v/>
      </c>
    </row>
    <row r="1004">
      <c r="A1004" s="51"/>
      <c r="B1004" s="52" t="str">
        <f>IF(D1004="","",VLOOKUP(D1004,'THAM CHIẾU'!$A:$B,2,0))</f>
        <v>#N/A</v>
      </c>
      <c r="C1004" s="53" t="str">
        <f t="shared" si="4"/>
        <v>04/2022</v>
      </c>
      <c r="D1004" s="99">
        <v>44680.0</v>
      </c>
      <c r="E1004" s="55" t="s">
        <v>1010</v>
      </c>
      <c r="F1004" s="56"/>
      <c r="G1004" s="57" t="s">
        <v>275</v>
      </c>
      <c r="H1004" s="58" t="str">
        <f>IF(G1004="","",VLOOKUP($G1004,'Quy chuẩn hạch toán'!$B:$E,2,0))</f>
        <v>3341</v>
      </c>
      <c r="I1004" s="58" t="str">
        <f>IF(H1004="","",VLOOKUP($G1004,'Quy chuẩn hạch toán'!$B:$E,3,0))</f>
        <v>1111</v>
      </c>
      <c r="J1004" s="59">
        <v>2.17E7</v>
      </c>
      <c r="K1004" s="60"/>
      <c r="L1004" s="61"/>
      <c r="M1004" s="62"/>
      <c r="N1004" s="63"/>
      <c r="O1004" s="64" t="str">
        <f>IF($Q1004&lt;&gt;0,VLOOKUP($Q1004,DM_KM,3,0),"")</f>
        <v/>
      </c>
      <c r="P1004" s="64" t="str">
        <f>IF($Q1004&lt;&gt;0,VLOOKUP($Q1004,DM_KM,5,0),"")</f>
        <v/>
      </c>
      <c r="Q1004" s="89"/>
      <c r="R1004" s="64" t="str">
        <f>IF(S1004&lt;&gt;0,VLOOKUP(S1004,DM_DUAN,3,0),"")</f>
        <v>#N/A</v>
      </c>
      <c r="S1004" s="66" t="str">
        <f>IF(U1004&lt;&gt;0,VLOOKUP(U1004,DM_DUAN,3,0),"")</f>
        <v>KIMCUONGLAND</v>
      </c>
      <c r="T1004" s="64"/>
      <c r="U1004" s="67" t="s">
        <v>636</v>
      </c>
      <c r="V1004" s="64" t="str">
        <f>IF(W1004&lt;&gt;0,VLOOKUP(W1004,DM_DUAN,3,0),"")</f>
        <v>#N/A</v>
      </c>
      <c r="W1004" s="83" t="s">
        <v>1002</v>
      </c>
      <c r="X1004" s="64" t="str">
        <f>IF(Y1004&lt;&gt;0,VLOOKUP(Y1004,DM_DUAN,3,0),"")</f>
        <v/>
      </c>
      <c r="Y1004" s="84"/>
      <c r="Z1004" s="64" t="str">
        <f>IF(AA1004&lt;&gt;0,VLOOKUP(AA1004,DM_DUAN,3,0),"")</f>
        <v>#N/A</v>
      </c>
      <c r="AA1004" s="70" t="s">
        <v>705</v>
      </c>
      <c r="AB1004" s="64" t="str">
        <f>IF(AC1004&lt;&gt;0,VLOOKUP(AC1004,DM_DUAN,3,0),"")</f>
        <v>#N/A</v>
      </c>
      <c r="AC1004" s="70" t="s">
        <v>1003</v>
      </c>
      <c r="AD1004" s="64" t="str">
        <f>IF(AC1004&lt;&gt;0,VLOOKUP(AC1004,DM_NV,2,0),"")</f>
        <v>Nguyễn Dũng Đạt</v>
      </c>
      <c r="AE1004" s="83" t="s">
        <v>276</v>
      </c>
      <c r="AF1004" s="64" t="str">
        <f>IF(AE1004&lt;&gt;0,VLOOKUP(AE1004,DM_NV,2,0),"")</f>
        <v>#N/A</v>
      </c>
    </row>
    <row r="1005">
      <c r="A1005" s="51"/>
      <c r="B1005" s="52" t="str">
        <f>IF(D1005="","",VLOOKUP(D1005,'THAM CHIẾU'!$A:$B,2,0))</f>
        <v>#N/A</v>
      </c>
      <c r="C1005" s="53" t="str">
        <f t="shared" si="4"/>
        <v>04/2022</v>
      </c>
      <c r="D1005" s="99">
        <v>44680.0</v>
      </c>
      <c r="E1005" s="55" t="s">
        <v>1011</v>
      </c>
      <c r="F1005" s="56"/>
      <c r="G1005" s="100" t="s">
        <v>278</v>
      </c>
      <c r="H1005" s="58" t="str">
        <f>IF(G1005="","",VLOOKUP($G1005,'Quy chuẩn hạch toán'!$B:$E,2,0))</f>
        <v>154</v>
      </c>
      <c r="I1005" s="58" t="str">
        <f>IF(H1005="","",VLOOKUP($G1005,'Quy chuẩn hạch toán'!$B:$E,3,0))</f>
        <v>1111</v>
      </c>
      <c r="J1005" s="59">
        <v>1000000.0</v>
      </c>
      <c r="K1005" s="60"/>
      <c r="L1005" s="61"/>
      <c r="M1005" s="62"/>
      <c r="N1005" s="63"/>
      <c r="O1005" s="64" t="str">
        <f>IF($Q1005&lt;&gt;0,VLOOKUP($Q1005,DM_KM,3,0),"")</f>
        <v/>
      </c>
      <c r="P1005" s="64" t="str">
        <f>IF($Q1005&lt;&gt;0,VLOOKUP($Q1005,DM_KM,5,0),"")</f>
        <v/>
      </c>
      <c r="Q1005" s="65"/>
      <c r="R1005" s="64" t="str">
        <f>IF(S1005&lt;&gt;0,VLOOKUP(S1005,DM_DUAN,3,0),"")</f>
        <v>#N/A</v>
      </c>
      <c r="S1005" s="66" t="str">
        <f>IF(U1005&lt;&gt;0,VLOOKUP(U1005,DM_DUAN,3,0),"")</f>
        <v>KIMCUONGLAND</v>
      </c>
      <c r="T1005" s="64"/>
      <c r="U1005" s="67" t="s">
        <v>636</v>
      </c>
      <c r="V1005" s="64" t="str">
        <f>IF(W1005&lt;&gt;0,VLOOKUP(W1005,DM_DUAN,3,0),"")</f>
        <v>#N/A</v>
      </c>
      <c r="W1005" s="83" t="s">
        <v>1002</v>
      </c>
      <c r="X1005" s="64" t="str">
        <f>IF(Y1005&lt;&gt;0,VLOOKUP(Y1005,DM_DUAN,3,0),"")</f>
        <v>#N/A</v>
      </c>
      <c r="Y1005" s="69" t="s">
        <v>176</v>
      </c>
      <c r="Z1005" s="64" t="str">
        <f>IF(AA1005&lt;&gt;0,VLOOKUP(AA1005,DM_DUAN,3,0),"")</f>
        <v>#N/A</v>
      </c>
      <c r="AA1005" s="70" t="s">
        <v>705</v>
      </c>
      <c r="AB1005" s="64" t="str">
        <f>IF(AC1005&lt;&gt;0,VLOOKUP(AC1005,DM_DUAN,3,0),"")</f>
        <v/>
      </c>
      <c r="AC1005" s="85"/>
      <c r="AD1005" s="64" t="str">
        <f>IF(AC1005&lt;&gt;0,VLOOKUP(AC1005,DM_NV,2,0),"")</f>
        <v/>
      </c>
      <c r="AE1005" s="83" t="s">
        <v>263</v>
      </c>
      <c r="AF1005" s="64" t="str">
        <f>IF(AE1005&lt;&gt;0,VLOOKUP(AE1005,DM_NV,2,0),"")</f>
        <v>#N/A</v>
      </c>
    </row>
    <row r="1006">
      <c r="A1006" s="51"/>
      <c r="B1006" s="52" t="str">
        <f>IF(D1006="","",VLOOKUP(D1006,'THAM CHIẾU'!$A:$B,2,0))</f>
        <v>#N/A</v>
      </c>
      <c r="C1006" s="53" t="str">
        <f t="shared" si="4"/>
        <v>04/2022</v>
      </c>
      <c r="D1006" s="99">
        <v>44680.0</v>
      </c>
      <c r="E1006" s="55" t="s">
        <v>1012</v>
      </c>
      <c r="F1006" s="56"/>
      <c r="G1006" s="57" t="s">
        <v>282</v>
      </c>
      <c r="H1006" s="58" t="str">
        <f>IF(G1006="","",VLOOKUP($G1006,'Quy chuẩn hạch toán'!$B:$E,2,0))</f>
        <v>1111</v>
      </c>
      <c r="I1006" s="58" t="str">
        <f>IF(H1006="","",VLOOKUP($G1006,'Quy chuẩn hạch toán'!$B:$E,3,0))</f>
        <v>131</v>
      </c>
      <c r="J1006" s="59">
        <v>9.92E7</v>
      </c>
      <c r="K1006" s="60"/>
      <c r="L1006" s="61"/>
      <c r="M1006" s="62"/>
      <c r="N1006" s="63"/>
      <c r="O1006" s="64" t="str">
        <f>IF($Q1006&lt;&gt;0,VLOOKUP($Q1006,DM_KM,3,0),"")</f>
        <v/>
      </c>
      <c r="P1006" s="64" t="str">
        <f>IF($Q1006&lt;&gt;0,VLOOKUP($Q1006,DM_KM,5,0),"")</f>
        <v/>
      </c>
      <c r="Q1006" s="65"/>
      <c r="R1006" s="64" t="str">
        <f>IF(S1006&lt;&gt;0,VLOOKUP(S1006,DM_DUAN,3,0),"")</f>
        <v>#N/A</v>
      </c>
      <c r="S1006" s="66" t="str">
        <f>IF(U1006&lt;&gt;0,VLOOKUP(U1006,DM_DUAN,3,0),"")</f>
        <v>KIMCUONGLAND</v>
      </c>
      <c r="T1006" s="64"/>
      <c r="U1006" s="67" t="s">
        <v>636</v>
      </c>
      <c r="V1006" s="64" t="str">
        <f>IF(W1006&lt;&gt;0,VLOOKUP(W1006,DM_DUAN,3,0),"")</f>
        <v>#N/A</v>
      </c>
      <c r="W1006" s="83" t="s">
        <v>1002</v>
      </c>
      <c r="X1006" s="64" t="str">
        <f>IF(Y1006&lt;&gt;0,VLOOKUP(Y1006,DM_DUAN,3,0),"")</f>
        <v/>
      </c>
      <c r="Y1006" s="84"/>
      <c r="Z1006" s="64" t="str">
        <f>IF(AA1006&lt;&gt;0,VLOOKUP(AA1006,DM_DUAN,3,0),"")</f>
        <v>#N/A</v>
      </c>
      <c r="AA1006" s="70" t="s">
        <v>705</v>
      </c>
      <c r="AB1006" s="64" t="str">
        <f>IF(AC1006&lt;&gt;0,VLOOKUP(AC1006,DM_DUAN,3,0),"")</f>
        <v/>
      </c>
      <c r="AC1006" s="85"/>
      <c r="AD1006" s="64" t="str">
        <f>IF(AC1006&lt;&gt;0,VLOOKUP(AC1006,DM_NV,2,0),"")</f>
        <v/>
      </c>
      <c r="AE1006" s="68"/>
      <c r="AF1006" s="64" t="str">
        <f>IF(AE1006&lt;&gt;0,VLOOKUP(AE1006,DM_NV,2,0),"")</f>
        <v/>
      </c>
    </row>
    <row r="1007">
      <c r="A1007" s="51"/>
      <c r="B1007" s="52" t="str">
        <f>IF(D1007="","",VLOOKUP(D1007,'THAM CHIẾU'!$A:$B,2,0))</f>
        <v>#N/A</v>
      </c>
      <c r="C1007" s="53" t="str">
        <f t="shared" si="4"/>
        <v>04/2022</v>
      </c>
      <c r="D1007" s="99">
        <v>44680.0</v>
      </c>
      <c r="E1007" s="55" t="s">
        <v>1013</v>
      </c>
      <c r="F1007" s="56"/>
      <c r="G1007" s="57" t="s">
        <v>280</v>
      </c>
      <c r="H1007" s="58" t="str">
        <f>IF(G1007="","",VLOOKUP($G1007,'Quy chuẩn hạch toán'!$B:$E,2,0))</f>
        <v>521</v>
      </c>
      <c r="I1007" s="58" t="str">
        <f>IF(H1007="","",VLOOKUP($G1007,'Quy chuẩn hạch toán'!$B:$E,3,0))</f>
        <v>1111</v>
      </c>
      <c r="J1007" s="59">
        <v>2.0E7</v>
      </c>
      <c r="K1007" s="60"/>
      <c r="L1007" s="61"/>
      <c r="M1007" s="62"/>
      <c r="N1007" s="63"/>
      <c r="O1007" s="64"/>
      <c r="P1007" s="64"/>
      <c r="Q1007" s="89"/>
      <c r="R1007" s="64"/>
      <c r="S1007" s="66"/>
      <c r="T1007" s="64"/>
      <c r="U1007" s="67" t="s">
        <v>530</v>
      </c>
      <c r="V1007" s="64"/>
      <c r="W1007" s="83" t="s">
        <v>964</v>
      </c>
      <c r="X1007" s="64"/>
      <c r="Y1007" s="84"/>
      <c r="Z1007" s="64"/>
      <c r="AA1007" s="70" t="s">
        <v>183</v>
      </c>
      <c r="AB1007" s="64"/>
      <c r="AC1007" s="70"/>
      <c r="AD1007" s="64" t="str">
        <f>IF(AC1007&lt;&gt;0,VLOOKUP(AC1007,DM_NV,2,0),"")</f>
        <v/>
      </c>
      <c r="AE1007" s="83" t="s">
        <v>181</v>
      </c>
      <c r="AF1007" s="64" t="str">
        <f>IF(AE1007&lt;&gt;0,VLOOKUP(AE1007,DM_NV,2,0),"")</f>
        <v>#N/A</v>
      </c>
    </row>
    <row r="1008">
      <c r="A1008" s="51"/>
      <c r="B1008" s="52" t="str">
        <f>IF(D1008="","",VLOOKUP(D1008,'THAM CHIẾU'!$A:$B,2,0))</f>
        <v>#N/A</v>
      </c>
      <c r="C1008" s="53" t="str">
        <f t="shared" si="4"/>
        <v>04/2022</v>
      </c>
      <c r="D1008" s="99">
        <v>44680.0</v>
      </c>
      <c r="E1008" s="55" t="s">
        <v>1014</v>
      </c>
      <c r="F1008" s="56"/>
      <c r="G1008" s="57" t="s">
        <v>275</v>
      </c>
      <c r="H1008" s="58" t="str">
        <f>IF(G1008="","",VLOOKUP($G1008,'Quy chuẩn hạch toán'!$B:$E,2,0))</f>
        <v>3341</v>
      </c>
      <c r="I1008" s="58" t="str">
        <f>IF(H1008="","",VLOOKUP($G1008,'Quy chuẩn hạch toán'!$B:$E,3,0))</f>
        <v>1111</v>
      </c>
      <c r="J1008" s="59">
        <v>4.8E7</v>
      </c>
      <c r="K1008" s="60"/>
      <c r="L1008" s="61"/>
      <c r="M1008" s="62"/>
      <c r="N1008" s="63"/>
      <c r="O1008" s="64" t="str">
        <f>IF($Q1008&lt;&gt;0,VLOOKUP($Q1008,DM_KM,3,0),"")</f>
        <v/>
      </c>
      <c r="P1008" s="64" t="str">
        <f>IF($Q1008&lt;&gt;0,VLOOKUP($Q1008,DM_KM,5,0),"")</f>
        <v/>
      </c>
      <c r="Q1008" s="89"/>
      <c r="R1008" s="64" t="str">
        <f>IF(S1008&lt;&gt;0,VLOOKUP(S1008,DM_DUAN,3,0),"")</f>
        <v>#N/A</v>
      </c>
      <c r="S1008" s="66" t="str">
        <f>IF(U1008&lt;&gt;0,VLOOKUP(U1008,DM_DUAN,3,0),"")</f>
        <v>THANHNAM</v>
      </c>
      <c r="T1008" s="64"/>
      <c r="U1008" s="67" t="s">
        <v>530</v>
      </c>
      <c r="V1008" s="64" t="str">
        <f>IF(W1008&lt;&gt;0,VLOOKUP(W1008,DM_DUAN,3,0),"")</f>
        <v>#N/A</v>
      </c>
      <c r="W1008" s="83" t="s">
        <v>964</v>
      </c>
      <c r="X1008" s="64" t="str">
        <f>IF(Y1008&lt;&gt;0,VLOOKUP(Y1008,DM_DUAN,3,0),"")</f>
        <v/>
      </c>
      <c r="Y1008" s="84"/>
      <c r="Z1008" s="64" t="str">
        <f>IF(AA1008&lt;&gt;0,VLOOKUP(AA1008,DM_DUAN,3,0),"")</f>
        <v>#N/A</v>
      </c>
      <c r="AA1008" s="70" t="s">
        <v>183</v>
      </c>
      <c r="AB1008" s="64" t="str">
        <f>IF(AC1008&lt;&gt;0,VLOOKUP(AC1008,DM_DUAN,3,0),"")</f>
        <v>#N/A</v>
      </c>
      <c r="AC1008" s="70" t="s">
        <v>966</v>
      </c>
      <c r="AD1008" s="64" t="str">
        <f>IF(AC1008&lt;&gt;0,VLOOKUP(AC1008,DM_NV,2,0),"")</f>
        <v>Vũ Thị Kim Anh</v>
      </c>
      <c r="AE1008" s="83" t="s">
        <v>276</v>
      </c>
      <c r="AF1008" s="64" t="str">
        <f>IF(AE1008&lt;&gt;0,VLOOKUP(AE1008,DM_NV,2,0),"")</f>
        <v>#N/A</v>
      </c>
    </row>
    <row r="1009">
      <c r="A1009" s="51"/>
      <c r="B1009" s="52" t="str">
        <f>IF(D1009="","",VLOOKUP(D1009,'THAM CHIẾU'!$A:$B,2,0))</f>
        <v>#N/A</v>
      </c>
      <c r="C1009" s="53" t="str">
        <f t="shared" si="4"/>
        <v>04/2022</v>
      </c>
      <c r="D1009" s="99">
        <v>44680.0</v>
      </c>
      <c r="E1009" s="55" t="s">
        <v>1015</v>
      </c>
      <c r="F1009" s="56"/>
      <c r="G1009" s="57" t="s">
        <v>275</v>
      </c>
      <c r="H1009" s="58" t="str">
        <f>IF(G1009="","",VLOOKUP($G1009,'Quy chuẩn hạch toán'!$B:$E,2,0))</f>
        <v>3341</v>
      </c>
      <c r="I1009" s="58" t="str">
        <f>IF(H1009="","",VLOOKUP($G1009,'Quy chuẩn hạch toán'!$B:$E,3,0))</f>
        <v>1111</v>
      </c>
      <c r="J1009" s="59">
        <v>4500000.0</v>
      </c>
      <c r="K1009" s="60"/>
      <c r="L1009" s="61"/>
      <c r="M1009" s="62"/>
      <c r="N1009" s="63"/>
      <c r="O1009" s="64" t="str">
        <f>IF($Q1009&lt;&gt;0,VLOOKUP($Q1009,DM_KM,3,0),"")</f>
        <v/>
      </c>
      <c r="P1009" s="64" t="str">
        <f>IF($Q1009&lt;&gt;0,VLOOKUP($Q1009,DM_KM,5,0),"")</f>
        <v/>
      </c>
      <c r="Q1009" s="65"/>
      <c r="R1009" s="64" t="str">
        <f>IF(S1009&lt;&gt;0,VLOOKUP(S1009,DM_DUAN,3,0),"")</f>
        <v>#N/A</v>
      </c>
      <c r="S1009" s="66" t="str">
        <f>IF(U1009&lt;&gt;0,VLOOKUP(U1009,DM_DUAN,3,0),"")</f>
        <v>THANHNAM</v>
      </c>
      <c r="T1009" s="64"/>
      <c r="U1009" s="67" t="s">
        <v>530</v>
      </c>
      <c r="V1009" s="64" t="str">
        <f>IF(W1009&lt;&gt;0,VLOOKUP(W1009,DM_DUAN,3,0),"")</f>
        <v>#N/A</v>
      </c>
      <c r="W1009" s="83" t="s">
        <v>964</v>
      </c>
      <c r="X1009" s="64" t="str">
        <f>IF(Y1009&lt;&gt;0,VLOOKUP(Y1009,DM_DUAN,3,0),"")</f>
        <v/>
      </c>
      <c r="Y1009" s="84"/>
      <c r="Z1009" s="64" t="str">
        <f>IF(AA1009&lt;&gt;0,VLOOKUP(AA1009,DM_DUAN,3,0),"")</f>
        <v>#N/A</v>
      </c>
      <c r="AA1009" s="70" t="s">
        <v>183</v>
      </c>
      <c r="AB1009" s="64" t="str">
        <f>IF(AC1009&lt;&gt;0,VLOOKUP(AC1009,DM_DUAN,3,0),"")</f>
        <v>#N/A</v>
      </c>
      <c r="AC1009" s="70" t="s">
        <v>232</v>
      </c>
      <c r="AD1009" s="64" t="str">
        <f>IF(AC1009&lt;&gt;0,VLOOKUP(AC1009,DM_NV,2,0),"")</f>
        <v>Lê Quốc Tuấn</v>
      </c>
      <c r="AE1009" s="83" t="s">
        <v>276</v>
      </c>
      <c r="AF1009" s="64" t="str">
        <f>IF(AE1009&lt;&gt;0,VLOOKUP(AE1009,DM_NV,2,0),"")</f>
        <v>#N/A</v>
      </c>
    </row>
    <row r="1010">
      <c r="A1010" s="51"/>
      <c r="B1010" s="52" t="str">
        <f>IF(D1010="","",VLOOKUP(D1010,'THAM CHIẾU'!$A:$B,2,0))</f>
        <v>#N/A</v>
      </c>
      <c r="C1010" s="53" t="str">
        <f t="shared" si="4"/>
        <v>04/2022</v>
      </c>
      <c r="D1010" s="99">
        <v>44680.0</v>
      </c>
      <c r="E1010" s="55" t="s">
        <v>1016</v>
      </c>
      <c r="F1010" s="56"/>
      <c r="G1010" s="100" t="s">
        <v>278</v>
      </c>
      <c r="H1010" s="58" t="str">
        <f>IF(G1010="","",VLOOKUP($G1010,'Quy chuẩn hạch toán'!$B:$E,2,0))</f>
        <v>154</v>
      </c>
      <c r="I1010" s="58" t="str">
        <f>IF(H1010="","",VLOOKUP($G1010,'Quy chuẩn hạch toán'!$B:$E,3,0))</f>
        <v>1111</v>
      </c>
      <c r="J1010" s="59">
        <v>1000000.0</v>
      </c>
      <c r="K1010" s="60"/>
      <c r="L1010" s="61"/>
      <c r="M1010" s="62"/>
      <c r="N1010" s="63"/>
      <c r="O1010" s="64"/>
      <c r="P1010" s="64"/>
      <c r="Q1010" s="89"/>
      <c r="R1010" s="64"/>
      <c r="S1010" s="66"/>
      <c r="T1010" s="64"/>
      <c r="U1010" s="67" t="s">
        <v>530</v>
      </c>
      <c r="V1010" s="64"/>
      <c r="W1010" s="83" t="s">
        <v>964</v>
      </c>
      <c r="X1010" s="64"/>
      <c r="Y1010" s="69" t="s">
        <v>176</v>
      </c>
      <c r="Z1010" s="64"/>
      <c r="AA1010" s="70" t="s">
        <v>183</v>
      </c>
      <c r="AB1010" s="64"/>
      <c r="AC1010" s="70"/>
      <c r="AD1010" s="64" t="str">
        <f>IF(AC1010&lt;&gt;0,VLOOKUP(AC1010,DM_NV,2,0),"")</f>
        <v/>
      </c>
      <c r="AE1010" s="83" t="s">
        <v>263</v>
      </c>
      <c r="AF1010" s="64" t="str">
        <f>IF(AE1010&lt;&gt;0,VLOOKUP(AE1010,DM_NV,2,0),"")</f>
        <v>#N/A</v>
      </c>
    </row>
    <row r="1011">
      <c r="A1011" s="51"/>
      <c r="B1011" s="52" t="str">
        <f>IF(D1011="","",VLOOKUP(D1011,'THAM CHIẾU'!$A:$B,2,0))</f>
        <v>#N/A</v>
      </c>
      <c r="C1011" s="53" t="str">
        <f t="shared" si="4"/>
        <v>04/2022</v>
      </c>
      <c r="D1011" s="99">
        <v>44680.0</v>
      </c>
      <c r="E1011" s="55" t="s">
        <v>1017</v>
      </c>
      <c r="F1011" s="56"/>
      <c r="G1011" s="57" t="s">
        <v>282</v>
      </c>
      <c r="H1011" s="58" t="str">
        <f>IF(G1011="","",VLOOKUP($G1011,'Quy chuẩn hạch toán'!$B:$E,2,0))</f>
        <v>1111</v>
      </c>
      <c r="I1011" s="58" t="str">
        <f>IF(H1011="","",VLOOKUP($G1011,'Quy chuẩn hạch toán'!$B:$E,3,0))</f>
        <v>131</v>
      </c>
      <c r="J1011" s="59">
        <v>1.69E8</v>
      </c>
      <c r="K1011" s="60"/>
      <c r="L1011" s="61"/>
      <c r="M1011" s="62"/>
      <c r="N1011" s="63"/>
      <c r="O1011" s="64" t="str">
        <f>IF($Q1011&lt;&gt;0,VLOOKUP($Q1011,DM_KM,3,0),"")</f>
        <v/>
      </c>
      <c r="P1011" s="64" t="str">
        <f>IF($Q1011&lt;&gt;0,VLOOKUP($Q1011,DM_KM,5,0),"")</f>
        <v/>
      </c>
      <c r="Q1011" s="65"/>
      <c r="R1011" s="64" t="str">
        <f>IF(S1011&lt;&gt;0,VLOOKUP(S1011,DM_DUAN,3,0),"")</f>
        <v>#N/A</v>
      </c>
      <c r="S1011" s="66" t="str">
        <f>IF(U1011&lt;&gt;0,VLOOKUP(U1011,DM_DUAN,3,0),"")</f>
        <v>THANHNAM</v>
      </c>
      <c r="T1011" s="64"/>
      <c r="U1011" s="67" t="s">
        <v>530</v>
      </c>
      <c r="V1011" s="64" t="str">
        <f>IF(W1011&lt;&gt;0,VLOOKUP(W1011,DM_DUAN,3,0),"")</f>
        <v>#N/A</v>
      </c>
      <c r="W1011" s="83" t="s">
        <v>964</v>
      </c>
      <c r="X1011" s="64" t="str">
        <f>IF(Y1011&lt;&gt;0,VLOOKUP(Y1011,DM_DUAN,3,0),"")</f>
        <v/>
      </c>
      <c r="Y1011" s="84"/>
      <c r="Z1011" s="64" t="str">
        <f>IF(AA1011&lt;&gt;0,VLOOKUP(AA1011,DM_DUAN,3,0),"")</f>
        <v>#N/A</v>
      </c>
      <c r="AA1011" s="70" t="s">
        <v>183</v>
      </c>
      <c r="AB1011" s="64" t="str">
        <f>IF(AC1011&lt;&gt;0,VLOOKUP(AC1011,DM_DUAN,3,0),"")</f>
        <v/>
      </c>
      <c r="AC1011" s="85"/>
      <c r="AD1011" s="64" t="str">
        <f>IF(AC1011&lt;&gt;0,VLOOKUP(AC1011,DM_NV,2,0),"")</f>
        <v/>
      </c>
      <c r="AE1011" s="68"/>
      <c r="AF1011" s="64" t="str">
        <f>IF(AE1011&lt;&gt;0,VLOOKUP(AE1011,DM_NV,2,0),"")</f>
        <v/>
      </c>
    </row>
    <row r="1012">
      <c r="A1012" s="51"/>
      <c r="B1012" s="52" t="str">
        <f>IF(D1012="","",VLOOKUP(D1012,'THAM CHIẾU'!$A:$B,2,0))</f>
        <v>#N/A</v>
      </c>
      <c r="C1012" s="53" t="str">
        <f t="shared" si="4"/>
        <v>04/2022</v>
      </c>
      <c r="D1012" s="99">
        <v>44680.0</v>
      </c>
      <c r="E1012" s="55" t="s">
        <v>1018</v>
      </c>
      <c r="F1012" s="56"/>
      <c r="G1012" s="57" t="s">
        <v>275</v>
      </c>
      <c r="H1012" s="58" t="str">
        <f>IF(G1012="","",VLOOKUP($G1012,'Quy chuẩn hạch toán'!$B:$E,2,0))</f>
        <v>3341</v>
      </c>
      <c r="I1012" s="58" t="str">
        <f>IF(H1012="","",VLOOKUP($G1012,'Quy chuẩn hạch toán'!$B:$E,3,0))</f>
        <v>1111</v>
      </c>
      <c r="J1012" s="59">
        <v>1.875E7</v>
      </c>
      <c r="K1012" s="60"/>
      <c r="L1012" s="61"/>
      <c r="M1012" s="62"/>
      <c r="N1012" s="63"/>
      <c r="O1012" s="64" t="str">
        <f>IF($Q1012&lt;&gt;0,VLOOKUP($Q1012,DM_KM,3,0),"")</f>
        <v/>
      </c>
      <c r="P1012" s="64" t="str">
        <f>IF($Q1012&lt;&gt;0,VLOOKUP($Q1012,DM_KM,5,0),"")</f>
        <v/>
      </c>
      <c r="Q1012" s="89"/>
      <c r="R1012" s="64" t="str">
        <f>IF(S1012&lt;&gt;0,VLOOKUP(S1012,DM_DUAN,3,0),"")</f>
        <v>#N/A</v>
      </c>
      <c r="S1012" s="66" t="str">
        <f>IF(U1012&lt;&gt;0,VLOOKUP(U1012,DM_DUAN,3,0),"")</f>
        <v>KIMCUONGLAND</v>
      </c>
      <c r="T1012" s="64"/>
      <c r="U1012" s="67" t="s">
        <v>638</v>
      </c>
      <c r="V1012" s="64" t="str">
        <f>IF(W1012&lt;&gt;0,VLOOKUP(W1012,DM_DUAN,3,0),"")</f>
        <v>#N/A</v>
      </c>
      <c r="W1012" s="83" t="s">
        <v>992</v>
      </c>
      <c r="X1012" s="64" t="str">
        <f>IF(Y1012&lt;&gt;0,VLOOKUP(Y1012,DM_DUAN,3,0),"")</f>
        <v/>
      </c>
      <c r="Y1012" s="84"/>
      <c r="Z1012" s="64" t="str">
        <f>IF(AA1012&lt;&gt;0,VLOOKUP(AA1012,DM_DUAN,3,0),"")</f>
        <v>#N/A</v>
      </c>
      <c r="AA1012" s="70" t="s">
        <v>177</v>
      </c>
      <c r="AB1012" s="64" t="str">
        <f>IF(AC1012&lt;&gt;0,VLOOKUP(AC1012,DM_DUAN,3,0),"")</f>
        <v>#N/A</v>
      </c>
      <c r="AC1012" s="70" t="s">
        <v>795</v>
      </c>
      <c r="AD1012" s="64" t="str">
        <f>IF(AC1012&lt;&gt;0,VLOOKUP(AC1012,DM_NV,2,0),"")</f>
        <v>Trịnh Công Hoàng</v>
      </c>
      <c r="AE1012" s="83" t="s">
        <v>276</v>
      </c>
      <c r="AF1012" s="64" t="str">
        <f>IF(AE1012&lt;&gt;0,VLOOKUP(AE1012,DM_NV,2,0),"")</f>
        <v>#N/A</v>
      </c>
    </row>
    <row r="1013">
      <c r="A1013" s="51"/>
      <c r="B1013" s="52" t="str">
        <f>IF(D1013="","",VLOOKUP(D1013,'THAM CHIẾU'!$A:$B,2,0))</f>
        <v>#N/A</v>
      </c>
      <c r="C1013" s="53" t="str">
        <f t="shared" si="4"/>
        <v>04/2022</v>
      </c>
      <c r="D1013" s="99">
        <v>44680.0</v>
      </c>
      <c r="E1013" s="55" t="s">
        <v>1019</v>
      </c>
      <c r="F1013" s="56"/>
      <c r="G1013" s="100" t="s">
        <v>278</v>
      </c>
      <c r="H1013" s="58" t="str">
        <f>IF(G1013="","",VLOOKUP($G1013,'Quy chuẩn hạch toán'!$B:$E,2,0))</f>
        <v>154</v>
      </c>
      <c r="I1013" s="58" t="str">
        <f>IF(H1013="","",VLOOKUP($G1013,'Quy chuẩn hạch toán'!$B:$E,3,0))</f>
        <v>1111</v>
      </c>
      <c r="J1013" s="59">
        <v>1000000.0</v>
      </c>
      <c r="K1013" s="60"/>
      <c r="L1013" s="61"/>
      <c r="M1013" s="62"/>
      <c r="N1013" s="63"/>
      <c r="O1013" s="64"/>
      <c r="P1013" s="64"/>
      <c r="Q1013" s="65"/>
      <c r="R1013" s="64"/>
      <c r="S1013" s="66"/>
      <c r="T1013" s="64"/>
      <c r="U1013" s="67" t="s">
        <v>638</v>
      </c>
      <c r="V1013" s="64"/>
      <c r="W1013" s="83" t="s">
        <v>992</v>
      </c>
      <c r="X1013" s="64"/>
      <c r="Y1013" s="69" t="s">
        <v>176</v>
      </c>
      <c r="Z1013" s="64"/>
      <c r="AA1013" s="70" t="s">
        <v>177</v>
      </c>
      <c r="AB1013" s="64"/>
      <c r="AC1013" s="70"/>
      <c r="AD1013" s="64" t="str">
        <f>IF(AC1013&lt;&gt;0,VLOOKUP(AC1013,DM_NV,2,0),"")</f>
        <v/>
      </c>
      <c r="AE1013" s="83" t="s">
        <v>263</v>
      </c>
      <c r="AF1013" s="64" t="str">
        <f>IF(AE1013&lt;&gt;0,VLOOKUP(AE1013,DM_NV,2,0),"")</f>
        <v>#N/A</v>
      </c>
    </row>
    <row r="1014">
      <c r="A1014" s="51"/>
      <c r="B1014" s="52" t="str">
        <f>IF(D1014="","",VLOOKUP(D1014,'THAM CHIẾU'!$A:$B,2,0))</f>
        <v>#N/A</v>
      </c>
      <c r="C1014" s="53" t="str">
        <f t="shared" si="4"/>
        <v>04/2022</v>
      </c>
      <c r="D1014" s="99">
        <v>44680.0</v>
      </c>
      <c r="E1014" s="55" t="s">
        <v>1020</v>
      </c>
      <c r="F1014" s="56"/>
      <c r="G1014" s="57" t="s">
        <v>282</v>
      </c>
      <c r="H1014" s="58" t="str">
        <f>IF(G1014="","",VLOOKUP($G1014,'Quy chuẩn hạch toán'!$B:$E,2,0))</f>
        <v>1111</v>
      </c>
      <c r="I1014" s="58" t="str">
        <f>IF(H1014="","",VLOOKUP($G1014,'Quy chuẩn hạch toán'!$B:$E,3,0))</f>
        <v>131</v>
      </c>
      <c r="J1014" s="59">
        <v>7.5E7</v>
      </c>
      <c r="K1014" s="60"/>
      <c r="L1014" s="61"/>
      <c r="M1014" s="62"/>
      <c r="N1014" s="63"/>
      <c r="O1014" s="64" t="str">
        <f>IF($Q1014&lt;&gt;0,VLOOKUP($Q1014,DM_KM,3,0),"")</f>
        <v/>
      </c>
      <c r="P1014" s="64" t="str">
        <f>IF($Q1014&lt;&gt;0,VLOOKUP($Q1014,DM_KM,5,0),"")</f>
        <v/>
      </c>
      <c r="Q1014" s="65"/>
      <c r="R1014" s="64" t="str">
        <f>IF(S1014&lt;&gt;0,VLOOKUP(S1014,DM_DUAN,3,0),"")</f>
        <v>#N/A</v>
      </c>
      <c r="S1014" s="66" t="str">
        <f>IF(U1014&lt;&gt;0,VLOOKUP(U1014,DM_DUAN,3,0),"")</f>
        <v>KIMCUONGLAND</v>
      </c>
      <c r="T1014" s="64"/>
      <c r="U1014" s="67" t="s">
        <v>638</v>
      </c>
      <c r="V1014" s="64" t="str">
        <f>IF(W1014&lt;&gt;0,VLOOKUP(W1014,DM_DUAN,3,0),"")</f>
        <v>#N/A</v>
      </c>
      <c r="W1014" s="83" t="s">
        <v>992</v>
      </c>
      <c r="X1014" s="64" t="str">
        <f>IF(Y1014&lt;&gt;0,VLOOKUP(Y1014,DM_DUAN,3,0),"")</f>
        <v/>
      </c>
      <c r="Y1014" s="84"/>
      <c r="Z1014" s="64" t="str">
        <f>IF(AA1014&lt;&gt;0,VLOOKUP(AA1014,DM_DUAN,3,0),"")</f>
        <v>#N/A</v>
      </c>
      <c r="AA1014" s="70" t="s">
        <v>177</v>
      </c>
      <c r="AB1014" s="64" t="str">
        <f>IF(AC1014&lt;&gt;0,VLOOKUP(AC1014,DM_DUAN,3,0),"")</f>
        <v/>
      </c>
      <c r="AC1014" s="85"/>
      <c r="AD1014" s="64" t="str">
        <f>IF(AC1014&lt;&gt;0,VLOOKUP(AC1014,DM_NV,2,0),"")</f>
        <v/>
      </c>
      <c r="AE1014" s="68"/>
      <c r="AF1014" s="64" t="str">
        <f>IF(AE1014&lt;&gt;0,VLOOKUP(AE1014,DM_NV,2,0),"")</f>
        <v/>
      </c>
    </row>
    <row r="1015">
      <c r="A1015" s="51"/>
      <c r="B1015" s="52"/>
      <c r="C1015" s="53" t="str">
        <f t="shared" si="4"/>
        <v>04/2022</v>
      </c>
      <c r="D1015" s="99">
        <v>44680.0</v>
      </c>
      <c r="E1015" s="55" t="s">
        <v>1021</v>
      </c>
      <c r="F1015" s="56"/>
      <c r="G1015" s="57" t="s">
        <v>205</v>
      </c>
      <c r="H1015" s="58" t="str">
        <f>IF(G1015="","",VLOOKUP($G1015,'Quy chuẩn hạch toán'!$B:$E,2,0))</f>
        <v>642</v>
      </c>
      <c r="I1015" s="58" t="str">
        <f>IF(H1015="","",VLOOKUP($G1015,'Quy chuẩn hạch toán'!$B:$E,3,0))</f>
        <v>1111</v>
      </c>
      <c r="J1015" s="59">
        <v>252267.0</v>
      </c>
      <c r="K1015" s="60"/>
      <c r="L1015" s="61"/>
      <c r="M1015" s="62"/>
      <c r="N1015" s="63"/>
      <c r="O1015" s="64" t="str">
        <f>IF($Q1015&lt;&gt;0,VLOOKUP($Q1015,DM_KM,3,0),"")</f>
        <v>#N/A</v>
      </c>
      <c r="P1015" s="64" t="str">
        <f>IF($Q1015&lt;&gt;0,VLOOKUP($Q1015,DM_KM,5,0),"")</f>
        <v>#N/A</v>
      </c>
      <c r="Q1015" s="65" t="s">
        <v>262</v>
      </c>
      <c r="R1015" s="64" t="str">
        <f>IF(S1015&lt;&gt;0,VLOOKUP(S1015,DM_DUAN,3,0),"")</f>
        <v>#N/A</v>
      </c>
      <c r="S1015" s="66" t="str">
        <f>IF(U1015&lt;&gt;0,VLOOKUP(U1015,DM_DUAN,3,0),"")</f>
        <v/>
      </c>
      <c r="T1015" s="64"/>
      <c r="U1015" s="93"/>
      <c r="V1015" s="64" t="str">
        <f>IF(W1015&lt;&gt;0,VLOOKUP(W1015,DM_DUAN,3,0),"")</f>
        <v/>
      </c>
      <c r="W1015" s="68"/>
      <c r="X1015" s="64" t="str">
        <f>IF(Y1015&lt;&gt;0,VLOOKUP(Y1015,DM_DUAN,3,0),"")</f>
        <v>#N/A</v>
      </c>
      <c r="Y1015" s="69" t="s">
        <v>176</v>
      </c>
      <c r="Z1015" s="64" t="str">
        <f>IF(AA1015&lt;&gt;0,VLOOKUP(AA1015,DM_DUAN,3,0),"")</f>
        <v>#N/A</v>
      </c>
      <c r="AA1015" s="70" t="s">
        <v>705</v>
      </c>
      <c r="AB1015" s="64" t="str">
        <f>IF(AC1015&lt;&gt;0,VLOOKUP(AC1015,DM_DUAN,3,0),"")</f>
        <v/>
      </c>
      <c r="AC1015" s="85"/>
      <c r="AD1015" s="64" t="str">
        <f>IF(AC1015&lt;&gt;0,VLOOKUP(AC1015,DM_NV,2,0),"")</f>
        <v/>
      </c>
      <c r="AE1015" s="83" t="s">
        <v>411</v>
      </c>
      <c r="AF1015" s="64" t="str">
        <f>IF(AE1015&lt;&gt;0,VLOOKUP(AE1015,DM_NV,2,0),"")</f>
        <v>#N/A</v>
      </c>
    </row>
    <row r="1016">
      <c r="A1016" s="51"/>
      <c r="B1016" s="52"/>
      <c r="C1016" s="53" t="str">
        <f t="shared" si="4"/>
        <v>04/2022</v>
      </c>
      <c r="D1016" s="99">
        <v>44680.0</v>
      </c>
      <c r="E1016" s="55" t="s">
        <v>1021</v>
      </c>
      <c r="F1016" s="56"/>
      <c r="G1016" s="57" t="s">
        <v>205</v>
      </c>
      <c r="H1016" s="58" t="str">
        <f>IF(G1016="","",VLOOKUP($G1016,'Quy chuẩn hạch toán'!$B:$E,2,0))</f>
        <v>642</v>
      </c>
      <c r="I1016" s="58" t="str">
        <f>IF(H1016="","",VLOOKUP($G1016,'Quy chuẩn hạch toán'!$B:$E,3,0))</f>
        <v>1111</v>
      </c>
      <c r="J1016" s="59">
        <v>504533.0</v>
      </c>
      <c r="K1016" s="60"/>
      <c r="L1016" s="61"/>
      <c r="M1016" s="62"/>
      <c r="N1016" s="63"/>
      <c r="O1016" s="64" t="str">
        <f>IF($Q1016&lt;&gt;0,VLOOKUP($Q1016,DM_KM,3,0),"")</f>
        <v>#N/A</v>
      </c>
      <c r="P1016" s="64" t="str">
        <f>IF($Q1016&lt;&gt;0,VLOOKUP($Q1016,DM_KM,5,0),"")</f>
        <v>#N/A</v>
      </c>
      <c r="Q1016" s="65" t="s">
        <v>262</v>
      </c>
      <c r="R1016" s="64" t="str">
        <f>IF(S1016&lt;&gt;0,VLOOKUP(S1016,DM_DUAN,3,0),"")</f>
        <v>#N/A</v>
      </c>
      <c r="S1016" s="66" t="str">
        <f>IF(U1016&lt;&gt;0,VLOOKUP(U1016,DM_DUAN,3,0),"")</f>
        <v/>
      </c>
      <c r="T1016" s="64"/>
      <c r="U1016" s="93"/>
      <c r="V1016" s="64" t="str">
        <f>IF(W1016&lt;&gt;0,VLOOKUP(W1016,DM_DUAN,3,0),"")</f>
        <v/>
      </c>
      <c r="W1016" s="68"/>
      <c r="X1016" s="64" t="str">
        <f>IF(Y1016&lt;&gt;0,VLOOKUP(Y1016,DM_DUAN,3,0),"")</f>
        <v>#N/A</v>
      </c>
      <c r="Y1016" s="69" t="s">
        <v>176</v>
      </c>
      <c r="Z1016" s="64" t="str">
        <f>IF(AA1016&lt;&gt;0,VLOOKUP(AA1016,DM_DUAN,3,0),"")</f>
        <v>#N/A</v>
      </c>
      <c r="AA1016" s="70" t="s">
        <v>183</v>
      </c>
      <c r="AB1016" s="64" t="str">
        <f>IF(AC1016&lt;&gt;0,VLOOKUP(AC1016,DM_DUAN,3,0),"")</f>
        <v/>
      </c>
      <c r="AC1016" s="85"/>
      <c r="AD1016" s="64" t="str">
        <f>IF(AC1016&lt;&gt;0,VLOOKUP(AC1016,DM_NV,2,0),"")</f>
        <v/>
      </c>
      <c r="AE1016" s="83" t="s">
        <v>411</v>
      </c>
      <c r="AF1016" s="64" t="str">
        <f>IF(AE1016&lt;&gt;0,VLOOKUP(AE1016,DM_NV,2,0),"")</f>
        <v>#N/A</v>
      </c>
    </row>
    <row r="1017">
      <c r="A1017" s="51"/>
      <c r="B1017" s="52" t="str">
        <f>IF(D1017="","",VLOOKUP(D1017,'THAM CHIẾU'!$A:$B,2,0))</f>
        <v>#N/A</v>
      </c>
      <c r="C1017" s="53" t="str">
        <f t="shared" si="4"/>
        <v>04/2022</v>
      </c>
      <c r="D1017" s="99">
        <v>44680.0</v>
      </c>
      <c r="E1017" s="55" t="s">
        <v>1021</v>
      </c>
      <c r="F1017" s="56"/>
      <c r="G1017" s="57" t="s">
        <v>205</v>
      </c>
      <c r="H1017" s="58" t="str">
        <f>IF(G1017="","",VLOOKUP($G1017,'Quy chuẩn hạch toán'!$B:$E,2,0))</f>
        <v>642</v>
      </c>
      <c r="I1017" s="58" t="str">
        <f>IF(H1017="","",VLOOKUP($G1017,'Quy chuẩn hạch toán'!$B:$E,3,0))</f>
        <v>1111</v>
      </c>
      <c r="J1017" s="59">
        <v>189200.0</v>
      </c>
      <c r="K1017" s="60"/>
      <c r="L1017" s="61"/>
      <c r="M1017" s="62"/>
      <c r="N1017" s="63"/>
      <c r="O1017" s="64" t="str">
        <f>IF($Q1017&lt;&gt;0,VLOOKUP($Q1017,DM_KM,3,0),"")</f>
        <v>#N/A</v>
      </c>
      <c r="P1017" s="64" t="str">
        <f>IF($Q1017&lt;&gt;0,VLOOKUP($Q1017,DM_KM,5,0),"")</f>
        <v>#N/A</v>
      </c>
      <c r="Q1017" s="65" t="s">
        <v>262</v>
      </c>
      <c r="R1017" s="64" t="str">
        <f>IF(S1017&lt;&gt;0,VLOOKUP(S1017,DM_DUAN,3,0),"")</f>
        <v>#N/A</v>
      </c>
      <c r="S1017" s="66" t="str">
        <f>IF(U1017&lt;&gt;0,VLOOKUP(U1017,DM_DUAN,3,0),"")</f>
        <v/>
      </c>
      <c r="T1017" s="64"/>
      <c r="U1017" s="93"/>
      <c r="V1017" s="64" t="str">
        <f>IF(W1017&lt;&gt;0,VLOOKUP(W1017,DM_DUAN,3,0),"")</f>
        <v/>
      </c>
      <c r="W1017" s="68"/>
      <c r="X1017" s="64" t="str">
        <f>IF(Y1017&lt;&gt;0,VLOOKUP(Y1017,DM_DUAN,3,0),"")</f>
        <v>#N/A</v>
      </c>
      <c r="Y1017" s="69" t="s">
        <v>176</v>
      </c>
      <c r="Z1017" s="64" t="str">
        <f>IF(AA1017&lt;&gt;0,VLOOKUP(AA1017,DM_DUAN,3,0),"")</f>
        <v>#N/A</v>
      </c>
      <c r="AA1017" s="70" t="s">
        <v>177</v>
      </c>
      <c r="AB1017" s="64" t="str">
        <f>IF(AC1017&lt;&gt;0,VLOOKUP(AC1017,DM_DUAN,3,0),"")</f>
        <v/>
      </c>
      <c r="AC1017" s="85"/>
      <c r="AD1017" s="64" t="str">
        <f>IF(AC1017&lt;&gt;0,VLOOKUP(AC1017,DM_NV,2,0),"")</f>
        <v/>
      </c>
      <c r="AE1017" s="83" t="s">
        <v>411</v>
      </c>
      <c r="AF1017" s="64" t="str">
        <f>IF(AE1017&lt;&gt;0,VLOOKUP(AE1017,DM_NV,2,0),"")</f>
        <v>#N/A</v>
      </c>
    </row>
    <row r="1018">
      <c r="A1018" s="51"/>
      <c r="B1018" s="52" t="str">
        <f>IF(D1018="","",VLOOKUP(D1018,'THAM CHIẾU'!$A:$B,2,0))</f>
        <v>#N/A</v>
      </c>
      <c r="C1018" s="53" t="str">
        <f t="shared" si="4"/>
        <v>04/2022</v>
      </c>
      <c r="D1018" s="99">
        <v>44680.0</v>
      </c>
      <c r="E1018" s="55" t="s">
        <v>1022</v>
      </c>
      <c r="F1018" s="56"/>
      <c r="G1018" s="57" t="s">
        <v>173</v>
      </c>
      <c r="H1018" s="58" t="str">
        <f>IF(G1018="","",VLOOKUP($G1018,'Quy chuẩn hạch toán'!$B:$E,2,0))</f>
        <v>641</v>
      </c>
      <c r="I1018" s="58" t="str">
        <f>IF(H1018="","",VLOOKUP($G1018,'Quy chuẩn hạch toán'!$B:$E,3,0))</f>
        <v>331</v>
      </c>
      <c r="J1018" s="59">
        <v>1.04224E7</v>
      </c>
      <c r="K1018" s="60"/>
      <c r="L1018" s="61"/>
      <c r="M1018" s="62"/>
      <c r="N1018" s="63"/>
      <c r="O1018" s="64" t="str">
        <f>IF($Q1018&lt;&gt;0,VLOOKUP($Q1018,DM_KM,3,0),"")</f>
        <v>#N/A</v>
      </c>
      <c r="P1018" s="64" t="str">
        <f>IF($Q1018&lt;&gt;0,VLOOKUP($Q1018,DM_KM,5,0),"")</f>
        <v>#N/A</v>
      </c>
      <c r="Q1018" s="65" t="s">
        <v>169</v>
      </c>
      <c r="R1018" s="64" t="str">
        <f>IF(S1018&lt;&gt;0,VLOOKUP(S1018,DM_DUAN,3,0),"")</f>
        <v>#N/A</v>
      </c>
      <c r="S1018" s="66" t="str">
        <f>IF(U1018&lt;&gt;0,VLOOKUP(U1018,DM_DUAN,3,0),"")</f>
        <v/>
      </c>
      <c r="T1018" s="64"/>
      <c r="U1018" s="93"/>
      <c r="V1018" s="64" t="str">
        <f>IF(W1018&lt;&gt;0,VLOOKUP(W1018,DM_DUAN,3,0),"")</f>
        <v/>
      </c>
      <c r="W1018" s="68"/>
      <c r="X1018" s="64" t="str">
        <f>IF(Y1018&lt;&gt;0,VLOOKUP(Y1018,DM_DUAN,3,0),"")</f>
        <v>#N/A</v>
      </c>
      <c r="Y1018" s="69" t="s">
        <v>176</v>
      </c>
      <c r="Z1018" s="64" t="str">
        <f>IF(AA1018&lt;&gt;0,VLOOKUP(AA1018,DM_DUAN,3,0),"")</f>
        <v>#N/A</v>
      </c>
      <c r="AA1018" s="70" t="s">
        <v>705</v>
      </c>
      <c r="AB1018" s="64" t="str">
        <f>IF(AC1018&lt;&gt;0,VLOOKUP(AC1018,DM_DUAN,3,0),"")</f>
        <v/>
      </c>
      <c r="AC1018" s="85"/>
      <c r="AD1018" s="64" t="str">
        <f>IF(AC1018&lt;&gt;0,VLOOKUP(AC1018,DM_NV,2,0),"")</f>
        <v/>
      </c>
      <c r="AE1018" s="68"/>
      <c r="AF1018" s="64" t="str">
        <f>IF(AE1018&lt;&gt;0,VLOOKUP(AE1018,DM_NV,2,0),"")</f>
        <v/>
      </c>
    </row>
    <row r="1019">
      <c r="A1019" s="51"/>
      <c r="B1019" s="52" t="str">
        <f>IF(D1019="","",VLOOKUP(D1019,'THAM CHIẾU'!$A:$B,2,0))</f>
        <v>#N/A</v>
      </c>
      <c r="C1019" s="53" t="str">
        <f t="shared" si="4"/>
        <v>04/2022</v>
      </c>
      <c r="D1019" s="99">
        <v>44680.0</v>
      </c>
      <c r="E1019" s="55" t="s">
        <v>1023</v>
      </c>
      <c r="F1019" s="56"/>
      <c r="G1019" s="57" t="s">
        <v>173</v>
      </c>
      <c r="H1019" s="58" t="str">
        <f>IF(G1019="","",VLOOKUP($G1019,'Quy chuẩn hạch toán'!$B:$E,2,0))</f>
        <v>641</v>
      </c>
      <c r="I1019" s="58" t="str">
        <f>IF(H1019="","",VLOOKUP($G1019,'Quy chuẩn hạch toán'!$B:$E,3,0))</f>
        <v>331</v>
      </c>
      <c r="J1019" s="59">
        <v>5314600.0</v>
      </c>
      <c r="K1019" s="60"/>
      <c r="L1019" s="61"/>
      <c r="M1019" s="62"/>
      <c r="N1019" s="63"/>
      <c r="O1019" s="64" t="str">
        <f>IF($Q1019&lt;&gt;0,VLOOKUP($Q1019,DM_KM,3,0),"")</f>
        <v>#N/A</v>
      </c>
      <c r="P1019" s="64" t="str">
        <f>IF($Q1019&lt;&gt;0,VLOOKUP($Q1019,DM_KM,5,0),"")</f>
        <v>#N/A</v>
      </c>
      <c r="Q1019" s="65" t="s">
        <v>169</v>
      </c>
      <c r="R1019" s="64" t="str">
        <f>IF(S1019&lt;&gt;0,VLOOKUP(S1019,DM_DUAN,3,0),"")</f>
        <v>#N/A</v>
      </c>
      <c r="S1019" s="66" t="str">
        <f>IF(U1019&lt;&gt;0,VLOOKUP(U1019,DM_DUAN,3,0),"")</f>
        <v/>
      </c>
      <c r="T1019" s="64"/>
      <c r="U1019" s="93"/>
      <c r="V1019" s="64" t="str">
        <f>IF(W1019&lt;&gt;0,VLOOKUP(W1019,DM_DUAN,3,0),"")</f>
        <v/>
      </c>
      <c r="W1019" s="68"/>
      <c r="X1019" s="64" t="str">
        <f>IF(Y1019&lt;&gt;0,VLOOKUP(Y1019,DM_DUAN,3,0),"")</f>
        <v>#N/A</v>
      </c>
      <c r="Y1019" s="69" t="s">
        <v>176</v>
      </c>
      <c r="Z1019" s="64" t="str">
        <f>IF(AA1019&lt;&gt;0,VLOOKUP(AA1019,DM_DUAN,3,0),"")</f>
        <v>#N/A</v>
      </c>
      <c r="AA1019" s="70" t="s">
        <v>705</v>
      </c>
      <c r="AB1019" s="64" t="str">
        <f>IF(AC1019&lt;&gt;0,VLOOKUP(AC1019,DM_DUAN,3,0),"")</f>
        <v/>
      </c>
      <c r="AC1019" s="85"/>
      <c r="AD1019" s="64" t="str">
        <f>IF(AC1019&lt;&gt;0,VLOOKUP(AC1019,DM_NV,2,0),"")</f>
        <v/>
      </c>
      <c r="AE1019" s="68"/>
      <c r="AF1019" s="64" t="str">
        <f>IF(AE1019&lt;&gt;0,VLOOKUP(AE1019,DM_NV,2,0),"")</f>
        <v/>
      </c>
    </row>
    <row r="1020">
      <c r="A1020" s="51"/>
      <c r="B1020" s="52" t="str">
        <f>IF(D1020="","",VLOOKUP(D1020,'THAM CHIẾU'!$A:$B,2,0))</f>
        <v>#N/A</v>
      </c>
      <c r="C1020" s="53" t="str">
        <f t="shared" si="4"/>
        <v>04/2022</v>
      </c>
      <c r="D1020" s="99">
        <v>44680.0</v>
      </c>
      <c r="E1020" s="55" t="s">
        <v>1024</v>
      </c>
      <c r="F1020" s="56"/>
      <c r="G1020" s="57" t="s">
        <v>173</v>
      </c>
      <c r="H1020" s="58" t="str">
        <f>IF(G1020="","",VLOOKUP($G1020,'Quy chuẩn hạch toán'!$B:$E,2,0))</f>
        <v>641</v>
      </c>
      <c r="I1020" s="58" t="str">
        <f>IF(H1020="","",VLOOKUP($G1020,'Quy chuẩn hạch toán'!$B:$E,3,0))</f>
        <v>331</v>
      </c>
      <c r="J1020" s="59">
        <v>4000000.0</v>
      </c>
      <c r="K1020" s="60"/>
      <c r="L1020" s="61"/>
      <c r="M1020" s="62"/>
      <c r="N1020" s="63"/>
      <c r="O1020" s="64" t="str">
        <f>IF($Q1020&lt;&gt;0,VLOOKUP($Q1020,DM_KM,3,0),"")</f>
        <v>#N/A</v>
      </c>
      <c r="P1020" s="64" t="str">
        <f>IF($Q1020&lt;&gt;0,VLOOKUP($Q1020,DM_KM,5,0),"")</f>
        <v>#N/A</v>
      </c>
      <c r="Q1020" s="65" t="s">
        <v>169</v>
      </c>
      <c r="R1020" s="64" t="str">
        <f>IF(S1020&lt;&gt;0,VLOOKUP(S1020,DM_DUAN,3,0),"")</f>
        <v>#N/A</v>
      </c>
      <c r="S1020" s="66" t="str">
        <f>IF(U1020&lt;&gt;0,VLOOKUP(U1020,DM_DUAN,3,0),"")</f>
        <v/>
      </c>
      <c r="T1020" s="64"/>
      <c r="U1020" s="93"/>
      <c r="V1020" s="64" t="str">
        <f>IF(W1020&lt;&gt;0,VLOOKUP(W1020,DM_DUAN,3,0),"")</f>
        <v/>
      </c>
      <c r="W1020" s="68"/>
      <c r="X1020" s="64" t="str">
        <f>IF(Y1020&lt;&gt;0,VLOOKUP(Y1020,DM_DUAN,3,0),"")</f>
        <v>#N/A</v>
      </c>
      <c r="Y1020" s="69" t="s">
        <v>176</v>
      </c>
      <c r="Z1020" s="64" t="str">
        <f>IF(AA1020&lt;&gt;0,VLOOKUP(AA1020,DM_DUAN,3,0),"")</f>
        <v>#N/A</v>
      </c>
      <c r="AA1020" s="70" t="s">
        <v>210</v>
      </c>
      <c r="AB1020" s="64" t="str">
        <f>IF(AC1020&lt;&gt;0,VLOOKUP(AC1020,DM_DUAN,3,0),"")</f>
        <v/>
      </c>
      <c r="AC1020" s="85"/>
      <c r="AD1020" s="64" t="str">
        <f>IF(AC1020&lt;&gt;0,VLOOKUP(AC1020,DM_NV,2,0),"")</f>
        <v/>
      </c>
      <c r="AE1020" s="68"/>
      <c r="AF1020" s="64" t="str">
        <f>IF(AE1020&lt;&gt;0,VLOOKUP(AE1020,DM_NV,2,0),"")</f>
        <v/>
      </c>
    </row>
    <row r="1021">
      <c r="A1021" s="51"/>
      <c r="B1021" s="52" t="str">
        <f>IF(D1021="","",VLOOKUP(D1021,'THAM CHIẾU'!$A:$B,2,0))</f>
        <v>#N/A</v>
      </c>
      <c r="C1021" s="53" t="str">
        <f t="shared" si="4"/>
        <v>04/2022</v>
      </c>
      <c r="D1021" s="99">
        <v>44680.0</v>
      </c>
      <c r="E1021" s="55" t="s">
        <v>1025</v>
      </c>
      <c r="F1021" s="56"/>
      <c r="G1021" s="57" t="s">
        <v>173</v>
      </c>
      <c r="H1021" s="58" t="str">
        <f>IF(G1021="","",VLOOKUP($G1021,'Quy chuẩn hạch toán'!$B:$E,2,0))</f>
        <v>641</v>
      </c>
      <c r="I1021" s="58" t="str">
        <f>IF(H1021="","",VLOOKUP($G1021,'Quy chuẩn hạch toán'!$B:$E,3,0))</f>
        <v>331</v>
      </c>
      <c r="J1021" s="59">
        <v>2.0E7</v>
      </c>
      <c r="K1021" s="60"/>
      <c r="L1021" s="61"/>
      <c r="M1021" s="62"/>
      <c r="N1021" s="63"/>
      <c r="O1021" s="64" t="str">
        <f>IF($Q1021&lt;&gt;0,VLOOKUP($Q1021,DM_KM,3,0),"")</f>
        <v>#N/A</v>
      </c>
      <c r="P1021" s="64" t="str">
        <f>IF($Q1021&lt;&gt;0,VLOOKUP($Q1021,DM_KM,5,0),"")</f>
        <v>#N/A</v>
      </c>
      <c r="Q1021" s="65" t="s">
        <v>169</v>
      </c>
      <c r="R1021" s="64" t="str">
        <f>IF(S1021&lt;&gt;0,VLOOKUP(S1021,DM_DUAN,3,0),"")</f>
        <v>#N/A</v>
      </c>
      <c r="S1021" s="66" t="str">
        <f>IF(U1021&lt;&gt;0,VLOOKUP(U1021,DM_DUAN,3,0),"")</f>
        <v/>
      </c>
      <c r="T1021" s="64"/>
      <c r="U1021" s="93"/>
      <c r="V1021" s="64" t="str">
        <f>IF(W1021&lt;&gt;0,VLOOKUP(W1021,DM_DUAN,3,0),"")</f>
        <v/>
      </c>
      <c r="W1021" s="68"/>
      <c r="X1021" s="64" t="str">
        <f>IF(Y1021&lt;&gt;0,VLOOKUP(Y1021,DM_DUAN,3,0),"")</f>
        <v>#N/A</v>
      </c>
      <c r="Y1021" s="69" t="s">
        <v>176</v>
      </c>
      <c r="Z1021" s="64" t="str">
        <f>IF(AA1021&lt;&gt;0,VLOOKUP(AA1021,DM_DUAN,3,0),"")</f>
        <v>#N/A</v>
      </c>
      <c r="AA1021" s="70" t="s">
        <v>177</v>
      </c>
      <c r="AB1021" s="64" t="str">
        <f>IF(AC1021&lt;&gt;0,VLOOKUP(AC1021,DM_DUAN,3,0),"")</f>
        <v/>
      </c>
      <c r="AC1021" s="85"/>
      <c r="AD1021" s="64" t="str">
        <f>IF(AC1021&lt;&gt;0,VLOOKUP(AC1021,DM_NV,2,0),"")</f>
        <v/>
      </c>
      <c r="AE1021" s="68"/>
      <c r="AF1021" s="64" t="str">
        <f>IF(AE1021&lt;&gt;0,VLOOKUP(AE1021,DM_NV,2,0),"")</f>
        <v/>
      </c>
    </row>
    <row r="1022">
      <c r="A1022" s="51"/>
      <c r="B1022" s="52" t="str">
        <f>IF(D1022="","",VLOOKUP(D1022,'THAM CHIẾU'!$A:$B,2,0))</f>
        <v>#N/A</v>
      </c>
      <c r="C1022" s="53" t="str">
        <f t="shared" si="4"/>
        <v>04/2022</v>
      </c>
      <c r="D1022" s="99">
        <v>44680.0</v>
      </c>
      <c r="E1022" s="55" t="s">
        <v>1026</v>
      </c>
      <c r="F1022" s="56"/>
      <c r="G1022" s="57" t="s">
        <v>173</v>
      </c>
      <c r="H1022" s="58" t="str">
        <f>IF(G1022="","",VLOOKUP($G1022,'Quy chuẩn hạch toán'!$B:$E,2,0))</f>
        <v>641</v>
      </c>
      <c r="I1022" s="58" t="str">
        <f>IF(H1022="","",VLOOKUP($G1022,'Quy chuẩn hạch toán'!$B:$E,3,0))</f>
        <v>331</v>
      </c>
      <c r="J1022" s="59">
        <v>2.4E7</v>
      </c>
      <c r="K1022" s="60"/>
      <c r="L1022" s="61"/>
      <c r="M1022" s="62"/>
      <c r="N1022" s="63"/>
      <c r="O1022" s="64" t="str">
        <f>IF($Q1022&lt;&gt;0,VLOOKUP($Q1022,DM_KM,3,0),"")</f>
        <v>#N/A</v>
      </c>
      <c r="P1022" s="64" t="str">
        <f>IF($Q1022&lt;&gt;0,VLOOKUP($Q1022,DM_KM,5,0),"")</f>
        <v>#N/A</v>
      </c>
      <c r="Q1022" s="65" t="s">
        <v>169</v>
      </c>
      <c r="R1022" s="64" t="str">
        <f>IF(S1022&lt;&gt;0,VLOOKUP(S1022,DM_DUAN,3,0),"")</f>
        <v>#N/A</v>
      </c>
      <c r="S1022" s="66" t="str">
        <f>IF(U1022&lt;&gt;0,VLOOKUP(U1022,DM_DUAN,3,0),"")</f>
        <v/>
      </c>
      <c r="T1022" s="64"/>
      <c r="U1022" s="93"/>
      <c r="V1022" s="64" t="str">
        <f>IF(W1022&lt;&gt;0,VLOOKUP(W1022,DM_DUAN,3,0),"")</f>
        <v/>
      </c>
      <c r="W1022" s="68"/>
      <c r="X1022" s="64" t="str">
        <f>IF(Y1022&lt;&gt;0,VLOOKUP(Y1022,DM_DUAN,3,0),"")</f>
        <v>#N/A</v>
      </c>
      <c r="Y1022" s="69" t="s">
        <v>176</v>
      </c>
      <c r="Z1022" s="64" t="str">
        <f>IF(AA1022&lt;&gt;0,VLOOKUP(AA1022,DM_DUAN,3,0),"")</f>
        <v>#N/A</v>
      </c>
      <c r="AA1022" s="70" t="s">
        <v>183</v>
      </c>
      <c r="AB1022" s="64" t="str">
        <f>IF(AC1022&lt;&gt;0,VLOOKUP(AC1022,DM_DUAN,3,0),"")</f>
        <v/>
      </c>
      <c r="AC1022" s="85"/>
      <c r="AD1022" s="64" t="str">
        <f>IF(AC1022&lt;&gt;0,VLOOKUP(AC1022,DM_NV,2,0),"")</f>
        <v/>
      </c>
      <c r="AE1022" s="68"/>
      <c r="AF1022" s="64" t="str">
        <f>IF(AE1022&lt;&gt;0,VLOOKUP(AE1022,DM_NV,2,0),"")</f>
        <v/>
      </c>
    </row>
    <row r="1023">
      <c r="A1023" s="51"/>
      <c r="B1023" s="52" t="str">
        <f>IF(D1023="","",VLOOKUP(D1023,'THAM CHIẾU'!$A:$B,2,0))</f>
        <v>#N/A</v>
      </c>
      <c r="C1023" s="53" t="str">
        <f t="shared" si="4"/>
        <v>04/2022</v>
      </c>
      <c r="D1023" s="99">
        <v>44680.0</v>
      </c>
      <c r="E1023" s="55" t="s">
        <v>1027</v>
      </c>
      <c r="F1023" s="56"/>
      <c r="G1023" s="57" t="s">
        <v>193</v>
      </c>
      <c r="H1023" s="58" t="str">
        <f>IF(G1023="","",VLOOKUP($G1023,'Quy chuẩn hạch toán'!$B:$E,2,0))</f>
        <v>154</v>
      </c>
      <c r="I1023" s="58" t="str">
        <f>IF(H1023="","",VLOOKUP($G1023,'Quy chuẩn hạch toán'!$B:$E,3,0))</f>
        <v>3344</v>
      </c>
      <c r="J1023" s="59">
        <v>8500000.0</v>
      </c>
      <c r="K1023" s="60"/>
      <c r="L1023" s="61"/>
      <c r="M1023" s="62"/>
      <c r="N1023" s="63"/>
      <c r="O1023" s="64" t="str">
        <f>IF($Q1023&lt;&gt;0,VLOOKUP($Q1023,DM_KM,3,0),"")</f>
        <v>#N/A</v>
      </c>
      <c r="P1023" s="64" t="str">
        <f>IF($Q1023&lt;&gt;0,VLOOKUP($Q1023,DM_KM,5,0),"")</f>
        <v>#N/A</v>
      </c>
      <c r="Q1023" s="65" t="s">
        <v>194</v>
      </c>
      <c r="R1023" s="64" t="str">
        <f>IF(S1023&lt;&gt;0,VLOOKUP(S1023,DM_DUAN,3,0),"")</f>
        <v>#N/A</v>
      </c>
      <c r="S1023" s="66" t="str">
        <f>IF(U1023&lt;&gt;0,VLOOKUP(U1023,DM_DUAN,3,0),"")</f>
        <v>KIMCUONGLAND</v>
      </c>
      <c r="T1023" s="64"/>
      <c r="U1023" s="67" t="s">
        <v>638</v>
      </c>
      <c r="V1023" s="64" t="str">
        <f>IF(W1023&lt;&gt;0,VLOOKUP(W1023,DM_DUAN,3,0),"")</f>
        <v/>
      </c>
      <c r="W1023" s="68"/>
      <c r="X1023" s="64" t="str">
        <f>IF(Y1023&lt;&gt;0,VLOOKUP(Y1023,DM_DUAN,3,0),"")</f>
        <v>#N/A</v>
      </c>
      <c r="Y1023" s="69" t="s">
        <v>176</v>
      </c>
      <c r="Z1023" s="64" t="str">
        <f>IF(AA1023&lt;&gt;0,VLOOKUP(AA1023,DM_DUAN,3,0),"")</f>
        <v>#N/A</v>
      </c>
      <c r="AA1023" s="70" t="s">
        <v>705</v>
      </c>
      <c r="AB1023" s="64" t="str">
        <f>IF(AC1023&lt;&gt;0,VLOOKUP(AC1023,DM_DUAN,3,0),"")</f>
        <v>#N/A</v>
      </c>
      <c r="AC1023" s="70" t="s">
        <v>772</v>
      </c>
      <c r="AD1023" s="64" t="str">
        <f>IF(AC1023&lt;&gt;0,VLOOKUP(AC1023,DM_NV,2,0),"")</f>
        <v>Phan Tấn Đạt</v>
      </c>
      <c r="AE1023" s="68"/>
      <c r="AF1023" s="64" t="str">
        <f>IF(AE1023&lt;&gt;0,VLOOKUP(AE1023,DM_NV,2,0),"")</f>
        <v/>
      </c>
    </row>
    <row r="1024">
      <c r="A1024" s="51"/>
      <c r="B1024" s="52" t="str">
        <f>IF(D1024="","",VLOOKUP(D1024,'THAM CHIẾU'!$A:$B,2,0))</f>
        <v>#N/A</v>
      </c>
      <c r="C1024" s="53" t="str">
        <f t="shared" si="4"/>
        <v>04/2022</v>
      </c>
      <c r="D1024" s="99">
        <v>44680.0</v>
      </c>
      <c r="E1024" s="55" t="s">
        <v>1028</v>
      </c>
      <c r="F1024" s="56"/>
      <c r="G1024" s="57" t="s">
        <v>193</v>
      </c>
      <c r="H1024" s="58" t="str">
        <f>IF(G1024="","",VLOOKUP($G1024,'Quy chuẩn hạch toán'!$B:$E,2,0))</f>
        <v>154</v>
      </c>
      <c r="I1024" s="58" t="str">
        <f>IF(H1024="","",VLOOKUP($G1024,'Quy chuẩn hạch toán'!$B:$E,3,0))</f>
        <v>3344</v>
      </c>
      <c r="J1024" s="59">
        <v>1.326E7</v>
      </c>
      <c r="K1024" s="60"/>
      <c r="L1024" s="61"/>
      <c r="M1024" s="62"/>
      <c r="N1024" s="63"/>
      <c r="O1024" s="64" t="str">
        <f>IF($Q1024&lt;&gt;0,VLOOKUP($Q1024,DM_KM,3,0),"")</f>
        <v>#N/A</v>
      </c>
      <c r="P1024" s="64" t="str">
        <f>IF($Q1024&lt;&gt;0,VLOOKUP($Q1024,DM_KM,5,0),"")</f>
        <v>#N/A</v>
      </c>
      <c r="Q1024" s="65" t="s">
        <v>194</v>
      </c>
      <c r="R1024" s="64" t="str">
        <f>IF(S1024&lt;&gt;0,VLOOKUP(S1024,DM_DUAN,3,0),"")</f>
        <v>#N/A</v>
      </c>
      <c r="S1024" s="66" t="str">
        <f>IF(U1024&lt;&gt;0,VLOOKUP(U1024,DM_DUAN,3,0),"")</f>
        <v>KIMCUONGLAND</v>
      </c>
      <c r="T1024" s="64"/>
      <c r="U1024" s="67" t="s">
        <v>638</v>
      </c>
      <c r="V1024" s="64" t="str">
        <f>IF(W1024&lt;&gt;0,VLOOKUP(W1024,DM_DUAN,3,0),"")</f>
        <v/>
      </c>
      <c r="W1024" s="68"/>
      <c r="X1024" s="64" t="str">
        <f>IF(Y1024&lt;&gt;0,VLOOKUP(Y1024,DM_DUAN,3,0),"")</f>
        <v>#N/A</v>
      </c>
      <c r="Y1024" s="69" t="s">
        <v>176</v>
      </c>
      <c r="Z1024" s="64" t="str">
        <f>IF(AA1024&lt;&gt;0,VLOOKUP(AA1024,DM_DUAN,3,0),"")</f>
        <v>#N/A</v>
      </c>
      <c r="AA1024" s="70" t="s">
        <v>177</v>
      </c>
      <c r="AB1024" s="64" t="str">
        <f>IF(AC1024&lt;&gt;0,VLOOKUP(AC1024,DM_DUAN,3,0),"")</f>
        <v>#N/A</v>
      </c>
      <c r="AC1024" s="70" t="s">
        <v>603</v>
      </c>
      <c r="AD1024" s="64" t="str">
        <f>IF(AC1024&lt;&gt;0,VLOOKUP(AC1024,DM_NV,2,0),"")</f>
        <v>Trần Minh Khánh</v>
      </c>
      <c r="AE1024" s="68"/>
      <c r="AF1024" s="64" t="str">
        <f>IF(AE1024&lt;&gt;0,VLOOKUP(AE1024,DM_NV,2,0),"")</f>
        <v/>
      </c>
    </row>
    <row r="1025">
      <c r="A1025" s="51"/>
      <c r="B1025" s="52" t="str">
        <f>IF(D1025="","",VLOOKUP(D1025,'THAM CHIẾU'!$A:$B,2,0))</f>
        <v>#N/A</v>
      </c>
      <c r="C1025" s="53" t="str">
        <f t="shared" si="4"/>
        <v>04/2022</v>
      </c>
      <c r="D1025" s="99">
        <v>44680.0</v>
      </c>
      <c r="E1025" s="55" t="s">
        <v>1029</v>
      </c>
      <c r="F1025" s="56"/>
      <c r="G1025" s="57" t="s">
        <v>193</v>
      </c>
      <c r="H1025" s="58" t="str">
        <f>IF(G1025="","",VLOOKUP($G1025,'Quy chuẩn hạch toán'!$B:$E,2,0))</f>
        <v>154</v>
      </c>
      <c r="I1025" s="58" t="str">
        <f>IF(H1025="","",VLOOKUP($G1025,'Quy chuẩn hạch toán'!$B:$E,3,0))</f>
        <v>3344</v>
      </c>
      <c r="J1025" s="59">
        <v>2708000.0</v>
      </c>
      <c r="K1025" s="60"/>
      <c r="L1025" s="61"/>
      <c r="M1025" s="62"/>
      <c r="N1025" s="63"/>
      <c r="O1025" s="64" t="str">
        <f>IF($Q1025&lt;&gt;0,VLOOKUP($Q1025,DM_KM,3,0),"")</f>
        <v>#N/A</v>
      </c>
      <c r="P1025" s="64" t="str">
        <f>IF($Q1025&lt;&gt;0,VLOOKUP($Q1025,DM_KM,5,0),"")</f>
        <v>#N/A</v>
      </c>
      <c r="Q1025" s="65" t="s">
        <v>194</v>
      </c>
      <c r="R1025" s="64" t="str">
        <f>IF(S1025&lt;&gt;0,VLOOKUP(S1025,DM_DUAN,3,0),"")</f>
        <v>#N/A</v>
      </c>
      <c r="S1025" s="66" t="str">
        <f>IF(U1025&lt;&gt;0,VLOOKUP(U1025,DM_DUAN,3,0),"")</f>
        <v>KIMCUONGLAND</v>
      </c>
      <c r="T1025" s="64"/>
      <c r="U1025" s="67" t="s">
        <v>636</v>
      </c>
      <c r="V1025" s="64" t="str">
        <f>IF(W1025&lt;&gt;0,VLOOKUP(W1025,DM_DUAN,3,0),"")</f>
        <v/>
      </c>
      <c r="W1025" s="68"/>
      <c r="X1025" s="64" t="str">
        <f>IF(Y1025&lt;&gt;0,VLOOKUP(Y1025,DM_DUAN,3,0),"")</f>
        <v>#N/A</v>
      </c>
      <c r="Y1025" s="69" t="s">
        <v>176</v>
      </c>
      <c r="Z1025" s="64" t="str">
        <f>IF(AA1025&lt;&gt;0,VLOOKUP(AA1025,DM_DUAN,3,0),"")</f>
        <v>#N/A</v>
      </c>
      <c r="AA1025" s="70" t="s">
        <v>183</v>
      </c>
      <c r="AB1025" s="64" t="str">
        <f>IF(AC1025&lt;&gt;0,VLOOKUP(AC1025,DM_DUAN,3,0),"")</f>
        <v>#N/A</v>
      </c>
      <c r="AC1025" s="70" t="s">
        <v>195</v>
      </c>
      <c r="AD1025" s="64" t="str">
        <f>IF(AC1025&lt;&gt;0,VLOOKUP(AC1025,DM_NV,2,0),"")</f>
        <v>Phan Thị Thùy Mai</v>
      </c>
      <c r="AE1025" s="68"/>
      <c r="AF1025" s="64" t="str">
        <f>IF(AE1025&lt;&gt;0,VLOOKUP(AE1025,DM_NV,2,0),"")</f>
        <v/>
      </c>
    </row>
    <row r="1026">
      <c r="A1026" s="51"/>
      <c r="B1026" s="52" t="str">
        <f>IF(D1026="","",VLOOKUP(D1026,'THAM CHIẾU'!$A:$B,2,0))</f>
        <v>#N/A</v>
      </c>
      <c r="C1026" s="53" t="str">
        <f t="shared" si="4"/>
        <v>04/2022</v>
      </c>
      <c r="D1026" s="99">
        <v>44680.0</v>
      </c>
      <c r="E1026" s="55" t="s">
        <v>1030</v>
      </c>
      <c r="F1026" s="56"/>
      <c r="G1026" s="57" t="s">
        <v>266</v>
      </c>
      <c r="H1026" s="58" t="str">
        <f>IF(G1026="","",VLOOKUP($G1026,'Quy chuẩn hạch toán'!$B:$E,2,0))</f>
        <v>642</v>
      </c>
      <c r="I1026" s="58" t="str">
        <f>IF(H1026="","",VLOOKUP($G1026,'Quy chuẩn hạch toán'!$B:$E,3,0))</f>
        <v>3341</v>
      </c>
      <c r="J1026" s="59">
        <v>4891519.0</v>
      </c>
      <c r="K1026" s="60"/>
      <c r="L1026" s="61"/>
      <c r="M1026" s="62"/>
      <c r="N1026" s="63"/>
      <c r="O1026" s="64" t="str">
        <f>IF($Q1026&lt;&gt;0,VLOOKUP($Q1026,DM_KM,3,0),"")</f>
        <v>#N/A</v>
      </c>
      <c r="P1026" s="64" t="str">
        <f>IF($Q1026&lt;&gt;0,VLOOKUP($Q1026,DM_KM,5,0),"")</f>
        <v>#N/A</v>
      </c>
      <c r="Q1026" s="65" t="s">
        <v>267</v>
      </c>
      <c r="R1026" s="64" t="str">
        <f>IF(S1026&lt;&gt;0,VLOOKUP(S1026,DM_DUAN,3,0),"")</f>
        <v>#N/A</v>
      </c>
      <c r="S1026" s="66" t="str">
        <f>IF(U1026&lt;&gt;0,VLOOKUP(U1026,DM_DUAN,3,0),"")</f>
        <v/>
      </c>
      <c r="T1026" s="64"/>
      <c r="U1026" s="93"/>
      <c r="V1026" s="64" t="str">
        <f>IF(W1026&lt;&gt;0,VLOOKUP(W1026,DM_DUAN,3,0),"")</f>
        <v/>
      </c>
      <c r="W1026" s="68"/>
      <c r="X1026" s="64" t="str">
        <f>IF(Y1026&lt;&gt;0,VLOOKUP(Y1026,DM_DUAN,3,0),"")</f>
        <v>#N/A</v>
      </c>
      <c r="Y1026" s="69" t="s">
        <v>207</v>
      </c>
      <c r="Z1026" s="64" t="str">
        <f>IF(AA1026&lt;&gt;0,VLOOKUP(AA1026,DM_DUAN,3,0),"")</f>
        <v>#N/A</v>
      </c>
      <c r="AA1026" s="70" t="s">
        <v>705</v>
      </c>
      <c r="AB1026" s="64" t="str">
        <f>IF(AC1026&lt;&gt;0,VLOOKUP(AC1026,DM_DUAN,3,0),"")</f>
        <v/>
      </c>
      <c r="AC1026" s="85"/>
      <c r="AD1026" s="64" t="str">
        <f>IF(AC1026&lt;&gt;0,VLOOKUP(AC1026,DM_NV,2,0),"")</f>
        <v/>
      </c>
      <c r="AE1026" s="68"/>
      <c r="AF1026" s="64" t="str">
        <f>IF(AE1026&lt;&gt;0,VLOOKUP(AE1026,DM_NV,2,0),"")</f>
        <v/>
      </c>
    </row>
    <row r="1027">
      <c r="A1027" s="51"/>
      <c r="B1027" s="52" t="str">
        <f>IF(D1027="","",VLOOKUP(D1027,'THAM CHIẾU'!$A:$B,2,0))</f>
        <v>#N/A</v>
      </c>
      <c r="C1027" s="53" t="str">
        <f t="shared" si="4"/>
        <v>04/2022</v>
      </c>
      <c r="D1027" s="99">
        <v>44680.0</v>
      </c>
      <c r="E1027" s="55" t="s">
        <v>1031</v>
      </c>
      <c r="F1027" s="56"/>
      <c r="G1027" s="57" t="s">
        <v>266</v>
      </c>
      <c r="H1027" s="58" t="str">
        <f>IF(G1027="","",VLOOKUP($G1027,'Quy chuẩn hạch toán'!$B:$E,2,0))</f>
        <v>642</v>
      </c>
      <c r="I1027" s="58" t="str">
        <f>IF(H1027="","",VLOOKUP($G1027,'Quy chuẩn hạch toán'!$B:$E,3,0))</f>
        <v>3341</v>
      </c>
      <c r="J1027" s="59">
        <v>4891519.0</v>
      </c>
      <c r="K1027" s="60"/>
      <c r="L1027" s="61"/>
      <c r="M1027" s="62"/>
      <c r="N1027" s="63"/>
      <c r="O1027" s="64" t="str">
        <f>IF($Q1027&lt;&gt;0,VLOOKUP($Q1027,DM_KM,3,0),"")</f>
        <v>#N/A</v>
      </c>
      <c r="P1027" s="64" t="str">
        <f>IF($Q1027&lt;&gt;0,VLOOKUP($Q1027,DM_KM,5,0),"")</f>
        <v>#N/A</v>
      </c>
      <c r="Q1027" s="65" t="s">
        <v>267</v>
      </c>
      <c r="R1027" s="64" t="str">
        <f>IF(S1027&lt;&gt;0,VLOOKUP(S1027,DM_DUAN,3,0),"")</f>
        <v>#N/A</v>
      </c>
      <c r="S1027" s="66" t="str">
        <f>IF(U1027&lt;&gt;0,VLOOKUP(U1027,DM_DUAN,3,0),"")</f>
        <v/>
      </c>
      <c r="T1027" s="64"/>
      <c r="U1027" s="93"/>
      <c r="V1027" s="64" t="str">
        <f>IF(W1027&lt;&gt;0,VLOOKUP(W1027,DM_DUAN,3,0),"")</f>
        <v/>
      </c>
      <c r="W1027" s="68"/>
      <c r="X1027" s="64" t="str">
        <f>IF(Y1027&lt;&gt;0,VLOOKUP(Y1027,DM_DUAN,3,0),"")</f>
        <v>#N/A</v>
      </c>
      <c r="Y1027" s="69" t="s">
        <v>207</v>
      </c>
      <c r="Z1027" s="64" t="str">
        <f>IF(AA1027&lt;&gt;0,VLOOKUP(AA1027,DM_DUAN,3,0),"")</f>
        <v>#N/A</v>
      </c>
      <c r="AA1027" s="70" t="s">
        <v>210</v>
      </c>
      <c r="AB1027" s="64" t="str">
        <f>IF(AC1027&lt;&gt;0,VLOOKUP(AC1027,DM_DUAN,3,0),"")</f>
        <v/>
      </c>
      <c r="AC1027" s="85"/>
      <c r="AD1027" s="64" t="str">
        <f>IF(AC1027&lt;&gt;0,VLOOKUP(AC1027,DM_NV,2,0),"")</f>
        <v/>
      </c>
      <c r="AE1027" s="68"/>
      <c r="AF1027" s="64" t="str">
        <f>IF(AE1027&lt;&gt;0,VLOOKUP(AE1027,DM_NV,2,0),"")</f>
        <v/>
      </c>
    </row>
    <row r="1028">
      <c r="A1028" s="51"/>
      <c r="B1028" s="52" t="str">
        <f>IF(D1028="","",VLOOKUP(D1028,'THAM CHIẾU'!$A:$B,2,0))</f>
        <v>#N/A</v>
      </c>
      <c r="C1028" s="53" t="str">
        <f t="shared" si="4"/>
        <v>04/2022</v>
      </c>
      <c r="D1028" s="99">
        <v>44680.0</v>
      </c>
      <c r="E1028" s="55" t="s">
        <v>1032</v>
      </c>
      <c r="F1028" s="56"/>
      <c r="G1028" s="57" t="s">
        <v>266</v>
      </c>
      <c r="H1028" s="58" t="str">
        <f>IF(G1028="","",VLOOKUP($G1028,'Quy chuẩn hạch toán'!$B:$E,2,0))</f>
        <v>642</v>
      </c>
      <c r="I1028" s="58" t="str">
        <f>IF(H1028="","",VLOOKUP($G1028,'Quy chuẩn hạch toán'!$B:$E,3,0))</f>
        <v>3341</v>
      </c>
      <c r="J1028" s="59">
        <v>3668639.0</v>
      </c>
      <c r="K1028" s="60"/>
      <c r="L1028" s="61"/>
      <c r="M1028" s="62"/>
      <c r="N1028" s="63"/>
      <c r="O1028" s="64" t="str">
        <f>IF($Q1028&lt;&gt;0,VLOOKUP($Q1028,DM_KM,3,0),"")</f>
        <v>#N/A</v>
      </c>
      <c r="P1028" s="64" t="str">
        <f>IF($Q1028&lt;&gt;0,VLOOKUP($Q1028,DM_KM,5,0),"")</f>
        <v>#N/A</v>
      </c>
      <c r="Q1028" s="65" t="s">
        <v>267</v>
      </c>
      <c r="R1028" s="64" t="str">
        <f>IF(S1028&lt;&gt;0,VLOOKUP(S1028,DM_DUAN,3,0),"")</f>
        <v>#N/A</v>
      </c>
      <c r="S1028" s="66" t="str">
        <f>IF(U1028&lt;&gt;0,VLOOKUP(U1028,DM_DUAN,3,0),"")</f>
        <v/>
      </c>
      <c r="T1028" s="64"/>
      <c r="U1028" s="93"/>
      <c r="V1028" s="64" t="str">
        <f>IF(W1028&lt;&gt;0,VLOOKUP(W1028,DM_DUAN,3,0),"")</f>
        <v/>
      </c>
      <c r="W1028" s="68"/>
      <c r="X1028" s="64" t="str">
        <f>IF(Y1028&lt;&gt;0,VLOOKUP(Y1028,DM_DUAN,3,0),"")</f>
        <v>#N/A</v>
      </c>
      <c r="Y1028" s="69" t="s">
        <v>207</v>
      </c>
      <c r="Z1028" s="64" t="str">
        <f>IF(AA1028&lt;&gt;0,VLOOKUP(AA1028,DM_DUAN,3,0),"")</f>
        <v>#N/A</v>
      </c>
      <c r="AA1028" s="70" t="s">
        <v>177</v>
      </c>
      <c r="AB1028" s="64" t="str">
        <f>IF(AC1028&lt;&gt;0,VLOOKUP(AC1028,DM_DUAN,3,0),"")</f>
        <v/>
      </c>
      <c r="AC1028" s="85"/>
      <c r="AD1028" s="64" t="str">
        <f>IF(AC1028&lt;&gt;0,VLOOKUP(AC1028,DM_NV,2,0),"")</f>
        <v/>
      </c>
      <c r="AE1028" s="68"/>
      <c r="AF1028" s="64" t="str">
        <f>IF(AE1028&lt;&gt;0,VLOOKUP(AE1028,DM_NV,2,0),"")</f>
        <v/>
      </c>
    </row>
    <row r="1029">
      <c r="A1029" s="51"/>
      <c r="B1029" s="52" t="str">
        <f>IF(D1029="","",VLOOKUP(D1029,'THAM CHIẾU'!$A:$B,2,0))</f>
        <v>#N/A</v>
      </c>
      <c r="C1029" s="53" t="str">
        <f t="shared" si="4"/>
        <v>04/2022</v>
      </c>
      <c r="D1029" s="99">
        <v>44680.0</v>
      </c>
      <c r="E1029" s="55" t="s">
        <v>1033</v>
      </c>
      <c r="F1029" s="56"/>
      <c r="G1029" s="57" t="s">
        <v>266</v>
      </c>
      <c r="H1029" s="58" t="str">
        <f>IF(G1029="","",VLOOKUP($G1029,'Quy chuẩn hạch toán'!$B:$E,2,0))</f>
        <v>642</v>
      </c>
      <c r="I1029" s="58" t="str">
        <f>IF(H1029="","",VLOOKUP($G1029,'Quy chuẩn hạch toán'!$B:$E,3,0))</f>
        <v>3341</v>
      </c>
      <c r="J1029" s="59">
        <v>611440.0</v>
      </c>
      <c r="K1029" s="60"/>
      <c r="L1029" s="61"/>
      <c r="M1029" s="62"/>
      <c r="N1029" s="63"/>
      <c r="O1029" s="64" t="str">
        <f>IF($Q1029&lt;&gt;0,VLOOKUP($Q1029,DM_KM,3,0),"")</f>
        <v>#N/A</v>
      </c>
      <c r="P1029" s="64" t="str">
        <f>IF($Q1029&lt;&gt;0,VLOOKUP($Q1029,DM_KM,5,0),"")</f>
        <v>#N/A</v>
      </c>
      <c r="Q1029" s="65" t="s">
        <v>267</v>
      </c>
      <c r="R1029" s="64" t="str">
        <f>IF(S1029&lt;&gt;0,VLOOKUP(S1029,DM_DUAN,3,0),"")</f>
        <v>#N/A</v>
      </c>
      <c r="S1029" s="66" t="str">
        <f>IF(U1029&lt;&gt;0,VLOOKUP(U1029,DM_DUAN,3,0),"")</f>
        <v/>
      </c>
      <c r="T1029" s="64"/>
      <c r="U1029" s="93"/>
      <c r="V1029" s="64" t="str">
        <f>IF(W1029&lt;&gt;0,VLOOKUP(W1029,DM_DUAN,3,0),"")</f>
        <v/>
      </c>
      <c r="W1029" s="68"/>
      <c r="X1029" s="64" t="str">
        <f>IF(Y1029&lt;&gt;0,VLOOKUP(Y1029,DM_DUAN,3,0),"")</f>
        <v>#N/A</v>
      </c>
      <c r="Y1029" s="69" t="s">
        <v>207</v>
      </c>
      <c r="Z1029" s="64" t="str">
        <f>IF(AA1029&lt;&gt;0,VLOOKUP(AA1029,DM_DUAN,3,0),"")</f>
        <v>#N/A</v>
      </c>
      <c r="AA1029" s="70" t="s">
        <v>810</v>
      </c>
      <c r="AB1029" s="64" t="str">
        <f>IF(AC1029&lt;&gt;0,VLOOKUP(AC1029,DM_DUAN,3,0),"")</f>
        <v/>
      </c>
      <c r="AC1029" s="85"/>
      <c r="AD1029" s="64" t="str">
        <f>IF(AC1029&lt;&gt;0,VLOOKUP(AC1029,DM_NV,2,0),"")</f>
        <v/>
      </c>
      <c r="AE1029" s="68"/>
      <c r="AF1029" s="64" t="str">
        <f>IF(AE1029&lt;&gt;0,VLOOKUP(AE1029,DM_NV,2,0),"")</f>
        <v/>
      </c>
    </row>
    <row r="1030">
      <c r="A1030" s="51"/>
      <c r="B1030" s="52" t="str">
        <f>IF(D1030="","",VLOOKUP(D1030,'THAM CHIẾU'!$A:$B,2,0))</f>
        <v>#N/A</v>
      </c>
      <c r="C1030" s="53" t="str">
        <f t="shared" si="4"/>
        <v>04/2022</v>
      </c>
      <c r="D1030" s="99">
        <v>44680.0</v>
      </c>
      <c r="E1030" s="55" t="s">
        <v>1034</v>
      </c>
      <c r="F1030" s="56"/>
      <c r="G1030" s="57" t="s">
        <v>266</v>
      </c>
      <c r="H1030" s="58" t="str">
        <f>IF(G1030="","",VLOOKUP($G1030,'Quy chuẩn hạch toán'!$B:$E,2,0))</f>
        <v>642</v>
      </c>
      <c r="I1030" s="58" t="str">
        <f>IF(H1030="","",VLOOKUP($G1030,'Quy chuẩn hạch toán'!$B:$E,3,0))</f>
        <v>3341</v>
      </c>
      <c r="J1030" s="59">
        <v>9783037.0</v>
      </c>
      <c r="K1030" s="60"/>
      <c r="L1030" s="61"/>
      <c r="M1030" s="62"/>
      <c r="N1030" s="63"/>
      <c r="O1030" s="64" t="str">
        <f>IF($Q1030&lt;&gt;0,VLOOKUP($Q1030,DM_KM,3,0),"")</f>
        <v>#N/A</v>
      </c>
      <c r="P1030" s="64" t="str">
        <f>IF($Q1030&lt;&gt;0,VLOOKUP($Q1030,DM_KM,5,0),"")</f>
        <v>#N/A</v>
      </c>
      <c r="Q1030" s="65" t="s">
        <v>267</v>
      </c>
      <c r="R1030" s="64" t="str">
        <f>IF(S1030&lt;&gt;0,VLOOKUP(S1030,DM_DUAN,3,0),"")</f>
        <v>#N/A</v>
      </c>
      <c r="S1030" s="66" t="str">
        <f>IF(U1030&lt;&gt;0,VLOOKUP(U1030,DM_DUAN,3,0),"")</f>
        <v/>
      </c>
      <c r="T1030" s="64"/>
      <c r="U1030" s="93"/>
      <c r="V1030" s="64" t="str">
        <f>IF(W1030&lt;&gt;0,VLOOKUP(W1030,DM_DUAN,3,0),"")</f>
        <v/>
      </c>
      <c r="W1030" s="68"/>
      <c r="X1030" s="64" t="str">
        <f>IF(Y1030&lt;&gt;0,VLOOKUP(Y1030,DM_DUAN,3,0),"")</f>
        <v>#N/A</v>
      </c>
      <c r="Y1030" s="69" t="s">
        <v>207</v>
      </c>
      <c r="Z1030" s="64" t="str">
        <f>IF(AA1030&lt;&gt;0,VLOOKUP(AA1030,DM_DUAN,3,0),"")</f>
        <v>#N/A</v>
      </c>
      <c r="AA1030" s="70" t="s">
        <v>183</v>
      </c>
      <c r="AB1030" s="64" t="str">
        <f>IF(AC1030&lt;&gt;0,VLOOKUP(AC1030,DM_DUAN,3,0),"")</f>
        <v/>
      </c>
      <c r="AC1030" s="85"/>
      <c r="AD1030" s="64" t="str">
        <f>IF(AC1030&lt;&gt;0,VLOOKUP(AC1030,DM_NV,2,0),"")</f>
        <v/>
      </c>
      <c r="AE1030" s="68"/>
      <c r="AF1030" s="64" t="str">
        <f>IF(AE1030&lt;&gt;0,VLOOKUP(AE1030,DM_NV,2,0),"")</f>
        <v/>
      </c>
    </row>
    <row r="1031">
      <c r="A1031" s="51"/>
      <c r="B1031" s="52" t="str">
        <f>IF(D1031="","",VLOOKUP(D1031,'THAM CHIẾU'!$A:$B,2,0))</f>
        <v>#N/A</v>
      </c>
      <c r="C1031" s="53" t="str">
        <f t="shared" si="4"/>
        <v>04/2022</v>
      </c>
      <c r="D1031" s="99">
        <v>44680.0</v>
      </c>
      <c r="E1031" s="55" t="s">
        <v>1035</v>
      </c>
      <c r="F1031" s="56"/>
      <c r="G1031" s="57" t="s">
        <v>292</v>
      </c>
      <c r="H1031" s="58" t="str">
        <f>IF(G1031="","",VLOOKUP($G1031,'Quy chuẩn hạch toán'!$B:$E,2,0))</f>
        <v>154</v>
      </c>
      <c r="I1031" s="58" t="str">
        <f>IF(H1031="","",VLOOKUP($G1031,'Quy chuẩn hạch toán'!$B:$E,3,0))</f>
        <v>3341</v>
      </c>
      <c r="J1031" s="59">
        <v>1.4E7</v>
      </c>
      <c r="K1031" s="60"/>
      <c r="L1031" s="61"/>
      <c r="M1031" s="62"/>
      <c r="N1031" s="63"/>
      <c r="O1031" s="64" t="str">
        <f>IF($Q1031&lt;&gt;0,VLOOKUP($Q1031,DM_KM,3,0),"")</f>
        <v>CPNS</v>
      </c>
      <c r="P1031" s="64">
        <f>IF($Q1031&lt;&gt;0,VLOOKUP($Q1031,DM_KM,5,0),"")</f>
        <v>642</v>
      </c>
      <c r="Q1031" s="65" t="s">
        <v>293</v>
      </c>
      <c r="R1031" s="64" t="str">
        <f>IF(S1031&lt;&gt;0,VLOOKUP(S1031,DM_DUAN,3,0),"")</f>
        <v>#N/A</v>
      </c>
      <c r="S1031" s="66" t="str">
        <f>IF(U1031&lt;&gt;0,VLOOKUP(U1031,DM_DUAN,3,0),"")</f>
        <v/>
      </c>
      <c r="T1031" s="64"/>
      <c r="U1031" s="93"/>
      <c r="V1031" s="64" t="str">
        <f>IF(W1031&lt;&gt;0,VLOOKUP(W1031,DM_DUAN,3,0),"")</f>
        <v/>
      </c>
      <c r="W1031" s="68"/>
      <c r="X1031" s="64" t="str">
        <f>IF(Y1031&lt;&gt;0,VLOOKUP(Y1031,DM_DUAN,3,0),"")</f>
        <v>#N/A</v>
      </c>
      <c r="Y1031" s="69" t="s">
        <v>176</v>
      </c>
      <c r="Z1031" s="64" t="str">
        <f>IF(AA1031&lt;&gt;0,VLOOKUP(AA1031,DM_DUAN,3,0),"")</f>
        <v>#N/A</v>
      </c>
      <c r="AA1031" s="70" t="s">
        <v>210</v>
      </c>
      <c r="AB1031" s="64" t="str">
        <f>IF(AC1031&lt;&gt;0,VLOOKUP(AC1031,DM_DUAN,3,0),"")</f>
        <v/>
      </c>
      <c r="AC1031" s="85"/>
      <c r="AD1031" s="64" t="str">
        <f>IF(AC1031&lt;&gt;0,VLOOKUP(AC1031,DM_NV,2,0),"")</f>
        <v/>
      </c>
      <c r="AE1031" s="68"/>
      <c r="AF1031" s="64" t="str">
        <f>IF(AE1031&lt;&gt;0,VLOOKUP(AE1031,DM_NV,2,0),"")</f>
        <v/>
      </c>
    </row>
    <row r="1032">
      <c r="A1032" s="51"/>
      <c r="B1032" s="52" t="str">
        <f>IF(D1032="","",VLOOKUP(D1032,'THAM CHIẾU'!$A:$B,2,0))</f>
        <v>#N/A</v>
      </c>
      <c r="C1032" s="53" t="str">
        <f t="shared" si="4"/>
        <v>04/2022</v>
      </c>
      <c r="D1032" s="99">
        <v>44680.0</v>
      </c>
      <c r="E1032" s="55" t="s">
        <v>1036</v>
      </c>
      <c r="F1032" s="56"/>
      <c r="G1032" s="57" t="s">
        <v>292</v>
      </c>
      <c r="H1032" s="58" t="str">
        <f>IF(G1032="","",VLOOKUP($G1032,'Quy chuẩn hạch toán'!$B:$E,2,0))</f>
        <v>154</v>
      </c>
      <c r="I1032" s="58" t="str">
        <f>IF(H1032="","",VLOOKUP($G1032,'Quy chuẩn hạch toán'!$B:$E,3,0))</f>
        <v>3341</v>
      </c>
      <c r="J1032" s="59">
        <v>3.5E7</v>
      </c>
      <c r="K1032" s="60"/>
      <c r="L1032" s="61"/>
      <c r="M1032" s="62"/>
      <c r="N1032" s="63"/>
      <c r="O1032" s="64" t="str">
        <f>IF($Q1032&lt;&gt;0,VLOOKUP($Q1032,DM_KM,3,0),"")</f>
        <v>CPNS</v>
      </c>
      <c r="P1032" s="64">
        <f>IF($Q1032&lt;&gt;0,VLOOKUP($Q1032,DM_KM,5,0),"")</f>
        <v>642</v>
      </c>
      <c r="Q1032" s="65" t="s">
        <v>293</v>
      </c>
      <c r="R1032" s="64" t="str">
        <f>IF(S1032&lt;&gt;0,VLOOKUP(S1032,DM_DUAN,3,0),"")</f>
        <v>#N/A</v>
      </c>
      <c r="S1032" s="66" t="str">
        <f>IF(U1032&lt;&gt;0,VLOOKUP(U1032,DM_DUAN,3,0),"")</f>
        <v/>
      </c>
      <c r="T1032" s="64"/>
      <c r="U1032" s="93"/>
      <c r="V1032" s="64" t="str">
        <f>IF(W1032&lt;&gt;0,VLOOKUP(W1032,DM_DUAN,3,0),"")</f>
        <v/>
      </c>
      <c r="W1032" s="68"/>
      <c r="X1032" s="64" t="str">
        <f>IF(Y1032&lt;&gt;0,VLOOKUP(Y1032,DM_DUAN,3,0),"")</f>
        <v>#N/A</v>
      </c>
      <c r="Y1032" s="69" t="s">
        <v>176</v>
      </c>
      <c r="Z1032" s="64" t="str">
        <f>IF(AA1032&lt;&gt;0,VLOOKUP(AA1032,DM_DUAN,3,0),"")</f>
        <v>#N/A</v>
      </c>
      <c r="AA1032" s="70" t="s">
        <v>177</v>
      </c>
      <c r="AB1032" s="64" t="str">
        <f>IF(AC1032&lt;&gt;0,VLOOKUP(AC1032,DM_DUAN,3,0),"")</f>
        <v/>
      </c>
      <c r="AC1032" s="85"/>
      <c r="AD1032" s="64" t="str">
        <f>IF(AC1032&lt;&gt;0,VLOOKUP(AC1032,DM_NV,2,0),"")</f>
        <v/>
      </c>
      <c r="AE1032" s="68"/>
      <c r="AF1032" s="64" t="str">
        <f>IF(AE1032&lt;&gt;0,VLOOKUP(AE1032,DM_NV,2,0),"")</f>
        <v/>
      </c>
    </row>
    <row r="1033">
      <c r="A1033" s="51"/>
      <c r="B1033" s="52" t="str">
        <f>IF(D1033="","",VLOOKUP(D1033,'THAM CHIẾU'!$A:$B,2,0))</f>
        <v>#N/A</v>
      </c>
      <c r="C1033" s="53" t="str">
        <f t="shared" si="4"/>
        <v>04/2022</v>
      </c>
      <c r="D1033" s="99">
        <v>44680.0</v>
      </c>
      <c r="E1033" s="55" t="s">
        <v>1037</v>
      </c>
      <c r="F1033" s="56"/>
      <c r="G1033" s="57" t="s">
        <v>292</v>
      </c>
      <c r="H1033" s="58" t="str">
        <f>IF(G1033="","",VLOOKUP($G1033,'Quy chuẩn hạch toán'!$B:$E,2,0))</f>
        <v>154</v>
      </c>
      <c r="I1033" s="58" t="str">
        <f>IF(H1033="","",VLOOKUP($G1033,'Quy chuẩn hạch toán'!$B:$E,3,0))</f>
        <v>3341</v>
      </c>
      <c r="J1033" s="59">
        <v>3.5E7</v>
      </c>
      <c r="K1033" s="60"/>
      <c r="L1033" s="61"/>
      <c r="M1033" s="62"/>
      <c r="N1033" s="63"/>
      <c r="O1033" s="64" t="str">
        <f>IF($Q1033&lt;&gt;0,VLOOKUP($Q1033,DM_KM,3,0),"")</f>
        <v>CPNS</v>
      </c>
      <c r="P1033" s="64">
        <f>IF($Q1033&lt;&gt;0,VLOOKUP($Q1033,DM_KM,5,0),"")</f>
        <v>642</v>
      </c>
      <c r="Q1033" s="65" t="s">
        <v>293</v>
      </c>
      <c r="R1033" s="64" t="str">
        <f>IF(S1033&lt;&gt;0,VLOOKUP(S1033,DM_DUAN,3,0),"")</f>
        <v>#N/A</v>
      </c>
      <c r="S1033" s="66" t="str">
        <f>IF(U1033&lt;&gt;0,VLOOKUP(U1033,DM_DUAN,3,0),"")</f>
        <v/>
      </c>
      <c r="T1033" s="64"/>
      <c r="U1033" s="93"/>
      <c r="V1033" s="64" t="str">
        <f>IF(W1033&lt;&gt;0,VLOOKUP(W1033,DM_DUAN,3,0),"")</f>
        <v/>
      </c>
      <c r="W1033" s="68"/>
      <c r="X1033" s="64" t="str">
        <f>IF(Y1033&lt;&gt;0,VLOOKUP(Y1033,DM_DUAN,3,0),"")</f>
        <v>#N/A</v>
      </c>
      <c r="Y1033" s="69" t="s">
        <v>176</v>
      </c>
      <c r="Z1033" s="64" t="str">
        <f>IF(AA1033&lt;&gt;0,VLOOKUP(AA1033,DM_DUAN,3,0),"")</f>
        <v>#N/A</v>
      </c>
      <c r="AA1033" s="70" t="s">
        <v>183</v>
      </c>
      <c r="AB1033" s="64" t="str">
        <f>IF(AC1033&lt;&gt;0,VLOOKUP(AC1033,DM_DUAN,3,0),"")</f>
        <v/>
      </c>
      <c r="AC1033" s="85"/>
      <c r="AD1033" s="64" t="str">
        <f>IF(AC1033&lt;&gt;0,VLOOKUP(AC1033,DM_NV,2,0),"")</f>
        <v/>
      </c>
      <c r="AE1033" s="68"/>
      <c r="AF1033" s="64" t="str">
        <f>IF(AE1033&lt;&gt;0,VLOOKUP(AE1033,DM_NV,2,0),"")</f>
        <v/>
      </c>
    </row>
    <row r="1034">
      <c r="A1034" s="51"/>
      <c r="B1034" s="52" t="str">
        <f>IF(D1034="","",VLOOKUP(D1034,'THAM CHIẾU'!$A:$B,2,0))</f>
        <v>#N/A</v>
      </c>
      <c r="C1034" s="53" t="str">
        <f t="shared" si="4"/>
        <v>04/2022</v>
      </c>
      <c r="D1034" s="99">
        <v>44680.0</v>
      </c>
      <c r="E1034" s="55" t="s">
        <v>1038</v>
      </c>
      <c r="F1034" s="56"/>
      <c r="G1034" s="57" t="s">
        <v>297</v>
      </c>
      <c r="H1034" s="58" t="str">
        <f>IF(G1034="","",VLOOKUP($G1034,'Quy chuẩn hạch toán'!$B:$E,2,0))</f>
        <v>154</v>
      </c>
      <c r="I1034" s="58" t="str">
        <f>IF(H1034="","",VLOOKUP($G1034,'Quy chuẩn hạch toán'!$B:$E,3,0))</f>
        <v>3341</v>
      </c>
      <c r="J1034" s="59">
        <v>4.0230769E7</v>
      </c>
      <c r="K1034" s="60"/>
      <c r="L1034" s="61"/>
      <c r="M1034" s="62"/>
      <c r="N1034" s="63"/>
      <c r="O1034" s="64" t="str">
        <f>IF($Q1034&lt;&gt;0,VLOOKUP($Q1034,DM_KM,3,0),"")</f>
        <v>#N/A</v>
      </c>
      <c r="P1034" s="64" t="str">
        <f>IF($Q1034&lt;&gt;0,VLOOKUP($Q1034,DM_KM,5,0),"")</f>
        <v>#N/A</v>
      </c>
      <c r="Q1034" s="65" t="s">
        <v>255</v>
      </c>
      <c r="R1034" s="64" t="str">
        <f>IF(S1034&lt;&gt;0,VLOOKUP(S1034,DM_DUAN,3,0),"")</f>
        <v>#N/A</v>
      </c>
      <c r="S1034" s="66" t="str">
        <f>IF(U1034&lt;&gt;0,VLOOKUP(U1034,DM_DUAN,3,0),"")</f>
        <v/>
      </c>
      <c r="T1034" s="64"/>
      <c r="U1034" s="93"/>
      <c r="V1034" s="64" t="str">
        <f>IF(W1034&lt;&gt;0,VLOOKUP(W1034,DM_DUAN,3,0),"")</f>
        <v/>
      </c>
      <c r="W1034" s="68"/>
      <c r="X1034" s="64" t="str">
        <f>IF(Y1034&lt;&gt;0,VLOOKUP(Y1034,DM_DUAN,3,0),"")</f>
        <v>#N/A</v>
      </c>
      <c r="Y1034" s="69" t="s">
        <v>176</v>
      </c>
      <c r="Z1034" s="64" t="str">
        <f>IF(AA1034&lt;&gt;0,VLOOKUP(AA1034,DM_DUAN,3,0),"")</f>
        <v>#N/A</v>
      </c>
      <c r="AA1034" s="70" t="s">
        <v>705</v>
      </c>
      <c r="AB1034" s="64" t="str">
        <f>IF(AC1034&lt;&gt;0,VLOOKUP(AC1034,DM_DUAN,3,0),"")</f>
        <v/>
      </c>
      <c r="AC1034" s="85"/>
      <c r="AD1034" s="64" t="str">
        <f>IF(AC1034&lt;&gt;0,VLOOKUP(AC1034,DM_NV,2,0),"")</f>
        <v/>
      </c>
      <c r="AE1034" s="68"/>
      <c r="AF1034" s="64" t="str">
        <f>IF(AE1034&lt;&gt;0,VLOOKUP(AE1034,DM_NV,2,0),"")</f>
        <v/>
      </c>
    </row>
    <row r="1035">
      <c r="A1035" s="51"/>
      <c r="B1035" s="52" t="str">
        <f>IF(D1035="","",VLOOKUP(D1035,'THAM CHIẾU'!$A:$B,2,0))</f>
        <v>#N/A</v>
      </c>
      <c r="C1035" s="53" t="str">
        <f t="shared" si="4"/>
        <v>04/2022</v>
      </c>
      <c r="D1035" s="99">
        <v>44680.0</v>
      </c>
      <c r="E1035" s="55" t="s">
        <v>1039</v>
      </c>
      <c r="F1035" s="56"/>
      <c r="G1035" s="57" t="s">
        <v>297</v>
      </c>
      <c r="H1035" s="58" t="str">
        <f>IF(G1035="","",VLOOKUP($G1035,'Quy chuẩn hạch toán'!$B:$E,2,0))</f>
        <v>154</v>
      </c>
      <c r="I1035" s="58" t="str">
        <f>IF(H1035="","",VLOOKUP($G1035,'Quy chuẩn hạch toán'!$B:$E,3,0))</f>
        <v>3341</v>
      </c>
      <c r="J1035" s="59">
        <v>3.4019231E7</v>
      </c>
      <c r="K1035" s="60"/>
      <c r="L1035" s="61"/>
      <c r="M1035" s="62"/>
      <c r="N1035" s="63"/>
      <c r="O1035" s="64" t="str">
        <f>IF($Q1035&lt;&gt;0,VLOOKUP($Q1035,DM_KM,3,0),"")</f>
        <v>#N/A</v>
      </c>
      <c r="P1035" s="64" t="str">
        <f>IF($Q1035&lt;&gt;0,VLOOKUP($Q1035,DM_KM,5,0),"")</f>
        <v>#N/A</v>
      </c>
      <c r="Q1035" s="65" t="s">
        <v>255</v>
      </c>
      <c r="R1035" s="64" t="str">
        <f>IF(S1035&lt;&gt;0,VLOOKUP(S1035,DM_DUAN,3,0),"")</f>
        <v>#N/A</v>
      </c>
      <c r="S1035" s="66" t="str">
        <f>IF(U1035&lt;&gt;0,VLOOKUP(U1035,DM_DUAN,3,0),"")</f>
        <v/>
      </c>
      <c r="T1035" s="64"/>
      <c r="U1035" s="93"/>
      <c r="V1035" s="64" t="str">
        <f>IF(W1035&lt;&gt;0,VLOOKUP(W1035,DM_DUAN,3,0),"")</f>
        <v/>
      </c>
      <c r="W1035" s="68"/>
      <c r="X1035" s="64" t="str">
        <f>IF(Y1035&lt;&gt;0,VLOOKUP(Y1035,DM_DUAN,3,0),"")</f>
        <v>#N/A</v>
      </c>
      <c r="Y1035" s="69" t="s">
        <v>176</v>
      </c>
      <c r="Z1035" s="64" t="str">
        <f>IF(AA1035&lt;&gt;0,VLOOKUP(AA1035,DM_DUAN,3,0),"")</f>
        <v>#N/A</v>
      </c>
      <c r="AA1035" s="70" t="s">
        <v>210</v>
      </c>
      <c r="AB1035" s="64" t="str">
        <f>IF(AC1035&lt;&gt;0,VLOOKUP(AC1035,DM_DUAN,3,0),"")</f>
        <v/>
      </c>
      <c r="AC1035" s="85"/>
      <c r="AD1035" s="64" t="str">
        <f>IF(AC1035&lt;&gt;0,VLOOKUP(AC1035,DM_NV,2,0),"")</f>
        <v/>
      </c>
      <c r="AE1035" s="68"/>
      <c r="AF1035" s="64" t="str">
        <f>IF(AE1035&lt;&gt;0,VLOOKUP(AE1035,DM_NV,2,0),"")</f>
        <v/>
      </c>
    </row>
    <row r="1036">
      <c r="A1036" s="51"/>
      <c r="B1036" s="52" t="str">
        <f>IF(D1036="","",VLOOKUP(D1036,'THAM CHIẾU'!$A:$B,2,0))</f>
        <v>#N/A</v>
      </c>
      <c r="C1036" s="53" t="str">
        <f t="shared" si="4"/>
        <v>04/2022</v>
      </c>
      <c r="D1036" s="99">
        <v>44680.0</v>
      </c>
      <c r="E1036" s="55" t="s">
        <v>1040</v>
      </c>
      <c r="F1036" s="56"/>
      <c r="G1036" s="57" t="s">
        <v>297</v>
      </c>
      <c r="H1036" s="58" t="str">
        <f>IF(G1036="","",VLOOKUP($G1036,'Quy chuẩn hạch toán'!$B:$E,2,0))</f>
        <v>154</v>
      </c>
      <c r="I1036" s="58" t="str">
        <f>IF(H1036="","",VLOOKUP($G1036,'Quy chuẩn hạch toán'!$B:$E,3,0))</f>
        <v>3341</v>
      </c>
      <c r="J1036" s="59">
        <v>3.9019231E7</v>
      </c>
      <c r="K1036" s="60"/>
      <c r="L1036" s="61"/>
      <c r="M1036" s="62"/>
      <c r="N1036" s="63"/>
      <c r="O1036" s="64" t="str">
        <f>IF($Q1036&lt;&gt;0,VLOOKUP($Q1036,DM_KM,3,0),"")</f>
        <v>#N/A</v>
      </c>
      <c r="P1036" s="64" t="str">
        <f>IF($Q1036&lt;&gt;0,VLOOKUP($Q1036,DM_KM,5,0),"")</f>
        <v>#N/A</v>
      </c>
      <c r="Q1036" s="65" t="s">
        <v>255</v>
      </c>
      <c r="R1036" s="64" t="str">
        <f>IF(S1036&lt;&gt;0,VLOOKUP(S1036,DM_DUAN,3,0),"")</f>
        <v>#N/A</v>
      </c>
      <c r="S1036" s="66" t="str">
        <f>IF(U1036&lt;&gt;0,VLOOKUP(U1036,DM_DUAN,3,0),"")</f>
        <v/>
      </c>
      <c r="T1036" s="64"/>
      <c r="U1036" s="93"/>
      <c r="V1036" s="64" t="str">
        <f>IF(W1036&lt;&gt;0,VLOOKUP(W1036,DM_DUAN,3,0),"")</f>
        <v/>
      </c>
      <c r="W1036" s="68"/>
      <c r="X1036" s="64" t="str">
        <f>IF(Y1036&lt;&gt;0,VLOOKUP(Y1036,DM_DUAN,3,0),"")</f>
        <v>#N/A</v>
      </c>
      <c r="Y1036" s="69" t="s">
        <v>176</v>
      </c>
      <c r="Z1036" s="64" t="str">
        <f>IF(AA1036&lt;&gt;0,VLOOKUP(AA1036,DM_DUAN,3,0),"")</f>
        <v>#N/A</v>
      </c>
      <c r="AA1036" s="70" t="s">
        <v>177</v>
      </c>
      <c r="AB1036" s="64" t="str">
        <f>IF(AC1036&lt;&gt;0,VLOOKUP(AC1036,DM_DUAN,3,0),"")</f>
        <v/>
      </c>
      <c r="AC1036" s="85"/>
      <c r="AD1036" s="64" t="str">
        <f>IF(AC1036&lt;&gt;0,VLOOKUP(AC1036,DM_NV,2,0),"")</f>
        <v/>
      </c>
      <c r="AE1036" s="68"/>
      <c r="AF1036" s="64" t="str">
        <f>IF(AE1036&lt;&gt;0,VLOOKUP(AE1036,DM_NV,2,0),"")</f>
        <v/>
      </c>
    </row>
    <row r="1037">
      <c r="A1037" s="51"/>
      <c r="B1037" s="52" t="str">
        <f>IF(D1037="","",VLOOKUP(D1037,'THAM CHIẾU'!$A:$B,2,0))</f>
        <v>#N/A</v>
      </c>
      <c r="C1037" s="53" t="str">
        <f t="shared" si="4"/>
        <v>04/2022</v>
      </c>
      <c r="D1037" s="99">
        <v>44680.0</v>
      </c>
      <c r="E1037" s="55" t="s">
        <v>1041</v>
      </c>
      <c r="F1037" s="56"/>
      <c r="G1037" s="57" t="s">
        <v>297</v>
      </c>
      <c r="H1037" s="58" t="str">
        <f>IF(G1037="","",VLOOKUP($G1037,'Quy chuẩn hạch toán'!$B:$E,2,0))</f>
        <v>154</v>
      </c>
      <c r="I1037" s="58" t="str">
        <f>IF(H1037="","",VLOOKUP($G1037,'Quy chuẩn hạch toán'!$B:$E,3,0))</f>
        <v>3341</v>
      </c>
      <c r="J1037" s="59">
        <v>8000000.0</v>
      </c>
      <c r="K1037" s="60"/>
      <c r="L1037" s="61"/>
      <c r="M1037" s="62"/>
      <c r="N1037" s="63"/>
      <c r="O1037" s="64" t="str">
        <f>IF($Q1037&lt;&gt;0,VLOOKUP($Q1037,DM_KM,3,0),"")</f>
        <v>#N/A</v>
      </c>
      <c r="P1037" s="64" t="str">
        <f>IF($Q1037&lt;&gt;0,VLOOKUP($Q1037,DM_KM,5,0),"")</f>
        <v>#N/A</v>
      </c>
      <c r="Q1037" s="65" t="s">
        <v>255</v>
      </c>
      <c r="R1037" s="64" t="str">
        <f>IF(S1037&lt;&gt;0,VLOOKUP(S1037,DM_DUAN,3,0),"")</f>
        <v>#N/A</v>
      </c>
      <c r="S1037" s="66" t="str">
        <f>IF(U1037&lt;&gt;0,VLOOKUP(U1037,DM_DUAN,3,0),"")</f>
        <v/>
      </c>
      <c r="T1037" s="64"/>
      <c r="U1037" s="93"/>
      <c r="V1037" s="64" t="str">
        <f>IF(W1037&lt;&gt;0,VLOOKUP(W1037,DM_DUAN,3,0),"")</f>
        <v/>
      </c>
      <c r="W1037" s="68"/>
      <c r="X1037" s="64" t="str">
        <f>IF(Y1037&lt;&gt;0,VLOOKUP(Y1037,DM_DUAN,3,0),"")</f>
        <v>#N/A</v>
      </c>
      <c r="Y1037" s="69" t="s">
        <v>176</v>
      </c>
      <c r="Z1037" s="64" t="str">
        <f>IF(AA1037&lt;&gt;0,VLOOKUP(AA1037,DM_DUAN,3,0),"")</f>
        <v>#N/A</v>
      </c>
      <c r="AA1037" s="70" t="s">
        <v>810</v>
      </c>
      <c r="AB1037" s="64" t="str">
        <f>IF(AC1037&lt;&gt;0,VLOOKUP(AC1037,DM_DUAN,3,0),"")</f>
        <v/>
      </c>
      <c r="AC1037" s="85"/>
      <c r="AD1037" s="64" t="str">
        <f>IF(AC1037&lt;&gt;0,VLOOKUP(AC1037,DM_NV,2,0),"")</f>
        <v/>
      </c>
      <c r="AE1037" s="68"/>
      <c r="AF1037" s="64" t="str">
        <f>IF(AE1037&lt;&gt;0,VLOOKUP(AE1037,DM_NV,2,0),"")</f>
        <v/>
      </c>
    </row>
    <row r="1038">
      <c r="A1038" s="51"/>
      <c r="B1038" s="52" t="str">
        <f>IF(D1038="","",VLOOKUP(D1038,'THAM CHIẾU'!$A:$B,2,0))</f>
        <v>#N/A</v>
      </c>
      <c r="C1038" s="53" t="str">
        <f t="shared" si="4"/>
        <v>04/2022</v>
      </c>
      <c r="D1038" s="99">
        <v>44680.0</v>
      </c>
      <c r="E1038" s="55" t="s">
        <v>1042</v>
      </c>
      <c r="F1038" s="56"/>
      <c r="G1038" s="57" t="s">
        <v>297</v>
      </c>
      <c r="H1038" s="58" t="str">
        <f>IF(G1038="","",VLOOKUP($G1038,'Quy chuẩn hạch toán'!$B:$E,2,0))</f>
        <v>154</v>
      </c>
      <c r="I1038" s="58" t="str">
        <f>IF(H1038="","",VLOOKUP($G1038,'Quy chuẩn hạch toán'!$B:$E,3,0))</f>
        <v>3341</v>
      </c>
      <c r="J1038" s="59">
        <v>8.8966154E7</v>
      </c>
      <c r="K1038" s="60"/>
      <c r="L1038" s="61"/>
      <c r="M1038" s="62"/>
      <c r="N1038" s="63"/>
      <c r="O1038" s="64" t="str">
        <f>IF($Q1038&lt;&gt;0,VLOOKUP($Q1038,DM_KM,3,0),"")</f>
        <v>#N/A</v>
      </c>
      <c r="P1038" s="64" t="str">
        <f>IF($Q1038&lt;&gt;0,VLOOKUP($Q1038,DM_KM,5,0),"")</f>
        <v>#N/A</v>
      </c>
      <c r="Q1038" s="65" t="s">
        <v>255</v>
      </c>
      <c r="R1038" s="64" t="str">
        <f>IF(S1038&lt;&gt;0,VLOOKUP(S1038,DM_DUAN,3,0),"")</f>
        <v>#N/A</v>
      </c>
      <c r="S1038" s="66" t="str">
        <f>IF(U1038&lt;&gt;0,VLOOKUP(U1038,DM_DUAN,3,0),"")</f>
        <v/>
      </c>
      <c r="T1038" s="64"/>
      <c r="U1038" s="93"/>
      <c r="V1038" s="64" t="str">
        <f>IF(W1038&lt;&gt;0,VLOOKUP(W1038,DM_DUAN,3,0),"")</f>
        <v/>
      </c>
      <c r="W1038" s="68"/>
      <c r="X1038" s="64" t="str">
        <f>IF(Y1038&lt;&gt;0,VLOOKUP(Y1038,DM_DUAN,3,0),"")</f>
        <v>#N/A</v>
      </c>
      <c r="Y1038" s="69" t="s">
        <v>176</v>
      </c>
      <c r="Z1038" s="64" t="str">
        <f>IF(AA1038&lt;&gt;0,VLOOKUP(AA1038,DM_DUAN,3,0),"")</f>
        <v>#N/A</v>
      </c>
      <c r="AA1038" s="70" t="s">
        <v>183</v>
      </c>
      <c r="AB1038" s="64" t="str">
        <f>IF(AC1038&lt;&gt;0,VLOOKUP(AC1038,DM_DUAN,3,0),"")</f>
        <v/>
      </c>
      <c r="AC1038" s="85"/>
      <c r="AD1038" s="64" t="str">
        <f>IF(AC1038&lt;&gt;0,VLOOKUP(AC1038,DM_NV,2,0),"")</f>
        <v/>
      </c>
      <c r="AE1038" s="68"/>
      <c r="AF1038" s="64" t="str">
        <f>IF(AE1038&lt;&gt;0,VLOOKUP(AE1038,DM_NV,2,0),"")</f>
        <v/>
      </c>
    </row>
    <row r="1039">
      <c r="A1039" s="51"/>
      <c r="B1039" s="52" t="str">
        <f>IF(D1039="","",VLOOKUP(D1039,'THAM CHIẾU'!$A:$B,2,0))</f>
        <v>#N/A</v>
      </c>
      <c r="C1039" s="53" t="str">
        <f t="shared" si="4"/>
        <v>04/2022</v>
      </c>
      <c r="D1039" s="99">
        <v>44680.0</v>
      </c>
      <c r="E1039" s="55" t="s">
        <v>265</v>
      </c>
      <c r="F1039" s="56"/>
      <c r="G1039" s="57" t="s">
        <v>266</v>
      </c>
      <c r="H1039" s="58" t="str">
        <f>IF(G1039="","",VLOOKUP($G1039,'Quy chuẩn hạch toán'!$B:$E,2,0))</f>
        <v>642</v>
      </c>
      <c r="I1039" s="58" t="str">
        <f>IF(H1039="","",VLOOKUP($G1039,'Quy chuẩn hạch toán'!$B:$E,3,0))</f>
        <v>3341</v>
      </c>
      <c r="J1039" s="59">
        <v>7985830.0</v>
      </c>
      <c r="K1039" s="60"/>
      <c r="L1039" s="61"/>
      <c r="M1039" s="62"/>
      <c r="N1039" s="63"/>
      <c r="O1039" s="64" t="str">
        <f>IF($Q1039&lt;&gt;0,VLOOKUP($Q1039,DM_KM,3,0),"")</f>
        <v>#N/A</v>
      </c>
      <c r="P1039" s="64" t="str">
        <f>IF($Q1039&lt;&gt;0,VLOOKUP($Q1039,DM_KM,5,0),"")</f>
        <v>#N/A</v>
      </c>
      <c r="Q1039" s="65" t="s">
        <v>267</v>
      </c>
      <c r="R1039" s="64" t="str">
        <f>IF(S1039&lt;&gt;0,VLOOKUP(S1039,DM_DUAN,3,0),"")</f>
        <v>#N/A</v>
      </c>
      <c r="S1039" s="66" t="str">
        <f>IF(U1039&lt;&gt;0,VLOOKUP(U1039,DM_DUAN,3,0),"")</f>
        <v/>
      </c>
      <c r="T1039" s="64"/>
      <c r="U1039" s="93"/>
      <c r="V1039" s="64" t="str">
        <f>IF(W1039&lt;&gt;0,VLOOKUP(W1039,DM_DUAN,3,0),"")</f>
        <v/>
      </c>
      <c r="W1039" s="68"/>
      <c r="X1039" s="64" t="str">
        <f>IF(Y1039&lt;&gt;0,VLOOKUP(Y1039,DM_DUAN,3,0),"")</f>
        <v>#N/A</v>
      </c>
      <c r="Y1039" s="69" t="s">
        <v>207</v>
      </c>
      <c r="Z1039" s="64" t="str">
        <f>IF(AA1039&lt;&gt;0,VLOOKUP(AA1039,DM_DUAN,3,0),"")</f>
        <v>#N/A</v>
      </c>
      <c r="AA1039" s="70" t="s">
        <v>705</v>
      </c>
      <c r="AB1039" s="64" t="str">
        <f>IF(AC1039&lt;&gt;0,VLOOKUP(AC1039,DM_DUAN,3,0),"")</f>
        <v/>
      </c>
      <c r="AC1039" s="85"/>
      <c r="AD1039" s="64" t="str">
        <f>IF(AC1039&lt;&gt;0,VLOOKUP(AC1039,DM_NV,2,0),"")</f>
        <v/>
      </c>
      <c r="AE1039" s="68"/>
      <c r="AF1039" s="64" t="str">
        <f>IF(AE1039&lt;&gt;0,VLOOKUP(AE1039,DM_NV,2,0),"")</f>
        <v/>
      </c>
    </row>
    <row r="1040">
      <c r="A1040" s="51"/>
      <c r="B1040" s="52" t="str">
        <f>IF(D1040="","",VLOOKUP(D1040,'THAM CHIẾU'!$A:$B,2,0))</f>
        <v>#N/A</v>
      </c>
      <c r="C1040" s="53" t="str">
        <f t="shared" si="4"/>
        <v>04/2022</v>
      </c>
      <c r="D1040" s="99">
        <v>44680.0</v>
      </c>
      <c r="E1040" s="55" t="s">
        <v>265</v>
      </c>
      <c r="F1040" s="56"/>
      <c r="G1040" s="57" t="s">
        <v>266</v>
      </c>
      <c r="H1040" s="58" t="str">
        <f>IF(G1040="","",VLOOKUP($G1040,'Quy chuẩn hạch toán'!$B:$E,2,0))</f>
        <v>642</v>
      </c>
      <c r="I1040" s="58" t="str">
        <f>IF(H1040="","",VLOOKUP($G1040,'Quy chuẩn hạch toán'!$B:$E,3,0))</f>
        <v>3341</v>
      </c>
      <c r="J1040" s="59">
        <v>1.597166E7</v>
      </c>
      <c r="K1040" s="60"/>
      <c r="L1040" s="61"/>
      <c r="M1040" s="62"/>
      <c r="N1040" s="63"/>
      <c r="O1040" s="64" t="str">
        <f>IF($Q1040&lt;&gt;0,VLOOKUP($Q1040,DM_KM,3,0),"")</f>
        <v>#N/A</v>
      </c>
      <c r="P1040" s="64" t="str">
        <f>IF($Q1040&lt;&gt;0,VLOOKUP($Q1040,DM_KM,5,0),"")</f>
        <v>#N/A</v>
      </c>
      <c r="Q1040" s="65" t="s">
        <v>267</v>
      </c>
      <c r="R1040" s="64" t="str">
        <f>IF(S1040&lt;&gt;0,VLOOKUP(S1040,DM_DUAN,3,0),"")</f>
        <v>#N/A</v>
      </c>
      <c r="S1040" s="66" t="str">
        <f>IF(U1040&lt;&gt;0,VLOOKUP(U1040,DM_DUAN,3,0),"")</f>
        <v/>
      </c>
      <c r="T1040" s="64"/>
      <c r="U1040" s="93"/>
      <c r="V1040" s="64" t="str">
        <f>IF(W1040&lt;&gt;0,VLOOKUP(W1040,DM_DUAN,3,0),"")</f>
        <v/>
      </c>
      <c r="W1040" s="68"/>
      <c r="X1040" s="64" t="str">
        <f>IF(Y1040&lt;&gt;0,VLOOKUP(Y1040,DM_DUAN,3,0),"")</f>
        <v>#N/A</v>
      </c>
      <c r="Y1040" s="69" t="s">
        <v>207</v>
      </c>
      <c r="Z1040" s="64" t="str">
        <f>IF(AA1040&lt;&gt;0,VLOOKUP(AA1040,DM_DUAN,3,0),"")</f>
        <v>#N/A</v>
      </c>
      <c r="AA1040" s="70" t="s">
        <v>183</v>
      </c>
      <c r="AB1040" s="64" t="str">
        <f>IF(AC1040&lt;&gt;0,VLOOKUP(AC1040,DM_DUAN,3,0),"")</f>
        <v/>
      </c>
      <c r="AC1040" s="85"/>
      <c r="AD1040" s="64" t="str">
        <f>IF(AC1040&lt;&gt;0,VLOOKUP(AC1040,DM_NV,2,0),"")</f>
        <v/>
      </c>
      <c r="AE1040" s="68"/>
      <c r="AF1040" s="64" t="str">
        <f>IF(AE1040&lt;&gt;0,VLOOKUP(AE1040,DM_NV,2,0),"")</f>
        <v/>
      </c>
    </row>
    <row r="1041">
      <c r="A1041" s="51"/>
      <c r="B1041" s="52" t="str">
        <f>IF(D1041="","",VLOOKUP(D1041,'THAM CHIẾU'!$A:$B,2,0))</f>
        <v>#N/A</v>
      </c>
      <c r="C1041" s="53" t="str">
        <f t="shared" si="4"/>
        <v>04/2022</v>
      </c>
      <c r="D1041" s="99">
        <v>44680.0</v>
      </c>
      <c r="E1041" s="55" t="s">
        <v>265</v>
      </c>
      <c r="F1041" s="56"/>
      <c r="G1041" s="57" t="s">
        <v>266</v>
      </c>
      <c r="H1041" s="58" t="str">
        <f>IF(G1041="","",VLOOKUP($G1041,'Quy chuẩn hạch toán'!$B:$E,2,0))</f>
        <v>642</v>
      </c>
      <c r="I1041" s="58" t="str">
        <f>IF(H1041="","",VLOOKUP($G1041,'Quy chuẩn hạch toán'!$B:$E,3,0))</f>
        <v>3341</v>
      </c>
      <c r="J1041" s="59">
        <v>5989372.0</v>
      </c>
      <c r="K1041" s="60"/>
      <c r="L1041" s="61"/>
      <c r="M1041" s="62"/>
      <c r="N1041" s="63"/>
      <c r="O1041" s="64" t="str">
        <f>IF($Q1041&lt;&gt;0,VLOOKUP($Q1041,DM_KM,3,0),"")</f>
        <v>#N/A</v>
      </c>
      <c r="P1041" s="64" t="str">
        <f>IF($Q1041&lt;&gt;0,VLOOKUP($Q1041,DM_KM,5,0),"")</f>
        <v>#N/A</v>
      </c>
      <c r="Q1041" s="65" t="s">
        <v>267</v>
      </c>
      <c r="R1041" s="64" t="str">
        <f>IF(S1041&lt;&gt;0,VLOOKUP(S1041,DM_DUAN,3,0),"")</f>
        <v>#N/A</v>
      </c>
      <c r="S1041" s="66" t="str">
        <f>IF(U1041&lt;&gt;0,VLOOKUP(U1041,DM_DUAN,3,0),"")</f>
        <v/>
      </c>
      <c r="T1041" s="64"/>
      <c r="U1041" s="93"/>
      <c r="V1041" s="64" t="str">
        <f>IF(W1041&lt;&gt;0,VLOOKUP(W1041,DM_DUAN,3,0),"")</f>
        <v/>
      </c>
      <c r="W1041" s="68"/>
      <c r="X1041" s="64" t="str">
        <f>IF(Y1041&lt;&gt;0,VLOOKUP(Y1041,DM_DUAN,3,0),"")</f>
        <v>#N/A</v>
      </c>
      <c r="Y1041" s="69" t="s">
        <v>207</v>
      </c>
      <c r="Z1041" s="64" t="str">
        <f>IF(AA1041&lt;&gt;0,VLOOKUP(AA1041,DM_DUAN,3,0),"")</f>
        <v>#N/A</v>
      </c>
      <c r="AA1041" s="70" t="s">
        <v>177</v>
      </c>
      <c r="AB1041" s="64" t="str">
        <f>IF(AC1041&lt;&gt;0,VLOOKUP(AC1041,DM_DUAN,3,0),"")</f>
        <v/>
      </c>
      <c r="AC1041" s="85"/>
      <c r="AD1041" s="64" t="str">
        <f>IF(AC1041&lt;&gt;0,VLOOKUP(AC1041,DM_NV,2,0),"")</f>
        <v/>
      </c>
      <c r="AE1041" s="68"/>
      <c r="AF1041" s="64" t="str">
        <f>IF(AE1041&lt;&gt;0,VLOOKUP(AE1041,DM_NV,2,0),"")</f>
        <v/>
      </c>
    </row>
    <row r="1042">
      <c r="A1042" s="51"/>
      <c r="B1042" s="52" t="str">
        <f>IF(D1042="","",VLOOKUP(D1042,'THAM CHIẾU'!$A:$B,2,0))</f>
        <v>#N/A</v>
      </c>
      <c r="C1042" s="53" t="str">
        <f t="shared" si="4"/>
        <v>04/2022</v>
      </c>
      <c r="D1042" s="99">
        <v>44680.0</v>
      </c>
      <c r="E1042" s="107" t="s">
        <v>265</v>
      </c>
      <c r="F1042" s="110"/>
      <c r="G1042" s="57" t="s">
        <v>266</v>
      </c>
      <c r="H1042" s="58" t="str">
        <f>IF(G1042="","",VLOOKUP($G1042,'Quy chuẩn hạch toán'!$B:$E,2,0))</f>
        <v>642</v>
      </c>
      <c r="I1042" s="58" t="str">
        <f>IF(H1042="","",VLOOKUP($G1042,'Quy chuẩn hạch toán'!$B:$E,3,0))</f>
        <v>3341</v>
      </c>
      <c r="J1042" s="59">
        <v>7985830.0</v>
      </c>
      <c r="K1042" s="60"/>
      <c r="L1042" s="61"/>
      <c r="M1042" s="62"/>
      <c r="N1042" s="63"/>
      <c r="O1042" s="64" t="str">
        <f>IF($Q1042&lt;&gt;0,VLOOKUP($Q1042,DM_KM,3,0),"")</f>
        <v>#N/A</v>
      </c>
      <c r="P1042" s="64" t="str">
        <f>IF($Q1042&lt;&gt;0,VLOOKUP($Q1042,DM_KM,5,0),"")</f>
        <v>#N/A</v>
      </c>
      <c r="Q1042" s="65" t="s">
        <v>267</v>
      </c>
      <c r="R1042" s="64" t="str">
        <f>IF(S1042&lt;&gt;0,VLOOKUP(S1042,DM_DUAN,3,0),"")</f>
        <v>#N/A</v>
      </c>
      <c r="S1042" s="66" t="str">
        <f>IF(U1042&lt;&gt;0,VLOOKUP(U1042,DM_DUAN,3,0),"")</f>
        <v/>
      </c>
      <c r="T1042" s="64"/>
      <c r="U1042" s="93"/>
      <c r="V1042" s="64" t="str">
        <f>IF(W1042&lt;&gt;0,VLOOKUP(W1042,DM_DUAN,3,0),"")</f>
        <v/>
      </c>
      <c r="W1042" s="68"/>
      <c r="X1042" s="64" t="str">
        <f>IF(Y1042&lt;&gt;0,VLOOKUP(Y1042,DM_DUAN,3,0),"")</f>
        <v>#N/A</v>
      </c>
      <c r="Y1042" s="69" t="s">
        <v>207</v>
      </c>
      <c r="Z1042" s="64" t="str">
        <f>IF(AA1042&lt;&gt;0,VLOOKUP(AA1042,DM_DUAN,3,0),"")</f>
        <v>#N/A</v>
      </c>
      <c r="AA1042" s="70" t="s">
        <v>210</v>
      </c>
      <c r="AB1042" s="64" t="str">
        <f>IF(AC1042&lt;&gt;0,VLOOKUP(AC1042,DM_DUAN,3,0),"")</f>
        <v/>
      </c>
      <c r="AC1042" s="85"/>
      <c r="AD1042" s="64" t="str">
        <f>IF(AC1042&lt;&gt;0,VLOOKUP(AC1042,DM_NV,2,0),"")</f>
        <v/>
      </c>
      <c r="AE1042" s="68"/>
      <c r="AF1042" s="64" t="str">
        <f>IF(AE1042&lt;&gt;0,VLOOKUP(AE1042,DM_NV,2,0),"")</f>
        <v/>
      </c>
    </row>
    <row r="1043">
      <c r="A1043" s="51"/>
      <c r="B1043" s="52" t="str">
        <f>IF(D1043="","",VLOOKUP(D1043,'THAM CHIẾU'!$A:$B,2,0))</f>
        <v>#N/A</v>
      </c>
      <c r="C1043" s="53" t="str">
        <f t="shared" si="4"/>
        <v>04/2022</v>
      </c>
      <c r="D1043" s="99">
        <v>44680.0</v>
      </c>
      <c r="E1043" s="55" t="s">
        <v>453</v>
      </c>
      <c r="F1043" s="56"/>
      <c r="G1043" s="57" t="s">
        <v>249</v>
      </c>
      <c r="H1043" s="58" t="str">
        <f>IF(G1043="","",VLOOKUP($G1043,'Quy chuẩn hạch toán'!$B:$E,2,0))</f>
        <v>642</v>
      </c>
      <c r="I1043" s="58" t="str">
        <f>IF(H1043="","",VLOOKUP($G1043,'Quy chuẩn hạch toán'!$B:$E,3,0))</f>
        <v>331</v>
      </c>
      <c r="J1043" s="59">
        <v>982456.0</v>
      </c>
      <c r="K1043" s="60"/>
      <c r="L1043" s="61"/>
      <c r="M1043" s="62"/>
      <c r="N1043" s="63"/>
      <c r="O1043" s="64" t="str">
        <f>IF($Q1043&lt;&gt;0,VLOOKUP($Q1043,DM_KM,3,0),"")</f>
        <v>THUEVP</v>
      </c>
      <c r="P1043" s="64">
        <f>IF($Q1043&lt;&gt;0,VLOOKUP($Q1043,DM_KM,5,0),"")</f>
        <v>642</v>
      </c>
      <c r="Q1043" s="65" t="s">
        <v>270</v>
      </c>
      <c r="R1043" s="64" t="str">
        <f>IF(S1043&lt;&gt;0,VLOOKUP(S1043,DM_DUAN,3,0),"")</f>
        <v>#N/A</v>
      </c>
      <c r="S1043" s="66" t="str">
        <f>IF(U1043&lt;&gt;0,VLOOKUP(U1043,DM_DUAN,3,0),"")</f>
        <v/>
      </c>
      <c r="T1043" s="64"/>
      <c r="U1043" s="93"/>
      <c r="V1043" s="64" t="str">
        <f>IF(W1043&lt;&gt;0,VLOOKUP(W1043,DM_DUAN,3,0),"")</f>
        <v/>
      </c>
      <c r="W1043" s="68"/>
      <c r="X1043" s="64" t="str">
        <f>IF(Y1043&lt;&gt;0,VLOOKUP(Y1043,DM_DUAN,3,0),"")</f>
        <v>#N/A</v>
      </c>
      <c r="Y1043" s="69" t="s">
        <v>176</v>
      </c>
      <c r="Z1043" s="64" t="str">
        <f>IF(AA1043&lt;&gt;0,VLOOKUP(AA1043,DM_DUAN,3,0),"")</f>
        <v>#N/A</v>
      </c>
      <c r="AA1043" s="70" t="s">
        <v>705</v>
      </c>
      <c r="AB1043" s="64" t="str">
        <f>IF(AC1043&lt;&gt;0,VLOOKUP(AC1043,DM_DUAN,3,0),"")</f>
        <v/>
      </c>
      <c r="AC1043" s="85"/>
      <c r="AD1043" s="64" t="str">
        <f>IF(AC1043&lt;&gt;0,VLOOKUP(AC1043,DM_NV,2,0),"")</f>
        <v/>
      </c>
      <c r="AE1043" s="68"/>
      <c r="AF1043" s="64" t="str">
        <f>IF(AE1043&lt;&gt;0,VLOOKUP(AE1043,DM_NV,2,0),"")</f>
        <v/>
      </c>
    </row>
    <row r="1044">
      <c r="A1044" s="51"/>
      <c r="B1044" s="52" t="str">
        <f>IF(D1044="","",VLOOKUP(D1044,'THAM CHIẾU'!$A:$B,2,0))</f>
        <v>#N/A</v>
      </c>
      <c r="C1044" s="53" t="str">
        <f t="shared" si="4"/>
        <v>04/2022</v>
      </c>
      <c r="D1044" s="99">
        <v>44680.0</v>
      </c>
      <c r="E1044" s="55" t="s">
        <v>453</v>
      </c>
      <c r="F1044" s="56"/>
      <c r="G1044" s="57" t="s">
        <v>249</v>
      </c>
      <c r="H1044" s="58" t="str">
        <f>IF(G1044="","",VLOOKUP($G1044,'Quy chuẩn hạch toán'!$B:$E,2,0))</f>
        <v>642</v>
      </c>
      <c r="I1044" s="58" t="str">
        <f>IF(H1044="","",VLOOKUP($G1044,'Quy chuẩn hạch toán'!$B:$E,3,0))</f>
        <v>331</v>
      </c>
      <c r="J1044" s="59">
        <v>1964912.0</v>
      </c>
      <c r="K1044" s="60"/>
      <c r="L1044" s="61"/>
      <c r="M1044" s="62"/>
      <c r="N1044" s="63"/>
      <c r="O1044" s="64" t="str">
        <f>IF($Q1044&lt;&gt;0,VLOOKUP($Q1044,DM_KM,3,0),"")</f>
        <v>THUEVP</v>
      </c>
      <c r="P1044" s="64">
        <f>IF($Q1044&lt;&gt;0,VLOOKUP($Q1044,DM_KM,5,0),"")</f>
        <v>642</v>
      </c>
      <c r="Q1044" s="65" t="s">
        <v>270</v>
      </c>
      <c r="R1044" s="64" t="str">
        <f>IF(S1044&lt;&gt;0,VLOOKUP(S1044,DM_DUAN,3,0),"")</f>
        <v>#N/A</v>
      </c>
      <c r="S1044" s="66" t="str">
        <f>IF(U1044&lt;&gt;0,VLOOKUP(U1044,DM_DUAN,3,0),"")</f>
        <v/>
      </c>
      <c r="T1044" s="64"/>
      <c r="U1044" s="93"/>
      <c r="V1044" s="64" t="str">
        <f>IF(W1044&lt;&gt;0,VLOOKUP(W1044,DM_DUAN,3,0),"")</f>
        <v/>
      </c>
      <c r="W1044" s="68"/>
      <c r="X1044" s="64" t="str">
        <f>IF(Y1044&lt;&gt;0,VLOOKUP(Y1044,DM_DUAN,3,0),"")</f>
        <v>#N/A</v>
      </c>
      <c r="Y1044" s="69" t="s">
        <v>176</v>
      </c>
      <c r="Z1044" s="64" t="str">
        <f>IF(AA1044&lt;&gt;0,VLOOKUP(AA1044,DM_DUAN,3,0),"")</f>
        <v>#N/A</v>
      </c>
      <c r="AA1044" s="70" t="s">
        <v>183</v>
      </c>
      <c r="AB1044" s="64" t="str">
        <f>IF(AC1044&lt;&gt;0,VLOOKUP(AC1044,DM_DUAN,3,0),"")</f>
        <v/>
      </c>
      <c r="AC1044" s="85"/>
      <c r="AD1044" s="64" t="str">
        <f>IF(AC1044&lt;&gt;0,VLOOKUP(AC1044,DM_NV,2,0),"")</f>
        <v/>
      </c>
      <c r="AE1044" s="68"/>
      <c r="AF1044" s="64" t="str">
        <f>IF(AE1044&lt;&gt;0,VLOOKUP(AE1044,DM_NV,2,0),"")</f>
        <v/>
      </c>
    </row>
    <row r="1045">
      <c r="A1045" s="51"/>
      <c r="B1045" s="52" t="str">
        <f>IF(D1045="","",VLOOKUP(D1045,'THAM CHIẾU'!$A:$B,2,0))</f>
        <v>#N/A</v>
      </c>
      <c r="C1045" s="53" t="str">
        <f t="shared" si="4"/>
        <v>04/2022</v>
      </c>
      <c r="D1045" s="99">
        <v>44680.0</v>
      </c>
      <c r="E1045" s="55" t="s">
        <v>453</v>
      </c>
      <c r="F1045" s="56"/>
      <c r="G1045" s="57" t="s">
        <v>249</v>
      </c>
      <c r="H1045" s="58" t="str">
        <f>IF(G1045="","",VLOOKUP($G1045,'Quy chuẩn hạch toán'!$B:$E,2,0))</f>
        <v>642</v>
      </c>
      <c r="I1045" s="58" t="str">
        <f>IF(H1045="","",VLOOKUP($G1045,'Quy chuẩn hạch toán'!$B:$E,3,0))</f>
        <v>331</v>
      </c>
      <c r="J1045" s="59">
        <v>736842.0</v>
      </c>
      <c r="K1045" s="60"/>
      <c r="L1045" s="61"/>
      <c r="M1045" s="62"/>
      <c r="N1045" s="63"/>
      <c r="O1045" s="64" t="str">
        <f>IF($Q1045&lt;&gt;0,VLOOKUP($Q1045,DM_KM,3,0),"")</f>
        <v>THUEVP</v>
      </c>
      <c r="P1045" s="64">
        <f>IF($Q1045&lt;&gt;0,VLOOKUP($Q1045,DM_KM,5,0),"")</f>
        <v>642</v>
      </c>
      <c r="Q1045" s="65" t="s">
        <v>270</v>
      </c>
      <c r="R1045" s="64" t="str">
        <f>IF(S1045&lt;&gt;0,VLOOKUP(S1045,DM_DUAN,3,0),"")</f>
        <v>#N/A</v>
      </c>
      <c r="S1045" s="66" t="str">
        <f>IF(U1045&lt;&gt;0,VLOOKUP(U1045,DM_DUAN,3,0),"")</f>
        <v/>
      </c>
      <c r="T1045" s="64"/>
      <c r="U1045" s="93"/>
      <c r="V1045" s="64" t="str">
        <f>IF(W1045&lt;&gt;0,VLOOKUP(W1045,DM_DUAN,3,0),"")</f>
        <v/>
      </c>
      <c r="W1045" s="68"/>
      <c r="X1045" s="64" t="str">
        <f>IF(Y1045&lt;&gt;0,VLOOKUP(Y1045,DM_DUAN,3,0),"")</f>
        <v>#N/A</v>
      </c>
      <c r="Y1045" s="69" t="s">
        <v>176</v>
      </c>
      <c r="Z1045" s="64" t="str">
        <f>IF(AA1045&lt;&gt;0,VLOOKUP(AA1045,DM_DUAN,3,0),"")</f>
        <v>#N/A</v>
      </c>
      <c r="AA1045" s="70" t="s">
        <v>177</v>
      </c>
      <c r="AB1045" s="64" t="str">
        <f>IF(AC1045&lt;&gt;0,VLOOKUP(AC1045,DM_DUAN,3,0),"")</f>
        <v/>
      </c>
      <c r="AC1045" s="85"/>
      <c r="AD1045" s="64" t="str">
        <f>IF(AC1045&lt;&gt;0,VLOOKUP(AC1045,DM_NV,2,0),"")</f>
        <v/>
      </c>
      <c r="AE1045" s="68"/>
      <c r="AF1045" s="64" t="str">
        <f>IF(AE1045&lt;&gt;0,VLOOKUP(AE1045,DM_NV,2,0),"")</f>
        <v/>
      </c>
    </row>
    <row r="1046">
      <c r="A1046" s="51"/>
      <c r="B1046" s="52" t="str">
        <f>IF(D1046="","",VLOOKUP(D1046,'THAM CHIẾU'!$A:$B,2,0))</f>
        <v>#N/A</v>
      </c>
      <c r="C1046" s="53" t="str">
        <f t="shared" si="4"/>
        <v>04/2022</v>
      </c>
      <c r="D1046" s="99">
        <v>44680.0</v>
      </c>
      <c r="E1046" s="55" t="s">
        <v>453</v>
      </c>
      <c r="F1046" s="56"/>
      <c r="G1046" s="57" t="s">
        <v>249</v>
      </c>
      <c r="H1046" s="58" t="str">
        <f>IF(G1046="","",VLOOKUP($G1046,'Quy chuẩn hạch toán'!$B:$E,2,0))</f>
        <v>642</v>
      </c>
      <c r="I1046" s="58" t="str">
        <f>IF(H1046="","",VLOOKUP($G1046,'Quy chuẩn hạch toán'!$B:$E,3,0))</f>
        <v>331</v>
      </c>
      <c r="J1046" s="59">
        <v>982456.0</v>
      </c>
      <c r="K1046" s="60"/>
      <c r="L1046" s="61"/>
      <c r="M1046" s="62"/>
      <c r="N1046" s="63"/>
      <c r="O1046" s="64" t="str">
        <f>IF($Q1046&lt;&gt;0,VLOOKUP($Q1046,DM_KM,3,0),"")</f>
        <v>THUEVP</v>
      </c>
      <c r="P1046" s="64">
        <f>IF($Q1046&lt;&gt;0,VLOOKUP($Q1046,DM_KM,5,0),"")</f>
        <v>642</v>
      </c>
      <c r="Q1046" s="65" t="s">
        <v>270</v>
      </c>
      <c r="R1046" s="64" t="str">
        <f>IF(S1046&lt;&gt;0,VLOOKUP(S1046,DM_DUAN,3,0),"")</f>
        <v>#N/A</v>
      </c>
      <c r="S1046" s="66" t="str">
        <f>IF(U1046&lt;&gt;0,VLOOKUP(U1046,DM_DUAN,3,0),"")</f>
        <v/>
      </c>
      <c r="T1046" s="64"/>
      <c r="U1046" s="93"/>
      <c r="V1046" s="64" t="str">
        <f>IF(W1046&lt;&gt;0,VLOOKUP(W1046,DM_DUAN,3,0),"")</f>
        <v/>
      </c>
      <c r="W1046" s="68"/>
      <c r="X1046" s="64" t="str">
        <f>IF(Y1046&lt;&gt;0,VLOOKUP(Y1046,DM_DUAN,3,0),"")</f>
        <v>#N/A</v>
      </c>
      <c r="Y1046" s="69" t="s">
        <v>176</v>
      </c>
      <c r="Z1046" s="64" t="str">
        <f>IF(AA1046&lt;&gt;0,VLOOKUP(AA1046,DM_DUAN,3,0),"")</f>
        <v>#N/A</v>
      </c>
      <c r="AA1046" s="70" t="s">
        <v>210</v>
      </c>
      <c r="AB1046" s="64" t="str">
        <f>IF(AC1046&lt;&gt;0,VLOOKUP(AC1046,DM_DUAN,3,0),"")</f>
        <v/>
      </c>
      <c r="AC1046" s="85"/>
      <c r="AD1046" s="64" t="str">
        <f>IF(AC1046&lt;&gt;0,VLOOKUP(AC1046,DM_NV,2,0),"")</f>
        <v/>
      </c>
      <c r="AE1046" s="68"/>
      <c r="AF1046" s="64" t="str">
        <f>IF(AE1046&lt;&gt;0,VLOOKUP(AE1046,DM_NV,2,0),"")</f>
        <v/>
      </c>
    </row>
    <row r="1047">
      <c r="A1047" s="51"/>
      <c r="B1047" s="52" t="str">
        <f>IF(D1047="","",VLOOKUP(D1047,'THAM CHIẾU'!$A:$B,2,0))</f>
        <v>#N/A</v>
      </c>
      <c r="C1047" s="53" t="str">
        <f t="shared" si="4"/>
        <v>04/2022</v>
      </c>
      <c r="D1047" s="99">
        <v>44680.0</v>
      </c>
      <c r="E1047" s="55" t="s">
        <v>1043</v>
      </c>
      <c r="F1047" s="56"/>
      <c r="G1047" s="57" t="s">
        <v>249</v>
      </c>
      <c r="H1047" s="58" t="str">
        <f>IF(G1047="","",VLOOKUP($G1047,'Quy chuẩn hạch toán'!$B:$E,2,0))</f>
        <v>642</v>
      </c>
      <c r="I1047" s="58" t="str">
        <f>IF(H1047="","",VLOOKUP($G1047,'Quy chuẩn hạch toán'!$B:$E,3,0))</f>
        <v>331</v>
      </c>
      <c r="J1047" s="59">
        <v>1.2923077E7</v>
      </c>
      <c r="K1047" s="60"/>
      <c r="L1047" s="61"/>
      <c r="M1047" s="62"/>
      <c r="N1047" s="63"/>
      <c r="O1047" s="64" t="str">
        <f>IF($Q1047&lt;&gt;0,VLOOKUP($Q1047,DM_KM,3,0),"")</f>
        <v>THUEVP</v>
      </c>
      <c r="P1047" s="64">
        <f>IF($Q1047&lt;&gt;0,VLOOKUP($Q1047,DM_KM,5,0),"")</f>
        <v>642</v>
      </c>
      <c r="Q1047" s="65" t="s">
        <v>270</v>
      </c>
      <c r="R1047" s="64" t="str">
        <f>IF(S1047&lt;&gt;0,VLOOKUP(S1047,DM_DUAN,3,0),"")</f>
        <v>#N/A</v>
      </c>
      <c r="S1047" s="66" t="str">
        <f>IF(U1047&lt;&gt;0,VLOOKUP(U1047,DM_DUAN,3,0),"")</f>
        <v/>
      </c>
      <c r="T1047" s="64"/>
      <c r="U1047" s="93"/>
      <c r="V1047" s="64" t="str">
        <f>IF(W1047&lt;&gt;0,VLOOKUP(W1047,DM_DUAN,3,0),"")</f>
        <v/>
      </c>
      <c r="W1047" s="68"/>
      <c r="X1047" s="64" t="str">
        <f>IF(Y1047&lt;&gt;0,VLOOKUP(Y1047,DM_DUAN,3,0),"")</f>
        <v/>
      </c>
      <c r="Y1047" s="84"/>
      <c r="Z1047" s="64" t="str">
        <f>IF(AA1047&lt;&gt;0,VLOOKUP(AA1047,DM_DUAN,3,0),"")</f>
        <v>#N/A</v>
      </c>
      <c r="AA1047" s="70" t="s">
        <v>183</v>
      </c>
      <c r="AB1047" s="64" t="str">
        <f>IF(AC1047&lt;&gt;0,VLOOKUP(AC1047,DM_DUAN,3,0),"")</f>
        <v/>
      </c>
      <c r="AC1047" s="85"/>
      <c r="AD1047" s="64" t="str">
        <f>IF(AC1047&lt;&gt;0,VLOOKUP(AC1047,DM_NV,2,0),"")</f>
        <v/>
      </c>
      <c r="AE1047" s="68"/>
      <c r="AF1047" s="64" t="str">
        <f>IF(AE1047&lt;&gt;0,VLOOKUP(AE1047,DM_NV,2,0),"")</f>
        <v/>
      </c>
    </row>
    <row r="1048">
      <c r="A1048" s="51"/>
      <c r="B1048" s="52" t="str">
        <f>IF(D1048="","",VLOOKUP(D1048,'THAM CHIẾU'!$A:$B,2,0))</f>
        <v>#N/A</v>
      </c>
      <c r="C1048" s="53" t="str">
        <f t="shared" si="4"/>
        <v>04/2022</v>
      </c>
      <c r="D1048" s="99">
        <v>44680.0</v>
      </c>
      <c r="E1048" s="55" t="s">
        <v>1044</v>
      </c>
      <c r="F1048" s="56"/>
      <c r="G1048" s="57" t="s">
        <v>249</v>
      </c>
      <c r="H1048" s="58" t="str">
        <f>IF(G1048="","",VLOOKUP($G1048,'Quy chuẩn hạch toán'!$B:$E,2,0))</f>
        <v>642</v>
      </c>
      <c r="I1048" s="58" t="str">
        <f>IF(H1048="","",VLOOKUP($G1048,'Quy chuẩn hạch toán'!$B:$E,3,0))</f>
        <v>331</v>
      </c>
      <c r="J1048" s="59">
        <v>6461538.0</v>
      </c>
      <c r="K1048" s="60"/>
      <c r="L1048" s="61"/>
      <c r="M1048" s="62"/>
      <c r="N1048" s="63"/>
      <c r="O1048" s="64" t="str">
        <f>IF($Q1048&lt;&gt;0,VLOOKUP($Q1048,DM_KM,3,0),"")</f>
        <v>THUEVP</v>
      </c>
      <c r="P1048" s="64">
        <f>IF($Q1048&lt;&gt;0,VLOOKUP($Q1048,DM_KM,5,0),"")</f>
        <v>642</v>
      </c>
      <c r="Q1048" s="65" t="s">
        <v>270</v>
      </c>
      <c r="R1048" s="64" t="str">
        <f>IF(S1048&lt;&gt;0,VLOOKUP(S1048,DM_DUAN,3,0),"")</f>
        <v>#N/A</v>
      </c>
      <c r="S1048" s="66" t="str">
        <f>IF(U1048&lt;&gt;0,VLOOKUP(U1048,DM_DUAN,3,0),"")</f>
        <v/>
      </c>
      <c r="T1048" s="64"/>
      <c r="U1048" s="93"/>
      <c r="V1048" s="64" t="str">
        <f>IF(W1048&lt;&gt;0,VLOOKUP(W1048,DM_DUAN,3,0),"")</f>
        <v/>
      </c>
      <c r="W1048" s="68"/>
      <c r="X1048" s="64" t="str">
        <f>IF(Y1048&lt;&gt;0,VLOOKUP(Y1048,DM_DUAN,3,0),"")</f>
        <v>#N/A</v>
      </c>
      <c r="Y1048" s="69" t="s">
        <v>176</v>
      </c>
      <c r="Z1048" s="64" t="str">
        <f>IF(AA1048&lt;&gt;0,VLOOKUP(AA1048,DM_DUAN,3,0),"")</f>
        <v>#N/A</v>
      </c>
      <c r="AA1048" s="70" t="s">
        <v>705</v>
      </c>
      <c r="AB1048" s="64" t="str">
        <f>IF(AC1048&lt;&gt;0,VLOOKUP(AC1048,DM_DUAN,3,0),"")</f>
        <v/>
      </c>
      <c r="AC1048" s="85"/>
      <c r="AD1048" s="64" t="str">
        <f>IF(AC1048&lt;&gt;0,VLOOKUP(AC1048,DM_NV,2,0),"")</f>
        <v/>
      </c>
      <c r="AE1048" s="68"/>
      <c r="AF1048" s="64" t="str">
        <f>IF(AE1048&lt;&gt;0,VLOOKUP(AE1048,DM_NV,2,0),"")</f>
        <v/>
      </c>
    </row>
    <row r="1049">
      <c r="A1049" s="51"/>
      <c r="B1049" s="52" t="str">
        <f>IF(D1049="","",VLOOKUP(D1049,'THAM CHIẾU'!$A:$B,2,0))</f>
        <v>#N/A</v>
      </c>
      <c r="C1049" s="53" t="str">
        <f t="shared" si="4"/>
        <v>04/2022</v>
      </c>
      <c r="D1049" s="99">
        <v>44680.0</v>
      </c>
      <c r="E1049" s="55" t="s">
        <v>1045</v>
      </c>
      <c r="F1049" s="56"/>
      <c r="G1049" s="57" t="s">
        <v>249</v>
      </c>
      <c r="H1049" s="58" t="str">
        <f>IF(G1049="","",VLOOKUP($G1049,'Quy chuẩn hạch toán'!$B:$E,2,0))</f>
        <v>642</v>
      </c>
      <c r="I1049" s="58" t="str">
        <f>IF(H1049="","",VLOOKUP($G1049,'Quy chuẩn hạch toán'!$B:$E,3,0))</f>
        <v>331</v>
      </c>
      <c r="J1049" s="59">
        <v>9692308.0</v>
      </c>
      <c r="K1049" s="60"/>
      <c r="L1049" s="61"/>
      <c r="M1049" s="62"/>
      <c r="N1049" s="63"/>
      <c r="O1049" s="64" t="str">
        <f>IF($Q1049&lt;&gt;0,VLOOKUP($Q1049,DM_KM,3,0),"")</f>
        <v>THUEVP</v>
      </c>
      <c r="P1049" s="64">
        <f>IF($Q1049&lt;&gt;0,VLOOKUP($Q1049,DM_KM,5,0),"")</f>
        <v>642</v>
      </c>
      <c r="Q1049" s="65" t="s">
        <v>270</v>
      </c>
      <c r="R1049" s="64" t="str">
        <f>IF(S1049&lt;&gt;0,VLOOKUP(S1049,DM_DUAN,3,0),"")</f>
        <v>#N/A</v>
      </c>
      <c r="S1049" s="66" t="str">
        <f>IF(U1049&lt;&gt;0,VLOOKUP(U1049,DM_DUAN,3,0),"")</f>
        <v/>
      </c>
      <c r="T1049" s="64"/>
      <c r="U1049" s="93"/>
      <c r="V1049" s="64" t="str">
        <f>IF(W1049&lt;&gt;0,VLOOKUP(W1049,DM_DUAN,3,0),"")</f>
        <v/>
      </c>
      <c r="W1049" s="68"/>
      <c r="X1049" s="64" t="str">
        <f>IF(Y1049&lt;&gt;0,VLOOKUP(Y1049,DM_DUAN,3,0),"")</f>
        <v>#N/A</v>
      </c>
      <c r="Y1049" s="69" t="s">
        <v>176</v>
      </c>
      <c r="Z1049" s="64" t="str">
        <f>IF(AA1049&lt;&gt;0,VLOOKUP(AA1049,DM_DUAN,3,0),"")</f>
        <v>#N/A</v>
      </c>
      <c r="AA1049" s="70" t="s">
        <v>210</v>
      </c>
      <c r="AB1049" s="64" t="str">
        <f>IF(AC1049&lt;&gt;0,VLOOKUP(AC1049,DM_DUAN,3,0),"")</f>
        <v/>
      </c>
      <c r="AC1049" s="85"/>
      <c r="AD1049" s="64" t="str">
        <f>IF(AC1049&lt;&gt;0,VLOOKUP(AC1049,DM_NV,2,0),"")</f>
        <v/>
      </c>
      <c r="AE1049" s="68"/>
      <c r="AF1049" s="64" t="str">
        <f>IF(AE1049&lt;&gt;0,VLOOKUP(AE1049,DM_NV,2,0),"")</f>
        <v/>
      </c>
    </row>
    <row r="1050">
      <c r="A1050" s="51"/>
      <c r="B1050" s="52" t="str">
        <f>IF(D1050="","",VLOOKUP(D1050,'THAM CHIẾU'!$A:$B,2,0))</f>
        <v>#N/A</v>
      </c>
      <c r="C1050" s="53" t="str">
        <f t="shared" si="4"/>
        <v>04/2022</v>
      </c>
      <c r="D1050" s="99">
        <v>44680.0</v>
      </c>
      <c r="E1050" s="55" t="s">
        <v>1046</v>
      </c>
      <c r="F1050" s="56"/>
      <c r="G1050" s="57" t="s">
        <v>249</v>
      </c>
      <c r="H1050" s="58" t="str">
        <f>IF(G1050="","",VLOOKUP($G1050,'Quy chuẩn hạch toán'!$B:$E,2,0))</f>
        <v>642</v>
      </c>
      <c r="I1050" s="58" t="str">
        <f>IF(H1050="","",VLOOKUP($G1050,'Quy chuẩn hạch toán'!$B:$E,3,0))</f>
        <v>331</v>
      </c>
      <c r="J1050" s="59">
        <v>1.2923077E7</v>
      </c>
      <c r="K1050" s="60"/>
      <c r="L1050" s="61"/>
      <c r="M1050" s="62"/>
      <c r="N1050" s="63"/>
      <c r="O1050" s="64" t="str">
        <f>IF($Q1050&lt;&gt;0,VLOOKUP($Q1050,DM_KM,3,0),"")</f>
        <v>THUEVP</v>
      </c>
      <c r="P1050" s="64">
        <f>IF($Q1050&lt;&gt;0,VLOOKUP($Q1050,DM_KM,5,0),"")</f>
        <v>642</v>
      </c>
      <c r="Q1050" s="65" t="s">
        <v>270</v>
      </c>
      <c r="R1050" s="64" t="str">
        <f>IF(S1050&lt;&gt;0,VLOOKUP(S1050,DM_DUAN,3,0),"")</f>
        <v>#N/A</v>
      </c>
      <c r="S1050" s="66" t="str">
        <f>IF(U1050&lt;&gt;0,VLOOKUP(U1050,DM_DUAN,3,0),"")</f>
        <v/>
      </c>
      <c r="T1050" s="64"/>
      <c r="U1050" s="93"/>
      <c r="V1050" s="64" t="str">
        <f>IF(W1050&lt;&gt;0,VLOOKUP(W1050,DM_DUAN,3,0),"")</f>
        <v/>
      </c>
      <c r="W1050" s="68"/>
      <c r="X1050" s="64" t="str">
        <f>IF(Y1050&lt;&gt;0,VLOOKUP(Y1050,DM_DUAN,3,0),"")</f>
        <v>#N/A</v>
      </c>
      <c r="Y1050" s="69" t="s">
        <v>176</v>
      </c>
      <c r="Z1050" s="64" t="str">
        <f>IF(AA1050&lt;&gt;0,VLOOKUP(AA1050,DM_DUAN,3,0),"")</f>
        <v>#N/A</v>
      </c>
      <c r="AA1050" s="70" t="s">
        <v>177</v>
      </c>
      <c r="AB1050" s="64" t="str">
        <f>IF(AC1050&lt;&gt;0,VLOOKUP(AC1050,DM_DUAN,3,0),"")</f>
        <v/>
      </c>
      <c r="AC1050" s="85"/>
      <c r="AD1050" s="64" t="str">
        <f>IF(AC1050&lt;&gt;0,VLOOKUP(AC1050,DM_NV,2,0),"")</f>
        <v/>
      </c>
      <c r="AE1050" s="68"/>
      <c r="AF1050" s="64" t="str">
        <f>IF(AE1050&lt;&gt;0,VLOOKUP(AE1050,DM_NV,2,0),"")</f>
        <v/>
      </c>
    </row>
    <row r="1051">
      <c r="A1051" s="51"/>
      <c r="B1051" s="52" t="str">
        <f>IF(D1051="","",VLOOKUP(D1051,'THAM CHIẾU'!$A:$B,2,0))</f>
        <v>#N/A</v>
      </c>
      <c r="C1051" s="53" t="str">
        <f t="shared" si="4"/>
        <v>04/2022</v>
      </c>
      <c r="D1051" s="99">
        <v>44680.0</v>
      </c>
      <c r="E1051" s="55" t="s">
        <v>1047</v>
      </c>
      <c r="F1051" s="56"/>
      <c r="G1051" s="57" t="s">
        <v>173</v>
      </c>
      <c r="H1051" s="58" t="str">
        <f>IF(G1051="","",VLOOKUP($G1051,'Quy chuẩn hạch toán'!$B:$E,2,0))</f>
        <v>641</v>
      </c>
      <c r="I1051" s="58" t="str">
        <f>IF(H1051="","",VLOOKUP($G1051,'Quy chuẩn hạch toán'!$B:$E,3,0))</f>
        <v>331</v>
      </c>
      <c r="J1051" s="59">
        <v>2628000.0</v>
      </c>
      <c r="K1051" s="60"/>
      <c r="L1051" s="61"/>
      <c r="M1051" s="62"/>
      <c r="N1051" s="63"/>
      <c r="O1051" s="64" t="str">
        <f>IF($Q1051&lt;&gt;0,VLOOKUP($Q1051,DM_KM,3,0),"")</f>
        <v>#N/A</v>
      </c>
      <c r="P1051" s="64" t="str">
        <f>IF($Q1051&lt;&gt;0,VLOOKUP($Q1051,DM_KM,5,0),"")</f>
        <v>#N/A</v>
      </c>
      <c r="Q1051" s="65" t="s">
        <v>174</v>
      </c>
      <c r="R1051" s="64" t="str">
        <f>IF(S1051&lt;&gt;0,VLOOKUP(S1051,DM_DUAN,3,0),"")</f>
        <v>#N/A</v>
      </c>
      <c r="S1051" s="66" t="str">
        <f>IF(U1051&lt;&gt;0,VLOOKUP(U1051,DM_DUAN,3,0),"")</f>
        <v>CLOUDLAND</v>
      </c>
      <c r="T1051" s="64"/>
      <c r="U1051" s="67" t="s">
        <v>956</v>
      </c>
      <c r="V1051" s="64" t="str">
        <f>IF(W1051&lt;&gt;0,VLOOKUP(W1051,DM_DUAN,3,0),"")</f>
        <v/>
      </c>
      <c r="W1051" s="68"/>
      <c r="X1051" s="64" t="str">
        <f>IF(Y1051&lt;&gt;0,VLOOKUP(Y1051,DM_DUAN,3,0),"")</f>
        <v/>
      </c>
      <c r="Y1051" s="84"/>
      <c r="Z1051" s="64" t="str">
        <f>IF(AA1051&lt;&gt;0,VLOOKUP(AA1051,DM_DUAN,3,0),"")</f>
        <v>#N/A</v>
      </c>
      <c r="AA1051" s="70" t="s">
        <v>183</v>
      </c>
      <c r="AB1051" s="64" t="str">
        <f>IF(AC1051&lt;&gt;0,VLOOKUP(AC1051,DM_DUAN,3,0),"")</f>
        <v/>
      </c>
      <c r="AC1051" s="85"/>
      <c r="AD1051" s="64" t="str">
        <f>IF(AC1051&lt;&gt;0,VLOOKUP(AC1051,DM_NV,2,0),"")</f>
        <v/>
      </c>
      <c r="AE1051" s="68"/>
      <c r="AF1051" s="64" t="str">
        <f>IF(AE1051&lt;&gt;0,VLOOKUP(AE1051,DM_NV,2,0),"")</f>
        <v/>
      </c>
    </row>
    <row r="1052">
      <c r="A1052" s="51"/>
      <c r="B1052" s="52" t="str">
        <f>IF(D1052="","",VLOOKUP(D1052,'THAM CHIẾU'!$A:$B,2,0))</f>
        <v>#N/A</v>
      </c>
      <c r="C1052" s="53" t="str">
        <f t="shared" si="4"/>
        <v>04/2022</v>
      </c>
      <c r="D1052" s="99">
        <v>44681.0</v>
      </c>
      <c r="E1052" s="79" t="s">
        <v>1048</v>
      </c>
      <c r="F1052" s="80"/>
      <c r="G1052" s="57" t="s">
        <v>180</v>
      </c>
      <c r="H1052" s="58" t="str">
        <f>IF(G1052="","",VLOOKUP($G1052,'Quy chuẩn hạch toán'!$B:$E,2,0))</f>
        <v>521</v>
      </c>
      <c r="I1052" s="58" t="str">
        <f>IF(H1052="","",VLOOKUP($G1052,'Quy chuẩn hạch toán'!$B:$E,3,0))</f>
        <v>131</v>
      </c>
      <c r="J1052" s="59">
        <v>4.0E7</v>
      </c>
      <c r="K1052" s="60"/>
      <c r="L1052" s="61"/>
      <c r="M1052" s="62"/>
      <c r="N1052" s="63"/>
      <c r="O1052" s="64" t="str">
        <f>IF($Q1052&lt;&gt;0,VLOOKUP($Q1052,DM_KM,3,0),"")</f>
        <v>#N/A</v>
      </c>
      <c r="P1052" s="64" t="str">
        <f>IF($Q1052&lt;&gt;0,VLOOKUP($Q1052,DM_KM,5,0),"")</f>
        <v>#N/A</v>
      </c>
      <c r="Q1052" s="65" t="s">
        <v>181</v>
      </c>
      <c r="R1052" s="64" t="str">
        <f>IF(S1052&lt;&gt;0,VLOOKUP(S1052,DM_DUAN,3,0),"")</f>
        <v>#N/A</v>
      </c>
      <c r="S1052" s="66" t="str">
        <f>IF(U1052&lt;&gt;0,VLOOKUP(U1052,DM_DUAN,3,0),"")</f>
        <v>KIMCUONGLAND</v>
      </c>
      <c r="T1052" s="64"/>
      <c r="U1052" s="67" t="s">
        <v>638</v>
      </c>
      <c r="V1052" s="64" t="str">
        <f>IF(W1052&lt;&gt;0,VLOOKUP(W1052,DM_DUAN,3,0),"")</f>
        <v>#N/A</v>
      </c>
      <c r="W1052" s="83" t="s">
        <v>771</v>
      </c>
      <c r="X1052" s="64" t="str">
        <f>IF(Y1052&lt;&gt;0,VLOOKUP(Y1052,DM_DUAN,3,0),"")</f>
        <v>#N/A</v>
      </c>
      <c r="Y1052" s="84" t="s">
        <v>176</v>
      </c>
      <c r="Z1052" s="64" t="str">
        <f>IF(AA1052&lt;&gt;0,VLOOKUP(AA1052,DM_DUAN,3,0),"")</f>
        <v>#N/A</v>
      </c>
      <c r="AA1052" s="70" t="s">
        <v>705</v>
      </c>
      <c r="AB1052" s="64" t="str">
        <f>IF(AC1052&lt;&gt;0,VLOOKUP(AC1052,DM_DUAN,3,0),"")</f>
        <v/>
      </c>
      <c r="AC1052" s="85"/>
      <c r="AD1052" s="64" t="str">
        <f>IF(AC1052&lt;&gt;0,VLOOKUP(AC1052,DM_NV,2,0),"")</f>
        <v/>
      </c>
      <c r="AE1052" s="68"/>
      <c r="AF1052" s="64" t="str">
        <f>IF(AE1052&lt;&gt;0,VLOOKUP(AE1052,DM_NV,2,0),"")</f>
        <v/>
      </c>
    </row>
    <row r="1053">
      <c r="A1053" s="51"/>
      <c r="B1053" s="52" t="str">
        <f>IF(D1053="","",VLOOKUP(D1053,'THAM CHIẾU'!$A:$B,2,0))</f>
        <v>#N/A</v>
      </c>
      <c r="C1053" s="53" t="str">
        <f t="shared" si="4"/>
        <v>04/2022</v>
      </c>
      <c r="D1053" s="99">
        <v>44681.0</v>
      </c>
      <c r="E1053" s="79" t="s">
        <v>1049</v>
      </c>
      <c r="F1053" s="80"/>
      <c r="G1053" s="57" t="s">
        <v>180</v>
      </c>
      <c r="H1053" s="58" t="str">
        <f>IF(G1053="","",VLOOKUP($G1053,'Quy chuẩn hạch toán'!$B:$E,2,0))</f>
        <v>521</v>
      </c>
      <c r="I1053" s="58" t="str">
        <f>IF(H1053="","",VLOOKUP($G1053,'Quy chuẩn hạch toán'!$B:$E,3,0))</f>
        <v>131</v>
      </c>
      <c r="J1053" s="59">
        <v>1.0E7</v>
      </c>
      <c r="K1053" s="60"/>
      <c r="L1053" s="61"/>
      <c r="M1053" s="62"/>
      <c r="N1053" s="63"/>
      <c r="O1053" s="64" t="str">
        <f>IF($Q1053&lt;&gt;0,VLOOKUP($Q1053,DM_KM,3,0),"")</f>
        <v>#N/A</v>
      </c>
      <c r="P1053" s="64" t="str">
        <f>IF($Q1053&lt;&gt;0,VLOOKUP($Q1053,DM_KM,5,0),"")</f>
        <v>#N/A</v>
      </c>
      <c r="Q1053" s="65" t="s">
        <v>181</v>
      </c>
      <c r="R1053" s="64" t="str">
        <f>IF(S1053&lt;&gt;0,VLOOKUP(S1053,DM_DUAN,3,0),"")</f>
        <v>#N/A</v>
      </c>
      <c r="S1053" s="66" t="str">
        <f>IF(U1053&lt;&gt;0,VLOOKUP(U1053,DM_DUAN,3,0),"")</f>
        <v>KIMCUONGLAND</v>
      </c>
      <c r="T1053" s="64"/>
      <c r="U1053" s="67" t="s">
        <v>638</v>
      </c>
      <c r="V1053" s="64" t="str">
        <f>IF(W1053&lt;&gt;0,VLOOKUP(W1053,DM_DUAN,3,0),"")</f>
        <v>#N/A</v>
      </c>
      <c r="W1053" s="83" t="s">
        <v>778</v>
      </c>
      <c r="X1053" s="64" t="str">
        <f>IF(Y1053&lt;&gt;0,VLOOKUP(Y1053,DM_DUAN,3,0),"")</f>
        <v>#N/A</v>
      </c>
      <c r="Y1053" s="84" t="s">
        <v>176</v>
      </c>
      <c r="Z1053" s="64" t="str">
        <f>IF(AA1053&lt;&gt;0,VLOOKUP(AA1053,DM_DUAN,3,0),"")</f>
        <v>#N/A</v>
      </c>
      <c r="AA1053" s="70" t="s">
        <v>705</v>
      </c>
      <c r="AB1053" s="64" t="str">
        <f>IF(AC1053&lt;&gt;0,VLOOKUP(AC1053,DM_DUAN,3,0),"")</f>
        <v/>
      </c>
      <c r="AC1053" s="85"/>
      <c r="AD1053" s="64" t="str">
        <f>IF(AC1053&lt;&gt;0,VLOOKUP(AC1053,DM_NV,2,0),"")</f>
        <v/>
      </c>
      <c r="AE1053" s="68"/>
      <c r="AF1053" s="64" t="str">
        <f>IF(AE1053&lt;&gt;0,VLOOKUP(AE1053,DM_NV,2,0),"")</f>
        <v/>
      </c>
    </row>
    <row r="1054">
      <c r="A1054" s="51"/>
      <c r="B1054" s="52" t="str">
        <f>IF(D1054="","",VLOOKUP(D1054,'THAM CHIẾU'!$A:$B,2,0))</f>
        <v>#N/A</v>
      </c>
      <c r="C1054" s="53" t="str">
        <f t="shared" si="4"/>
        <v>04/2022</v>
      </c>
      <c r="D1054" s="99">
        <v>44681.0</v>
      </c>
      <c r="E1054" s="55" t="s">
        <v>1050</v>
      </c>
      <c r="F1054" s="56"/>
      <c r="G1054" s="137" t="s">
        <v>1051</v>
      </c>
      <c r="H1054" s="58" t="str">
        <f>IF(G1054="","",VLOOKUP($G1054,'Quy chuẩn hạch toán'!$B:$E,2,0))</f>
        <v>3344</v>
      </c>
      <c r="I1054" s="58" t="str">
        <f>IF(H1054="","",VLOOKUP($G1054,'Quy chuẩn hạch toán'!$B:$E,3,0))</f>
        <v>1111</v>
      </c>
      <c r="J1054" s="59">
        <v>1980000.0</v>
      </c>
      <c r="K1054" s="60"/>
      <c r="L1054" s="61"/>
      <c r="M1054" s="62"/>
      <c r="N1054" s="63"/>
      <c r="O1054" s="64" t="str">
        <f>IF($Q1054&lt;&gt;0,VLOOKUP($Q1054,DM_KM,3,0),"")</f>
        <v>#N/A</v>
      </c>
      <c r="P1054" s="64" t="str">
        <f>IF($Q1054&lt;&gt;0,VLOOKUP($Q1054,DM_KM,5,0),"")</f>
        <v>#N/A</v>
      </c>
      <c r="Q1054" s="65" t="s">
        <v>194</v>
      </c>
      <c r="R1054" s="64" t="str">
        <f>IF(S1054&lt;&gt;0,VLOOKUP(S1054,DM_DUAN,3,0),"")</f>
        <v>#N/A</v>
      </c>
      <c r="S1054" s="66" t="str">
        <f>IF(U1054&lt;&gt;0,VLOOKUP(U1054,DM_DUAN,3,0),"")</f>
        <v>KIMCUONGLAND</v>
      </c>
      <c r="T1054" s="64"/>
      <c r="U1054" s="67" t="s">
        <v>638</v>
      </c>
      <c r="V1054" s="64" t="str">
        <f>IF(W1054&lt;&gt;0,VLOOKUP(W1054,DM_DUAN,3,0),"")</f>
        <v>#N/A</v>
      </c>
      <c r="W1054" s="83" t="s">
        <v>790</v>
      </c>
      <c r="X1054" s="64" t="str">
        <f>IF(Y1054&lt;&gt;0,VLOOKUP(Y1054,DM_DUAN,3,0),"")</f>
        <v>#N/A</v>
      </c>
      <c r="Y1054" s="69" t="s">
        <v>176</v>
      </c>
      <c r="Z1054" s="64" t="str">
        <f>IF(AA1054&lt;&gt;0,VLOOKUP(AA1054,DM_DUAN,3,0),"")</f>
        <v>#N/A</v>
      </c>
      <c r="AA1054" s="70" t="s">
        <v>177</v>
      </c>
      <c r="AB1054" s="64" t="str">
        <f>IF(AC1054&lt;&gt;0,VLOOKUP(AC1054,DM_DUAN,3,0),"")</f>
        <v>#N/A</v>
      </c>
      <c r="AC1054" s="70" t="s">
        <v>603</v>
      </c>
      <c r="AD1054" s="64" t="str">
        <f>IF(AC1054&lt;&gt;0,VLOOKUP(AC1054,DM_NV,2,0),"")</f>
        <v>Trần Minh Khánh</v>
      </c>
      <c r="AE1054" s="68"/>
      <c r="AF1054" s="64" t="str">
        <f>IF(AE1054&lt;&gt;0,VLOOKUP(AE1054,DM_NV,2,0),"")</f>
        <v/>
      </c>
    </row>
    <row r="1055">
      <c r="A1055" s="51"/>
      <c r="B1055" s="52" t="str">
        <f>IF(D1055="","",VLOOKUP(D1055,'THAM CHIẾU'!$A:$B,2,0))</f>
        <v>#N/A</v>
      </c>
      <c r="C1055" s="53" t="str">
        <f t="shared" si="4"/>
        <v>04/2022</v>
      </c>
      <c r="D1055" s="99">
        <v>44681.0</v>
      </c>
      <c r="E1055" s="55" t="s">
        <v>1052</v>
      </c>
      <c r="F1055" s="56"/>
      <c r="G1055" s="57" t="s">
        <v>180</v>
      </c>
      <c r="H1055" s="58" t="str">
        <f>IF(G1055="","",VLOOKUP($G1055,'Quy chuẩn hạch toán'!$B:$E,2,0))</f>
        <v>521</v>
      </c>
      <c r="I1055" s="58" t="str">
        <f>IF(H1055="","",VLOOKUP($G1055,'Quy chuẩn hạch toán'!$B:$E,3,0))</f>
        <v>131</v>
      </c>
      <c r="J1055" s="59">
        <v>1.5E7</v>
      </c>
      <c r="K1055" s="60"/>
      <c r="L1055" s="61"/>
      <c r="M1055" s="62"/>
      <c r="N1055" s="63"/>
      <c r="O1055" s="64" t="str">
        <f>IF($Q1055&lt;&gt;0,VLOOKUP($Q1055,DM_KM,3,0),"")</f>
        <v>#N/A</v>
      </c>
      <c r="P1055" s="64" t="str">
        <f>IF($Q1055&lt;&gt;0,VLOOKUP($Q1055,DM_KM,5,0),"")</f>
        <v>#N/A</v>
      </c>
      <c r="Q1055" s="65" t="s">
        <v>181</v>
      </c>
      <c r="R1055" s="64" t="str">
        <f>IF(S1055&lt;&gt;0,VLOOKUP(S1055,DM_DUAN,3,0),"")</f>
        <v>#N/A</v>
      </c>
      <c r="S1055" s="66" t="str">
        <f>IF(U1055&lt;&gt;0,VLOOKUP(U1055,DM_DUAN,3,0),"")</f>
        <v>KIMCUONGLAND</v>
      </c>
      <c r="T1055" s="64"/>
      <c r="U1055" s="67" t="s">
        <v>636</v>
      </c>
      <c r="V1055" s="64" t="str">
        <f>IF(W1055&lt;&gt;0,VLOOKUP(W1055,DM_DUAN,3,0),"")</f>
        <v>#N/A</v>
      </c>
      <c r="W1055" s="83" t="s">
        <v>949</v>
      </c>
      <c r="X1055" s="64" t="str">
        <f>IF(Y1055&lt;&gt;0,VLOOKUP(Y1055,DM_DUAN,3,0),"")</f>
        <v>#N/A</v>
      </c>
      <c r="Y1055" s="84" t="s">
        <v>176</v>
      </c>
      <c r="Z1055" s="64" t="str">
        <f>IF(AA1055&lt;&gt;0,VLOOKUP(AA1055,DM_DUAN,3,0),"")</f>
        <v>#N/A</v>
      </c>
      <c r="AA1055" s="70" t="s">
        <v>183</v>
      </c>
      <c r="AB1055" s="64" t="str">
        <f>IF(AC1055&lt;&gt;0,VLOOKUP(AC1055,DM_DUAN,3,0),"")</f>
        <v/>
      </c>
      <c r="AC1055" s="85"/>
      <c r="AD1055" s="64" t="str">
        <f>IF(AC1055&lt;&gt;0,VLOOKUP(AC1055,DM_NV,2,0),"")</f>
        <v/>
      </c>
      <c r="AE1055" s="68"/>
      <c r="AF1055" s="64" t="str">
        <f>IF(AE1055&lt;&gt;0,VLOOKUP(AE1055,DM_NV,2,0),"")</f>
        <v/>
      </c>
    </row>
    <row r="1056">
      <c r="A1056" s="51"/>
      <c r="B1056" s="52" t="str">
        <f>IF(D1056="","",VLOOKUP(D1056,'THAM CHIẾU'!$A:$B,2,0))</f>
        <v>#N/A</v>
      </c>
      <c r="C1056" s="53" t="str">
        <f t="shared" si="4"/>
        <v>04/2022</v>
      </c>
      <c r="D1056" s="99">
        <v>44681.0</v>
      </c>
      <c r="E1056" s="55" t="s">
        <v>1053</v>
      </c>
      <c r="F1056" s="56"/>
      <c r="G1056" s="57" t="s">
        <v>249</v>
      </c>
      <c r="H1056" s="58" t="str">
        <f>IF(G1056="","",VLOOKUP($G1056,'Quy chuẩn hạch toán'!$B:$E,2,0))</f>
        <v>642</v>
      </c>
      <c r="I1056" s="58" t="str">
        <f>IF(H1056="","",VLOOKUP($G1056,'Quy chuẩn hạch toán'!$B:$E,3,0))</f>
        <v>331</v>
      </c>
      <c r="J1056" s="59">
        <v>1573700.0</v>
      </c>
      <c r="K1056" s="60"/>
      <c r="L1056" s="61"/>
      <c r="M1056" s="62"/>
      <c r="N1056" s="63"/>
      <c r="O1056" s="64" t="str">
        <f>IF($Q1056&lt;&gt;0,VLOOKUP($Q1056,DM_KM,3,0),"")</f>
        <v>#N/A</v>
      </c>
      <c r="P1056" s="64" t="str">
        <f>IF($Q1056&lt;&gt;0,VLOOKUP($Q1056,DM_KM,5,0),"")</f>
        <v>#N/A</v>
      </c>
      <c r="Q1056" s="65" t="s">
        <v>612</v>
      </c>
      <c r="R1056" s="64" t="str">
        <f>IF(S1056&lt;&gt;0,VLOOKUP(S1056,DM_DUAN,3,0),"")</f>
        <v>#N/A</v>
      </c>
      <c r="S1056" s="66" t="str">
        <f>IF(U1056&lt;&gt;0,VLOOKUP(U1056,DM_DUAN,3,0),"")</f>
        <v/>
      </c>
      <c r="T1056" s="64"/>
      <c r="U1056" s="93"/>
      <c r="V1056" s="64" t="str">
        <f>IF(W1056&lt;&gt;0,VLOOKUP(W1056,DM_DUAN,3,0),"")</f>
        <v/>
      </c>
      <c r="W1056" s="68"/>
      <c r="X1056" s="64" t="str">
        <f>IF(Y1056&lt;&gt;0,VLOOKUP(Y1056,DM_DUAN,3,0),"")</f>
        <v/>
      </c>
      <c r="Y1056" s="84"/>
      <c r="Z1056" s="64" t="str">
        <f>IF(AA1056&lt;&gt;0,VLOOKUP(AA1056,DM_DUAN,3,0),"")</f>
        <v>#N/A</v>
      </c>
      <c r="AA1056" s="70" t="s">
        <v>705</v>
      </c>
      <c r="AB1056" s="64" t="str">
        <f>IF(AC1056&lt;&gt;0,VLOOKUP(AC1056,DM_DUAN,3,0),"")</f>
        <v/>
      </c>
      <c r="AC1056" s="85"/>
      <c r="AD1056" s="64" t="str">
        <f>IF(AC1056&lt;&gt;0,VLOOKUP(AC1056,DM_NV,2,0),"")</f>
        <v/>
      </c>
      <c r="AE1056" s="83" t="s">
        <v>613</v>
      </c>
      <c r="AF1056" s="64" t="str">
        <f>IF(AE1056&lt;&gt;0,VLOOKUP(AE1056,DM_NV,2,0),"")</f>
        <v>#N/A</v>
      </c>
    </row>
    <row r="1057">
      <c r="A1057" s="51"/>
      <c r="B1057" s="52" t="str">
        <f>IF(D1057="","",VLOOKUP(D1057,'THAM CHIẾU'!$A:$B,2,0))</f>
        <v>#N/A</v>
      </c>
      <c r="C1057" s="53" t="str">
        <f t="shared" si="4"/>
        <v>04/2022</v>
      </c>
      <c r="D1057" s="99">
        <v>44681.0</v>
      </c>
      <c r="E1057" s="55" t="s">
        <v>1054</v>
      </c>
      <c r="F1057" s="56"/>
      <c r="G1057" s="57" t="s">
        <v>321</v>
      </c>
      <c r="H1057" s="58" t="str">
        <f>IF(G1057="","",VLOOKUP($G1057,'Quy chuẩn hạch toán'!$B:$E,2,0))</f>
        <v>911</v>
      </c>
      <c r="I1057" s="58" t="str">
        <f>IF(H1057="","",VLOOKUP($G1057,'Quy chuẩn hạch toán'!$B:$E,3,0))</f>
        <v>641</v>
      </c>
      <c r="J1057" s="59">
        <v>2000000.0</v>
      </c>
      <c r="K1057" s="60"/>
      <c r="L1057" s="61"/>
      <c r="M1057" s="62"/>
      <c r="N1057" s="63"/>
      <c r="O1057" s="64" t="str">
        <f>IF($Q1057&lt;&gt;0,VLOOKUP($Q1057,DM_KM,3,0),"")</f>
        <v>#N/A</v>
      </c>
      <c r="P1057" s="64" t="str">
        <f>IF($Q1057&lt;&gt;0,VLOOKUP($Q1057,DM_KM,5,0),"")</f>
        <v>#N/A</v>
      </c>
      <c r="Q1057" s="65" t="s">
        <v>612</v>
      </c>
      <c r="R1057" s="64" t="str">
        <f>IF(S1057&lt;&gt;0,VLOOKUP(S1057,DM_DUAN,3,0),"")</f>
        <v>#N/A</v>
      </c>
      <c r="S1057" s="66" t="str">
        <f>IF(U1057&lt;&gt;0,VLOOKUP(U1057,DM_DUAN,3,0),"")</f>
        <v/>
      </c>
      <c r="T1057" s="64"/>
      <c r="U1057" s="93"/>
      <c r="V1057" s="64" t="str">
        <f>IF(W1057&lt;&gt;0,VLOOKUP(W1057,DM_DUAN,3,0),"")</f>
        <v/>
      </c>
      <c r="W1057" s="68"/>
      <c r="X1057" s="64" t="str">
        <f>IF(Y1057&lt;&gt;0,VLOOKUP(Y1057,DM_DUAN,3,0),"")</f>
        <v/>
      </c>
      <c r="Y1057" s="84"/>
      <c r="Z1057" s="64" t="str">
        <f>IF(AA1057&lt;&gt;0,VLOOKUP(AA1057,DM_DUAN,3,0),"")</f>
        <v>#N/A</v>
      </c>
      <c r="AA1057" s="70" t="s">
        <v>177</v>
      </c>
      <c r="AB1057" s="64" t="str">
        <f>IF(AC1057&lt;&gt;0,VLOOKUP(AC1057,DM_DUAN,3,0),"")</f>
        <v/>
      </c>
      <c r="AC1057" s="85"/>
      <c r="AD1057" s="64" t="str">
        <f>IF(AC1057&lt;&gt;0,VLOOKUP(AC1057,DM_NV,2,0),"")</f>
        <v/>
      </c>
      <c r="AE1057" s="83" t="s">
        <v>613</v>
      </c>
      <c r="AF1057" s="64" t="str">
        <f>IF(AE1057&lt;&gt;0,VLOOKUP(AE1057,DM_NV,2,0),"")</f>
        <v>#N/A</v>
      </c>
    </row>
    <row r="1058">
      <c r="A1058" s="51"/>
      <c r="B1058" s="52" t="str">
        <f>IF(D1058="","",VLOOKUP(D1058,'THAM CHIẾU'!$A:$B,2,0))</f>
        <v>#N/A</v>
      </c>
      <c r="C1058" s="53" t="str">
        <f t="shared" si="4"/>
        <v>04/2022</v>
      </c>
      <c r="D1058" s="99">
        <v>44681.0</v>
      </c>
      <c r="E1058" s="55" t="s">
        <v>1055</v>
      </c>
      <c r="F1058" s="56"/>
      <c r="G1058" s="57" t="s">
        <v>321</v>
      </c>
      <c r="H1058" s="58" t="str">
        <f>IF(G1058="","",VLOOKUP($G1058,'Quy chuẩn hạch toán'!$B:$E,2,0))</f>
        <v>911</v>
      </c>
      <c r="I1058" s="58" t="str">
        <f>IF(H1058="","",VLOOKUP($G1058,'Quy chuẩn hạch toán'!$B:$E,3,0))</f>
        <v>641</v>
      </c>
      <c r="J1058" s="59">
        <v>2400000.0</v>
      </c>
      <c r="K1058" s="60"/>
      <c r="L1058" s="61"/>
      <c r="M1058" s="62"/>
      <c r="N1058" s="63"/>
      <c r="O1058" s="64" t="str">
        <f>IF($Q1058&lt;&gt;0,VLOOKUP($Q1058,DM_KM,3,0),"")</f>
        <v>#N/A</v>
      </c>
      <c r="P1058" s="64" t="str">
        <f>IF($Q1058&lt;&gt;0,VLOOKUP($Q1058,DM_KM,5,0),"")</f>
        <v>#N/A</v>
      </c>
      <c r="Q1058" s="65" t="s">
        <v>612</v>
      </c>
      <c r="R1058" s="64" t="str">
        <f>IF(S1058&lt;&gt;0,VLOOKUP(S1058,DM_DUAN,3,0),"")</f>
        <v>#N/A</v>
      </c>
      <c r="S1058" s="66" t="str">
        <f>IF(U1058&lt;&gt;0,VLOOKUP(U1058,DM_DUAN,3,0),"")</f>
        <v/>
      </c>
      <c r="T1058" s="64"/>
      <c r="U1058" s="93"/>
      <c r="V1058" s="64" t="str">
        <f>IF(W1058&lt;&gt;0,VLOOKUP(W1058,DM_DUAN,3,0),"")</f>
        <v/>
      </c>
      <c r="W1058" s="68"/>
      <c r="X1058" s="64" t="str">
        <f>IF(Y1058&lt;&gt;0,VLOOKUP(Y1058,DM_DUAN,3,0),"")</f>
        <v/>
      </c>
      <c r="Y1058" s="84"/>
      <c r="Z1058" s="64" t="str">
        <f>IF(AA1058&lt;&gt;0,VLOOKUP(AA1058,DM_DUAN,3,0),"")</f>
        <v>#N/A</v>
      </c>
      <c r="AA1058" s="70" t="s">
        <v>183</v>
      </c>
      <c r="AB1058" s="64" t="str">
        <f>IF(AC1058&lt;&gt;0,VLOOKUP(AC1058,DM_DUAN,3,0),"")</f>
        <v/>
      </c>
      <c r="AC1058" s="85"/>
      <c r="AD1058" s="64" t="str">
        <f>IF(AC1058&lt;&gt;0,VLOOKUP(AC1058,DM_NV,2,0),"")</f>
        <v/>
      </c>
      <c r="AE1058" s="83" t="s">
        <v>613</v>
      </c>
      <c r="AF1058" s="64" t="str">
        <f>IF(AE1058&lt;&gt;0,VLOOKUP(AE1058,DM_NV,2,0),"")</f>
        <v>#N/A</v>
      </c>
    </row>
    <row r="1059">
      <c r="A1059" s="51"/>
      <c r="B1059" s="52"/>
      <c r="C1059" s="53" t="str">
        <f t="shared" si="4"/>
        <v>04/2022</v>
      </c>
      <c r="D1059" s="99">
        <v>44681.0</v>
      </c>
      <c r="E1059" s="55" t="s">
        <v>1055</v>
      </c>
      <c r="F1059" s="56"/>
      <c r="G1059" s="57" t="s">
        <v>321</v>
      </c>
      <c r="H1059" s="58" t="str">
        <f>IF(G1059="","",VLOOKUP($G1059,'Quy chuẩn hạch toán'!$B:$E,2,0))</f>
        <v>911</v>
      </c>
      <c r="I1059" s="58" t="str">
        <f>IF(H1059="","",VLOOKUP($G1059,'Quy chuẩn hạch toán'!$B:$E,3,0))</f>
        <v>641</v>
      </c>
      <c r="J1059" s="59">
        <v>400000.0</v>
      </c>
      <c r="K1059" s="60"/>
      <c r="L1059" s="61"/>
      <c r="M1059" s="62"/>
      <c r="N1059" s="63"/>
      <c r="O1059" s="64" t="str">
        <f>IF($Q1059&lt;&gt;0,VLOOKUP($Q1059,DM_KM,3,0),"")</f>
        <v>#N/A</v>
      </c>
      <c r="P1059" s="64" t="str">
        <f>IF($Q1059&lt;&gt;0,VLOOKUP($Q1059,DM_KM,5,0),"")</f>
        <v>#N/A</v>
      </c>
      <c r="Q1059" s="65" t="s">
        <v>203</v>
      </c>
      <c r="R1059" s="64"/>
      <c r="S1059" s="66"/>
      <c r="T1059" s="64"/>
      <c r="U1059" s="93"/>
      <c r="V1059" s="64"/>
      <c r="W1059" s="68"/>
      <c r="X1059" s="64"/>
      <c r="Y1059" s="84"/>
      <c r="Z1059" s="64"/>
      <c r="AA1059" s="70" t="s">
        <v>210</v>
      </c>
      <c r="AB1059" s="64"/>
      <c r="AC1059" s="85"/>
      <c r="AD1059" s="64" t="str">
        <f>IF(AC1059&lt;&gt;0,VLOOKUP(AC1059,DM_NV,2,0),"")</f>
        <v/>
      </c>
      <c r="AE1059" s="83" t="s">
        <v>613</v>
      </c>
      <c r="AF1059" s="64" t="str">
        <f>IF(AE1059&lt;&gt;0,VLOOKUP(AE1059,DM_NV,2,0),"")</f>
        <v>#N/A</v>
      </c>
    </row>
    <row r="1060">
      <c r="A1060" s="51"/>
      <c r="B1060" s="52" t="str">
        <f>IF(D1060="","",VLOOKUP(D1060,'THAM CHIẾU'!$A:$B,2,0))</f>
        <v>#N/A</v>
      </c>
      <c r="C1060" s="53" t="str">
        <f t="shared" si="4"/>
        <v>04/2022</v>
      </c>
      <c r="D1060" s="99">
        <v>44681.0</v>
      </c>
      <c r="E1060" s="55" t="s">
        <v>1056</v>
      </c>
      <c r="F1060" s="56"/>
      <c r="G1060" s="57" t="s">
        <v>1057</v>
      </c>
      <c r="H1060" s="58" t="str">
        <f>IF(G1060="","",VLOOKUP($G1060,'Quy chuẩn hạch toán'!$B:$E,2,0))</f>
        <v>3383</v>
      </c>
      <c r="I1060" s="58" t="str">
        <f>IF(H1060="","",VLOOKUP($G1060,'Quy chuẩn hạch toán'!$B:$E,3,0))</f>
        <v>1111</v>
      </c>
      <c r="J1060" s="59">
        <v>4800000.0</v>
      </c>
      <c r="K1060" s="60"/>
      <c r="L1060" s="61"/>
      <c r="M1060" s="62"/>
      <c r="N1060" s="63"/>
      <c r="O1060" s="64" t="str">
        <f>IF($Q1060&lt;&gt;0,VLOOKUP($Q1060,DM_KM,3,0),"")</f>
        <v/>
      </c>
      <c r="P1060" s="64" t="str">
        <f>IF($Q1060&lt;&gt;0,VLOOKUP($Q1060,DM_KM,5,0),"")</f>
        <v/>
      </c>
      <c r="Q1060" s="65"/>
      <c r="R1060" s="64" t="str">
        <f>IF(S1060&lt;&gt;0,VLOOKUP(S1060,DM_DUAN,3,0),"")</f>
        <v>#N/A</v>
      </c>
      <c r="S1060" s="66" t="str">
        <f>IF(U1060&lt;&gt;0,VLOOKUP(U1060,DM_DUAN,3,0),"")</f>
        <v/>
      </c>
      <c r="T1060" s="64"/>
      <c r="U1060" s="93"/>
      <c r="V1060" s="64" t="str">
        <f>IF(W1060&lt;&gt;0,VLOOKUP(W1060,DM_DUAN,3,0),"")</f>
        <v/>
      </c>
      <c r="W1060" s="68"/>
      <c r="X1060" s="64" t="str">
        <f>IF(Y1060&lt;&gt;0,VLOOKUP(Y1060,DM_DUAN,3,0),"")</f>
        <v/>
      </c>
      <c r="Y1060" s="84"/>
      <c r="Z1060" s="64" t="str">
        <f>IF(AA1060&lt;&gt;0,VLOOKUP(AA1060,DM_DUAN,3,0),"")</f>
        <v/>
      </c>
      <c r="AA1060" s="131"/>
      <c r="AB1060" s="64" t="str">
        <f>IF(AC1060&lt;&gt;0,VLOOKUP(AC1060,DM_DUAN,3,0),"")</f>
        <v/>
      </c>
      <c r="AC1060" s="85"/>
      <c r="AD1060" s="64" t="str">
        <f>IF(AC1060&lt;&gt;0,VLOOKUP(AC1060,DM_NV,2,0),"")</f>
        <v/>
      </c>
      <c r="AE1060" s="83" t="s">
        <v>256</v>
      </c>
      <c r="AF1060" s="64" t="str">
        <f>IF(AE1060&lt;&gt;0,VLOOKUP(AE1060,DM_NV,2,0),"")</f>
        <v>#N/A</v>
      </c>
    </row>
    <row r="1061">
      <c r="A1061" s="51"/>
      <c r="B1061" s="52" t="str">
        <f>IF(D1061="","",VLOOKUP(D1061,'THAM CHIẾU'!$A:$B,2,0))</f>
        <v>#N/A</v>
      </c>
      <c r="C1061" s="53" t="str">
        <f t="shared" si="4"/>
        <v>04/2022</v>
      </c>
      <c r="D1061" s="99">
        <v>44681.0</v>
      </c>
      <c r="E1061" s="55" t="s">
        <v>1058</v>
      </c>
      <c r="F1061" s="56"/>
      <c r="G1061" s="57" t="s">
        <v>205</v>
      </c>
      <c r="H1061" s="58" t="str">
        <f>IF(G1061="","",VLOOKUP($G1061,'Quy chuẩn hạch toán'!$B:$E,2,0))</f>
        <v>642</v>
      </c>
      <c r="I1061" s="58" t="str">
        <f>IF(H1061="","",VLOOKUP($G1061,'Quy chuẩn hạch toán'!$B:$E,3,0))</f>
        <v>1111</v>
      </c>
      <c r="J1061" s="59">
        <v>10526.0</v>
      </c>
      <c r="K1061" s="60"/>
      <c r="L1061" s="61"/>
      <c r="M1061" s="62"/>
      <c r="N1061" s="63"/>
      <c r="O1061" s="64" t="str">
        <f>IF($Q1061&lt;&gt;0,VLOOKUP($Q1061,DM_KM,3,0),"")</f>
        <v>#N/A</v>
      </c>
      <c r="P1061" s="64" t="str">
        <f>IF($Q1061&lt;&gt;0,VLOOKUP($Q1061,DM_KM,5,0),"")</f>
        <v>#N/A</v>
      </c>
      <c r="Q1061" s="65" t="s">
        <v>222</v>
      </c>
      <c r="R1061" s="64" t="str">
        <f>IF(S1061&lt;&gt;0,VLOOKUP(S1061,DM_DUAN,3,0),"")</f>
        <v>#N/A</v>
      </c>
      <c r="S1061" s="66" t="str">
        <f>IF(U1061&lt;&gt;0,VLOOKUP(U1061,DM_DUAN,3,0),"")</f>
        <v/>
      </c>
      <c r="T1061" s="64"/>
      <c r="U1061" s="93"/>
      <c r="V1061" s="64" t="str">
        <f>IF(W1061&lt;&gt;0,VLOOKUP(W1061,DM_DUAN,3,0),"")</f>
        <v/>
      </c>
      <c r="W1061" s="68"/>
      <c r="X1061" s="64" t="str">
        <f>IF(Y1061&lt;&gt;0,VLOOKUP(Y1061,DM_DUAN,3,0),"")</f>
        <v/>
      </c>
      <c r="Y1061" s="84"/>
      <c r="Z1061" s="64" t="str">
        <f>IF(AA1061&lt;&gt;0,VLOOKUP(AA1061,DM_DUAN,3,0),"")</f>
        <v>#N/A</v>
      </c>
      <c r="AA1061" s="70" t="s">
        <v>705</v>
      </c>
      <c r="AB1061" s="64" t="str">
        <f>IF(AC1061&lt;&gt;0,VLOOKUP(AC1061,DM_DUAN,3,0),"")</f>
        <v/>
      </c>
      <c r="AC1061" s="70"/>
      <c r="AD1061" s="64" t="str">
        <f>IF(AC1061&lt;&gt;0,VLOOKUP(AC1061,DM_NV,2,0),"")</f>
        <v/>
      </c>
      <c r="AE1061" s="83" t="s">
        <v>223</v>
      </c>
      <c r="AF1061" s="64" t="str">
        <f>IF(AE1061&lt;&gt;0,VLOOKUP(AE1061,DM_NV,2,0),"")</f>
        <v>#N/A</v>
      </c>
    </row>
    <row r="1062">
      <c r="A1062" s="51"/>
      <c r="B1062" s="52" t="str">
        <f>IF(D1062="","",VLOOKUP(D1062,'THAM CHIẾU'!$A:$B,2,0))</f>
        <v>#N/A</v>
      </c>
      <c r="C1062" s="53" t="str">
        <f t="shared" si="4"/>
        <v>04/2022</v>
      </c>
      <c r="D1062" s="99">
        <v>44681.0</v>
      </c>
      <c r="E1062" s="55" t="s">
        <v>1058</v>
      </c>
      <c r="F1062" s="56"/>
      <c r="G1062" s="57" t="s">
        <v>205</v>
      </c>
      <c r="H1062" s="58" t="str">
        <f>IF(G1062="","",VLOOKUP($G1062,'Quy chuẩn hạch toán'!$B:$E,2,0))</f>
        <v>642</v>
      </c>
      <c r="I1062" s="58" t="str">
        <f>IF(H1062="","",VLOOKUP($G1062,'Quy chuẩn hạch toán'!$B:$E,3,0))</f>
        <v>1111</v>
      </c>
      <c r="J1062" s="59">
        <v>21053.0</v>
      </c>
      <c r="K1062" s="60"/>
      <c r="L1062" s="61"/>
      <c r="M1062" s="62"/>
      <c r="N1062" s="63"/>
      <c r="O1062" s="64" t="str">
        <f>IF($Q1062&lt;&gt;0,VLOOKUP($Q1062,DM_KM,3,0),"")</f>
        <v>#N/A</v>
      </c>
      <c r="P1062" s="64" t="str">
        <f>IF($Q1062&lt;&gt;0,VLOOKUP($Q1062,DM_KM,5,0),"")</f>
        <v>#N/A</v>
      </c>
      <c r="Q1062" s="65" t="s">
        <v>222</v>
      </c>
      <c r="R1062" s="64" t="str">
        <f>IF(S1062&lt;&gt;0,VLOOKUP(S1062,DM_DUAN,3,0),"")</f>
        <v>#N/A</v>
      </c>
      <c r="S1062" s="66" t="str">
        <f>IF(U1062&lt;&gt;0,VLOOKUP(U1062,DM_DUAN,3,0),"")</f>
        <v/>
      </c>
      <c r="T1062" s="64"/>
      <c r="U1062" s="93"/>
      <c r="V1062" s="64" t="str">
        <f>IF(W1062&lt;&gt;0,VLOOKUP(W1062,DM_DUAN,3,0),"")</f>
        <v/>
      </c>
      <c r="W1062" s="68"/>
      <c r="X1062" s="64" t="str">
        <f>IF(Y1062&lt;&gt;0,VLOOKUP(Y1062,DM_DUAN,3,0),"")</f>
        <v/>
      </c>
      <c r="Y1062" s="84"/>
      <c r="Z1062" s="64" t="str">
        <f>IF(AA1062&lt;&gt;0,VLOOKUP(AA1062,DM_DUAN,3,0),"")</f>
        <v>#N/A</v>
      </c>
      <c r="AA1062" s="70" t="s">
        <v>183</v>
      </c>
      <c r="AB1062" s="64" t="str">
        <f>IF(AC1062&lt;&gt;0,VLOOKUP(AC1062,DM_DUAN,3,0),"")</f>
        <v/>
      </c>
      <c r="AC1062" s="85"/>
      <c r="AD1062" s="64" t="str">
        <f>IF(AC1062&lt;&gt;0,VLOOKUP(AC1062,DM_NV,2,0),"")</f>
        <v/>
      </c>
      <c r="AE1062" s="83" t="s">
        <v>223</v>
      </c>
      <c r="AF1062" s="64" t="str">
        <f>IF(AE1062&lt;&gt;0,VLOOKUP(AE1062,DM_NV,2,0),"")</f>
        <v>#N/A</v>
      </c>
    </row>
    <row r="1063">
      <c r="A1063" s="51"/>
      <c r="B1063" s="52" t="str">
        <f>IF(D1063="","",VLOOKUP(D1063,'THAM CHIẾU'!$A:$B,2,0))</f>
        <v>#N/A</v>
      </c>
      <c r="C1063" s="53" t="str">
        <f t="shared" si="4"/>
        <v>04/2022</v>
      </c>
      <c r="D1063" s="99">
        <v>44681.0</v>
      </c>
      <c r="E1063" s="55" t="s">
        <v>1058</v>
      </c>
      <c r="F1063" s="56"/>
      <c r="G1063" s="57" t="s">
        <v>205</v>
      </c>
      <c r="H1063" s="58" t="str">
        <f>IF(G1063="","",VLOOKUP($G1063,'Quy chuẩn hạch toán'!$B:$E,2,0))</f>
        <v>642</v>
      </c>
      <c r="I1063" s="58" t="str">
        <f>IF(H1063="","",VLOOKUP($G1063,'Quy chuẩn hạch toán'!$B:$E,3,0))</f>
        <v>1111</v>
      </c>
      <c r="J1063" s="59">
        <v>7895.0</v>
      </c>
      <c r="K1063" s="60"/>
      <c r="L1063" s="61"/>
      <c r="M1063" s="62"/>
      <c r="N1063" s="63"/>
      <c r="O1063" s="64" t="str">
        <f>IF($Q1063&lt;&gt;0,VLOOKUP($Q1063,DM_KM,3,0),"")</f>
        <v>#N/A</v>
      </c>
      <c r="P1063" s="64" t="str">
        <f>IF($Q1063&lt;&gt;0,VLOOKUP($Q1063,DM_KM,5,0),"")</f>
        <v>#N/A</v>
      </c>
      <c r="Q1063" s="65" t="s">
        <v>222</v>
      </c>
      <c r="R1063" s="64" t="str">
        <f>IF(S1063&lt;&gt;0,VLOOKUP(S1063,DM_DUAN,3,0),"")</f>
        <v>#N/A</v>
      </c>
      <c r="S1063" s="66" t="str">
        <f>IF(U1063&lt;&gt;0,VLOOKUP(U1063,DM_DUAN,3,0),"")</f>
        <v/>
      </c>
      <c r="T1063" s="64"/>
      <c r="U1063" s="93"/>
      <c r="V1063" s="64" t="str">
        <f>IF(W1063&lt;&gt;0,VLOOKUP(W1063,DM_DUAN,3,0),"")</f>
        <v/>
      </c>
      <c r="W1063" s="68"/>
      <c r="X1063" s="64" t="str">
        <f>IF(Y1063&lt;&gt;0,VLOOKUP(Y1063,DM_DUAN,3,0),"")</f>
        <v/>
      </c>
      <c r="Y1063" s="84"/>
      <c r="Z1063" s="64" t="str">
        <f>IF(AA1063&lt;&gt;0,VLOOKUP(AA1063,DM_DUAN,3,0),"")</f>
        <v>#N/A</v>
      </c>
      <c r="AA1063" s="70" t="s">
        <v>177</v>
      </c>
      <c r="AB1063" s="64" t="str">
        <f>IF(AC1063&lt;&gt;0,VLOOKUP(AC1063,DM_DUAN,3,0),"")</f>
        <v/>
      </c>
      <c r="AC1063" s="85"/>
      <c r="AD1063" s="64" t="str">
        <f>IF(AC1063&lt;&gt;0,VLOOKUP(AC1063,DM_NV,2,0),"")</f>
        <v/>
      </c>
      <c r="AE1063" s="83" t="s">
        <v>223</v>
      </c>
      <c r="AF1063" s="64" t="str">
        <f>IF(AE1063&lt;&gt;0,VLOOKUP(AE1063,DM_NV,2,0),"")</f>
        <v>#N/A</v>
      </c>
    </row>
    <row r="1064">
      <c r="A1064" s="51"/>
      <c r="B1064" s="52" t="str">
        <f>IF(D1064="","",VLOOKUP(D1064,'THAM CHIẾU'!$A:$B,2,0))</f>
        <v>#N/A</v>
      </c>
      <c r="C1064" s="53" t="str">
        <f t="shared" si="4"/>
        <v>04/2022</v>
      </c>
      <c r="D1064" s="99">
        <v>44681.0</v>
      </c>
      <c r="E1064" s="55" t="s">
        <v>1058</v>
      </c>
      <c r="F1064" s="56"/>
      <c r="G1064" s="57" t="s">
        <v>205</v>
      </c>
      <c r="H1064" s="58" t="str">
        <f>IF(G1064="","",VLOOKUP($G1064,'Quy chuẩn hạch toán'!$B:$E,2,0))</f>
        <v>642</v>
      </c>
      <c r="I1064" s="58" t="str">
        <f>IF(H1064="","",VLOOKUP($G1064,'Quy chuẩn hạch toán'!$B:$E,3,0))</f>
        <v>1111</v>
      </c>
      <c r="J1064" s="59">
        <v>10526.0</v>
      </c>
      <c r="K1064" s="60"/>
      <c r="L1064" s="61"/>
      <c r="M1064" s="62"/>
      <c r="N1064" s="63"/>
      <c r="O1064" s="64" t="str">
        <f>IF($Q1064&lt;&gt;0,VLOOKUP($Q1064,DM_KM,3,0),"")</f>
        <v>#N/A</v>
      </c>
      <c r="P1064" s="64" t="str">
        <f>IF($Q1064&lt;&gt;0,VLOOKUP($Q1064,DM_KM,5,0),"")</f>
        <v>#N/A</v>
      </c>
      <c r="Q1064" s="65" t="s">
        <v>222</v>
      </c>
      <c r="R1064" s="64" t="str">
        <f>IF(S1064&lt;&gt;0,VLOOKUP(S1064,DM_DUAN,3,0),"")</f>
        <v>#N/A</v>
      </c>
      <c r="S1064" s="66" t="str">
        <f>IF(U1064&lt;&gt;0,VLOOKUP(U1064,DM_DUAN,3,0),"")</f>
        <v/>
      </c>
      <c r="T1064" s="64"/>
      <c r="U1064" s="93"/>
      <c r="V1064" s="64" t="str">
        <f>IF(W1064&lt;&gt;0,VLOOKUP(W1064,DM_DUAN,3,0),"")</f>
        <v/>
      </c>
      <c r="W1064" s="68"/>
      <c r="X1064" s="64" t="str">
        <f>IF(Y1064&lt;&gt;0,VLOOKUP(Y1064,DM_DUAN,3,0),"")</f>
        <v/>
      </c>
      <c r="Y1064" s="84"/>
      <c r="Z1064" s="64" t="str">
        <f>IF(AA1064&lt;&gt;0,VLOOKUP(AA1064,DM_DUAN,3,0),"")</f>
        <v>#N/A</v>
      </c>
      <c r="AA1064" s="70" t="s">
        <v>210</v>
      </c>
      <c r="AB1064" s="64" t="str">
        <f>IF(AC1064&lt;&gt;0,VLOOKUP(AC1064,DM_DUAN,3,0),"")</f>
        <v/>
      </c>
      <c r="AC1064" s="85"/>
      <c r="AD1064" s="64" t="str">
        <f>IF(AC1064&lt;&gt;0,VLOOKUP(AC1064,DM_NV,2,0),"")</f>
        <v/>
      </c>
      <c r="AE1064" s="83" t="s">
        <v>223</v>
      </c>
      <c r="AF1064" s="64" t="str">
        <f>IF(AE1064&lt;&gt;0,VLOOKUP(AE1064,DM_NV,2,0),"")</f>
        <v>#N/A</v>
      </c>
    </row>
    <row r="1065">
      <c r="A1065" s="51"/>
      <c r="B1065" s="52" t="str">
        <f>IF(D1065="","",VLOOKUP(D1065,'THAM CHIẾU'!$A:$B,2,0))</f>
        <v>#N/A</v>
      </c>
      <c r="C1065" s="53" t="str">
        <f t="shared" si="4"/>
        <v>04/2022</v>
      </c>
      <c r="D1065" s="99">
        <v>44681.0</v>
      </c>
      <c r="E1065" s="55" t="s">
        <v>1059</v>
      </c>
      <c r="F1065" s="56"/>
      <c r="G1065" s="57" t="s">
        <v>205</v>
      </c>
      <c r="H1065" s="58" t="str">
        <f>IF(G1065="","",VLOOKUP($G1065,'Quy chuẩn hạch toán'!$B:$E,2,0))</f>
        <v>642</v>
      </c>
      <c r="I1065" s="58" t="str">
        <f>IF(H1065="","",VLOOKUP($G1065,'Quy chuẩn hạch toán'!$B:$E,3,0))</f>
        <v>1111</v>
      </c>
      <c r="J1065" s="59">
        <v>29474.0</v>
      </c>
      <c r="K1065" s="60"/>
      <c r="L1065" s="61"/>
      <c r="M1065" s="62"/>
      <c r="N1065" s="63"/>
      <c r="O1065" s="64" t="str">
        <f>IF($Q1065&lt;&gt;0,VLOOKUP($Q1065,DM_KM,3,0),"")</f>
        <v>#N/A</v>
      </c>
      <c r="P1065" s="64" t="str">
        <f>IF($Q1065&lt;&gt;0,VLOOKUP($Q1065,DM_KM,5,0),"")</f>
        <v>#N/A</v>
      </c>
      <c r="Q1065" s="65" t="s">
        <v>219</v>
      </c>
      <c r="R1065" s="64" t="str">
        <f>IF(S1065&lt;&gt;0,VLOOKUP(S1065,DM_DUAN,3,0),"")</f>
        <v>#N/A</v>
      </c>
      <c r="S1065" s="66" t="str">
        <f>IF(U1065&lt;&gt;0,VLOOKUP(U1065,DM_DUAN,3,0),"")</f>
        <v/>
      </c>
      <c r="T1065" s="64"/>
      <c r="U1065" s="93"/>
      <c r="V1065" s="64" t="str">
        <f>IF(W1065&lt;&gt;0,VLOOKUP(W1065,DM_DUAN,3,0),"")</f>
        <v/>
      </c>
      <c r="W1065" s="68"/>
      <c r="X1065" s="64" t="str">
        <f>IF(Y1065&lt;&gt;0,VLOOKUP(Y1065,DM_DUAN,3,0),"")</f>
        <v>#N/A</v>
      </c>
      <c r="Y1065" s="69" t="s">
        <v>207</v>
      </c>
      <c r="Z1065" s="64" t="str">
        <f>IF(AA1065&lt;&gt;0,VLOOKUP(AA1065,DM_DUAN,3,0),"")</f>
        <v>#N/A</v>
      </c>
      <c r="AA1065" s="70" t="s">
        <v>705</v>
      </c>
      <c r="AB1065" s="64" t="str">
        <f>IF(AC1065&lt;&gt;0,VLOOKUP(AC1065,DM_DUAN,3,0),"")</f>
        <v/>
      </c>
      <c r="AC1065" s="85"/>
      <c r="AD1065" s="64" t="str">
        <f>IF(AC1065&lt;&gt;0,VLOOKUP(AC1065,DM_NV,2,0),"")</f>
        <v/>
      </c>
      <c r="AE1065" s="83" t="s">
        <v>220</v>
      </c>
      <c r="AF1065" s="64" t="str">
        <f>IF(AE1065&lt;&gt;0,VLOOKUP(AE1065,DM_NV,2,0),"")</f>
        <v>#N/A</v>
      </c>
    </row>
    <row r="1066">
      <c r="A1066" s="51"/>
      <c r="B1066" s="52" t="str">
        <f>IF(D1066="","",VLOOKUP(D1066,'THAM CHIẾU'!$A:$B,2,0))</f>
        <v>#N/A</v>
      </c>
      <c r="C1066" s="53" t="str">
        <f t="shared" si="4"/>
        <v>04/2022</v>
      </c>
      <c r="D1066" s="99">
        <v>44681.0</v>
      </c>
      <c r="E1066" s="55" t="s">
        <v>1059</v>
      </c>
      <c r="F1066" s="56"/>
      <c r="G1066" s="57" t="s">
        <v>205</v>
      </c>
      <c r="H1066" s="58" t="str">
        <f>IF(G1066="","",VLOOKUP($G1066,'Quy chuẩn hạch toán'!$B:$E,2,0))</f>
        <v>642</v>
      </c>
      <c r="I1066" s="58" t="str">
        <f>IF(H1066="","",VLOOKUP($G1066,'Quy chuẩn hạch toán'!$B:$E,3,0))</f>
        <v>1111</v>
      </c>
      <c r="J1066" s="59">
        <v>58947.0</v>
      </c>
      <c r="K1066" s="60"/>
      <c r="L1066" s="61"/>
      <c r="M1066" s="62"/>
      <c r="N1066" s="63"/>
      <c r="O1066" s="64" t="str">
        <f>IF($Q1066&lt;&gt;0,VLOOKUP($Q1066,DM_KM,3,0),"")</f>
        <v>#N/A</v>
      </c>
      <c r="P1066" s="64" t="str">
        <f>IF($Q1066&lt;&gt;0,VLOOKUP($Q1066,DM_KM,5,0),"")</f>
        <v>#N/A</v>
      </c>
      <c r="Q1066" s="65" t="s">
        <v>219</v>
      </c>
      <c r="R1066" s="64" t="str">
        <f>IF(S1066&lt;&gt;0,VLOOKUP(S1066,DM_DUAN,3,0),"")</f>
        <v>#N/A</v>
      </c>
      <c r="S1066" s="66" t="str">
        <f>IF(U1066&lt;&gt;0,VLOOKUP(U1066,DM_DUAN,3,0),"")</f>
        <v/>
      </c>
      <c r="T1066" s="64"/>
      <c r="U1066" s="93"/>
      <c r="V1066" s="64" t="str">
        <f>IF(W1066&lt;&gt;0,VLOOKUP(W1066,DM_DUAN,3,0),"")</f>
        <v/>
      </c>
      <c r="W1066" s="68"/>
      <c r="X1066" s="64" t="str">
        <f>IF(Y1066&lt;&gt;0,VLOOKUP(Y1066,DM_DUAN,3,0),"")</f>
        <v>#N/A</v>
      </c>
      <c r="Y1066" s="69" t="s">
        <v>207</v>
      </c>
      <c r="Z1066" s="64" t="str">
        <f>IF(AA1066&lt;&gt;0,VLOOKUP(AA1066,DM_DUAN,3,0),"")</f>
        <v>#N/A</v>
      </c>
      <c r="AA1066" s="70" t="s">
        <v>183</v>
      </c>
      <c r="AB1066" s="64" t="str">
        <f>IF(AC1066&lt;&gt;0,VLOOKUP(AC1066,DM_DUAN,3,0),"")</f>
        <v/>
      </c>
      <c r="AC1066" s="85"/>
      <c r="AD1066" s="64" t="str">
        <f>IF(AC1066&lt;&gt;0,VLOOKUP(AC1066,DM_NV,2,0),"")</f>
        <v/>
      </c>
      <c r="AE1066" s="83" t="s">
        <v>220</v>
      </c>
      <c r="AF1066" s="64" t="str">
        <f>IF(AE1066&lt;&gt;0,VLOOKUP(AE1066,DM_NV,2,0),"")</f>
        <v>#N/A</v>
      </c>
    </row>
    <row r="1067">
      <c r="A1067" s="51"/>
      <c r="B1067" s="52" t="str">
        <f>IF(D1067="","",VLOOKUP(D1067,'THAM CHIẾU'!$A:$B,2,0))</f>
        <v>#N/A</v>
      </c>
      <c r="C1067" s="53" t="str">
        <f t="shared" si="4"/>
        <v>04/2022</v>
      </c>
      <c r="D1067" s="99">
        <v>44681.0</v>
      </c>
      <c r="E1067" s="55" t="s">
        <v>1059</v>
      </c>
      <c r="F1067" s="56"/>
      <c r="G1067" s="57" t="s">
        <v>205</v>
      </c>
      <c r="H1067" s="58" t="str">
        <f>IF(G1067="","",VLOOKUP($G1067,'Quy chuẩn hạch toán'!$B:$E,2,0))</f>
        <v>642</v>
      </c>
      <c r="I1067" s="58" t="str">
        <f>IF(H1067="","",VLOOKUP($G1067,'Quy chuẩn hạch toán'!$B:$E,3,0))</f>
        <v>1111</v>
      </c>
      <c r="J1067" s="59">
        <v>22105.0</v>
      </c>
      <c r="K1067" s="60"/>
      <c r="L1067" s="61"/>
      <c r="M1067" s="62"/>
      <c r="N1067" s="63"/>
      <c r="O1067" s="64" t="str">
        <f>IF($Q1067&lt;&gt;0,VLOOKUP($Q1067,DM_KM,3,0),"")</f>
        <v>#N/A</v>
      </c>
      <c r="P1067" s="64" t="str">
        <f>IF($Q1067&lt;&gt;0,VLOOKUP($Q1067,DM_KM,5,0),"")</f>
        <v>#N/A</v>
      </c>
      <c r="Q1067" s="65" t="s">
        <v>219</v>
      </c>
      <c r="R1067" s="64" t="str">
        <f>IF(S1067&lt;&gt;0,VLOOKUP(S1067,DM_DUAN,3,0),"")</f>
        <v>#N/A</v>
      </c>
      <c r="S1067" s="66" t="str">
        <f>IF(U1067&lt;&gt;0,VLOOKUP(U1067,DM_DUAN,3,0),"")</f>
        <v/>
      </c>
      <c r="T1067" s="64"/>
      <c r="U1067" s="93"/>
      <c r="V1067" s="64" t="str">
        <f>IF(W1067&lt;&gt;0,VLOOKUP(W1067,DM_DUAN,3,0),"")</f>
        <v/>
      </c>
      <c r="W1067" s="68"/>
      <c r="X1067" s="64" t="str">
        <f>IF(Y1067&lt;&gt;0,VLOOKUP(Y1067,DM_DUAN,3,0),"")</f>
        <v>#N/A</v>
      </c>
      <c r="Y1067" s="69" t="s">
        <v>207</v>
      </c>
      <c r="Z1067" s="64" t="str">
        <f>IF(AA1067&lt;&gt;0,VLOOKUP(AA1067,DM_DUAN,3,0),"")</f>
        <v>#N/A</v>
      </c>
      <c r="AA1067" s="70" t="s">
        <v>177</v>
      </c>
      <c r="AB1067" s="64" t="str">
        <f>IF(AC1067&lt;&gt;0,VLOOKUP(AC1067,DM_DUAN,3,0),"")</f>
        <v/>
      </c>
      <c r="AC1067" s="85"/>
      <c r="AD1067" s="64" t="str">
        <f>IF(AC1067&lt;&gt;0,VLOOKUP(AC1067,DM_NV,2,0),"")</f>
        <v/>
      </c>
      <c r="AE1067" s="83" t="s">
        <v>220</v>
      </c>
      <c r="AF1067" s="64" t="str">
        <f>IF(AE1067&lt;&gt;0,VLOOKUP(AE1067,DM_NV,2,0),"")</f>
        <v>#N/A</v>
      </c>
    </row>
    <row r="1068">
      <c r="A1068" s="51"/>
      <c r="B1068" s="52" t="str">
        <f>IF(D1068="","",VLOOKUP(D1068,'THAM CHIẾU'!$A:$B,2,0))</f>
        <v>#N/A</v>
      </c>
      <c r="C1068" s="53" t="str">
        <f t="shared" si="4"/>
        <v>04/2022</v>
      </c>
      <c r="D1068" s="99">
        <v>44681.0</v>
      </c>
      <c r="E1068" s="55" t="s">
        <v>1059</v>
      </c>
      <c r="F1068" s="56"/>
      <c r="G1068" s="57" t="s">
        <v>205</v>
      </c>
      <c r="H1068" s="58" t="str">
        <f>IF(G1068="","",VLOOKUP($G1068,'Quy chuẩn hạch toán'!$B:$E,2,0))</f>
        <v>642</v>
      </c>
      <c r="I1068" s="58" t="str">
        <f>IF(H1068="","",VLOOKUP($G1068,'Quy chuẩn hạch toán'!$B:$E,3,0))</f>
        <v>1111</v>
      </c>
      <c r="J1068" s="59">
        <v>29474.0</v>
      </c>
      <c r="K1068" s="60"/>
      <c r="L1068" s="61"/>
      <c r="M1068" s="62"/>
      <c r="N1068" s="63"/>
      <c r="O1068" s="64" t="str">
        <f>IF($Q1068&lt;&gt;0,VLOOKUP($Q1068,DM_KM,3,0),"")</f>
        <v>#N/A</v>
      </c>
      <c r="P1068" s="64" t="str">
        <f>IF($Q1068&lt;&gt;0,VLOOKUP($Q1068,DM_KM,5,0),"")</f>
        <v>#N/A</v>
      </c>
      <c r="Q1068" s="65" t="s">
        <v>219</v>
      </c>
      <c r="R1068" s="64" t="str">
        <f>IF(S1068&lt;&gt;0,VLOOKUP(S1068,DM_DUAN,3,0),"")</f>
        <v>#N/A</v>
      </c>
      <c r="S1068" s="66" t="str">
        <f>IF(U1068&lt;&gt;0,VLOOKUP(U1068,DM_DUAN,3,0),"")</f>
        <v/>
      </c>
      <c r="T1068" s="64"/>
      <c r="U1068" s="93"/>
      <c r="V1068" s="64" t="str">
        <f>IF(W1068&lt;&gt;0,VLOOKUP(W1068,DM_DUAN,3,0),"")</f>
        <v/>
      </c>
      <c r="W1068" s="68"/>
      <c r="X1068" s="64" t="str">
        <f>IF(Y1068&lt;&gt;0,VLOOKUP(Y1068,DM_DUAN,3,0),"")</f>
        <v>#N/A</v>
      </c>
      <c r="Y1068" s="69" t="s">
        <v>207</v>
      </c>
      <c r="Z1068" s="64" t="str">
        <f>IF(AA1068&lt;&gt;0,VLOOKUP(AA1068,DM_DUAN,3,0),"")</f>
        <v>#N/A</v>
      </c>
      <c r="AA1068" s="70" t="s">
        <v>210</v>
      </c>
      <c r="AB1068" s="64" t="str">
        <f>IF(AC1068&lt;&gt;0,VLOOKUP(AC1068,DM_DUAN,3,0),"")</f>
        <v/>
      </c>
      <c r="AC1068" s="85"/>
      <c r="AD1068" s="64" t="str">
        <f>IF(AC1068&lt;&gt;0,VLOOKUP(AC1068,DM_NV,2,0),"")</f>
        <v/>
      </c>
      <c r="AE1068" s="83" t="s">
        <v>220</v>
      </c>
      <c r="AF1068" s="64" t="str">
        <f>IF(AE1068&lt;&gt;0,VLOOKUP(AE1068,DM_NV,2,0),"")</f>
        <v>#N/A</v>
      </c>
    </row>
    <row r="1069">
      <c r="A1069" s="51"/>
      <c r="B1069" s="52" t="str">
        <f>IF(D1069="","",VLOOKUP(D1069,'THAM CHIẾU'!$A:$B,2,0))</f>
        <v/>
      </c>
      <c r="C1069" s="53" t="str">
        <f t="shared" si="4"/>
        <v/>
      </c>
      <c r="D1069" s="99"/>
      <c r="E1069" s="55"/>
      <c r="F1069" s="56"/>
      <c r="G1069" s="57"/>
      <c r="H1069" s="58" t="str">
        <f>IF(G1069="","",VLOOKUP($G1069,'Quy chuẩn hạch toán'!$B:$E,2,0))</f>
        <v/>
      </c>
      <c r="I1069" s="58" t="str">
        <f>IF(H1069="","",VLOOKUP($G1069,'Quy chuẩn hạch toán'!$B:$E,3,0))</f>
        <v/>
      </c>
      <c r="J1069" s="59"/>
      <c r="K1069" s="60"/>
      <c r="L1069" s="61"/>
      <c r="M1069" s="62"/>
      <c r="N1069" s="63"/>
      <c r="O1069" s="64"/>
      <c r="P1069" s="64"/>
      <c r="Q1069" s="89"/>
      <c r="R1069" s="64"/>
      <c r="S1069" s="66"/>
      <c r="T1069" s="64"/>
      <c r="U1069" s="67"/>
      <c r="V1069" s="64"/>
      <c r="W1069" s="83"/>
      <c r="X1069" s="64"/>
      <c r="Y1069" s="84"/>
      <c r="Z1069" s="64"/>
      <c r="AA1069" s="70"/>
      <c r="AB1069" s="64"/>
      <c r="AC1069" s="70"/>
      <c r="AD1069" s="64" t="str">
        <f>IF(AC1069&lt;&gt;0,VLOOKUP(AC1069,DM_NV,2,0),"")</f>
        <v/>
      </c>
      <c r="AE1069" s="68"/>
      <c r="AF1069" s="64" t="str">
        <f>IF(AE1069&lt;&gt;0,VLOOKUP(AE1069,DM_NV,2,0),"")</f>
        <v/>
      </c>
    </row>
    <row r="1070">
      <c r="A1070" s="51"/>
      <c r="B1070" s="52"/>
      <c r="C1070" s="53" t="str">
        <f t="shared" si="4"/>
        <v/>
      </c>
      <c r="D1070" s="99"/>
      <c r="E1070" s="55"/>
      <c r="F1070" s="56"/>
      <c r="G1070" s="57"/>
      <c r="H1070" s="58" t="str">
        <f>IF(G1070="","",VLOOKUP($G1070,'Quy chuẩn hạch toán'!$B:$E,2,0))</f>
        <v/>
      </c>
      <c r="I1070" s="58" t="str">
        <f>IF(H1070="","",VLOOKUP($G1070,'Quy chuẩn hạch toán'!$B:$E,3,0))</f>
        <v/>
      </c>
      <c r="J1070" s="59"/>
      <c r="K1070" s="60"/>
      <c r="L1070" s="61"/>
      <c r="M1070" s="62"/>
      <c r="N1070" s="63"/>
      <c r="O1070" s="64"/>
      <c r="P1070" s="64"/>
      <c r="Q1070" s="89"/>
      <c r="R1070" s="64"/>
      <c r="S1070" s="66"/>
      <c r="T1070" s="64"/>
      <c r="U1070" s="67"/>
      <c r="V1070" s="64"/>
      <c r="W1070" s="83"/>
      <c r="X1070" s="64"/>
      <c r="Y1070" s="84"/>
      <c r="Z1070" s="64"/>
      <c r="AA1070" s="70"/>
      <c r="AB1070" s="64"/>
      <c r="AC1070" s="70"/>
      <c r="AD1070" s="64" t="str">
        <f>IF(AC1070&lt;&gt;0,VLOOKUP(AC1070,DM_NV,2,0),"")</f>
        <v/>
      </c>
      <c r="AE1070" s="68"/>
      <c r="AF1070" s="64" t="str">
        <f>IF(AE1070&lt;&gt;0,VLOOKUP(AE1070,DM_NV,2,0),"")</f>
        <v/>
      </c>
    </row>
    <row r="1071">
      <c r="A1071" s="51"/>
      <c r="B1071" s="52"/>
      <c r="C1071" s="53" t="str">
        <f t="shared" si="4"/>
        <v/>
      </c>
      <c r="D1071" s="99"/>
      <c r="E1071" s="55"/>
      <c r="F1071" s="56"/>
      <c r="G1071" s="57"/>
      <c r="H1071" s="58" t="str">
        <f>IF(G1071="","",VLOOKUP($G1071,'Quy chuẩn hạch toán'!$B:$E,2,0))</f>
        <v/>
      </c>
      <c r="I1071" s="58" t="str">
        <f>IF(H1071="","",VLOOKUP($G1071,'Quy chuẩn hạch toán'!$B:$E,3,0))</f>
        <v/>
      </c>
      <c r="J1071" s="59"/>
      <c r="K1071" s="60"/>
      <c r="L1071" s="61"/>
      <c r="M1071" s="62"/>
      <c r="N1071" s="63"/>
      <c r="O1071" s="64"/>
      <c r="P1071" s="64"/>
      <c r="Q1071" s="89"/>
      <c r="R1071" s="64"/>
      <c r="S1071" s="66"/>
      <c r="T1071" s="64"/>
      <c r="U1071" s="67"/>
      <c r="V1071" s="64"/>
      <c r="W1071" s="83"/>
      <c r="X1071" s="64"/>
      <c r="Y1071" s="84"/>
      <c r="Z1071" s="64"/>
      <c r="AA1071" s="70"/>
      <c r="AB1071" s="64"/>
      <c r="AC1071" s="70"/>
      <c r="AD1071" s="64" t="str">
        <f>IF(AC1071&lt;&gt;0,VLOOKUP(AC1071,DM_NV,2,0),"")</f>
        <v/>
      </c>
      <c r="AE1071" s="68"/>
      <c r="AF1071" s="64" t="str">
        <f>IF(AE1071&lt;&gt;0,VLOOKUP(AE1071,DM_NV,2,0),"")</f>
        <v/>
      </c>
    </row>
    <row r="1072">
      <c r="A1072" s="51"/>
      <c r="B1072" s="52"/>
      <c r="C1072" s="53" t="str">
        <f t="shared" si="4"/>
        <v/>
      </c>
      <c r="D1072" s="99"/>
      <c r="E1072" s="55"/>
      <c r="F1072" s="56"/>
      <c r="G1072" s="57"/>
      <c r="H1072" s="58" t="str">
        <f>IF(G1072="","",VLOOKUP($G1072,'Quy chuẩn hạch toán'!$B:$E,2,0))</f>
        <v/>
      </c>
      <c r="I1072" s="58" t="str">
        <f>IF(H1072="","",VLOOKUP($G1072,'Quy chuẩn hạch toán'!$B:$E,3,0))</f>
        <v/>
      </c>
      <c r="J1072" s="59"/>
      <c r="K1072" s="60"/>
      <c r="L1072" s="61"/>
      <c r="M1072" s="62"/>
      <c r="N1072" s="63"/>
      <c r="O1072" s="64"/>
      <c r="P1072" s="64"/>
      <c r="Q1072" s="89"/>
      <c r="R1072" s="64"/>
      <c r="S1072" s="66"/>
      <c r="T1072" s="64"/>
      <c r="U1072" s="67"/>
      <c r="V1072" s="64"/>
      <c r="W1072" s="83"/>
      <c r="X1072" s="64"/>
      <c r="Y1072" s="84"/>
      <c r="Z1072" s="64"/>
      <c r="AA1072" s="70"/>
      <c r="AB1072" s="64"/>
      <c r="AC1072" s="70"/>
      <c r="AD1072" s="64" t="str">
        <f>IF(AC1072&lt;&gt;0,VLOOKUP(AC1072,DM_NV,2,0),"")</f>
        <v/>
      </c>
      <c r="AE1072" s="68"/>
      <c r="AF1072" s="64" t="str">
        <f>IF(AE1072&lt;&gt;0,VLOOKUP(AE1072,DM_NV,2,0),"")</f>
        <v/>
      </c>
    </row>
    <row r="1073">
      <c r="A1073" s="51"/>
      <c r="B1073" s="52"/>
      <c r="C1073" s="53" t="str">
        <f t="shared" si="4"/>
        <v/>
      </c>
      <c r="D1073" s="99"/>
      <c r="E1073" s="55"/>
      <c r="F1073" s="56"/>
      <c r="G1073" s="57"/>
      <c r="H1073" s="58" t="str">
        <f>IF(G1073="","",VLOOKUP($G1073,'Quy chuẩn hạch toán'!$B:$E,2,0))</f>
        <v/>
      </c>
      <c r="I1073" s="58" t="str">
        <f>IF(H1073="","",VLOOKUP($G1073,'Quy chuẩn hạch toán'!$B:$E,3,0))</f>
        <v/>
      </c>
      <c r="J1073" s="59"/>
      <c r="K1073" s="60"/>
      <c r="L1073" s="61"/>
      <c r="M1073" s="62"/>
      <c r="N1073" s="63"/>
      <c r="O1073" s="64"/>
      <c r="P1073" s="64"/>
      <c r="Q1073" s="89"/>
      <c r="R1073" s="64"/>
      <c r="S1073" s="66"/>
      <c r="T1073" s="64"/>
      <c r="U1073" s="67"/>
      <c r="V1073" s="64"/>
      <c r="W1073" s="83"/>
      <c r="X1073" s="64"/>
      <c r="Y1073" s="84"/>
      <c r="Z1073" s="64"/>
      <c r="AA1073" s="70"/>
      <c r="AB1073" s="64"/>
      <c r="AC1073" s="70"/>
      <c r="AD1073" s="64" t="str">
        <f>IF(AC1073&lt;&gt;0,VLOOKUP(AC1073,DM_NV,2,0),"")</f>
        <v/>
      </c>
      <c r="AE1073" s="68"/>
      <c r="AF1073" s="64" t="str">
        <f>IF(AE1073&lt;&gt;0,VLOOKUP(AE1073,DM_NV,2,0),"")</f>
        <v/>
      </c>
    </row>
    <row r="1074">
      <c r="A1074" s="51"/>
      <c r="B1074" s="52"/>
      <c r="C1074" s="53" t="str">
        <f t="shared" si="4"/>
        <v>04/2022</v>
      </c>
      <c r="D1074" s="99">
        <v>44681.0</v>
      </c>
      <c r="E1074" s="79" t="s">
        <v>1060</v>
      </c>
      <c r="F1074" s="80"/>
      <c r="G1074" s="57" t="s">
        <v>326</v>
      </c>
      <c r="H1074" s="58" t="str">
        <f>IF(G1074="","",VLOOKUP($G1074,'Quy chuẩn hạch toán'!$B:$E,2,0))</f>
        <v>911</v>
      </c>
      <c r="I1074" s="58" t="str">
        <f>IF(H1074="","",VLOOKUP($G1074,'Quy chuẩn hạch toán'!$B:$E,3,0))</f>
        <v>632</v>
      </c>
      <c r="J1074" s="59">
        <v>2.3564E8</v>
      </c>
      <c r="K1074" s="60"/>
      <c r="L1074" s="61"/>
      <c r="M1074" s="62"/>
      <c r="N1074" s="63"/>
      <c r="O1074" s="64"/>
      <c r="P1074" s="64"/>
      <c r="Q1074" s="89"/>
      <c r="R1074" s="64"/>
      <c r="S1074" s="66"/>
      <c r="T1074" s="64"/>
      <c r="U1074" s="67"/>
      <c r="V1074" s="64"/>
      <c r="W1074" s="83"/>
      <c r="X1074" s="64"/>
      <c r="Y1074" s="84"/>
      <c r="Z1074" s="64"/>
      <c r="AA1074" s="70" t="s">
        <v>183</v>
      </c>
      <c r="AB1074" s="64"/>
      <c r="AC1074" s="70"/>
      <c r="AD1074" s="64" t="str">
        <f>IF(AC1074&lt;&gt;0,VLOOKUP(AC1074,DM_NV,2,0),"")</f>
        <v/>
      </c>
      <c r="AE1074" s="68"/>
      <c r="AF1074" s="64" t="str">
        <f>IF(AE1074&lt;&gt;0,VLOOKUP(AE1074,DM_NV,2,0),"")</f>
        <v/>
      </c>
    </row>
    <row r="1075">
      <c r="A1075" s="51"/>
      <c r="B1075" s="52"/>
      <c r="C1075" s="53" t="str">
        <f t="shared" si="4"/>
        <v>04/2022</v>
      </c>
      <c r="D1075" s="99">
        <v>44681.0</v>
      </c>
      <c r="E1075" s="141" t="s">
        <v>1061</v>
      </c>
      <c r="F1075" s="142"/>
      <c r="G1075" s="57" t="s">
        <v>326</v>
      </c>
      <c r="H1075" s="58" t="str">
        <f>IF(G1075="","",VLOOKUP($G1075,'Quy chuẩn hạch toán'!$B:$E,2,0))</f>
        <v>911</v>
      </c>
      <c r="I1075" s="58" t="str">
        <f>IF(H1075="","",VLOOKUP($G1075,'Quy chuẩn hạch toán'!$B:$E,3,0))</f>
        <v>632</v>
      </c>
      <c r="J1075" s="59">
        <v>3.0063E8</v>
      </c>
      <c r="K1075" s="60"/>
      <c r="L1075" s="61"/>
      <c r="M1075" s="62"/>
      <c r="N1075" s="63"/>
      <c r="O1075" s="64"/>
      <c r="P1075" s="64"/>
      <c r="Q1075" s="89"/>
      <c r="R1075" s="64"/>
      <c r="S1075" s="66"/>
      <c r="T1075" s="64"/>
      <c r="U1075" s="67"/>
      <c r="V1075" s="64"/>
      <c r="W1075" s="83"/>
      <c r="X1075" s="64"/>
      <c r="Y1075" s="84"/>
      <c r="Z1075" s="64"/>
      <c r="AA1075" s="70" t="s">
        <v>177</v>
      </c>
      <c r="AB1075" s="64"/>
      <c r="AC1075" s="70"/>
      <c r="AD1075" s="64" t="str">
        <f>IF(AC1075&lt;&gt;0,VLOOKUP(AC1075,DM_NV,2,0),"")</f>
        <v/>
      </c>
      <c r="AE1075" s="68"/>
      <c r="AF1075" s="64" t="str">
        <f>IF(AE1075&lt;&gt;0,VLOOKUP(AE1075,DM_NV,2,0),"")</f>
        <v/>
      </c>
    </row>
    <row r="1076">
      <c r="A1076" s="51"/>
      <c r="B1076" s="52"/>
      <c r="C1076" s="53" t="str">
        <f t="shared" si="4"/>
        <v>04/2022</v>
      </c>
      <c r="D1076" s="99">
        <v>44681.0</v>
      </c>
      <c r="E1076" s="141" t="s">
        <v>1062</v>
      </c>
      <c r="F1076" s="142"/>
      <c r="G1076" s="57" t="s">
        <v>326</v>
      </c>
      <c r="H1076" s="58" t="str">
        <f>IF(G1076="","",VLOOKUP($G1076,'Quy chuẩn hạch toán'!$B:$E,2,0))</f>
        <v>911</v>
      </c>
      <c r="I1076" s="58" t="str">
        <f>IF(H1076="","",VLOOKUP($G1076,'Quy chuẩn hạch toán'!$B:$E,3,0))</f>
        <v>632</v>
      </c>
      <c r="J1076" s="59">
        <v>0.0</v>
      </c>
      <c r="K1076" s="60"/>
      <c r="L1076" s="61"/>
      <c r="M1076" s="62"/>
      <c r="N1076" s="63"/>
      <c r="O1076" s="64"/>
      <c r="P1076" s="64"/>
      <c r="Q1076" s="89"/>
      <c r="R1076" s="64"/>
      <c r="S1076" s="66"/>
      <c r="T1076" s="64"/>
      <c r="U1076" s="67"/>
      <c r="V1076" s="64"/>
      <c r="W1076" s="83"/>
      <c r="X1076" s="64"/>
      <c r="Y1076" s="84"/>
      <c r="Z1076" s="64"/>
      <c r="AA1076" s="70" t="s">
        <v>210</v>
      </c>
      <c r="AB1076" s="64"/>
      <c r="AC1076" s="70"/>
      <c r="AD1076" s="64" t="str">
        <f>IF(AC1076&lt;&gt;0,VLOOKUP(AC1076,DM_NV,2,0),"")</f>
        <v/>
      </c>
      <c r="AE1076" s="68"/>
      <c r="AF1076" s="64" t="str">
        <f>IF(AE1076&lt;&gt;0,VLOOKUP(AE1076,DM_NV,2,0),"")</f>
        <v/>
      </c>
    </row>
    <row r="1077">
      <c r="A1077" s="51"/>
      <c r="B1077" s="52"/>
      <c r="C1077" s="53" t="str">
        <f t="shared" si="4"/>
        <v>04/2022</v>
      </c>
      <c r="D1077" s="99">
        <v>44681.0</v>
      </c>
      <c r="E1077" s="141" t="s">
        <v>1063</v>
      </c>
      <c r="F1077" s="142"/>
      <c r="G1077" s="57" t="s">
        <v>326</v>
      </c>
      <c r="H1077" s="58" t="str">
        <f>IF(G1077="","",VLOOKUP($G1077,'Quy chuẩn hạch toán'!$B:$E,2,0))</f>
        <v>911</v>
      </c>
      <c r="I1077" s="58" t="str">
        <f>IF(H1077="","",VLOOKUP($G1077,'Quy chuẩn hạch toán'!$B:$E,3,0))</f>
        <v>632</v>
      </c>
      <c r="J1077" s="59">
        <v>9.3025E7</v>
      </c>
      <c r="K1077" s="60"/>
      <c r="L1077" s="61"/>
      <c r="M1077" s="62"/>
      <c r="N1077" s="63"/>
      <c r="O1077" s="64"/>
      <c r="P1077" s="64"/>
      <c r="Q1077" s="89"/>
      <c r="R1077" s="64"/>
      <c r="S1077" s="66"/>
      <c r="T1077" s="64"/>
      <c r="U1077" s="67"/>
      <c r="V1077" s="64"/>
      <c r="W1077" s="83"/>
      <c r="X1077" s="64"/>
      <c r="Y1077" s="84"/>
      <c r="Z1077" s="64"/>
      <c r="AA1077" s="70" t="s">
        <v>705</v>
      </c>
      <c r="AB1077" s="64"/>
      <c r="AC1077" s="70"/>
      <c r="AD1077" s="64" t="str">
        <f>IF(AC1077&lt;&gt;0,VLOOKUP(AC1077,DM_NV,2,0),"")</f>
        <v/>
      </c>
      <c r="AE1077" s="68"/>
      <c r="AF1077" s="64" t="str">
        <f>IF(AE1077&lt;&gt;0,VLOOKUP(AE1077,DM_NV,2,0),"")</f>
        <v/>
      </c>
    </row>
    <row r="1078">
      <c r="A1078" s="51"/>
      <c r="B1078" s="52"/>
      <c r="C1078" s="53" t="str">
        <f t="shared" si="4"/>
        <v>04/2022</v>
      </c>
      <c r="D1078" s="99">
        <v>44681.0</v>
      </c>
      <c r="E1078" s="141" t="s">
        <v>1064</v>
      </c>
      <c r="F1078" s="142"/>
      <c r="G1078" s="57" t="s">
        <v>326</v>
      </c>
      <c r="H1078" s="58" t="str">
        <f>IF(G1078="","",VLOOKUP($G1078,'Quy chuẩn hạch toán'!$B:$E,2,0))</f>
        <v>911</v>
      </c>
      <c r="I1078" s="58" t="str">
        <f>IF(H1078="","",VLOOKUP($G1078,'Quy chuẩn hạch toán'!$B:$E,3,0))</f>
        <v>632</v>
      </c>
      <c r="J1078" s="59"/>
      <c r="K1078" s="60"/>
      <c r="L1078" s="61"/>
      <c r="M1078" s="62"/>
      <c r="N1078" s="63"/>
      <c r="O1078" s="64"/>
      <c r="P1078" s="64"/>
      <c r="Q1078" s="89"/>
      <c r="R1078" s="64"/>
      <c r="S1078" s="66"/>
      <c r="T1078" s="64"/>
      <c r="U1078" s="67"/>
      <c r="V1078" s="64"/>
      <c r="W1078" s="83"/>
      <c r="X1078" s="64"/>
      <c r="Y1078" s="84"/>
      <c r="Z1078" s="64"/>
      <c r="AA1078" s="70" t="s">
        <v>810</v>
      </c>
      <c r="AB1078" s="64"/>
      <c r="AC1078" s="70"/>
      <c r="AD1078" s="64" t="str">
        <f>IF(AC1078&lt;&gt;0,VLOOKUP(AC1078,DM_NV,2,0),"")</f>
        <v/>
      </c>
      <c r="AE1078" s="68"/>
      <c r="AF1078" s="64" t="str">
        <f>IF(AE1078&lt;&gt;0,VLOOKUP(AE1078,DM_NV,2,0),"")</f>
        <v/>
      </c>
    </row>
    <row r="1079">
      <c r="A1079" s="51"/>
      <c r="B1079" s="52" t="str">
        <f>IF(D1079="","",VLOOKUP(D1079,'THAM CHIẾU'!$A:$B,2,0))</f>
        <v>#N/A</v>
      </c>
      <c r="C1079" s="53" t="str">
        <f t="shared" si="4"/>
        <v>04/2022</v>
      </c>
      <c r="D1079" s="99">
        <v>44681.0</v>
      </c>
      <c r="E1079" s="55" t="s">
        <v>1065</v>
      </c>
      <c r="F1079" s="56"/>
      <c r="G1079" s="57" t="s">
        <v>321</v>
      </c>
      <c r="H1079" s="58" t="str">
        <f>IF(G1079="","",VLOOKUP($G1079,'Quy chuẩn hạch toán'!$B:$E,2,0))</f>
        <v>911</v>
      </c>
      <c r="I1079" s="58" t="str">
        <f>IF(H1079="","",VLOOKUP($G1079,'Quy chuẩn hạch toán'!$B:$E,3,0))</f>
        <v>641</v>
      </c>
      <c r="J1079" s="59">
        <v>1.76857532E8</v>
      </c>
      <c r="K1079" s="60"/>
      <c r="L1079" s="61"/>
      <c r="M1079" s="62"/>
      <c r="N1079" s="63"/>
      <c r="O1079" s="64"/>
      <c r="P1079" s="64"/>
      <c r="Q1079" s="89"/>
      <c r="R1079" s="64"/>
      <c r="S1079" s="66"/>
      <c r="T1079" s="64"/>
      <c r="U1079" s="67"/>
      <c r="V1079" s="64"/>
      <c r="W1079" s="83"/>
      <c r="X1079" s="64"/>
      <c r="Y1079" s="84"/>
      <c r="Z1079" s="64"/>
      <c r="AA1079" s="70" t="s">
        <v>183</v>
      </c>
      <c r="AB1079" s="64"/>
      <c r="AC1079" s="70"/>
      <c r="AD1079" s="64" t="str">
        <f>IF(AC1079&lt;&gt;0,VLOOKUP(AC1079,DM_NV,2,0),"")</f>
        <v/>
      </c>
      <c r="AE1079" s="68"/>
      <c r="AF1079" s="64" t="str">
        <f>IF(AE1079&lt;&gt;0,VLOOKUP(AE1079,DM_NV,2,0),"")</f>
        <v/>
      </c>
    </row>
    <row r="1080">
      <c r="A1080" s="51"/>
      <c r="B1080" s="52" t="str">
        <f>IF(D1080="","",VLOOKUP(D1080,'THAM CHIẾU'!$A:$B,2,0))</f>
        <v>#N/A</v>
      </c>
      <c r="C1080" s="53" t="str">
        <f t="shared" si="4"/>
        <v>04/2022</v>
      </c>
      <c r="D1080" s="99">
        <v>44681.0</v>
      </c>
      <c r="E1080" s="55" t="s">
        <v>1066</v>
      </c>
      <c r="F1080" s="56"/>
      <c r="G1080" s="57" t="s">
        <v>321</v>
      </c>
      <c r="H1080" s="58" t="str">
        <f>IF(G1080="","",VLOOKUP($G1080,'Quy chuẩn hạch toán'!$B:$E,2,0))</f>
        <v>911</v>
      </c>
      <c r="I1080" s="58" t="str">
        <f>IF(H1080="","",VLOOKUP($G1080,'Quy chuẩn hạch toán'!$B:$E,3,0))</f>
        <v>641</v>
      </c>
      <c r="J1080" s="59">
        <v>1.42784494E8</v>
      </c>
      <c r="K1080" s="60"/>
      <c r="L1080" s="61"/>
      <c r="M1080" s="62"/>
      <c r="N1080" s="63"/>
      <c r="O1080" s="64"/>
      <c r="P1080" s="64"/>
      <c r="Q1080" s="89"/>
      <c r="R1080" s="64"/>
      <c r="S1080" s="66"/>
      <c r="T1080" s="64"/>
      <c r="U1080" s="67"/>
      <c r="V1080" s="64"/>
      <c r="W1080" s="83"/>
      <c r="X1080" s="64"/>
      <c r="Y1080" s="84"/>
      <c r="Z1080" s="64"/>
      <c r="AA1080" s="70" t="s">
        <v>177</v>
      </c>
      <c r="AB1080" s="64"/>
      <c r="AC1080" s="70"/>
      <c r="AD1080" s="64" t="str">
        <f>IF(AC1080&lt;&gt;0,VLOOKUP(AC1080,DM_NV,2,0),"")</f>
        <v/>
      </c>
      <c r="AE1080" s="68"/>
      <c r="AF1080" s="64" t="str">
        <f>IF(AE1080&lt;&gt;0,VLOOKUP(AE1080,DM_NV,2,0),"")</f>
        <v/>
      </c>
    </row>
    <row r="1081">
      <c r="A1081" s="51"/>
      <c r="B1081" s="52" t="str">
        <f>IF(D1081="","",VLOOKUP(D1081,'THAM CHIẾU'!$A:$B,2,0))</f>
        <v>#N/A</v>
      </c>
      <c r="C1081" s="53" t="str">
        <f t="shared" si="4"/>
        <v>04/2022</v>
      </c>
      <c r="D1081" s="99">
        <v>44681.0</v>
      </c>
      <c r="E1081" s="55" t="s">
        <v>1067</v>
      </c>
      <c r="F1081" s="56"/>
      <c r="G1081" s="57" t="s">
        <v>321</v>
      </c>
      <c r="H1081" s="58" t="str">
        <f>IF(G1081="","",VLOOKUP($G1081,'Quy chuẩn hạch toán'!$B:$E,2,0))</f>
        <v>911</v>
      </c>
      <c r="I1081" s="58" t="str">
        <f>IF(H1081="","",VLOOKUP($G1081,'Quy chuẩn hạch toán'!$B:$E,3,0))</f>
        <v>641</v>
      </c>
      <c r="J1081" s="59">
        <v>6.3232915E7</v>
      </c>
      <c r="K1081" s="60"/>
      <c r="L1081" s="61"/>
      <c r="M1081" s="62"/>
      <c r="N1081" s="63"/>
      <c r="O1081" s="64"/>
      <c r="P1081" s="64"/>
      <c r="Q1081" s="89"/>
      <c r="R1081" s="64"/>
      <c r="S1081" s="66"/>
      <c r="T1081" s="64"/>
      <c r="U1081" s="67"/>
      <c r="V1081" s="64"/>
      <c r="W1081" s="83"/>
      <c r="X1081" s="64"/>
      <c r="Y1081" s="84"/>
      <c r="Z1081" s="64"/>
      <c r="AA1081" s="70" t="s">
        <v>210</v>
      </c>
      <c r="AB1081" s="64"/>
      <c r="AC1081" s="70"/>
      <c r="AD1081" s="64" t="str">
        <f>IF(AC1081&lt;&gt;0,VLOOKUP(AC1081,DM_NV,2,0),"")</f>
        <v/>
      </c>
      <c r="AE1081" s="68"/>
      <c r="AF1081" s="64" t="str">
        <f>IF(AE1081&lt;&gt;0,VLOOKUP(AE1081,DM_NV,2,0),"")</f>
        <v/>
      </c>
    </row>
    <row r="1082">
      <c r="A1082" s="51"/>
      <c r="B1082" s="52" t="str">
        <f>IF(D1082="","",VLOOKUP(D1082,'THAM CHIẾU'!$A:$B,2,0))</f>
        <v>#N/A</v>
      </c>
      <c r="C1082" s="53" t="str">
        <f t="shared" si="4"/>
        <v>04/2022</v>
      </c>
      <c r="D1082" s="99">
        <v>44681.0</v>
      </c>
      <c r="E1082" s="55" t="s">
        <v>1068</v>
      </c>
      <c r="F1082" s="56"/>
      <c r="G1082" s="57" t="s">
        <v>321</v>
      </c>
      <c r="H1082" s="58" t="str">
        <f>IF(G1082="","",VLOOKUP($G1082,'Quy chuẩn hạch toán'!$B:$E,2,0))</f>
        <v>911</v>
      </c>
      <c r="I1082" s="58" t="str">
        <f>IF(H1082="","",VLOOKUP($G1082,'Quy chuẩn hạch toán'!$B:$E,3,0))</f>
        <v>641</v>
      </c>
      <c r="J1082" s="59">
        <v>7.4993453E7</v>
      </c>
      <c r="K1082" s="60"/>
      <c r="L1082" s="61"/>
      <c r="M1082" s="62"/>
      <c r="N1082" s="63"/>
      <c r="O1082" s="64"/>
      <c r="P1082" s="64"/>
      <c r="Q1082" s="89"/>
      <c r="R1082" s="64"/>
      <c r="S1082" s="66"/>
      <c r="T1082" s="64"/>
      <c r="U1082" s="67"/>
      <c r="V1082" s="64"/>
      <c r="W1082" s="83"/>
      <c r="X1082" s="64"/>
      <c r="Y1082" s="84"/>
      <c r="Z1082" s="64"/>
      <c r="AA1082" s="70" t="s">
        <v>705</v>
      </c>
      <c r="AB1082" s="64"/>
      <c r="AC1082" s="70"/>
      <c r="AD1082" s="64" t="str">
        <f>IF(AC1082&lt;&gt;0,VLOOKUP(AC1082,DM_NV,2,0),"")</f>
        <v/>
      </c>
      <c r="AE1082" s="68"/>
      <c r="AF1082" s="64" t="str">
        <f>IF(AE1082&lt;&gt;0,VLOOKUP(AE1082,DM_NV,2,0),"")</f>
        <v/>
      </c>
    </row>
    <row r="1083">
      <c r="A1083" s="51"/>
      <c r="B1083" s="52" t="str">
        <f>IF(D1083="","",VLOOKUP(D1083,'THAM CHIẾU'!$A:$B,2,0))</f>
        <v>#N/A</v>
      </c>
      <c r="C1083" s="53" t="str">
        <f t="shared" si="4"/>
        <v>04/2022</v>
      </c>
      <c r="D1083" s="99">
        <v>44681.0</v>
      </c>
      <c r="E1083" s="55" t="s">
        <v>1069</v>
      </c>
      <c r="F1083" s="56"/>
      <c r="G1083" s="57" t="s">
        <v>321</v>
      </c>
      <c r="H1083" s="58" t="str">
        <f>IF(G1083="","",VLOOKUP($G1083,'Quy chuẩn hạch toán'!$B:$E,2,0))</f>
        <v>911</v>
      </c>
      <c r="I1083" s="58" t="str">
        <f>IF(H1083="","",VLOOKUP($G1083,'Quy chuẩn hạch toán'!$B:$E,3,0))</f>
        <v>641</v>
      </c>
      <c r="J1083" s="59">
        <v>1.7308E7</v>
      </c>
      <c r="K1083" s="60"/>
      <c r="L1083" s="61"/>
      <c r="M1083" s="62"/>
      <c r="N1083" s="63"/>
      <c r="O1083" s="64"/>
      <c r="P1083" s="64"/>
      <c r="Q1083" s="89"/>
      <c r="R1083" s="64"/>
      <c r="S1083" s="66"/>
      <c r="T1083" s="64"/>
      <c r="U1083" s="67"/>
      <c r="V1083" s="64"/>
      <c r="W1083" s="83"/>
      <c r="X1083" s="64"/>
      <c r="Y1083" s="69"/>
      <c r="Z1083" s="64"/>
      <c r="AA1083" s="70" t="s">
        <v>810</v>
      </c>
      <c r="AB1083" s="64"/>
      <c r="AC1083" s="70"/>
      <c r="AD1083" s="64" t="str">
        <f>IF(AC1083&lt;&gt;0,VLOOKUP(AC1083,DM_NV,2,0),"")</f>
        <v/>
      </c>
      <c r="AE1083" s="68"/>
      <c r="AF1083" s="64" t="str">
        <f>IF(AE1083&lt;&gt;0,VLOOKUP(AE1083,DM_NV,2,0),"")</f>
        <v/>
      </c>
    </row>
    <row r="1084">
      <c r="A1084" s="51"/>
      <c r="B1084" s="52" t="str">
        <f>IF(D1084="","",VLOOKUP(D1084,'THAM CHIẾU'!$A:$B,2,0))</f>
        <v>#N/A</v>
      </c>
      <c r="C1084" s="53" t="str">
        <f t="shared" si="4"/>
        <v>04/2022</v>
      </c>
      <c r="D1084" s="99">
        <v>44681.0</v>
      </c>
      <c r="E1084" s="55" t="s">
        <v>1070</v>
      </c>
      <c r="F1084" s="56"/>
      <c r="G1084" s="57" t="s">
        <v>316</v>
      </c>
      <c r="H1084" s="58" t="str">
        <f>IF(G1084="","",VLOOKUP($G1084,'Quy chuẩn hạch toán'!$B:$E,2,0))</f>
        <v>911</v>
      </c>
      <c r="I1084" s="58" t="str">
        <f>IF(H1084="","",VLOOKUP($G1084,'Quy chuẩn hạch toán'!$B:$E,3,0))</f>
        <v>642</v>
      </c>
      <c r="J1084" s="59">
        <v>4.9691217E7</v>
      </c>
      <c r="K1084" s="60"/>
      <c r="L1084" s="61"/>
      <c r="M1084" s="62"/>
      <c r="N1084" s="63"/>
      <c r="O1084" s="64" t="str">
        <f>IF($Q1084&lt;&gt;0,VLOOKUP($Q1084,DM_KM,3,0),"")</f>
        <v/>
      </c>
      <c r="P1084" s="64" t="str">
        <f>IF($Q1084&lt;&gt;0,VLOOKUP($Q1084,DM_KM,5,0),"")</f>
        <v/>
      </c>
      <c r="Q1084" s="65"/>
      <c r="R1084" s="64" t="str">
        <f>IF(S1084&lt;&gt;0,VLOOKUP(S1084,DM_DUAN,3,0),"")</f>
        <v>#N/A</v>
      </c>
      <c r="S1084" s="66" t="str">
        <f>IF(U1084&lt;&gt;0,VLOOKUP(U1084,DM_DUAN,3,0),"")</f>
        <v/>
      </c>
      <c r="T1084" s="64"/>
      <c r="U1084" s="93"/>
      <c r="V1084" s="64" t="str">
        <f>IF(W1084&lt;&gt;0,VLOOKUP(W1084,DM_DUAN,3,0),"")</f>
        <v/>
      </c>
      <c r="W1084" s="68"/>
      <c r="X1084" s="64" t="str">
        <f>IF(Y1084&lt;&gt;0,VLOOKUP(Y1084,DM_DUAN,3,0),"")</f>
        <v/>
      </c>
      <c r="Y1084" s="84"/>
      <c r="Z1084" s="64" t="str">
        <f>IF(AA1084&lt;&gt;0,VLOOKUP(AA1084,DM_DUAN,3,0),"")</f>
        <v>#N/A</v>
      </c>
      <c r="AA1084" s="70" t="s">
        <v>183</v>
      </c>
      <c r="AB1084" s="64" t="str">
        <f>IF(AC1084&lt;&gt;0,VLOOKUP(AC1084,DM_DUAN,3,0),"")</f>
        <v/>
      </c>
      <c r="AC1084" s="85"/>
      <c r="AD1084" s="64" t="str">
        <f>IF(AC1084&lt;&gt;0,VLOOKUP(AC1084,DM_NV,2,0),"")</f>
        <v/>
      </c>
      <c r="AE1084" s="68"/>
      <c r="AF1084" s="64" t="str">
        <f>IF(AE1084&lt;&gt;0,VLOOKUP(AE1084,DM_NV,2,0),"")</f>
        <v/>
      </c>
    </row>
    <row r="1085">
      <c r="A1085" s="51"/>
      <c r="B1085" s="52" t="str">
        <f>IF(D1085="","",VLOOKUP(D1085,'THAM CHIẾU'!$A:$B,2,0))</f>
        <v>#N/A</v>
      </c>
      <c r="C1085" s="53" t="str">
        <f t="shared" si="4"/>
        <v>04/2022</v>
      </c>
      <c r="D1085" s="99">
        <v>44681.0</v>
      </c>
      <c r="E1085" s="55" t="s">
        <v>1071</v>
      </c>
      <c r="F1085" s="56"/>
      <c r="G1085" s="57" t="s">
        <v>316</v>
      </c>
      <c r="H1085" s="58" t="str">
        <f>IF(G1085="","",VLOOKUP($G1085,'Quy chuẩn hạch toán'!$B:$E,2,0))</f>
        <v>911</v>
      </c>
      <c r="I1085" s="58" t="str">
        <f>IF(H1085="","",VLOOKUP($G1085,'Quy chuẩn hạch toán'!$B:$E,3,0))</f>
        <v>642</v>
      </c>
      <c r="J1085" s="59">
        <v>2.7842126E7</v>
      </c>
      <c r="K1085" s="60"/>
      <c r="L1085" s="61"/>
      <c r="M1085" s="62"/>
      <c r="N1085" s="63"/>
      <c r="O1085" s="64" t="str">
        <f>IF($Q1085&lt;&gt;0,VLOOKUP($Q1085,DM_KM,3,0),"")</f>
        <v/>
      </c>
      <c r="P1085" s="64" t="str">
        <f>IF($Q1085&lt;&gt;0,VLOOKUP($Q1085,DM_KM,5,0),"")</f>
        <v/>
      </c>
      <c r="Q1085" s="65"/>
      <c r="R1085" s="64" t="str">
        <f>IF(S1085&lt;&gt;0,VLOOKUP(S1085,DM_DUAN,3,0),"")</f>
        <v>#N/A</v>
      </c>
      <c r="S1085" s="66" t="str">
        <f>IF(U1085&lt;&gt;0,VLOOKUP(U1085,DM_DUAN,3,0),"")</f>
        <v/>
      </c>
      <c r="T1085" s="64"/>
      <c r="U1085" s="93"/>
      <c r="V1085" s="64" t="str">
        <f>IF(W1085&lt;&gt;0,VLOOKUP(W1085,DM_DUAN,3,0),"")</f>
        <v/>
      </c>
      <c r="W1085" s="68"/>
      <c r="X1085" s="64" t="str">
        <f>IF(Y1085&lt;&gt;0,VLOOKUP(Y1085,DM_DUAN,3,0),"")</f>
        <v/>
      </c>
      <c r="Y1085" s="84"/>
      <c r="Z1085" s="64" t="str">
        <f>IF(AA1085&lt;&gt;0,VLOOKUP(AA1085,DM_DUAN,3,0),"")</f>
        <v>#N/A</v>
      </c>
      <c r="AA1085" s="70" t="s">
        <v>177</v>
      </c>
      <c r="AB1085" s="64" t="str">
        <f>IF(AC1085&lt;&gt;0,VLOOKUP(AC1085,DM_DUAN,3,0),"")</f>
        <v/>
      </c>
      <c r="AC1085" s="85"/>
      <c r="AD1085" s="64" t="str">
        <f>IF(AC1085&lt;&gt;0,VLOOKUP(AC1085,DM_NV,2,0),"")</f>
        <v/>
      </c>
      <c r="AE1085" s="68"/>
      <c r="AF1085" s="64" t="str">
        <f>IF(AE1085&lt;&gt;0,VLOOKUP(AE1085,DM_NV,2,0),"")</f>
        <v/>
      </c>
    </row>
    <row r="1086">
      <c r="A1086" s="51"/>
      <c r="B1086" s="52" t="str">
        <f>IF(D1086="","",VLOOKUP(D1086,'THAM CHIẾU'!$A:$B,2,0))</f>
        <v>#N/A</v>
      </c>
      <c r="C1086" s="53" t="str">
        <f t="shared" si="4"/>
        <v>04/2022</v>
      </c>
      <c r="D1086" s="99">
        <v>44681.0</v>
      </c>
      <c r="E1086" s="55" t="s">
        <v>1072</v>
      </c>
      <c r="F1086" s="56"/>
      <c r="G1086" s="57" t="s">
        <v>316</v>
      </c>
      <c r="H1086" s="58" t="str">
        <f>IF(G1086="","",VLOOKUP($G1086,'Quy chuẩn hạch toán'!$B:$E,2,0))</f>
        <v>911</v>
      </c>
      <c r="I1086" s="58" t="str">
        <f>IF(H1086="","",VLOOKUP($G1086,'Quy chuẩn hạch toán'!$B:$E,3,0))</f>
        <v>642</v>
      </c>
      <c r="J1086" s="59">
        <v>2.7824113E7</v>
      </c>
      <c r="K1086" s="60"/>
      <c r="L1086" s="61"/>
      <c r="M1086" s="62"/>
      <c r="N1086" s="63"/>
      <c r="O1086" s="64" t="str">
        <f>IF($Q1086&lt;&gt;0,VLOOKUP($Q1086,DM_KM,3,0),"")</f>
        <v/>
      </c>
      <c r="P1086" s="64" t="str">
        <f>IF($Q1086&lt;&gt;0,VLOOKUP($Q1086,DM_KM,5,0),"")</f>
        <v/>
      </c>
      <c r="Q1086" s="65"/>
      <c r="R1086" s="64" t="str">
        <f>IF(S1086&lt;&gt;0,VLOOKUP(S1086,DM_DUAN,3,0),"")</f>
        <v>#N/A</v>
      </c>
      <c r="S1086" s="66" t="str">
        <f>IF(U1086&lt;&gt;0,VLOOKUP(U1086,DM_DUAN,3,0),"")</f>
        <v/>
      </c>
      <c r="T1086" s="64"/>
      <c r="U1086" s="93"/>
      <c r="V1086" s="64" t="str">
        <f>IF(W1086&lt;&gt;0,VLOOKUP(W1086,DM_DUAN,3,0),"")</f>
        <v/>
      </c>
      <c r="W1086" s="68"/>
      <c r="X1086" s="64" t="str">
        <f>IF(Y1086&lt;&gt;0,VLOOKUP(Y1086,DM_DUAN,3,0),"")</f>
        <v/>
      </c>
      <c r="Y1086" s="84"/>
      <c r="Z1086" s="64" t="str">
        <f>IF(AA1086&lt;&gt;0,VLOOKUP(AA1086,DM_DUAN,3,0),"")</f>
        <v>#N/A</v>
      </c>
      <c r="AA1086" s="70" t="s">
        <v>210</v>
      </c>
      <c r="AB1086" s="64" t="str">
        <f>IF(AC1086&lt;&gt;0,VLOOKUP(AC1086,DM_DUAN,3,0),"")</f>
        <v/>
      </c>
      <c r="AC1086" s="85"/>
      <c r="AD1086" s="64" t="str">
        <f>IF(AC1086&lt;&gt;0,VLOOKUP(AC1086,DM_NV,2,0),"")</f>
        <v/>
      </c>
      <c r="AE1086" s="68"/>
      <c r="AF1086" s="64" t="str">
        <f>IF(AE1086&lt;&gt;0,VLOOKUP(AE1086,DM_NV,2,0),"")</f>
        <v/>
      </c>
    </row>
    <row r="1087">
      <c r="A1087" s="51"/>
      <c r="B1087" s="52" t="str">
        <f>IF(D1087="","",VLOOKUP(D1087,'THAM CHIẾU'!$A:$B,2,0))</f>
        <v>#N/A</v>
      </c>
      <c r="C1087" s="53" t="str">
        <f t="shared" si="4"/>
        <v>04/2022</v>
      </c>
      <c r="D1087" s="99">
        <v>44681.0</v>
      </c>
      <c r="E1087" s="55" t="s">
        <v>1073</v>
      </c>
      <c r="F1087" s="56"/>
      <c r="G1087" s="57" t="s">
        <v>316</v>
      </c>
      <c r="H1087" s="58" t="str">
        <f>IF(G1087="","",VLOOKUP($G1087,'Quy chuẩn hạch toán'!$B:$E,2,0))</f>
        <v>911</v>
      </c>
      <c r="I1087" s="58" t="str">
        <f>IF(H1087="","",VLOOKUP($G1087,'Quy chuẩn hạch toán'!$B:$E,3,0))</f>
        <v>642</v>
      </c>
      <c r="J1087" s="59">
        <v>2.535311E7</v>
      </c>
      <c r="K1087" s="60"/>
      <c r="L1087" s="61"/>
      <c r="M1087" s="62"/>
      <c r="N1087" s="63"/>
      <c r="O1087" s="64" t="str">
        <f>IF($Q1087&lt;&gt;0,VLOOKUP($Q1087,DM_KM,3,0),"")</f>
        <v/>
      </c>
      <c r="P1087" s="64" t="str">
        <f>IF($Q1087&lt;&gt;0,VLOOKUP($Q1087,DM_KM,5,0),"")</f>
        <v/>
      </c>
      <c r="Q1087" s="65"/>
      <c r="R1087" s="64" t="str">
        <f>IF(S1087&lt;&gt;0,VLOOKUP(S1087,DM_DUAN,3,0),"")</f>
        <v>#N/A</v>
      </c>
      <c r="S1087" s="66" t="str">
        <f>IF(U1087&lt;&gt;0,VLOOKUP(U1087,DM_DUAN,3,0),"")</f>
        <v/>
      </c>
      <c r="T1087" s="64"/>
      <c r="U1087" s="93"/>
      <c r="V1087" s="64" t="str">
        <f>IF(W1087&lt;&gt;0,VLOOKUP(W1087,DM_DUAN,3,0),"")</f>
        <v/>
      </c>
      <c r="W1087" s="68"/>
      <c r="X1087" s="64" t="str">
        <f>IF(Y1087&lt;&gt;0,VLOOKUP(Y1087,DM_DUAN,3,0),"")</f>
        <v/>
      </c>
      <c r="Y1087" s="84"/>
      <c r="Z1087" s="64" t="str">
        <f>IF(AA1087&lt;&gt;0,VLOOKUP(AA1087,DM_DUAN,3,0),"")</f>
        <v>#N/A</v>
      </c>
      <c r="AA1087" s="70" t="s">
        <v>705</v>
      </c>
      <c r="AB1087" s="64" t="str">
        <f>IF(AC1087&lt;&gt;0,VLOOKUP(AC1087,DM_DUAN,3,0),"")</f>
        <v/>
      </c>
      <c r="AC1087" s="85"/>
      <c r="AD1087" s="64" t="str">
        <f>IF(AC1087&lt;&gt;0,VLOOKUP(AC1087,DM_NV,2,0),"")</f>
        <v/>
      </c>
      <c r="AE1087" s="68"/>
      <c r="AF1087" s="64" t="str">
        <f>IF(AE1087&lt;&gt;0,VLOOKUP(AE1087,DM_NV,2,0),"")</f>
        <v/>
      </c>
    </row>
    <row r="1088">
      <c r="A1088" s="51"/>
      <c r="B1088" s="52" t="str">
        <f>IF(D1088="","",VLOOKUP(D1088,'THAM CHIẾU'!$A:$B,2,0))</f>
        <v>#N/A</v>
      </c>
      <c r="C1088" s="53" t="str">
        <f t="shared" si="4"/>
        <v>04/2022</v>
      </c>
      <c r="D1088" s="99">
        <v>44681.0</v>
      </c>
      <c r="E1088" s="55" t="s">
        <v>1074</v>
      </c>
      <c r="F1088" s="56"/>
      <c r="G1088" s="57" t="s">
        <v>316</v>
      </c>
      <c r="H1088" s="58" t="str">
        <f>IF(G1088="","",VLOOKUP($G1088,'Quy chuẩn hạch toán'!$B:$E,2,0))</f>
        <v>911</v>
      </c>
      <c r="I1088" s="58" t="str">
        <f>IF(H1088="","",VLOOKUP($G1088,'Quy chuẩn hạch toán'!$B:$E,3,0))</f>
        <v>642</v>
      </c>
      <c r="J1088" s="59">
        <v>611440.0</v>
      </c>
      <c r="K1088" s="60"/>
      <c r="L1088" s="61"/>
      <c r="M1088" s="62"/>
      <c r="N1088" s="63"/>
      <c r="O1088" s="64" t="str">
        <f>IF($Q1088&lt;&gt;0,VLOOKUP($Q1088,DM_KM,3,0),"")</f>
        <v/>
      </c>
      <c r="P1088" s="64" t="str">
        <f>IF($Q1088&lt;&gt;0,VLOOKUP($Q1088,DM_KM,5,0),"")</f>
        <v/>
      </c>
      <c r="Q1088" s="65"/>
      <c r="R1088" s="64" t="str">
        <f>IF(S1088&lt;&gt;0,VLOOKUP(S1088,DM_DUAN,3,0),"")</f>
        <v>#N/A</v>
      </c>
      <c r="S1088" s="66" t="str">
        <f>IF(U1088&lt;&gt;0,VLOOKUP(U1088,DM_DUAN,3,0),"")</f>
        <v/>
      </c>
      <c r="T1088" s="64"/>
      <c r="U1088" s="93"/>
      <c r="V1088" s="64" t="str">
        <f>IF(W1088&lt;&gt;0,VLOOKUP(W1088,DM_DUAN,3,0),"")</f>
        <v/>
      </c>
      <c r="W1088" s="68"/>
      <c r="X1088" s="64" t="str">
        <f>IF(Y1088&lt;&gt;0,VLOOKUP(Y1088,DM_DUAN,3,0),"")</f>
        <v/>
      </c>
      <c r="Y1088" s="84"/>
      <c r="Z1088" s="64" t="str">
        <f>IF(AA1088&lt;&gt;0,VLOOKUP(AA1088,DM_DUAN,3,0),"")</f>
        <v>#N/A</v>
      </c>
      <c r="AA1088" s="70" t="s">
        <v>810</v>
      </c>
      <c r="AB1088" s="64" t="str">
        <f>IF(AC1088&lt;&gt;0,VLOOKUP(AC1088,DM_DUAN,3,0),"")</f>
        <v/>
      </c>
      <c r="AC1088" s="85"/>
      <c r="AD1088" s="64" t="str">
        <f>IF(AC1088&lt;&gt;0,VLOOKUP(AC1088,DM_NV,2,0),"")</f>
        <v/>
      </c>
      <c r="AE1088" s="68"/>
      <c r="AF1088" s="64" t="str">
        <f>IF(AE1088&lt;&gt;0,VLOOKUP(AE1088,DM_NV,2,0),"")</f>
        <v/>
      </c>
    </row>
    <row r="1089">
      <c r="A1089" s="51"/>
      <c r="B1089" s="52" t="str">
        <f>IF(D1089="","",VLOOKUP(D1089,'THAM CHIẾU'!$A:$B,2,0))</f>
        <v>#N/A</v>
      </c>
      <c r="C1089" s="53" t="str">
        <f t="shared" si="4"/>
        <v>04/2022</v>
      </c>
      <c r="D1089" s="99">
        <v>44681.0</v>
      </c>
      <c r="E1089" s="55" t="s">
        <v>1075</v>
      </c>
      <c r="F1089" s="108"/>
      <c r="G1089" s="109" t="s">
        <v>328</v>
      </c>
      <c r="H1089" s="58" t="str">
        <f>IF(G1089="","",VLOOKUP($G1089,'Quy chuẩn hạch toán'!$B:$E,2,0))</f>
        <v>5113</v>
      </c>
      <c r="I1089" s="58" t="str">
        <f>IF(H1089="","",VLOOKUP($G1089,'Quy chuẩn hạch toán'!$B:$E,3,0))</f>
        <v>911</v>
      </c>
      <c r="J1089" s="59">
        <v>1.312E9</v>
      </c>
      <c r="K1089" s="60"/>
      <c r="L1089" s="61"/>
      <c r="M1089" s="62"/>
      <c r="N1089" s="63"/>
      <c r="O1089" s="64" t="str">
        <f>IF($Q1089&lt;&gt;0,VLOOKUP($Q1089,DM_KM,3,0),"")</f>
        <v/>
      </c>
      <c r="P1089" s="64" t="str">
        <f>IF($Q1089&lt;&gt;0,VLOOKUP($Q1089,DM_KM,5,0),"")</f>
        <v/>
      </c>
      <c r="Q1089" s="65"/>
      <c r="R1089" s="64" t="str">
        <f>IF(S1089&lt;&gt;0,VLOOKUP(S1089,DM_DUAN,3,0),"")</f>
        <v>#N/A</v>
      </c>
      <c r="S1089" s="66" t="str">
        <f>IF(U1089&lt;&gt;0,VLOOKUP(U1089,DM_DUAN,3,0),"")</f>
        <v/>
      </c>
      <c r="T1089" s="64"/>
      <c r="U1089" s="93"/>
      <c r="V1089" s="64" t="str">
        <f>IF(W1089&lt;&gt;0,VLOOKUP(W1089,DM_DUAN,3,0),"")</f>
        <v/>
      </c>
      <c r="W1089" s="68"/>
      <c r="X1089" s="64" t="str">
        <f>IF(Y1089&lt;&gt;0,VLOOKUP(Y1089,DM_DUAN,3,0),"")</f>
        <v/>
      </c>
      <c r="Y1089" s="84"/>
      <c r="Z1089" s="64" t="str">
        <f>IF(AA1089&lt;&gt;0,VLOOKUP(AA1089,DM_DUAN,3,0),"")</f>
        <v>#N/A</v>
      </c>
      <c r="AA1089" s="70" t="s">
        <v>177</v>
      </c>
      <c r="AB1089" s="64" t="str">
        <f>IF(AC1089&lt;&gt;0,VLOOKUP(AC1089,DM_DUAN,3,0),"")</f>
        <v/>
      </c>
      <c r="AC1089" s="85"/>
      <c r="AD1089" s="64" t="str">
        <f>IF(AC1089&lt;&gt;0,VLOOKUP(AC1089,DM_NV,2,0),"")</f>
        <v/>
      </c>
      <c r="AE1089" s="68"/>
      <c r="AF1089" s="64" t="str">
        <f>IF(AE1089&lt;&gt;0,VLOOKUP(AE1089,DM_NV,2,0),"")</f>
        <v/>
      </c>
    </row>
    <row r="1090">
      <c r="A1090" s="51"/>
      <c r="B1090" s="52" t="str">
        <f>IF(D1090="","",VLOOKUP(D1090,'THAM CHIẾU'!$A:$B,2,0))</f>
        <v>#N/A</v>
      </c>
      <c r="C1090" s="53" t="str">
        <f t="shared" si="4"/>
        <v>04/2022</v>
      </c>
      <c r="D1090" s="99">
        <v>44681.0</v>
      </c>
      <c r="E1090" s="55" t="s">
        <v>1076</v>
      </c>
      <c r="F1090" s="108"/>
      <c r="G1090" s="109" t="s">
        <v>328</v>
      </c>
      <c r="H1090" s="58" t="str">
        <f>IF(G1090="","",VLOOKUP($G1090,'Quy chuẩn hạch toán'!$B:$E,2,0))</f>
        <v>5113</v>
      </c>
      <c r="I1090" s="58" t="str">
        <f>IF(H1090="","",VLOOKUP($G1090,'Quy chuẩn hạch toán'!$B:$E,3,0))</f>
        <v>911</v>
      </c>
      <c r="J1090" s="59">
        <v>7.8184E8</v>
      </c>
      <c r="K1090" s="60"/>
      <c r="L1090" s="61"/>
      <c r="M1090" s="62"/>
      <c r="N1090" s="63"/>
      <c r="O1090" s="64" t="str">
        <f>IF($Q1090&lt;&gt;0,VLOOKUP($Q1090,DM_KM,3,0),"")</f>
        <v/>
      </c>
      <c r="P1090" s="64" t="str">
        <f>IF($Q1090&lt;&gt;0,VLOOKUP($Q1090,DM_KM,5,0),"")</f>
        <v/>
      </c>
      <c r="Q1090" s="65"/>
      <c r="R1090" s="64" t="str">
        <f>IF(S1090&lt;&gt;0,VLOOKUP(S1090,DM_DUAN,3,0),"")</f>
        <v>#N/A</v>
      </c>
      <c r="S1090" s="66" t="str">
        <f>IF(U1090&lt;&gt;0,VLOOKUP(U1090,DM_DUAN,3,0),"")</f>
        <v/>
      </c>
      <c r="T1090" s="64"/>
      <c r="U1090" s="93"/>
      <c r="V1090" s="64" t="str">
        <f>IF(W1090&lt;&gt;0,VLOOKUP(W1090,DM_DUAN,3,0),"")</f>
        <v/>
      </c>
      <c r="W1090" s="68"/>
      <c r="X1090" s="64" t="str">
        <f>IF(Y1090&lt;&gt;0,VLOOKUP(Y1090,DM_DUAN,3,0),"")</f>
        <v/>
      </c>
      <c r="Y1090" s="84"/>
      <c r="Z1090" s="64" t="str">
        <f>IF(AA1090&lt;&gt;0,VLOOKUP(AA1090,DM_DUAN,3,0),"")</f>
        <v>#N/A</v>
      </c>
      <c r="AA1090" s="70" t="s">
        <v>183</v>
      </c>
      <c r="AB1090" s="64" t="str">
        <f>IF(AC1090&lt;&gt;0,VLOOKUP(AC1090,DM_DUAN,3,0),"")</f>
        <v/>
      </c>
      <c r="AC1090" s="85"/>
      <c r="AD1090" s="64" t="str">
        <f>IF(AC1090&lt;&gt;0,VLOOKUP(AC1090,DM_NV,2,0),"")</f>
        <v/>
      </c>
      <c r="AE1090" s="68"/>
      <c r="AF1090" s="64" t="str">
        <f>IF(AE1090&lt;&gt;0,VLOOKUP(AE1090,DM_NV,2,0),"")</f>
        <v/>
      </c>
    </row>
    <row r="1091">
      <c r="A1091" s="51"/>
      <c r="B1091" s="52" t="str">
        <f>IF(D1091="","",VLOOKUP(D1091,'THAM CHIẾU'!$A:$B,2,0))</f>
        <v>#N/A</v>
      </c>
      <c r="C1091" s="53" t="str">
        <f t="shared" si="4"/>
        <v>04/2022</v>
      </c>
      <c r="D1091" s="99">
        <v>44681.0</v>
      </c>
      <c r="E1091" s="55" t="s">
        <v>1077</v>
      </c>
      <c r="F1091" s="108"/>
      <c r="G1091" s="109" t="s">
        <v>328</v>
      </c>
      <c r="H1091" s="58" t="str">
        <f>IF(G1091="","",VLOOKUP($G1091,'Quy chuẩn hạch toán'!$B:$E,2,0))</f>
        <v>5113</v>
      </c>
      <c r="I1091" s="58" t="str">
        <f>IF(H1091="","",VLOOKUP($G1091,'Quy chuẩn hạch toán'!$B:$E,3,0))</f>
        <v>911</v>
      </c>
      <c r="J1091" s="59">
        <v>5.072E8</v>
      </c>
      <c r="K1091" s="60"/>
      <c r="L1091" s="61"/>
      <c r="M1091" s="62"/>
      <c r="N1091" s="63"/>
      <c r="O1091" s="64" t="str">
        <f>IF($Q1091&lt;&gt;0,VLOOKUP($Q1091,DM_KM,3,0),"")</f>
        <v/>
      </c>
      <c r="P1091" s="64" t="str">
        <f>IF($Q1091&lt;&gt;0,VLOOKUP($Q1091,DM_KM,5,0),"")</f>
        <v/>
      </c>
      <c r="Q1091" s="65"/>
      <c r="R1091" s="64" t="str">
        <f>IF(S1091&lt;&gt;0,VLOOKUP(S1091,DM_DUAN,3,0),"")</f>
        <v>#N/A</v>
      </c>
      <c r="S1091" s="66" t="str">
        <f>IF(U1091&lt;&gt;0,VLOOKUP(U1091,DM_DUAN,3,0),"")</f>
        <v/>
      </c>
      <c r="T1091" s="64"/>
      <c r="U1091" s="93"/>
      <c r="V1091" s="64" t="str">
        <f>IF(W1091&lt;&gt;0,VLOOKUP(W1091,DM_DUAN,3,0),"")</f>
        <v/>
      </c>
      <c r="W1091" s="68"/>
      <c r="X1091" s="64" t="str">
        <f>IF(Y1091&lt;&gt;0,VLOOKUP(Y1091,DM_DUAN,3,0),"")</f>
        <v/>
      </c>
      <c r="Y1091" s="84"/>
      <c r="Z1091" s="64" t="str">
        <f>IF(AA1091&lt;&gt;0,VLOOKUP(AA1091,DM_DUAN,3,0),"")</f>
        <v>#N/A</v>
      </c>
      <c r="AA1091" s="70" t="s">
        <v>705</v>
      </c>
      <c r="AB1091" s="64" t="str">
        <f>IF(AC1091&lt;&gt;0,VLOOKUP(AC1091,DM_DUAN,3,0),"")</f>
        <v/>
      </c>
      <c r="AC1091" s="85"/>
      <c r="AD1091" s="64" t="str">
        <f>IF(AC1091&lt;&gt;0,VLOOKUP(AC1091,DM_NV,2,0),"")</f>
        <v/>
      </c>
      <c r="AE1091" s="68"/>
      <c r="AF1091" s="64" t="str">
        <f>IF(AE1091&lt;&gt;0,VLOOKUP(AE1091,DM_NV,2,0),"")</f>
        <v/>
      </c>
    </row>
    <row r="1092">
      <c r="A1092" s="51"/>
      <c r="B1092" s="52"/>
      <c r="C1092" s="53"/>
      <c r="D1092" s="99">
        <v>44681.0</v>
      </c>
      <c r="E1092" s="55" t="s">
        <v>1078</v>
      </c>
      <c r="F1092" s="56"/>
      <c r="G1092" s="57" t="s">
        <v>361</v>
      </c>
      <c r="H1092" s="58" t="str">
        <f>IF(G1092="","",VLOOKUP($G1092,'Quy chuẩn hạch toán'!$B:$E,2,0))</f>
        <v>#N/A</v>
      </c>
      <c r="I1092" s="58" t="str">
        <f>IF(H1092="","",VLOOKUP($G1092,'Quy chuẩn hạch toán'!$B:$E,3,0))</f>
        <v>#N/A</v>
      </c>
      <c r="J1092" s="59">
        <v>1.03074469E8</v>
      </c>
      <c r="K1092" s="60"/>
      <c r="L1092" s="61"/>
      <c r="M1092" s="62"/>
      <c r="N1092" s="63"/>
      <c r="O1092" s="64" t="str">
        <f>IF($Q1092&lt;&gt;0,VLOOKUP($Q1092,DM_KM,3,0),"")</f>
        <v/>
      </c>
      <c r="P1092" s="64" t="str">
        <f>IF($Q1092&lt;&gt;0,VLOOKUP($Q1092,DM_KM,5,0),"")</f>
        <v/>
      </c>
      <c r="Q1092" s="89"/>
      <c r="R1092" s="64" t="str">
        <f>IF(S1092&lt;&gt;0,VLOOKUP(S1092,DM_DUAN,3,0),"")</f>
        <v>#N/A</v>
      </c>
      <c r="S1092" s="66" t="str">
        <f>IF(U1092&lt;&gt;0,VLOOKUP(U1092,DM_DUAN,3,0),"")</f>
        <v/>
      </c>
      <c r="T1092" s="64"/>
      <c r="U1092" s="93"/>
      <c r="V1092" s="64" t="str">
        <f>IF(W1092&lt;&gt;0,VLOOKUP(W1092,DM_DUAN,3,0),"")</f>
        <v/>
      </c>
      <c r="W1092" s="68"/>
      <c r="X1092" s="64" t="str">
        <f>IF(Y1092&lt;&gt;0,VLOOKUP(Y1092,DM_DUAN,3,0),"")</f>
        <v/>
      </c>
      <c r="Y1092" s="84"/>
      <c r="Z1092" s="64" t="str">
        <f>IF(AA1092&lt;&gt;0,VLOOKUP(AA1092,DM_DUAN,3,0),"")</f>
        <v>#N/A</v>
      </c>
      <c r="AA1092" s="70" t="s">
        <v>183</v>
      </c>
      <c r="AB1092" s="64" t="str">
        <f>IF(AC1092&lt;&gt;0,VLOOKUP(AC1092,DM_DUAN,3,0),"")</f>
        <v>#N/A</v>
      </c>
      <c r="AC1092" s="70" t="s">
        <v>191</v>
      </c>
      <c r="AD1092" s="64" t="str">
        <f>IF(AC1092&lt;&gt;0,VLOOKUP(AC1092,DM_NV,2,0),"")</f>
        <v>Nguyễn Anh Vy</v>
      </c>
      <c r="AE1092" s="83"/>
      <c r="AF1092" s="64" t="str">
        <f>IF(AE1092&lt;&gt;0,VLOOKUP(AE1092,DM_NV,2,0),"")</f>
        <v/>
      </c>
    </row>
    <row r="1093">
      <c r="A1093" s="51"/>
      <c r="B1093" s="52"/>
      <c r="C1093" s="53"/>
      <c r="D1093" s="99">
        <v>44681.0</v>
      </c>
      <c r="E1093" s="55" t="s">
        <v>1079</v>
      </c>
      <c r="F1093" s="56"/>
      <c r="G1093" s="57" t="s">
        <v>361</v>
      </c>
      <c r="H1093" s="58" t="str">
        <f>IF(G1093="","",VLOOKUP($G1093,'Quy chuẩn hạch toán'!$B:$E,2,0))</f>
        <v>#N/A</v>
      </c>
      <c r="I1093" s="58" t="str">
        <f>IF(H1093="","",VLOOKUP($G1093,'Quy chuẩn hạch toán'!$B:$E,3,0))</f>
        <v>#N/A</v>
      </c>
      <c r="J1093" s="59">
        <v>1.0728159E8</v>
      </c>
      <c r="K1093" s="60"/>
      <c r="L1093" s="61"/>
      <c r="M1093" s="62"/>
      <c r="N1093" s="63"/>
      <c r="O1093" s="64" t="str">
        <f>IF($Q1093&lt;&gt;0,VLOOKUP($Q1093,DM_KM,3,0),"")</f>
        <v/>
      </c>
      <c r="P1093" s="64" t="str">
        <f>IF($Q1093&lt;&gt;0,VLOOKUP($Q1093,DM_KM,5,0),"")</f>
        <v/>
      </c>
      <c r="Q1093" s="89"/>
      <c r="R1093" s="64" t="str">
        <f>IF(S1093&lt;&gt;0,VLOOKUP(S1093,DM_DUAN,3,0),"")</f>
        <v>#N/A</v>
      </c>
      <c r="S1093" s="66" t="str">
        <f>IF(U1093&lt;&gt;0,VLOOKUP(U1093,DM_DUAN,3,0),"")</f>
        <v/>
      </c>
      <c r="T1093" s="64"/>
      <c r="U1093" s="93"/>
      <c r="V1093" s="64" t="str">
        <f>IF(W1093&lt;&gt;0,VLOOKUP(W1093,DM_DUAN,3,0),"")</f>
        <v/>
      </c>
      <c r="W1093" s="68"/>
      <c r="X1093" s="64" t="str">
        <f>IF(Y1093&lt;&gt;0,VLOOKUP(Y1093,DM_DUAN,3,0),"")</f>
        <v/>
      </c>
      <c r="Y1093" s="84"/>
      <c r="Z1093" s="64" t="str">
        <f>IF(AA1093&lt;&gt;0,VLOOKUP(AA1093,DM_DUAN,3,0),"")</f>
        <v>#N/A</v>
      </c>
      <c r="AA1093" s="70" t="s">
        <v>183</v>
      </c>
      <c r="AB1093" s="64" t="str">
        <f>IF(AC1093&lt;&gt;0,VLOOKUP(AC1093,DM_DUAN,3,0),"")</f>
        <v>#N/A</v>
      </c>
      <c r="AC1093" s="70" t="s">
        <v>335</v>
      </c>
      <c r="AD1093" s="64" t="str">
        <f>IF(AC1093&lt;&gt;0,VLOOKUP(AC1093,DM_NV,2,0),"")</f>
        <v>Trần Phước Thành</v>
      </c>
      <c r="AE1093" s="83"/>
      <c r="AF1093" s="64" t="str">
        <f>IF(AE1093&lt;&gt;0,VLOOKUP(AE1093,DM_NV,2,0),"")</f>
        <v/>
      </c>
    </row>
    <row r="1094">
      <c r="A1094" s="51"/>
      <c r="B1094" s="52"/>
      <c r="C1094" s="53"/>
      <c r="D1094" s="99">
        <v>44681.0</v>
      </c>
      <c r="E1094" s="55" t="s">
        <v>1080</v>
      </c>
      <c r="F1094" s="56"/>
      <c r="G1094" s="57" t="s">
        <v>361</v>
      </c>
      <c r="H1094" s="58" t="str">
        <f>IF(G1094="","",VLOOKUP($G1094,'Quy chuẩn hạch toán'!$B:$E,2,0))</f>
        <v>#N/A</v>
      </c>
      <c r="I1094" s="58" t="str">
        <f>IF(H1094="","",VLOOKUP($G1094,'Quy chuẩn hạch toán'!$B:$E,3,0))</f>
        <v>#N/A</v>
      </c>
      <c r="J1094" s="59">
        <v>3.42700304E8</v>
      </c>
      <c r="K1094" s="60"/>
      <c r="L1094" s="61"/>
      <c r="M1094" s="62"/>
      <c r="N1094" s="63"/>
      <c r="O1094" s="64" t="str">
        <f>IF($Q1094&lt;&gt;0,VLOOKUP($Q1094,DM_KM,3,0),"")</f>
        <v/>
      </c>
      <c r="P1094" s="64" t="str">
        <f>IF($Q1094&lt;&gt;0,VLOOKUP($Q1094,DM_KM,5,0),"")</f>
        <v/>
      </c>
      <c r="Q1094" s="89"/>
      <c r="R1094" s="64" t="str">
        <f>IF(S1094&lt;&gt;0,VLOOKUP(S1094,DM_DUAN,3,0),"")</f>
        <v>#N/A</v>
      </c>
      <c r="S1094" s="66" t="str">
        <f>IF(U1094&lt;&gt;0,VLOOKUP(U1094,DM_DUAN,3,0),"")</f>
        <v/>
      </c>
      <c r="T1094" s="64"/>
      <c r="U1094" s="93"/>
      <c r="V1094" s="64" t="str">
        <f>IF(W1094&lt;&gt;0,VLOOKUP(W1094,DM_DUAN,3,0),"")</f>
        <v/>
      </c>
      <c r="W1094" s="68"/>
      <c r="X1094" s="64" t="str">
        <f>IF(Y1094&lt;&gt;0,VLOOKUP(Y1094,DM_DUAN,3,0),"")</f>
        <v/>
      </c>
      <c r="Y1094" s="84"/>
      <c r="Z1094" s="64" t="str">
        <f>IF(AA1094&lt;&gt;0,VLOOKUP(AA1094,DM_DUAN,3,0),"")</f>
        <v>#N/A</v>
      </c>
      <c r="AA1094" s="70" t="s">
        <v>177</v>
      </c>
      <c r="AB1094" s="64" t="str">
        <f>IF(AC1094&lt;&gt;0,VLOOKUP(AC1094,DM_DUAN,3,0),"")</f>
        <v>#N/A</v>
      </c>
      <c r="AC1094" s="70" t="s">
        <v>178</v>
      </c>
      <c r="AD1094" s="64" t="str">
        <f>IF(AC1094&lt;&gt;0,VLOOKUP(AC1094,DM_NV,2,0),"")</f>
        <v>Lê Hoàng Quân</v>
      </c>
      <c r="AE1094" s="83"/>
      <c r="AF1094" s="64" t="str">
        <f>IF(AE1094&lt;&gt;0,VLOOKUP(AE1094,DM_NV,2,0),"")</f>
        <v/>
      </c>
    </row>
    <row r="1095">
      <c r="A1095" s="51"/>
      <c r="B1095" s="52"/>
      <c r="C1095" s="53"/>
      <c r="D1095" s="99">
        <v>44681.0</v>
      </c>
      <c r="E1095" s="55" t="s">
        <v>1081</v>
      </c>
      <c r="F1095" s="56"/>
      <c r="G1095" s="57" t="s">
        <v>361</v>
      </c>
      <c r="H1095" s="58" t="str">
        <f>IF(G1095="","",VLOOKUP($G1095,'Quy chuẩn hạch toán'!$B:$E,2,0))</f>
        <v>#N/A</v>
      </c>
      <c r="I1095" s="58" t="str">
        <f>IF(H1095="","",VLOOKUP($G1095,'Quy chuẩn hạch toán'!$B:$E,3,0))</f>
        <v>#N/A</v>
      </c>
      <c r="J1095" s="59">
        <v>3.56688572E8</v>
      </c>
      <c r="K1095" s="60"/>
      <c r="L1095" s="61"/>
      <c r="M1095" s="62"/>
      <c r="N1095" s="63"/>
      <c r="O1095" s="64" t="str">
        <f>IF($Q1095&lt;&gt;0,VLOOKUP($Q1095,DM_KM,3,0),"")</f>
        <v/>
      </c>
      <c r="P1095" s="64" t="str">
        <f>IF($Q1095&lt;&gt;0,VLOOKUP($Q1095,DM_KM,5,0),"")</f>
        <v/>
      </c>
      <c r="Q1095" s="89"/>
      <c r="R1095" s="64" t="str">
        <f>IF(S1095&lt;&gt;0,VLOOKUP(S1095,DM_DUAN,3,0),"")</f>
        <v>#N/A</v>
      </c>
      <c r="S1095" s="66" t="str">
        <f>IF(U1095&lt;&gt;0,VLOOKUP(U1095,DM_DUAN,3,0),"")</f>
        <v/>
      </c>
      <c r="T1095" s="64"/>
      <c r="U1095" s="93"/>
      <c r="V1095" s="64" t="str">
        <f>IF(W1095&lt;&gt;0,VLOOKUP(W1095,DM_DUAN,3,0),"")</f>
        <v/>
      </c>
      <c r="W1095" s="68"/>
      <c r="X1095" s="64" t="str">
        <f>IF(Y1095&lt;&gt;0,VLOOKUP(Y1095,DM_DUAN,3,0),"")</f>
        <v/>
      </c>
      <c r="Y1095" s="84"/>
      <c r="Z1095" s="64" t="str">
        <f>IF(AA1095&lt;&gt;0,VLOOKUP(AA1095,DM_DUAN,3,0),"")</f>
        <v>#N/A</v>
      </c>
      <c r="AA1095" s="70" t="s">
        <v>177</v>
      </c>
      <c r="AB1095" s="64" t="str">
        <f>IF(AC1095&lt;&gt;0,VLOOKUP(AC1095,DM_DUAN,3,0),"")</f>
        <v>#N/A</v>
      </c>
      <c r="AC1095" s="70" t="s">
        <v>335</v>
      </c>
      <c r="AD1095" s="64" t="str">
        <f>IF(AC1095&lt;&gt;0,VLOOKUP(AC1095,DM_NV,2,0),"")</f>
        <v>Trần Phước Thành</v>
      </c>
      <c r="AE1095" s="83"/>
      <c r="AF1095" s="64" t="str">
        <f>IF(AE1095&lt;&gt;0,VLOOKUP(AE1095,DM_NV,2,0),"")</f>
        <v/>
      </c>
    </row>
    <row r="1096">
      <c r="A1096" s="51"/>
      <c r="B1096" s="52"/>
      <c r="C1096" s="53"/>
      <c r="D1096" s="99">
        <v>44681.0</v>
      </c>
      <c r="E1096" s="55" t="s">
        <v>1082</v>
      </c>
      <c r="F1096" s="56"/>
      <c r="G1096" s="57" t="s">
        <v>361</v>
      </c>
      <c r="H1096" s="58" t="str">
        <f>IF(G1096="","",VLOOKUP($G1096,'Quy chuẩn hạch toán'!$B:$E,2,0))</f>
        <v>#N/A</v>
      </c>
      <c r="I1096" s="58" t="str">
        <f>IF(H1096="","",VLOOKUP($G1096,'Quy chuẩn hạch toán'!$B:$E,3,0))</f>
        <v>#N/A</v>
      </c>
      <c r="J1096" s="59">
        <v>-4.4617943E7</v>
      </c>
      <c r="K1096" s="60"/>
      <c r="L1096" s="61"/>
      <c r="M1096" s="62"/>
      <c r="N1096" s="63"/>
      <c r="O1096" s="64" t="str">
        <f>IF($Q1096&lt;&gt;0,VLOOKUP($Q1096,DM_KM,3,0),"")</f>
        <v/>
      </c>
      <c r="P1096" s="64" t="str">
        <f>IF($Q1096&lt;&gt;0,VLOOKUP($Q1096,DM_KM,5,0),"")</f>
        <v/>
      </c>
      <c r="Q1096" s="89"/>
      <c r="R1096" s="64" t="str">
        <f>IF(S1096&lt;&gt;0,VLOOKUP(S1096,DM_DUAN,3,0),"")</f>
        <v>#N/A</v>
      </c>
      <c r="S1096" s="66" t="str">
        <f>IF(U1096&lt;&gt;0,VLOOKUP(U1096,DM_DUAN,3,0),"")</f>
        <v/>
      </c>
      <c r="T1096" s="64"/>
      <c r="U1096" s="93"/>
      <c r="V1096" s="64" t="str">
        <f>IF(W1096&lt;&gt;0,VLOOKUP(W1096,DM_DUAN,3,0),"")</f>
        <v/>
      </c>
      <c r="W1096" s="68"/>
      <c r="X1096" s="64" t="str">
        <f>IF(Y1096&lt;&gt;0,VLOOKUP(Y1096,DM_DUAN,3,0),"")</f>
        <v/>
      </c>
      <c r="Y1096" s="84"/>
      <c r="Z1096" s="64" t="str">
        <f>IF(AA1096&lt;&gt;0,VLOOKUP(AA1096,DM_DUAN,3,0),"")</f>
        <v>#N/A</v>
      </c>
      <c r="AA1096" s="70" t="s">
        <v>210</v>
      </c>
      <c r="AB1096" s="64" t="str">
        <f>IF(AC1096&lt;&gt;0,VLOOKUP(AC1096,DM_DUAN,3,0),"")</f>
        <v>#N/A</v>
      </c>
      <c r="AC1096" s="70" t="s">
        <v>436</v>
      </c>
      <c r="AD1096" s="64" t="str">
        <f>IF(AC1096&lt;&gt;0,VLOOKUP(AC1096,DM_NV,2,0),"")</f>
        <v>Đinh Hoàng Nam</v>
      </c>
      <c r="AE1096" s="83"/>
      <c r="AF1096" s="64" t="str">
        <f>IF(AE1096&lt;&gt;0,VLOOKUP(AE1096,DM_NV,2,0),"")</f>
        <v/>
      </c>
    </row>
    <row r="1097">
      <c r="A1097" s="51"/>
      <c r="B1097" s="52"/>
      <c r="C1097" s="53"/>
      <c r="D1097" s="99">
        <v>44681.0</v>
      </c>
      <c r="E1097" s="55" t="s">
        <v>1083</v>
      </c>
      <c r="F1097" s="56"/>
      <c r="G1097" s="57" t="s">
        <v>361</v>
      </c>
      <c r="H1097" s="58" t="str">
        <f>IF(G1097="","",VLOOKUP($G1097,'Quy chuẩn hạch toán'!$B:$E,2,0))</f>
        <v>#N/A</v>
      </c>
      <c r="I1097" s="58" t="str">
        <f>IF(H1097="","",VLOOKUP($G1097,'Quy chuẩn hạch toán'!$B:$E,3,0))</f>
        <v>#N/A</v>
      </c>
      <c r="J1097" s="59">
        <v>-4.6439084E7</v>
      </c>
      <c r="K1097" s="60"/>
      <c r="L1097" s="61"/>
      <c r="M1097" s="62"/>
      <c r="N1097" s="63"/>
      <c r="O1097" s="64" t="str">
        <f>IF($Q1097&lt;&gt;0,VLOOKUP($Q1097,DM_KM,3,0),"")</f>
        <v/>
      </c>
      <c r="P1097" s="64" t="str">
        <f>IF($Q1097&lt;&gt;0,VLOOKUP($Q1097,DM_KM,5,0),"")</f>
        <v/>
      </c>
      <c r="Q1097" s="89"/>
      <c r="R1097" s="64" t="str">
        <f>IF(S1097&lt;&gt;0,VLOOKUP(S1097,DM_DUAN,3,0),"")</f>
        <v>#N/A</v>
      </c>
      <c r="S1097" s="66" t="str">
        <f>IF(U1097&lt;&gt;0,VLOOKUP(U1097,DM_DUAN,3,0),"")</f>
        <v/>
      </c>
      <c r="T1097" s="64"/>
      <c r="U1097" s="93"/>
      <c r="V1097" s="64" t="str">
        <f>IF(W1097&lt;&gt;0,VLOOKUP(W1097,DM_DUAN,3,0),"")</f>
        <v/>
      </c>
      <c r="W1097" s="68"/>
      <c r="X1097" s="64" t="str">
        <f>IF(Y1097&lt;&gt;0,VLOOKUP(Y1097,DM_DUAN,3,0),"")</f>
        <v/>
      </c>
      <c r="Y1097" s="84"/>
      <c r="Z1097" s="64" t="str">
        <f>IF(AA1097&lt;&gt;0,VLOOKUP(AA1097,DM_DUAN,3,0),"")</f>
        <v>#N/A</v>
      </c>
      <c r="AA1097" s="70" t="s">
        <v>210</v>
      </c>
      <c r="AB1097" s="64" t="str">
        <f>IF(AC1097&lt;&gt;0,VLOOKUP(AC1097,DM_DUAN,3,0),"")</f>
        <v>#N/A</v>
      </c>
      <c r="AC1097" s="70" t="s">
        <v>335</v>
      </c>
      <c r="AD1097" s="64" t="str">
        <f>IF(AC1097&lt;&gt;0,VLOOKUP(AC1097,DM_NV,2,0),"")</f>
        <v>Trần Phước Thành</v>
      </c>
      <c r="AE1097" s="83"/>
      <c r="AF1097" s="64" t="str">
        <f>IF(AE1097&lt;&gt;0,VLOOKUP(AE1097,DM_NV,2,0),"")</f>
        <v/>
      </c>
    </row>
    <row r="1098">
      <c r="A1098" s="51"/>
      <c r="B1098" s="52"/>
      <c r="C1098" s="53"/>
      <c r="D1098" s="99">
        <v>44681.0</v>
      </c>
      <c r="E1098" s="55" t="s">
        <v>1084</v>
      </c>
      <c r="F1098" s="56"/>
      <c r="G1098" s="57" t="s">
        <v>361</v>
      </c>
      <c r="H1098" s="58" t="str">
        <f>IF(G1098="","",VLOOKUP($G1098,'Quy chuẩn hạch toán'!$B:$E,2,0))</f>
        <v>#N/A</v>
      </c>
      <c r="I1098" s="58" t="str">
        <f>IF(H1098="","",VLOOKUP($G1098,'Quy chuẩn hạch toán'!$B:$E,3,0))</f>
        <v>#N/A</v>
      </c>
      <c r="J1098" s="59">
        <v>2.10472437E8</v>
      </c>
      <c r="K1098" s="60"/>
      <c r="L1098" s="61"/>
      <c r="M1098" s="62"/>
      <c r="N1098" s="63"/>
      <c r="O1098" s="64"/>
      <c r="P1098" s="64"/>
      <c r="Q1098" s="89"/>
      <c r="R1098" s="64"/>
      <c r="S1098" s="66"/>
      <c r="T1098" s="64"/>
      <c r="U1098" s="93"/>
      <c r="V1098" s="64"/>
      <c r="W1098" s="68"/>
      <c r="X1098" s="64"/>
      <c r="Y1098" s="84"/>
      <c r="Z1098" s="64"/>
      <c r="AA1098" s="70" t="s">
        <v>705</v>
      </c>
      <c r="AB1098" s="64"/>
      <c r="AC1098" s="70" t="s">
        <v>335</v>
      </c>
      <c r="AD1098" s="64" t="str">
        <f>IF(AC1098&lt;&gt;0,VLOOKUP(AC1098,DM_NV,2,0),"")</f>
        <v>Trần Phước Thành</v>
      </c>
      <c r="AE1098" s="83"/>
      <c r="AF1098" s="64" t="str">
        <f>IF(AE1098&lt;&gt;0,VLOOKUP(AE1098,DM_NV,2,0),"")</f>
        <v/>
      </c>
    </row>
    <row r="1099">
      <c r="A1099" s="51"/>
      <c r="B1099" s="52"/>
      <c r="C1099" s="53"/>
      <c r="D1099" s="99">
        <v>44681.0</v>
      </c>
      <c r="E1099" s="55" t="s">
        <v>1085</v>
      </c>
      <c r="F1099" s="56"/>
      <c r="G1099" s="57" t="s">
        <v>361</v>
      </c>
      <c r="H1099" s="58" t="str">
        <f>IF(G1099="","",VLOOKUP($G1099,'Quy chuẩn hạch toán'!$B:$E,2,0))</f>
        <v>#N/A</v>
      </c>
      <c r="I1099" s="58" t="str">
        <f>IF(H1099="","",VLOOKUP($G1099,'Quy chuẩn hạch toán'!$B:$E,3,0))</f>
        <v>#N/A</v>
      </c>
      <c r="J1099" s="59">
        <v>-1.808544E7</v>
      </c>
      <c r="K1099" s="60"/>
      <c r="L1099" s="61"/>
      <c r="M1099" s="62"/>
      <c r="N1099" s="63"/>
      <c r="O1099" s="64"/>
      <c r="P1099" s="64"/>
      <c r="Q1099" s="89"/>
      <c r="R1099" s="64"/>
      <c r="S1099" s="66"/>
      <c r="T1099" s="64"/>
      <c r="U1099" s="93"/>
      <c r="V1099" s="64"/>
      <c r="W1099" s="68"/>
      <c r="X1099" s="64"/>
      <c r="Y1099" s="84"/>
      <c r="Z1099" s="64"/>
      <c r="AA1099" s="70" t="s">
        <v>810</v>
      </c>
      <c r="AB1099" s="64"/>
      <c r="AC1099" s="70" t="s">
        <v>335</v>
      </c>
      <c r="AD1099" s="64" t="str">
        <f>IF(AC1099&lt;&gt;0,VLOOKUP(AC1099,DM_NV,2,0),"")</f>
        <v>Trần Phước Thành</v>
      </c>
      <c r="AE1099" s="83"/>
      <c r="AF1099" s="64" t="str">
        <f>IF(AE1099&lt;&gt;0,VLOOKUP(AE1099,DM_NV,2,0),"")</f>
        <v/>
      </c>
    </row>
    <row r="1100">
      <c r="A1100" s="51"/>
      <c r="B1100" s="52" t="str">
        <f>IF(D1100="","",VLOOKUP(D1100,'THAM CHIẾU'!$A:$B,2,0))</f>
        <v>#N/A</v>
      </c>
      <c r="C1100" s="53" t="str">
        <f t="shared" ref="C1100:C1253" si="5">if(D1100&lt;&gt;0,TEXT(D1100,"mm/yyyy"),"")</f>
        <v>05/2022</v>
      </c>
      <c r="D1100" s="99">
        <v>44691.0</v>
      </c>
      <c r="E1100" s="55" t="s">
        <v>1086</v>
      </c>
      <c r="F1100" s="56"/>
      <c r="G1100" s="57" t="s">
        <v>348</v>
      </c>
      <c r="H1100" s="58" t="str">
        <f>IF(G1100="","",VLOOKUP($G1100,'Quy chuẩn hạch toán'!$B:$E,2,0))</f>
        <v>331</v>
      </c>
      <c r="I1100" s="58" t="str">
        <f>IF(H1100="","",VLOOKUP($G1100,'Quy chuẩn hạch toán'!$B:$E,3,0))</f>
        <v>1111</v>
      </c>
      <c r="J1100" s="59">
        <v>1.9762526E7</v>
      </c>
      <c r="K1100" s="60"/>
      <c r="L1100" s="61"/>
      <c r="M1100" s="62"/>
      <c r="N1100" s="63"/>
      <c r="O1100" s="64" t="str">
        <f>IF($Q1100&lt;&gt;0,VLOOKUP($Q1100,DM_KM,3,0),"")</f>
        <v/>
      </c>
      <c r="P1100" s="64" t="str">
        <f>IF($Q1100&lt;&gt;0,VLOOKUP($Q1100,DM_KM,5,0),"")</f>
        <v/>
      </c>
      <c r="Q1100" s="65"/>
      <c r="R1100" s="64" t="str">
        <f>IF(S1100&lt;&gt;0,VLOOKUP(S1100,DM_DUAN,3,0),"")</f>
        <v>#N/A</v>
      </c>
      <c r="S1100" s="66" t="str">
        <f>IF(U1100&lt;&gt;0,VLOOKUP(U1100,DM_DUAN,3,0),"")</f>
        <v/>
      </c>
      <c r="T1100" s="64"/>
      <c r="U1100" s="93"/>
      <c r="V1100" s="64" t="str">
        <f>IF(W1100&lt;&gt;0,VLOOKUP(W1100,DM_DUAN,3,0),"")</f>
        <v/>
      </c>
      <c r="W1100" s="68"/>
      <c r="X1100" s="64" t="str">
        <f>IF(Y1100&lt;&gt;0,VLOOKUP(Y1100,DM_DUAN,3,0),"")</f>
        <v/>
      </c>
      <c r="Y1100" s="84"/>
      <c r="Z1100" s="64" t="str">
        <f>IF(AA1100&lt;&gt;0,VLOOKUP(AA1100,DM_DUAN,3,0),"")</f>
        <v>#N/A</v>
      </c>
      <c r="AA1100" s="70" t="s">
        <v>705</v>
      </c>
      <c r="AB1100" s="64" t="str">
        <f>IF(AC1100&lt;&gt;0,VLOOKUP(AC1100,DM_DUAN,3,0),"")</f>
        <v/>
      </c>
      <c r="AC1100" s="85"/>
      <c r="AD1100" s="64" t="str">
        <f>IF(AC1100&lt;&gt;0,VLOOKUP(AC1100,DM_NV,2,0),"")</f>
        <v/>
      </c>
      <c r="AE1100" s="83" t="s">
        <v>349</v>
      </c>
      <c r="AF1100" s="64" t="str">
        <f>IF(AE1100&lt;&gt;0,VLOOKUP(AE1100,DM_NV,2,0),"")</f>
        <v>#N/A</v>
      </c>
    </row>
    <row r="1101">
      <c r="A1101" s="51"/>
      <c r="B1101" s="52" t="str">
        <f>IF(D1101="","",VLOOKUP(D1101,'THAM CHIẾU'!$A:$B,2,0))</f>
        <v>#N/A</v>
      </c>
      <c r="C1101" s="53" t="str">
        <f t="shared" si="5"/>
        <v>05/2022</v>
      </c>
      <c r="D1101" s="99">
        <v>44691.0</v>
      </c>
      <c r="E1101" s="55" t="s">
        <v>1087</v>
      </c>
      <c r="F1101" s="56"/>
      <c r="G1101" s="57" t="s">
        <v>348</v>
      </c>
      <c r="H1101" s="58" t="str">
        <f>IF(G1101="","",VLOOKUP($G1101,'Quy chuẩn hạch toán'!$B:$E,2,0))</f>
        <v>331</v>
      </c>
      <c r="I1101" s="58" t="str">
        <f>IF(H1101="","",VLOOKUP($G1101,'Quy chuẩn hạch toán'!$B:$E,3,0))</f>
        <v>1111</v>
      </c>
      <c r="J1101" s="59">
        <v>1.1950526E7</v>
      </c>
      <c r="K1101" s="60"/>
      <c r="L1101" s="61"/>
      <c r="M1101" s="62"/>
      <c r="N1101" s="63"/>
      <c r="O1101" s="64" t="str">
        <f>IF($Q1101&lt;&gt;0,VLOOKUP($Q1101,DM_KM,3,0),"")</f>
        <v/>
      </c>
      <c r="P1101" s="64" t="str">
        <f>IF($Q1101&lt;&gt;0,VLOOKUP($Q1101,DM_KM,5,0),"")</f>
        <v/>
      </c>
      <c r="Q1101" s="65"/>
      <c r="R1101" s="64" t="str">
        <f>IF(S1101&lt;&gt;0,VLOOKUP(S1101,DM_DUAN,3,0),"")</f>
        <v>#N/A</v>
      </c>
      <c r="S1101" s="66" t="str">
        <f>IF(U1101&lt;&gt;0,VLOOKUP(U1101,DM_DUAN,3,0),"")</f>
        <v/>
      </c>
      <c r="T1101" s="64"/>
      <c r="U1101" s="93"/>
      <c r="V1101" s="64" t="str">
        <f>IF(W1101&lt;&gt;0,VLOOKUP(W1101,DM_DUAN,3,0),"")</f>
        <v/>
      </c>
      <c r="W1101" s="68"/>
      <c r="X1101" s="64" t="str">
        <f>IF(Y1101&lt;&gt;0,VLOOKUP(Y1101,DM_DUAN,3,0),"")</f>
        <v/>
      </c>
      <c r="Y1101" s="84"/>
      <c r="Z1101" s="64" t="str">
        <f>IF(AA1101&lt;&gt;0,VLOOKUP(AA1101,DM_DUAN,3,0),"")</f>
        <v>#N/A</v>
      </c>
      <c r="AA1101" s="70" t="s">
        <v>210</v>
      </c>
      <c r="AB1101" s="64" t="str">
        <f>IF(AC1101&lt;&gt;0,VLOOKUP(AC1101,DM_DUAN,3,0),"")</f>
        <v/>
      </c>
      <c r="AC1101" s="85"/>
      <c r="AD1101" s="64" t="str">
        <f>IF(AC1101&lt;&gt;0,VLOOKUP(AC1101,DM_NV,2,0),"")</f>
        <v/>
      </c>
      <c r="AE1101" s="83" t="s">
        <v>349</v>
      </c>
      <c r="AF1101" s="64" t="str">
        <f>IF(AE1101&lt;&gt;0,VLOOKUP(AE1101,DM_NV,2,0),"")</f>
        <v>#N/A</v>
      </c>
    </row>
    <row r="1102">
      <c r="A1102" s="51"/>
      <c r="B1102" s="52" t="str">
        <f>IF(D1102="","",VLOOKUP(D1102,'THAM CHIẾU'!$A:$B,2,0))</f>
        <v>#N/A</v>
      </c>
      <c r="C1102" s="53" t="str">
        <f t="shared" si="5"/>
        <v>05/2022</v>
      </c>
      <c r="D1102" s="99">
        <v>44691.0</v>
      </c>
      <c r="E1102" s="55" t="s">
        <v>1088</v>
      </c>
      <c r="F1102" s="56"/>
      <c r="G1102" s="57" t="s">
        <v>348</v>
      </c>
      <c r="H1102" s="58" t="str">
        <f>IF(G1102="","",VLOOKUP($G1102,'Quy chuẩn hạch toán'!$B:$E,2,0))</f>
        <v>331</v>
      </c>
      <c r="I1102" s="58" t="str">
        <f>IF(H1102="","",VLOOKUP($G1102,'Quy chuẩn hạch toán'!$B:$E,3,0))</f>
        <v>1111</v>
      </c>
      <c r="J1102" s="59">
        <v>4.9317894E7</v>
      </c>
      <c r="K1102" s="60"/>
      <c r="L1102" s="61"/>
      <c r="M1102" s="62"/>
      <c r="N1102" s="63"/>
      <c r="O1102" s="64" t="str">
        <f>IF($Q1102&lt;&gt;0,VLOOKUP($Q1102,DM_KM,3,0),"")</f>
        <v/>
      </c>
      <c r="P1102" s="64" t="str">
        <f>IF($Q1102&lt;&gt;0,VLOOKUP($Q1102,DM_KM,5,0),"")</f>
        <v/>
      </c>
      <c r="Q1102" s="65"/>
      <c r="R1102" s="64" t="str">
        <f>IF(S1102&lt;&gt;0,VLOOKUP(S1102,DM_DUAN,3,0),"")</f>
        <v>#N/A</v>
      </c>
      <c r="S1102" s="66" t="str">
        <f>IF(U1102&lt;&gt;0,VLOOKUP(U1102,DM_DUAN,3,0),"")</f>
        <v/>
      </c>
      <c r="T1102" s="64"/>
      <c r="U1102" s="93"/>
      <c r="V1102" s="64" t="str">
        <f>IF(W1102&lt;&gt;0,VLOOKUP(W1102,DM_DUAN,3,0),"")</f>
        <v/>
      </c>
      <c r="W1102" s="68"/>
      <c r="X1102" s="64" t="str">
        <f>IF(Y1102&lt;&gt;0,VLOOKUP(Y1102,DM_DUAN,3,0),"")</f>
        <v/>
      </c>
      <c r="Y1102" s="84"/>
      <c r="Z1102" s="64" t="str">
        <f>IF(AA1102&lt;&gt;0,VLOOKUP(AA1102,DM_DUAN,3,0),"")</f>
        <v>#N/A</v>
      </c>
      <c r="AA1102" s="70" t="s">
        <v>177</v>
      </c>
      <c r="AB1102" s="64" t="str">
        <f>IF(AC1102&lt;&gt;0,VLOOKUP(AC1102,DM_DUAN,3,0),"")</f>
        <v/>
      </c>
      <c r="AC1102" s="85"/>
      <c r="AD1102" s="64" t="str">
        <f>IF(AC1102&lt;&gt;0,VLOOKUP(AC1102,DM_NV,2,0),"")</f>
        <v/>
      </c>
      <c r="AE1102" s="83" t="s">
        <v>349</v>
      </c>
      <c r="AF1102" s="64" t="str">
        <f>IF(AE1102&lt;&gt;0,VLOOKUP(AE1102,DM_NV,2,0),"")</f>
        <v>#N/A</v>
      </c>
    </row>
    <row r="1103">
      <c r="A1103" s="51"/>
      <c r="B1103" s="52" t="str">
        <f>IF(D1103="","",VLOOKUP(D1103,'THAM CHIẾU'!$A:$B,2,0))</f>
        <v>#N/A</v>
      </c>
      <c r="C1103" s="53" t="str">
        <f t="shared" si="5"/>
        <v>05/2022</v>
      </c>
      <c r="D1103" s="99">
        <v>44691.0</v>
      </c>
      <c r="E1103" s="55" t="s">
        <v>1089</v>
      </c>
      <c r="F1103" s="56"/>
      <c r="G1103" s="57" t="s">
        <v>348</v>
      </c>
      <c r="H1103" s="58" t="str">
        <f>IF(G1103="","",VLOOKUP($G1103,'Quy chuẩn hạch toán'!$B:$E,2,0))</f>
        <v>331</v>
      </c>
      <c r="I1103" s="58" t="str">
        <f>IF(H1103="","",VLOOKUP($G1103,'Quy chuẩn hạch toán'!$B:$E,3,0))</f>
        <v>1111</v>
      </c>
      <c r="J1103" s="59">
        <v>3.0365052E7</v>
      </c>
      <c r="K1103" s="60"/>
      <c r="L1103" s="61"/>
      <c r="M1103" s="62"/>
      <c r="N1103" s="63"/>
      <c r="O1103" s="64" t="str">
        <f>IF($Q1103&lt;&gt;0,VLOOKUP($Q1103,DM_KM,3,0),"")</f>
        <v/>
      </c>
      <c r="P1103" s="64" t="str">
        <f>IF($Q1103&lt;&gt;0,VLOOKUP($Q1103,DM_KM,5,0),"")</f>
        <v/>
      </c>
      <c r="Q1103" s="65"/>
      <c r="R1103" s="64" t="str">
        <f>IF(S1103&lt;&gt;0,VLOOKUP(S1103,DM_DUAN,3,0),"")</f>
        <v>#N/A</v>
      </c>
      <c r="S1103" s="66" t="str">
        <f>IF(U1103&lt;&gt;0,VLOOKUP(U1103,DM_DUAN,3,0),"")</f>
        <v/>
      </c>
      <c r="T1103" s="64"/>
      <c r="U1103" s="93"/>
      <c r="V1103" s="64" t="str">
        <f>IF(W1103&lt;&gt;0,VLOOKUP(W1103,DM_DUAN,3,0),"")</f>
        <v/>
      </c>
      <c r="W1103" s="68"/>
      <c r="X1103" s="64" t="str">
        <f>IF(Y1103&lt;&gt;0,VLOOKUP(Y1103,DM_DUAN,3,0),"")</f>
        <v/>
      </c>
      <c r="Y1103" s="84"/>
      <c r="Z1103" s="64" t="str">
        <f>IF(AA1103&lt;&gt;0,VLOOKUP(AA1103,DM_DUAN,3,0),"")</f>
        <v>#N/A</v>
      </c>
      <c r="AA1103" s="70" t="s">
        <v>183</v>
      </c>
      <c r="AB1103" s="64" t="str">
        <f>IF(AC1103&lt;&gt;0,VLOOKUP(AC1103,DM_DUAN,3,0),"")</f>
        <v/>
      </c>
      <c r="AC1103" s="85"/>
      <c r="AD1103" s="64" t="str">
        <f>IF(AC1103&lt;&gt;0,VLOOKUP(AC1103,DM_NV,2,0),"")</f>
        <v/>
      </c>
      <c r="AE1103" s="83" t="s">
        <v>349</v>
      </c>
      <c r="AF1103" s="64" t="str">
        <f>IF(AE1103&lt;&gt;0,VLOOKUP(AE1103,DM_NV,2,0),"")</f>
        <v>#N/A</v>
      </c>
    </row>
    <row r="1104">
      <c r="A1104" s="51"/>
      <c r="B1104" s="52" t="str">
        <f>IF(D1104="","",VLOOKUP(D1104,'THAM CHIẾU'!$A:$B,2,0))</f>
        <v>#N/A</v>
      </c>
      <c r="C1104" s="53" t="str">
        <f t="shared" si="5"/>
        <v>05/2022</v>
      </c>
      <c r="D1104" s="99">
        <v>44691.0</v>
      </c>
      <c r="E1104" s="55" t="s">
        <v>1090</v>
      </c>
      <c r="F1104" s="56"/>
      <c r="G1104" s="57" t="s">
        <v>348</v>
      </c>
      <c r="H1104" s="58" t="str">
        <f>IF(G1104="","",VLOOKUP($G1104,'Quy chuẩn hạch toán'!$B:$E,2,0))</f>
        <v>331</v>
      </c>
      <c r="I1104" s="58" t="str">
        <f>IF(H1104="","",VLOOKUP($G1104,'Quy chuẩn hạch toán'!$B:$E,3,0))</f>
        <v>1111</v>
      </c>
      <c r="J1104" s="59">
        <v>9308000.0</v>
      </c>
      <c r="K1104" s="60"/>
      <c r="L1104" s="61"/>
      <c r="M1104" s="62"/>
      <c r="N1104" s="63"/>
      <c r="O1104" s="64" t="str">
        <f>IF($Q1104&lt;&gt;0,VLOOKUP($Q1104,DM_KM,3,0),"")</f>
        <v/>
      </c>
      <c r="P1104" s="64" t="str">
        <f>IF($Q1104&lt;&gt;0,VLOOKUP($Q1104,DM_KM,5,0),"")</f>
        <v/>
      </c>
      <c r="Q1104" s="65"/>
      <c r="R1104" s="64" t="str">
        <f>IF(S1104&lt;&gt;0,VLOOKUP(S1104,DM_DUAN,3,0),"")</f>
        <v>#N/A</v>
      </c>
      <c r="S1104" s="66" t="str">
        <f>IF(U1104&lt;&gt;0,VLOOKUP(U1104,DM_DUAN,3,0),"")</f>
        <v/>
      </c>
      <c r="T1104" s="64"/>
      <c r="U1104" s="93"/>
      <c r="V1104" s="64" t="str">
        <f>IF(W1104&lt;&gt;0,VLOOKUP(W1104,DM_DUAN,3,0),"")</f>
        <v/>
      </c>
      <c r="W1104" s="68"/>
      <c r="X1104" s="64" t="str">
        <f>IF(Y1104&lt;&gt;0,VLOOKUP(Y1104,DM_DUAN,3,0),"")</f>
        <v/>
      </c>
      <c r="Y1104" s="84"/>
      <c r="Z1104" s="64" t="str">
        <f>IF(AA1104&lt;&gt;0,VLOOKUP(AA1104,DM_DUAN,3,0),"")</f>
        <v>#N/A</v>
      </c>
      <c r="AA1104" s="70" t="s">
        <v>810</v>
      </c>
      <c r="AB1104" s="64" t="str">
        <f>IF(AC1104&lt;&gt;0,VLOOKUP(AC1104,DM_DUAN,3,0),"")</f>
        <v/>
      </c>
      <c r="AC1104" s="85"/>
      <c r="AD1104" s="64" t="str">
        <f>IF(AC1104&lt;&gt;0,VLOOKUP(AC1104,DM_NV,2,0),"")</f>
        <v/>
      </c>
      <c r="AE1104" s="83" t="s">
        <v>349</v>
      </c>
      <c r="AF1104" s="64" t="str">
        <f>IF(AE1104&lt;&gt;0,VLOOKUP(AE1104,DM_NV,2,0),"")</f>
        <v>#N/A</v>
      </c>
    </row>
    <row r="1105">
      <c r="A1105" s="51"/>
      <c r="B1105" s="52" t="str">
        <f>IF(D1105="","",VLOOKUP(D1105,'THAM CHIẾU'!$A:$B,2,0))</f>
        <v>#N/A</v>
      </c>
      <c r="C1105" s="53" t="str">
        <f t="shared" si="5"/>
        <v>05/2022</v>
      </c>
      <c r="D1105" s="99">
        <v>44691.0</v>
      </c>
      <c r="E1105" s="55" t="s">
        <v>1091</v>
      </c>
      <c r="F1105" s="56"/>
      <c r="G1105" s="57" t="s">
        <v>342</v>
      </c>
      <c r="H1105" s="58" t="str">
        <f>IF(G1105="","",VLOOKUP($G1105,'Quy chuẩn hạch toán'!$B:$E,2,0))</f>
        <v>331</v>
      </c>
      <c r="I1105" s="58" t="str">
        <f>IF(H1105="","",VLOOKUP($G1105,'Quy chuẩn hạch toán'!$B:$E,3,0))</f>
        <v>1111</v>
      </c>
      <c r="J1105" s="59">
        <v>7865047.0</v>
      </c>
      <c r="K1105" s="60"/>
      <c r="L1105" s="61"/>
      <c r="M1105" s="62"/>
      <c r="N1105" s="63"/>
      <c r="O1105" s="64" t="str">
        <f>IF($Q1105&lt;&gt;0,VLOOKUP($Q1105,DM_KM,3,0),"")</f>
        <v/>
      </c>
      <c r="P1105" s="64" t="str">
        <f>IF($Q1105&lt;&gt;0,VLOOKUP($Q1105,DM_KM,5,0),"")</f>
        <v/>
      </c>
      <c r="Q1105" s="65"/>
      <c r="R1105" s="64" t="str">
        <f>IF(S1105&lt;&gt;0,VLOOKUP(S1105,DM_DUAN,3,0),"")</f>
        <v>#N/A</v>
      </c>
      <c r="S1105" s="66" t="str">
        <f>IF(U1105&lt;&gt;0,VLOOKUP(U1105,DM_DUAN,3,0),"")</f>
        <v/>
      </c>
      <c r="T1105" s="64"/>
      <c r="U1105" s="93"/>
      <c r="V1105" s="64" t="str">
        <f>IF(W1105&lt;&gt;0,VLOOKUP(W1105,DM_DUAN,3,0),"")</f>
        <v/>
      </c>
      <c r="W1105" s="68"/>
      <c r="X1105" s="64" t="str">
        <f>IF(Y1105&lt;&gt;0,VLOOKUP(Y1105,DM_DUAN,3,0),"")</f>
        <v/>
      </c>
      <c r="Y1105" s="84"/>
      <c r="Z1105" s="64" t="str">
        <f>IF(AA1105&lt;&gt;0,VLOOKUP(AA1105,DM_DUAN,3,0),"")</f>
        <v>#N/A</v>
      </c>
      <c r="AA1105" s="70" t="s">
        <v>705</v>
      </c>
      <c r="AB1105" s="64" t="str">
        <f>IF(AC1105&lt;&gt;0,VLOOKUP(AC1105,DM_DUAN,3,0),"")</f>
        <v/>
      </c>
      <c r="AC1105" s="85"/>
      <c r="AD1105" s="64" t="str">
        <f>IF(AC1105&lt;&gt;0,VLOOKUP(AC1105,DM_NV,2,0),"")</f>
        <v/>
      </c>
      <c r="AE1105" s="83" t="s">
        <v>343</v>
      </c>
      <c r="AF1105" s="64" t="str">
        <f>IF(AE1105&lt;&gt;0,VLOOKUP(AE1105,DM_NV,2,0),"")</f>
        <v>#N/A</v>
      </c>
    </row>
    <row r="1106">
      <c r="A1106" s="51"/>
      <c r="B1106" s="52" t="str">
        <f>IF(D1106="","",VLOOKUP(D1106,'THAM CHIẾU'!$A:$B,2,0))</f>
        <v>#N/A</v>
      </c>
      <c r="C1106" s="53" t="str">
        <f t="shared" si="5"/>
        <v>05/2022</v>
      </c>
      <c r="D1106" s="99">
        <v>44691.0</v>
      </c>
      <c r="E1106" s="55" t="s">
        <v>1092</v>
      </c>
      <c r="F1106" s="56"/>
      <c r="G1106" s="57" t="s">
        <v>342</v>
      </c>
      <c r="H1106" s="58" t="str">
        <f>IF(G1106="","",VLOOKUP($G1106,'Quy chuẩn hạch toán'!$B:$E,2,0))</f>
        <v>331</v>
      </c>
      <c r="I1106" s="58" t="str">
        <f>IF(H1106="","",VLOOKUP($G1106,'Quy chuẩn hạch toán'!$B:$E,3,0))</f>
        <v>1111</v>
      </c>
      <c r="J1106" s="59">
        <v>1.1095817E7</v>
      </c>
      <c r="K1106" s="60"/>
      <c r="L1106" s="61"/>
      <c r="M1106" s="62"/>
      <c r="N1106" s="63"/>
      <c r="O1106" s="64" t="str">
        <f>IF($Q1106&lt;&gt;0,VLOOKUP($Q1106,DM_KM,3,0),"")</f>
        <v/>
      </c>
      <c r="P1106" s="64" t="str">
        <f>IF($Q1106&lt;&gt;0,VLOOKUP($Q1106,DM_KM,5,0),"")</f>
        <v/>
      </c>
      <c r="Q1106" s="65"/>
      <c r="R1106" s="64" t="str">
        <f>IF(S1106&lt;&gt;0,VLOOKUP(S1106,DM_DUAN,3,0),"")</f>
        <v>#N/A</v>
      </c>
      <c r="S1106" s="66" t="str">
        <f>IF(U1106&lt;&gt;0,VLOOKUP(U1106,DM_DUAN,3,0),"")</f>
        <v/>
      </c>
      <c r="T1106" s="64"/>
      <c r="U1106" s="93"/>
      <c r="V1106" s="64" t="str">
        <f>IF(W1106&lt;&gt;0,VLOOKUP(W1106,DM_DUAN,3,0),"")</f>
        <v/>
      </c>
      <c r="W1106" s="68"/>
      <c r="X1106" s="64" t="str">
        <f>IF(Y1106&lt;&gt;0,VLOOKUP(Y1106,DM_DUAN,3,0),"")</f>
        <v/>
      </c>
      <c r="Y1106" s="84"/>
      <c r="Z1106" s="64" t="str">
        <f>IF(AA1106&lt;&gt;0,VLOOKUP(AA1106,DM_DUAN,3,0),"")</f>
        <v>#N/A</v>
      </c>
      <c r="AA1106" s="70" t="s">
        <v>210</v>
      </c>
      <c r="AB1106" s="64" t="str">
        <f>IF(AC1106&lt;&gt;0,VLOOKUP(AC1106,DM_DUAN,3,0),"")</f>
        <v/>
      </c>
      <c r="AC1106" s="85"/>
      <c r="AD1106" s="64" t="str">
        <f>IF(AC1106&lt;&gt;0,VLOOKUP(AC1106,DM_NV,2,0),"")</f>
        <v/>
      </c>
      <c r="AE1106" s="83" t="s">
        <v>343</v>
      </c>
      <c r="AF1106" s="64" t="str">
        <f>IF(AE1106&lt;&gt;0,VLOOKUP(AE1106,DM_NV,2,0),"")</f>
        <v>#N/A</v>
      </c>
    </row>
    <row r="1107">
      <c r="A1107" s="51"/>
      <c r="B1107" s="52" t="str">
        <f>IF(D1107="","",VLOOKUP(D1107,'THAM CHIẾU'!$A:$B,2,0))</f>
        <v>#N/A</v>
      </c>
      <c r="C1107" s="53" t="str">
        <f t="shared" si="5"/>
        <v>05/2022</v>
      </c>
      <c r="D1107" s="99">
        <v>44691.0</v>
      </c>
      <c r="E1107" s="55" t="s">
        <v>1093</v>
      </c>
      <c r="F1107" s="56"/>
      <c r="G1107" s="57" t="s">
        <v>342</v>
      </c>
      <c r="H1107" s="58" t="str">
        <f>IF(G1107="","",VLOOKUP($G1107,'Quy chuẩn hạch toán'!$B:$E,2,0))</f>
        <v>331</v>
      </c>
      <c r="I1107" s="58" t="str">
        <f>IF(H1107="","",VLOOKUP($G1107,'Quy chuẩn hạch toán'!$B:$E,3,0))</f>
        <v>1111</v>
      </c>
      <c r="J1107" s="59">
        <v>1.3975708E7</v>
      </c>
      <c r="K1107" s="60"/>
      <c r="L1107" s="61"/>
      <c r="M1107" s="62"/>
      <c r="N1107" s="63"/>
      <c r="O1107" s="64" t="str">
        <f>IF($Q1107&lt;&gt;0,VLOOKUP($Q1107,DM_KM,3,0),"")</f>
        <v/>
      </c>
      <c r="P1107" s="64" t="str">
        <f>IF($Q1107&lt;&gt;0,VLOOKUP($Q1107,DM_KM,5,0),"")</f>
        <v/>
      </c>
      <c r="Q1107" s="89"/>
      <c r="R1107" s="64" t="str">
        <f>IF(S1107&lt;&gt;0,VLOOKUP(S1107,DM_DUAN,3,0),"")</f>
        <v>#N/A</v>
      </c>
      <c r="S1107" s="66" t="str">
        <f>IF(U1107&lt;&gt;0,VLOOKUP(U1107,DM_DUAN,3,0),"")</f>
        <v/>
      </c>
      <c r="T1107" s="64"/>
      <c r="U1107" s="93"/>
      <c r="V1107" s="64" t="str">
        <f>IF(W1107&lt;&gt;0,VLOOKUP(W1107,DM_DUAN,3,0),"")</f>
        <v/>
      </c>
      <c r="W1107" s="68"/>
      <c r="X1107" s="64" t="str">
        <f>IF(Y1107&lt;&gt;0,VLOOKUP(Y1107,DM_DUAN,3,0),"")</f>
        <v/>
      </c>
      <c r="Y1107" s="84"/>
      <c r="Z1107" s="64" t="str">
        <f>IF(AA1107&lt;&gt;0,VLOOKUP(AA1107,DM_DUAN,3,0),"")</f>
        <v>#N/A</v>
      </c>
      <c r="AA1107" s="70" t="s">
        <v>177</v>
      </c>
      <c r="AB1107" s="64" t="str">
        <f>IF(AC1107&lt;&gt;0,VLOOKUP(AC1107,DM_DUAN,3,0),"")</f>
        <v/>
      </c>
      <c r="AC1107" s="85"/>
      <c r="AD1107" s="64" t="str">
        <f>IF(AC1107&lt;&gt;0,VLOOKUP(AC1107,DM_NV,2,0),"")</f>
        <v/>
      </c>
      <c r="AE1107" s="83" t="s">
        <v>343</v>
      </c>
      <c r="AF1107" s="64" t="str">
        <f>IF(AE1107&lt;&gt;0,VLOOKUP(AE1107,DM_NV,2,0),"")</f>
        <v>#N/A</v>
      </c>
    </row>
    <row r="1108">
      <c r="A1108" s="51"/>
      <c r="B1108" s="52" t="str">
        <f>IF(D1108="","",VLOOKUP(D1108,'THAM CHIẾU'!$A:$B,2,0))</f>
        <v>#N/A</v>
      </c>
      <c r="C1108" s="53" t="str">
        <f t="shared" si="5"/>
        <v>05/2022</v>
      </c>
      <c r="D1108" s="99">
        <v>44691.0</v>
      </c>
      <c r="E1108" s="55" t="s">
        <v>1094</v>
      </c>
      <c r="F1108" s="56"/>
      <c r="G1108" s="57" t="s">
        <v>342</v>
      </c>
      <c r="H1108" s="58" t="str">
        <f>IF(G1108="","",VLOOKUP($G1108,'Quy chuẩn hạch toán'!$B:$E,2,0))</f>
        <v>331</v>
      </c>
      <c r="I1108" s="58" t="str">
        <f>IF(H1108="","",VLOOKUP($G1108,'Quy chuẩn hạch toán'!$B:$E,3,0))</f>
        <v>1111</v>
      </c>
      <c r="J1108" s="59">
        <v>1.5730094E7</v>
      </c>
      <c r="K1108" s="60"/>
      <c r="L1108" s="61"/>
      <c r="M1108" s="62"/>
      <c r="N1108" s="63"/>
      <c r="O1108" s="64" t="str">
        <f>IF($Q1108&lt;&gt;0,VLOOKUP($Q1108,DM_KM,3,0),"")</f>
        <v/>
      </c>
      <c r="P1108" s="64" t="str">
        <f>IF($Q1108&lt;&gt;0,VLOOKUP($Q1108,DM_KM,5,0),"")</f>
        <v/>
      </c>
      <c r="Q1108" s="89"/>
      <c r="R1108" s="64" t="str">
        <f>IF(S1108&lt;&gt;0,VLOOKUP(S1108,DM_DUAN,3,0),"")</f>
        <v>#N/A</v>
      </c>
      <c r="S1108" s="66" t="str">
        <f>IF(U1108&lt;&gt;0,VLOOKUP(U1108,DM_DUAN,3,0),"")</f>
        <v/>
      </c>
      <c r="T1108" s="64"/>
      <c r="U1108" s="93"/>
      <c r="V1108" s="64" t="str">
        <f>IF(W1108&lt;&gt;0,VLOOKUP(W1108,DM_DUAN,3,0),"")</f>
        <v/>
      </c>
      <c r="W1108" s="68"/>
      <c r="X1108" s="64" t="str">
        <f>IF(Y1108&lt;&gt;0,VLOOKUP(Y1108,DM_DUAN,3,0),"")</f>
        <v/>
      </c>
      <c r="Y1108" s="84"/>
      <c r="Z1108" s="64" t="str">
        <f>IF(AA1108&lt;&gt;0,VLOOKUP(AA1108,DM_DUAN,3,0),"")</f>
        <v>#N/A</v>
      </c>
      <c r="AA1108" s="70" t="s">
        <v>183</v>
      </c>
      <c r="AB1108" s="64" t="str">
        <f>IF(AC1108&lt;&gt;0,VLOOKUP(AC1108,DM_DUAN,3,0),"")</f>
        <v/>
      </c>
      <c r="AC1108" s="85"/>
      <c r="AD1108" s="64" t="str">
        <f>IF(AC1108&lt;&gt;0,VLOOKUP(AC1108,DM_NV,2,0),"")</f>
        <v/>
      </c>
      <c r="AE1108" s="83" t="s">
        <v>343</v>
      </c>
      <c r="AF1108" s="64" t="str">
        <f>IF(AE1108&lt;&gt;0,VLOOKUP(AE1108,DM_NV,2,0),"")</f>
        <v>#N/A</v>
      </c>
    </row>
    <row r="1109">
      <c r="A1109" s="51"/>
      <c r="B1109" s="52" t="str">
        <f>IF(D1109="","",VLOOKUP(D1109,'THAM CHIẾU'!$A:$B,2,0))</f>
        <v>#N/A</v>
      </c>
      <c r="C1109" s="53" t="str">
        <f t="shared" si="5"/>
        <v>05/2022</v>
      </c>
      <c r="D1109" s="99">
        <v>44691.0</v>
      </c>
      <c r="E1109" s="55" t="s">
        <v>1095</v>
      </c>
      <c r="F1109" s="56"/>
      <c r="G1109" s="57" t="s">
        <v>354</v>
      </c>
      <c r="H1109" s="58" t="str">
        <f>IF(G1109="","",VLOOKUP($G1109,'Quy chuẩn hạch toán'!$B:$E,2,0))</f>
        <v>331</v>
      </c>
      <c r="I1109" s="58" t="str">
        <f>IF(H1109="","",VLOOKUP($G1109,'Quy chuẩn hạch toán'!$B:$E,3,0))</f>
        <v>1111</v>
      </c>
      <c r="J1109" s="59">
        <v>1.5737E7</v>
      </c>
      <c r="K1109" s="60"/>
      <c r="L1109" s="61"/>
      <c r="M1109" s="62"/>
      <c r="N1109" s="63"/>
      <c r="O1109" s="64" t="str">
        <f>IF($Q1109&lt;&gt;0,VLOOKUP($Q1109,DM_KM,3,0),"")</f>
        <v/>
      </c>
      <c r="P1109" s="64" t="str">
        <f>IF($Q1109&lt;&gt;0,VLOOKUP($Q1109,DM_KM,5,0),"")</f>
        <v/>
      </c>
      <c r="Q1109" s="89"/>
      <c r="R1109" s="64" t="str">
        <f>IF(S1109&lt;&gt;0,VLOOKUP(S1109,DM_DUAN,3,0),"")</f>
        <v>#N/A</v>
      </c>
      <c r="S1109" s="66" t="str">
        <f>IF(U1109&lt;&gt;0,VLOOKUP(U1109,DM_DUAN,3,0),"")</f>
        <v/>
      </c>
      <c r="T1109" s="64"/>
      <c r="U1109" s="93"/>
      <c r="V1109" s="64" t="str">
        <f>IF(W1109&lt;&gt;0,VLOOKUP(W1109,DM_DUAN,3,0),"")</f>
        <v/>
      </c>
      <c r="W1109" s="68"/>
      <c r="X1109" s="64" t="str">
        <f>IF(Y1109&lt;&gt;0,VLOOKUP(Y1109,DM_DUAN,3,0),"")</f>
        <v/>
      </c>
      <c r="Y1109" s="84"/>
      <c r="Z1109" s="64" t="str">
        <f>IF(AA1109&lt;&gt;0,VLOOKUP(AA1109,DM_DUAN,3,0),"")</f>
        <v>#N/A</v>
      </c>
      <c r="AA1109" s="70" t="s">
        <v>705</v>
      </c>
      <c r="AB1109" s="64" t="str">
        <f>IF(AC1109&lt;&gt;0,VLOOKUP(AC1109,DM_DUAN,3,0),"")</f>
        <v/>
      </c>
      <c r="AC1109" s="85"/>
      <c r="AD1109" s="64" t="str">
        <f>IF(AC1109&lt;&gt;0,VLOOKUP(AC1109,DM_NV,2,0),"")</f>
        <v/>
      </c>
      <c r="AE1109" s="83" t="s">
        <v>355</v>
      </c>
      <c r="AF1109" s="64" t="str">
        <f>IF(AE1109&lt;&gt;0,VLOOKUP(AE1109,DM_NV,2,0),"")</f>
        <v>#N/A</v>
      </c>
    </row>
    <row r="1110">
      <c r="A1110" s="51"/>
      <c r="B1110" s="52" t="str">
        <f>IF(D1110="","",VLOOKUP(D1110,'THAM CHIẾU'!$A:$B,2,0))</f>
        <v>#N/A</v>
      </c>
      <c r="C1110" s="53" t="str">
        <f t="shared" si="5"/>
        <v>05/2022</v>
      </c>
      <c r="D1110" s="99">
        <v>44691.0</v>
      </c>
      <c r="E1110" s="55" t="s">
        <v>1096</v>
      </c>
      <c r="F1110" s="56"/>
      <c r="G1110" s="57" t="s">
        <v>354</v>
      </c>
      <c r="H1110" s="58" t="str">
        <f>IF(G1110="","",VLOOKUP($G1110,'Quy chuẩn hạch toán'!$B:$E,2,0))</f>
        <v>331</v>
      </c>
      <c r="I1110" s="58" t="str">
        <f>IF(H1110="","",VLOOKUP($G1110,'Quy chuẩn hạch toán'!$B:$E,3,0))</f>
        <v>1111</v>
      </c>
      <c r="J1110" s="59">
        <v>4000000.0</v>
      </c>
      <c r="K1110" s="60"/>
      <c r="L1110" s="61"/>
      <c r="M1110" s="62"/>
      <c r="N1110" s="63"/>
      <c r="O1110" s="64" t="str">
        <f>IF($Q1110&lt;&gt;0,VLOOKUP($Q1110,DM_KM,3,0),"")</f>
        <v/>
      </c>
      <c r="P1110" s="64" t="str">
        <f>IF($Q1110&lt;&gt;0,VLOOKUP($Q1110,DM_KM,5,0),"")</f>
        <v/>
      </c>
      <c r="Q1110" s="89"/>
      <c r="R1110" s="64" t="str">
        <f>IF(S1110&lt;&gt;0,VLOOKUP(S1110,DM_DUAN,3,0),"")</f>
        <v>#N/A</v>
      </c>
      <c r="S1110" s="66" t="str">
        <f>IF(U1110&lt;&gt;0,VLOOKUP(U1110,DM_DUAN,3,0),"")</f>
        <v/>
      </c>
      <c r="T1110" s="64"/>
      <c r="U1110" s="93"/>
      <c r="V1110" s="64" t="str">
        <f>IF(W1110&lt;&gt;0,VLOOKUP(W1110,DM_DUAN,3,0),"")</f>
        <v/>
      </c>
      <c r="W1110" s="68"/>
      <c r="X1110" s="64" t="str">
        <f>IF(Y1110&lt;&gt;0,VLOOKUP(Y1110,DM_DUAN,3,0),"")</f>
        <v/>
      </c>
      <c r="Y1110" s="84"/>
      <c r="Z1110" s="64" t="str">
        <f>IF(AA1110&lt;&gt;0,VLOOKUP(AA1110,DM_DUAN,3,0),"")</f>
        <v>#N/A</v>
      </c>
      <c r="AA1110" s="70" t="s">
        <v>210</v>
      </c>
      <c r="AB1110" s="64" t="str">
        <f>IF(AC1110&lt;&gt;0,VLOOKUP(AC1110,DM_DUAN,3,0),"")</f>
        <v/>
      </c>
      <c r="AC1110" s="85"/>
      <c r="AD1110" s="64" t="str">
        <f>IF(AC1110&lt;&gt;0,VLOOKUP(AC1110,DM_NV,2,0),"")</f>
        <v/>
      </c>
      <c r="AE1110" s="83" t="s">
        <v>355</v>
      </c>
      <c r="AF1110" s="64" t="str">
        <f>IF(AE1110&lt;&gt;0,VLOOKUP(AE1110,DM_NV,2,0),"")</f>
        <v>#N/A</v>
      </c>
    </row>
    <row r="1111">
      <c r="A1111" s="51"/>
      <c r="B1111" s="52" t="str">
        <f>IF(D1111="","",VLOOKUP(D1111,'THAM CHIẾU'!$A:$B,2,0))</f>
        <v>#N/A</v>
      </c>
      <c r="C1111" s="53" t="str">
        <f t="shared" si="5"/>
        <v>05/2022</v>
      </c>
      <c r="D1111" s="99">
        <v>44691.0</v>
      </c>
      <c r="E1111" s="55" t="s">
        <v>1097</v>
      </c>
      <c r="F1111" s="56"/>
      <c r="G1111" s="57" t="s">
        <v>354</v>
      </c>
      <c r="H1111" s="58" t="str">
        <f>IF(G1111="","",VLOOKUP($G1111,'Quy chuẩn hạch toán'!$B:$E,2,0))</f>
        <v>331</v>
      </c>
      <c r="I1111" s="58" t="str">
        <f>IF(H1111="","",VLOOKUP($G1111,'Quy chuẩn hạch toán'!$B:$E,3,0))</f>
        <v>1111</v>
      </c>
      <c r="J1111" s="59">
        <v>2.0E7</v>
      </c>
      <c r="K1111" s="60"/>
      <c r="L1111" s="61"/>
      <c r="M1111" s="62"/>
      <c r="N1111" s="63"/>
      <c r="O1111" s="64" t="str">
        <f>IF($Q1111&lt;&gt;0,VLOOKUP($Q1111,DM_KM,3,0),"")</f>
        <v/>
      </c>
      <c r="P1111" s="64" t="str">
        <f>IF($Q1111&lt;&gt;0,VLOOKUP($Q1111,DM_KM,5,0),"")</f>
        <v/>
      </c>
      <c r="Q1111" s="89"/>
      <c r="R1111" s="64" t="str">
        <f>IF(S1111&lt;&gt;0,VLOOKUP(S1111,DM_DUAN,3,0),"")</f>
        <v>#N/A</v>
      </c>
      <c r="S1111" s="66" t="str">
        <f>IF(U1111&lt;&gt;0,VLOOKUP(U1111,DM_DUAN,3,0),"")</f>
        <v/>
      </c>
      <c r="T1111" s="64"/>
      <c r="U1111" s="93"/>
      <c r="V1111" s="64" t="str">
        <f>IF(W1111&lt;&gt;0,VLOOKUP(W1111,DM_DUAN,3,0),"")</f>
        <v/>
      </c>
      <c r="W1111" s="68"/>
      <c r="X1111" s="64" t="str">
        <f>IF(Y1111&lt;&gt;0,VLOOKUP(Y1111,DM_DUAN,3,0),"")</f>
        <v/>
      </c>
      <c r="Y1111" s="84"/>
      <c r="Z1111" s="64" t="str">
        <f>IF(AA1111&lt;&gt;0,VLOOKUP(AA1111,DM_DUAN,3,0),"")</f>
        <v>#N/A</v>
      </c>
      <c r="AA1111" s="70" t="s">
        <v>177</v>
      </c>
      <c r="AB1111" s="64" t="str">
        <f>IF(AC1111&lt;&gt;0,VLOOKUP(AC1111,DM_DUAN,3,0),"")</f>
        <v/>
      </c>
      <c r="AC1111" s="85"/>
      <c r="AD1111" s="64" t="str">
        <f>IF(AC1111&lt;&gt;0,VLOOKUP(AC1111,DM_NV,2,0),"")</f>
        <v/>
      </c>
      <c r="AE1111" s="83" t="s">
        <v>355</v>
      </c>
      <c r="AF1111" s="64" t="str">
        <f>IF(AE1111&lt;&gt;0,VLOOKUP(AE1111,DM_NV,2,0),"")</f>
        <v>#N/A</v>
      </c>
    </row>
    <row r="1112">
      <c r="A1112" s="51"/>
      <c r="B1112" s="52" t="str">
        <f>IF(D1112="","",VLOOKUP(D1112,'THAM CHIẾU'!$A:$B,2,0))</f>
        <v>#N/A</v>
      </c>
      <c r="C1112" s="53" t="str">
        <f t="shared" si="5"/>
        <v>05/2022</v>
      </c>
      <c r="D1112" s="99">
        <v>44691.0</v>
      </c>
      <c r="E1112" s="55" t="s">
        <v>1098</v>
      </c>
      <c r="F1112" s="56"/>
      <c r="G1112" s="57" t="s">
        <v>354</v>
      </c>
      <c r="H1112" s="58" t="str">
        <f>IF(G1112="","",VLOOKUP($G1112,'Quy chuẩn hạch toán'!$B:$E,2,0))</f>
        <v>331</v>
      </c>
      <c r="I1112" s="58" t="str">
        <f>IF(H1112="","",VLOOKUP($G1112,'Quy chuẩn hạch toán'!$B:$E,3,0))</f>
        <v>1111</v>
      </c>
      <c r="J1112" s="59">
        <v>2.4E7</v>
      </c>
      <c r="K1112" s="60"/>
      <c r="L1112" s="61"/>
      <c r="M1112" s="62"/>
      <c r="N1112" s="63"/>
      <c r="O1112" s="64" t="str">
        <f>IF($Q1112&lt;&gt;0,VLOOKUP($Q1112,DM_KM,3,0),"")</f>
        <v/>
      </c>
      <c r="P1112" s="64" t="str">
        <f>IF($Q1112&lt;&gt;0,VLOOKUP($Q1112,DM_KM,5,0),"")</f>
        <v/>
      </c>
      <c r="Q1112" s="89"/>
      <c r="R1112" s="64" t="str">
        <f>IF(S1112&lt;&gt;0,VLOOKUP(S1112,DM_DUAN,3,0),"")</f>
        <v>#N/A</v>
      </c>
      <c r="S1112" s="66" t="str">
        <f>IF(U1112&lt;&gt;0,VLOOKUP(U1112,DM_DUAN,3,0),"")</f>
        <v/>
      </c>
      <c r="T1112" s="64"/>
      <c r="U1112" s="93"/>
      <c r="V1112" s="64" t="str">
        <f>IF(W1112&lt;&gt;0,VLOOKUP(W1112,DM_DUAN,3,0),"")</f>
        <v/>
      </c>
      <c r="W1112" s="68"/>
      <c r="X1112" s="64" t="str">
        <f>IF(Y1112&lt;&gt;0,VLOOKUP(Y1112,DM_DUAN,3,0),"")</f>
        <v/>
      </c>
      <c r="Y1112" s="84"/>
      <c r="Z1112" s="64" t="str">
        <f>IF(AA1112&lt;&gt;0,VLOOKUP(AA1112,DM_DUAN,3,0),"")</f>
        <v>#N/A</v>
      </c>
      <c r="AA1112" s="70" t="s">
        <v>183</v>
      </c>
      <c r="AB1112" s="64" t="str">
        <f>IF(AC1112&lt;&gt;0,VLOOKUP(AC1112,DM_DUAN,3,0),"")</f>
        <v/>
      </c>
      <c r="AC1112" s="85"/>
      <c r="AD1112" s="64" t="str">
        <f>IF(AC1112&lt;&gt;0,VLOOKUP(AC1112,DM_NV,2,0),"")</f>
        <v/>
      </c>
      <c r="AE1112" s="83" t="s">
        <v>355</v>
      </c>
      <c r="AF1112" s="64" t="str">
        <f>IF(AE1112&lt;&gt;0,VLOOKUP(AE1112,DM_NV,2,0),"")</f>
        <v>#N/A</v>
      </c>
    </row>
    <row r="1113">
      <c r="A1113" s="51"/>
      <c r="B1113" s="52" t="str">
        <f>IF(D1113="","",VLOOKUP(D1113,'THAM CHIẾU'!$A:$B,2,0))</f>
        <v>#N/A</v>
      </c>
      <c r="C1113" s="53" t="str">
        <f t="shared" si="5"/>
        <v>05/2022</v>
      </c>
      <c r="D1113" s="99">
        <v>44691.0</v>
      </c>
      <c r="E1113" s="141" t="s">
        <v>1099</v>
      </c>
      <c r="F1113" s="146"/>
      <c r="G1113" s="153" t="s">
        <v>254</v>
      </c>
      <c r="H1113" s="58" t="str">
        <f>IF(G1113="","",VLOOKUP($G1113,'Quy chuẩn hạch toán'!$B:$E,2,0))</f>
        <v>3341</v>
      </c>
      <c r="I1113" s="58" t="str">
        <f>IF(H1113="","",VLOOKUP($G1113,'Quy chuẩn hạch toán'!$B:$E,3,0))</f>
        <v>1111</v>
      </c>
      <c r="J1113" s="59">
        <v>8.3677242E7</v>
      </c>
      <c r="K1113" s="60"/>
      <c r="L1113" s="61"/>
      <c r="M1113" s="62"/>
      <c r="N1113" s="63"/>
      <c r="O1113" s="64" t="str">
        <f>IF($Q1113&lt;&gt;0,VLOOKUP($Q1113,DM_KM,3,0),"")</f>
        <v/>
      </c>
      <c r="P1113" s="64" t="str">
        <f>IF($Q1113&lt;&gt;0,VLOOKUP($Q1113,DM_KM,5,0),"")</f>
        <v/>
      </c>
      <c r="Q1113" s="89"/>
      <c r="R1113" s="64" t="str">
        <f>IF(S1113&lt;&gt;0,VLOOKUP(S1113,DM_DUAN,3,0),"")</f>
        <v>#N/A</v>
      </c>
      <c r="S1113" s="66" t="str">
        <f>IF(U1113&lt;&gt;0,VLOOKUP(U1113,DM_DUAN,3,0),"")</f>
        <v/>
      </c>
      <c r="T1113" s="64"/>
      <c r="U1113" s="93"/>
      <c r="V1113" s="64" t="str">
        <f>IF(W1113&lt;&gt;0,VLOOKUP(W1113,DM_DUAN,3,0),"")</f>
        <v/>
      </c>
      <c r="W1113" s="68"/>
      <c r="X1113" s="64" t="str">
        <f>IF(Y1113&lt;&gt;0,VLOOKUP(Y1113,DM_DUAN,3,0),"")</f>
        <v/>
      </c>
      <c r="Y1113" s="84"/>
      <c r="Z1113" s="64" t="str">
        <f>IF(AA1113&lt;&gt;0,VLOOKUP(AA1113,DM_DUAN,3,0),"")</f>
        <v>#N/A</v>
      </c>
      <c r="AA1113" s="70" t="s">
        <v>177</v>
      </c>
      <c r="AB1113" s="64" t="str">
        <f>IF(AC1113&lt;&gt;0,VLOOKUP(AC1113,DM_DUAN,3,0),"")</f>
        <v/>
      </c>
      <c r="AC1113" s="85"/>
      <c r="AD1113" s="64" t="str">
        <f>IF(AC1113&lt;&gt;0,VLOOKUP(AC1113,DM_NV,2,0),"")</f>
        <v/>
      </c>
      <c r="AE1113" s="83" t="s">
        <v>256</v>
      </c>
      <c r="AF1113" s="64" t="str">
        <f>IF(AE1113&lt;&gt;0,VLOOKUP(AE1113,DM_NV,2,0),"")</f>
        <v>#N/A</v>
      </c>
    </row>
    <row r="1114">
      <c r="A1114" s="51"/>
      <c r="B1114" s="52" t="str">
        <f>IF(D1114="","",VLOOKUP(D1114,'THAM CHIẾU'!$A:$B,2,0))</f>
        <v>#N/A</v>
      </c>
      <c r="C1114" s="53" t="str">
        <f t="shared" si="5"/>
        <v>05/2022</v>
      </c>
      <c r="D1114" s="99">
        <v>44691.0</v>
      </c>
      <c r="E1114" s="141" t="s">
        <v>1100</v>
      </c>
      <c r="F1114" s="146"/>
      <c r="G1114" s="153" t="s">
        <v>254</v>
      </c>
      <c r="H1114" s="58" t="str">
        <f>IF(G1114="","",VLOOKUP($G1114,'Quy chuẩn hạch toán'!$B:$E,2,0))</f>
        <v>3341</v>
      </c>
      <c r="I1114" s="58" t="str">
        <f>IF(H1114="","",VLOOKUP($G1114,'Quy chuẩn hạch toán'!$B:$E,3,0))</f>
        <v>1111</v>
      </c>
      <c r="J1114" s="59">
        <v>1.49720851E8</v>
      </c>
      <c r="K1114" s="60"/>
      <c r="L1114" s="61"/>
      <c r="M1114" s="62"/>
      <c r="N1114" s="63"/>
      <c r="O1114" s="64" t="str">
        <f>IF($Q1114&lt;&gt;0,VLOOKUP($Q1114,DM_KM,3,0),"")</f>
        <v/>
      </c>
      <c r="P1114" s="64" t="str">
        <f>IF($Q1114&lt;&gt;0,VLOOKUP($Q1114,DM_KM,5,0),"")</f>
        <v/>
      </c>
      <c r="Q1114" s="89"/>
      <c r="R1114" s="64" t="str">
        <f>IF(S1114&lt;&gt;0,VLOOKUP(S1114,DM_DUAN,3,0),"")</f>
        <v>#N/A</v>
      </c>
      <c r="S1114" s="66" t="str">
        <f>IF(U1114&lt;&gt;0,VLOOKUP(U1114,DM_DUAN,3,0),"")</f>
        <v/>
      </c>
      <c r="T1114" s="64"/>
      <c r="U1114" s="93"/>
      <c r="V1114" s="64" t="str">
        <f>IF(W1114&lt;&gt;0,VLOOKUP(W1114,DM_DUAN,3,0),"")</f>
        <v/>
      </c>
      <c r="W1114" s="68"/>
      <c r="X1114" s="64" t="str">
        <f>IF(Y1114&lt;&gt;0,VLOOKUP(Y1114,DM_DUAN,3,0),"")</f>
        <v/>
      </c>
      <c r="Y1114" s="84"/>
      <c r="Z1114" s="64" t="str">
        <f>IF(AA1114&lt;&gt;0,VLOOKUP(AA1114,DM_DUAN,3,0),"")</f>
        <v>#N/A</v>
      </c>
      <c r="AA1114" s="70" t="s">
        <v>183</v>
      </c>
      <c r="AB1114" s="64" t="str">
        <f>IF(AC1114&lt;&gt;0,VLOOKUP(AC1114,DM_DUAN,3,0),"")</f>
        <v/>
      </c>
      <c r="AC1114" s="85"/>
      <c r="AD1114" s="64" t="str">
        <f>IF(AC1114&lt;&gt;0,VLOOKUP(AC1114,DM_NV,2,0),"")</f>
        <v/>
      </c>
      <c r="AE1114" s="83" t="s">
        <v>256</v>
      </c>
      <c r="AF1114" s="64" t="str">
        <f>IF(AE1114&lt;&gt;0,VLOOKUP(AE1114,DM_NV,2,0),"")</f>
        <v>#N/A</v>
      </c>
    </row>
    <row r="1115">
      <c r="A1115" s="51"/>
      <c r="B1115" s="52" t="str">
        <f>IF(D1115="","",VLOOKUP(D1115,'THAM CHIẾU'!$A:$B,2,0))</f>
        <v>#N/A</v>
      </c>
      <c r="C1115" s="53" t="str">
        <f t="shared" si="5"/>
        <v>05/2022</v>
      </c>
      <c r="D1115" s="99">
        <v>44691.0</v>
      </c>
      <c r="E1115" s="141" t="s">
        <v>1101</v>
      </c>
      <c r="F1115" s="146"/>
      <c r="G1115" s="153" t="s">
        <v>254</v>
      </c>
      <c r="H1115" s="58" t="str">
        <f>IF(G1115="","",VLOOKUP($G1115,'Quy chuẩn hạch toán'!$B:$E,2,0))</f>
        <v>3341</v>
      </c>
      <c r="I1115" s="58" t="str">
        <f>IF(H1115="","",VLOOKUP($G1115,'Quy chuẩn hạch toán'!$B:$E,3,0))</f>
        <v>1111</v>
      </c>
      <c r="J1115" s="59">
        <v>6.089658E7</v>
      </c>
      <c r="K1115" s="60"/>
      <c r="L1115" s="61"/>
      <c r="M1115" s="62"/>
      <c r="N1115" s="63"/>
      <c r="O1115" s="64" t="str">
        <f>IF($Q1115&lt;&gt;0,VLOOKUP($Q1115,DM_KM,3,0),"")</f>
        <v/>
      </c>
      <c r="P1115" s="64" t="str">
        <f>IF($Q1115&lt;&gt;0,VLOOKUP($Q1115,DM_KM,5,0),"")</f>
        <v/>
      </c>
      <c r="Q1115" s="89"/>
      <c r="R1115" s="64" t="str">
        <f>IF(S1115&lt;&gt;0,VLOOKUP(S1115,DM_DUAN,3,0),"")</f>
        <v>#N/A</v>
      </c>
      <c r="S1115" s="66" t="str">
        <f>IF(U1115&lt;&gt;0,VLOOKUP(U1115,DM_DUAN,3,0),"")</f>
        <v/>
      </c>
      <c r="T1115" s="64"/>
      <c r="U1115" s="93"/>
      <c r="V1115" s="64" t="str">
        <f>IF(W1115&lt;&gt;0,VLOOKUP(W1115,DM_DUAN,3,0),"")</f>
        <v/>
      </c>
      <c r="W1115" s="68"/>
      <c r="X1115" s="64" t="str">
        <f>IF(Y1115&lt;&gt;0,VLOOKUP(Y1115,DM_DUAN,3,0),"")</f>
        <v/>
      </c>
      <c r="Y1115" s="84"/>
      <c r="Z1115" s="64" t="str">
        <f>IF(AA1115&lt;&gt;0,VLOOKUP(AA1115,DM_DUAN,3,0),"")</f>
        <v>#N/A</v>
      </c>
      <c r="AA1115" s="70" t="s">
        <v>210</v>
      </c>
      <c r="AB1115" s="64" t="str">
        <f>IF(AC1115&lt;&gt;0,VLOOKUP(AC1115,DM_DUAN,3,0),"")</f>
        <v/>
      </c>
      <c r="AC1115" s="85"/>
      <c r="AD1115" s="64" t="str">
        <f>IF(AC1115&lt;&gt;0,VLOOKUP(AC1115,DM_NV,2,0),"")</f>
        <v/>
      </c>
      <c r="AE1115" s="83" t="s">
        <v>256</v>
      </c>
      <c r="AF1115" s="64" t="str">
        <f>IF(AE1115&lt;&gt;0,VLOOKUP(AE1115,DM_NV,2,0),"")</f>
        <v>#N/A</v>
      </c>
    </row>
    <row r="1116">
      <c r="A1116" s="51"/>
      <c r="B1116" s="52" t="str">
        <f>IF(D1116="","",VLOOKUP(D1116,'THAM CHIẾU'!$A:$B,2,0))</f>
        <v>#N/A</v>
      </c>
      <c r="C1116" s="53" t="str">
        <f t="shared" si="5"/>
        <v>05/2022</v>
      </c>
      <c r="D1116" s="99">
        <v>44691.0</v>
      </c>
      <c r="E1116" s="141" t="s">
        <v>1102</v>
      </c>
      <c r="F1116" s="146"/>
      <c r="G1116" s="153" t="s">
        <v>254</v>
      </c>
      <c r="H1116" s="58" t="str">
        <f>IF(G1116="","",VLOOKUP($G1116,'Quy chuẩn hạch toán'!$B:$E,2,0))</f>
        <v>3341</v>
      </c>
      <c r="I1116" s="58" t="str">
        <f>IF(H1116="","",VLOOKUP($G1116,'Quy chuẩn hạch toán'!$B:$E,3,0))</f>
        <v>1111</v>
      </c>
      <c r="J1116" s="59">
        <v>5.3108118E7</v>
      </c>
      <c r="K1116" s="60"/>
      <c r="L1116" s="61"/>
      <c r="M1116" s="62"/>
      <c r="N1116" s="63"/>
      <c r="O1116" s="64" t="str">
        <f>IF($Q1116&lt;&gt;0,VLOOKUP($Q1116,DM_KM,3,0),"")</f>
        <v/>
      </c>
      <c r="P1116" s="64" t="str">
        <f>IF($Q1116&lt;&gt;0,VLOOKUP($Q1116,DM_KM,5,0),"")</f>
        <v/>
      </c>
      <c r="Q1116" s="89"/>
      <c r="R1116" s="64" t="str">
        <f>IF(S1116&lt;&gt;0,VLOOKUP(S1116,DM_DUAN,3,0),"")</f>
        <v>#N/A</v>
      </c>
      <c r="S1116" s="66" t="str">
        <f>IF(U1116&lt;&gt;0,VLOOKUP(U1116,DM_DUAN,3,0),"")</f>
        <v/>
      </c>
      <c r="T1116" s="64"/>
      <c r="U1116" s="93"/>
      <c r="V1116" s="64" t="str">
        <f>IF(W1116&lt;&gt;0,VLOOKUP(W1116,DM_DUAN,3,0),"")</f>
        <v/>
      </c>
      <c r="W1116" s="68"/>
      <c r="X1116" s="64" t="str">
        <f>IF(Y1116&lt;&gt;0,VLOOKUP(Y1116,DM_DUAN,3,0),"")</f>
        <v/>
      </c>
      <c r="Y1116" s="84"/>
      <c r="Z1116" s="64" t="str">
        <f>IF(AA1116&lt;&gt;0,VLOOKUP(AA1116,DM_DUAN,3,0),"")</f>
        <v>#N/A</v>
      </c>
      <c r="AA1116" s="70" t="s">
        <v>705</v>
      </c>
      <c r="AB1116" s="64" t="str">
        <f>IF(AC1116&lt;&gt;0,VLOOKUP(AC1116,DM_DUAN,3,0),"")</f>
        <v/>
      </c>
      <c r="AC1116" s="85"/>
      <c r="AD1116" s="64" t="str">
        <f>IF(AC1116&lt;&gt;0,VLOOKUP(AC1116,DM_NV,2,0),"")</f>
        <v/>
      </c>
      <c r="AE1116" s="83" t="s">
        <v>256</v>
      </c>
      <c r="AF1116" s="64" t="str">
        <f>IF(AE1116&lt;&gt;0,VLOOKUP(AE1116,DM_NV,2,0),"")</f>
        <v>#N/A</v>
      </c>
    </row>
    <row r="1117">
      <c r="A1117" s="51"/>
      <c r="B1117" s="52" t="str">
        <f>IF(D1117="","",VLOOKUP(D1117,'THAM CHIẾU'!$A:$B,2,0))</f>
        <v>#N/A</v>
      </c>
      <c r="C1117" s="53" t="str">
        <f t="shared" si="5"/>
        <v>05/2022</v>
      </c>
      <c r="D1117" s="99">
        <v>44691.0</v>
      </c>
      <c r="E1117" s="141" t="s">
        <v>1103</v>
      </c>
      <c r="F1117" s="146"/>
      <c r="G1117" s="153" t="s">
        <v>254</v>
      </c>
      <c r="H1117" s="58" t="str">
        <f>IF(G1117="","",VLOOKUP($G1117,'Quy chuẩn hạch toán'!$B:$E,2,0))</f>
        <v>3341</v>
      </c>
      <c r="I1117" s="58" t="str">
        <f>IF(H1117="","",VLOOKUP($G1117,'Quy chuẩn hạch toán'!$B:$E,3,0))</f>
        <v>1111</v>
      </c>
      <c r="J1117" s="59">
        <v>8611440.0</v>
      </c>
      <c r="K1117" s="60"/>
      <c r="L1117" s="61"/>
      <c r="M1117" s="62"/>
      <c r="N1117" s="63"/>
      <c r="O1117" s="64" t="str">
        <f>IF($Q1117&lt;&gt;0,VLOOKUP($Q1117,DM_KM,3,0),"")</f>
        <v/>
      </c>
      <c r="P1117" s="64" t="str">
        <f>IF($Q1117&lt;&gt;0,VLOOKUP($Q1117,DM_KM,5,0),"")</f>
        <v/>
      </c>
      <c r="Q1117" s="89"/>
      <c r="R1117" s="64" t="str">
        <f>IF(S1117&lt;&gt;0,VLOOKUP(S1117,DM_DUAN,3,0),"")</f>
        <v>#N/A</v>
      </c>
      <c r="S1117" s="66" t="str">
        <f>IF(U1117&lt;&gt;0,VLOOKUP(U1117,DM_DUAN,3,0),"")</f>
        <v/>
      </c>
      <c r="T1117" s="64"/>
      <c r="U1117" s="93"/>
      <c r="V1117" s="64" t="str">
        <f>IF(W1117&lt;&gt;0,VLOOKUP(W1117,DM_DUAN,3,0),"")</f>
        <v/>
      </c>
      <c r="W1117" s="68"/>
      <c r="X1117" s="64" t="str">
        <f>IF(Y1117&lt;&gt;0,VLOOKUP(Y1117,DM_DUAN,3,0),"")</f>
        <v/>
      </c>
      <c r="Y1117" s="84"/>
      <c r="Z1117" s="64" t="str">
        <f>IF(AA1117&lt;&gt;0,VLOOKUP(AA1117,DM_DUAN,3,0),"")</f>
        <v>#N/A</v>
      </c>
      <c r="AA1117" s="70" t="s">
        <v>810</v>
      </c>
      <c r="AB1117" s="64" t="str">
        <f>IF(AC1117&lt;&gt;0,VLOOKUP(AC1117,DM_DUAN,3,0),"")</f>
        <v/>
      </c>
      <c r="AC1117" s="85"/>
      <c r="AD1117" s="64" t="str">
        <f>IF(AC1117&lt;&gt;0,VLOOKUP(AC1117,DM_NV,2,0),"")</f>
        <v/>
      </c>
      <c r="AE1117" s="83" t="s">
        <v>256</v>
      </c>
      <c r="AF1117" s="64" t="str">
        <f>IF(AE1117&lt;&gt;0,VLOOKUP(AE1117,DM_NV,2,0),"")</f>
        <v>#N/A</v>
      </c>
    </row>
    <row r="1118">
      <c r="A1118" s="51"/>
      <c r="B1118" s="52" t="str">
        <f>IF(D1118="","",VLOOKUP(D1118,'THAM CHIẾU'!$A:$B,2,0))</f>
        <v>#N/A</v>
      </c>
      <c r="C1118" s="53" t="str">
        <f t="shared" si="5"/>
        <v>05/2022</v>
      </c>
      <c r="D1118" s="99">
        <v>44691.0</v>
      </c>
      <c r="E1118" s="55" t="s">
        <v>1104</v>
      </c>
      <c r="F1118" s="56"/>
      <c r="G1118" s="57" t="s">
        <v>361</v>
      </c>
      <c r="H1118" s="58" t="str">
        <f>IF(G1118="","",VLOOKUP($G1118,'Quy chuẩn hạch toán'!$B:$E,2,0))</f>
        <v>#N/A</v>
      </c>
      <c r="I1118" s="58" t="str">
        <f>IF(H1118="","",VLOOKUP($G1118,'Quy chuẩn hạch toán'!$B:$E,3,0))</f>
        <v>#N/A</v>
      </c>
      <c r="J1118" s="59">
        <v>1.03074469E8</v>
      </c>
      <c r="K1118" s="60"/>
      <c r="L1118" s="61"/>
      <c r="M1118" s="62"/>
      <c r="N1118" s="63"/>
      <c r="O1118" s="64" t="str">
        <f>IF($Q1118&lt;&gt;0,VLOOKUP($Q1118,DM_KM,3,0),"")</f>
        <v/>
      </c>
      <c r="P1118" s="64" t="str">
        <f>IF($Q1118&lt;&gt;0,VLOOKUP($Q1118,DM_KM,5,0),"")</f>
        <v/>
      </c>
      <c r="Q1118" s="89"/>
      <c r="R1118" s="64" t="str">
        <f>IF(S1118&lt;&gt;0,VLOOKUP(S1118,DM_DUAN,3,0),"")</f>
        <v>#N/A</v>
      </c>
      <c r="S1118" s="66" t="str">
        <f>IF(U1118&lt;&gt;0,VLOOKUP(U1118,DM_DUAN,3,0),"")</f>
        <v/>
      </c>
      <c r="T1118" s="64"/>
      <c r="U1118" s="93"/>
      <c r="V1118" s="64" t="str">
        <f>IF(W1118&lt;&gt;0,VLOOKUP(W1118,DM_DUAN,3,0),"")</f>
        <v/>
      </c>
      <c r="W1118" s="68"/>
      <c r="X1118" s="64" t="str">
        <f>IF(Y1118&lt;&gt;0,VLOOKUP(Y1118,DM_DUAN,3,0),"")</f>
        <v/>
      </c>
      <c r="Y1118" s="84"/>
      <c r="Z1118" s="64" t="str">
        <f>IF(AA1118&lt;&gt;0,VLOOKUP(AA1118,DM_DUAN,3,0),"")</f>
        <v>#N/A</v>
      </c>
      <c r="AA1118" s="70" t="s">
        <v>183</v>
      </c>
      <c r="AB1118" s="64" t="str">
        <f>IF(AC1118&lt;&gt;0,VLOOKUP(AC1118,DM_DUAN,3,0),"")</f>
        <v>#N/A</v>
      </c>
      <c r="AC1118" s="70" t="s">
        <v>191</v>
      </c>
      <c r="AD1118" s="64" t="str">
        <f>IF(AC1118&lt;&gt;0,VLOOKUP(AC1118,DM_NV,2,0),"")</f>
        <v>Nguyễn Anh Vy</v>
      </c>
      <c r="AE1118" s="68"/>
      <c r="AF1118" s="64" t="str">
        <f>IF(AE1118&lt;&gt;0,VLOOKUP(AE1118,DM_NV,2,0),"")</f>
        <v/>
      </c>
    </row>
    <row r="1119">
      <c r="A1119" s="51"/>
      <c r="B1119" s="52" t="str">
        <f>IF(D1119="","",VLOOKUP(D1119,'THAM CHIẾU'!$A:$B,2,0))</f>
        <v>#N/A</v>
      </c>
      <c r="C1119" s="53" t="str">
        <f t="shared" si="5"/>
        <v>05/2022</v>
      </c>
      <c r="D1119" s="99">
        <v>44691.0</v>
      </c>
      <c r="E1119" s="55" t="s">
        <v>1105</v>
      </c>
      <c r="F1119" s="56"/>
      <c r="G1119" s="57" t="s">
        <v>361</v>
      </c>
      <c r="H1119" s="58" t="str">
        <f>IF(G1119="","",VLOOKUP($G1119,'Quy chuẩn hạch toán'!$B:$E,2,0))</f>
        <v>#N/A</v>
      </c>
      <c r="I1119" s="58" t="str">
        <f>IF(H1119="","",VLOOKUP($G1119,'Quy chuẩn hạch toán'!$B:$E,3,0))</f>
        <v>#N/A</v>
      </c>
      <c r="J1119" s="59">
        <v>1.0728159E8</v>
      </c>
      <c r="K1119" s="60"/>
      <c r="L1119" s="61"/>
      <c r="M1119" s="62"/>
      <c r="N1119" s="63"/>
      <c r="O1119" s="64" t="str">
        <f>IF($Q1119&lt;&gt;0,VLOOKUP($Q1119,DM_KM,3,0),"")</f>
        <v/>
      </c>
      <c r="P1119" s="64" t="str">
        <f>IF($Q1119&lt;&gt;0,VLOOKUP($Q1119,DM_KM,5,0),"")</f>
        <v/>
      </c>
      <c r="Q1119" s="89"/>
      <c r="R1119" s="64" t="str">
        <f>IF(S1119&lt;&gt;0,VLOOKUP(S1119,DM_DUAN,3,0),"")</f>
        <v>#N/A</v>
      </c>
      <c r="S1119" s="66" t="str">
        <f>IF(U1119&lt;&gt;0,VLOOKUP(U1119,DM_DUAN,3,0),"")</f>
        <v/>
      </c>
      <c r="T1119" s="64"/>
      <c r="U1119" s="93"/>
      <c r="V1119" s="64" t="str">
        <f>IF(W1119&lt;&gt;0,VLOOKUP(W1119,DM_DUAN,3,0),"")</f>
        <v/>
      </c>
      <c r="W1119" s="68"/>
      <c r="X1119" s="64" t="str">
        <f>IF(Y1119&lt;&gt;0,VLOOKUP(Y1119,DM_DUAN,3,0),"")</f>
        <v/>
      </c>
      <c r="Y1119" s="84"/>
      <c r="Z1119" s="64" t="str">
        <f>IF(AA1119&lt;&gt;0,VLOOKUP(AA1119,DM_DUAN,3,0),"")</f>
        <v>#N/A</v>
      </c>
      <c r="AA1119" s="70" t="s">
        <v>183</v>
      </c>
      <c r="AB1119" s="64" t="str">
        <f>IF(AC1119&lt;&gt;0,VLOOKUP(AC1119,DM_DUAN,3,0),"")</f>
        <v>#N/A</v>
      </c>
      <c r="AC1119" s="70" t="s">
        <v>335</v>
      </c>
      <c r="AD1119" s="64" t="str">
        <f>IF(AC1119&lt;&gt;0,VLOOKUP(AC1119,DM_NV,2,0),"")</f>
        <v>Trần Phước Thành</v>
      </c>
      <c r="AE1119" s="68"/>
      <c r="AF1119" s="64" t="str">
        <f>IF(AE1119&lt;&gt;0,VLOOKUP(AE1119,DM_NV,2,0),"")</f>
        <v/>
      </c>
    </row>
    <row r="1120">
      <c r="A1120" s="51"/>
      <c r="B1120" s="52" t="str">
        <f>IF(D1120="","",VLOOKUP(D1120,'THAM CHIẾU'!$A:$B,2,0))</f>
        <v>#N/A</v>
      </c>
      <c r="C1120" s="53" t="str">
        <f t="shared" si="5"/>
        <v>05/2022</v>
      </c>
      <c r="D1120" s="99">
        <v>44691.0</v>
      </c>
      <c r="E1120" s="55" t="s">
        <v>1106</v>
      </c>
      <c r="F1120" s="56"/>
      <c r="G1120" s="57" t="s">
        <v>361</v>
      </c>
      <c r="H1120" s="58" t="str">
        <f>IF(G1120="","",VLOOKUP($G1120,'Quy chuẩn hạch toán'!$B:$E,2,0))</f>
        <v>#N/A</v>
      </c>
      <c r="I1120" s="58" t="str">
        <f>IF(H1120="","",VLOOKUP($G1120,'Quy chuẩn hạch toán'!$B:$E,3,0))</f>
        <v>#N/A</v>
      </c>
      <c r="J1120" s="59">
        <v>3.42700304E8</v>
      </c>
      <c r="K1120" s="60"/>
      <c r="L1120" s="61"/>
      <c r="M1120" s="62"/>
      <c r="N1120" s="63"/>
      <c r="O1120" s="64" t="str">
        <f>IF($Q1120&lt;&gt;0,VLOOKUP($Q1120,DM_KM,3,0),"")</f>
        <v/>
      </c>
      <c r="P1120" s="64" t="str">
        <f>IF($Q1120&lt;&gt;0,VLOOKUP($Q1120,DM_KM,5,0),"")</f>
        <v/>
      </c>
      <c r="Q1120" s="89"/>
      <c r="R1120" s="64" t="str">
        <f>IF(S1120&lt;&gt;0,VLOOKUP(S1120,DM_DUAN,3,0),"")</f>
        <v>#N/A</v>
      </c>
      <c r="S1120" s="66" t="str">
        <f>IF(U1120&lt;&gt;0,VLOOKUP(U1120,DM_DUAN,3,0),"")</f>
        <v/>
      </c>
      <c r="T1120" s="64"/>
      <c r="U1120" s="93"/>
      <c r="V1120" s="64" t="str">
        <f>IF(W1120&lt;&gt;0,VLOOKUP(W1120,DM_DUAN,3,0),"")</f>
        <v/>
      </c>
      <c r="W1120" s="68"/>
      <c r="X1120" s="64" t="str">
        <f>IF(Y1120&lt;&gt;0,VLOOKUP(Y1120,DM_DUAN,3,0),"")</f>
        <v/>
      </c>
      <c r="Y1120" s="84"/>
      <c r="Z1120" s="64" t="str">
        <f>IF(AA1120&lt;&gt;0,VLOOKUP(AA1120,DM_DUAN,3,0),"")</f>
        <v>#N/A</v>
      </c>
      <c r="AA1120" s="70" t="s">
        <v>177</v>
      </c>
      <c r="AB1120" s="64" t="str">
        <f>IF(AC1120&lt;&gt;0,VLOOKUP(AC1120,DM_DUAN,3,0),"")</f>
        <v>#N/A</v>
      </c>
      <c r="AC1120" s="70" t="s">
        <v>178</v>
      </c>
      <c r="AD1120" s="64" t="str">
        <f>IF(AC1120&lt;&gt;0,VLOOKUP(AC1120,DM_NV,2,0),"")</f>
        <v>Lê Hoàng Quân</v>
      </c>
      <c r="AE1120" s="68"/>
      <c r="AF1120" s="64" t="str">
        <f>IF(AE1120&lt;&gt;0,VLOOKUP(AE1120,DM_NV,2,0),"")</f>
        <v/>
      </c>
    </row>
    <row r="1121">
      <c r="A1121" s="51"/>
      <c r="B1121" s="52" t="str">
        <f>IF(D1121="","",VLOOKUP(D1121,'THAM CHIẾU'!$A:$B,2,0))</f>
        <v>#N/A</v>
      </c>
      <c r="C1121" s="53" t="str">
        <f t="shared" si="5"/>
        <v>05/2022</v>
      </c>
      <c r="D1121" s="99">
        <v>44691.0</v>
      </c>
      <c r="E1121" s="55" t="s">
        <v>1107</v>
      </c>
      <c r="F1121" s="56"/>
      <c r="G1121" s="57" t="s">
        <v>361</v>
      </c>
      <c r="H1121" s="58" t="str">
        <f>IF(G1121="","",VLOOKUP($G1121,'Quy chuẩn hạch toán'!$B:$E,2,0))</f>
        <v>#N/A</v>
      </c>
      <c r="I1121" s="58" t="str">
        <f>IF(H1121="","",VLOOKUP($G1121,'Quy chuẩn hạch toán'!$B:$E,3,0))</f>
        <v>#N/A</v>
      </c>
      <c r="J1121" s="59">
        <v>3.56688572E8</v>
      </c>
      <c r="K1121" s="60"/>
      <c r="L1121" s="61"/>
      <c r="M1121" s="62"/>
      <c r="N1121" s="63"/>
      <c r="O1121" s="64" t="str">
        <f>IF($Q1121&lt;&gt;0,VLOOKUP($Q1121,DM_KM,3,0),"")</f>
        <v/>
      </c>
      <c r="P1121" s="64" t="str">
        <f>IF($Q1121&lt;&gt;0,VLOOKUP($Q1121,DM_KM,5,0),"")</f>
        <v/>
      </c>
      <c r="Q1121" s="89"/>
      <c r="R1121" s="64" t="str">
        <f>IF(S1121&lt;&gt;0,VLOOKUP(S1121,DM_DUAN,3,0),"")</f>
        <v>#N/A</v>
      </c>
      <c r="S1121" s="66" t="str">
        <f>IF(U1121&lt;&gt;0,VLOOKUP(U1121,DM_DUAN,3,0),"")</f>
        <v/>
      </c>
      <c r="T1121" s="64"/>
      <c r="U1121" s="93"/>
      <c r="V1121" s="64" t="str">
        <f>IF(W1121&lt;&gt;0,VLOOKUP(W1121,DM_DUAN,3,0),"")</f>
        <v/>
      </c>
      <c r="W1121" s="68"/>
      <c r="X1121" s="64" t="str">
        <f>IF(Y1121&lt;&gt;0,VLOOKUP(Y1121,DM_DUAN,3,0),"")</f>
        <v/>
      </c>
      <c r="Y1121" s="84"/>
      <c r="Z1121" s="64" t="str">
        <f>IF(AA1121&lt;&gt;0,VLOOKUP(AA1121,DM_DUAN,3,0),"")</f>
        <v>#N/A</v>
      </c>
      <c r="AA1121" s="70" t="s">
        <v>177</v>
      </c>
      <c r="AB1121" s="64" t="str">
        <f>IF(AC1121&lt;&gt;0,VLOOKUP(AC1121,DM_DUAN,3,0),"")</f>
        <v>#N/A</v>
      </c>
      <c r="AC1121" s="70" t="s">
        <v>335</v>
      </c>
      <c r="AD1121" s="64" t="str">
        <f>IF(AC1121&lt;&gt;0,VLOOKUP(AC1121,DM_NV,2,0),"")</f>
        <v>Trần Phước Thành</v>
      </c>
      <c r="AE1121" s="68"/>
      <c r="AF1121" s="64" t="str">
        <f>IF(AE1121&lt;&gt;0,VLOOKUP(AE1121,DM_NV,2,0),"")</f>
        <v/>
      </c>
    </row>
    <row r="1122">
      <c r="A1122" s="51"/>
      <c r="B1122" s="52" t="str">
        <f>IF(D1122="","",VLOOKUP(D1122,'THAM CHIẾU'!$A:$B,2,0))</f>
        <v>#N/A</v>
      </c>
      <c r="C1122" s="53" t="str">
        <f t="shared" si="5"/>
        <v>05/2022</v>
      </c>
      <c r="D1122" s="99">
        <v>44691.0</v>
      </c>
      <c r="E1122" s="55" t="s">
        <v>1108</v>
      </c>
      <c r="F1122" s="56"/>
      <c r="G1122" s="57" t="s">
        <v>361</v>
      </c>
      <c r="H1122" s="58" t="str">
        <f>IF(G1122="","",VLOOKUP($G1122,'Quy chuẩn hạch toán'!$B:$E,2,0))</f>
        <v>#N/A</v>
      </c>
      <c r="I1122" s="58" t="str">
        <f>IF(H1122="","",VLOOKUP($G1122,'Quy chuẩn hạch toán'!$B:$E,3,0))</f>
        <v>#N/A</v>
      </c>
      <c r="J1122" s="59">
        <v>-4.4617943E7</v>
      </c>
      <c r="K1122" s="60"/>
      <c r="L1122" s="61"/>
      <c r="M1122" s="62"/>
      <c r="N1122" s="63"/>
      <c r="O1122" s="64" t="str">
        <f>IF($Q1122&lt;&gt;0,VLOOKUP($Q1122,DM_KM,3,0),"")</f>
        <v/>
      </c>
      <c r="P1122" s="64" t="str">
        <f>IF($Q1122&lt;&gt;0,VLOOKUP($Q1122,DM_KM,5,0),"")</f>
        <v/>
      </c>
      <c r="Q1122" s="89"/>
      <c r="R1122" s="64" t="str">
        <f>IF(S1122&lt;&gt;0,VLOOKUP(S1122,DM_DUAN,3,0),"")</f>
        <v>#N/A</v>
      </c>
      <c r="S1122" s="66" t="str">
        <f>IF(U1122&lt;&gt;0,VLOOKUP(U1122,DM_DUAN,3,0),"")</f>
        <v/>
      </c>
      <c r="T1122" s="64"/>
      <c r="U1122" s="93"/>
      <c r="V1122" s="64" t="str">
        <f>IF(W1122&lt;&gt;0,VLOOKUP(W1122,DM_DUAN,3,0),"")</f>
        <v/>
      </c>
      <c r="W1122" s="68"/>
      <c r="X1122" s="64" t="str">
        <f>IF(Y1122&lt;&gt;0,VLOOKUP(Y1122,DM_DUAN,3,0),"")</f>
        <v/>
      </c>
      <c r="Y1122" s="84"/>
      <c r="Z1122" s="64" t="str">
        <f>IF(AA1122&lt;&gt;0,VLOOKUP(AA1122,DM_DUAN,3,0),"")</f>
        <v>#N/A</v>
      </c>
      <c r="AA1122" s="70" t="s">
        <v>210</v>
      </c>
      <c r="AB1122" s="64" t="str">
        <f>IF(AC1122&lt;&gt;0,VLOOKUP(AC1122,DM_DUAN,3,0),"")</f>
        <v>#N/A</v>
      </c>
      <c r="AC1122" s="70" t="s">
        <v>436</v>
      </c>
      <c r="AD1122" s="64" t="str">
        <f>IF(AC1122&lt;&gt;0,VLOOKUP(AC1122,DM_NV,2,0),"")</f>
        <v>Đinh Hoàng Nam</v>
      </c>
      <c r="AE1122" s="83" t="s">
        <v>1109</v>
      </c>
      <c r="AF1122" s="64" t="str">
        <f>IF(AE1122&lt;&gt;0,VLOOKUP(AE1122,DM_NV,2,0),"")</f>
        <v>#N/A</v>
      </c>
    </row>
    <row r="1123">
      <c r="A1123" s="51"/>
      <c r="B1123" s="52" t="str">
        <f>IF(D1123="","",VLOOKUP(D1123,'THAM CHIẾU'!$A:$B,2,0))</f>
        <v>#N/A</v>
      </c>
      <c r="C1123" s="53" t="str">
        <f t="shared" si="5"/>
        <v>05/2022</v>
      </c>
      <c r="D1123" s="99">
        <v>44691.0</v>
      </c>
      <c r="E1123" s="55" t="s">
        <v>1110</v>
      </c>
      <c r="F1123" s="56"/>
      <c r="G1123" s="57" t="s">
        <v>361</v>
      </c>
      <c r="H1123" s="58" t="str">
        <f>IF(G1123="","",VLOOKUP($G1123,'Quy chuẩn hạch toán'!$B:$E,2,0))</f>
        <v>#N/A</v>
      </c>
      <c r="I1123" s="58" t="str">
        <f>IF(H1123="","",VLOOKUP($G1123,'Quy chuẩn hạch toán'!$B:$E,3,0))</f>
        <v>#N/A</v>
      </c>
      <c r="J1123" s="59">
        <v>-4.6439084E7</v>
      </c>
      <c r="K1123" s="60"/>
      <c r="L1123" s="61"/>
      <c r="M1123" s="62"/>
      <c r="N1123" s="63"/>
      <c r="O1123" s="64" t="str">
        <f>IF($Q1123&lt;&gt;0,VLOOKUP($Q1123,DM_KM,3,0),"")</f>
        <v/>
      </c>
      <c r="P1123" s="64" t="str">
        <f>IF($Q1123&lt;&gt;0,VLOOKUP($Q1123,DM_KM,5,0),"")</f>
        <v/>
      </c>
      <c r="Q1123" s="89"/>
      <c r="R1123" s="64" t="str">
        <f>IF(S1123&lt;&gt;0,VLOOKUP(S1123,DM_DUAN,3,0),"")</f>
        <v>#N/A</v>
      </c>
      <c r="S1123" s="66" t="str">
        <f>IF(U1123&lt;&gt;0,VLOOKUP(U1123,DM_DUAN,3,0),"")</f>
        <v/>
      </c>
      <c r="T1123" s="64"/>
      <c r="U1123" s="93"/>
      <c r="V1123" s="64" t="str">
        <f>IF(W1123&lt;&gt;0,VLOOKUP(W1123,DM_DUAN,3,0),"")</f>
        <v/>
      </c>
      <c r="W1123" s="68"/>
      <c r="X1123" s="64" t="str">
        <f>IF(Y1123&lt;&gt;0,VLOOKUP(Y1123,DM_DUAN,3,0),"")</f>
        <v/>
      </c>
      <c r="Y1123" s="84"/>
      <c r="Z1123" s="64" t="str">
        <f>IF(AA1123&lt;&gt;0,VLOOKUP(AA1123,DM_DUAN,3,0),"")</f>
        <v>#N/A</v>
      </c>
      <c r="AA1123" s="70" t="s">
        <v>210</v>
      </c>
      <c r="AB1123" s="64" t="str">
        <f>IF(AC1123&lt;&gt;0,VLOOKUP(AC1123,DM_DUAN,3,0),"")</f>
        <v>#N/A</v>
      </c>
      <c r="AC1123" s="70" t="s">
        <v>335</v>
      </c>
      <c r="AD1123" s="64" t="str">
        <f>IF(AC1123&lt;&gt;0,VLOOKUP(AC1123,DM_NV,2,0),"")</f>
        <v>Trần Phước Thành</v>
      </c>
      <c r="AE1123" s="83" t="s">
        <v>1109</v>
      </c>
      <c r="AF1123" s="64" t="str">
        <f>IF(AE1123&lt;&gt;0,VLOOKUP(AE1123,DM_NV,2,0),"")</f>
        <v>#N/A</v>
      </c>
    </row>
    <row r="1124">
      <c r="A1124" s="51"/>
      <c r="B1124" s="52"/>
      <c r="C1124" s="53" t="str">
        <f t="shared" si="5"/>
        <v>05/2022</v>
      </c>
      <c r="D1124" s="99">
        <v>44691.0</v>
      </c>
      <c r="E1124" s="55" t="s">
        <v>1111</v>
      </c>
      <c r="F1124" s="56"/>
      <c r="G1124" s="57" t="s">
        <v>361</v>
      </c>
      <c r="H1124" s="58" t="str">
        <f>IF(G1124="","",VLOOKUP($G1124,'Quy chuẩn hạch toán'!$B:$E,2,0))</f>
        <v>#N/A</v>
      </c>
      <c r="I1124" s="58" t="str">
        <f>IF(H1124="","",VLOOKUP($G1124,'Quy chuẩn hạch toán'!$B:$E,3,0))</f>
        <v>#N/A</v>
      </c>
      <c r="J1124" s="59">
        <v>2.10472437E8</v>
      </c>
      <c r="K1124" s="60"/>
      <c r="L1124" s="61"/>
      <c r="M1124" s="62"/>
      <c r="N1124" s="63"/>
      <c r="O1124" s="64"/>
      <c r="P1124" s="64"/>
      <c r="Q1124" s="89"/>
      <c r="R1124" s="64"/>
      <c r="S1124" s="66"/>
      <c r="T1124" s="64"/>
      <c r="U1124" s="93"/>
      <c r="V1124" s="64"/>
      <c r="W1124" s="68"/>
      <c r="X1124" s="64"/>
      <c r="Y1124" s="84"/>
      <c r="Z1124" s="64"/>
      <c r="AA1124" s="70" t="s">
        <v>705</v>
      </c>
      <c r="AB1124" s="64"/>
      <c r="AC1124" s="70" t="s">
        <v>335</v>
      </c>
      <c r="AD1124" s="64" t="str">
        <f>IF(AC1124&lt;&gt;0,VLOOKUP(AC1124,DM_NV,2,0),"")</f>
        <v>Trần Phước Thành</v>
      </c>
      <c r="AE1124" s="68"/>
      <c r="AF1124" s="64" t="str">
        <f>IF(AE1124&lt;&gt;0,VLOOKUP(AE1124,DM_NV,2,0),"")</f>
        <v/>
      </c>
    </row>
    <row r="1125">
      <c r="A1125" s="51"/>
      <c r="B1125" s="52"/>
      <c r="C1125" s="53" t="str">
        <f t="shared" si="5"/>
        <v>05/2022</v>
      </c>
      <c r="D1125" s="99">
        <v>44691.0</v>
      </c>
      <c r="E1125" s="55" t="s">
        <v>1112</v>
      </c>
      <c r="F1125" s="56"/>
      <c r="G1125" s="57" t="s">
        <v>361</v>
      </c>
      <c r="H1125" s="58" t="str">
        <f>IF(G1125="","",VLOOKUP($G1125,'Quy chuẩn hạch toán'!$B:$E,2,0))</f>
        <v>#N/A</v>
      </c>
      <c r="I1125" s="58" t="str">
        <f>IF(H1125="","",VLOOKUP($G1125,'Quy chuẩn hạch toán'!$B:$E,3,0))</f>
        <v>#N/A</v>
      </c>
      <c r="J1125" s="59">
        <v>-1.808544E7</v>
      </c>
      <c r="K1125" s="60"/>
      <c r="L1125" s="61"/>
      <c r="M1125" s="62"/>
      <c r="N1125" s="63"/>
      <c r="O1125" s="64"/>
      <c r="P1125" s="64"/>
      <c r="Q1125" s="89"/>
      <c r="R1125" s="64"/>
      <c r="S1125" s="66"/>
      <c r="T1125" s="64"/>
      <c r="U1125" s="93"/>
      <c r="V1125" s="64"/>
      <c r="W1125" s="68"/>
      <c r="X1125" s="64"/>
      <c r="Y1125" s="84"/>
      <c r="Z1125" s="64"/>
      <c r="AA1125" s="70" t="s">
        <v>810</v>
      </c>
      <c r="AB1125" s="64"/>
      <c r="AC1125" s="70" t="s">
        <v>335</v>
      </c>
      <c r="AD1125" s="64" t="str">
        <f>IF(AC1125&lt;&gt;0,VLOOKUP(AC1125,DM_NV,2,0),"")</f>
        <v>Trần Phước Thành</v>
      </c>
      <c r="AE1125" s="83" t="s">
        <v>1109</v>
      </c>
      <c r="AF1125" s="64" t="str">
        <f>IF(AE1125&lt;&gt;0,VLOOKUP(AE1125,DM_NV,2,0),"")</f>
        <v>#N/A</v>
      </c>
    </row>
    <row r="1126">
      <c r="A1126" s="51"/>
      <c r="B1126" s="52"/>
      <c r="C1126" s="53" t="str">
        <f t="shared" si="5"/>
        <v/>
      </c>
      <c r="D1126" s="99"/>
      <c r="E1126" s="55"/>
      <c r="F1126" s="56"/>
      <c r="G1126" s="90"/>
      <c r="H1126" s="58" t="str">
        <f>IF(G1126="","",VLOOKUP($G1126,'Quy chuẩn hạch toán'!$B:$E,2,0))</f>
        <v/>
      </c>
      <c r="I1126" s="58" t="str">
        <f>IF(H1126="","",VLOOKUP($G1126,'Quy chuẩn hạch toán'!$B:$E,3,0))</f>
        <v/>
      </c>
      <c r="J1126" s="59"/>
      <c r="K1126" s="60"/>
      <c r="L1126" s="61"/>
      <c r="M1126" s="62"/>
      <c r="N1126" s="63"/>
      <c r="O1126" s="64"/>
      <c r="P1126" s="64"/>
      <c r="Q1126" s="89"/>
      <c r="R1126" s="64"/>
      <c r="S1126" s="66"/>
      <c r="T1126" s="64"/>
      <c r="U1126" s="93"/>
      <c r="V1126" s="64"/>
      <c r="W1126" s="68"/>
      <c r="X1126" s="64"/>
      <c r="Y1126" s="84"/>
      <c r="Z1126" s="64"/>
      <c r="AA1126" s="131"/>
      <c r="AB1126" s="64"/>
      <c r="AC1126" s="85"/>
      <c r="AD1126" s="64" t="str">
        <f>IF(AC1126&lt;&gt;0,VLOOKUP(AC1126,DM_NV,2,0),"")</f>
        <v/>
      </c>
      <c r="AE1126" s="68"/>
      <c r="AF1126" s="64" t="str">
        <f>IF(AE1126&lt;&gt;0,VLOOKUP(AE1126,DM_NV,2,0),"")</f>
        <v/>
      </c>
    </row>
    <row r="1127">
      <c r="A1127" s="51"/>
      <c r="B1127" s="52"/>
      <c r="C1127" s="53" t="str">
        <f t="shared" si="5"/>
        <v/>
      </c>
      <c r="D1127" s="99"/>
      <c r="E1127" s="55"/>
      <c r="F1127" s="56"/>
      <c r="G1127" s="90"/>
      <c r="H1127" s="58" t="str">
        <f>IF(G1127="","",VLOOKUP($G1127,'Quy chuẩn hạch toán'!$B:$E,2,0))</f>
        <v/>
      </c>
      <c r="I1127" s="58" t="str">
        <f>IF(H1127="","",VLOOKUP($G1127,'Quy chuẩn hạch toán'!$B:$E,3,0))</f>
        <v/>
      </c>
      <c r="J1127" s="59"/>
      <c r="K1127" s="60"/>
      <c r="L1127" s="61"/>
      <c r="M1127" s="62"/>
      <c r="N1127" s="63"/>
      <c r="O1127" s="64"/>
      <c r="P1127" s="64"/>
      <c r="Q1127" s="89"/>
      <c r="R1127" s="64"/>
      <c r="S1127" s="66"/>
      <c r="T1127" s="64"/>
      <c r="U1127" s="93"/>
      <c r="V1127" s="64"/>
      <c r="W1127" s="68"/>
      <c r="X1127" s="64"/>
      <c r="Y1127" s="84"/>
      <c r="Z1127" s="64"/>
      <c r="AA1127" s="131"/>
      <c r="AB1127" s="64"/>
      <c r="AC1127" s="85"/>
      <c r="AD1127" s="64" t="str">
        <f>IF(AC1127&lt;&gt;0,VLOOKUP(AC1127,DM_NV,2,0),"")</f>
        <v/>
      </c>
      <c r="AE1127" s="68"/>
      <c r="AF1127" s="64" t="str">
        <f>IF(AE1127&lt;&gt;0,VLOOKUP(AE1127,DM_NV,2,0),"")</f>
        <v/>
      </c>
    </row>
    <row r="1128">
      <c r="A1128" s="51"/>
      <c r="B1128" s="52" t="str">
        <f>IF(D1128="","",VLOOKUP(D1128,'THAM CHIẾU'!$A:$B,2,0))</f>
        <v/>
      </c>
      <c r="C1128" s="53" t="str">
        <f t="shared" si="5"/>
        <v/>
      </c>
      <c r="D1128" s="99"/>
      <c r="E1128" s="55"/>
      <c r="F1128" s="56"/>
      <c r="G1128" s="90"/>
      <c r="H1128" s="58" t="str">
        <f>IF(G1128="","",VLOOKUP($G1128,'Quy chuẩn hạch toán'!$B:$E,2,0))</f>
        <v/>
      </c>
      <c r="I1128" s="58" t="str">
        <f>IF(H1128="","",VLOOKUP($G1128,'Quy chuẩn hạch toán'!$B:$E,3,0))</f>
        <v/>
      </c>
      <c r="J1128" s="59"/>
      <c r="K1128" s="60"/>
      <c r="L1128" s="61"/>
      <c r="M1128" s="62"/>
      <c r="N1128" s="63"/>
      <c r="O1128" s="64" t="str">
        <f>IF($Q1128&lt;&gt;0,VLOOKUP($Q1128,DM_KM,3,0),"")</f>
        <v/>
      </c>
      <c r="P1128" s="64" t="str">
        <f>IF($Q1128&lt;&gt;0,VLOOKUP($Q1128,DM_KM,5,0),"")</f>
        <v/>
      </c>
      <c r="Q1128" s="89"/>
      <c r="R1128" s="64" t="str">
        <f>IF(S1128&lt;&gt;0,VLOOKUP(S1128,DM_DUAN,3,0),"")</f>
        <v>#N/A</v>
      </c>
      <c r="S1128" s="66" t="str">
        <f>IF(U1128&lt;&gt;0,VLOOKUP(U1128,DM_DUAN,3,0),"")</f>
        <v/>
      </c>
      <c r="T1128" s="64"/>
      <c r="U1128" s="93"/>
      <c r="V1128" s="64" t="str">
        <f>IF(W1128&lt;&gt;0,VLOOKUP(W1128,DM_DUAN,3,0),"")</f>
        <v/>
      </c>
      <c r="W1128" s="68"/>
      <c r="X1128" s="64" t="str">
        <f>IF(Y1128&lt;&gt;0,VLOOKUP(Y1128,DM_DUAN,3,0),"")</f>
        <v/>
      </c>
      <c r="Y1128" s="84"/>
      <c r="Z1128" s="64" t="str">
        <f>IF(AA1128&lt;&gt;0,VLOOKUP(AA1128,DM_DUAN,3,0),"")</f>
        <v/>
      </c>
      <c r="AA1128" s="131"/>
      <c r="AB1128" s="64" t="str">
        <f>IF(AC1128&lt;&gt;0,VLOOKUP(AC1128,DM_DUAN,3,0),"")</f>
        <v/>
      </c>
      <c r="AC1128" s="85"/>
      <c r="AD1128" s="64" t="str">
        <f>IF(AC1128&lt;&gt;0,VLOOKUP(AC1128,DM_NV,2,0),"")</f>
        <v/>
      </c>
      <c r="AE1128" s="68"/>
      <c r="AF1128" s="64" t="str">
        <f>IF(AE1128&lt;&gt;0,VLOOKUP(AE1128,DM_NV,2,0),"")</f>
        <v/>
      </c>
    </row>
    <row r="1129">
      <c r="A1129" s="51"/>
      <c r="B1129" s="52" t="str">
        <f>IF(D1129="","",VLOOKUP(D1129,'THAM CHIẾU'!$A:$B,2,0))</f>
        <v>#N/A</v>
      </c>
      <c r="C1129" s="53" t="str">
        <f t="shared" si="5"/>
        <v>05/2022</v>
      </c>
      <c r="D1129" s="99">
        <v>44700.0</v>
      </c>
      <c r="E1129" s="55" t="s">
        <v>1113</v>
      </c>
      <c r="F1129" s="56"/>
      <c r="G1129" s="57" t="s">
        <v>197</v>
      </c>
      <c r="H1129" s="58" t="str">
        <f>IF(G1129="","",VLOOKUP($G1129,'Quy chuẩn hạch toán'!$B:$E,2,0))</f>
        <v>#N/A</v>
      </c>
      <c r="I1129" s="58" t="str">
        <f>IF(H1129="","",VLOOKUP($G1129,'Quy chuẩn hạch toán'!$B:$E,3,0))</f>
        <v>#N/A</v>
      </c>
      <c r="J1129" s="59">
        <v>1.0274E9</v>
      </c>
      <c r="K1129" s="60"/>
      <c r="L1129" s="61"/>
      <c r="M1129" s="62"/>
      <c r="N1129" s="63"/>
      <c r="O1129" s="64" t="str">
        <f>IF($Q1129&lt;&gt;0,VLOOKUP($Q1129,DM_KM,3,0),"")</f>
        <v>#N/A</v>
      </c>
      <c r="P1129" s="64" t="str">
        <f>IF($Q1129&lt;&gt;0,VLOOKUP($Q1129,DM_KM,5,0),"")</f>
        <v>#N/A</v>
      </c>
      <c r="Q1129" s="65" t="s">
        <v>198</v>
      </c>
      <c r="R1129" s="64" t="str">
        <f>IF(S1129&lt;&gt;0,VLOOKUP(S1129,DM_DUAN,3,0),"")</f>
        <v>#N/A</v>
      </c>
      <c r="S1129" s="66" t="str">
        <f>IF(U1129&lt;&gt;0,VLOOKUP(U1129,DM_DUAN,3,0),"")</f>
        <v>CLOUDLAND</v>
      </c>
      <c r="T1129" s="64"/>
      <c r="U1129" s="67" t="s">
        <v>956</v>
      </c>
      <c r="V1129" s="64" t="str">
        <f>IF(W1129&lt;&gt;0,VLOOKUP(W1129,DM_DUAN,3,0),"")</f>
        <v>#N/A</v>
      </c>
      <c r="W1129" s="83" t="s">
        <v>1114</v>
      </c>
      <c r="X1129" s="64" t="str">
        <f>IF(Y1129&lt;&gt;0,VLOOKUP(Y1129,DM_DUAN,3,0),"")</f>
        <v>#N/A</v>
      </c>
      <c r="Y1129" s="69" t="s">
        <v>176</v>
      </c>
      <c r="Z1129" s="64" t="str">
        <f>IF(AA1129&lt;&gt;0,VLOOKUP(AA1129,DM_DUAN,3,0),"")</f>
        <v>#N/A</v>
      </c>
      <c r="AA1129" s="70" t="s">
        <v>177</v>
      </c>
      <c r="AB1129" s="64" t="str">
        <f>IF(AC1129&lt;&gt;0,VLOOKUP(AC1129,DM_DUAN,3,0),"")</f>
        <v>#N/A</v>
      </c>
      <c r="AC1129" s="70" t="s">
        <v>600</v>
      </c>
      <c r="AD1129" s="64" t="str">
        <f>IF(AC1129&lt;&gt;0,VLOOKUP(AC1129,DM_NV,2,0),"")</f>
        <v>Nguyễn Quốc Việt</v>
      </c>
      <c r="AE1129" s="68"/>
      <c r="AF1129" s="64" t="str">
        <f>IF(AE1129&lt;&gt;0,VLOOKUP(AE1129,DM_NV,2,0),"")</f>
        <v/>
      </c>
    </row>
    <row r="1130">
      <c r="A1130" s="51"/>
      <c r="B1130" s="52" t="str">
        <f>IF(D1130="","",VLOOKUP(D1130,'THAM CHIẾU'!$A:$B,2,0))</f>
        <v>#N/A</v>
      </c>
      <c r="C1130" s="53" t="str">
        <f t="shared" si="5"/>
        <v>05/2022</v>
      </c>
      <c r="D1130" s="99">
        <v>44700.0</v>
      </c>
      <c r="E1130" s="55" t="s">
        <v>1115</v>
      </c>
      <c r="F1130" s="56"/>
      <c r="G1130" s="57" t="s">
        <v>186</v>
      </c>
      <c r="H1130" s="58" t="str">
        <f>IF(G1130="","",VLOOKUP($G1130,'Quy chuẩn hạch toán'!$B:$E,2,0))</f>
        <v>131</v>
      </c>
      <c r="I1130" s="58" t="str">
        <f>IF(H1130="","",VLOOKUP($G1130,'Quy chuẩn hạch toán'!$B:$E,3,0))</f>
        <v>5113</v>
      </c>
      <c r="J1130" s="59">
        <f>1027400000*12%+18000000+5000000</f>
        <v>146288000</v>
      </c>
      <c r="K1130" s="60"/>
      <c r="L1130" s="61"/>
      <c r="M1130" s="62"/>
      <c r="N1130" s="63"/>
      <c r="O1130" s="64" t="str">
        <f>IF($Q1130&lt;&gt;0,VLOOKUP($Q1130,DM_KM,3,0),"")</f>
        <v>511_TK</v>
      </c>
      <c r="P1130" s="64">
        <f>IF($Q1130&lt;&gt;0,VLOOKUP($Q1130,DM_KM,5,0),"")</f>
        <v>511</v>
      </c>
      <c r="Q1130" s="65" t="s">
        <v>187</v>
      </c>
      <c r="R1130" s="64" t="str">
        <f>IF(S1130&lt;&gt;0,VLOOKUP(S1130,DM_DUAN,3,0),"")</f>
        <v>#N/A</v>
      </c>
      <c r="S1130" s="66" t="str">
        <f>IF(U1130&lt;&gt;0,VLOOKUP(U1130,DM_DUAN,3,0),"")</f>
        <v>CLOUDLAND</v>
      </c>
      <c r="T1130" s="64"/>
      <c r="U1130" s="67" t="s">
        <v>956</v>
      </c>
      <c r="V1130" s="64" t="str">
        <f>IF(W1130&lt;&gt;0,VLOOKUP(W1130,DM_DUAN,3,0),"")</f>
        <v>#N/A</v>
      </c>
      <c r="W1130" s="83" t="s">
        <v>1114</v>
      </c>
      <c r="X1130" s="64" t="str">
        <f>IF(Y1130&lt;&gt;0,VLOOKUP(Y1130,DM_DUAN,3,0),"")</f>
        <v>#N/A</v>
      </c>
      <c r="Y1130" s="69" t="s">
        <v>176</v>
      </c>
      <c r="Z1130" s="64" t="str">
        <f>IF(AA1130&lt;&gt;0,VLOOKUP(AA1130,DM_DUAN,3,0),"")</f>
        <v>#N/A</v>
      </c>
      <c r="AA1130" s="70" t="s">
        <v>177</v>
      </c>
      <c r="AB1130" s="64" t="str">
        <f>IF(AC1130&lt;&gt;0,VLOOKUP(AC1130,DM_DUAN,3,0),"")</f>
        <v/>
      </c>
      <c r="AC1130" s="85"/>
      <c r="AD1130" s="64" t="str">
        <f>IF(AC1130&lt;&gt;0,VLOOKUP(AC1130,DM_NV,2,0),"")</f>
        <v/>
      </c>
      <c r="AE1130" s="68"/>
      <c r="AF1130" s="64" t="str">
        <f>IF(AE1130&lt;&gt;0,VLOOKUP(AE1130,DM_NV,2,0),"")</f>
        <v/>
      </c>
    </row>
    <row r="1131">
      <c r="A1131" s="51"/>
      <c r="B1131" s="52" t="str">
        <f>IF(D1131="","",VLOOKUP(D1131,'THAM CHIẾU'!$A:$B,2,0))</f>
        <v>#N/A</v>
      </c>
      <c r="C1131" s="53" t="str">
        <f t="shared" si="5"/>
        <v>05/2022</v>
      </c>
      <c r="D1131" s="99">
        <v>44700.0</v>
      </c>
      <c r="E1131" s="55" t="s">
        <v>1116</v>
      </c>
      <c r="F1131" s="56"/>
      <c r="G1131" s="57" t="s">
        <v>189</v>
      </c>
      <c r="H1131" s="58" t="str">
        <f>IF(G1131="","",VLOOKUP($G1131,'Quy chuẩn hạch toán'!$B:$E,2,0))</f>
        <v>154</v>
      </c>
      <c r="I1131" s="58" t="str">
        <f>IF(H1131="","",VLOOKUP($G1131,'Quy chuẩn hạch toán'!$B:$E,3,0))</f>
        <v>3345</v>
      </c>
      <c r="J1131" s="59">
        <f>1027400000*3%</f>
        <v>30822000</v>
      </c>
      <c r="K1131" s="60"/>
      <c r="L1131" s="61"/>
      <c r="M1131" s="62"/>
      <c r="N1131" s="63"/>
      <c r="O1131" s="64" t="str">
        <f>IF($Q1131&lt;&gt;0,VLOOKUP($Q1131,DM_KM,3,0),"")</f>
        <v>#N/A</v>
      </c>
      <c r="P1131" s="64" t="str">
        <f>IF($Q1131&lt;&gt;0,VLOOKUP($Q1131,DM_KM,5,0),"")</f>
        <v>#N/A</v>
      </c>
      <c r="Q1131" s="65" t="s">
        <v>190</v>
      </c>
      <c r="R1131" s="64" t="str">
        <f>IF(S1131&lt;&gt;0,VLOOKUP(S1131,DM_DUAN,3,0),"")</f>
        <v>#N/A</v>
      </c>
      <c r="S1131" s="66" t="str">
        <f>IF(U1131&lt;&gt;0,VLOOKUP(U1131,DM_DUAN,3,0),"")</f>
        <v>CLOUDLAND</v>
      </c>
      <c r="T1131" s="64"/>
      <c r="U1131" s="67" t="s">
        <v>956</v>
      </c>
      <c r="V1131" s="64" t="str">
        <f>IF(W1131&lt;&gt;0,VLOOKUP(W1131,DM_DUAN,3,0),"")</f>
        <v>#N/A</v>
      </c>
      <c r="W1131" s="83" t="s">
        <v>1114</v>
      </c>
      <c r="X1131" s="64" t="str">
        <f>IF(Y1131&lt;&gt;0,VLOOKUP(Y1131,DM_DUAN,3,0),"")</f>
        <v>#N/A</v>
      </c>
      <c r="Y1131" s="69" t="s">
        <v>176</v>
      </c>
      <c r="Z1131" s="64" t="str">
        <f>IF(AA1131&lt;&gt;0,VLOOKUP(AA1131,DM_DUAN,3,0),"")</f>
        <v>#N/A</v>
      </c>
      <c r="AA1131" s="70" t="s">
        <v>177</v>
      </c>
      <c r="AB1131" s="64" t="str">
        <f>IF(AC1131&lt;&gt;0,VLOOKUP(AC1131,DM_DUAN,3,0),"")</f>
        <v>#N/A</v>
      </c>
      <c r="AC1131" s="70" t="s">
        <v>600</v>
      </c>
      <c r="AD1131" s="64" t="str">
        <f>IF(AC1131&lt;&gt;0,VLOOKUP(AC1131,DM_NV,2,0),"")</f>
        <v>Nguyễn Quốc Việt</v>
      </c>
      <c r="AE1131" s="68"/>
      <c r="AF1131" s="64" t="str">
        <f>IF(AE1131&lt;&gt;0,VLOOKUP(AE1131,DM_NV,2,0),"")</f>
        <v/>
      </c>
    </row>
    <row r="1132">
      <c r="A1132" s="51"/>
      <c r="B1132" s="52" t="str">
        <f>IF(D1132="","",VLOOKUP(D1132,'THAM CHIẾU'!$A:$B,2,0))</f>
        <v>#N/A</v>
      </c>
      <c r="C1132" s="53" t="str">
        <f t="shared" si="5"/>
        <v>05/2022</v>
      </c>
      <c r="D1132" s="99">
        <v>44700.0</v>
      </c>
      <c r="E1132" s="55" t="s">
        <v>1117</v>
      </c>
      <c r="F1132" s="56"/>
      <c r="G1132" s="57" t="s">
        <v>582</v>
      </c>
      <c r="H1132" s="58" t="str">
        <f>IF(G1132="","",VLOOKUP($G1132,'Quy chuẩn hạch toán'!$B:$E,2,0))</f>
        <v>154</v>
      </c>
      <c r="I1132" s="58" t="str">
        <f>IF(H1132="","",VLOOKUP($G1132,'Quy chuẩn hạch toán'!$B:$E,3,0))</f>
        <v>3346</v>
      </c>
      <c r="J1132" s="59">
        <f>18000000</f>
        <v>18000000</v>
      </c>
      <c r="K1132" s="60"/>
      <c r="L1132" s="61"/>
      <c r="M1132" s="62"/>
      <c r="N1132" s="63"/>
      <c r="O1132" s="64" t="str">
        <f>IF($Q1132&lt;&gt;0,VLOOKUP($Q1132,DM_KM,3,0),"")</f>
        <v>#N/A</v>
      </c>
      <c r="P1132" s="64" t="str">
        <f>IF($Q1132&lt;&gt;0,VLOOKUP($Q1132,DM_KM,5,0),"")</f>
        <v>#N/A</v>
      </c>
      <c r="Q1132" s="65" t="s">
        <v>190</v>
      </c>
      <c r="R1132" s="64" t="str">
        <f>IF(S1132&lt;&gt;0,VLOOKUP(S1132,DM_DUAN,3,0),"")</f>
        <v>#N/A</v>
      </c>
      <c r="S1132" s="66" t="str">
        <f>IF(U1132&lt;&gt;0,VLOOKUP(U1132,DM_DUAN,3,0),"")</f>
        <v>CLOUDLAND</v>
      </c>
      <c r="T1132" s="64"/>
      <c r="U1132" s="67" t="s">
        <v>956</v>
      </c>
      <c r="V1132" s="64" t="str">
        <f>IF(W1132&lt;&gt;0,VLOOKUP(W1132,DM_DUAN,3,0),"")</f>
        <v>#N/A</v>
      </c>
      <c r="W1132" s="83" t="s">
        <v>1114</v>
      </c>
      <c r="X1132" s="64" t="str">
        <f>IF(Y1132&lt;&gt;0,VLOOKUP(Y1132,DM_DUAN,3,0),"")</f>
        <v>#N/A</v>
      </c>
      <c r="Y1132" s="69" t="s">
        <v>176</v>
      </c>
      <c r="Z1132" s="64" t="str">
        <f>IF(AA1132&lt;&gt;0,VLOOKUP(AA1132,DM_DUAN,3,0),"")</f>
        <v>#N/A</v>
      </c>
      <c r="AA1132" s="70" t="s">
        <v>177</v>
      </c>
      <c r="AB1132" s="64" t="str">
        <f>IF(AC1132&lt;&gt;0,VLOOKUP(AC1132,DM_DUAN,3,0),"")</f>
        <v>#N/A</v>
      </c>
      <c r="AC1132" s="70" t="s">
        <v>600</v>
      </c>
      <c r="AD1132" s="64" t="str">
        <f>IF(AC1132&lt;&gt;0,VLOOKUP(AC1132,DM_NV,2,0),"")</f>
        <v>Nguyễn Quốc Việt</v>
      </c>
      <c r="AE1132" s="68"/>
      <c r="AF1132" s="64" t="str">
        <f>IF(AE1132&lt;&gt;0,VLOOKUP(AE1132,DM_NV,2,0),"")</f>
        <v/>
      </c>
    </row>
    <row r="1133">
      <c r="A1133" s="51"/>
      <c r="B1133" s="52" t="str">
        <f>IF(D1133="","",VLOOKUP(D1133,'THAM CHIẾU'!$A:$B,2,0))</f>
        <v>#N/A</v>
      </c>
      <c r="C1133" s="53" t="str">
        <f t="shared" si="5"/>
        <v>05/2022</v>
      </c>
      <c r="D1133" s="99">
        <v>44700.0</v>
      </c>
      <c r="E1133" s="55" t="s">
        <v>1118</v>
      </c>
      <c r="F1133" s="56"/>
      <c r="G1133" s="57" t="s">
        <v>193</v>
      </c>
      <c r="H1133" s="58" t="str">
        <f>IF(G1133="","",VLOOKUP($G1133,'Quy chuẩn hạch toán'!$B:$E,2,0))</f>
        <v>154</v>
      </c>
      <c r="I1133" s="58" t="str">
        <f>IF(H1133="","",VLOOKUP($G1133,'Quy chuẩn hạch toán'!$B:$E,3,0))</f>
        <v>3344</v>
      </c>
      <c r="J1133" s="59"/>
      <c r="K1133" s="60"/>
      <c r="L1133" s="61"/>
      <c r="M1133" s="62"/>
      <c r="N1133" s="63"/>
      <c r="O1133" s="64" t="str">
        <f>IF($Q1133&lt;&gt;0,VLOOKUP($Q1133,DM_KM,3,0),"")</f>
        <v>#N/A</v>
      </c>
      <c r="P1133" s="64" t="str">
        <f>IF($Q1133&lt;&gt;0,VLOOKUP($Q1133,DM_KM,5,0),"")</f>
        <v>#N/A</v>
      </c>
      <c r="Q1133" s="65" t="s">
        <v>194</v>
      </c>
      <c r="R1133" s="64" t="str">
        <f>IF(S1133&lt;&gt;0,VLOOKUP(S1133,DM_DUAN,3,0),"")</f>
        <v>#N/A</v>
      </c>
      <c r="S1133" s="66" t="str">
        <f>IF(U1133&lt;&gt;0,VLOOKUP(U1133,DM_DUAN,3,0),"")</f>
        <v>CLOUDLAND</v>
      </c>
      <c r="T1133" s="64"/>
      <c r="U1133" s="67" t="s">
        <v>956</v>
      </c>
      <c r="V1133" s="64" t="str">
        <f>IF(W1133&lt;&gt;0,VLOOKUP(W1133,DM_DUAN,3,0),"")</f>
        <v>#N/A</v>
      </c>
      <c r="W1133" s="83" t="s">
        <v>1114</v>
      </c>
      <c r="X1133" s="64" t="str">
        <f>IF(Y1133&lt;&gt;0,VLOOKUP(Y1133,DM_DUAN,3,0),"")</f>
        <v>#N/A</v>
      </c>
      <c r="Y1133" s="69" t="s">
        <v>176</v>
      </c>
      <c r="Z1133" s="64" t="str">
        <f>IF(AA1133&lt;&gt;0,VLOOKUP(AA1133,DM_DUAN,3,0),"")</f>
        <v>#N/A</v>
      </c>
      <c r="AA1133" s="70" t="s">
        <v>177</v>
      </c>
      <c r="AB1133" s="64" t="str">
        <f>IF(AC1133&lt;&gt;0,VLOOKUP(AC1133,DM_DUAN,3,0),"")</f>
        <v>#N/A</v>
      </c>
      <c r="AC1133" s="70" t="s">
        <v>603</v>
      </c>
      <c r="AD1133" s="64" t="str">
        <f>IF(AC1133&lt;&gt;0,VLOOKUP(AC1133,DM_NV,2,0),"")</f>
        <v>Trần Minh Khánh</v>
      </c>
      <c r="AE1133" s="68"/>
      <c r="AF1133" s="64" t="str">
        <f>IF(AE1133&lt;&gt;0,VLOOKUP(AE1133,DM_NV,2,0),"")</f>
        <v/>
      </c>
    </row>
    <row r="1134">
      <c r="A1134" s="51"/>
      <c r="B1134" s="52" t="str">
        <f>IF(D1134="","",VLOOKUP(D1134,'THAM CHIẾU'!$A:$B,2,0))</f>
        <v>#N/A</v>
      </c>
      <c r="C1134" s="53" t="str">
        <f t="shared" si="5"/>
        <v>05/2022</v>
      </c>
      <c r="D1134" s="99">
        <v>44700.0</v>
      </c>
      <c r="E1134" s="55" t="s">
        <v>1119</v>
      </c>
      <c r="F1134" s="56"/>
      <c r="G1134" s="57" t="s">
        <v>200</v>
      </c>
      <c r="H1134" s="58" t="str">
        <f>IF(G1134="","",VLOOKUP($G1134,'Quy chuẩn hạch toán'!$B:$E,2,0))</f>
        <v>154</v>
      </c>
      <c r="I1134" s="58" t="str">
        <f>IF(H1134="","",VLOOKUP($G1134,'Quy chuẩn hạch toán'!$B:$E,3,0))</f>
        <v>3343</v>
      </c>
      <c r="J1134" s="59">
        <v>1000000.0</v>
      </c>
      <c r="K1134" s="60"/>
      <c r="L1134" s="61"/>
      <c r="M1134" s="62"/>
      <c r="N1134" s="63"/>
      <c r="O1134" s="64" t="str">
        <f>IF($Q1134&lt;&gt;0,VLOOKUP($Q1134,DM_KM,3,0),"")</f>
        <v>#N/A</v>
      </c>
      <c r="P1134" s="64" t="str">
        <f>IF($Q1134&lt;&gt;0,VLOOKUP($Q1134,DM_KM,5,0),"")</f>
        <v>#N/A</v>
      </c>
      <c r="Q1134" s="65" t="s">
        <v>201</v>
      </c>
      <c r="R1134" s="64" t="str">
        <f>IF(S1134&lt;&gt;0,VLOOKUP(S1134,DM_DUAN,3,0),"")</f>
        <v>#N/A</v>
      </c>
      <c r="S1134" s="66" t="str">
        <f>IF(U1134&lt;&gt;0,VLOOKUP(U1134,DM_DUAN,3,0),"")</f>
        <v>CLOUDLAND</v>
      </c>
      <c r="T1134" s="64"/>
      <c r="U1134" s="67" t="s">
        <v>956</v>
      </c>
      <c r="V1134" s="64" t="str">
        <f>IF(W1134&lt;&gt;0,VLOOKUP(W1134,DM_DUAN,3,0),"")</f>
        <v>#N/A</v>
      </c>
      <c r="W1134" s="83" t="s">
        <v>1114</v>
      </c>
      <c r="X1134" s="64" t="str">
        <f>IF(Y1134&lt;&gt;0,VLOOKUP(Y1134,DM_DUAN,3,0),"")</f>
        <v>#N/A</v>
      </c>
      <c r="Y1134" s="69" t="s">
        <v>176</v>
      </c>
      <c r="Z1134" s="64" t="str">
        <f>IF(AA1134&lt;&gt;0,VLOOKUP(AA1134,DM_DUAN,3,0),"")</f>
        <v>#N/A</v>
      </c>
      <c r="AA1134" s="70" t="s">
        <v>177</v>
      </c>
      <c r="AB1134" s="64" t="str">
        <f>IF(AC1134&lt;&gt;0,VLOOKUP(AC1134,DM_DUAN,3,0),"")</f>
        <v/>
      </c>
      <c r="AC1134" s="85"/>
      <c r="AD1134" s="64" t="str">
        <f>IF(AC1134&lt;&gt;0,VLOOKUP(AC1134,DM_NV,2,0),"")</f>
        <v/>
      </c>
      <c r="AE1134" s="68"/>
      <c r="AF1134" s="64" t="str">
        <f>IF(AE1134&lt;&gt;0,VLOOKUP(AE1134,DM_NV,2,0),"")</f>
        <v/>
      </c>
    </row>
    <row r="1135">
      <c r="A1135" s="51"/>
      <c r="B1135" s="52" t="str">
        <f>IF(D1135="","",VLOOKUP(D1135,'THAM CHIẾU'!$A:$B,2,0))</f>
        <v>#N/A</v>
      </c>
      <c r="C1135" s="53" t="str">
        <f t="shared" si="5"/>
        <v>05/2022</v>
      </c>
      <c r="D1135" s="99">
        <v>44700.0</v>
      </c>
      <c r="E1135" s="55" t="s">
        <v>1120</v>
      </c>
      <c r="F1135" s="56"/>
      <c r="G1135" s="90"/>
      <c r="H1135" s="58" t="str">
        <f>IF(G1135="","",VLOOKUP($G1135,'Quy chuẩn hạch toán'!$B:$E,2,0))</f>
        <v/>
      </c>
      <c r="I1135" s="58" t="str">
        <f>IF(H1135="","",VLOOKUP($G1135,'Quy chuẩn hạch toán'!$B:$E,3,0))</f>
        <v/>
      </c>
      <c r="J1135" s="59">
        <f>123288000*8%</f>
        <v>9863040</v>
      </c>
      <c r="K1135" s="60"/>
      <c r="L1135" s="61"/>
      <c r="M1135" s="62"/>
      <c r="N1135" s="63"/>
      <c r="O1135" s="64" t="str">
        <f>IF($Q1135&lt;&gt;0,VLOOKUP($Q1135,DM_KM,3,0),"")</f>
        <v>#N/A</v>
      </c>
      <c r="P1135" s="64" t="str">
        <f>IF($Q1135&lt;&gt;0,VLOOKUP($Q1135,DM_KM,5,0),"")</f>
        <v>#N/A</v>
      </c>
      <c r="Q1135" s="65" t="s">
        <v>203</v>
      </c>
      <c r="R1135" s="64" t="str">
        <f>IF(S1135&lt;&gt;0,VLOOKUP(S1135,DM_DUAN,3,0),"")</f>
        <v>#N/A</v>
      </c>
      <c r="S1135" s="66" t="str">
        <f>IF(U1135&lt;&gt;0,VLOOKUP(U1135,DM_DUAN,3,0),"")</f>
        <v>CLOUDLAND</v>
      </c>
      <c r="T1135" s="64"/>
      <c r="U1135" s="67" t="s">
        <v>956</v>
      </c>
      <c r="V1135" s="64" t="str">
        <f>IF(W1135&lt;&gt;0,VLOOKUP(W1135,DM_DUAN,3,0),"")</f>
        <v>#N/A</v>
      </c>
      <c r="W1135" s="83" t="s">
        <v>1114</v>
      </c>
      <c r="X1135" s="64" t="str">
        <f>IF(Y1135&lt;&gt;0,VLOOKUP(Y1135,DM_DUAN,3,0),"")</f>
        <v>#N/A</v>
      </c>
      <c r="Y1135" s="69" t="s">
        <v>176</v>
      </c>
      <c r="Z1135" s="64" t="str">
        <f>IF(AA1135&lt;&gt;0,VLOOKUP(AA1135,DM_DUAN,3,0),"")</f>
        <v>#N/A</v>
      </c>
      <c r="AA1135" s="70" t="s">
        <v>177</v>
      </c>
      <c r="AB1135" s="64" t="str">
        <f>IF(AC1135&lt;&gt;0,VLOOKUP(AC1135,DM_DUAN,3,0),"")</f>
        <v/>
      </c>
      <c r="AC1135" s="85"/>
      <c r="AD1135" s="64" t="str">
        <f>IF(AC1135&lt;&gt;0,VLOOKUP(AC1135,DM_NV,2,0),"")</f>
        <v/>
      </c>
      <c r="AE1135" s="68"/>
      <c r="AF1135" s="64" t="str">
        <f>IF(AE1135&lt;&gt;0,VLOOKUP(AE1135,DM_NV,2,0),"")</f>
        <v/>
      </c>
    </row>
    <row r="1136">
      <c r="A1136" s="51"/>
      <c r="B1136" s="52" t="str">
        <f>IF(D1136="","",VLOOKUP(D1136,'THAM CHIẾU'!$A:$B,2,0))</f>
        <v>#N/A</v>
      </c>
      <c r="C1136" s="53" t="str">
        <f t="shared" si="5"/>
        <v>05/2022</v>
      </c>
      <c r="D1136" s="99">
        <v>44700.0</v>
      </c>
      <c r="E1136" s="55" t="s">
        <v>1121</v>
      </c>
      <c r="F1136" s="56"/>
      <c r="G1136" s="57" t="s">
        <v>173</v>
      </c>
      <c r="H1136" s="58" t="str">
        <f>IF(G1136="","",VLOOKUP($G1136,'Quy chuẩn hạch toán'!$B:$E,2,0))</f>
        <v>641</v>
      </c>
      <c r="I1136" s="58" t="str">
        <f>IF(H1136="","",VLOOKUP($G1136,'Quy chuẩn hạch toán'!$B:$E,3,0))</f>
        <v>331</v>
      </c>
      <c r="J1136" s="59">
        <v>5000000.0</v>
      </c>
      <c r="K1136" s="60"/>
      <c r="L1136" s="61"/>
      <c r="M1136" s="62"/>
      <c r="N1136" s="63"/>
      <c r="O1136" s="64" t="str">
        <f>IF($Q1136&lt;&gt;0,VLOOKUP($Q1136,DM_KM,3,0),"")</f>
        <v>#N/A</v>
      </c>
      <c r="P1136" s="64" t="str">
        <f>IF($Q1136&lt;&gt;0,VLOOKUP($Q1136,DM_KM,5,0),"")</f>
        <v>#N/A</v>
      </c>
      <c r="Q1136" s="65" t="s">
        <v>612</v>
      </c>
      <c r="R1136" s="64" t="str">
        <f>IF(S1136&lt;&gt;0,VLOOKUP(S1136,DM_DUAN,3,0),"")</f>
        <v>#N/A</v>
      </c>
      <c r="S1136" s="66" t="str">
        <f>IF(U1136&lt;&gt;0,VLOOKUP(U1136,DM_DUAN,3,0),"")</f>
        <v>CLOUDLAND</v>
      </c>
      <c r="T1136" s="64"/>
      <c r="U1136" s="67" t="s">
        <v>956</v>
      </c>
      <c r="V1136" s="64" t="str">
        <f>IF(W1136&lt;&gt;0,VLOOKUP(W1136,DM_DUAN,3,0),"")</f>
        <v>#N/A</v>
      </c>
      <c r="W1136" s="83" t="s">
        <v>1114</v>
      </c>
      <c r="X1136" s="64" t="str">
        <f>IF(Y1136&lt;&gt;0,VLOOKUP(Y1136,DM_DUAN,3,0),"")</f>
        <v>#N/A</v>
      </c>
      <c r="Y1136" s="69" t="s">
        <v>176</v>
      </c>
      <c r="Z1136" s="64" t="str">
        <f>IF(AA1136&lt;&gt;0,VLOOKUP(AA1136,DM_DUAN,3,0),"")</f>
        <v>#N/A</v>
      </c>
      <c r="AA1136" s="70" t="s">
        <v>177</v>
      </c>
      <c r="AB1136" s="64" t="str">
        <f>IF(AC1136&lt;&gt;0,VLOOKUP(AC1136,DM_DUAN,3,0),"")</f>
        <v/>
      </c>
      <c r="AC1136" s="85"/>
      <c r="AD1136" s="64" t="str">
        <f>IF(AC1136&lt;&gt;0,VLOOKUP(AC1136,DM_NV,2,0),"")</f>
        <v/>
      </c>
      <c r="AE1136" s="68"/>
      <c r="AF1136" s="64" t="str">
        <f>IF(AE1136&lt;&gt;0,VLOOKUP(AE1136,DM_NV,2,0),"")</f>
        <v/>
      </c>
    </row>
    <row r="1137">
      <c r="A1137" s="51"/>
      <c r="B1137" s="52" t="str">
        <f>IF(D1137="","",VLOOKUP(D1137,'THAM CHIẾU'!$A:$B,2,0))</f>
        <v>#N/A</v>
      </c>
      <c r="C1137" s="53" t="str">
        <f t="shared" si="5"/>
        <v>05/2022</v>
      </c>
      <c r="D1137" s="99">
        <v>44700.0</v>
      </c>
      <c r="E1137" s="55" t="s">
        <v>1122</v>
      </c>
      <c r="F1137" s="56"/>
      <c r="G1137" s="57" t="s">
        <v>197</v>
      </c>
      <c r="H1137" s="58" t="str">
        <f>IF(G1137="","",VLOOKUP($G1137,'Quy chuẩn hạch toán'!$B:$E,2,0))</f>
        <v>#N/A</v>
      </c>
      <c r="I1137" s="58" t="str">
        <f>IF(H1137="","",VLOOKUP($G1137,'Quy chuẩn hạch toán'!$B:$E,3,0))</f>
        <v>#N/A</v>
      </c>
      <c r="J1137" s="59">
        <v>7.061E8</v>
      </c>
      <c r="K1137" s="60"/>
      <c r="L1137" s="61"/>
      <c r="M1137" s="62"/>
      <c r="N1137" s="63"/>
      <c r="O1137" s="64" t="str">
        <f>IF($Q1137&lt;&gt;0,VLOOKUP($Q1137,DM_KM,3,0),"")</f>
        <v>#N/A</v>
      </c>
      <c r="P1137" s="64" t="str">
        <f>IF($Q1137&lt;&gt;0,VLOOKUP($Q1137,DM_KM,5,0),"")</f>
        <v>#N/A</v>
      </c>
      <c r="Q1137" s="65" t="s">
        <v>198</v>
      </c>
      <c r="R1137" s="64" t="str">
        <f>IF(S1137&lt;&gt;0,VLOOKUP(S1137,DM_DUAN,3,0),"")</f>
        <v>#N/A</v>
      </c>
      <c r="S1137" s="66" t="str">
        <f>IF(U1137&lt;&gt;0,VLOOKUP(U1137,DM_DUAN,3,0),"")</f>
        <v>CLOUDLAND</v>
      </c>
      <c r="T1137" s="64"/>
      <c r="U1137" s="67" t="s">
        <v>956</v>
      </c>
      <c r="V1137" s="64" t="str">
        <f>IF(W1137&lt;&gt;0,VLOOKUP(W1137,DM_DUAN,3,0),"")</f>
        <v>#N/A</v>
      </c>
      <c r="W1137" s="83" t="s">
        <v>1123</v>
      </c>
      <c r="X1137" s="64" t="str">
        <f>IF(Y1137&lt;&gt;0,VLOOKUP(Y1137,DM_DUAN,3,0),"")</f>
        <v>#N/A</v>
      </c>
      <c r="Y1137" s="69" t="s">
        <v>176</v>
      </c>
      <c r="Z1137" s="64" t="str">
        <f>IF(AA1137&lt;&gt;0,VLOOKUP(AA1137,DM_DUAN,3,0),"")</f>
        <v>#N/A</v>
      </c>
      <c r="AA1137" s="70" t="s">
        <v>177</v>
      </c>
      <c r="AB1137" s="64" t="str">
        <f>IF(AC1137&lt;&gt;0,VLOOKUP(AC1137,DM_DUAN,3,0),"")</f>
        <v>#N/A</v>
      </c>
      <c r="AC1137" s="70" t="s">
        <v>791</v>
      </c>
      <c r="AD1137" s="64" t="str">
        <f>IF(AC1137&lt;&gt;0,VLOOKUP(AC1137,DM_NV,2,0),"")</f>
        <v>Hồ Thị Thuý An</v>
      </c>
      <c r="AE1137" s="68"/>
      <c r="AF1137" s="64" t="str">
        <f>IF(AE1137&lt;&gt;0,VLOOKUP(AE1137,DM_NV,2,0),"")</f>
        <v/>
      </c>
    </row>
    <row r="1138">
      <c r="A1138" s="51"/>
      <c r="B1138" s="52" t="str">
        <f>IF(D1138="","",VLOOKUP(D1138,'THAM CHIẾU'!$A:$B,2,0))</f>
        <v>#N/A</v>
      </c>
      <c r="C1138" s="53" t="str">
        <f t="shared" si="5"/>
        <v>05/2022</v>
      </c>
      <c r="D1138" s="99">
        <v>44700.0</v>
      </c>
      <c r="E1138" s="55" t="s">
        <v>1124</v>
      </c>
      <c r="F1138" s="56"/>
      <c r="G1138" s="57" t="s">
        <v>186</v>
      </c>
      <c r="H1138" s="58" t="str">
        <f>IF(G1138="","",VLOOKUP($G1138,'Quy chuẩn hạch toán'!$B:$E,2,0))</f>
        <v>131</v>
      </c>
      <c r="I1138" s="58" t="str">
        <f>IF(H1138="","",VLOOKUP($G1138,'Quy chuẩn hạch toán'!$B:$E,3,0))</f>
        <v>5113</v>
      </c>
      <c r="J1138" s="95">
        <f>706100000*12%+23000000</f>
        <v>107732000</v>
      </c>
      <c r="K1138" s="60"/>
      <c r="L1138" s="61"/>
      <c r="M1138" s="62"/>
      <c r="N1138" s="63"/>
      <c r="O1138" s="64" t="str">
        <f>IF($Q1138&lt;&gt;0,VLOOKUP($Q1138,DM_KM,3,0),"")</f>
        <v>511_TK</v>
      </c>
      <c r="P1138" s="64">
        <f>IF($Q1138&lt;&gt;0,VLOOKUP($Q1138,DM_KM,5,0),"")</f>
        <v>511</v>
      </c>
      <c r="Q1138" s="65" t="s">
        <v>187</v>
      </c>
      <c r="R1138" s="64" t="str">
        <f>IF(S1138&lt;&gt;0,VLOOKUP(S1138,DM_DUAN,3,0),"")</f>
        <v>#N/A</v>
      </c>
      <c r="S1138" s="66" t="str">
        <f>IF(U1138&lt;&gt;0,VLOOKUP(U1138,DM_DUAN,3,0),"")</f>
        <v>CLOUDLAND</v>
      </c>
      <c r="T1138" s="64"/>
      <c r="U1138" s="67" t="s">
        <v>956</v>
      </c>
      <c r="V1138" s="64" t="str">
        <f>IF(W1138&lt;&gt;0,VLOOKUP(W1138,DM_DUAN,3,0),"")</f>
        <v>#N/A</v>
      </c>
      <c r="W1138" s="83" t="s">
        <v>1123</v>
      </c>
      <c r="X1138" s="64" t="str">
        <f>IF(Y1138&lt;&gt;0,VLOOKUP(Y1138,DM_DUAN,3,0),"")</f>
        <v>#N/A</v>
      </c>
      <c r="Y1138" s="69" t="s">
        <v>176</v>
      </c>
      <c r="Z1138" s="64" t="str">
        <f>IF(AA1138&lt;&gt;0,VLOOKUP(AA1138,DM_DUAN,3,0),"")</f>
        <v>#N/A</v>
      </c>
      <c r="AA1138" s="70" t="s">
        <v>177</v>
      </c>
      <c r="AB1138" s="64" t="str">
        <f>IF(AC1138&lt;&gt;0,VLOOKUP(AC1138,DM_DUAN,3,0),"")</f>
        <v/>
      </c>
      <c r="AC1138" s="70"/>
      <c r="AD1138" s="64" t="str">
        <f>IF(AC1138&lt;&gt;0,VLOOKUP(AC1138,DM_NV,2,0),"")</f>
        <v/>
      </c>
      <c r="AE1138" s="68"/>
      <c r="AF1138" s="64" t="str">
        <f>IF(AE1138&lt;&gt;0,VLOOKUP(AE1138,DM_NV,2,0),"")</f>
        <v/>
      </c>
    </row>
    <row r="1139">
      <c r="A1139" s="51"/>
      <c r="B1139" s="52" t="str">
        <f>IF(D1139="","",VLOOKUP(D1139,'THAM CHIẾU'!$A:$B,2,0))</f>
        <v>#N/A</v>
      </c>
      <c r="C1139" s="53" t="str">
        <f t="shared" si="5"/>
        <v>05/2022</v>
      </c>
      <c r="D1139" s="99">
        <v>44700.0</v>
      </c>
      <c r="E1139" s="55" t="s">
        <v>1125</v>
      </c>
      <c r="F1139" s="56"/>
      <c r="G1139" s="57" t="s">
        <v>189</v>
      </c>
      <c r="H1139" s="58" t="str">
        <f>IF(G1139="","",VLOOKUP($G1139,'Quy chuẩn hạch toán'!$B:$E,2,0))</f>
        <v>154</v>
      </c>
      <c r="I1139" s="58" t="str">
        <f>IF(H1139="","",VLOOKUP($G1139,'Quy chuẩn hạch toán'!$B:$E,3,0))</f>
        <v>3345</v>
      </c>
      <c r="J1139" s="95">
        <f>706100000*3%</f>
        <v>21183000</v>
      </c>
      <c r="K1139" s="60"/>
      <c r="L1139" s="61"/>
      <c r="M1139" s="62"/>
      <c r="N1139" s="63"/>
      <c r="O1139" s="64" t="str">
        <f>IF($Q1139&lt;&gt;0,VLOOKUP($Q1139,DM_KM,3,0),"")</f>
        <v>#N/A</v>
      </c>
      <c r="P1139" s="64" t="str">
        <f>IF($Q1139&lt;&gt;0,VLOOKUP($Q1139,DM_KM,5,0),"")</f>
        <v>#N/A</v>
      </c>
      <c r="Q1139" s="65" t="s">
        <v>190</v>
      </c>
      <c r="R1139" s="64" t="str">
        <f>IF(S1139&lt;&gt;0,VLOOKUP(S1139,DM_DUAN,3,0),"")</f>
        <v>#N/A</v>
      </c>
      <c r="S1139" s="66" t="str">
        <f>IF(U1139&lt;&gt;0,VLOOKUP(U1139,DM_DUAN,3,0),"")</f>
        <v>CLOUDLAND</v>
      </c>
      <c r="T1139" s="64"/>
      <c r="U1139" s="67" t="s">
        <v>956</v>
      </c>
      <c r="V1139" s="64" t="str">
        <f>IF(W1139&lt;&gt;0,VLOOKUP(W1139,DM_DUAN,3,0),"")</f>
        <v>#N/A</v>
      </c>
      <c r="W1139" s="83" t="s">
        <v>1123</v>
      </c>
      <c r="X1139" s="64" t="str">
        <f>IF(Y1139&lt;&gt;0,VLOOKUP(Y1139,DM_DUAN,3,0),"")</f>
        <v>#N/A</v>
      </c>
      <c r="Y1139" s="69" t="s">
        <v>176</v>
      </c>
      <c r="Z1139" s="64" t="str">
        <f>IF(AA1139&lt;&gt;0,VLOOKUP(AA1139,DM_DUAN,3,0),"")</f>
        <v>#N/A</v>
      </c>
      <c r="AA1139" s="70" t="s">
        <v>177</v>
      </c>
      <c r="AB1139" s="64" t="str">
        <f>IF(AC1139&lt;&gt;0,VLOOKUP(AC1139,DM_DUAN,3,0),"")</f>
        <v>#N/A</v>
      </c>
      <c r="AC1139" s="70" t="s">
        <v>791</v>
      </c>
      <c r="AD1139" s="64" t="str">
        <f>IF(AC1139&lt;&gt;0,VLOOKUP(AC1139,DM_NV,2,0),"")</f>
        <v>Hồ Thị Thuý An</v>
      </c>
      <c r="AE1139" s="68"/>
      <c r="AF1139" s="64" t="str">
        <f>IF(AE1139&lt;&gt;0,VLOOKUP(AE1139,DM_NV,2,0),"")</f>
        <v/>
      </c>
    </row>
    <row r="1140">
      <c r="A1140" s="51"/>
      <c r="B1140" s="52" t="str">
        <f>IF(D1140="","",VLOOKUP(D1140,'THAM CHIẾU'!$A:$B,2,0))</f>
        <v>#N/A</v>
      </c>
      <c r="C1140" s="53" t="str">
        <f t="shared" si="5"/>
        <v>05/2022</v>
      </c>
      <c r="D1140" s="99">
        <v>44700.0</v>
      </c>
      <c r="E1140" s="55" t="s">
        <v>1126</v>
      </c>
      <c r="F1140" s="56"/>
      <c r="G1140" s="57" t="s">
        <v>582</v>
      </c>
      <c r="H1140" s="58" t="str">
        <f>IF(G1140="","",VLOOKUP($G1140,'Quy chuẩn hạch toán'!$B:$E,2,0))</f>
        <v>154</v>
      </c>
      <c r="I1140" s="58" t="str">
        <f>IF(H1140="","",VLOOKUP($G1140,'Quy chuẩn hạch toán'!$B:$E,3,0))</f>
        <v>3346</v>
      </c>
      <c r="J1140" s="59">
        <v>1.8E7</v>
      </c>
      <c r="K1140" s="60"/>
      <c r="L1140" s="61"/>
      <c r="M1140" s="62"/>
      <c r="N1140" s="63"/>
      <c r="O1140" s="64" t="str">
        <f>IF($Q1140&lt;&gt;0,VLOOKUP($Q1140,DM_KM,3,0),"")</f>
        <v>#N/A</v>
      </c>
      <c r="P1140" s="64" t="str">
        <f>IF($Q1140&lt;&gt;0,VLOOKUP($Q1140,DM_KM,5,0),"")</f>
        <v>#N/A</v>
      </c>
      <c r="Q1140" s="65" t="s">
        <v>190</v>
      </c>
      <c r="R1140" s="64" t="str">
        <f>IF(S1140&lt;&gt;0,VLOOKUP(S1140,DM_DUAN,3,0),"")</f>
        <v>#N/A</v>
      </c>
      <c r="S1140" s="66" t="str">
        <f>IF(U1140&lt;&gt;0,VLOOKUP(U1140,DM_DUAN,3,0),"")</f>
        <v>CLOUDLAND</v>
      </c>
      <c r="T1140" s="64"/>
      <c r="U1140" s="67" t="s">
        <v>956</v>
      </c>
      <c r="V1140" s="64" t="str">
        <f>IF(W1140&lt;&gt;0,VLOOKUP(W1140,DM_DUAN,3,0),"")</f>
        <v>#N/A</v>
      </c>
      <c r="W1140" s="83" t="s">
        <v>1123</v>
      </c>
      <c r="X1140" s="64" t="str">
        <f>IF(Y1140&lt;&gt;0,VLOOKUP(Y1140,DM_DUAN,3,0),"")</f>
        <v>#N/A</v>
      </c>
      <c r="Y1140" s="69" t="s">
        <v>176</v>
      </c>
      <c r="Z1140" s="64" t="str">
        <f>IF(AA1140&lt;&gt;0,VLOOKUP(AA1140,DM_DUAN,3,0),"")</f>
        <v>#N/A</v>
      </c>
      <c r="AA1140" s="70" t="s">
        <v>177</v>
      </c>
      <c r="AB1140" s="64" t="str">
        <f>IF(AC1140&lt;&gt;0,VLOOKUP(AC1140,DM_DUAN,3,0),"")</f>
        <v>#N/A</v>
      </c>
      <c r="AC1140" s="70" t="s">
        <v>791</v>
      </c>
      <c r="AD1140" s="64" t="str">
        <f>IF(AC1140&lt;&gt;0,VLOOKUP(AC1140,DM_NV,2,0),"")</f>
        <v>Hồ Thị Thuý An</v>
      </c>
      <c r="AE1140" s="68"/>
      <c r="AF1140" s="64" t="str">
        <f>IF(AE1140&lt;&gt;0,VLOOKUP(AE1140,DM_NV,2,0),"")</f>
        <v/>
      </c>
    </row>
    <row r="1141">
      <c r="A1141" s="51"/>
      <c r="B1141" s="52" t="str">
        <f>IF(D1141="","",VLOOKUP(D1141,'THAM CHIẾU'!$A:$B,2,0))</f>
        <v>#N/A</v>
      </c>
      <c r="C1141" s="53" t="str">
        <f t="shared" si="5"/>
        <v>05/2022</v>
      </c>
      <c r="D1141" s="99">
        <v>44700.0</v>
      </c>
      <c r="E1141" s="55" t="s">
        <v>1127</v>
      </c>
      <c r="F1141" s="56"/>
      <c r="G1141" s="57" t="s">
        <v>193</v>
      </c>
      <c r="H1141" s="58" t="str">
        <f>IF(G1141="","",VLOOKUP($G1141,'Quy chuẩn hạch toán'!$B:$E,2,0))</f>
        <v>154</v>
      </c>
      <c r="I1141" s="58" t="str">
        <f>IF(H1141="","",VLOOKUP($G1141,'Quy chuẩn hạch toán'!$B:$E,3,0))</f>
        <v>3344</v>
      </c>
      <c r="J1141" s="95"/>
      <c r="K1141" s="60"/>
      <c r="L1141" s="61"/>
      <c r="M1141" s="62"/>
      <c r="N1141" s="63"/>
      <c r="O1141" s="64" t="str">
        <f>IF($Q1141&lt;&gt;0,VLOOKUP($Q1141,DM_KM,3,0),"")</f>
        <v>#N/A</v>
      </c>
      <c r="P1141" s="64" t="str">
        <f>IF($Q1141&lt;&gt;0,VLOOKUP($Q1141,DM_KM,5,0),"")</f>
        <v>#N/A</v>
      </c>
      <c r="Q1141" s="65" t="s">
        <v>194</v>
      </c>
      <c r="R1141" s="64" t="str">
        <f>IF(S1141&lt;&gt;0,VLOOKUP(S1141,DM_DUAN,3,0),"")</f>
        <v>#N/A</v>
      </c>
      <c r="S1141" s="66" t="str">
        <f>IF(U1141&lt;&gt;0,VLOOKUP(U1141,DM_DUAN,3,0),"")</f>
        <v>CLOUDLAND</v>
      </c>
      <c r="T1141" s="64"/>
      <c r="U1141" s="67" t="s">
        <v>956</v>
      </c>
      <c r="V1141" s="64" t="str">
        <f>IF(W1141&lt;&gt;0,VLOOKUP(W1141,DM_DUAN,3,0),"")</f>
        <v>#N/A</v>
      </c>
      <c r="W1141" s="83" t="s">
        <v>1123</v>
      </c>
      <c r="X1141" s="64" t="str">
        <f>IF(Y1141&lt;&gt;0,VLOOKUP(Y1141,DM_DUAN,3,0),"")</f>
        <v>#N/A</v>
      </c>
      <c r="Y1141" s="69" t="s">
        <v>176</v>
      </c>
      <c r="Z1141" s="64" t="str">
        <f>IF(AA1141&lt;&gt;0,VLOOKUP(AA1141,DM_DUAN,3,0),"")</f>
        <v>#N/A</v>
      </c>
      <c r="AA1141" s="70" t="s">
        <v>177</v>
      </c>
      <c r="AB1141" s="64" t="str">
        <f>IF(AC1141&lt;&gt;0,VLOOKUP(AC1141,DM_DUAN,3,0),"")</f>
        <v>#N/A</v>
      </c>
      <c r="AC1141" s="70" t="s">
        <v>603</v>
      </c>
      <c r="AD1141" s="64" t="str">
        <f>IF(AC1141&lt;&gt;0,VLOOKUP(AC1141,DM_NV,2,0),"")</f>
        <v>Trần Minh Khánh</v>
      </c>
      <c r="AE1141" s="68"/>
      <c r="AF1141" s="64" t="str">
        <f>IF(AE1141&lt;&gt;0,VLOOKUP(AE1141,DM_NV,2,0),"")</f>
        <v/>
      </c>
    </row>
    <row r="1142">
      <c r="A1142" s="51"/>
      <c r="B1142" s="52" t="str">
        <f>IF(D1142="","",VLOOKUP(D1142,'THAM CHIẾU'!$A:$B,2,0))</f>
        <v>#N/A</v>
      </c>
      <c r="C1142" s="53" t="str">
        <f t="shared" si="5"/>
        <v>05/2022</v>
      </c>
      <c r="D1142" s="99">
        <v>44700.0</v>
      </c>
      <c r="E1142" s="55" t="s">
        <v>1128</v>
      </c>
      <c r="F1142" s="56"/>
      <c r="G1142" s="57" t="s">
        <v>200</v>
      </c>
      <c r="H1142" s="58" t="str">
        <f>IF(G1142="","",VLOOKUP($G1142,'Quy chuẩn hạch toán'!$B:$E,2,0))</f>
        <v>154</v>
      </c>
      <c r="I1142" s="58" t="str">
        <f>IF(H1142="","",VLOOKUP($G1142,'Quy chuẩn hạch toán'!$B:$E,3,0))</f>
        <v>3343</v>
      </c>
      <c r="J1142" s="59">
        <v>1000000.0</v>
      </c>
      <c r="K1142" s="60"/>
      <c r="L1142" s="61"/>
      <c r="M1142" s="62"/>
      <c r="N1142" s="63"/>
      <c r="O1142" s="64" t="str">
        <f>IF($Q1142&lt;&gt;0,VLOOKUP($Q1142,DM_KM,3,0),"")</f>
        <v>#N/A</v>
      </c>
      <c r="P1142" s="64" t="str">
        <f>IF($Q1142&lt;&gt;0,VLOOKUP($Q1142,DM_KM,5,0),"")</f>
        <v>#N/A</v>
      </c>
      <c r="Q1142" s="65" t="s">
        <v>201</v>
      </c>
      <c r="R1142" s="64" t="str">
        <f>IF(S1142&lt;&gt;0,VLOOKUP(S1142,DM_DUAN,3,0),"")</f>
        <v>#N/A</v>
      </c>
      <c r="S1142" s="66" t="str">
        <f>IF(U1142&lt;&gt;0,VLOOKUP(U1142,DM_DUAN,3,0),"")</f>
        <v>CLOUDLAND</v>
      </c>
      <c r="T1142" s="64"/>
      <c r="U1142" s="67" t="s">
        <v>956</v>
      </c>
      <c r="V1142" s="64" t="str">
        <f>IF(W1142&lt;&gt;0,VLOOKUP(W1142,DM_DUAN,3,0),"")</f>
        <v>#N/A</v>
      </c>
      <c r="W1142" s="83" t="s">
        <v>1123</v>
      </c>
      <c r="X1142" s="64" t="str">
        <f>IF(Y1142&lt;&gt;0,VLOOKUP(Y1142,DM_DUAN,3,0),"")</f>
        <v>#N/A</v>
      </c>
      <c r="Y1142" s="69" t="s">
        <v>176</v>
      </c>
      <c r="Z1142" s="64" t="str">
        <f>IF(AA1142&lt;&gt;0,VLOOKUP(AA1142,DM_DUAN,3,0),"")</f>
        <v>#N/A</v>
      </c>
      <c r="AA1142" s="70" t="s">
        <v>177</v>
      </c>
      <c r="AB1142" s="64" t="str">
        <f>IF(AC1142&lt;&gt;0,VLOOKUP(AC1142,DM_DUAN,3,0),"")</f>
        <v/>
      </c>
      <c r="AC1142" s="70"/>
      <c r="AD1142" s="64" t="str">
        <f>IF(AC1142&lt;&gt;0,VLOOKUP(AC1142,DM_NV,2,0),"")</f>
        <v/>
      </c>
      <c r="AE1142" s="68"/>
      <c r="AF1142" s="64" t="str">
        <f>IF(AE1142&lt;&gt;0,VLOOKUP(AE1142,DM_NV,2,0),"")</f>
        <v/>
      </c>
    </row>
    <row r="1143">
      <c r="A1143" s="51"/>
      <c r="B1143" s="52" t="str">
        <f>IF(D1143="","",VLOOKUP(D1143,'THAM CHIẾU'!$A:$B,2,0))</f>
        <v>#N/A</v>
      </c>
      <c r="C1143" s="53" t="str">
        <f t="shared" si="5"/>
        <v>05/2022</v>
      </c>
      <c r="D1143" s="99">
        <v>44700.0</v>
      </c>
      <c r="E1143" s="55" t="s">
        <v>1129</v>
      </c>
      <c r="F1143" s="56"/>
      <c r="G1143" s="90"/>
      <c r="H1143" s="58" t="str">
        <f>IF(G1143="","",VLOOKUP($G1143,'Quy chuẩn hạch toán'!$B:$E,2,0))</f>
        <v/>
      </c>
      <c r="I1143" s="58" t="str">
        <f>IF(H1143="","",VLOOKUP($G1143,'Quy chuẩn hạch toán'!$B:$E,3,0))</f>
        <v/>
      </c>
      <c r="J1143" s="95">
        <f>84732000*8%</f>
        <v>6778560</v>
      </c>
      <c r="K1143" s="60"/>
      <c r="L1143" s="61"/>
      <c r="M1143" s="62"/>
      <c r="N1143" s="63"/>
      <c r="O1143" s="64" t="str">
        <f>IF($Q1143&lt;&gt;0,VLOOKUP($Q1143,DM_KM,3,0),"")</f>
        <v>#N/A</v>
      </c>
      <c r="P1143" s="64" t="str">
        <f>IF($Q1143&lt;&gt;0,VLOOKUP($Q1143,DM_KM,5,0),"")</f>
        <v>#N/A</v>
      </c>
      <c r="Q1143" s="65" t="s">
        <v>203</v>
      </c>
      <c r="R1143" s="64" t="str">
        <f>IF(S1143&lt;&gt;0,VLOOKUP(S1143,DM_DUAN,3,0),"")</f>
        <v>#N/A</v>
      </c>
      <c r="S1143" s="66" t="str">
        <f>IF(U1143&lt;&gt;0,VLOOKUP(U1143,DM_DUAN,3,0),"")</f>
        <v>CLOUDLAND</v>
      </c>
      <c r="T1143" s="64"/>
      <c r="U1143" s="67" t="s">
        <v>956</v>
      </c>
      <c r="V1143" s="64" t="str">
        <f>IF(W1143&lt;&gt;0,VLOOKUP(W1143,DM_DUAN,3,0),"")</f>
        <v>#N/A</v>
      </c>
      <c r="W1143" s="83" t="s">
        <v>1123</v>
      </c>
      <c r="X1143" s="64" t="str">
        <f>IF(Y1143&lt;&gt;0,VLOOKUP(Y1143,DM_DUAN,3,0),"")</f>
        <v>#N/A</v>
      </c>
      <c r="Y1143" s="69" t="s">
        <v>176</v>
      </c>
      <c r="Z1143" s="64" t="str">
        <f>IF(AA1143&lt;&gt;0,VLOOKUP(AA1143,DM_DUAN,3,0),"")</f>
        <v>#N/A</v>
      </c>
      <c r="AA1143" s="70" t="s">
        <v>177</v>
      </c>
      <c r="AB1143" s="64" t="str">
        <f>IF(AC1143&lt;&gt;0,VLOOKUP(AC1143,DM_DUAN,3,0),"")</f>
        <v/>
      </c>
      <c r="AC1143" s="70"/>
      <c r="AD1143" s="64" t="str">
        <f>IF(AC1143&lt;&gt;0,VLOOKUP(AC1143,DM_NV,2,0),"")</f>
        <v/>
      </c>
      <c r="AE1143" s="68"/>
      <c r="AF1143" s="64" t="str">
        <f>IF(AE1143&lt;&gt;0,VLOOKUP(AE1143,DM_NV,2,0),"")</f>
        <v/>
      </c>
    </row>
    <row r="1144">
      <c r="A1144" s="51"/>
      <c r="B1144" s="52" t="str">
        <f>IF(D1144="","",VLOOKUP(D1144,'THAM CHIẾU'!$A:$B,2,0))</f>
        <v>#N/A</v>
      </c>
      <c r="C1144" s="53" t="str">
        <f t="shared" si="5"/>
        <v>05/2022</v>
      </c>
      <c r="D1144" s="99">
        <v>44700.0</v>
      </c>
      <c r="E1144" s="55" t="s">
        <v>1130</v>
      </c>
      <c r="F1144" s="56"/>
      <c r="G1144" s="57" t="s">
        <v>173</v>
      </c>
      <c r="H1144" s="58" t="str">
        <f>IF(G1144="","",VLOOKUP($G1144,'Quy chuẩn hạch toán'!$B:$E,2,0))</f>
        <v>641</v>
      </c>
      <c r="I1144" s="58" t="str">
        <f>IF(H1144="","",VLOOKUP($G1144,'Quy chuẩn hạch toán'!$B:$E,3,0))</f>
        <v>331</v>
      </c>
      <c r="J1144" s="59">
        <v>5000000.0</v>
      </c>
      <c r="K1144" s="60"/>
      <c r="L1144" s="61"/>
      <c r="M1144" s="62"/>
      <c r="N1144" s="63"/>
      <c r="O1144" s="64" t="str">
        <f>IF($Q1144&lt;&gt;0,VLOOKUP($Q1144,DM_KM,3,0),"")</f>
        <v>#N/A</v>
      </c>
      <c r="P1144" s="64" t="str">
        <f>IF($Q1144&lt;&gt;0,VLOOKUP($Q1144,DM_KM,5,0),"")</f>
        <v>#N/A</v>
      </c>
      <c r="Q1144" s="65" t="s">
        <v>612</v>
      </c>
      <c r="R1144" s="64" t="str">
        <f>IF(S1144&lt;&gt;0,VLOOKUP(S1144,DM_DUAN,3,0),"")</f>
        <v>#N/A</v>
      </c>
      <c r="S1144" s="66" t="str">
        <f>IF(U1144&lt;&gt;0,VLOOKUP(U1144,DM_DUAN,3,0),"")</f>
        <v>CLOUDLAND</v>
      </c>
      <c r="T1144" s="64"/>
      <c r="U1144" s="67" t="s">
        <v>956</v>
      </c>
      <c r="V1144" s="64" t="str">
        <f>IF(W1144&lt;&gt;0,VLOOKUP(W1144,DM_DUAN,3,0),"")</f>
        <v>#N/A</v>
      </c>
      <c r="W1144" s="83" t="s">
        <v>1123</v>
      </c>
      <c r="X1144" s="64" t="str">
        <f>IF(Y1144&lt;&gt;0,VLOOKUP(Y1144,DM_DUAN,3,0),"")</f>
        <v>#N/A</v>
      </c>
      <c r="Y1144" s="69" t="s">
        <v>176</v>
      </c>
      <c r="Z1144" s="64" t="str">
        <f>IF(AA1144&lt;&gt;0,VLOOKUP(AA1144,DM_DUAN,3,0),"")</f>
        <v>#N/A</v>
      </c>
      <c r="AA1144" s="70" t="s">
        <v>177</v>
      </c>
      <c r="AB1144" s="64" t="str">
        <f>IF(AC1144&lt;&gt;0,VLOOKUP(AC1144,DM_DUAN,3,0),"")</f>
        <v/>
      </c>
      <c r="AC1144" s="85"/>
      <c r="AD1144" s="64" t="str">
        <f>IF(AC1144&lt;&gt;0,VLOOKUP(AC1144,DM_NV,2,0),"")</f>
        <v/>
      </c>
      <c r="AE1144" s="68"/>
      <c r="AF1144" s="64" t="str">
        <f>IF(AE1144&lt;&gt;0,VLOOKUP(AE1144,DM_NV,2,0),"")</f>
        <v/>
      </c>
    </row>
    <row r="1145">
      <c r="A1145" s="51"/>
      <c r="B1145" s="52" t="str">
        <f>IF(D1145="","",VLOOKUP(D1145,'THAM CHIẾU'!$A:$B,2,0))</f>
        <v>#N/A</v>
      </c>
      <c r="C1145" s="53" t="str">
        <f t="shared" si="5"/>
        <v>05/2022</v>
      </c>
      <c r="D1145" s="99">
        <v>44705.0</v>
      </c>
      <c r="E1145" s="55" t="s">
        <v>1131</v>
      </c>
      <c r="F1145" s="56"/>
      <c r="G1145" s="57" t="s">
        <v>197</v>
      </c>
      <c r="H1145" s="58" t="str">
        <f>IF(G1145="","",VLOOKUP($G1145,'Quy chuẩn hạch toán'!$B:$E,2,0))</f>
        <v>#N/A</v>
      </c>
      <c r="I1145" s="58" t="str">
        <f>IF(H1145="","",VLOOKUP($G1145,'Quy chuẩn hạch toán'!$B:$E,3,0))</f>
        <v>#N/A</v>
      </c>
      <c r="J1145" s="59">
        <v>1.0862E9</v>
      </c>
      <c r="K1145" s="60"/>
      <c r="L1145" s="61"/>
      <c r="M1145" s="62"/>
      <c r="N1145" s="63"/>
      <c r="O1145" s="64" t="str">
        <f>IF($Q1145&lt;&gt;0,VLOOKUP($Q1145,DM_KM,3,0),"")</f>
        <v>#N/A</v>
      </c>
      <c r="P1145" s="64" t="str">
        <f>IF($Q1145&lt;&gt;0,VLOOKUP($Q1145,DM_KM,5,0),"")</f>
        <v>#N/A</v>
      </c>
      <c r="Q1145" s="65" t="s">
        <v>198</v>
      </c>
      <c r="R1145" s="64" t="str">
        <f>IF(S1145&lt;&gt;0,VLOOKUP(S1145,DM_DUAN,3,0),"")</f>
        <v>#N/A</v>
      </c>
      <c r="S1145" s="66" t="str">
        <f>IF(U1145&lt;&gt;0,VLOOKUP(U1145,DM_DUAN,3,0),"")</f>
        <v>CLOUDLAND</v>
      </c>
      <c r="T1145" s="64"/>
      <c r="U1145" s="67" t="s">
        <v>956</v>
      </c>
      <c r="V1145" s="64" t="str">
        <f>IF(W1145&lt;&gt;0,VLOOKUP(W1145,DM_DUAN,3,0),"")</f>
        <v>#N/A</v>
      </c>
      <c r="W1145" s="83" t="s">
        <v>1132</v>
      </c>
      <c r="X1145" s="64" t="str">
        <f>IF(Y1145&lt;&gt;0,VLOOKUP(Y1145,DM_DUAN,3,0),"")</f>
        <v>#N/A</v>
      </c>
      <c r="Y1145" s="69" t="s">
        <v>176</v>
      </c>
      <c r="Z1145" s="64" t="str">
        <f>IF(AA1145&lt;&gt;0,VLOOKUP(AA1145,DM_DUAN,3,0),"")</f>
        <v>#N/A</v>
      </c>
      <c r="AA1145" s="70" t="s">
        <v>183</v>
      </c>
      <c r="AB1145" s="64" t="str">
        <f>IF(AC1145&lt;&gt;0,VLOOKUP(AC1145,DM_DUAN,3,0),"")</f>
        <v>#N/A</v>
      </c>
      <c r="AC1145" s="70" t="s">
        <v>1133</v>
      </c>
      <c r="AD1145" s="64" t="str">
        <f>IF(AC1145&lt;&gt;0,VLOOKUP(AC1145,DM_NV,2,0),"")</f>
        <v>Nguyễn Vũ Quân</v>
      </c>
      <c r="AE1145" s="68"/>
      <c r="AF1145" s="64" t="str">
        <f>IF(AE1145&lt;&gt;0,VLOOKUP(AE1145,DM_NV,2,0),"")</f>
        <v/>
      </c>
    </row>
    <row r="1146">
      <c r="A1146" s="51"/>
      <c r="B1146" s="52" t="str">
        <f>IF(D1146="","",VLOOKUP(D1146,'THAM CHIẾU'!$A:$B,2,0))</f>
        <v>#N/A</v>
      </c>
      <c r="C1146" s="53" t="str">
        <f t="shared" si="5"/>
        <v>05/2022</v>
      </c>
      <c r="D1146" s="99">
        <v>44705.0</v>
      </c>
      <c r="E1146" s="55" t="s">
        <v>1134</v>
      </c>
      <c r="F1146" s="56"/>
      <c r="G1146" s="57" t="s">
        <v>186</v>
      </c>
      <c r="H1146" s="58" t="str">
        <f>IF(G1146="","",VLOOKUP($G1146,'Quy chuẩn hạch toán'!$B:$E,2,0))</f>
        <v>131</v>
      </c>
      <c r="I1146" s="58" t="str">
        <f>IF(H1146="","",VLOOKUP($G1146,'Quy chuẩn hạch toán'!$B:$E,3,0))</f>
        <v>5113</v>
      </c>
      <c r="J1146" s="95">
        <f>1086200000*12%+18000000+5000000</f>
        <v>153344000</v>
      </c>
      <c r="K1146" s="60"/>
      <c r="L1146" s="61"/>
      <c r="M1146" s="62"/>
      <c r="N1146" s="63"/>
      <c r="O1146" s="64" t="str">
        <f>IF($Q1146&lt;&gt;0,VLOOKUP($Q1146,DM_KM,3,0),"")</f>
        <v>511_TK</v>
      </c>
      <c r="P1146" s="64">
        <f>IF($Q1146&lt;&gt;0,VLOOKUP($Q1146,DM_KM,5,0),"")</f>
        <v>511</v>
      </c>
      <c r="Q1146" s="65" t="s">
        <v>187</v>
      </c>
      <c r="R1146" s="64" t="str">
        <f>IF(S1146&lt;&gt;0,VLOOKUP(S1146,DM_DUAN,3,0),"")</f>
        <v>#N/A</v>
      </c>
      <c r="S1146" s="66" t="str">
        <f>IF(U1146&lt;&gt;0,VLOOKUP(U1146,DM_DUAN,3,0),"")</f>
        <v>CLOUDLAND</v>
      </c>
      <c r="T1146" s="64"/>
      <c r="U1146" s="67" t="s">
        <v>956</v>
      </c>
      <c r="V1146" s="64" t="str">
        <f>IF(W1146&lt;&gt;0,VLOOKUP(W1146,DM_DUAN,3,0),"")</f>
        <v>#N/A</v>
      </c>
      <c r="W1146" s="83" t="s">
        <v>1132</v>
      </c>
      <c r="X1146" s="64" t="str">
        <f>IF(Y1146&lt;&gt;0,VLOOKUP(Y1146,DM_DUAN,3,0),"")</f>
        <v>#N/A</v>
      </c>
      <c r="Y1146" s="69" t="s">
        <v>176</v>
      </c>
      <c r="Z1146" s="64" t="str">
        <f>IF(AA1146&lt;&gt;0,VLOOKUP(AA1146,DM_DUAN,3,0),"")</f>
        <v>#N/A</v>
      </c>
      <c r="AA1146" s="70" t="s">
        <v>183</v>
      </c>
      <c r="AB1146" s="64" t="str">
        <f>IF(AC1146&lt;&gt;0,VLOOKUP(AC1146,DM_DUAN,3,0),"")</f>
        <v/>
      </c>
      <c r="AC1146" s="85"/>
      <c r="AD1146" s="64" t="str">
        <f>IF(AC1146&lt;&gt;0,VLOOKUP(AC1146,DM_NV,2,0),"")</f>
        <v/>
      </c>
      <c r="AE1146" s="68"/>
      <c r="AF1146" s="64" t="str">
        <f>IF(AE1146&lt;&gt;0,VLOOKUP(AE1146,DM_NV,2,0),"")</f>
        <v/>
      </c>
    </row>
    <row r="1147">
      <c r="A1147" s="51"/>
      <c r="B1147" s="52" t="str">
        <f>IF(D1147="","",VLOOKUP(D1147,'THAM CHIẾU'!$A:$B,2,0))</f>
        <v>#N/A</v>
      </c>
      <c r="C1147" s="53" t="str">
        <f t="shared" si="5"/>
        <v>05/2022</v>
      </c>
      <c r="D1147" s="99">
        <v>44705.0</v>
      </c>
      <c r="E1147" s="55" t="s">
        <v>1135</v>
      </c>
      <c r="F1147" s="56"/>
      <c r="G1147" s="57" t="s">
        <v>189</v>
      </c>
      <c r="H1147" s="58" t="str">
        <f>IF(G1147="","",VLOOKUP($G1147,'Quy chuẩn hạch toán'!$B:$E,2,0))</f>
        <v>154</v>
      </c>
      <c r="I1147" s="58" t="str">
        <f>IF(H1147="","",VLOOKUP($G1147,'Quy chuẩn hạch toán'!$B:$E,3,0))</f>
        <v>3345</v>
      </c>
      <c r="J1147" s="95">
        <f>1086200000*3%-9900000/2</f>
        <v>27636000</v>
      </c>
      <c r="K1147" s="60"/>
      <c r="L1147" s="61"/>
      <c r="M1147" s="62"/>
      <c r="N1147" s="63"/>
      <c r="O1147" s="64" t="str">
        <f>IF($Q1147&lt;&gt;0,VLOOKUP($Q1147,DM_KM,3,0),"")</f>
        <v>#N/A</v>
      </c>
      <c r="P1147" s="64" t="str">
        <f>IF($Q1147&lt;&gt;0,VLOOKUP($Q1147,DM_KM,5,0),"")</f>
        <v>#N/A</v>
      </c>
      <c r="Q1147" s="65" t="s">
        <v>190</v>
      </c>
      <c r="R1147" s="64" t="str">
        <f>IF(S1147&lt;&gt;0,VLOOKUP(S1147,DM_DUAN,3,0),"")</f>
        <v>#N/A</v>
      </c>
      <c r="S1147" s="66" t="str">
        <f>IF(U1147&lt;&gt;0,VLOOKUP(U1147,DM_DUAN,3,0),"")</f>
        <v>CLOUDLAND</v>
      </c>
      <c r="T1147" s="64"/>
      <c r="U1147" s="67" t="s">
        <v>956</v>
      </c>
      <c r="V1147" s="64" t="str">
        <f>IF(W1147&lt;&gt;0,VLOOKUP(W1147,DM_DUAN,3,0),"")</f>
        <v>#N/A</v>
      </c>
      <c r="W1147" s="83" t="s">
        <v>1132</v>
      </c>
      <c r="X1147" s="64" t="str">
        <f>IF(Y1147&lt;&gt;0,VLOOKUP(Y1147,DM_DUAN,3,0),"")</f>
        <v>#N/A</v>
      </c>
      <c r="Y1147" s="69" t="s">
        <v>176</v>
      </c>
      <c r="Z1147" s="64" t="str">
        <f>IF(AA1147&lt;&gt;0,VLOOKUP(AA1147,DM_DUAN,3,0),"")</f>
        <v>#N/A</v>
      </c>
      <c r="AA1147" s="70" t="s">
        <v>183</v>
      </c>
      <c r="AB1147" s="64" t="str">
        <f>IF(AC1147&lt;&gt;0,VLOOKUP(AC1147,DM_DUAN,3,0),"")</f>
        <v>#N/A</v>
      </c>
      <c r="AC1147" s="70" t="s">
        <v>1133</v>
      </c>
      <c r="AD1147" s="64" t="str">
        <f>IF(AC1147&lt;&gt;0,VLOOKUP(AC1147,DM_NV,2,0),"")</f>
        <v>Nguyễn Vũ Quân</v>
      </c>
      <c r="AE1147" s="68"/>
      <c r="AF1147" s="64" t="str">
        <f>IF(AE1147&lt;&gt;0,VLOOKUP(AE1147,DM_NV,2,0),"")</f>
        <v/>
      </c>
    </row>
    <row r="1148">
      <c r="A1148" s="51"/>
      <c r="B1148" s="52" t="str">
        <f>IF(D1148="","",VLOOKUP(D1148,'THAM CHIẾU'!$A:$B,2,0))</f>
        <v>#N/A</v>
      </c>
      <c r="C1148" s="53" t="str">
        <f t="shared" si="5"/>
        <v>05/2022</v>
      </c>
      <c r="D1148" s="99">
        <v>44705.0</v>
      </c>
      <c r="E1148" s="55" t="s">
        <v>1136</v>
      </c>
      <c r="F1148" s="56"/>
      <c r="G1148" s="57" t="s">
        <v>582</v>
      </c>
      <c r="H1148" s="58" t="str">
        <f>IF(G1148="","",VLOOKUP($G1148,'Quy chuẩn hạch toán'!$B:$E,2,0))</f>
        <v>154</v>
      </c>
      <c r="I1148" s="58" t="str">
        <f>IF(H1148="","",VLOOKUP($G1148,'Quy chuẩn hạch toán'!$B:$E,3,0))</f>
        <v>3346</v>
      </c>
      <c r="J1148" s="59">
        <v>1.8E7</v>
      </c>
      <c r="K1148" s="60"/>
      <c r="L1148" s="61"/>
      <c r="M1148" s="62"/>
      <c r="N1148" s="63"/>
      <c r="O1148" s="64" t="str">
        <f>IF($Q1148&lt;&gt;0,VLOOKUP($Q1148,DM_KM,3,0),"")</f>
        <v>#N/A</v>
      </c>
      <c r="P1148" s="64" t="str">
        <f>IF($Q1148&lt;&gt;0,VLOOKUP($Q1148,DM_KM,5,0),"")</f>
        <v>#N/A</v>
      </c>
      <c r="Q1148" s="65" t="s">
        <v>190</v>
      </c>
      <c r="R1148" s="64" t="str">
        <f>IF(S1148&lt;&gt;0,VLOOKUP(S1148,DM_DUAN,3,0),"")</f>
        <v>#N/A</v>
      </c>
      <c r="S1148" s="66" t="str">
        <f>IF(U1148&lt;&gt;0,VLOOKUP(U1148,DM_DUAN,3,0),"")</f>
        <v>CLOUDLAND</v>
      </c>
      <c r="T1148" s="64"/>
      <c r="U1148" s="67" t="s">
        <v>956</v>
      </c>
      <c r="V1148" s="64" t="str">
        <f>IF(W1148&lt;&gt;0,VLOOKUP(W1148,DM_DUAN,3,0),"")</f>
        <v>#N/A</v>
      </c>
      <c r="W1148" s="83" t="s">
        <v>1132</v>
      </c>
      <c r="X1148" s="64" t="str">
        <f>IF(Y1148&lt;&gt;0,VLOOKUP(Y1148,DM_DUAN,3,0),"")</f>
        <v>#N/A</v>
      </c>
      <c r="Y1148" s="69" t="s">
        <v>176</v>
      </c>
      <c r="Z1148" s="64" t="str">
        <f>IF(AA1148&lt;&gt;0,VLOOKUP(AA1148,DM_DUAN,3,0),"")</f>
        <v>#N/A</v>
      </c>
      <c r="AA1148" s="70" t="s">
        <v>183</v>
      </c>
      <c r="AB1148" s="64" t="str">
        <f>IF(AC1148&lt;&gt;0,VLOOKUP(AC1148,DM_DUAN,3,0),"")</f>
        <v>#N/A</v>
      </c>
      <c r="AC1148" s="70" t="s">
        <v>1133</v>
      </c>
      <c r="AD1148" s="64" t="str">
        <f>IF(AC1148&lt;&gt;0,VLOOKUP(AC1148,DM_NV,2,0),"")</f>
        <v>Nguyễn Vũ Quân</v>
      </c>
      <c r="AE1148" s="68"/>
      <c r="AF1148" s="64" t="str">
        <f>IF(AE1148&lt;&gt;0,VLOOKUP(AE1148,DM_NV,2,0),"")</f>
        <v/>
      </c>
    </row>
    <row r="1149">
      <c r="A1149" s="51"/>
      <c r="B1149" s="52" t="str">
        <f>IF(D1149="","",VLOOKUP(D1149,'THAM CHIẾU'!$A:$B,2,0))</f>
        <v>#N/A</v>
      </c>
      <c r="C1149" s="53" t="str">
        <f t="shared" si="5"/>
        <v>05/2022</v>
      </c>
      <c r="D1149" s="99">
        <v>44705.0</v>
      </c>
      <c r="E1149" s="55" t="s">
        <v>1137</v>
      </c>
      <c r="F1149" s="56"/>
      <c r="G1149" s="57" t="s">
        <v>577</v>
      </c>
      <c r="H1149" s="58" t="str">
        <f>IF(G1149="","",VLOOKUP($G1149,'Quy chuẩn hạch toán'!$B:$E,2,0))</f>
        <v>154</v>
      </c>
      <c r="I1149" s="58" t="str">
        <f>IF(H1149="","",VLOOKUP($G1149,'Quy chuẩn hạch toán'!$B:$E,3,0))</f>
        <v>3348</v>
      </c>
      <c r="J1149" s="59">
        <v>9900000.0</v>
      </c>
      <c r="K1149" s="60"/>
      <c r="L1149" s="61"/>
      <c r="M1149" s="62"/>
      <c r="N1149" s="63"/>
      <c r="O1149" s="64" t="str">
        <f>IF($Q1149&lt;&gt;0,VLOOKUP($Q1149,DM_KM,3,0),"")</f>
        <v>#N/A</v>
      </c>
      <c r="P1149" s="64" t="str">
        <f>IF($Q1149&lt;&gt;0,VLOOKUP($Q1149,DM_KM,5,0),"")</f>
        <v>#N/A</v>
      </c>
      <c r="Q1149" s="65" t="s">
        <v>181</v>
      </c>
      <c r="R1149" s="64" t="str">
        <f>IF(S1149&lt;&gt;0,VLOOKUP(S1149,DM_DUAN,3,0),"")</f>
        <v>#N/A</v>
      </c>
      <c r="S1149" s="66" t="str">
        <f>IF(U1149&lt;&gt;0,VLOOKUP(U1149,DM_DUAN,3,0),"")</f>
        <v>CLOUDLAND</v>
      </c>
      <c r="T1149" s="64"/>
      <c r="U1149" s="67" t="s">
        <v>956</v>
      </c>
      <c r="V1149" s="64" t="str">
        <f>IF(W1149&lt;&gt;0,VLOOKUP(W1149,DM_DUAN,3,0),"")</f>
        <v>#N/A</v>
      </c>
      <c r="W1149" s="83" t="s">
        <v>1132</v>
      </c>
      <c r="X1149" s="64" t="str">
        <f>IF(Y1149&lt;&gt;0,VLOOKUP(Y1149,DM_DUAN,3,0),"")</f>
        <v>#N/A</v>
      </c>
      <c r="Y1149" s="69" t="s">
        <v>176</v>
      </c>
      <c r="Z1149" s="64" t="str">
        <f>IF(AA1149&lt;&gt;0,VLOOKUP(AA1149,DM_DUAN,3,0),"")</f>
        <v>#N/A</v>
      </c>
      <c r="AA1149" s="70" t="s">
        <v>183</v>
      </c>
      <c r="AB1149" s="64" t="str">
        <f>IF(AC1149&lt;&gt;0,VLOOKUP(AC1149,DM_DUAN,3,0),"")</f>
        <v/>
      </c>
      <c r="AC1149" s="85"/>
      <c r="AD1149" s="64" t="str">
        <f>IF(AC1149&lt;&gt;0,VLOOKUP(AC1149,DM_NV,2,0),"")</f>
        <v/>
      </c>
      <c r="AE1149" s="68"/>
      <c r="AF1149" s="64" t="str">
        <f>IF(AE1149&lt;&gt;0,VLOOKUP(AE1149,DM_NV,2,0),"")</f>
        <v/>
      </c>
    </row>
    <row r="1150">
      <c r="A1150" s="51"/>
      <c r="B1150" s="52" t="str">
        <f>IF(D1150="","",VLOOKUP(D1150,'THAM CHIẾU'!$A:$B,2,0))</f>
        <v>#N/A</v>
      </c>
      <c r="C1150" s="53" t="str">
        <f t="shared" si="5"/>
        <v>05/2022</v>
      </c>
      <c r="D1150" s="99">
        <v>44705.0</v>
      </c>
      <c r="E1150" s="55" t="s">
        <v>1138</v>
      </c>
      <c r="F1150" s="56"/>
      <c r="G1150" s="57" t="s">
        <v>200</v>
      </c>
      <c r="H1150" s="58" t="str">
        <f>IF(G1150="","",VLOOKUP($G1150,'Quy chuẩn hạch toán'!$B:$E,2,0))</f>
        <v>154</v>
      </c>
      <c r="I1150" s="58" t="str">
        <f>IF(H1150="","",VLOOKUP($G1150,'Quy chuẩn hạch toán'!$B:$E,3,0))</f>
        <v>3343</v>
      </c>
      <c r="J1150" s="59">
        <v>1000000.0</v>
      </c>
      <c r="K1150" s="60"/>
      <c r="L1150" s="61"/>
      <c r="M1150" s="62"/>
      <c r="N1150" s="63"/>
      <c r="O1150" s="64" t="str">
        <f>IF($Q1150&lt;&gt;0,VLOOKUP($Q1150,DM_KM,3,0),"")</f>
        <v>#N/A</v>
      </c>
      <c r="P1150" s="64" t="str">
        <f>IF($Q1150&lt;&gt;0,VLOOKUP($Q1150,DM_KM,5,0),"")</f>
        <v>#N/A</v>
      </c>
      <c r="Q1150" s="65" t="s">
        <v>201</v>
      </c>
      <c r="R1150" s="64" t="str">
        <f>IF(S1150&lt;&gt;0,VLOOKUP(S1150,DM_DUAN,3,0),"")</f>
        <v>#N/A</v>
      </c>
      <c r="S1150" s="66" t="str">
        <f>IF(U1150&lt;&gt;0,VLOOKUP(U1150,DM_DUAN,3,0),"")</f>
        <v>CLOUDLAND</v>
      </c>
      <c r="T1150" s="64"/>
      <c r="U1150" s="67" t="s">
        <v>956</v>
      </c>
      <c r="V1150" s="64" t="str">
        <f>IF(W1150&lt;&gt;0,VLOOKUP(W1150,DM_DUAN,3,0),"")</f>
        <v>#N/A</v>
      </c>
      <c r="W1150" s="83" t="s">
        <v>1132</v>
      </c>
      <c r="X1150" s="64" t="str">
        <f>IF(Y1150&lt;&gt;0,VLOOKUP(Y1150,DM_DUAN,3,0),"")</f>
        <v>#N/A</v>
      </c>
      <c r="Y1150" s="69" t="s">
        <v>176</v>
      </c>
      <c r="Z1150" s="64" t="str">
        <f>IF(AA1150&lt;&gt;0,VLOOKUP(AA1150,DM_DUAN,3,0),"")</f>
        <v>#N/A</v>
      </c>
      <c r="AA1150" s="70" t="s">
        <v>183</v>
      </c>
      <c r="AB1150" s="64" t="str">
        <f>IF(AC1150&lt;&gt;0,VLOOKUP(AC1150,DM_DUAN,3,0),"")</f>
        <v/>
      </c>
      <c r="AC1150" s="85"/>
      <c r="AD1150" s="64" t="str">
        <f>IF(AC1150&lt;&gt;0,VLOOKUP(AC1150,DM_NV,2,0),"")</f>
        <v/>
      </c>
      <c r="AE1150" s="68"/>
      <c r="AF1150" s="64" t="str">
        <f>IF(AE1150&lt;&gt;0,VLOOKUP(AE1150,DM_NV,2,0),"")</f>
        <v/>
      </c>
    </row>
    <row r="1151">
      <c r="A1151" s="51"/>
      <c r="B1151" s="52" t="str">
        <f>IF(D1151="","",VLOOKUP(D1151,'THAM CHIẾU'!$A:$B,2,0))</f>
        <v>#N/A</v>
      </c>
      <c r="C1151" s="53" t="str">
        <f t="shared" si="5"/>
        <v>05/2022</v>
      </c>
      <c r="D1151" s="99">
        <v>44705.0</v>
      </c>
      <c r="E1151" s="55" t="s">
        <v>1139</v>
      </c>
      <c r="F1151" s="56"/>
      <c r="G1151" s="90"/>
      <c r="H1151" s="58" t="str">
        <f>IF(G1151="","",VLOOKUP($G1151,'Quy chuẩn hạch toán'!$B:$E,2,0))</f>
        <v/>
      </c>
      <c r="I1151" s="58" t="str">
        <f>IF(H1151="","",VLOOKUP($G1151,'Quy chuẩn hạch toán'!$B:$E,3,0))</f>
        <v/>
      </c>
      <c r="J1151" s="95">
        <f>130344000*8%</f>
        <v>10427520</v>
      </c>
      <c r="K1151" s="60"/>
      <c r="L1151" s="61"/>
      <c r="M1151" s="62"/>
      <c r="N1151" s="63"/>
      <c r="O1151" s="64" t="str">
        <f>IF($Q1151&lt;&gt;0,VLOOKUP($Q1151,DM_KM,3,0),"")</f>
        <v>#N/A</v>
      </c>
      <c r="P1151" s="64" t="str">
        <f>IF($Q1151&lt;&gt;0,VLOOKUP($Q1151,DM_KM,5,0),"")</f>
        <v>#N/A</v>
      </c>
      <c r="Q1151" s="65" t="s">
        <v>203</v>
      </c>
      <c r="R1151" s="64" t="str">
        <f>IF(S1151&lt;&gt;0,VLOOKUP(S1151,DM_DUAN,3,0),"")</f>
        <v>#N/A</v>
      </c>
      <c r="S1151" s="66" t="str">
        <f>IF(U1151&lt;&gt;0,VLOOKUP(U1151,DM_DUAN,3,0),"")</f>
        <v>CLOUDLAND</v>
      </c>
      <c r="T1151" s="64"/>
      <c r="U1151" s="67" t="s">
        <v>956</v>
      </c>
      <c r="V1151" s="64" t="str">
        <f>IF(W1151&lt;&gt;0,VLOOKUP(W1151,DM_DUAN,3,0),"")</f>
        <v>#N/A</v>
      </c>
      <c r="W1151" s="83" t="s">
        <v>1132</v>
      </c>
      <c r="X1151" s="64" t="str">
        <f>IF(Y1151&lt;&gt;0,VLOOKUP(Y1151,DM_DUAN,3,0),"")</f>
        <v>#N/A</v>
      </c>
      <c r="Y1151" s="69" t="s">
        <v>176</v>
      </c>
      <c r="Z1151" s="64" t="str">
        <f>IF(AA1151&lt;&gt;0,VLOOKUP(AA1151,DM_DUAN,3,0),"")</f>
        <v>#N/A</v>
      </c>
      <c r="AA1151" s="70" t="s">
        <v>183</v>
      </c>
      <c r="AB1151" s="64" t="str">
        <f>IF(AC1151&lt;&gt;0,VLOOKUP(AC1151,DM_DUAN,3,0),"")</f>
        <v/>
      </c>
      <c r="AC1151" s="85"/>
      <c r="AD1151" s="64" t="str">
        <f>IF(AC1151&lt;&gt;0,VLOOKUP(AC1151,DM_NV,2,0),"")</f>
        <v/>
      </c>
      <c r="AE1151" s="68"/>
      <c r="AF1151" s="64" t="str">
        <f>IF(AE1151&lt;&gt;0,VLOOKUP(AE1151,DM_NV,2,0),"")</f>
        <v/>
      </c>
    </row>
    <row r="1152">
      <c r="A1152" s="51"/>
      <c r="B1152" s="52" t="str">
        <f>IF(D1152="","",VLOOKUP(D1152,'THAM CHIẾU'!$A:$B,2,0))</f>
        <v>#N/A</v>
      </c>
      <c r="C1152" s="53" t="str">
        <f t="shared" si="5"/>
        <v>05/2022</v>
      </c>
      <c r="D1152" s="99">
        <v>44705.0</v>
      </c>
      <c r="E1152" s="55" t="s">
        <v>1140</v>
      </c>
      <c r="F1152" s="56"/>
      <c r="G1152" s="57" t="s">
        <v>173</v>
      </c>
      <c r="H1152" s="58" t="str">
        <f>IF(G1152="","",VLOOKUP($G1152,'Quy chuẩn hạch toán'!$B:$E,2,0))</f>
        <v>641</v>
      </c>
      <c r="I1152" s="58" t="str">
        <f>IF(H1152="","",VLOOKUP($G1152,'Quy chuẩn hạch toán'!$B:$E,3,0))</f>
        <v>331</v>
      </c>
      <c r="J1152" s="59">
        <v>5000000.0</v>
      </c>
      <c r="K1152" s="60"/>
      <c r="L1152" s="61"/>
      <c r="M1152" s="62"/>
      <c r="N1152" s="63"/>
      <c r="O1152" s="64" t="str">
        <f>IF($Q1152&lt;&gt;0,VLOOKUP($Q1152,DM_KM,3,0),"")</f>
        <v>#N/A</v>
      </c>
      <c r="P1152" s="64" t="str">
        <f>IF($Q1152&lt;&gt;0,VLOOKUP($Q1152,DM_KM,5,0),"")</f>
        <v>#N/A</v>
      </c>
      <c r="Q1152" s="65" t="s">
        <v>612</v>
      </c>
      <c r="R1152" s="64" t="str">
        <f>IF(S1152&lt;&gt;0,VLOOKUP(S1152,DM_DUAN,3,0),"")</f>
        <v>#N/A</v>
      </c>
      <c r="S1152" s="66" t="str">
        <f>IF(U1152&lt;&gt;0,VLOOKUP(U1152,DM_DUAN,3,0),"")</f>
        <v>CLOUDLAND</v>
      </c>
      <c r="T1152" s="64"/>
      <c r="U1152" s="67" t="s">
        <v>956</v>
      </c>
      <c r="V1152" s="64" t="str">
        <f>IF(W1152&lt;&gt;0,VLOOKUP(W1152,DM_DUAN,3,0),"")</f>
        <v>#N/A</v>
      </c>
      <c r="W1152" s="83" t="s">
        <v>1132</v>
      </c>
      <c r="X1152" s="64" t="str">
        <f>IF(Y1152&lt;&gt;0,VLOOKUP(Y1152,DM_DUAN,3,0),"")</f>
        <v>#N/A</v>
      </c>
      <c r="Y1152" s="69" t="s">
        <v>176</v>
      </c>
      <c r="Z1152" s="64" t="str">
        <f>IF(AA1152&lt;&gt;0,VLOOKUP(AA1152,DM_DUAN,3,0),"")</f>
        <v>#N/A</v>
      </c>
      <c r="AA1152" s="70" t="s">
        <v>183</v>
      </c>
      <c r="AB1152" s="64" t="str">
        <f>IF(AC1152&lt;&gt;0,VLOOKUP(AC1152,DM_DUAN,3,0),"")</f>
        <v/>
      </c>
      <c r="AC1152" s="85"/>
      <c r="AD1152" s="64" t="str">
        <f>IF(AC1152&lt;&gt;0,VLOOKUP(AC1152,DM_NV,2,0),"")</f>
        <v/>
      </c>
      <c r="AE1152" s="68"/>
      <c r="AF1152" s="64" t="str">
        <f>IF(AE1152&lt;&gt;0,VLOOKUP(AE1152,DM_NV,2,0),"")</f>
        <v/>
      </c>
    </row>
    <row r="1153">
      <c r="A1153" s="51"/>
      <c r="B1153" s="52" t="str">
        <f>IF(D1153="","",VLOOKUP(D1153,'THAM CHIẾU'!$A:$B,2,0))</f>
        <v/>
      </c>
      <c r="C1153" s="53" t="str">
        <f t="shared" si="5"/>
        <v/>
      </c>
      <c r="D1153" s="54"/>
      <c r="E1153" s="55"/>
      <c r="F1153" s="56"/>
      <c r="G1153" s="90"/>
      <c r="H1153" s="58" t="str">
        <f>IF(G1153="","",VLOOKUP($G1153,'Quy chuẩn hạch toán'!$B:$E,2,0))</f>
        <v/>
      </c>
      <c r="I1153" s="58" t="str">
        <f>IF(H1153="","",VLOOKUP($G1153,'Quy chuẩn hạch toán'!$B:$E,3,0))</f>
        <v/>
      </c>
      <c r="J1153" s="95"/>
      <c r="K1153" s="60"/>
      <c r="L1153" s="61"/>
      <c r="M1153" s="62"/>
      <c r="N1153" s="63"/>
      <c r="O1153" s="64" t="str">
        <f>IF($Q1153&lt;&gt;0,VLOOKUP($Q1153,DM_KM,3,0),"")</f>
        <v/>
      </c>
      <c r="P1153" s="64" t="str">
        <f>IF($Q1153&lt;&gt;0,VLOOKUP($Q1153,DM_KM,5,0),"")</f>
        <v/>
      </c>
      <c r="Q1153" s="89"/>
      <c r="R1153" s="64" t="str">
        <f>IF(S1153&lt;&gt;0,VLOOKUP(S1153,DM_DUAN,3,0),"")</f>
        <v>#N/A</v>
      </c>
      <c r="S1153" s="66" t="str">
        <f>IF(U1153&lt;&gt;0,VLOOKUP(U1153,DM_DUAN,3,0),"")</f>
        <v/>
      </c>
      <c r="T1153" s="64"/>
      <c r="U1153" s="93"/>
      <c r="V1153" s="64" t="str">
        <f>IF(W1153&lt;&gt;0,VLOOKUP(W1153,DM_DUAN,3,0),"")</f>
        <v/>
      </c>
      <c r="W1153" s="68"/>
      <c r="X1153" s="64" t="str">
        <f>IF(Y1153&lt;&gt;0,VLOOKUP(Y1153,DM_DUAN,3,0),"")</f>
        <v/>
      </c>
      <c r="Y1153" s="84"/>
      <c r="Z1153" s="64" t="str">
        <f>IF(AA1153&lt;&gt;0,VLOOKUP(AA1153,DM_DUAN,3,0),"")</f>
        <v/>
      </c>
      <c r="AA1153" s="131"/>
      <c r="AB1153" s="64" t="str">
        <f>IF(AC1153&lt;&gt;0,VLOOKUP(AC1153,DM_DUAN,3,0),"")</f>
        <v/>
      </c>
      <c r="AC1153" s="85"/>
      <c r="AD1153" s="64" t="str">
        <f>IF(AC1153&lt;&gt;0,VLOOKUP(AC1153,DM_NV,2,0),"")</f>
        <v/>
      </c>
      <c r="AE1153" s="68"/>
      <c r="AF1153" s="64" t="str">
        <f>IF(AE1153&lt;&gt;0,VLOOKUP(AE1153,DM_NV,2,0),"")</f>
        <v/>
      </c>
    </row>
    <row r="1154">
      <c r="A1154" s="51"/>
      <c r="B1154" s="52" t="str">
        <f>IF(D1154="","",VLOOKUP(D1154,'THAM CHIẾU'!$A:$B,2,0))</f>
        <v>#N/A</v>
      </c>
      <c r="C1154" s="53" t="str">
        <f t="shared" si="5"/>
        <v>05/2022</v>
      </c>
      <c r="D1154" s="99">
        <v>44688.0</v>
      </c>
      <c r="E1154" s="55" t="s">
        <v>1141</v>
      </c>
      <c r="F1154" s="56"/>
      <c r="G1154" s="57" t="s">
        <v>205</v>
      </c>
      <c r="H1154" s="58" t="str">
        <f>IF(G1154="","",VLOOKUP($G1154,'Quy chuẩn hạch toán'!$B:$E,2,0))</f>
        <v>642</v>
      </c>
      <c r="I1154" s="58" t="str">
        <f>IF(H1154="","",VLOOKUP($G1154,'Quy chuẩn hạch toán'!$B:$E,3,0))</f>
        <v>1111</v>
      </c>
      <c r="J1154" s="59">
        <v>200000.0</v>
      </c>
      <c r="K1154" s="60"/>
      <c r="L1154" s="61"/>
      <c r="M1154" s="62"/>
      <c r="N1154" s="63"/>
      <c r="O1154" s="64" t="str">
        <f>IF($Q1154&lt;&gt;0,VLOOKUP($Q1154,DM_KM,3,0),"")</f>
        <v>#N/A</v>
      </c>
      <c r="P1154" s="64" t="str">
        <f>IF($Q1154&lt;&gt;0,VLOOKUP($Q1154,DM_KM,5,0),"")</f>
        <v>#N/A</v>
      </c>
      <c r="Q1154" s="65" t="s">
        <v>1142</v>
      </c>
      <c r="R1154" s="64" t="str">
        <f>IF(S1154&lt;&gt;0,VLOOKUP(S1154,DM_DUAN,3,0),"")</f>
        <v>#N/A</v>
      </c>
      <c r="S1154" s="66" t="str">
        <f>IF(U1154&lt;&gt;0,VLOOKUP(U1154,DM_DUAN,3,0),"")</f>
        <v/>
      </c>
      <c r="T1154" s="64"/>
      <c r="U1154" s="93"/>
      <c r="V1154" s="64" t="str">
        <f>IF(W1154&lt;&gt;0,VLOOKUP(W1154,DM_DUAN,3,0),"")</f>
        <v/>
      </c>
      <c r="W1154" s="68"/>
      <c r="X1154" s="64" t="str">
        <f>IF(Y1154&lt;&gt;0,VLOOKUP(Y1154,DM_DUAN,3,0),"")</f>
        <v/>
      </c>
      <c r="Y1154" s="84"/>
      <c r="Z1154" s="64" t="str">
        <f>IF(AA1154&lt;&gt;0,VLOOKUP(AA1154,DM_DUAN,3,0),"")</f>
        <v/>
      </c>
      <c r="AA1154" s="131"/>
      <c r="AB1154" s="64" t="str">
        <f>IF(AC1154&lt;&gt;0,VLOOKUP(AC1154,DM_DUAN,3,0),"")</f>
        <v/>
      </c>
      <c r="AC1154" s="85"/>
      <c r="AD1154" s="64" t="str">
        <f>IF(AC1154&lt;&gt;0,VLOOKUP(AC1154,DM_NV,2,0),"")</f>
        <v/>
      </c>
      <c r="AE1154" s="83" t="s">
        <v>1143</v>
      </c>
      <c r="AF1154" s="64" t="str">
        <f>IF(AE1154&lt;&gt;0,VLOOKUP(AE1154,DM_NV,2,0),"")</f>
        <v>#N/A</v>
      </c>
    </row>
    <row r="1155">
      <c r="A1155" s="51"/>
      <c r="B1155" s="52" t="str">
        <f>IF(D1155="","",VLOOKUP(D1155,'THAM CHIẾU'!$A:$B,2,0))</f>
        <v>#N/A</v>
      </c>
      <c r="C1155" s="53" t="str">
        <f t="shared" si="5"/>
        <v>05/2022</v>
      </c>
      <c r="D1155" s="99">
        <v>44688.0</v>
      </c>
      <c r="E1155" s="55" t="s">
        <v>1144</v>
      </c>
      <c r="F1155" s="56"/>
      <c r="G1155" s="57" t="s">
        <v>205</v>
      </c>
      <c r="H1155" s="58" t="str">
        <f>IF(G1155="","",VLOOKUP($G1155,'Quy chuẩn hạch toán'!$B:$E,2,0))</f>
        <v>642</v>
      </c>
      <c r="I1155" s="58" t="str">
        <f>IF(H1155="","",VLOOKUP($G1155,'Quy chuẩn hạch toán'!$B:$E,3,0))</f>
        <v>1111</v>
      </c>
      <c r="J1155" s="59">
        <v>150000.0</v>
      </c>
      <c r="K1155" s="60"/>
      <c r="L1155" s="61"/>
      <c r="M1155" s="62"/>
      <c r="N1155" s="63"/>
      <c r="O1155" s="64" t="str">
        <f>IF($Q1155&lt;&gt;0,VLOOKUP($Q1155,DM_KM,3,0),"")</f>
        <v>VHVP</v>
      </c>
      <c r="P1155" s="64">
        <f>IF($Q1155&lt;&gt;0,VLOOKUP($Q1155,DM_KM,5,0),"")</f>
        <v>642</v>
      </c>
      <c r="Q1155" s="65" t="s">
        <v>382</v>
      </c>
      <c r="R1155" s="64" t="str">
        <f>IF(S1155&lt;&gt;0,VLOOKUP(S1155,DM_DUAN,3,0),"")</f>
        <v>#N/A</v>
      </c>
      <c r="S1155" s="66" t="str">
        <f>IF(U1155&lt;&gt;0,VLOOKUP(U1155,DM_DUAN,3,0),"")</f>
        <v/>
      </c>
      <c r="T1155" s="64"/>
      <c r="U1155" s="93"/>
      <c r="V1155" s="64" t="str">
        <f>IF(W1155&lt;&gt;0,VLOOKUP(W1155,DM_DUAN,3,0),"")</f>
        <v/>
      </c>
      <c r="W1155" s="68"/>
      <c r="X1155" s="64" t="str">
        <f>IF(Y1155&lt;&gt;0,VLOOKUP(Y1155,DM_DUAN,3,0),"")</f>
        <v/>
      </c>
      <c r="Y1155" s="84"/>
      <c r="Z1155" s="64" t="str">
        <f>IF(AA1155&lt;&gt;0,VLOOKUP(AA1155,DM_DUAN,3,0),"")</f>
        <v/>
      </c>
      <c r="AA1155" s="131"/>
      <c r="AB1155" s="64" t="str">
        <f>IF(AC1155&lt;&gt;0,VLOOKUP(AC1155,DM_DUAN,3,0),"")</f>
        <v/>
      </c>
      <c r="AC1155" s="85"/>
      <c r="AD1155" s="64" t="str">
        <f>IF(AC1155&lt;&gt;0,VLOOKUP(AC1155,DM_NV,2,0),"")</f>
        <v/>
      </c>
      <c r="AE1155" s="83" t="s">
        <v>263</v>
      </c>
      <c r="AF1155" s="64" t="str">
        <f>IF(AE1155&lt;&gt;0,VLOOKUP(AE1155,DM_NV,2,0),"")</f>
        <v>#N/A</v>
      </c>
    </row>
    <row r="1156">
      <c r="A1156" s="51"/>
      <c r="B1156" s="52" t="str">
        <f>IF(D1156="","",VLOOKUP(D1156,'THAM CHIẾU'!$A:$B,2,0))</f>
        <v>#N/A</v>
      </c>
      <c r="C1156" s="53" t="str">
        <f t="shared" si="5"/>
        <v>05/2022</v>
      </c>
      <c r="D1156" s="99">
        <v>44690.0</v>
      </c>
      <c r="E1156" s="55" t="s">
        <v>1145</v>
      </c>
      <c r="F1156" s="56"/>
      <c r="G1156" s="57" t="s">
        <v>205</v>
      </c>
      <c r="H1156" s="58" t="str">
        <f>IF(G1156="","",VLOOKUP($G1156,'Quy chuẩn hạch toán'!$B:$E,2,0))</f>
        <v>642</v>
      </c>
      <c r="I1156" s="58" t="str">
        <f>IF(H1156="","",VLOOKUP($G1156,'Quy chuẩn hạch toán'!$B:$E,3,0))</f>
        <v>1111</v>
      </c>
      <c r="J1156" s="59">
        <v>3000000.0</v>
      </c>
      <c r="K1156" s="60"/>
      <c r="L1156" s="61"/>
      <c r="M1156" s="62"/>
      <c r="N1156" s="63"/>
      <c r="O1156" s="64" t="str">
        <f>IF($Q1156&lt;&gt;0,VLOOKUP($Q1156,DM_KM,3,0),"")</f>
        <v>#N/A</v>
      </c>
      <c r="P1156" s="64" t="str">
        <f>IF($Q1156&lt;&gt;0,VLOOKUP($Q1156,DM_KM,5,0),"")</f>
        <v>#N/A</v>
      </c>
      <c r="Q1156" s="65" t="s">
        <v>374</v>
      </c>
      <c r="R1156" s="64" t="str">
        <f>IF(S1156&lt;&gt;0,VLOOKUP(S1156,DM_DUAN,3,0),"")</f>
        <v>#N/A</v>
      </c>
      <c r="S1156" s="66" t="str">
        <f>IF(U1156&lt;&gt;0,VLOOKUP(U1156,DM_DUAN,3,0),"")</f>
        <v/>
      </c>
      <c r="T1156" s="64"/>
      <c r="U1156" s="93"/>
      <c r="V1156" s="64" t="str">
        <f>IF(W1156&lt;&gt;0,VLOOKUP(W1156,DM_DUAN,3,0),"")</f>
        <v/>
      </c>
      <c r="W1156" s="68"/>
      <c r="X1156" s="64" t="str">
        <f>IF(Y1156&lt;&gt;0,VLOOKUP(Y1156,DM_DUAN,3,0),"")</f>
        <v/>
      </c>
      <c r="Y1156" s="84"/>
      <c r="Z1156" s="64" t="str">
        <f>IF(AA1156&lt;&gt;0,VLOOKUP(AA1156,DM_DUAN,3,0),"")</f>
        <v/>
      </c>
      <c r="AA1156" s="131"/>
      <c r="AB1156" s="64" t="str">
        <f>IF(AC1156&lt;&gt;0,VLOOKUP(AC1156,DM_DUAN,3,0),"")</f>
        <v/>
      </c>
      <c r="AC1156" s="85"/>
      <c r="AD1156" s="64" t="str">
        <f>IF(AC1156&lt;&gt;0,VLOOKUP(AC1156,DM_NV,2,0),"")</f>
        <v/>
      </c>
      <c r="AE1156" s="83" t="s">
        <v>375</v>
      </c>
      <c r="AF1156" s="64" t="str">
        <f>IF(AE1156&lt;&gt;0,VLOOKUP(AE1156,DM_NV,2,0),"")</f>
        <v>#N/A</v>
      </c>
    </row>
    <row r="1157">
      <c r="A1157" s="51"/>
      <c r="B1157" s="52" t="str">
        <f>IF(D1157="","",VLOOKUP(D1157,'THAM CHIẾU'!$A:$B,2,0))</f>
        <v>#N/A</v>
      </c>
      <c r="C1157" s="53" t="str">
        <f t="shared" si="5"/>
        <v>05/2022</v>
      </c>
      <c r="D1157" s="99">
        <v>44690.0</v>
      </c>
      <c r="E1157" s="55" t="s">
        <v>1146</v>
      </c>
      <c r="F1157" s="56"/>
      <c r="G1157" s="57" t="s">
        <v>205</v>
      </c>
      <c r="H1157" s="58" t="str">
        <f>IF(G1157="","",VLOOKUP($G1157,'Quy chuẩn hạch toán'!$B:$E,2,0))</f>
        <v>642</v>
      </c>
      <c r="I1157" s="58" t="str">
        <f>IF(H1157="","",VLOOKUP($G1157,'Quy chuẩn hạch toán'!$B:$E,3,0))</f>
        <v>1111</v>
      </c>
      <c r="J1157" s="59">
        <v>300000.0</v>
      </c>
      <c r="K1157" s="60"/>
      <c r="L1157" s="61"/>
      <c r="M1157" s="62"/>
      <c r="N1157" s="63"/>
      <c r="O1157" s="64" t="str">
        <f>IF($Q1157&lt;&gt;0,VLOOKUP($Q1157,DM_KM,3,0),"")</f>
        <v>#N/A</v>
      </c>
      <c r="P1157" s="64" t="str">
        <f>IF($Q1157&lt;&gt;0,VLOOKUP($Q1157,DM_KM,5,0),"")</f>
        <v>#N/A</v>
      </c>
      <c r="Q1157" s="65" t="s">
        <v>374</v>
      </c>
      <c r="R1157" s="64" t="str">
        <f>IF(S1157&lt;&gt;0,VLOOKUP(S1157,DM_DUAN,3,0),"")</f>
        <v>#N/A</v>
      </c>
      <c r="S1157" s="66" t="str">
        <f>IF(U1157&lt;&gt;0,VLOOKUP(U1157,DM_DUAN,3,0),"")</f>
        <v/>
      </c>
      <c r="T1157" s="64"/>
      <c r="U1157" s="93"/>
      <c r="V1157" s="64" t="str">
        <f>IF(W1157&lt;&gt;0,VLOOKUP(W1157,DM_DUAN,3,0),"")</f>
        <v/>
      </c>
      <c r="W1157" s="68"/>
      <c r="X1157" s="64" t="str">
        <f>IF(Y1157&lt;&gt;0,VLOOKUP(Y1157,DM_DUAN,3,0),"")</f>
        <v/>
      </c>
      <c r="Y1157" s="84"/>
      <c r="Z1157" s="64" t="str">
        <f>IF(AA1157&lt;&gt;0,VLOOKUP(AA1157,DM_DUAN,3,0),"")</f>
        <v/>
      </c>
      <c r="AA1157" s="131"/>
      <c r="AB1157" s="64" t="str">
        <f>IF(AC1157&lt;&gt;0,VLOOKUP(AC1157,DM_DUAN,3,0),"")</f>
        <v/>
      </c>
      <c r="AC1157" s="85"/>
      <c r="AD1157" s="64" t="str">
        <f>IF(AC1157&lt;&gt;0,VLOOKUP(AC1157,DM_NV,2,0),"")</f>
        <v/>
      </c>
      <c r="AE1157" s="83" t="s">
        <v>375</v>
      </c>
      <c r="AF1157" s="64" t="str">
        <f>IF(AE1157&lt;&gt;0,VLOOKUP(AE1157,DM_NV,2,0),"")</f>
        <v>#N/A</v>
      </c>
    </row>
    <row r="1158">
      <c r="A1158" s="51"/>
      <c r="B1158" s="52" t="str">
        <f>IF(D1158="","",VLOOKUP(D1158,'THAM CHIẾU'!$A:$B,2,0))</f>
        <v>#N/A</v>
      </c>
      <c r="C1158" s="53" t="str">
        <f t="shared" si="5"/>
        <v>05/2022</v>
      </c>
      <c r="D1158" s="99">
        <v>44695.0</v>
      </c>
      <c r="E1158" s="55" t="s">
        <v>1147</v>
      </c>
      <c r="F1158" s="56"/>
      <c r="G1158" s="57" t="s">
        <v>205</v>
      </c>
      <c r="H1158" s="58" t="str">
        <f>IF(G1158="","",VLOOKUP($G1158,'Quy chuẩn hạch toán'!$B:$E,2,0))</f>
        <v>642</v>
      </c>
      <c r="I1158" s="58" t="str">
        <f>IF(H1158="","",VLOOKUP($G1158,'Quy chuẩn hạch toán'!$B:$E,3,0))</f>
        <v>1111</v>
      </c>
      <c r="J1158" s="59">
        <v>3050000.0</v>
      </c>
      <c r="K1158" s="60"/>
      <c r="L1158" s="61"/>
      <c r="M1158" s="62"/>
      <c r="N1158" s="63"/>
      <c r="O1158" s="64" t="str">
        <f>IF($Q1158&lt;&gt;0,VLOOKUP($Q1158,DM_KM,3,0),"")</f>
        <v>#N/A</v>
      </c>
      <c r="P1158" s="64" t="str">
        <f>IF($Q1158&lt;&gt;0,VLOOKUP($Q1158,DM_KM,5,0),"")</f>
        <v>#N/A</v>
      </c>
      <c r="Q1158" s="65" t="s">
        <v>413</v>
      </c>
      <c r="R1158" s="64" t="str">
        <f>IF(S1158&lt;&gt;0,VLOOKUP(S1158,DM_DUAN,3,0),"")</f>
        <v>#N/A</v>
      </c>
      <c r="S1158" s="66" t="str">
        <f>IF(U1158&lt;&gt;0,VLOOKUP(U1158,DM_DUAN,3,0),"")</f>
        <v/>
      </c>
      <c r="T1158" s="64"/>
      <c r="U1158" s="93"/>
      <c r="V1158" s="64" t="str">
        <f>IF(W1158&lt;&gt;0,VLOOKUP(W1158,DM_DUAN,3,0),"")</f>
        <v/>
      </c>
      <c r="W1158" s="68"/>
      <c r="X1158" s="64" t="str">
        <f>IF(Y1158&lt;&gt;0,VLOOKUP(Y1158,DM_DUAN,3,0),"")</f>
        <v/>
      </c>
      <c r="Y1158" s="84"/>
      <c r="Z1158" s="64" t="str">
        <f>IF(AA1158&lt;&gt;0,VLOOKUP(AA1158,DM_DUAN,3,0),"")</f>
        <v/>
      </c>
      <c r="AA1158" s="131"/>
      <c r="AB1158" s="64" t="str">
        <f>IF(AC1158&lt;&gt;0,VLOOKUP(AC1158,DM_DUAN,3,0),"")</f>
        <v/>
      </c>
      <c r="AC1158" s="85"/>
      <c r="AD1158" s="64" t="str">
        <f>IF(AC1158&lt;&gt;0,VLOOKUP(AC1158,DM_NV,2,0),"")</f>
        <v/>
      </c>
      <c r="AE1158" s="83" t="s">
        <v>414</v>
      </c>
      <c r="AF1158" s="64" t="str">
        <f>IF(AE1158&lt;&gt;0,VLOOKUP(AE1158,DM_NV,2,0),"")</f>
        <v>#N/A</v>
      </c>
    </row>
    <row r="1159">
      <c r="A1159" s="51"/>
      <c r="B1159" s="52" t="str">
        <f>IF(D1159="","",VLOOKUP(D1159,'THAM CHIẾU'!$A:$B,2,0))</f>
        <v>#N/A</v>
      </c>
      <c r="C1159" s="53" t="str">
        <f t="shared" si="5"/>
        <v>05/2022</v>
      </c>
      <c r="D1159" s="99">
        <v>44691.0</v>
      </c>
      <c r="E1159" s="55" t="s">
        <v>1148</v>
      </c>
      <c r="F1159" s="56"/>
      <c r="G1159" s="57" t="s">
        <v>205</v>
      </c>
      <c r="H1159" s="58" t="str">
        <f>IF(G1159="","",VLOOKUP($G1159,'Quy chuẩn hạch toán'!$B:$E,2,0))</f>
        <v>642</v>
      </c>
      <c r="I1159" s="58" t="str">
        <f>IF(H1159="","",VLOOKUP($G1159,'Quy chuẩn hạch toán'!$B:$E,3,0))</f>
        <v>1111</v>
      </c>
      <c r="J1159" s="59">
        <v>132000.0</v>
      </c>
      <c r="K1159" s="60"/>
      <c r="L1159" s="61"/>
      <c r="M1159" s="62"/>
      <c r="N1159" s="63"/>
      <c r="O1159" s="64" t="str">
        <f>IF($Q1159&lt;&gt;0,VLOOKUP($Q1159,DM_KM,3,0),"")</f>
        <v>VHVP</v>
      </c>
      <c r="P1159" s="64">
        <f>IF($Q1159&lt;&gt;0,VLOOKUP($Q1159,DM_KM,5,0),"")</f>
        <v>642</v>
      </c>
      <c r="Q1159" s="65" t="s">
        <v>382</v>
      </c>
      <c r="R1159" s="64" t="str">
        <f>IF(S1159&lt;&gt;0,VLOOKUP(S1159,DM_DUAN,3,0),"")</f>
        <v>#N/A</v>
      </c>
      <c r="S1159" s="66" t="str">
        <f>IF(U1159&lt;&gt;0,VLOOKUP(U1159,DM_DUAN,3,0),"")</f>
        <v/>
      </c>
      <c r="T1159" s="64"/>
      <c r="U1159" s="93"/>
      <c r="V1159" s="64" t="str">
        <f>IF(W1159&lt;&gt;0,VLOOKUP(W1159,DM_DUAN,3,0),"")</f>
        <v/>
      </c>
      <c r="W1159" s="68"/>
      <c r="X1159" s="64" t="str">
        <f>IF(Y1159&lt;&gt;0,VLOOKUP(Y1159,DM_DUAN,3,0),"")</f>
        <v/>
      </c>
      <c r="Y1159" s="84"/>
      <c r="Z1159" s="64" t="str">
        <f>IF(AA1159&lt;&gt;0,VLOOKUP(AA1159,DM_DUAN,3,0),"")</f>
        <v/>
      </c>
      <c r="AA1159" s="131"/>
      <c r="AB1159" s="64" t="str">
        <f>IF(AC1159&lt;&gt;0,VLOOKUP(AC1159,DM_DUAN,3,0),"")</f>
        <v/>
      </c>
      <c r="AC1159" s="85"/>
      <c r="AD1159" s="64" t="str">
        <f>IF(AC1159&lt;&gt;0,VLOOKUP(AC1159,DM_NV,2,0),"")</f>
        <v/>
      </c>
      <c r="AE1159" s="83" t="s">
        <v>263</v>
      </c>
      <c r="AF1159" s="64" t="str">
        <f>IF(AE1159&lt;&gt;0,VLOOKUP(AE1159,DM_NV,2,0),"")</f>
        <v>#N/A</v>
      </c>
    </row>
    <row r="1160">
      <c r="A1160" s="51"/>
      <c r="B1160" s="52" t="str">
        <f>IF(D1160="","",VLOOKUP(D1160,'THAM CHIẾU'!$A:$B,2,0))</f>
        <v>#N/A</v>
      </c>
      <c r="C1160" s="53" t="str">
        <f t="shared" si="5"/>
        <v>05/2022</v>
      </c>
      <c r="D1160" s="99">
        <v>44693.0</v>
      </c>
      <c r="E1160" s="55" t="s">
        <v>1149</v>
      </c>
      <c r="F1160" s="56"/>
      <c r="G1160" s="57" t="s">
        <v>205</v>
      </c>
      <c r="H1160" s="58" t="str">
        <f>IF(G1160="","",VLOOKUP($G1160,'Quy chuẩn hạch toán'!$B:$E,2,0))</f>
        <v>642</v>
      </c>
      <c r="I1160" s="58" t="str">
        <f>IF(H1160="","",VLOOKUP($G1160,'Quy chuẩn hạch toán'!$B:$E,3,0))</f>
        <v>1111</v>
      </c>
      <c r="J1160" s="59">
        <v>96000.0</v>
      </c>
      <c r="K1160" s="60"/>
      <c r="L1160" s="61"/>
      <c r="M1160" s="62"/>
      <c r="N1160" s="63"/>
      <c r="O1160" s="64" t="str">
        <f>IF($Q1160&lt;&gt;0,VLOOKUP($Q1160,DM_KM,3,0),"")</f>
        <v>#N/A</v>
      </c>
      <c r="P1160" s="64" t="str">
        <f>IF($Q1160&lt;&gt;0,VLOOKUP($Q1160,DM_KM,5,0),"")</f>
        <v>#N/A</v>
      </c>
      <c r="Q1160" s="65" t="s">
        <v>410</v>
      </c>
      <c r="R1160" s="64" t="str">
        <f>IF(S1160&lt;&gt;0,VLOOKUP(S1160,DM_DUAN,3,0),"")</f>
        <v>#N/A</v>
      </c>
      <c r="S1160" s="66" t="str">
        <f>IF(U1160&lt;&gt;0,VLOOKUP(U1160,DM_DUAN,3,0),"")</f>
        <v/>
      </c>
      <c r="T1160" s="64"/>
      <c r="U1160" s="93"/>
      <c r="V1160" s="64" t="str">
        <f>IF(W1160&lt;&gt;0,VLOOKUP(W1160,DM_DUAN,3,0),"")</f>
        <v/>
      </c>
      <c r="W1160" s="68"/>
      <c r="X1160" s="64" t="str">
        <f>IF(Y1160&lt;&gt;0,VLOOKUP(Y1160,DM_DUAN,3,0),"")</f>
        <v/>
      </c>
      <c r="Y1160" s="84"/>
      <c r="Z1160" s="64" t="str">
        <f>IF(AA1160&lt;&gt;0,VLOOKUP(AA1160,DM_DUAN,3,0),"")</f>
        <v/>
      </c>
      <c r="AA1160" s="131"/>
      <c r="AB1160" s="64" t="str">
        <f>IF(AC1160&lt;&gt;0,VLOOKUP(AC1160,DM_DUAN,3,0),"")</f>
        <v/>
      </c>
      <c r="AC1160" s="85"/>
      <c r="AD1160" s="64" t="str">
        <f>IF(AC1160&lt;&gt;0,VLOOKUP(AC1160,DM_NV,2,0),"")</f>
        <v/>
      </c>
      <c r="AE1160" s="83" t="s">
        <v>411</v>
      </c>
      <c r="AF1160" s="64" t="str">
        <f>IF(AE1160&lt;&gt;0,VLOOKUP(AE1160,DM_NV,2,0),"")</f>
        <v>#N/A</v>
      </c>
    </row>
    <row r="1161">
      <c r="A1161" s="51"/>
      <c r="B1161" s="52" t="str">
        <f>IF(D1161="","",VLOOKUP(D1161,'THAM CHIẾU'!$A:$B,2,0))</f>
        <v>#N/A</v>
      </c>
      <c r="C1161" s="53" t="str">
        <f t="shared" si="5"/>
        <v>05/2022</v>
      </c>
      <c r="D1161" s="99">
        <v>44694.0</v>
      </c>
      <c r="E1161" s="55" t="s">
        <v>1150</v>
      </c>
      <c r="F1161" s="56"/>
      <c r="G1161" s="57" t="s">
        <v>205</v>
      </c>
      <c r="H1161" s="58" t="str">
        <f>IF(G1161="","",VLOOKUP($G1161,'Quy chuẩn hạch toán'!$B:$E,2,0))</f>
        <v>642</v>
      </c>
      <c r="I1161" s="58" t="str">
        <f>IF(H1161="","",VLOOKUP($G1161,'Quy chuẩn hạch toán'!$B:$E,3,0))</f>
        <v>1111</v>
      </c>
      <c r="J1161" s="59">
        <v>5972000.0</v>
      </c>
      <c r="K1161" s="60"/>
      <c r="L1161" s="61"/>
      <c r="M1161" s="62"/>
      <c r="N1161" s="63"/>
      <c r="O1161" s="64" t="str">
        <f>IF($Q1161&lt;&gt;0,VLOOKUP($Q1161,DM_KM,3,0),"")</f>
        <v>#N/A</v>
      </c>
      <c r="P1161" s="64" t="str">
        <f>IF($Q1161&lt;&gt;0,VLOOKUP($Q1161,DM_KM,5,0),"")</f>
        <v>#N/A</v>
      </c>
      <c r="Q1161" s="65" t="s">
        <v>374</v>
      </c>
      <c r="R1161" s="64" t="str">
        <f>IF(S1161&lt;&gt;0,VLOOKUP(S1161,DM_DUAN,3,0),"")</f>
        <v>#N/A</v>
      </c>
      <c r="S1161" s="66" t="str">
        <f>IF(U1161&lt;&gt;0,VLOOKUP(U1161,DM_DUAN,3,0),"")</f>
        <v/>
      </c>
      <c r="T1161" s="64"/>
      <c r="U1161" s="93"/>
      <c r="V1161" s="64" t="str">
        <f>IF(W1161&lt;&gt;0,VLOOKUP(W1161,DM_DUAN,3,0),"")</f>
        <v/>
      </c>
      <c r="W1161" s="68"/>
      <c r="X1161" s="64" t="str">
        <f>IF(Y1161&lt;&gt;0,VLOOKUP(Y1161,DM_DUAN,3,0),"")</f>
        <v/>
      </c>
      <c r="Y1161" s="84"/>
      <c r="Z1161" s="64" t="str">
        <f>IF(AA1161&lt;&gt;0,VLOOKUP(AA1161,DM_DUAN,3,0),"")</f>
        <v/>
      </c>
      <c r="AA1161" s="131"/>
      <c r="AB1161" s="64" t="str">
        <f>IF(AC1161&lt;&gt;0,VLOOKUP(AC1161,DM_DUAN,3,0),"")</f>
        <v/>
      </c>
      <c r="AC1161" s="85"/>
      <c r="AD1161" s="64" t="str">
        <f>IF(AC1161&lt;&gt;0,VLOOKUP(AC1161,DM_NV,2,0),"")</f>
        <v/>
      </c>
      <c r="AE1161" s="83" t="s">
        <v>375</v>
      </c>
      <c r="AF1161" s="64" t="str">
        <f>IF(AE1161&lt;&gt;0,VLOOKUP(AE1161,DM_NV,2,0),"")</f>
        <v>#N/A</v>
      </c>
    </row>
    <row r="1162">
      <c r="A1162" s="51"/>
      <c r="B1162" s="52" t="str">
        <f>IF(D1162="","",VLOOKUP(D1162,'THAM CHIẾU'!$A:$B,2,0))</f>
        <v>#N/A</v>
      </c>
      <c r="C1162" s="53" t="str">
        <f t="shared" si="5"/>
        <v>05/2022</v>
      </c>
      <c r="D1162" s="99">
        <v>44695.0</v>
      </c>
      <c r="E1162" s="55" t="s">
        <v>1151</v>
      </c>
      <c r="F1162" s="56"/>
      <c r="G1162" s="57" t="s">
        <v>205</v>
      </c>
      <c r="H1162" s="58" t="str">
        <f>IF(G1162="","",VLOOKUP($G1162,'Quy chuẩn hạch toán'!$B:$E,2,0))</f>
        <v>642</v>
      </c>
      <c r="I1162" s="58" t="str">
        <f>IF(H1162="","",VLOOKUP($G1162,'Quy chuẩn hạch toán'!$B:$E,3,0))</f>
        <v>1111</v>
      </c>
      <c r="J1162" s="59">
        <v>300000.0</v>
      </c>
      <c r="K1162" s="60"/>
      <c r="L1162" s="61"/>
      <c r="M1162" s="62"/>
      <c r="N1162" s="63"/>
      <c r="O1162" s="64" t="str">
        <f>IF($Q1162&lt;&gt;0,VLOOKUP($Q1162,DM_KM,3,0),"")</f>
        <v>VHVP</v>
      </c>
      <c r="P1162" s="64">
        <f>IF($Q1162&lt;&gt;0,VLOOKUP($Q1162,DM_KM,5,0),"")</f>
        <v>642</v>
      </c>
      <c r="Q1162" s="65" t="s">
        <v>382</v>
      </c>
      <c r="R1162" s="64" t="str">
        <f>IF(S1162&lt;&gt;0,VLOOKUP(S1162,DM_DUAN,3,0),"")</f>
        <v>#N/A</v>
      </c>
      <c r="S1162" s="66" t="str">
        <f>IF(U1162&lt;&gt;0,VLOOKUP(U1162,DM_DUAN,3,0),"")</f>
        <v/>
      </c>
      <c r="T1162" s="64"/>
      <c r="U1162" s="93"/>
      <c r="V1162" s="64" t="str">
        <f>IF(W1162&lt;&gt;0,VLOOKUP(W1162,DM_DUAN,3,0),"")</f>
        <v/>
      </c>
      <c r="W1162" s="68"/>
      <c r="X1162" s="64" t="str">
        <f>IF(Y1162&lt;&gt;0,VLOOKUP(Y1162,DM_DUAN,3,0),"")</f>
        <v/>
      </c>
      <c r="Y1162" s="84"/>
      <c r="Z1162" s="64" t="str">
        <f>IF(AA1162&lt;&gt;0,VLOOKUP(AA1162,DM_DUAN,3,0),"")</f>
        <v/>
      </c>
      <c r="AA1162" s="131"/>
      <c r="AB1162" s="64" t="str">
        <f>IF(AC1162&lt;&gt;0,VLOOKUP(AC1162,DM_DUAN,3,0),"")</f>
        <v/>
      </c>
      <c r="AC1162" s="85"/>
      <c r="AD1162" s="64" t="str">
        <f>IF(AC1162&lt;&gt;0,VLOOKUP(AC1162,DM_NV,2,0),"")</f>
        <v/>
      </c>
      <c r="AE1162" s="83" t="s">
        <v>506</v>
      </c>
      <c r="AF1162" s="64" t="str">
        <f>IF(AE1162&lt;&gt;0,VLOOKUP(AE1162,DM_NV,2,0),"")</f>
        <v>#N/A</v>
      </c>
    </row>
    <row r="1163">
      <c r="A1163" s="51"/>
      <c r="B1163" s="52" t="str">
        <f>IF(D1163="","",VLOOKUP(D1163,'THAM CHIẾU'!$A:$B,2,0))</f>
        <v>#N/A</v>
      </c>
      <c r="C1163" s="53" t="str">
        <f t="shared" si="5"/>
        <v>05/2022</v>
      </c>
      <c r="D1163" s="99">
        <v>44695.0</v>
      </c>
      <c r="E1163" s="55" t="s">
        <v>1152</v>
      </c>
      <c r="F1163" s="56"/>
      <c r="G1163" s="57" t="s">
        <v>205</v>
      </c>
      <c r="H1163" s="58" t="str">
        <f>IF(G1163="","",VLOOKUP($G1163,'Quy chuẩn hạch toán'!$B:$E,2,0))</f>
        <v>642</v>
      </c>
      <c r="I1163" s="58" t="str">
        <f>IF(H1163="","",VLOOKUP($G1163,'Quy chuẩn hạch toán'!$B:$E,3,0))</f>
        <v>1111</v>
      </c>
      <c r="J1163" s="59">
        <v>1037000.0</v>
      </c>
      <c r="K1163" s="60"/>
      <c r="L1163" s="61"/>
      <c r="M1163" s="62"/>
      <c r="N1163" s="63"/>
      <c r="O1163" s="64" t="str">
        <f>IF($Q1163&lt;&gt;0,VLOOKUP($Q1163,DM_KM,3,0),"")</f>
        <v>VHVP</v>
      </c>
      <c r="P1163" s="64">
        <f>IF($Q1163&lt;&gt;0,VLOOKUP($Q1163,DM_KM,5,0),"")</f>
        <v>642</v>
      </c>
      <c r="Q1163" s="65" t="s">
        <v>1153</v>
      </c>
      <c r="R1163" s="64" t="str">
        <f>IF(S1163&lt;&gt;0,VLOOKUP(S1163,DM_DUAN,3,0),"")</f>
        <v>#N/A</v>
      </c>
      <c r="S1163" s="66" t="str">
        <f>IF(U1163&lt;&gt;0,VLOOKUP(U1163,DM_DUAN,3,0),"")</f>
        <v/>
      </c>
      <c r="T1163" s="64"/>
      <c r="U1163" s="93"/>
      <c r="V1163" s="64" t="str">
        <f>IF(W1163&lt;&gt;0,VLOOKUP(W1163,DM_DUAN,3,0),"")</f>
        <v/>
      </c>
      <c r="W1163" s="68"/>
      <c r="X1163" s="64" t="str">
        <f>IF(Y1163&lt;&gt;0,VLOOKUP(Y1163,DM_DUAN,3,0),"")</f>
        <v/>
      </c>
      <c r="Y1163" s="84"/>
      <c r="Z1163" s="64" t="str">
        <f>IF(AA1163&lt;&gt;0,VLOOKUP(AA1163,DM_DUAN,3,0),"")</f>
        <v/>
      </c>
      <c r="AA1163" s="131"/>
      <c r="AB1163" s="64" t="str">
        <f>IF(AC1163&lt;&gt;0,VLOOKUP(AC1163,DM_DUAN,3,0),"")</f>
        <v/>
      </c>
      <c r="AC1163" s="85"/>
      <c r="AD1163" s="64" t="str">
        <f>IF(AC1163&lt;&gt;0,VLOOKUP(AC1163,DM_NV,2,0),"")</f>
        <v/>
      </c>
      <c r="AE1163" s="83" t="s">
        <v>375</v>
      </c>
      <c r="AF1163" s="64" t="str">
        <f>IF(AE1163&lt;&gt;0,VLOOKUP(AE1163,DM_NV,2,0),"")</f>
        <v>#N/A</v>
      </c>
    </row>
    <row r="1164">
      <c r="A1164" s="51"/>
      <c r="B1164" s="52" t="str">
        <f>IF(D1164="","",VLOOKUP(D1164,'THAM CHIẾU'!$A:$B,2,0))</f>
        <v>#N/A</v>
      </c>
      <c r="C1164" s="53" t="str">
        <f t="shared" si="5"/>
        <v>05/2022</v>
      </c>
      <c r="D1164" s="99">
        <v>44698.0</v>
      </c>
      <c r="E1164" s="55" t="s">
        <v>1154</v>
      </c>
      <c r="F1164" s="56"/>
      <c r="G1164" s="57" t="s">
        <v>205</v>
      </c>
      <c r="H1164" s="58" t="str">
        <f>IF(G1164="","",VLOOKUP($G1164,'Quy chuẩn hạch toán'!$B:$E,2,0))</f>
        <v>642</v>
      </c>
      <c r="I1164" s="58" t="str">
        <f>IF(H1164="","",VLOOKUP($G1164,'Quy chuẩn hạch toán'!$B:$E,3,0))</f>
        <v>1111</v>
      </c>
      <c r="J1164" s="59">
        <v>2200000.0</v>
      </c>
      <c r="K1164" s="60"/>
      <c r="L1164" s="61"/>
      <c r="M1164" s="62"/>
      <c r="N1164" s="63"/>
      <c r="O1164" s="64" t="str">
        <f>IF($Q1164&lt;&gt;0,VLOOKUP($Q1164,DM_KM,3,0),"")</f>
        <v>VHVP</v>
      </c>
      <c r="P1164" s="64">
        <f>IF($Q1164&lt;&gt;0,VLOOKUP($Q1164,DM_KM,5,0),"")</f>
        <v>642</v>
      </c>
      <c r="Q1164" s="65" t="s">
        <v>382</v>
      </c>
      <c r="R1164" s="64" t="str">
        <f>IF(S1164&lt;&gt;0,VLOOKUP(S1164,DM_DUAN,3,0),"")</f>
        <v>#N/A</v>
      </c>
      <c r="S1164" s="66" t="str">
        <f>IF(U1164&lt;&gt;0,VLOOKUP(U1164,DM_DUAN,3,0),"")</f>
        <v/>
      </c>
      <c r="T1164" s="64"/>
      <c r="U1164" s="93"/>
      <c r="V1164" s="64" t="str">
        <f>IF(W1164&lt;&gt;0,VLOOKUP(W1164,DM_DUAN,3,0),"")</f>
        <v/>
      </c>
      <c r="W1164" s="68"/>
      <c r="X1164" s="64" t="str">
        <f>IF(Y1164&lt;&gt;0,VLOOKUP(Y1164,DM_DUAN,3,0),"")</f>
        <v/>
      </c>
      <c r="Y1164" s="84"/>
      <c r="Z1164" s="64" t="str">
        <f>IF(AA1164&lt;&gt;0,VLOOKUP(AA1164,DM_DUAN,3,0),"")</f>
        <v/>
      </c>
      <c r="AA1164" s="131"/>
      <c r="AB1164" s="64" t="str">
        <f>IF(AC1164&lt;&gt;0,VLOOKUP(AC1164,DM_DUAN,3,0),"")</f>
        <v/>
      </c>
      <c r="AC1164" s="85"/>
      <c r="AD1164" s="64" t="str">
        <f>IF(AC1164&lt;&gt;0,VLOOKUP(AC1164,DM_NV,2,0),"")</f>
        <v/>
      </c>
      <c r="AE1164" s="83" t="s">
        <v>263</v>
      </c>
      <c r="AF1164" s="64" t="str">
        <f>IF(AE1164&lt;&gt;0,VLOOKUP(AE1164,DM_NV,2,0),"")</f>
        <v>#N/A</v>
      </c>
    </row>
    <row r="1165">
      <c r="A1165" s="51"/>
      <c r="B1165" s="52" t="str">
        <f>IF(D1165="","",VLOOKUP(D1165,'THAM CHIẾU'!$A:$B,2,0))</f>
        <v>#N/A</v>
      </c>
      <c r="C1165" s="53" t="str">
        <f t="shared" si="5"/>
        <v>05/2022</v>
      </c>
      <c r="D1165" s="99">
        <v>44697.0</v>
      </c>
      <c r="E1165" s="55" t="s">
        <v>1155</v>
      </c>
      <c r="F1165" s="56"/>
      <c r="G1165" s="57" t="s">
        <v>205</v>
      </c>
      <c r="H1165" s="58" t="str">
        <f>IF(G1165="","",VLOOKUP($G1165,'Quy chuẩn hạch toán'!$B:$E,2,0))</f>
        <v>642</v>
      </c>
      <c r="I1165" s="58" t="str">
        <f>IF(H1165="","",VLOOKUP($G1165,'Quy chuẩn hạch toán'!$B:$E,3,0))</f>
        <v>1111</v>
      </c>
      <c r="J1165" s="59">
        <v>109000.0</v>
      </c>
      <c r="K1165" s="60"/>
      <c r="L1165" s="61"/>
      <c r="M1165" s="62"/>
      <c r="N1165" s="63"/>
      <c r="O1165" s="64" t="str">
        <f>IF($Q1165&lt;&gt;0,VLOOKUP($Q1165,DM_KM,3,0),"")</f>
        <v>VHVP</v>
      </c>
      <c r="P1165" s="64">
        <f>IF($Q1165&lt;&gt;0,VLOOKUP($Q1165,DM_KM,5,0),"")</f>
        <v>642</v>
      </c>
      <c r="Q1165" s="65" t="s">
        <v>382</v>
      </c>
      <c r="R1165" s="64" t="str">
        <f>IF(S1165&lt;&gt;0,VLOOKUP(S1165,DM_DUAN,3,0),"")</f>
        <v>#N/A</v>
      </c>
      <c r="S1165" s="66" t="str">
        <f>IF(U1165&lt;&gt;0,VLOOKUP(U1165,DM_DUAN,3,0),"")</f>
        <v/>
      </c>
      <c r="T1165" s="64"/>
      <c r="U1165" s="93"/>
      <c r="V1165" s="64" t="str">
        <f>IF(W1165&lt;&gt;0,VLOOKUP(W1165,DM_DUAN,3,0),"")</f>
        <v/>
      </c>
      <c r="W1165" s="68"/>
      <c r="X1165" s="64" t="str">
        <f>IF(Y1165&lt;&gt;0,VLOOKUP(Y1165,DM_DUAN,3,0),"")</f>
        <v/>
      </c>
      <c r="Y1165" s="84"/>
      <c r="Z1165" s="64" t="str">
        <f>IF(AA1165&lt;&gt;0,VLOOKUP(AA1165,DM_DUAN,3,0),"")</f>
        <v/>
      </c>
      <c r="AA1165" s="131"/>
      <c r="AB1165" s="64" t="str">
        <f>IF(AC1165&lt;&gt;0,VLOOKUP(AC1165,DM_DUAN,3,0),"")</f>
        <v/>
      </c>
      <c r="AC1165" s="85"/>
      <c r="AD1165" s="64" t="str">
        <f>IF(AC1165&lt;&gt;0,VLOOKUP(AC1165,DM_NV,2,0),"")</f>
        <v/>
      </c>
      <c r="AE1165" s="83" t="s">
        <v>411</v>
      </c>
      <c r="AF1165" s="64" t="str">
        <f>IF(AE1165&lt;&gt;0,VLOOKUP(AE1165,DM_NV,2,0),"")</f>
        <v>#N/A</v>
      </c>
    </row>
    <row r="1166">
      <c r="A1166" s="51"/>
      <c r="B1166" s="52" t="str">
        <f>IF(D1166="","",VLOOKUP(D1166,'THAM CHIẾU'!$A:$B,2,0))</f>
        <v>#N/A</v>
      </c>
      <c r="C1166" s="53" t="str">
        <f t="shared" si="5"/>
        <v>05/2022</v>
      </c>
      <c r="D1166" s="99">
        <v>44700.0</v>
      </c>
      <c r="E1166" s="55" t="s">
        <v>1156</v>
      </c>
      <c r="F1166" s="56"/>
      <c r="G1166" s="57" t="s">
        <v>205</v>
      </c>
      <c r="H1166" s="58" t="str">
        <f>IF(G1166="","",VLOOKUP($G1166,'Quy chuẩn hạch toán'!$B:$E,2,0))</f>
        <v>642</v>
      </c>
      <c r="I1166" s="58" t="str">
        <f>IF(H1166="","",VLOOKUP($G1166,'Quy chuẩn hạch toán'!$B:$E,3,0))</f>
        <v>1111</v>
      </c>
      <c r="J1166" s="59">
        <v>2000000.0</v>
      </c>
      <c r="K1166" s="60"/>
      <c r="L1166" s="61"/>
      <c r="M1166" s="62"/>
      <c r="N1166" s="63"/>
      <c r="O1166" s="64" t="str">
        <f>IF($Q1166&lt;&gt;0,VLOOKUP($Q1166,DM_KM,3,0),"")</f>
        <v>#N/A</v>
      </c>
      <c r="P1166" s="64" t="str">
        <f>IF($Q1166&lt;&gt;0,VLOOKUP($Q1166,DM_KM,5,0),"")</f>
        <v>#N/A</v>
      </c>
      <c r="Q1166" s="65" t="s">
        <v>1142</v>
      </c>
      <c r="R1166" s="64" t="str">
        <f>IF(S1166&lt;&gt;0,VLOOKUP(S1166,DM_DUAN,3,0),"")</f>
        <v>#N/A</v>
      </c>
      <c r="S1166" s="66" t="str">
        <f>IF(U1166&lt;&gt;0,VLOOKUP(U1166,DM_DUAN,3,0),"")</f>
        <v/>
      </c>
      <c r="T1166" s="64"/>
      <c r="U1166" s="93"/>
      <c r="V1166" s="64" t="str">
        <f>IF(W1166&lt;&gt;0,VLOOKUP(W1166,DM_DUAN,3,0),"")</f>
        <v/>
      </c>
      <c r="W1166" s="68"/>
      <c r="X1166" s="64" t="str">
        <f>IF(Y1166&lt;&gt;0,VLOOKUP(Y1166,DM_DUAN,3,0),"")</f>
        <v/>
      </c>
      <c r="Y1166" s="84"/>
      <c r="Z1166" s="64" t="str">
        <f>IF(AA1166&lt;&gt;0,VLOOKUP(AA1166,DM_DUAN,3,0),"")</f>
        <v/>
      </c>
      <c r="AA1166" s="131"/>
      <c r="AB1166" s="64" t="str">
        <f>IF(AC1166&lt;&gt;0,VLOOKUP(AC1166,DM_DUAN,3,0),"")</f>
        <v/>
      </c>
      <c r="AC1166" s="85"/>
      <c r="AD1166" s="64" t="str">
        <f>IF(AC1166&lt;&gt;0,VLOOKUP(AC1166,DM_NV,2,0),"")</f>
        <v/>
      </c>
      <c r="AE1166" s="83" t="s">
        <v>258</v>
      </c>
      <c r="AF1166" s="64" t="str">
        <f>IF(AE1166&lt;&gt;0,VLOOKUP(AE1166,DM_NV,2,0),"")</f>
        <v>#N/A</v>
      </c>
    </row>
    <row r="1167">
      <c r="A1167" s="51"/>
      <c r="B1167" s="52" t="str">
        <f>IF(D1167="","",VLOOKUP(D1167,'THAM CHIẾU'!$A:$B,2,0))</f>
        <v>#N/A</v>
      </c>
      <c r="C1167" s="53" t="str">
        <f t="shared" si="5"/>
        <v>05/2022</v>
      </c>
      <c r="D1167" s="99">
        <v>44700.0</v>
      </c>
      <c r="E1167" s="55" t="s">
        <v>1157</v>
      </c>
      <c r="F1167" s="56"/>
      <c r="G1167" s="57" t="s">
        <v>205</v>
      </c>
      <c r="H1167" s="58" t="str">
        <f>IF(G1167="","",VLOOKUP($G1167,'Quy chuẩn hạch toán'!$B:$E,2,0))</f>
        <v>642</v>
      </c>
      <c r="I1167" s="58" t="str">
        <f>IF(H1167="","",VLOOKUP($G1167,'Quy chuẩn hạch toán'!$B:$E,3,0))</f>
        <v>1111</v>
      </c>
      <c r="J1167" s="59">
        <v>1500000.0</v>
      </c>
      <c r="K1167" s="60"/>
      <c r="L1167" s="61"/>
      <c r="M1167" s="62"/>
      <c r="N1167" s="63"/>
      <c r="O1167" s="64" t="str">
        <f>IF($Q1167&lt;&gt;0,VLOOKUP($Q1167,DM_KM,3,0),"")</f>
        <v>VHVP</v>
      </c>
      <c r="P1167" s="64">
        <f>IF($Q1167&lt;&gt;0,VLOOKUP($Q1167,DM_KM,5,0),"")</f>
        <v>642</v>
      </c>
      <c r="Q1167" s="65" t="s">
        <v>382</v>
      </c>
      <c r="R1167" s="64" t="str">
        <f>IF(S1167&lt;&gt;0,VLOOKUP(S1167,DM_DUAN,3,0),"")</f>
        <v>#N/A</v>
      </c>
      <c r="S1167" s="66" t="str">
        <f>IF(U1167&lt;&gt;0,VLOOKUP(U1167,DM_DUAN,3,0),"")</f>
        <v/>
      </c>
      <c r="T1167" s="64"/>
      <c r="U1167" s="93"/>
      <c r="V1167" s="64" t="str">
        <f>IF(W1167&lt;&gt;0,VLOOKUP(W1167,DM_DUAN,3,0),"")</f>
        <v/>
      </c>
      <c r="W1167" s="68"/>
      <c r="X1167" s="64" t="str">
        <f>IF(Y1167&lt;&gt;0,VLOOKUP(Y1167,DM_DUAN,3,0),"")</f>
        <v/>
      </c>
      <c r="Y1167" s="84"/>
      <c r="Z1167" s="64" t="str">
        <f>IF(AA1167&lt;&gt;0,VLOOKUP(AA1167,DM_DUAN,3,0),"")</f>
        <v/>
      </c>
      <c r="AA1167" s="131"/>
      <c r="AB1167" s="64" t="str">
        <f>IF(AC1167&lt;&gt;0,VLOOKUP(AC1167,DM_DUAN,3,0),"")</f>
        <v/>
      </c>
      <c r="AC1167" s="85"/>
      <c r="AD1167" s="64" t="str">
        <f>IF(AC1167&lt;&gt;0,VLOOKUP(AC1167,DM_NV,2,0),"")</f>
        <v/>
      </c>
      <c r="AE1167" s="83" t="s">
        <v>506</v>
      </c>
      <c r="AF1167" s="64" t="str">
        <f>IF(AE1167&lt;&gt;0,VLOOKUP(AE1167,DM_NV,2,0),"")</f>
        <v>#N/A</v>
      </c>
    </row>
    <row r="1168">
      <c r="A1168" s="51"/>
      <c r="B1168" s="52" t="str">
        <f>IF(D1168="","",VLOOKUP(D1168,'THAM CHIẾU'!$A:$B,2,0))</f>
        <v>#N/A</v>
      </c>
      <c r="C1168" s="53" t="str">
        <f t="shared" si="5"/>
        <v>05/2022</v>
      </c>
      <c r="D1168" s="99">
        <v>44705.0</v>
      </c>
      <c r="E1168" s="55" t="s">
        <v>1158</v>
      </c>
      <c r="F1168" s="56"/>
      <c r="G1168" s="57" t="s">
        <v>205</v>
      </c>
      <c r="H1168" s="58" t="str">
        <f>IF(G1168="","",VLOOKUP($G1168,'Quy chuẩn hạch toán'!$B:$E,2,0))</f>
        <v>642</v>
      </c>
      <c r="I1168" s="58" t="str">
        <f>IF(H1168="","",VLOOKUP($G1168,'Quy chuẩn hạch toán'!$B:$E,3,0))</f>
        <v>1111</v>
      </c>
      <c r="J1168" s="59">
        <v>300000.0</v>
      </c>
      <c r="K1168" s="60"/>
      <c r="L1168" s="61"/>
      <c r="M1168" s="62"/>
      <c r="N1168" s="63"/>
      <c r="O1168" s="64" t="str">
        <f>IF($Q1168&lt;&gt;0,VLOOKUP($Q1168,DM_KM,3,0),"")</f>
        <v>#N/A</v>
      </c>
      <c r="P1168" s="64" t="str">
        <f>IF($Q1168&lt;&gt;0,VLOOKUP($Q1168,DM_KM,5,0),"")</f>
        <v>#N/A</v>
      </c>
      <c r="Q1168" s="65" t="s">
        <v>374</v>
      </c>
      <c r="R1168" s="64" t="str">
        <f>IF(S1168&lt;&gt;0,VLOOKUP(S1168,DM_DUAN,3,0),"")</f>
        <v>#N/A</v>
      </c>
      <c r="S1168" s="66" t="str">
        <f>IF(U1168&lt;&gt;0,VLOOKUP(U1168,DM_DUAN,3,0),"")</f>
        <v/>
      </c>
      <c r="T1168" s="64"/>
      <c r="U1168" s="93"/>
      <c r="V1168" s="64" t="str">
        <f>IF(W1168&lt;&gt;0,VLOOKUP(W1168,DM_DUAN,3,0),"")</f>
        <v/>
      </c>
      <c r="W1168" s="68"/>
      <c r="X1168" s="64" t="str">
        <f>IF(Y1168&lt;&gt;0,VLOOKUP(Y1168,DM_DUAN,3,0),"")</f>
        <v/>
      </c>
      <c r="Y1168" s="84"/>
      <c r="Z1168" s="64" t="str">
        <f>IF(AA1168&lt;&gt;0,VLOOKUP(AA1168,DM_DUAN,3,0),"")</f>
        <v/>
      </c>
      <c r="AA1168" s="131"/>
      <c r="AB1168" s="64" t="str">
        <f>IF(AC1168&lt;&gt;0,VLOOKUP(AC1168,DM_DUAN,3,0),"")</f>
        <v/>
      </c>
      <c r="AC1168" s="85"/>
      <c r="AD1168" s="64" t="str">
        <f>IF(AC1168&lt;&gt;0,VLOOKUP(AC1168,DM_NV,2,0),"")</f>
        <v/>
      </c>
      <c r="AE1168" s="83" t="s">
        <v>375</v>
      </c>
      <c r="AF1168" s="64" t="str">
        <f>IF(AE1168&lt;&gt;0,VLOOKUP(AE1168,DM_NV,2,0),"")</f>
        <v>#N/A</v>
      </c>
    </row>
    <row r="1169">
      <c r="A1169" s="51"/>
      <c r="B1169" s="52" t="str">
        <f>IF(D1169="","",VLOOKUP(D1169,'THAM CHIẾU'!$A:$B,2,0))</f>
        <v>#N/A</v>
      </c>
      <c r="C1169" s="53" t="str">
        <f t="shared" si="5"/>
        <v>05/2022</v>
      </c>
      <c r="D1169" s="99">
        <v>44708.0</v>
      </c>
      <c r="E1169" s="55" t="s">
        <v>1159</v>
      </c>
      <c r="F1169" s="56"/>
      <c r="G1169" s="57" t="s">
        <v>205</v>
      </c>
      <c r="H1169" s="58" t="str">
        <f>IF(G1169="","",VLOOKUP($G1169,'Quy chuẩn hạch toán'!$B:$E,2,0))</f>
        <v>642</v>
      </c>
      <c r="I1169" s="58" t="str">
        <f>IF(H1169="","",VLOOKUP($G1169,'Quy chuẩn hạch toán'!$B:$E,3,0))</f>
        <v>1111</v>
      </c>
      <c r="J1169" s="59">
        <v>1150000.0</v>
      </c>
      <c r="K1169" s="60"/>
      <c r="L1169" s="61"/>
      <c r="M1169" s="62"/>
      <c r="N1169" s="63"/>
      <c r="O1169" s="64" t="str">
        <f>IF($Q1169&lt;&gt;0,VLOOKUP($Q1169,DM_KM,3,0),"")</f>
        <v>VHVP</v>
      </c>
      <c r="P1169" s="64">
        <f>IF($Q1169&lt;&gt;0,VLOOKUP($Q1169,DM_KM,5,0),"")</f>
        <v>642</v>
      </c>
      <c r="Q1169" s="65" t="s">
        <v>382</v>
      </c>
      <c r="R1169" s="64" t="str">
        <f>IF(S1169&lt;&gt;0,VLOOKUP(S1169,DM_DUAN,3,0),"")</f>
        <v>#N/A</v>
      </c>
      <c r="S1169" s="66" t="str">
        <f>IF(U1169&lt;&gt;0,VLOOKUP(U1169,DM_DUAN,3,0),"")</f>
        <v/>
      </c>
      <c r="T1169" s="64"/>
      <c r="U1169" s="93"/>
      <c r="V1169" s="64" t="str">
        <f>IF(W1169&lt;&gt;0,VLOOKUP(W1169,DM_DUAN,3,0),"")</f>
        <v/>
      </c>
      <c r="W1169" s="68"/>
      <c r="X1169" s="64" t="str">
        <f>IF(Y1169&lt;&gt;0,VLOOKUP(Y1169,DM_DUAN,3,0),"")</f>
        <v/>
      </c>
      <c r="Y1169" s="84"/>
      <c r="Z1169" s="64" t="str">
        <f>IF(AA1169&lt;&gt;0,VLOOKUP(AA1169,DM_DUAN,3,0),"")</f>
        <v/>
      </c>
      <c r="AA1169" s="131"/>
      <c r="AB1169" s="64" t="str">
        <f>IF(AC1169&lt;&gt;0,VLOOKUP(AC1169,DM_DUAN,3,0),"")</f>
        <v/>
      </c>
      <c r="AC1169" s="85"/>
      <c r="AD1169" s="64" t="str">
        <f>IF(AC1169&lt;&gt;0,VLOOKUP(AC1169,DM_NV,2,0),"")</f>
        <v/>
      </c>
      <c r="AE1169" s="83" t="s">
        <v>378</v>
      </c>
      <c r="AF1169" s="64" t="str">
        <f>IF(AE1169&lt;&gt;0,VLOOKUP(AE1169,DM_NV,2,0),"")</f>
        <v>#N/A</v>
      </c>
    </row>
    <row r="1170">
      <c r="A1170" s="51"/>
      <c r="B1170" s="52" t="str">
        <f>IF(D1170="","",VLOOKUP(D1170,'THAM CHIẾU'!$A:$B,2,0))</f>
        <v/>
      </c>
      <c r="C1170" s="53" t="str">
        <f t="shared" si="5"/>
        <v/>
      </c>
      <c r="D1170" s="54"/>
      <c r="E1170" s="91"/>
      <c r="F1170" s="92"/>
      <c r="G1170" s="90"/>
      <c r="H1170" s="58" t="str">
        <f>IF(G1170="","",VLOOKUP($G1170,'Quy chuẩn hạch toán'!$B:$E,2,0))</f>
        <v/>
      </c>
      <c r="I1170" s="58" t="str">
        <f>IF(H1170="","",VLOOKUP($G1170,'Quy chuẩn hạch toán'!$B:$E,3,0))</f>
        <v/>
      </c>
      <c r="J1170" s="95"/>
      <c r="K1170" s="60"/>
      <c r="L1170" s="61"/>
      <c r="M1170" s="62"/>
      <c r="N1170" s="63"/>
      <c r="O1170" s="64" t="str">
        <f>IF($Q1170&lt;&gt;0,VLOOKUP($Q1170,DM_KM,3,0),"")</f>
        <v/>
      </c>
      <c r="P1170" s="64" t="str">
        <f>IF($Q1170&lt;&gt;0,VLOOKUP($Q1170,DM_KM,5,0),"")</f>
        <v/>
      </c>
      <c r="Q1170" s="89"/>
      <c r="R1170" s="64" t="str">
        <f>IF(S1170&lt;&gt;0,VLOOKUP(S1170,DM_DUAN,3,0),"")</f>
        <v>#N/A</v>
      </c>
      <c r="S1170" s="66" t="str">
        <f>IF(U1170&lt;&gt;0,VLOOKUP(U1170,DM_DUAN,3,0),"")</f>
        <v/>
      </c>
      <c r="T1170" s="64"/>
      <c r="U1170" s="93"/>
      <c r="V1170" s="64" t="str">
        <f>IF(W1170&lt;&gt;0,VLOOKUP(W1170,DM_DUAN,3,0),"")</f>
        <v/>
      </c>
      <c r="W1170" s="68"/>
      <c r="X1170" s="64" t="str">
        <f>IF(Y1170&lt;&gt;0,VLOOKUP(Y1170,DM_DUAN,3,0),"")</f>
        <v/>
      </c>
      <c r="Y1170" s="84"/>
      <c r="Z1170" s="64" t="str">
        <f>IF(AA1170&lt;&gt;0,VLOOKUP(AA1170,DM_DUAN,3,0),"")</f>
        <v/>
      </c>
      <c r="AA1170" s="131"/>
      <c r="AB1170" s="64" t="str">
        <f>IF(AC1170&lt;&gt;0,VLOOKUP(AC1170,DM_DUAN,3,0),"")</f>
        <v/>
      </c>
      <c r="AC1170" s="85"/>
      <c r="AD1170" s="64" t="str">
        <f>IF(AC1170&lt;&gt;0,VLOOKUP(AC1170,DM_NV,2,0),"")</f>
        <v/>
      </c>
      <c r="AE1170" s="68"/>
      <c r="AF1170" s="64" t="str">
        <f>IF(AE1170&lt;&gt;0,VLOOKUP(AE1170,DM_NV,2,0),"")</f>
        <v/>
      </c>
    </row>
    <row r="1171">
      <c r="A1171" s="51"/>
      <c r="B1171" s="52" t="str">
        <f>IF(D1171="","",VLOOKUP(D1171,'THAM CHIẾU'!$A:$B,2,0))</f>
        <v>#N/A</v>
      </c>
      <c r="C1171" s="53" t="str">
        <f t="shared" si="5"/>
        <v>05/2022</v>
      </c>
      <c r="D1171" s="99">
        <v>44708.0</v>
      </c>
      <c r="E1171" s="55" t="s">
        <v>1160</v>
      </c>
      <c r="F1171" s="56"/>
      <c r="G1171" s="57" t="s">
        <v>197</v>
      </c>
      <c r="H1171" s="58" t="str">
        <f>IF(G1171="","",VLOOKUP($G1171,'Quy chuẩn hạch toán'!$B:$E,2,0))</f>
        <v>#N/A</v>
      </c>
      <c r="I1171" s="58" t="str">
        <f>IF(H1171="","",VLOOKUP($G1171,'Quy chuẩn hạch toán'!$B:$E,3,0))</f>
        <v>#N/A</v>
      </c>
      <c r="J1171" s="59">
        <v>1.0434E9</v>
      </c>
      <c r="K1171" s="60"/>
      <c r="L1171" s="61"/>
      <c r="M1171" s="62"/>
      <c r="N1171" s="63"/>
      <c r="O1171" s="64" t="str">
        <f>IF($Q1171&lt;&gt;0,VLOOKUP($Q1171,DM_KM,3,0),"")</f>
        <v>#N/A</v>
      </c>
      <c r="P1171" s="64" t="str">
        <f>IF($Q1171&lt;&gt;0,VLOOKUP($Q1171,DM_KM,5,0),"")</f>
        <v>#N/A</v>
      </c>
      <c r="Q1171" s="65" t="s">
        <v>198</v>
      </c>
      <c r="R1171" s="64" t="str">
        <f>IF(S1171&lt;&gt;0,VLOOKUP(S1171,DM_DUAN,3,0),"")</f>
        <v>#N/A</v>
      </c>
      <c r="S1171" s="66" t="str">
        <f>IF(U1171&lt;&gt;0,VLOOKUP(U1171,DM_DUAN,3,0),"")</f>
        <v>CLOUDLAND</v>
      </c>
      <c r="T1171" s="64"/>
      <c r="U1171" s="67" t="s">
        <v>956</v>
      </c>
      <c r="V1171" s="64" t="str">
        <f>IF(W1171&lt;&gt;0,VLOOKUP(W1171,DM_DUAN,3,0),"")</f>
        <v>#N/A</v>
      </c>
      <c r="W1171" s="83" t="s">
        <v>1161</v>
      </c>
      <c r="X1171" s="64" t="str">
        <f>IF(Y1171&lt;&gt;0,VLOOKUP(Y1171,DM_DUAN,3,0),"")</f>
        <v>#N/A</v>
      </c>
      <c r="Y1171" s="69" t="s">
        <v>176</v>
      </c>
      <c r="Z1171" s="64" t="str">
        <f>IF(AA1171&lt;&gt;0,VLOOKUP(AA1171,DM_DUAN,3,0),"")</f>
        <v>#N/A</v>
      </c>
      <c r="AA1171" s="70" t="s">
        <v>177</v>
      </c>
      <c r="AB1171" s="64" t="str">
        <f>IF(AC1171&lt;&gt;0,VLOOKUP(AC1171,DM_DUAN,3,0),"")</f>
        <v>#N/A</v>
      </c>
      <c r="AC1171" s="70" t="s">
        <v>600</v>
      </c>
      <c r="AD1171" s="64" t="str">
        <f>IF(AC1171&lt;&gt;0,VLOOKUP(AC1171,DM_NV,2,0),"")</f>
        <v>Nguyễn Quốc Việt</v>
      </c>
      <c r="AE1171" s="68"/>
      <c r="AF1171" s="64" t="str">
        <f>IF(AE1171&lt;&gt;0,VLOOKUP(AE1171,DM_NV,2,0),"")</f>
        <v/>
      </c>
    </row>
    <row r="1172">
      <c r="A1172" s="51"/>
      <c r="B1172" s="52" t="str">
        <f>IF(D1172="","",VLOOKUP(D1172,'THAM CHIẾU'!$A:$B,2,0))</f>
        <v>#N/A</v>
      </c>
      <c r="C1172" s="53" t="str">
        <f t="shared" si="5"/>
        <v>05/2022</v>
      </c>
      <c r="D1172" s="99">
        <v>44708.0</v>
      </c>
      <c r="E1172" s="55" t="s">
        <v>1162</v>
      </c>
      <c r="F1172" s="56"/>
      <c r="G1172" s="57" t="s">
        <v>186</v>
      </c>
      <c r="H1172" s="58" t="str">
        <f>IF(G1172="","",VLOOKUP($G1172,'Quy chuẩn hạch toán'!$B:$E,2,0))</f>
        <v>131</v>
      </c>
      <c r="I1172" s="58" t="str">
        <f>IF(H1172="","",VLOOKUP($G1172,'Quy chuẩn hạch toán'!$B:$E,3,0))</f>
        <v>5113</v>
      </c>
      <c r="J1172" s="59">
        <f>1043400000*12%+18000000+5000000</f>
        <v>148208000</v>
      </c>
      <c r="K1172" s="60"/>
      <c r="L1172" s="61"/>
      <c r="M1172" s="62"/>
      <c r="N1172" s="63"/>
      <c r="O1172" s="64" t="str">
        <f>IF($Q1172&lt;&gt;0,VLOOKUP($Q1172,DM_KM,3,0),"")</f>
        <v>511_TK</v>
      </c>
      <c r="P1172" s="64">
        <f>IF($Q1172&lt;&gt;0,VLOOKUP($Q1172,DM_KM,5,0),"")</f>
        <v>511</v>
      </c>
      <c r="Q1172" s="65" t="s">
        <v>187</v>
      </c>
      <c r="R1172" s="64" t="str">
        <f>IF(S1172&lt;&gt;0,VLOOKUP(S1172,DM_DUAN,3,0),"")</f>
        <v>#N/A</v>
      </c>
      <c r="S1172" s="66" t="str">
        <f>IF(U1172&lt;&gt;0,VLOOKUP(U1172,DM_DUAN,3,0),"")</f>
        <v>CLOUDLAND</v>
      </c>
      <c r="T1172" s="64"/>
      <c r="U1172" s="67" t="s">
        <v>956</v>
      </c>
      <c r="V1172" s="64" t="str">
        <f>IF(W1172&lt;&gt;0,VLOOKUP(W1172,DM_DUAN,3,0),"")</f>
        <v>#N/A</v>
      </c>
      <c r="W1172" s="83" t="s">
        <v>1161</v>
      </c>
      <c r="X1172" s="64" t="str">
        <f>IF(Y1172&lt;&gt;0,VLOOKUP(Y1172,DM_DUAN,3,0),"")</f>
        <v>#N/A</v>
      </c>
      <c r="Y1172" s="69" t="s">
        <v>176</v>
      </c>
      <c r="Z1172" s="64" t="str">
        <f>IF(AA1172&lt;&gt;0,VLOOKUP(AA1172,DM_DUAN,3,0),"")</f>
        <v>#N/A</v>
      </c>
      <c r="AA1172" s="70" t="s">
        <v>177</v>
      </c>
      <c r="AB1172" s="64" t="str">
        <f>IF(AC1172&lt;&gt;0,VLOOKUP(AC1172,DM_DUAN,3,0),"")</f>
        <v/>
      </c>
      <c r="AC1172" s="85"/>
      <c r="AD1172" s="64" t="str">
        <f>IF(AC1172&lt;&gt;0,VLOOKUP(AC1172,DM_NV,2,0),"")</f>
        <v/>
      </c>
      <c r="AE1172" s="68"/>
      <c r="AF1172" s="64" t="str">
        <f>IF(AE1172&lt;&gt;0,VLOOKUP(AE1172,DM_NV,2,0),"")</f>
        <v/>
      </c>
    </row>
    <row r="1173">
      <c r="A1173" s="51"/>
      <c r="B1173" s="52" t="str">
        <f>IF(D1173="","",VLOOKUP(D1173,'THAM CHIẾU'!$A:$B,2,0))</f>
        <v>#N/A</v>
      </c>
      <c r="C1173" s="53" t="str">
        <f t="shared" si="5"/>
        <v>05/2022</v>
      </c>
      <c r="D1173" s="99">
        <v>44708.0</v>
      </c>
      <c r="E1173" s="55" t="s">
        <v>1163</v>
      </c>
      <c r="F1173" s="56"/>
      <c r="G1173" s="57" t="s">
        <v>189</v>
      </c>
      <c r="H1173" s="58" t="str">
        <f>IF(G1173="","",VLOOKUP($G1173,'Quy chuẩn hạch toán'!$B:$E,2,0))</f>
        <v>154</v>
      </c>
      <c r="I1173" s="58" t="str">
        <f>IF(H1173="","",VLOOKUP($G1173,'Quy chuẩn hạch toán'!$B:$E,3,0))</f>
        <v>3345</v>
      </c>
      <c r="J1173" s="59">
        <f>1043400000*3%</f>
        <v>31302000</v>
      </c>
      <c r="K1173" s="60"/>
      <c r="L1173" s="61"/>
      <c r="M1173" s="62"/>
      <c r="N1173" s="63"/>
      <c r="O1173" s="64" t="str">
        <f>IF($Q1173&lt;&gt;0,VLOOKUP($Q1173,DM_KM,3,0),"")</f>
        <v>#N/A</v>
      </c>
      <c r="P1173" s="64" t="str">
        <f>IF($Q1173&lt;&gt;0,VLOOKUP($Q1173,DM_KM,5,0),"")</f>
        <v>#N/A</v>
      </c>
      <c r="Q1173" s="65" t="s">
        <v>190</v>
      </c>
      <c r="R1173" s="64" t="str">
        <f>IF(S1173&lt;&gt;0,VLOOKUP(S1173,DM_DUAN,3,0),"")</f>
        <v>#N/A</v>
      </c>
      <c r="S1173" s="66" t="str">
        <f>IF(U1173&lt;&gt;0,VLOOKUP(U1173,DM_DUAN,3,0),"")</f>
        <v>CLOUDLAND</v>
      </c>
      <c r="T1173" s="64"/>
      <c r="U1173" s="67" t="s">
        <v>956</v>
      </c>
      <c r="V1173" s="64" t="str">
        <f>IF(W1173&lt;&gt;0,VLOOKUP(W1173,DM_DUAN,3,0),"")</f>
        <v>#N/A</v>
      </c>
      <c r="W1173" s="83" t="s">
        <v>1161</v>
      </c>
      <c r="X1173" s="64" t="str">
        <f>IF(Y1173&lt;&gt;0,VLOOKUP(Y1173,DM_DUAN,3,0),"")</f>
        <v>#N/A</v>
      </c>
      <c r="Y1173" s="69" t="s">
        <v>176</v>
      </c>
      <c r="Z1173" s="64" t="str">
        <f>IF(AA1173&lt;&gt;0,VLOOKUP(AA1173,DM_DUAN,3,0),"")</f>
        <v>#N/A</v>
      </c>
      <c r="AA1173" s="70" t="s">
        <v>177</v>
      </c>
      <c r="AB1173" s="64" t="str">
        <f>IF(AC1173&lt;&gt;0,VLOOKUP(AC1173,DM_DUAN,3,0),"")</f>
        <v>#N/A</v>
      </c>
      <c r="AC1173" s="70" t="s">
        <v>600</v>
      </c>
      <c r="AD1173" s="64" t="str">
        <f>IF(AC1173&lt;&gt;0,VLOOKUP(AC1173,DM_NV,2,0),"")</f>
        <v>Nguyễn Quốc Việt</v>
      </c>
      <c r="AE1173" s="68"/>
      <c r="AF1173" s="64" t="str">
        <f>IF(AE1173&lt;&gt;0,VLOOKUP(AE1173,DM_NV,2,0),"")</f>
        <v/>
      </c>
    </row>
    <row r="1174">
      <c r="A1174" s="51"/>
      <c r="B1174" s="52" t="str">
        <f>IF(D1174="","",VLOOKUP(D1174,'THAM CHIẾU'!$A:$B,2,0))</f>
        <v>#N/A</v>
      </c>
      <c r="C1174" s="53" t="str">
        <f t="shared" si="5"/>
        <v>05/2022</v>
      </c>
      <c r="D1174" s="99">
        <v>44708.0</v>
      </c>
      <c r="E1174" s="55" t="s">
        <v>1164</v>
      </c>
      <c r="F1174" s="56"/>
      <c r="G1174" s="57" t="s">
        <v>582</v>
      </c>
      <c r="H1174" s="58" t="str">
        <f>IF(G1174="","",VLOOKUP($G1174,'Quy chuẩn hạch toán'!$B:$E,2,0))</f>
        <v>154</v>
      </c>
      <c r="I1174" s="58" t="str">
        <f>IF(H1174="","",VLOOKUP($G1174,'Quy chuẩn hạch toán'!$B:$E,3,0))</f>
        <v>3346</v>
      </c>
      <c r="J1174" s="59">
        <f>18000000</f>
        <v>18000000</v>
      </c>
      <c r="K1174" s="60"/>
      <c r="L1174" s="61"/>
      <c r="M1174" s="62"/>
      <c r="N1174" s="63"/>
      <c r="O1174" s="64" t="str">
        <f>IF($Q1174&lt;&gt;0,VLOOKUP($Q1174,DM_KM,3,0),"")</f>
        <v>#N/A</v>
      </c>
      <c r="P1174" s="64" t="str">
        <f>IF($Q1174&lt;&gt;0,VLOOKUP($Q1174,DM_KM,5,0),"")</f>
        <v>#N/A</v>
      </c>
      <c r="Q1174" s="65" t="s">
        <v>190</v>
      </c>
      <c r="R1174" s="64" t="str">
        <f>IF(S1174&lt;&gt;0,VLOOKUP(S1174,DM_DUAN,3,0),"")</f>
        <v>#N/A</v>
      </c>
      <c r="S1174" s="66" t="str">
        <f>IF(U1174&lt;&gt;0,VLOOKUP(U1174,DM_DUAN,3,0),"")</f>
        <v>CLOUDLAND</v>
      </c>
      <c r="T1174" s="64"/>
      <c r="U1174" s="67" t="s">
        <v>956</v>
      </c>
      <c r="V1174" s="64" t="str">
        <f>IF(W1174&lt;&gt;0,VLOOKUP(W1174,DM_DUAN,3,0),"")</f>
        <v>#N/A</v>
      </c>
      <c r="W1174" s="83" t="s">
        <v>1161</v>
      </c>
      <c r="X1174" s="64" t="str">
        <f>IF(Y1174&lt;&gt;0,VLOOKUP(Y1174,DM_DUAN,3,0),"")</f>
        <v>#N/A</v>
      </c>
      <c r="Y1174" s="69" t="s">
        <v>176</v>
      </c>
      <c r="Z1174" s="64" t="str">
        <f>IF(AA1174&lt;&gt;0,VLOOKUP(AA1174,DM_DUAN,3,0),"")</f>
        <v>#N/A</v>
      </c>
      <c r="AA1174" s="70" t="s">
        <v>177</v>
      </c>
      <c r="AB1174" s="64" t="str">
        <f>IF(AC1174&lt;&gt;0,VLOOKUP(AC1174,DM_DUAN,3,0),"")</f>
        <v>#N/A</v>
      </c>
      <c r="AC1174" s="70" t="s">
        <v>600</v>
      </c>
      <c r="AD1174" s="64" t="str">
        <f>IF(AC1174&lt;&gt;0,VLOOKUP(AC1174,DM_NV,2,0),"")</f>
        <v>Nguyễn Quốc Việt</v>
      </c>
      <c r="AE1174" s="68"/>
      <c r="AF1174" s="64" t="str">
        <f>IF(AE1174&lt;&gt;0,VLOOKUP(AE1174,DM_NV,2,0),"")</f>
        <v/>
      </c>
    </row>
    <row r="1175">
      <c r="A1175" s="51"/>
      <c r="B1175" s="52" t="str">
        <f>IF(D1175="","",VLOOKUP(D1175,'THAM CHIẾU'!$A:$B,2,0))</f>
        <v>#N/A</v>
      </c>
      <c r="C1175" s="53" t="str">
        <f t="shared" si="5"/>
        <v>05/2022</v>
      </c>
      <c r="D1175" s="99">
        <v>44708.0</v>
      </c>
      <c r="E1175" s="55" t="s">
        <v>1165</v>
      </c>
      <c r="F1175" s="56"/>
      <c r="G1175" s="57" t="s">
        <v>173</v>
      </c>
      <c r="H1175" s="58" t="str">
        <f>IF(G1175="","",VLOOKUP($G1175,'Quy chuẩn hạch toán'!$B:$E,2,0))</f>
        <v>641</v>
      </c>
      <c r="I1175" s="58" t="str">
        <f>IF(H1175="","",VLOOKUP($G1175,'Quy chuẩn hạch toán'!$B:$E,3,0))</f>
        <v>331</v>
      </c>
      <c r="J1175" s="59">
        <v>5000000.0</v>
      </c>
      <c r="K1175" s="60"/>
      <c r="L1175" s="61"/>
      <c r="M1175" s="62"/>
      <c r="N1175" s="63"/>
      <c r="O1175" s="64" t="str">
        <f>IF($Q1175&lt;&gt;0,VLOOKUP($Q1175,DM_KM,3,0),"")</f>
        <v>#N/A</v>
      </c>
      <c r="P1175" s="64" t="str">
        <f>IF($Q1175&lt;&gt;0,VLOOKUP($Q1175,DM_KM,5,0),"")</f>
        <v>#N/A</v>
      </c>
      <c r="Q1175" s="65" t="s">
        <v>612</v>
      </c>
      <c r="R1175" s="64" t="str">
        <f>IF(S1175&lt;&gt;0,VLOOKUP(S1175,DM_DUAN,3,0),"")</f>
        <v>#N/A</v>
      </c>
      <c r="S1175" s="66" t="str">
        <f>IF(U1175&lt;&gt;0,VLOOKUP(U1175,DM_DUAN,3,0),"")</f>
        <v>CLOUDLAND</v>
      </c>
      <c r="T1175" s="64"/>
      <c r="U1175" s="67" t="s">
        <v>956</v>
      </c>
      <c r="V1175" s="64" t="str">
        <f>IF(W1175&lt;&gt;0,VLOOKUP(W1175,DM_DUAN,3,0),"")</f>
        <v>#N/A</v>
      </c>
      <c r="W1175" s="83" t="s">
        <v>1161</v>
      </c>
      <c r="X1175" s="64" t="str">
        <f>IF(Y1175&lt;&gt;0,VLOOKUP(Y1175,DM_DUAN,3,0),"")</f>
        <v>#N/A</v>
      </c>
      <c r="Y1175" s="69" t="s">
        <v>176</v>
      </c>
      <c r="Z1175" s="64" t="str">
        <f>IF(AA1175&lt;&gt;0,VLOOKUP(AA1175,DM_DUAN,3,0),"")</f>
        <v>#N/A</v>
      </c>
      <c r="AA1175" s="70" t="s">
        <v>177</v>
      </c>
      <c r="AB1175" s="64" t="str">
        <f>IF(AC1175&lt;&gt;0,VLOOKUP(AC1175,DM_DUAN,3,0),"")</f>
        <v/>
      </c>
      <c r="AC1175" s="70"/>
      <c r="AD1175" s="64" t="str">
        <f>IF(AC1175&lt;&gt;0,VLOOKUP(AC1175,DM_NV,2,0),"")</f>
        <v/>
      </c>
      <c r="AE1175" s="68"/>
      <c r="AF1175" s="64" t="str">
        <f>IF(AE1175&lt;&gt;0,VLOOKUP(AE1175,DM_NV,2,0),"")</f>
        <v/>
      </c>
    </row>
    <row r="1176">
      <c r="A1176" s="51"/>
      <c r="B1176" s="52" t="str">
        <f>IF(D1176="","",VLOOKUP(D1176,'THAM CHIẾU'!$A:$B,2,0))</f>
        <v>#N/A</v>
      </c>
      <c r="C1176" s="53" t="str">
        <f t="shared" si="5"/>
        <v>05/2022</v>
      </c>
      <c r="D1176" s="99">
        <v>44708.0</v>
      </c>
      <c r="E1176" s="55" t="s">
        <v>1166</v>
      </c>
      <c r="F1176" s="56"/>
      <c r="G1176" s="57" t="s">
        <v>200</v>
      </c>
      <c r="H1176" s="58" t="str">
        <f>IF(G1176="","",VLOOKUP($G1176,'Quy chuẩn hạch toán'!$B:$E,2,0))</f>
        <v>154</v>
      </c>
      <c r="I1176" s="58" t="str">
        <f>IF(H1176="","",VLOOKUP($G1176,'Quy chuẩn hạch toán'!$B:$E,3,0))</f>
        <v>3343</v>
      </c>
      <c r="J1176" s="59">
        <v>1000000.0</v>
      </c>
      <c r="K1176" s="60"/>
      <c r="L1176" s="61"/>
      <c r="M1176" s="62"/>
      <c r="N1176" s="63"/>
      <c r="O1176" s="64" t="str">
        <f>IF($Q1176&lt;&gt;0,VLOOKUP($Q1176,DM_KM,3,0),"")</f>
        <v>#N/A</v>
      </c>
      <c r="P1176" s="64" t="str">
        <f>IF($Q1176&lt;&gt;0,VLOOKUP($Q1176,DM_KM,5,0),"")</f>
        <v>#N/A</v>
      </c>
      <c r="Q1176" s="65" t="s">
        <v>201</v>
      </c>
      <c r="R1176" s="64" t="str">
        <f>IF(S1176&lt;&gt;0,VLOOKUP(S1176,DM_DUAN,3,0),"")</f>
        <v>#N/A</v>
      </c>
      <c r="S1176" s="66" t="str">
        <f>IF(U1176&lt;&gt;0,VLOOKUP(U1176,DM_DUAN,3,0),"")</f>
        <v>CLOUDLAND</v>
      </c>
      <c r="T1176" s="64"/>
      <c r="U1176" s="67" t="s">
        <v>956</v>
      </c>
      <c r="V1176" s="64" t="str">
        <f>IF(W1176&lt;&gt;0,VLOOKUP(W1176,DM_DUAN,3,0),"")</f>
        <v>#N/A</v>
      </c>
      <c r="W1176" s="83" t="s">
        <v>1161</v>
      </c>
      <c r="X1176" s="64" t="str">
        <f>IF(Y1176&lt;&gt;0,VLOOKUP(Y1176,DM_DUAN,3,0),"")</f>
        <v>#N/A</v>
      </c>
      <c r="Y1176" s="69" t="s">
        <v>176</v>
      </c>
      <c r="Z1176" s="64" t="str">
        <f>IF(AA1176&lt;&gt;0,VLOOKUP(AA1176,DM_DUAN,3,0),"")</f>
        <v>#N/A</v>
      </c>
      <c r="AA1176" s="70" t="s">
        <v>177</v>
      </c>
      <c r="AB1176" s="64" t="str">
        <f>IF(AC1176&lt;&gt;0,VLOOKUP(AC1176,DM_DUAN,3,0),"")</f>
        <v/>
      </c>
      <c r="AC1176" s="85"/>
      <c r="AD1176" s="64" t="str">
        <f>IF(AC1176&lt;&gt;0,VLOOKUP(AC1176,DM_NV,2,0),"")</f>
        <v/>
      </c>
      <c r="AE1176" s="68"/>
      <c r="AF1176" s="64" t="str">
        <f>IF(AE1176&lt;&gt;0,VLOOKUP(AE1176,DM_NV,2,0),"")</f>
        <v/>
      </c>
    </row>
    <row r="1177">
      <c r="A1177" s="51"/>
      <c r="B1177" s="52" t="str">
        <f>IF(D1177="","",VLOOKUP(D1177,'THAM CHIẾU'!$A:$B,2,0))</f>
        <v>#N/A</v>
      </c>
      <c r="C1177" s="53" t="str">
        <f t="shared" si="5"/>
        <v>05/2022</v>
      </c>
      <c r="D1177" s="99">
        <v>44708.0</v>
      </c>
      <c r="E1177" s="55" t="s">
        <v>1167</v>
      </c>
      <c r="F1177" s="56"/>
      <c r="G1177" s="90"/>
      <c r="H1177" s="58" t="str">
        <f>IF(G1177="","",VLOOKUP($G1177,'Quy chuẩn hạch toán'!$B:$E,2,0))</f>
        <v/>
      </c>
      <c r="I1177" s="58" t="str">
        <f>IF(H1177="","",VLOOKUP($G1177,'Quy chuẩn hạch toán'!$B:$E,3,0))</f>
        <v/>
      </c>
      <c r="J1177" s="59">
        <f>1043400000*12%*8%</f>
        <v>10016640</v>
      </c>
      <c r="K1177" s="60"/>
      <c r="L1177" s="61"/>
      <c r="M1177" s="62"/>
      <c r="N1177" s="63"/>
      <c r="O1177" s="64" t="str">
        <f>IF($Q1177&lt;&gt;0,VLOOKUP($Q1177,DM_KM,3,0),"")</f>
        <v>#N/A</v>
      </c>
      <c r="P1177" s="64" t="str">
        <f>IF($Q1177&lt;&gt;0,VLOOKUP($Q1177,DM_KM,5,0),"")</f>
        <v>#N/A</v>
      </c>
      <c r="Q1177" s="65" t="s">
        <v>203</v>
      </c>
      <c r="R1177" s="64" t="str">
        <f>IF(S1177&lt;&gt;0,VLOOKUP(S1177,DM_DUAN,3,0),"")</f>
        <v>#N/A</v>
      </c>
      <c r="S1177" s="66" t="str">
        <f>IF(U1177&lt;&gt;0,VLOOKUP(U1177,DM_DUAN,3,0),"")</f>
        <v>CLOUDLAND</v>
      </c>
      <c r="T1177" s="64"/>
      <c r="U1177" s="67" t="s">
        <v>956</v>
      </c>
      <c r="V1177" s="64" t="str">
        <f>IF(W1177&lt;&gt;0,VLOOKUP(W1177,DM_DUAN,3,0),"")</f>
        <v>#N/A</v>
      </c>
      <c r="W1177" s="83" t="s">
        <v>1161</v>
      </c>
      <c r="X1177" s="64" t="str">
        <f>IF(Y1177&lt;&gt;0,VLOOKUP(Y1177,DM_DUAN,3,0),"")</f>
        <v>#N/A</v>
      </c>
      <c r="Y1177" s="69" t="s">
        <v>176</v>
      </c>
      <c r="Z1177" s="64" t="str">
        <f>IF(AA1177&lt;&gt;0,VLOOKUP(AA1177,DM_DUAN,3,0),"")</f>
        <v>#N/A</v>
      </c>
      <c r="AA1177" s="70" t="s">
        <v>177</v>
      </c>
      <c r="AB1177" s="64" t="str">
        <f>IF(AC1177&lt;&gt;0,VLOOKUP(AC1177,DM_DUAN,3,0),"")</f>
        <v/>
      </c>
      <c r="AC1177" s="85"/>
      <c r="AD1177" s="64" t="str">
        <f>IF(AC1177&lt;&gt;0,VLOOKUP(AC1177,DM_NV,2,0),"")</f>
        <v/>
      </c>
      <c r="AE1177" s="68"/>
      <c r="AF1177" s="64" t="str">
        <f>IF(AE1177&lt;&gt;0,VLOOKUP(AE1177,DM_NV,2,0),"")</f>
        <v/>
      </c>
    </row>
    <row r="1178">
      <c r="A1178" s="51"/>
      <c r="B1178" s="52" t="str">
        <f>IF(D1178="","",VLOOKUP(D1178,'THAM CHIẾU'!$A:$B,2,0))</f>
        <v/>
      </c>
      <c r="C1178" s="53" t="str">
        <f t="shared" si="5"/>
        <v/>
      </c>
      <c r="D1178" s="54"/>
      <c r="E1178" s="55"/>
      <c r="F1178" s="56"/>
      <c r="G1178" s="90"/>
      <c r="H1178" s="58" t="str">
        <f>IF(G1178="","",VLOOKUP($G1178,'Quy chuẩn hạch toán'!$B:$E,2,0))</f>
        <v/>
      </c>
      <c r="I1178" s="58" t="str">
        <f>IF(H1178="","",VLOOKUP($G1178,'Quy chuẩn hạch toán'!$B:$E,3,0))</f>
        <v/>
      </c>
      <c r="J1178" s="95"/>
      <c r="K1178" s="60"/>
      <c r="L1178" s="61"/>
      <c r="M1178" s="62"/>
      <c r="N1178" s="63"/>
      <c r="O1178" s="64" t="str">
        <f>IF($Q1178&lt;&gt;0,VLOOKUP($Q1178,DM_KM,3,0),"")</f>
        <v/>
      </c>
      <c r="P1178" s="64" t="str">
        <f>IF($Q1178&lt;&gt;0,VLOOKUP($Q1178,DM_KM,5,0),"")</f>
        <v/>
      </c>
      <c r="Q1178" s="89"/>
      <c r="R1178" s="64" t="str">
        <f>IF(S1178&lt;&gt;0,VLOOKUP(S1178,DM_DUAN,3,0),"")</f>
        <v>#N/A</v>
      </c>
      <c r="S1178" s="66" t="str">
        <f>IF(U1178&lt;&gt;0,VLOOKUP(U1178,DM_DUAN,3,0),"")</f>
        <v/>
      </c>
      <c r="T1178" s="64"/>
      <c r="U1178" s="93"/>
      <c r="V1178" s="64" t="str">
        <f>IF(W1178&lt;&gt;0,VLOOKUP(W1178,DM_DUAN,3,0),"")</f>
        <v/>
      </c>
      <c r="W1178" s="68"/>
      <c r="X1178" s="64" t="str">
        <f>IF(Y1178&lt;&gt;0,VLOOKUP(Y1178,DM_DUAN,3,0),"")</f>
        <v/>
      </c>
      <c r="Y1178" s="84"/>
      <c r="Z1178" s="64" t="str">
        <f>IF(AA1178&lt;&gt;0,VLOOKUP(AA1178,DM_DUAN,3,0),"")</f>
        <v/>
      </c>
      <c r="AA1178" s="131"/>
      <c r="AB1178" s="64" t="str">
        <f>IF(AC1178&lt;&gt;0,VLOOKUP(AC1178,DM_DUAN,3,0),"")</f>
        <v/>
      </c>
      <c r="AC1178" s="85"/>
      <c r="AD1178" s="64" t="str">
        <f>IF(AC1178&lt;&gt;0,VLOOKUP(AC1178,DM_NV,2,0),"")</f>
        <v/>
      </c>
      <c r="AE1178" s="68"/>
      <c r="AF1178" s="64" t="str">
        <f>IF(AE1178&lt;&gt;0,VLOOKUP(AE1178,DM_NV,2,0),"")</f>
        <v/>
      </c>
    </row>
    <row r="1179">
      <c r="A1179" s="51"/>
      <c r="B1179" s="52" t="str">
        <f>IF(D1179="","",VLOOKUP(D1179,'THAM CHIẾU'!$A:$B,2,0))</f>
        <v>#N/A</v>
      </c>
      <c r="C1179" s="53" t="str">
        <f t="shared" si="5"/>
        <v>05/2022</v>
      </c>
      <c r="D1179" s="99">
        <v>44690.0</v>
      </c>
      <c r="E1179" s="55" t="s">
        <v>1168</v>
      </c>
      <c r="F1179" s="56"/>
      <c r="G1179" s="57" t="s">
        <v>205</v>
      </c>
      <c r="H1179" s="58" t="str">
        <f>IF(G1179="","",VLOOKUP($G1179,'Quy chuẩn hạch toán'!$B:$E,2,0))</f>
        <v>642</v>
      </c>
      <c r="I1179" s="58" t="str">
        <f>IF(H1179="","",VLOOKUP($G1179,'Quy chuẩn hạch toán'!$B:$E,3,0))</f>
        <v>1111</v>
      </c>
      <c r="J1179" s="59">
        <v>240000.0</v>
      </c>
      <c r="K1179" s="60"/>
      <c r="L1179" s="61"/>
      <c r="M1179" s="62"/>
      <c r="N1179" s="63"/>
      <c r="O1179" s="64" t="str">
        <f>IF($Q1179&lt;&gt;0,VLOOKUP($Q1179,DM_KM,3,0),"")</f>
        <v>#N/A</v>
      </c>
      <c r="P1179" s="64" t="str">
        <f>IF($Q1179&lt;&gt;0,VLOOKUP($Q1179,DM_KM,5,0),"")</f>
        <v>#N/A</v>
      </c>
      <c r="Q1179" s="65" t="s">
        <v>206</v>
      </c>
      <c r="R1179" s="64" t="str">
        <f>IF(S1179&lt;&gt;0,VLOOKUP(S1179,DM_DUAN,3,0),"")</f>
        <v>#N/A</v>
      </c>
      <c r="S1179" s="66" t="str">
        <f>IF(U1179&lt;&gt;0,VLOOKUP(U1179,DM_DUAN,3,0),"")</f>
        <v/>
      </c>
      <c r="T1179" s="64"/>
      <c r="U1179" s="93"/>
      <c r="V1179" s="64" t="str">
        <f>IF(W1179&lt;&gt;0,VLOOKUP(W1179,DM_DUAN,3,0),"")</f>
        <v/>
      </c>
      <c r="W1179" s="68"/>
      <c r="X1179" s="64" t="str">
        <f>IF(Y1179&lt;&gt;0,VLOOKUP(Y1179,DM_DUAN,3,0),"")</f>
        <v>#N/A</v>
      </c>
      <c r="Y1179" s="69" t="s">
        <v>207</v>
      </c>
      <c r="Z1179" s="64" t="str">
        <f>IF(AA1179&lt;&gt;0,VLOOKUP(AA1179,DM_DUAN,3,0),"")</f>
        <v>#N/A</v>
      </c>
      <c r="AA1179" s="70" t="s">
        <v>705</v>
      </c>
      <c r="AB1179" s="64" t="str">
        <f>IF(AC1179&lt;&gt;0,VLOOKUP(AC1179,DM_DUAN,3,0),"")</f>
        <v/>
      </c>
      <c r="AC1179" s="85"/>
      <c r="AD1179" s="64" t="str">
        <f>IF(AC1179&lt;&gt;0,VLOOKUP(AC1179,DM_NV,2,0),"")</f>
        <v/>
      </c>
      <c r="AE1179" s="83" t="s">
        <v>209</v>
      </c>
      <c r="AF1179" s="64" t="str">
        <f>IF(AE1179&lt;&gt;0,VLOOKUP(AE1179,DM_NV,2,0),"")</f>
        <v>#N/A</v>
      </c>
    </row>
    <row r="1180">
      <c r="A1180" s="51"/>
      <c r="B1180" s="52" t="str">
        <f>IF(D1180="","",VLOOKUP(D1180,'THAM CHIẾU'!$A:$B,2,0))</f>
        <v>#N/A</v>
      </c>
      <c r="C1180" s="53" t="str">
        <f t="shared" si="5"/>
        <v>05/2022</v>
      </c>
      <c r="D1180" s="99">
        <v>44691.0</v>
      </c>
      <c r="E1180" s="55" t="s">
        <v>1169</v>
      </c>
      <c r="F1180" s="56"/>
      <c r="G1180" s="57" t="s">
        <v>225</v>
      </c>
      <c r="H1180" s="58" t="str">
        <f>IF(G1180="","",VLOOKUP($G1180,'Quy chuẩn hạch toán'!$B:$E,2,0))</f>
        <v>154</v>
      </c>
      <c r="I1180" s="58" t="str">
        <f>IF(H1180="","",VLOOKUP($G1180,'Quy chuẩn hạch toán'!$B:$E,3,0))</f>
        <v>1111</v>
      </c>
      <c r="J1180" s="59">
        <v>4743000.0</v>
      </c>
      <c r="K1180" s="60"/>
      <c r="L1180" s="61"/>
      <c r="M1180" s="62"/>
      <c r="N1180" s="63"/>
      <c r="O1180" s="64" t="str">
        <f>IF($Q1180&lt;&gt;0,VLOOKUP($Q1180,DM_KM,3,0),"")</f>
        <v>#N/A</v>
      </c>
      <c r="P1180" s="64" t="str">
        <f>IF($Q1180&lt;&gt;0,VLOOKUP($Q1180,DM_KM,5,0),"")</f>
        <v>#N/A</v>
      </c>
      <c r="Q1180" s="65" t="s">
        <v>1170</v>
      </c>
      <c r="R1180" s="64" t="str">
        <f>IF(S1180&lt;&gt;0,VLOOKUP(S1180,DM_DUAN,3,0),"")</f>
        <v>#N/A</v>
      </c>
      <c r="S1180" s="66" t="str">
        <f>IF(U1180&lt;&gt;0,VLOOKUP(U1180,DM_DUAN,3,0),"")</f>
        <v>CLOUDLAND</v>
      </c>
      <c r="T1180" s="64"/>
      <c r="U1180" s="67" t="s">
        <v>956</v>
      </c>
      <c r="V1180" s="64" t="str">
        <f>IF(W1180&lt;&gt;0,VLOOKUP(W1180,DM_DUAN,3,0),"")</f>
        <v/>
      </c>
      <c r="W1180" s="68"/>
      <c r="X1180" s="64" t="str">
        <f>IF(Y1180&lt;&gt;0,VLOOKUP(Y1180,DM_DUAN,3,0),"")</f>
        <v>#N/A</v>
      </c>
      <c r="Y1180" s="69" t="s">
        <v>176</v>
      </c>
      <c r="Z1180" s="64" t="str">
        <f>IF(AA1180&lt;&gt;0,VLOOKUP(AA1180,DM_DUAN,3,0),"")</f>
        <v>#N/A</v>
      </c>
      <c r="AA1180" s="70" t="s">
        <v>705</v>
      </c>
      <c r="AB1180" s="64" t="str">
        <f>IF(AC1180&lt;&gt;0,VLOOKUP(AC1180,DM_DUAN,3,0),"")</f>
        <v/>
      </c>
      <c r="AC1180" s="85"/>
      <c r="AD1180" s="64" t="str">
        <f>IF(AC1180&lt;&gt;0,VLOOKUP(AC1180,DM_NV,2,0),"")</f>
        <v/>
      </c>
      <c r="AE1180" s="83" t="s">
        <v>610</v>
      </c>
      <c r="AF1180" s="64" t="str">
        <f>IF(AE1180&lt;&gt;0,VLOOKUP(AE1180,DM_NV,2,0),"")</f>
        <v>#N/A</v>
      </c>
    </row>
    <row r="1181">
      <c r="A1181" s="51"/>
      <c r="B1181" s="52" t="str">
        <f>IF(D1181="","",VLOOKUP(D1181,'THAM CHIẾU'!$A:$B,2,0))</f>
        <v>#N/A</v>
      </c>
      <c r="C1181" s="53" t="str">
        <f t="shared" si="5"/>
        <v>05/2022</v>
      </c>
      <c r="D1181" s="99">
        <v>44692.0</v>
      </c>
      <c r="E1181" s="55" t="s">
        <v>1171</v>
      </c>
      <c r="F1181" s="56"/>
      <c r="G1181" s="57" t="s">
        <v>205</v>
      </c>
      <c r="H1181" s="58" t="str">
        <f>IF(G1181="","",VLOOKUP($G1181,'Quy chuẩn hạch toán'!$B:$E,2,0))</f>
        <v>642</v>
      </c>
      <c r="I1181" s="58" t="str">
        <f>IF(H1181="","",VLOOKUP($G1181,'Quy chuẩn hạch toán'!$B:$E,3,0))</f>
        <v>1111</v>
      </c>
      <c r="J1181" s="59">
        <v>139111.0</v>
      </c>
      <c r="K1181" s="60"/>
      <c r="L1181" s="61"/>
      <c r="M1181" s="62"/>
      <c r="N1181" s="63"/>
      <c r="O1181" s="64" t="str">
        <f>IF($Q1181&lt;&gt;0,VLOOKUP($Q1181,DM_KM,3,0),"")</f>
        <v>#N/A</v>
      </c>
      <c r="P1181" s="64" t="str">
        <f>IF($Q1181&lt;&gt;0,VLOOKUP($Q1181,DM_KM,5,0),"")</f>
        <v>#N/A</v>
      </c>
      <c r="Q1181" s="65" t="s">
        <v>222</v>
      </c>
      <c r="R1181" s="64" t="str">
        <f>IF(S1181&lt;&gt;0,VLOOKUP(S1181,DM_DUAN,3,0),"")</f>
        <v>#N/A</v>
      </c>
      <c r="S1181" s="66" t="str">
        <f>IF(U1181&lt;&gt;0,VLOOKUP(U1181,DM_DUAN,3,0),"")</f>
        <v/>
      </c>
      <c r="T1181" s="64"/>
      <c r="U1181" s="93"/>
      <c r="V1181" s="64" t="str">
        <f>IF(W1181&lt;&gt;0,VLOOKUP(W1181,DM_DUAN,3,0),"")</f>
        <v/>
      </c>
      <c r="W1181" s="68"/>
      <c r="X1181" s="64" t="str">
        <f>IF(Y1181&lt;&gt;0,VLOOKUP(Y1181,DM_DUAN,3,0),"")</f>
        <v>#N/A</v>
      </c>
      <c r="Y1181" s="69" t="s">
        <v>207</v>
      </c>
      <c r="Z1181" s="64" t="str">
        <f>IF(AA1181&lt;&gt;0,VLOOKUP(AA1181,DM_DUAN,3,0),"")</f>
        <v>#N/A</v>
      </c>
      <c r="AA1181" s="70" t="s">
        <v>705</v>
      </c>
      <c r="AB1181" s="64" t="str">
        <f>IF(AC1181&lt;&gt;0,VLOOKUP(AC1181,DM_DUAN,3,0),"")</f>
        <v/>
      </c>
      <c r="AC1181" s="85"/>
      <c r="AD1181" s="64" t="str">
        <f>IF(AC1181&lt;&gt;0,VLOOKUP(AC1181,DM_NV,2,0),"")</f>
        <v/>
      </c>
      <c r="AE1181" s="83" t="s">
        <v>223</v>
      </c>
      <c r="AF1181" s="64" t="str">
        <f>IF(AE1181&lt;&gt;0,VLOOKUP(AE1181,DM_NV,2,0),"")</f>
        <v>#N/A</v>
      </c>
    </row>
    <row r="1182">
      <c r="A1182" s="51"/>
      <c r="B1182" s="52" t="str">
        <f>IF(D1182="","",VLOOKUP(D1182,'THAM CHIẾU'!$A:$B,2,0))</f>
        <v>#N/A</v>
      </c>
      <c r="C1182" s="53" t="str">
        <f t="shared" si="5"/>
        <v>05/2022</v>
      </c>
      <c r="D1182" s="99">
        <v>44695.0</v>
      </c>
      <c r="E1182" s="55" t="s">
        <v>1172</v>
      </c>
      <c r="F1182" s="56"/>
      <c r="G1182" s="57" t="s">
        <v>205</v>
      </c>
      <c r="H1182" s="58" t="str">
        <f>IF(G1182="","",VLOOKUP($G1182,'Quy chuẩn hạch toán'!$B:$E,2,0))</f>
        <v>642</v>
      </c>
      <c r="I1182" s="58" t="str">
        <f>IF(H1182="","",VLOOKUP($G1182,'Quy chuẩn hạch toán'!$B:$E,3,0))</f>
        <v>1111</v>
      </c>
      <c r="J1182" s="59">
        <v>120000.0</v>
      </c>
      <c r="K1182" s="60"/>
      <c r="L1182" s="61"/>
      <c r="M1182" s="62"/>
      <c r="N1182" s="63"/>
      <c r="O1182" s="64" t="str">
        <f>IF($Q1182&lt;&gt;0,VLOOKUP($Q1182,DM_KM,3,0),"")</f>
        <v>#N/A</v>
      </c>
      <c r="P1182" s="64" t="str">
        <f>IF($Q1182&lt;&gt;0,VLOOKUP($Q1182,DM_KM,5,0),"")</f>
        <v>#N/A</v>
      </c>
      <c r="Q1182" s="65" t="s">
        <v>219</v>
      </c>
      <c r="R1182" s="64" t="str">
        <f>IF(S1182&lt;&gt;0,VLOOKUP(S1182,DM_DUAN,3,0),"")</f>
        <v>#N/A</v>
      </c>
      <c r="S1182" s="66" t="str">
        <f>IF(U1182&lt;&gt;0,VLOOKUP(U1182,DM_DUAN,3,0),"")</f>
        <v/>
      </c>
      <c r="T1182" s="64"/>
      <c r="U1182" s="93"/>
      <c r="V1182" s="64" t="str">
        <f>IF(W1182&lt;&gt;0,VLOOKUP(W1182,DM_DUAN,3,0),"")</f>
        <v/>
      </c>
      <c r="W1182" s="68"/>
      <c r="X1182" s="64" t="str">
        <f>IF(Y1182&lt;&gt;0,VLOOKUP(Y1182,DM_DUAN,3,0),"")</f>
        <v>#N/A</v>
      </c>
      <c r="Y1182" s="69" t="s">
        <v>207</v>
      </c>
      <c r="Z1182" s="64" t="str">
        <f>IF(AA1182&lt;&gt;0,VLOOKUP(AA1182,DM_DUAN,3,0),"")</f>
        <v>#N/A</v>
      </c>
      <c r="AA1182" s="70" t="s">
        <v>705</v>
      </c>
      <c r="AB1182" s="64" t="str">
        <f>IF(AC1182&lt;&gt;0,VLOOKUP(AC1182,DM_DUAN,3,0),"")</f>
        <v/>
      </c>
      <c r="AC1182" s="85"/>
      <c r="AD1182" s="64" t="str">
        <f>IF(AC1182&lt;&gt;0,VLOOKUP(AC1182,DM_NV,2,0),"")</f>
        <v/>
      </c>
      <c r="AE1182" s="83" t="s">
        <v>220</v>
      </c>
      <c r="AF1182" s="64" t="str">
        <f>IF(AE1182&lt;&gt;0,VLOOKUP(AE1182,DM_NV,2,0),"")</f>
        <v>#N/A</v>
      </c>
    </row>
    <row r="1183">
      <c r="A1183" s="51"/>
      <c r="B1183" s="52" t="str">
        <f>IF(D1183="","",VLOOKUP(D1183,'THAM CHIẾU'!$A:$B,2,0))</f>
        <v>#N/A</v>
      </c>
      <c r="C1183" s="53" t="str">
        <f t="shared" si="5"/>
        <v>05/2022</v>
      </c>
      <c r="D1183" s="99">
        <v>44698.0</v>
      </c>
      <c r="E1183" s="55" t="s">
        <v>1173</v>
      </c>
      <c r="F1183" s="56"/>
      <c r="G1183" s="57" t="s">
        <v>205</v>
      </c>
      <c r="H1183" s="58" t="str">
        <f>IF(G1183="","",VLOOKUP($G1183,'Quy chuẩn hạch toán'!$B:$E,2,0))</f>
        <v>642</v>
      </c>
      <c r="I1183" s="58" t="str">
        <f>IF(H1183="","",VLOOKUP($G1183,'Quy chuẩn hạch toán'!$B:$E,3,0))</f>
        <v>1111</v>
      </c>
      <c r="J1183" s="59">
        <v>438180.0</v>
      </c>
      <c r="K1183" s="60"/>
      <c r="L1183" s="61"/>
      <c r="M1183" s="62"/>
      <c r="N1183" s="63"/>
      <c r="O1183" s="64" t="str">
        <f>IF($Q1183&lt;&gt;0,VLOOKUP($Q1183,DM_KM,3,0),"")</f>
        <v>#N/A</v>
      </c>
      <c r="P1183" s="64" t="str">
        <f>IF($Q1183&lt;&gt;0,VLOOKUP($Q1183,DM_KM,5,0),"")</f>
        <v>#N/A</v>
      </c>
      <c r="Q1183" s="65" t="s">
        <v>262</v>
      </c>
      <c r="R1183" s="64" t="str">
        <f>IF(S1183&lt;&gt;0,VLOOKUP(S1183,DM_DUAN,3,0),"")</f>
        <v>#N/A</v>
      </c>
      <c r="S1183" s="66" t="str">
        <f>IF(U1183&lt;&gt;0,VLOOKUP(U1183,DM_DUAN,3,0),"")</f>
        <v/>
      </c>
      <c r="T1183" s="64"/>
      <c r="U1183" s="93"/>
      <c r="V1183" s="64" t="str">
        <f>IF(W1183&lt;&gt;0,VLOOKUP(W1183,DM_DUAN,3,0),"")</f>
        <v/>
      </c>
      <c r="W1183" s="68"/>
      <c r="X1183" s="64" t="str">
        <f>IF(Y1183&lt;&gt;0,VLOOKUP(Y1183,DM_DUAN,3,0),"")</f>
        <v>#N/A</v>
      </c>
      <c r="Y1183" s="69" t="s">
        <v>207</v>
      </c>
      <c r="Z1183" s="64" t="str">
        <f>IF(AA1183&lt;&gt;0,VLOOKUP(AA1183,DM_DUAN,3,0),"")</f>
        <v>#N/A</v>
      </c>
      <c r="AA1183" s="70" t="s">
        <v>705</v>
      </c>
      <c r="AB1183" s="64" t="str">
        <f>IF(AC1183&lt;&gt;0,VLOOKUP(AC1183,DM_DUAN,3,0),"")</f>
        <v/>
      </c>
      <c r="AC1183" s="85"/>
      <c r="AD1183" s="64" t="str">
        <f>IF(AC1183&lt;&gt;0,VLOOKUP(AC1183,DM_NV,2,0),"")</f>
        <v/>
      </c>
      <c r="AE1183" s="83" t="s">
        <v>1174</v>
      </c>
      <c r="AF1183" s="64" t="str">
        <f>IF(AE1183&lt;&gt;0,VLOOKUP(AE1183,DM_NV,2,0),"")</f>
        <v>#N/A</v>
      </c>
    </row>
    <row r="1184">
      <c r="A1184" s="51"/>
      <c r="B1184" s="52" t="str">
        <f>IF(D1184="","",VLOOKUP(D1184,'THAM CHIẾU'!$A:$B,2,0))</f>
        <v>#N/A</v>
      </c>
      <c r="C1184" s="53" t="str">
        <f t="shared" si="5"/>
        <v>05/2022</v>
      </c>
      <c r="D1184" s="99">
        <v>44709.0</v>
      </c>
      <c r="E1184" s="55" t="s">
        <v>1175</v>
      </c>
      <c r="F1184" s="56"/>
      <c r="G1184" s="57" t="s">
        <v>205</v>
      </c>
      <c r="H1184" s="58" t="str">
        <f>IF(G1184="","",VLOOKUP($G1184,'Quy chuẩn hạch toán'!$B:$E,2,0))</f>
        <v>642</v>
      </c>
      <c r="I1184" s="58" t="str">
        <f>IF(H1184="","",VLOOKUP($G1184,'Quy chuẩn hạch toán'!$B:$E,3,0))</f>
        <v>1111</v>
      </c>
      <c r="J1184" s="59">
        <v>133333.0</v>
      </c>
      <c r="K1184" s="60"/>
      <c r="L1184" s="61"/>
      <c r="M1184" s="62"/>
      <c r="N1184" s="63"/>
      <c r="O1184" s="64" t="str">
        <f>IF($Q1184&lt;&gt;0,VLOOKUP($Q1184,DM_KM,3,0),"")</f>
        <v>#N/A</v>
      </c>
      <c r="P1184" s="64" t="str">
        <f>IF($Q1184&lt;&gt;0,VLOOKUP($Q1184,DM_KM,5,0),"")</f>
        <v>#N/A</v>
      </c>
      <c r="Q1184" s="65" t="s">
        <v>226</v>
      </c>
      <c r="R1184" s="64" t="str">
        <f>IF(S1184&lt;&gt;0,VLOOKUP(S1184,DM_DUAN,3,0),"")</f>
        <v>#N/A</v>
      </c>
      <c r="S1184" s="66" t="str">
        <f>IF(U1184&lt;&gt;0,VLOOKUP(U1184,DM_DUAN,3,0),"")</f>
        <v/>
      </c>
      <c r="T1184" s="64"/>
      <c r="U1184" s="93"/>
      <c r="V1184" s="64" t="str">
        <f>IF(W1184&lt;&gt;0,VLOOKUP(W1184,DM_DUAN,3,0),"")</f>
        <v/>
      </c>
      <c r="W1184" s="68"/>
      <c r="X1184" s="64" t="str">
        <f>IF(Y1184&lt;&gt;0,VLOOKUP(Y1184,DM_DUAN,3,0),"")</f>
        <v>#N/A</v>
      </c>
      <c r="Y1184" s="69" t="s">
        <v>207</v>
      </c>
      <c r="Z1184" s="64" t="str">
        <f>IF(AA1184&lt;&gt;0,VLOOKUP(AA1184,DM_DUAN,3,0),"")</f>
        <v>#N/A</v>
      </c>
      <c r="AA1184" s="70" t="s">
        <v>705</v>
      </c>
      <c r="AB1184" s="64" t="str">
        <f>IF(AC1184&lt;&gt;0,VLOOKUP(AC1184,DM_DUAN,3,0),"")</f>
        <v/>
      </c>
      <c r="AC1184" s="85"/>
      <c r="AD1184" s="64" t="str">
        <f>IF(AC1184&lt;&gt;0,VLOOKUP(AC1184,DM_NV,2,0),"")</f>
        <v/>
      </c>
      <c r="AE1184" s="83" t="s">
        <v>1174</v>
      </c>
      <c r="AF1184" s="64" t="str">
        <f>IF(AE1184&lt;&gt;0,VLOOKUP(AE1184,DM_NV,2,0),"")</f>
        <v>#N/A</v>
      </c>
    </row>
    <row r="1185">
      <c r="A1185" s="51"/>
      <c r="B1185" s="52" t="str">
        <f>IF(D1185="","",VLOOKUP(D1185,'THAM CHIẾU'!$A:$B,2,0))</f>
        <v>#N/A</v>
      </c>
      <c r="C1185" s="53" t="str">
        <f t="shared" si="5"/>
        <v>05/2022</v>
      </c>
      <c r="D1185" s="99">
        <v>44699.0</v>
      </c>
      <c r="E1185" s="55" t="s">
        <v>1176</v>
      </c>
      <c r="F1185" s="56"/>
      <c r="G1185" s="57" t="s">
        <v>205</v>
      </c>
      <c r="H1185" s="58" t="str">
        <f>IF(G1185="","",VLOOKUP($G1185,'Quy chuẩn hạch toán'!$B:$E,2,0))</f>
        <v>642</v>
      </c>
      <c r="I1185" s="58" t="str">
        <f>IF(H1185="","",VLOOKUP($G1185,'Quy chuẩn hạch toán'!$B:$E,3,0))</f>
        <v>1111</v>
      </c>
      <c r="J1185" s="59">
        <v>1970848.0</v>
      </c>
      <c r="K1185" s="60"/>
      <c r="L1185" s="61"/>
      <c r="M1185" s="62"/>
      <c r="N1185" s="63"/>
      <c r="O1185" s="64" t="str">
        <f>IF($Q1185&lt;&gt;0,VLOOKUP($Q1185,DM_KM,3,0),"")</f>
        <v>#N/A</v>
      </c>
      <c r="P1185" s="64" t="str">
        <f>IF($Q1185&lt;&gt;0,VLOOKUP($Q1185,DM_KM,5,0),"")</f>
        <v>#N/A</v>
      </c>
      <c r="Q1185" s="65" t="s">
        <v>272</v>
      </c>
      <c r="R1185" s="64" t="str">
        <f>IF(S1185&lt;&gt;0,VLOOKUP(S1185,DM_DUAN,3,0),"")</f>
        <v>#N/A</v>
      </c>
      <c r="S1185" s="66" t="str">
        <f>IF(U1185&lt;&gt;0,VLOOKUP(U1185,DM_DUAN,3,0),"")</f>
        <v/>
      </c>
      <c r="T1185" s="64"/>
      <c r="U1185" s="93"/>
      <c r="V1185" s="64" t="str">
        <f>IF(W1185&lt;&gt;0,VLOOKUP(W1185,DM_DUAN,3,0),"")</f>
        <v/>
      </c>
      <c r="W1185" s="68"/>
      <c r="X1185" s="64" t="str">
        <f>IF(Y1185&lt;&gt;0,VLOOKUP(Y1185,DM_DUAN,3,0),"")</f>
        <v>#N/A</v>
      </c>
      <c r="Y1185" s="69" t="s">
        <v>207</v>
      </c>
      <c r="Z1185" s="64" t="str">
        <f>IF(AA1185&lt;&gt;0,VLOOKUP(AA1185,DM_DUAN,3,0),"")</f>
        <v>#N/A</v>
      </c>
      <c r="AA1185" s="70" t="s">
        <v>705</v>
      </c>
      <c r="AB1185" s="64" t="str">
        <f>IF(AC1185&lt;&gt;0,VLOOKUP(AC1185,DM_DUAN,3,0),"")</f>
        <v/>
      </c>
      <c r="AC1185" s="85"/>
      <c r="AD1185" s="64" t="str">
        <f>IF(AC1185&lt;&gt;0,VLOOKUP(AC1185,DM_NV,2,0),"")</f>
        <v/>
      </c>
      <c r="AE1185" s="83" t="s">
        <v>227</v>
      </c>
      <c r="AF1185" s="64" t="str">
        <f>IF(AE1185&lt;&gt;0,VLOOKUP(AE1185,DM_NV,2,0),"")</f>
        <v>#N/A</v>
      </c>
    </row>
    <row r="1186">
      <c r="A1186" s="51"/>
      <c r="B1186" s="52" t="str">
        <f>IF(D1186="","",VLOOKUP(D1186,'THAM CHIẾU'!$A:$B,2,0))</f>
        <v>#N/A</v>
      </c>
      <c r="C1186" s="53" t="str">
        <f t="shared" si="5"/>
        <v>05/2022</v>
      </c>
      <c r="D1186" s="99">
        <v>44706.0</v>
      </c>
      <c r="E1186" s="55" t="s">
        <v>1177</v>
      </c>
      <c r="F1186" s="56"/>
      <c r="G1186" s="57" t="s">
        <v>225</v>
      </c>
      <c r="H1186" s="58" t="str">
        <f>IF(G1186="","",VLOOKUP($G1186,'Quy chuẩn hạch toán'!$B:$E,2,0))</f>
        <v>154</v>
      </c>
      <c r="I1186" s="58" t="str">
        <f>IF(H1186="","",VLOOKUP($G1186,'Quy chuẩn hạch toán'!$B:$E,3,0))</f>
        <v>1111</v>
      </c>
      <c r="J1186" s="59">
        <v>280000.0</v>
      </c>
      <c r="K1186" s="60"/>
      <c r="L1186" s="61"/>
      <c r="M1186" s="62"/>
      <c r="N1186" s="63"/>
      <c r="O1186" s="64" t="str">
        <f>IF($Q1186&lt;&gt;0,VLOOKUP($Q1186,DM_KM,3,0),"")</f>
        <v>#N/A</v>
      </c>
      <c r="P1186" s="64" t="str">
        <f>IF($Q1186&lt;&gt;0,VLOOKUP($Q1186,DM_KM,5,0),"")</f>
        <v>#N/A</v>
      </c>
      <c r="Q1186" s="65" t="s">
        <v>377</v>
      </c>
      <c r="R1186" s="64" t="str">
        <f>IF(S1186&lt;&gt;0,VLOOKUP(S1186,DM_DUAN,3,0),"")</f>
        <v>#N/A</v>
      </c>
      <c r="S1186" s="66" t="str">
        <f>IF(U1186&lt;&gt;0,VLOOKUP(U1186,DM_DUAN,3,0),"")</f>
        <v>CLOUDLAND</v>
      </c>
      <c r="T1186" s="64"/>
      <c r="U1186" s="67" t="s">
        <v>956</v>
      </c>
      <c r="V1186" s="64" t="str">
        <f>IF(W1186&lt;&gt;0,VLOOKUP(W1186,DM_DUAN,3,0),"")</f>
        <v/>
      </c>
      <c r="W1186" s="68"/>
      <c r="X1186" s="64" t="str">
        <f>IF(Y1186&lt;&gt;0,VLOOKUP(Y1186,DM_DUAN,3,0),"")</f>
        <v>#N/A</v>
      </c>
      <c r="Y1186" s="69" t="s">
        <v>176</v>
      </c>
      <c r="Z1186" s="64" t="str">
        <f>IF(AA1186&lt;&gt;0,VLOOKUP(AA1186,DM_DUAN,3,0),"")</f>
        <v>#N/A</v>
      </c>
      <c r="AA1186" s="70" t="s">
        <v>705</v>
      </c>
      <c r="AB1186" s="64" t="str">
        <f>IF(AC1186&lt;&gt;0,VLOOKUP(AC1186,DM_DUAN,3,0),"")</f>
        <v/>
      </c>
      <c r="AC1186" s="85"/>
      <c r="AD1186" s="64" t="str">
        <f>IF(AC1186&lt;&gt;0,VLOOKUP(AC1186,DM_NV,2,0),"")</f>
        <v/>
      </c>
      <c r="AE1186" s="83" t="s">
        <v>1178</v>
      </c>
      <c r="AF1186" s="64" t="str">
        <f>IF(AE1186&lt;&gt;0,VLOOKUP(AE1186,DM_NV,2,0),"")</f>
        <v>#N/A</v>
      </c>
    </row>
    <row r="1187">
      <c r="A1187" s="51"/>
      <c r="B1187" s="52" t="str">
        <f>IF(D1187="","",VLOOKUP(D1187,'THAM CHIẾU'!$A:$B,2,0))</f>
        <v>#N/A</v>
      </c>
      <c r="C1187" s="53" t="str">
        <f t="shared" si="5"/>
        <v>05/2022</v>
      </c>
      <c r="D1187" s="99">
        <v>44706.0</v>
      </c>
      <c r="E1187" s="55" t="s">
        <v>1179</v>
      </c>
      <c r="F1187" s="56"/>
      <c r="G1187" s="57" t="s">
        <v>225</v>
      </c>
      <c r="H1187" s="58" t="str">
        <f>IF(G1187="","",VLOOKUP($G1187,'Quy chuẩn hạch toán'!$B:$E,2,0))</f>
        <v>154</v>
      </c>
      <c r="I1187" s="58" t="str">
        <f>IF(H1187="","",VLOOKUP($G1187,'Quy chuẩn hạch toán'!$B:$E,3,0))</f>
        <v>1111</v>
      </c>
      <c r="J1187" s="59">
        <v>980000.0</v>
      </c>
      <c r="K1187" s="60"/>
      <c r="L1187" s="61"/>
      <c r="M1187" s="62"/>
      <c r="N1187" s="63"/>
      <c r="O1187" s="64" t="str">
        <f>IF($Q1187&lt;&gt;0,VLOOKUP($Q1187,DM_KM,3,0),"")</f>
        <v>#N/A</v>
      </c>
      <c r="P1187" s="64" t="str">
        <f>IF($Q1187&lt;&gt;0,VLOOKUP($Q1187,DM_KM,5,0),"")</f>
        <v>#N/A</v>
      </c>
      <c r="Q1187" s="65" t="s">
        <v>377</v>
      </c>
      <c r="R1187" s="64" t="str">
        <f>IF(S1187&lt;&gt;0,VLOOKUP(S1187,DM_DUAN,3,0),"")</f>
        <v>#N/A</v>
      </c>
      <c r="S1187" s="66" t="str">
        <f>IF(U1187&lt;&gt;0,VLOOKUP(U1187,DM_DUAN,3,0),"")</f>
        <v>CLOUDLAND</v>
      </c>
      <c r="T1187" s="64"/>
      <c r="U1187" s="67" t="s">
        <v>956</v>
      </c>
      <c r="V1187" s="64" t="str">
        <f>IF(W1187&lt;&gt;0,VLOOKUP(W1187,DM_DUAN,3,0),"")</f>
        <v/>
      </c>
      <c r="W1187" s="68"/>
      <c r="X1187" s="64" t="str">
        <f>IF(Y1187&lt;&gt;0,VLOOKUP(Y1187,DM_DUAN,3,0),"")</f>
        <v>#N/A</v>
      </c>
      <c r="Y1187" s="69" t="s">
        <v>176</v>
      </c>
      <c r="Z1187" s="64" t="str">
        <f>IF(AA1187&lt;&gt;0,VLOOKUP(AA1187,DM_DUAN,3,0),"")</f>
        <v>#N/A</v>
      </c>
      <c r="AA1187" s="70" t="s">
        <v>705</v>
      </c>
      <c r="AB1187" s="64" t="str">
        <f>IF(AC1187&lt;&gt;0,VLOOKUP(AC1187,DM_DUAN,3,0),"")</f>
        <v/>
      </c>
      <c r="AC1187" s="85"/>
      <c r="AD1187" s="64" t="str">
        <f>IF(AC1187&lt;&gt;0,VLOOKUP(AC1187,DM_NV,2,0),"")</f>
        <v/>
      </c>
      <c r="AE1187" s="83" t="s">
        <v>1178</v>
      </c>
      <c r="AF1187" s="64" t="str">
        <f>IF(AE1187&lt;&gt;0,VLOOKUP(AE1187,DM_NV,2,0),"")</f>
        <v>#N/A</v>
      </c>
    </row>
    <row r="1188">
      <c r="A1188" s="51"/>
      <c r="B1188" s="52" t="str">
        <f>IF(D1188="","",VLOOKUP(D1188,'THAM CHIẾU'!$A:$B,2,0))</f>
        <v>#N/A</v>
      </c>
      <c r="C1188" s="53" t="str">
        <f t="shared" si="5"/>
        <v>05/2022</v>
      </c>
      <c r="D1188" s="99">
        <v>44710.0</v>
      </c>
      <c r="E1188" s="55" t="s">
        <v>1180</v>
      </c>
      <c r="F1188" s="56"/>
      <c r="G1188" s="57" t="s">
        <v>249</v>
      </c>
      <c r="H1188" s="58" t="str">
        <f>IF(G1188="","",VLOOKUP($G1188,'Quy chuẩn hạch toán'!$B:$E,2,0))</f>
        <v>642</v>
      </c>
      <c r="I1188" s="58" t="str">
        <f>IF(H1188="","",VLOOKUP($G1188,'Quy chuẩn hạch toán'!$B:$E,3,0))</f>
        <v>331</v>
      </c>
      <c r="J1188" s="59">
        <v>7000000.0</v>
      </c>
      <c r="K1188" s="60"/>
      <c r="L1188" s="61"/>
      <c r="M1188" s="62"/>
      <c r="N1188" s="63"/>
      <c r="O1188" s="64" t="str">
        <f>IF($Q1188&lt;&gt;0,VLOOKUP($Q1188,DM_KM,3,0),"")</f>
        <v>THUEVP</v>
      </c>
      <c r="P1188" s="64">
        <f>IF($Q1188&lt;&gt;0,VLOOKUP($Q1188,DM_KM,5,0),"")</f>
        <v>642</v>
      </c>
      <c r="Q1188" s="65" t="s">
        <v>270</v>
      </c>
      <c r="R1188" s="64" t="str">
        <f>IF(S1188&lt;&gt;0,VLOOKUP(S1188,DM_DUAN,3,0),"")</f>
        <v>#N/A</v>
      </c>
      <c r="S1188" s="66" t="str">
        <f>IF(U1188&lt;&gt;0,VLOOKUP(U1188,DM_DUAN,3,0),"")</f>
        <v/>
      </c>
      <c r="T1188" s="64"/>
      <c r="U1188" s="93"/>
      <c r="V1188" s="64" t="str">
        <f>IF(W1188&lt;&gt;0,VLOOKUP(W1188,DM_DUAN,3,0),"")</f>
        <v/>
      </c>
      <c r="W1188" s="68"/>
      <c r="X1188" s="64" t="str">
        <f>IF(Y1188&lt;&gt;0,VLOOKUP(Y1188,DM_DUAN,3,0),"")</f>
        <v>#N/A</v>
      </c>
      <c r="Y1188" s="69" t="s">
        <v>207</v>
      </c>
      <c r="Z1188" s="64" t="str">
        <f>IF(AA1188&lt;&gt;0,VLOOKUP(AA1188,DM_DUAN,3,0),"")</f>
        <v>#N/A</v>
      </c>
      <c r="AA1188" s="70" t="s">
        <v>705</v>
      </c>
      <c r="AB1188" s="64" t="str">
        <f>IF(AC1188&lt;&gt;0,VLOOKUP(AC1188,DM_DUAN,3,0),"")</f>
        <v/>
      </c>
      <c r="AC1188" s="85"/>
      <c r="AD1188" s="64" t="str">
        <f>IF(AC1188&lt;&gt;0,VLOOKUP(AC1188,DM_NV,2,0),"")</f>
        <v/>
      </c>
      <c r="AE1188" s="83"/>
      <c r="AF1188" s="64" t="str">
        <f>IF(AE1188&lt;&gt;0,VLOOKUP(AE1188,DM_NV,2,0),"")</f>
        <v/>
      </c>
    </row>
    <row r="1189">
      <c r="A1189" s="51"/>
      <c r="B1189" s="52" t="str">
        <f>IF(D1189="","",VLOOKUP(D1189,'THAM CHIẾU'!$A:$B,2,0))</f>
        <v>#N/A</v>
      </c>
      <c r="C1189" s="53" t="str">
        <f t="shared" si="5"/>
        <v>05/2022</v>
      </c>
      <c r="D1189" s="99">
        <v>44710.0</v>
      </c>
      <c r="E1189" s="55" t="s">
        <v>1181</v>
      </c>
      <c r="F1189" s="56"/>
      <c r="G1189" s="57" t="s">
        <v>249</v>
      </c>
      <c r="H1189" s="58" t="str">
        <f>IF(G1189="","",VLOOKUP($G1189,'Quy chuẩn hạch toán'!$B:$E,2,0))</f>
        <v>642</v>
      </c>
      <c r="I1189" s="58" t="str">
        <f>IF(H1189="","",VLOOKUP($G1189,'Quy chuẩn hạch toán'!$B:$E,3,0))</f>
        <v>331</v>
      </c>
      <c r="J1189" s="59">
        <v>722167.0</v>
      </c>
      <c r="K1189" s="60"/>
      <c r="L1189" s="61"/>
      <c r="M1189" s="62"/>
      <c r="N1189" s="63"/>
      <c r="O1189" s="64" t="str">
        <f>IF($Q1189&lt;&gt;0,VLOOKUP($Q1189,DM_KM,3,0),"")</f>
        <v>THUEVP</v>
      </c>
      <c r="P1189" s="64">
        <f>IF($Q1189&lt;&gt;0,VLOOKUP($Q1189,DM_KM,5,0),"")</f>
        <v>642</v>
      </c>
      <c r="Q1189" s="65" t="s">
        <v>270</v>
      </c>
      <c r="R1189" s="64" t="str">
        <f>IF(S1189&lt;&gt;0,VLOOKUP(S1189,DM_DUAN,3,0),"")</f>
        <v>#N/A</v>
      </c>
      <c r="S1189" s="66" t="str">
        <f>IF(U1189&lt;&gt;0,VLOOKUP(U1189,DM_DUAN,3,0),"")</f>
        <v/>
      </c>
      <c r="T1189" s="64"/>
      <c r="U1189" s="93"/>
      <c r="V1189" s="64" t="str">
        <f>IF(W1189&lt;&gt;0,VLOOKUP(W1189,DM_DUAN,3,0),"")</f>
        <v/>
      </c>
      <c r="W1189" s="68"/>
      <c r="X1189" s="64" t="str">
        <f>IF(Y1189&lt;&gt;0,VLOOKUP(Y1189,DM_DUAN,3,0),"")</f>
        <v>#N/A</v>
      </c>
      <c r="Y1189" s="69" t="s">
        <v>207</v>
      </c>
      <c r="Z1189" s="64" t="str">
        <f>IF(AA1189&lt;&gt;0,VLOOKUP(AA1189,DM_DUAN,3,0),"")</f>
        <v>#N/A</v>
      </c>
      <c r="AA1189" s="70" t="s">
        <v>705</v>
      </c>
      <c r="AB1189" s="64" t="str">
        <f>IF(AC1189&lt;&gt;0,VLOOKUP(AC1189,DM_DUAN,3,0),"")</f>
        <v/>
      </c>
      <c r="AC1189" s="85"/>
      <c r="AD1189" s="64" t="str">
        <f>IF(AC1189&lt;&gt;0,VLOOKUP(AC1189,DM_NV,2,0),"")</f>
        <v/>
      </c>
      <c r="AE1189" s="83"/>
      <c r="AF1189" s="64" t="str">
        <f>IF(AE1189&lt;&gt;0,VLOOKUP(AE1189,DM_NV,2,0),"")</f>
        <v/>
      </c>
    </row>
    <row r="1190">
      <c r="A1190" s="51"/>
      <c r="B1190" s="52" t="str">
        <f>IF(D1190="","",VLOOKUP(D1190,'THAM CHIẾU'!$A:$B,2,0))</f>
        <v>#N/A</v>
      </c>
      <c r="C1190" s="53" t="str">
        <f t="shared" si="5"/>
        <v>05/2022</v>
      </c>
      <c r="D1190" s="99">
        <v>44710.0</v>
      </c>
      <c r="E1190" s="55" t="s">
        <v>1182</v>
      </c>
      <c r="F1190" s="56"/>
      <c r="G1190" s="57" t="s">
        <v>249</v>
      </c>
      <c r="H1190" s="58" t="str">
        <f>IF(G1190="","",VLOOKUP($G1190,'Quy chuẩn hạch toán'!$B:$E,2,0))</f>
        <v>642</v>
      </c>
      <c r="I1190" s="58" t="str">
        <f>IF(H1190="","",VLOOKUP($G1190,'Quy chuẩn hạch toán'!$B:$E,3,0))</f>
        <v>331</v>
      </c>
      <c r="J1190" s="59">
        <v>444444.0</v>
      </c>
      <c r="K1190" s="60"/>
      <c r="L1190" s="61"/>
      <c r="M1190" s="62"/>
      <c r="N1190" s="63"/>
      <c r="O1190" s="64" t="str">
        <f>IF($Q1190&lt;&gt;0,VLOOKUP($Q1190,DM_KM,3,0),"")</f>
        <v>THUEVP</v>
      </c>
      <c r="P1190" s="64">
        <f>IF($Q1190&lt;&gt;0,VLOOKUP($Q1190,DM_KM,5,0),"")</f>
        <v>642</v>
      </c>
      <c r="Q1190" s="65" t="s">
        <v>270</v>
      </c>
      <c r="R1190" s="64" t="str">
        <f>IF(S1190&lt;&gt;0,VLOOKUP(S1190,DM_DUAN,3,0),"")</f>
        <v>#N/A</v>
      </c>
      <c r="S1190" s="66" t="str">
        <f>IF(U1190&lt;&gt;0,VLOOKUP(U1190,DM_DUAN,3,0),"")</f>
        <v/>
      </c>
      <c r="T1190" s="64"/>
      <c r="U1190" s="93"/>
      <c r="V1190" s="64" t="str">
        <f>IF(W1190&lt;&gt;0,VLOOKUP(W1190,DM_DUAN,3,0),"")</f>
        <v/>
      </c>
      <c r="W1190" s="68"/>
      <c r="X1190" s="64" t="str">
        <f>IF(Y1190&lt;&gt;0,VLOOKUP(Y1190,DM_DUAN,3,0),"")</f>
        <v>#N/A</v>
      </c>
      <c r="Y1190" s="69" t="s">
        <v>207</v>
      </c>
      <c r="Z1190" s="64" t="str">
        <f>IF(AA1190&lt;&gt;0,VLOOKUP(AA1190,DM_DUAN,3,0),"")</f>
        <v>#N/A</v>
      </c>
      <c r="AA1190" s="70" t="s">
        <v>705</v>
      </c>
      <c r="AB1190" s="64" t="str">
        <f>IF(AC1190&lt;&gt;0,VLOOKUP(AC1190,DM_DUAN,3,0),"")</f>
        <v/>
      </c>
      <c r="AC1190" s="85"/>
      <c r="AD1190" s="64" t="str">
        <f>IF(AC1190&lt;&gt;0,VLOOKUP(AC1190,DM_NV,2,0),"")</f>
        <v/>
      </c>
      <c r="AE1190" s="83"/>
      <c r="AF1190" s="64" t="str">
        <f>IF(AE1190&lt;&gt;0,VLOOKUP(AE1190,DM_NV,2,0),"")</f>
        <v/>
      </c>
    </row>
    <row r="1191">
      <c r="A1191" s="51"/>
      <c r="B1191" s="52" t="str">
        <f>IF(D1191="","",VLOOKUP(D1191,'THAM CHIẾU'!$A:$B,2,0))</f>
        <v>#N/A</v>
      </c>
      <c r="C1191" s="53" t="str">
        <f t="shared" si="5"/>
        <v>05/2022</v>
      </c>
      <c r="D1191" s="99">
        <v>44708.0</v>
      </c>
      <c r="E1191" s="55" t="s">
        <v>1183</v>
      </c>
      <c r="F1191" s="56"/>
      <c r="G1191" s="57" t="s">
        <v>617</v>
      </c>
      <c r="H1191" s="58" t="str">
        <f>IF(G1191="","",VLOOKUP($G1191,'Quy chuẩn hạch toán'!$B:$E,2,0))</f>
        <v>642</v>
      </c>
      <c r="I1191" s="58" t="str">
        <f>IF(H1191="","",VLOOKUP($G1191,'Quy chuẩn hạch toán'!$B:$E,3,0))</f>
        <v>3341</v>
      </c>
      <c r="J1191" s="59">
        <v>4000000.0</v>
      </c>
      <c r="K1191" s="60"/>
      <c r="L1191" s="61"/>
      <c r="M1191" s="62"/>
      <c r="N1191" s="63"/>
      <c r="O1191" s="64" t="str">
        <f>IF($Q1191&lt;&gt;0,VLOOKUP($Q1191,DM_KM,3,0),"")</f>
        <v>#N/A</v>
      </c>
      <c r="P1191" s="64" t="str">
        <f>IF($Q1191&lt;&gt;0,VLOOKUP($Q1191,DM_KM,5,0),"")</f>
        <v>#N/A</v>
      </c>
      <c r="Q1191" s="65" t="s">
        <v>374</v>
      </c>
      <c r="R1191" s="64" t="str">
        <f>IF(S1191&lt;&gt;0,VLOOKUP(S1191,DM_DUAN,3,0),"")</f>
        <v>#N/A</v>
      </c>
      <c r="S1191" s="66" t="str">
        <f>IF(U1191&lt;&gt;0,VLOOKUP(U1191,DM_DUAN,3,0),"")</f>
        <v/>
      </c>
      <c r="T1191" s="64"/>
      <c r="U1191" s="93"/>
      <c r="V1191" s="64" t="str">
        <f>IF(W1191&lt;&gt;0,VLOOKUP(W1191,DM_DUAN,3,0),"")</f>
        <v/>
      </c>
      <c r="W1191" s="68"/>
      <c r="X1191" s="64" t="str">
        <f>IF(Y1191&lt;&gt;0,VLOOKUP(Y1191,DM_DUAN,3,0),"")</f>
        <v>#N/A</v>
      </c>
      <c r="Y1191" s="69" t="s">
        <v>207</v>
      </c>
      <c r="Z1191" s="64" t="str">
        <f>IF(AA1191&lt;&gt;0,VLOOKUP(AA1191,DM_DUAN,3,0),"")</f>
        <v>#N/A</v>
      </c>
      <c r="AA1191" s="70" t="s">
        <v>705</v>
      </c>
      <c r="AB1191" s="64" t="str">
        <f>IF(AC1191&lt;&gt;0,VLOOKUP(AC1191,DM_DUAN,3,0),"")</f>
        <v/>
      </c>
      <c r="AC1191" s="85"/>
      <c r="AD1191" s="64" t="str">
        <f>IF(AC1191&lt;&gt;0,VLOOKUP(AC1191,DM_NV,2,0),"")</f>
        <v/>
      </c>
      <c r="AE1191" s="83"/>
      <c r="AF1191" s="64" t="str">
        <f>IF(AE1191&lt;&gt;0,VLOOKUP(AE1191,DM_NV,2,0),"")</f>
        <v/>
      </c>
    </row>
    <row r="1192">
      <c r="A1192" s="51"/>
      <c r="B1192" s="52" t="str">
        <f>IF(D1192="","",VLOOKUP(D1192,'THAM CHIẾU'!$A:$B,2,0))</f>
        <v/>
      </c>
      <c r="C1192" s="53" t="str">
        <f t="shared" si="5"/>
        <v/>
      </c>
      <c r="D1192" s="99"/>
      <c r="E1192" s="91"/>
      <c r="F1192" s="92"/>
      <c r="G1192" s="90"/>
      <c r="H1192" s="58" t="str">
        <f>IF(G1192="","",VLOOKUP($G1192,'Quy chuẩn hạch toán'!$B:$E,2,0))</f>
        <v/>
      </c>
      <c r="I1192" s="58" t="str">
        <f>IF(H1192="","",VLOOKUP($G1192,'Quy chuẩn hạch toán'!$B:$E,3,0))</f>
        <v/>
      </c>
      <c r="J1192" s="95"/>
      <c r="K1192" s="60"/>
      <c r="L1192" s="61"/>
      <c r="M1192" s="62"/>
      <c r="N1192" s="63"/>
      <c r="O1192" s="64" t="str">
        <f>IF($Q1192&lt;&gt;0,VLOOKUP($Q1192,DM_KM,3,0),"")</f>
        <v/>
      </c>
      <c r="P1192" s="64" t="str">
        <f>IF($Q1192&lt;&gt;0,VLOOKUP($Q1192,DM_KM,5,0),"")</f>
        <v/>
      </c>
      <c r="Q1192" s="89"/>
      <c r="R1192" s="64" t="str">
        <f>IF(S1192&lt;&gt;0,VLOOKUP(S1192,DM_DUAN,3,0),"")</f>
        <v>#N/A</v>
      </c>
      <c r="S1192" s="66" t="str">
        <f>IF(U1192&lt;&gt;0,VLOOKUP(U1192,DM_DUAN,3,0),"")</f>
        <v/>
      </c>
      <c r="T1192" s="64"/>
      <c r="U1192" s="93"/>
      <c r="V1192" s="64" t="str">
        <f>IF(W1192&lt;&gt;0,VLOOKUP(W1192,DM_DUAN,3,0),"")</f>
        <v/>
      </c>
      <c r="W1192" s="68"/>
      <c r="X1192" s="64" t="str">
        <f>IF(Y1192&lt;&gt;0,VLOOKUP(Y1192,DM_DUAN,3,0),"")</f>
        <v/>
      </c>
      <c r="Y1192" s="84"/>
      <c r="Z1192" s="64" t="str">
        <f>IF(AA1192&lt;&gt;0,VLOOKUP(AA1192,DM_DUAN,3,0),"")</f>
        <v/>
      </c>
      <c r="AA1192" s="131"/>
      <c r="AB1192" s="64" t="str">
        <f>IF(AC1192&lt;&gt;0,VLOOKUP(AC1192,DM_DUAN,3,0),"")</f>
        <v/>
      </c>
      <c r="AC1192" s="85"/>
      <c r="AD1192" s="64" t="str">
        <f>IF(AC1192&lt;&gt;0,VLOOKUP(AC1192,DM_NV,2,0),"")</f>
        <v/>
      </c>
      <c r="AE1192" s="83"/>
      <c r="AF1192" s="64" t="str">
        <f>IF(AE1192&lt;&gt;0,VLOOKUP(AE1192,DM_NV,2,0),"")</f>
        <v/>
      </c>
    </row>
    <row r="1193">
      <c r="A1193" s="51"/>
      <c r="B1193" s="52" t="str">
        <f>IF(D1193="","",VLOOKUP(D1193,'THAM CHIẾU'!$A:$B,2,0))</f>
        <v/>
      </c>
      <c r="C1193" s="53" t="str">
        <f t="shared" si="5"/>
        <v/>
      </c>
      <c r="D1193" s="99"/>
      <c r="E1193" s="91"/>
      <c r="F1193" s="92"/>
      <c r="G1193" s="90"/>
      <c r="H1193" s="58" t="str">
        <f>IF(G1193="","",VLOOKUP($G1193,'Quy chuẩn hạch toán'!$B:$E,2,0))</f>
        <v/>
      </c>
      <c r="I1193" s="58" t="str">
        <f>IF(H1193="","",VLOOKUP($G1193,'Quy chuẩn hạch toán'!$B:$E,3,0))</f>
        <v/>
      </c>
      <c r="J1193" s="95"/>
      <c r="K1193" s="60"/>
      <c r="L1193" s="61"/>
      <c r="M1193" s="62"/>
      <c r="N1193" s="63"/>
      <c r="O1193" s="64" t="str">
        <f>IF($Q1193&lt;&gt;0,VLOOKUP($Q1193,DM_KM,3,0),"")</f>
        <v/>
      </c>
      <c r="P1193" s="64" t="str">
        <f>IF($Q1193&lt;&gt;0,VLOOKUP($Q1193,DM_KM,5,0),"")</f>
        <v/>
      </c>
      <c r="Q1193" s="89"/>
      <c r="R1193" s="64" t="str">
        <f>IF(S1193&lt;&gt;0,VLOOKUP(S1193,DM_DUAN,3,0),"")</f>
        <v>#N/A</v>
      </c>
      <c r="S1193" s="66" t="str">
        <f>IF(U1193&lt;&gt;0,VLOOKUP(U1193,DM_DUAN,3,0),"")</f>
        <v/>
      </c>
      <c r="T1193" s="64"/>
      <c r="U1193" s="93"/>
      <c r="V1193" s="64" t="str">
        <f>IF(W1193&lt;&gt;0,VLOOKUP(W1193,DM_DUAN,3,0),"")</f>
        <v/>
      </c>
      <c r="W1193" s="68"/>
      <c r="X1193" s="64" t="str">
        <f>IF(Y1193&lt;&gt;0,VLOOKUP(Y1193,DM_DUAN,3,0),"")</f>
        <v/>
      </c>
      <c r="Y1193" s="84"/>
      <c r="Z1193" s="64" t="str">
        <f>IF(AA1193&lt;&gt;0,VLOOKUP(AA1193,DM_DUAN,3,0),"")</f>
        <v/>
      </c>
      <c r="AA1193" s="131"/>
      <c r="AB1193" s="64" t="str">
        <f>IF(AC1193&lt;&gt;0,VLOOKUP(AC1193,DM_DUAN,3,0),"")</f>
        <v/>
      </c>
      <c r="AC1193" s="85"/>
      <c r="AD1193" s="64" t="str">
        <f>IF(AC1193&lt;&gt;0,VLOOKUP(AC1193,DM_NV,2,0),"")</f>
        <v/>
      </c>
      <c r="AE1193" s="68"/>
      <c r="AF1193" s="64" t="str">
        <f>IF(AE1193&lt;&gt;0,VLOOKUP(AE1193,DM_NV,2,0),"")</f>
        <v/>
      </c>
    </row>
    <row r="1194">
      <c r="A1194" s="51"/>
      <c r="B1194" s="52" t="str">
        <f>IF(D1194="","",VLOOKUP(D1194,'THAM CHIẾU'!$A:$B,2,0))</f>
        <v>#N/A</v>
      </c>
      <c r="C1194" s="53" t="str">
        <f t="shared" si="5"/>
        <v>05/2022</v>
      </c>
      <c r="D1194" s="99">
        <v>44690.0</v>
      </c>
      <c r="E1194" s="55" t="s">
        <v>1168</v>
      </c>
      <c r="F1194" s="56"/>
      <c r="G1194" s="57" t="s">
        <v>205</v>
      </c>
      <c r="H1194" s="58" t="str">
        <f>IF(G1194="","",VLOOKUP($G1194,'Quy chuẩn hạch toán'!$B:$E,2,0))</f>
        <v>642</v>
      </c>
      <c r="I1194" s="58" t="str">
        <f>IF(H1194="","",VLOOKUP($G1194,'Quy chuẩn hạch toán'!$B:$E,3,0))</f>
        <v>1111</v>
      </c>
      <c r="J1194" s="59">
        <v>480000.0</v>
      </c>
      <c r="K1194" s="60"/>
      <c r="L1194" s="61"/>
      <c r="M1194" s="62"/>
      <c r="N1194" s="63"/>
      <c r="O1194" s="64" t="str">
        <f>IF($Q1194&lt;&gt;0,VLOOKUP($Q1194,DM_KM,3,0),"")</f>
        <v>#N/A</v>
      </c>
      <c r="P1194" s="64" t="str">
        <f>IF($Q1194&lt;&gt;0,VLOOKUP($Q1194,DM_KM,5,0),"")</f>
        <v>#N/A</v>
      </c>
      <c r="Q1194" s="65" t="s">
        <v>206</v>
      </c>
      <c r="R1194" s="64" t="str">
        <f>IF(S1194&lt;&gt;0,VLOOKUP(S1194,DM_DUAN,3,0),"")</f>
        <v>#N/A</v>
      </c>
      <c r="S1194" s="66" t="str">
        <f>IF(U1194&lt;&gt;0,VLOOKUP(U1194,DM_DUAN,3,0),"")</f>
        <v/>
      </c>
      <c r="T1194" s="64"/>
      <c r="U1194" s="93"/>
      <c r="V1194" s="64" t="str">
        <f>IF(W1194&lt;&gt;0,VLOOKUP(W1194,DM_DUAN,3,0),"")</f>
        <v/>
      </c>
      <c r="W1194" s="68"/>
      <c r="X1194" s="64" t="str">
        <f>IF(Y1194&lt;&gt;0,VLOOKUP(Y1194,DM_DUAN,3,0),"")</f>
        <v>#N/A</v>
      </c>
      <c r="Y1194" s="69" t="s">
        <v>207</v>
      </c>
      <c r="Z1194" s="64" t="str">
        <f>IF(AA1194&lt;&gt;0,VLOOKUP(AA1194,DM_DUAN,3,0),"")</f>
        <v>#N/A</v>
      </c>
      <c r="AA1194" s="70" t="s">
        <v>183</v>
      </c>
      <c r="AB1194" s="64" t="str">
        <f>IF(AC1194&lt;&gt;0,VLOOKUP(AC1194,DM_DUAN,3,0),"")</f>
        <v/>
      </c>
      <c r="AC1194" s="85"/>
      <c r="AD1194" s="64" t="str">
        <f>IF(AC1194&lt;&gt;0,VLOOKUP(AC1194,DM_NV,2,0),"")</f>
        <v/>
      </c>
      <c r="AE1194" s="83" t="s">
        <v>209</v>
      </c>
      <c r="AF1194" s="64" t="str">
        <f>IF(AE1194&lt;&gt;0,VLOOKUP(AE1194,DM_NV,2,0),"")</f>
        <v>#N/A</v>
      </c>
    </row>
    <row r="1195">
      <c r="A1195" s="51"/>
      <c r="B1195" s="52" t="str">
        <f>IF(D1195="","",VLOOKUP(D1195,'THAM CHIẾU'!$A:$B,2,0))</f>
        <v>#N/A</v>
      </c>
      <c r="C1195" s="53" t="str">
        <f t="shared" si="5"/>
        <v>05/2022</v>
      </c>
      <c r="D1195" s="99">
        <v>44691.0</v>
      </c>
      <c r="E1195" s="55" t="s">
        <v>1184</v>
      </c>
      <c r="F1195" s="56"/>
      <c r="G1195" s="57" t="s">
        <v>225</v>
      </c>
      <c r="H1195" s="58" t="str">
        <f>IF(G1195="","",VLOOKUP($G1195,'Quy chuẩn hạch toán'!$B:$E,2,0))</f>
        <v>154</v>
      </c>
      <c r="I1195" s="58" t="str">
        <f>IF(H1195="","",VLOOKUP($G1195,'Quy chuẩn hạch toán'!$B:$E,3,0))</f>
        <v>1111</v>
      </c>
      <c r="J1195" s="59">
        <v>4743000.0</v>
      </c>
      <c r="K1195" s="60"/>
      <c r="L1195" s="61"/>
      <c r="M1195" s="62"/>
      <c r="N1195" s="63"/>
      <c r="O1195" s="64" t="str">
        <f>IF($Q1195&lt;&gt;0,VLOOKUP($Q1195,DM_KM,3,0),"")</f>
        <v>#N/A</v>
      </c>
      <c r="P1195" s="64" t="str">
        <f>IF($Q1195&lt;&gt;0,VLOOKUP($Q1195,DM_KM,5,0),"")</f>
        <v>#N/A</v>
      </c>
      <c r="Q1195" s="65" t="s">
        <v>1170</v>
      </c>
      <c r="R1195" s="64" t="str">
        <f>IF(S1195&lt;&gt;0,VLOOKUP(S1195,DM_DUAN,3,0),"")</f>
        <v>#N/A</v>
      </c>
      <c r="S1195" s="66" t="str">
        <f>IF(U1195&lt;&gt;0,VLOOKUP(U1195,DM_DUAN,3,0),"")</f>
        <v>CLOUDLAND</v>
      </c>
      <c r="T1195" s="64"/>
      <c r="U1195" s="67" t="s">
        <v>956</v>
      </c>
      <c r="V1195" s="64" t="str">
        <f>IF(W1195&lt;&gt;0,VLOOKUP(W1195,DM_DUAN,3,0),"")</f>
        <v/>
      </c>
      <c r="W1195" s="68"/>
      <c r="X1195" s="64" t="str">
        <f>IF(Y1195&lt;&gt;0,VLOOKUP(Y1195,DM_DUAN,3,0),"")</f>
        <v>#N/A</v>
      </c>
      <c r="Y1195" s="69" t="s">
        <v>176</v>
      </c>
      <c r="Z1195" s="64" t="str">
        <f>IF(AA1195&lt;&gt;0,VLOOKUP(AA1195,DM_DUAN,3,0),"")</f>
        <v>#N/A</v>
      </c>
      <c r="AA1195" s="70" t="s">
        <v>183</v>
      </c>
      <c r="AB1195" s="64" t="str">
        <f>IF(AC1195&lt;&gt;0,VLOOKUP(AC1195,DM_DUAN,3,0),"")</f>
        <v/>
      </c>
      <c r="AC1195" s="85"/>
      <c r="AD1195" s="64" t="str">
        <f>IF(AC1195&lt;&gt;0,VLOOKUP(AC1195,DM_NV,2,0),"")</f>
        <v/>
      </c>
      <c r="AE1195" s="83" t="s">
        <v>610</v>
      </c>
      <c r="AF1195" s="64" t="str">
        <f>IF(AE1195&lt;&gt;0,VLOOKUP(AE1195,DM_NV,2,0),"")</f>
        <v>#N/A</v>
      </c>
    </row>
    <row r="1196">
      <c r="A1196" s="51"/>
      <c r="B1196" s="52" t="str">
        <f>IF(D1196="","",VLOOKUP(D1196,'THAM CHIẾU'!$A:$B,2,0))</f>
        <v>#N/A</v>
      </c>
      <c r="C1196" s="53" t="str">
        <f t="shared" si="5"/>
        <v>05/2022</v>
      </c>
      <c r="D1196" s="99">
        <v>44692.0</v>
      </c>
      <c r="E1196" s="55" t="s">
        <v>1171</v>
      </c>
      <c r="F1196" s="56"/>
      <c r="G1196" s="57" t="s">
        <v>205</v>
      </c>
      <c r="H1196" s="58" t="str">
        <f>IF(G1196="","",VLOOKUP($G1196,'Quy chuẩn hạch toán'!$B:$E,2,0))</f>
        <v>642</v>
      </c>
      <c r="I1196" s="58" t="str">
        <f>IF(H1196="","",VLOOKUP($G1196,'Quy chuẩn hạch toán'!$B:$E,3,0))</f>
        <v>1111</v>
      </c>
      <c r="J1196" s="59">
        <v>278222.0</v>
      </c>
      <c r="K1196" s="60"/>
      <c r="L1196" s="61"/>
      <c r="M1196" s="62"/>
      <c r="N1196" s="63"/>
      <c r="O1196" s="64" t="str">
        <f>IF($Q1196&lt;&gt;0,VLOOKUP($Q1196,DM_KM,3,0),"")</f>
        <v>#N/A</v>
      </c>
      <c r="P1196" s="64" t="str">
        <f>IF($Q1196&lt;&gt;0,VLOOKUP($Q1196,DM_KM,5,0),"")</f>
        <v>#N/A</v>
      </c>
      <c r="Q1196" s="65" t="s">
        <v>222</v>
      </c>
      <c r="R1196" s="64" t="str">
        <f>IF(S1196&lt;&gt;0,VLOOKUP(S1196,DM_DUAN,3,0),"")</f>
        <v>#N/A</v>
      </c>
      <c r="S1196" s="66" t="str">
        <f>IF(U1196&lt;&gt;0,VLOOKUP(U1196,DM_DUAN,3,0),"")</f>
        <v/>
      </c>
      <c r="T1196" s="64"/>
      <c r="U1196" s="93"/>
      <c r="V1196" s="64" t="str">
        <f>IF(W1196&lt;&gt;0,VLOOKUP(W1196,DM_DUAN,3,0),"")</f>
        <v/>
      </c>
      <c r="W1196" s="68"/>
      <c r="X1196" s="64" t="str">
        <f>IF(Y1196&lt;&gt;0,VLOOKUP(Y1196,DM_DUAN,3,0),"")</f>
        <v>#N/A</v>
      </c>
      <c r="Y1196" s="69" t="s">
        <v>207</v>
      </c>
      <c r="Z1196" s="64" t="str">
        <f>IF(AA1196&lt;&gt;0,VLOOKUP(AA1196,DM_DUAN,3,0),"")</f>
        <v>#N/A</v>
      </c>
      <c r="AA1196" s="70" t="s">
        <v>183</v>
      </c>
      <c r="AB1196" s="64" t="str">
        <f>IF(AC1196&lt;&gt;0,VLOOKUP(AC1196,DM_DUAN,3,0),"")</f>
        <v/>
      </c>
      <c r="AC1196" s="85"/>
      <c r="AD1196" s="64" t="str">
        <f>IF(AC1196&lt;&gt;0,VLOOKUP(AC1196,DM_NV,2,0),"")</f>
        <v/>
      </c>
      <c r="AE1196" s="83" t="s">
        <v>223</v>
      </c>
      <c r="AF1196" s="64" t="str">
        <f>IF(AE1196&lt;&gt;0,VLOOKUP(AE1196,DM_NV,2,0),"")</f>
        <v>#N/A</v>
      </c>
    </row>
    <row r="1197">
      <c r="A1197" s="51"/>
      <c r="B1197" s="52" t="str">
        <f>IF(D1197="","",VLOOKUP(D1197,'THAM CHIẾU'!$A:$B,2,0))</f>
        <v>#N/A</v>
      </c>
      <c r="C1197" s="53" t="str">
        <f t="shared" si="5"/>
        <v>05/2022</v>
      </c>
      <c r="D1197" s="99">
        <v>44695.0</v>
      </c>
      <c r="E1197" s="55" t="s">
        <v>1172</v>
      </c>
      <c r="F1197" s="56"/>
      <c r="G1197" s="57" t="s">
        <v>205</v>
      </c>
      <c r="H1197" s="58" t="str">
        <f>IF(G1197="","",VLOOKUP($G1197,'Quy chuẩn hạch toán'!$B:$E,2,0))</f>
        <v>642</v>
      </c>
      <c r="I1197" s="58" t="str">
        <f>IF(H1197="","",VLOOKUP($G1197,'Quy chuẩn hạch toán'!$B:$E,3,0))</f>
        <v>1111</v>
      </c>
      <c r="J1197" s="59">
        <v>240000.0</v>
      </c>
      <c r="K1197" s="60"/>
      <c r="L1197" s="61"/>
      <c r="M1197" s="62"/>
      <c r="N1197" s="63"/>
      <c r="O1197" s="64" t="str">
        <f>IF($Q1197&lt;&gt;0,VLOOKUP($Q1197,DM_KM,3,0),"")</f>
        <v>#N/A</v>
      </c>
      <c r="P1197" s="64" t="str">
        <f>IF($Q1197&lt;&gt;0,VLOOKUP($Q1197,DM_KM,5,0),"")</f>
        <v>#N/A</v>
      </c>
      <c r="Q1197" s="65" t="s">
        <v>219</v>
      </c>
      <c r="R1197" s="64" t="str">
        <f>IF(S1197&lt;&gt;0,VLOOKUP(S1197,DM_DUAN,3,0),"")</f>
        <v>#N/A</v>
      </c>
      <c r="S1197" s="66" t="str">
        <f>IF(U1197&lt;&gt;0,VLOOKUP(U1197,DM_DUAN,3,0),"")</f>
        <v/>
      </c>
      <c r="T1197" s="64"/>
      <c r="U1197" s="93"/>
      <c r="V1197" s="64" t="str">
        <f>IF(W1197&lt;&gt;0,VLOOKUP(W1197,DM_DUAN,3,0),"")</f>
        <v/>
      </c>
      <c r="W1197" s="68"/>
      <c r="X1197" s="64" t="str">
        <f>IF(Y1197&lt;&gt;0,VLOOKUP(Y1197,DM_DUAN,3,0),"")</f>
        <v>#N/A</v>
      </c>
      <c r="Y1197" s="69" t="s">
        <v>207</v>
      </c>
      <c r="Z1197" s="64" t="str">
        <f>IF(AA1197&lt;&gt;0,VLOOKUP(AA1197,DM_DUAN,3,0),"")</f>
        <v>#N/A</v>
      </c>
      <c r="AA1197" s="70" t="s">
        <v>183</v>
      </c>
      <c r="AB1197" s="64" t="str">
        <f>IF(AC1197&lt;&gt;0,VLOOKUP(AC1197,DM_DUAN,3,0),"")</f>
        <v/>
      </c>
      <c r="AC1197" s="85"/>
      <c r="AD1197" s="64" t="str">
        <f>IF(AC1197&lt;&gt;0,VLOOKUP(AC1197,DM_NV,2,0),"")</f>
        <v/>
      </c>
      <c r="AE1197" s="83" t="s">
        <v>220</v>
      </c>
      <c r="AF1197" s="64" t="str">
        <f>IF(AE1197&lt;&gt;0,VLOOKUP(AE1197,DM_NV,2,0),"")</f>
        <v>#N/A</v>
      </c>
    </row>
    <row r="1198">
      <c r="A1198" s="51"/>
      <c r="B1198" s="52" t="str">
        <f>IF(D1198="","",VLOOKUP(D1198,'THAM CHIẾU'!$A:$B,2,0))</f>
        <v>#N/A</v>
      </c>
      <c r="C1198" s="53" t="str">
        <f t="shared" si="5"/>
        <v>05/2022</v>
      </c>
      <c r="D1198" s="99">
        <v>44698.0</v>
      </c>
      <c r="E1198" s="55" t="s">
        <v>1173</v>
      </c>
      <c r="F1198" s="56"/>
      <c r="G1198" s="57" t="s">
        <v>205</v>
      </c>
      <c r="H1198" s="58" t="str">
        <f>IF(G1198="","",VLOOKUP($G1198,'Quy chuẩn hạch toán'!$B:$E,2,0))</f>
        <v>642</v>
      </c>
      <c r="I1198" s="58" t="str">
        <f>IF(H1198="","",VLOOKUP($G1198,'Quy chuẩn hạch toán'!$B:$E,3,0))</f>
        <v>1111</v>
      </c>
      <c r="J1198" s="59">
        <v>876360.0</v>
      </c>
      <c r="K1198" s="60"/>
      <c r="L1198" s="61"/>
      <c r="M1198" s="62"/>
      <c r="N1198" s="63"/>
      <c r="O1198" s="64" t="str">
        <f>IF($Q1198&lt;&gt;0,VLOOKUP($Q1198,DM_KM,3,0),"")</f>
        <v>#N/A</v>
      </c>
      <c r="P1198" s="64" t="str">
        <f>IF($Q1198&lt;&gt;0,VLOOKUP($Q1198,DM_KM,5,0),"")</f>
        <v>#N/A</v>
      </c>
      <c r="Q1198" s="65" t="s">
        <v>262</v>
      </c>
      <c r="R1198" s="64" t="str">
        <f>IF(S1198&lt;&gt;0,VLOOKUP(S1198,DM_DUAN,3,0),"")</f>
        <v>#N/A</v>
      </c>
      <c r="S1198" s="66" t="str">
        <f>IF(U1198&lt;&gt;0,VLOOKUP(U1198,DM_DUAN,3,0),"")</f>
        <v/>
      </c>
      <c r="T1198" s="64"/>
      <c r="U1198" s="93"/>
      <c r="V1198" s="64" t="str">
        <f>IF(W1198&lt;&gt;0,VLOOKUP(W1198,DM_DUAN,3,0),"")</f>
        <v/>
      </c>
      <c r="W1198" s="68"/>
      <c r="X1198" s="64" t="str">
        <f>IF(Y1198&lt;&gt;0,VLOOKUP(Y1198,DM_DUAN,3,0),"")</f>
        <v>#N/A</v>
      </c>
      <c r="Y1198" s="69" t="s">
        <v>207</v>
      </c>
      <c r="Z1198" s="64" t="str">
        <f>IF(AA1198&lt;&gt;0,VLOOKUP(AA1198,DM_DUAN,3,0),"")</f>
        <v>#N/A</v>
      </c>
      <c r="AA1198" s="70" t="s">
        <v>183</v>
      </c>
      <c r="AB1198" s="64" t="str">
        <f>IF(AC1198&lt;&gt;0,VLOOKUP(AC1198,DM_DUAN,3,0),"")</f>
        <v/>
      </c>
      <c r="AC1198" s="85"/>
      <c r="AD1198" s="64" t="str">
        <f>IF(AC1198&lt;&gt;0,VLOOKUP(AC1198,DM_NV,2,0),"")</f>
        <v/>
      </c>
      <c r="AE1198" s="83" t="s">
        <v>1174</v>
      </c>
      <c r="AF1198" s="64" t="str">
        <f>IF(AE1198&lt;&gt;0,VLOOKUP(AE1198,DM_NV,2,0),"")</f>
        <v>#N/A</v>
      </c>
    </row>
    <row r="1199">
      <c r="A1199" s="51"/>
      <c r="B1199" s="52" t="str">
        <f>IF(D1199="","",VLOOKUP(D1199,'THAM CHIẾU'!$A:$B,2,0))</f>
        <v>#N/A</v>
      </c>
      <c r="C1199" s="53" t="str">
        <f t="shared" si="5"/>
        <v>05/2022</v>
      </c>
      <c r="D1199" s="99">
        <v>44709.0</v>
      </c>
      <c r="E1199" s="55" t="s">
        <v>1175</v>
      </c>
      <c r="F1199" s="56"/>
      <c r="G1199" s="57" t="s">
        <v>205</v>
      </c>
      <c r="H1199" s="58" t="str">
        <f>IF(G1199="","",VLOOKUP($G1199,'Quy chuẩn hạch toán'!$B:$E,2,0))</f>
        <v>642</v>
      </c>
      <c r="I1199" s="58" t="str">
        <f>IF(H1199="","",VLOOKUP($G1199,'Quy chuẩn hạch toán'!$B:$E,3,0))</f>
        <v>1111</v>
      </c>
      <c r="J1199" s="59">
        <v>266667.0</v>
      </c>
      <c r="K1199" s="60"/>
      <c r="L1199" s="61"/>
      <c r="M1199" s="62"/>
      <c r="N1199" s="63"/>
      <c r="O1199" s="64" t="str">
        <f>IF($Q1199&lt;&gt;0,VLOOKUP($Q1199,DM_KM,3,0),"")</f>
        <v>#N/A</v>
      </c>
      <c r="P1199" s="64" t="str">
        <f>IF($Q1199&lt;&gt;0,VLOOKUP($Q1199,DM_KM,5,0),"")</f>
        <v>#N/A</v>
      </c>
      <c r="Q1199" s="65" t="s">
        <v>226</v>
      </c>
      <c r="R1199" s="64" t="str">
        <f>IF(S1199&lt;&gt;0,VLOOKUP(S1199,DM_DUAN,3,0),"")</f>
        <v>#N/A</v>
      </c>
      <c r="S1199" s="66" t="str">
        <f>IF(U1199&lt;&gt;0,VLOOKUP(U1199,DM_DUAN,3,0),"")</f>
        <v/>
      </c>
      <c r="T1199" s="64"/>
      <c r="U1199" s="93"/>
      <c r="V1199" s="64" t="str">
        <f>IF(W1199&lt;&gt;0,VLOOKUP(W1199,DM_DUAN,3,0),"")</f>
        <v/>
      </c>
      <c r="W1199" s="68"/>
      <c r="X1199" s="64" t="str">
        <f>IF(Y1199&lt;&gt;0,VLOOKUP(Y1199,DM_DUAN,3,0),"")</f>
        <v>#N/A</v>
      </c>
      <c r="Y1199" s="69" t="s">
        <v>207</v>
      </c>
      <c r="Z1199" s="64" t="str">
        <f>IF(AA1199&lt;&gt;0,VLOOKUP(AA1199,DM_DUAN,3,0),"")</f>
        <v>#N/A</v>
      </c>
      <c r="AA1199" s="70" t="s">
        <v>183</v>
      </c>
      <c r="AB1199" s="64" t="str">
        <f>IF(AC1199&lt;&gt;0,VLOOKUP(AC1199,DM_DUAN,3,0),"")</f>
        <v/>
      </c>
      <c r="AC1199" s="85"/>
      <c r="AD1199" s="64" t="str">
        <f>IF(AC1199&lt;&gt;0,VLOOKUP(AC1199,DM_NV,2,0),"")</f>
        <v/>
      </c>
      <c r="AE1199" s="83" t="s">
        <v>1174</v>
      </c>
      <c r="AF1199" s="64" t="str">
        <f>IF(AE1199&lt;&gt;0,VLOOKUP(AE1199,DM_NV,2,0),"")</f>
        <v>#N/A</v>
      </c>
    </row>
    <row r="1200">
      <c r="A1200" s="51"/>
      <c r="B1200" s="52" t="str">
        <f>IF(D1200="","",VLOOKUP(D1200,'THAM CHIẾU'!$A:$B,2,0))</f>
        <v>#N/A</v>
      </c>
      <c r="C1200" s="53" t="str">
        <f t="shared" si="5"/>
        <v>05/2022</v>
      </c>
      <c r="D1200" s="99">
        <v>44699.0</v>
      </c>
      <c r="E1200" s="55" t="s">
        <v>1176</v>
      </c>
      <c r="F1200" s="56"/>
      <c r="G1200" s="57" t="s">
        <v>205</v>
      </c>
      <c r="H1200" s="58" t="str">
        <f>IF(G1200="","",VLOOKUP($G1200,'Quy chuẩn hạch toán'!$B:$E,2,0))</f>
        <v>642</v>
      </c>
      <c r="I1200" s="58" t="str">
        <f>IF(H1200="","",VLOOKUP($G1200,'Quy chuẩn hạch toán'!$B:$E,3,0))</f>
        <v>1111</v>
      </c>
      <c r="J1200" s="59">
        <v>3941695.0</v>
      </c>
      <c r="K1200" s="60"/>
      <c r="L1200" s="61"/>
      <c r="M1200" s="62"/>
      <c r="N1200" s="63"/>
      <c r="O1200" s="64" t="str">
        <f>IF($Q1200&lt;&gt;0,VLOOKUP($Q1200,DM_KM,3,0),"")</f>
        <v>#N/A</v>
      </c>
      <c r="P1200" s="64" t="str">
        <f>IF($Q1200&lt;&gt;0,VLOOKUP($Q1200,DM_KM,5,0),"")</f>
        <v>#N/A</v>
      </c>
      <c r="Q1200" s="65" t="s">
        <v>272</v>
      </c>
      <c r="R1200" s="64" t="str">
        <f>IF(S1200&lt;&gt;0,VLOOKUP(S1200,DM_DUAN,3,0),"")</f>
        <v>#N/A</v>
      </c>
      <c r="S1200" s="66" t="str">
        <f>IF(U1200&lt;&gt;0,VLOOKUP(U1200,DM_DUAN,3,0),"")</f>
        <v/>
      </c>
      <c r="T1200" s="64"/>
      <c r="U1200" s="93"/>
      <c r="V1200" s="64" t="str">
        <f>IF(W1200&lt;&gt;0,VLOOKUP(W1200,DM_DUAN,3,0),"")</f>
        <v/>
      </c>
      <c r="W1200" s="68"/>
      <c r="X1200" s="64" t="str">
        <f>IF(Y1200&lt;&gt;0,VLOOKUP(Y1200,DM_DUAN,3,0),"")</f>
        <v>#N/A</v>
      </c>
      <c r="Y1200" s="69" t="s">
        <v>207</v>
      </c>
      <c r="Z1200" s="64" t="str">
        <f>IF(AA1200&lt;&gt;0,VLOOKUP(AA1200,DM_DUAN,3,0),"")</f>
        <v>#N/A</v>
      </c>
      <c r="AA1200" s="70" t="s">
        <v>183</v>
      </c>
      <c r="AB1200" s="64" t="str">
        <f>IF(AC1200&lt;&gt;0,VLOOKUP(AC1200,DM_DUAN,3,0),"")</f>
        <v/>
      </c>
      <c r="AC1200" s="85"/>
      <c r="AD1200" s="64" t="str">
        <f>IF(AC1200&lt;&gt;0,VLOOKUP(AC1200,DM_NV,2,0),"")</f>
        <v/>
      </c>
      <c r="AE1200" s="83" t="s">
        <v>227</v>
      </c>
      <c r="AF1200" s="64" t="str">
        <f>IF(AE1200&lt;&gt;0,VLOOKUP(AE1200,DM_NV,2,0),"")</f>
        <v>#N/A</v>
      </c>
    </row>
    <row r="1201">
      <c r="A1201" s="51"/>
      <c r="B1201" s="52" t="str">
        <f>IF(D1201="","",VLOOKUP(D1201,'THAM CHIẾU'!$A:$B,2,0))</f>
        <v>#N/A</v>
      </c>
      <c r="C1201" s="53" t="str">
        <f t="shared" si="5"/>
        <v>05/2022</v>
      </c>
      <c r="D1201" s="99">
        <v>44710.0</v>
      </c>
      <c r="E1201" s="55" t="s">
        <v>1185</v>
      </c>
      <c r="F1201" s="56"/>
      <c r="G1201" s="57" t="s">
        <v>249</v>
      </c>
      <c r="H1201" s="58" t="str">
        <f>IF(G1201="","",VLOOKUP($G1201,'Quy chuẩn hạch toán'!$B:$E,2,0))</f>
        <v>642</v>
      </c>
      <c r="I1201" s="58" t="str">
        <f>IF(H1201="","",VLOOKUP($G1201,'Quy chuẩn hạch toán'!$B:$E,3,0))</f>
        <v>331</v>
      </c>
      <c r="J1201" s="59">
        <v>1.4E7</v>
      </c>
      <c r="K1201" s="60"/>
      <c r="L1201" s="61"/>
      <c r="M1201" s="62"/>
      <c r="N1201" s="63"/>
      <c r="O1201" s="64" t="str">
        <f>IF($Q1201&lt;&gt;0,VLOOKUP($Q1201,DM_KM,3,0),"")</f>
        <v>THUEVP</v>
      </c>
      <c r="P1201" s="64">
        <f>IF($Q1201&lt;&gt;0,VLOOKUP($Q1201,DM_KM,5,0),"")</f>
        <v>642</v>
      </c>
      <c r="Q1201" s="65" t="s">
        <v>270</v>
      </c>
      <c r="R1201" s="64" t="str">
        <f>IF(S1201&lt;&gt;0,VLOOKUP(S1201,DM_DUAN,3,0),"")</f>
        <v>#N/A</v>
      </c>
      <c r="S1201" s="66" t="str">
        <f>IF(U1201&lt;&gt;0,VLOOKUP(U1201,DM_DUAN,3,0),"")</f>
        <v/>
      </c>
      <c r="T1201" s="64"/>
      <c r="U1201" s="93"/>
      <c r="V1201" s="64" t="str">
        <f>IF(W1201&lt;&gt;0,VLOOKUP(W1201,DM_DUAN,3,0),"")</f>
        <v/>
      </c>
      <c r="W1201" s="68"/>
      <c r="X1201" s="64" t="str">
        <f>IF(Y1201&lt;&gt;0,VLOOKUP(Y1201,DM_DUAN,3,0),"")</f>
        <v>#N/A</v>
      </c>
      <c r="Y1201" s="69" t="s">
        <v>207</v>
      </c>
      <c r="Z1201" s="64" t="str">
        <f>IF(AA1201&lt;&gt;0,VLOOKUP(AA1201,DM_DUAN,3,0),"")</f>
        <v>#N/A</v>
      </c>
      <c r="AA1201" s="70" t="s">
        <v>183</v>
      </c>
      <c r="AB1201" s="64" t="str">
        <f>IF(AC1201&lt;&gt;0,VLOOKUP(AC1201,DM_DUAN,3,0),"")</f>
        <v/>
      </c>
      <c r="AC1201" s="85"/>
      <c r="AD1201" s="64" t="str">
        <f>IF(AC1201&lt;&gt;0,VLOOKUP(AC1201,DM_NV,2,0),"")</f>
        <v/>
      </c>
      <c r="AE1201" s="83"/>
      <c r="AF1201" s="64" t="str">
        <f>IF(AE1201&lt;&gt;0,VLOOKUP(AE1201,DM_NV,2,0),"")</f>
        <v/>
      </c>
    </row>
    <row r="1202">
      <c r="A1202" s="51"/>
      <c r="B1202" s="52" t="str">
        <f>IF(D1202="","",VLOOKUP(D1202,'THAM CHIẾU'!$A:$B,2,0))</f>
        <v>#N/A</v>
      </c>
      <c r="C1202" s="53" t="str">
        <f t="shared" si="5"/>
        <v>05/2022</v>
      </c>
      <c r="D1202" s="99">
        <v>44710.0</v>
      </c>
      <c r="E1202" s="55" t="s">
        <v>1186</v>
      </c>
      <c r="F1202" s="56"/>
      <c r="G1202" s="57" t="s">
        <v>249</v>
      </c>
      <c r="H1202" s="58" t="str">
        <f>IF(G1202="","",VLOOKUP($G1202,'Quy chuẩn hạch toán'!$B:$E,2,0))</f>
        <v>642</v>
      </c>
      <c r="I1202" s="58" t="str">
        <f>IF(H1202="","",VLOOKUP($G1202,'Quy chuẩn hạch toán'!$B:$E,3,0))</f>
        <v>331</v>
      </c>
      <c r="J1202" s="59">
        <v>1444333.0</v>
      </c>
      <c r="K1202" s="60"/>
      <c r="L1202" s="61"/>
      <c r="M1202" s="62"/>
      <c r="N1202" s="63"/>
      <c r="O1202" s="64" t="str">
        <f>IF($Q1202&lt;&gt;0,VLOOKUP($Q1202,DM_KM,3,0),"")</f>
        <v>THUEVP</v>
      </c>
      <c r="P1202" s="64">
        <f>IF($Q1202&lt;&gt;0,VLOOKUP($Q1202,DM_KM,5,0),"")</f>
        <v>642</v>
      </c>
      <c r="Q1202" s="65" t="s">
        <v>270</v>
      </c>
      <c r="R1202" s="64" t="str">
        <f>IF(S1202&lt;&gt;0,VLOOKUP(S1202,DM_DUAN,3,0),"")</f>
        <v>#N/A</v>
      </c>
      <c r="S1202" s="66" t="str">
        <f>IF(U1202&lt;&gt;0,VLOOKUP(U1202,DM_DUAN,3,0),"")</f>
        <v/>
      </c>
      <c r="T1202" s="64"/>
      <c r="U1202" s="93"/>
      <c r="V1202" s="64" t="str">
        <f>IF(W1202&lt;&gt;0,VLOOKUP(W1202,DM_DUAN,3,0),"")</f>
        <v/>
      </c>
      <c r="W1202" s="68"/>
      <c r="X1202" s="64" t="str">
        <f>IF(Y1202&lt;&gt;0,VLOOKUP(Y1202,DM_DUAN,3,0),"")</f>
        <v>#N/A</v>
      </c>
      <c r="Y1202" s="69" t="s">
        <v>207</v>
      </c>
      <c r="Z1202" s="64" t="str">
        <f>IF(AA1202&lt;&gt;0,VLOOKUP(AA1202,DM_DUAN,3,0),"")</f>
        <v>#N/A</v>
      </c>
      <c r="AA1202" s="70" t="s">
        <v>183</v>
      </c>
      <c r="AB1202" s="64" t="str">
        <f>IF(AC1202&lt;&gt;0,VLOOKUP(AC1202,DM_DUAN,3,0),"")</f>
        <v/>
      </c>
      <c r="AC1202" s="85"/>
      <c r="AD1202" s="64" t="str">
        <f>IF(AC1202&lt;&gt;0,VLOOKUP(AC1202,DM_NV,2,0),"")</f>
        <v/>
      </c>
      <c r="AE1202" s="83"/>
      <c r="AF1202" s="64" t="str">
        <f>IF(AE1202&lt;&gt;0,VLOOKUP(AE1202,DM_NV,2,0),"")</f>
        <v/>
      </c>
    </row>
    <row r="1203">
      <c r="A1203" s="51"/>
      <c r="B1203" s="52" t="str">
        <f>IF(D1203="","",VLOOKUP(D1203,'THAM CHIẾU'!$A:$B,2,0))</f>
        <v>#N/A</v>
      </c>
      <c r="C1203" s="53" t="str">
        <f t="shared" si="5"/>
        <v>05/2022</v>
      </c>
      <c r="D1203" s="99">
        <v>44710.0</v>
      </c>
      <c r="E1203" s="55" t="s">
        <v>1187</v>
      </c>
      <c r="F1203" s="56"/>
      <c r="G1203" s="57" t="s">
        <v>249</v>
      </c>
      <c r="H1203" s="58" t="str">
        <f>IF(G1203="","",VLOOKUP($G1203,'Quy chuẩn hạch toán'!$B:$E,2,0))</f>
        <v>642</v>
      </c>
      <c r="I1203" s="58" t="str">
        <f>IF(H1203="","",VLOOKUP($G1203,'Quy chuẩn hạch toán'!$B:$E,3,0))</f>
        <v>331</v>
      </c>
      <c r="J1203" s="59">
        <v>888889.0</v>
      </c>
      <c r="K1203" s="60"/>
      <c r="L1203" s="61"/>
      <c r="M1203" s="62"/>
      <c r="N1203" s="63"/>
      <c r="O1203" s="64" t="str">
        <f>IF($Q1203&lt;&gt;0,VLOOKUP($Q1203,DM_KM,3,0),"")</f>
        <v>THUEVP</v>
      </c>
      <c r="P1203" s="64">
        <f>IF($Q1203&lt;&gt;0,VLOOKUP($Q1203,DM_KM,5,0),"")</f>
        <v>642</v>
      </c>
      <c r="Q1203" s="65" t="s">
        <v>270</v>
      </c>
      <c r="R1203" s="64" t="str">
        <f>IF(S1203&lt;&gt;0,VLOOKUP(S1203,DM_DUAN,3,0),"")</f>
        <v>#N/A</v>
      </c>
      <c r="S1203" s="66" t="str">
        <f>IF(U1203&lt;&gt;0,VLOOKUP(U1203,DM_DUAN,3,0),"")</f>
        <v/>
      </c>
      <c r="T1203" s="64"/>
      <c r="U1203" s="93"/>
      <c r="V1203" s="64" t="str">
        <f>IF(W1203&lt;&gt;0,VLOOKUP(W1203,DM_DUAN,3,0),"")</f>
        <v/>
      </c>
      <c r="W1203" s="68"/>
      <c r="X1203" s="64" t="str">
        <f>IF(Y1203&lt;&gt;0,VLOOKUP(Y1203,DM_DUAN,3,0),"")</f>
        <v>#N/A</v>
      </c>
      <c r="Y1203" s="69" t="s">
        <v>207</v>
      </c>
      <c r="Z1203" s="64" t="str">
        <f>IF(AA1203&lt;&gt;0,VLOOKUP(AA1203,DM_DUAN,3,0),"")</f>
        <v>#N/A</v>
      </c>
      <c r="AA1203" s="70" t="s">
        <v>183</v>
      </c>
      <c r="AB1203" s="64" t="str">
        <f>IF(AC1203&lt;&gt;0,VLOOKUP(AC1203,DM_DUAN,3,0),"")</f>
        <v/>
      </c>
      <c r="AC1203" s="85"/>
      <c r="AD1203" s="64" t="str">
        <f>IF(AC1203&lt;&gt;0,VLOOKUP(AC1203,DM_NV,2,0),"")</f>
        <v/>
      </c>
      <c r="AE1203" s="83"/>
      <c r="AF1203" s="64" t="str">
        <f>IF(AE1203&lt;&gt;0,VLOOKUP(AE1203,DM_NV,2,0),"")</f>
        <v/>
      </c>
    </row>
    <row r="1204">
      <c r="A1204" s="51"/>
      <c r="B1204" s="52" t="str">
        <f>IF(D1204="","",VLOOKUP(D1204,'THAM CHIẾU'!$A:$B,2,0))</f>
        <v/>
      </c>
      <c r="C1204" s="53" t="str">
        <f t="shared" si="5"/>
        <v/>
      </c>
      <c r="D1204" s="99"/>
      <c r="E1204" s="91"/>
      <c r="F1204" s="92"/>
      <c r="G1204" s="57"/>
      <c r="H1204" s="58" t="str">
        <f>IF(G1204="","",VLOOKUP($G1204,'Quy chuẩn hạch toán'!$B:$E,2,0))</f>
        <v/>
      </c>
      <c r="I1204" s="58" t="str">
        <f>IF(H1204="","",VLOOKUP($G1204,'Quy chuẩn hạch toán'!$B:$E,3,0))</f>
        <v/>
      </c>
      <c r="J1204" s="95"/>
      <c r="K1204" s="60"/>
      <c r="L1204" s="61"/>
      <c r="M1204" s="62"/>
      <c r="N1204" s="63"/>
      <c r="O1204" s="64" t="str">
        <f>IF($Q1204&lt;&gt;0,VLOOKUP($Q1204,DM_KM,3,0),"")</f>
        <v/>
      </c>
      <c r="P1204" s="64" t="str">
        <f>IF($Q1204&lt;&gt;0,VLOOKUP($Q1204,DM_KM,5,0),"")</f>
        <v/>
      </c>
      <c r="Q1204" s="65"/>
      <c r="R1204" s="64" t="str">
        <f>IF(S1204&lt;&gt;0,VLOOKUP(S1204,DM_DUAN,3,0),"")</f>
        <v>#N/A</v>
      </c>
      <c r="S1204" s="66" t="str">
        <f>IF(U1204&lt;&gt;0,VLOOKUP(U1204,DM_DUAN,3,0),"")</f>
        <v/>
      </c>
      <c r="T1204" s="64"/>
      <c r="U1204" s="93"/>
      <c r="V1204" s="64" t="str">
        <f>IF(W1204&lt;&gt;0,VLOOKUP(W1204,DM_DUAN,3,0),"")</f>
        <v/>
      </c>
      <c r="W1204" s="68"/>
      <c r="X1204" s="64" t="str">
        <f>IF(Y1204&lt;&gt;0,VLOOKUP(Y1204,DM_DUAN,3,0),"")</f>
        <v/>
      </c>
      <c r="Y1204" s="84"/>
      <c r="Z1204" s="64" t="str">
        <f>IF(AA1204&lt;&gt;0,VLOOKUP(AA1204,DM_DUAN,3,0),"")</f>
        <v/>
      </c>
      <c r="AA1204" s="131"/>
      <c r="AB1204" s="64" t="str">
        <f>IF(AC1204&lt;&gt;0,VLOOKUP(AC1204,DM_DUAN,3,0),"")</f>
        <v/>
      </c>
      <c r="AC1204" s="85"/>
      <c r="AD1204" s="64" t="str">
        <f>IF(AC1204&lt;&gt;0,VLOOKUP(AC1204,DM_NV,2,0),"")</f>
        <v/>
      </c>
      <c r="AE1204" s="68"/>
      <c r="AF1204" s="64" t="str">
        <f>IF(AE1204&lt;&gt;0,VLOOKUP(AE1204,DM_NV,2,0),"")</f>
        <v/>
      </c>
    </row>
    <row r="1205">
      <c r="A1205" s="51"/>
      <c r="B1205" s="52" t="str">
        <f>IF(D1205="","",VLOOKUP(D1205,'THAM CHIẾU'!$A:$B,2,0))</f>
        <v/>
      </c>
      <c r="C1205" s="53" t="str">
        <f t="shared" si="5"/>
        <v/>
      </c>
      <c r="D1205" s="99"/>
      <c r="E1205" s="91"/>
      <c r="F1205" s="92"/>
      <c r="G1205" s="57"/>
      <c r="H1205" s="58" t="str">
        <f>IF(G1205="","",VLOOKUP($G1205,'Quy chuẩn hạch toán'!$B:$E,2,0))</f>
        <v/>
      </c>
      <c r="I1205" s="58" t="str">
        <f>IF(H1205="","",VLOOKUP($G1205,'Quy chuẩn hạch toán'!$B:$E,3,0))</f>
        <v/>
      </c>
      <c r="J1205" s="95"/>
      <c r="K1205" s="60"/>
      <c r="L1205" s="61"/>
      <c r="M1205" s="62"/>
      <c r="N1205" s="63"/>
      <c r="O1205" s="64" t="str">
        <f>IF($Q1205&lt;&gt;0,VLOOKUP($Q1205,DM_KM,3,0),"")</f>
        <v/>
      </c>
      <c r="P1205" s="64" t="str">
        <f>IF($Q1205&lt;&gt;0,VLOOKUP($Q1205,DM_KM,5,0),"")</f>
        <v/>
      </c>
      <c r="Q1205" s="65"/>
      <c r="R1205" s="64" t="str">
        <f>IF(S1205&lt;&gt;0,VLOOKUP(S1205,DM_DUAN,3,0),"")</f>
        <v>#N/A</v>
      </c>
      <c r="S1205" s="66" t="str">
        <f>IF(U1205&lt;&gt;0,VLOOKUP(U1205,DM_DUAN,3,0),"")</f>
        <v/>
      </c>
      <c r="T1205" s="64"/>
      <c r="U1205" s="93"/>
      <c r="V1205" s="64" t="str">
        <f>IF(W1205&lt;&gt;0,VLOOKUP(W1205,DM_DUAN,3,0),"")</f>
        <v/>
      </c>
      <c r="W1205" s="68"/>
      <c r="X1205" s="64" t="str">
        <f>IF(Y1205&lt;&gt;0,VLOOKUP(Y1205,DM_DUAN,3,0),"")</f>
        <v/>
      </c>
      <c r="Y1205" s="84"/>
      <c r="Z1205" s="64" t="str">
        <f>IF(AA1205&lt;&gt;0,VLOOKUP(AA1205,DM_DUAN,3,0),"")</f>
        <v/>
      </c>
      <c r="AA1205" s="131"/>
      <c r="AB1205" s="64" t="str">
        <f>IF(AC1205&lt;&gt;0,VLOOKUP(AC1205,DM_DUAN,3,0),"")</f>
        <v/>
      </c>
      <c r="AC1205" s="85"/>
      <c r="AD1205" s="64" t="str">
        <f>IF(AC1205&lt;&gt;0,VLOOKUP(AC1205,DM_NV,2,0),"")</f>
        <v/>
      </c>
      <c r="AE1205" s="68"/>
      <c r="AF1205" s="64" t="str">
        <f>IF(AE1205&lt;&gt;0,VLOOKUP(AE1205,DM_NV,2,0),"")</f>
        <v/>
      </c>
    </row>
    <row r="1206">
      <c r="A1206" s="51"/>
      <c r="B1206" s="52" t="str">
        <f>IF(D1206="","",VLOOKUP(D1206,'THAM CHIẾU'!$A:$B,2,0))</f>
        <v/>
      </c>
      <c r="C1206" s="53" t="str">
        <f t="shared" si="5"/>
        <v/>
      </c>
      <c r="D1206" s="54"/>
      <c r="E1206" s="91"/>
      <c r="F1206" s="92"/>
      <c r="G1206" s="90"/>
      <c r="H1206" s="58" t="str">
        <f>IF(G1206="","",VLOOKUP($G1206,'Quy chuẩn hạch toán'!$B:$E,2,0))</f>
        <v/>
      </c>
      <c r="I1206" s="58" t="str">
        <f>IF(H1206="","",VLOOKUP($G1206,'Quy chuẩn hạch toán'!$B:$E,3,0))</f>
        <v/>
      </c>
      <c r="J1206" s="95"/>
      <c r="K1206" s="60"/>
      <c r="L1206" s="61"/>
      <c r="M1206" s="62"/>
      <c r="N1206" s="63"/>
      <c r="O1206" s="64" t="str">
        <f>IF($Q1206&lt;&gt;0,VLOOKUP($Q1206,DM_KM,3,0),"")</f>
        <v/>
      </c>
      <c r="P1206" s="64" t="str">
        <f>IF($Q1206&lt;&gt;0,VLOOKUP($Q1206,DM_KM,5,0),"")</f>
        <v/>
      </c>
      <c r="Q1206" s="89"/>
      <c r="R1206" s="64" t="str">
        <f>IF(S1206&lt;&gt;0,VLOOKUP(S1206,DM_DUAN,3,0),"")</f>
        <v>#N/A</v>
      </c>
      <c r="S1206" s="66" t="str">
        <f>IF(U1206&lt;&gt;0,VLOOKUP(U1206,DM_DUAN,3,0),"")</f>
        <v/>
      </c>
      <c r="T1206" s="64"/>
      <c r="U1206" s="93"/>
      <c r="V1206" s="64" t="str">
        <f>IF(W1206&lt;&gt;0,VLOOKUP(W1206,DM_DUAN,3,0),"")</f>
        <v/>
      </c>
      <c r="W1206" s="68"/>
      <c r="X1206" s="64" t="str">
        <f>IF(Y1206&lt;&gt;0,VLOOKUP(Y1206,DM_DUAN,3,0),"")</f>
        <v/>
      </c>
      <c r="Y1206" s="84"/>
      <c r="Z1206" s="64" t="str">
        <f>IF(AA1206&lt;&gt;0,VLOOKUP(AA1206,DM_DUAN,3,0),"")</f>
        <v/>
      </c>
      <c r="AA1206" s="131"/>
      <c r="AB1206" s="64" t="str">
        <f>IF(AC1206&lt;&gt;0,VLOOKUP(AC1206,DM_DUAN,3,0),"")</f>
        <v/>
      </c>
      <c r="AC1206" s="85"/>
      <c r="AD1206" s="64" t="str">
        <f>IF(AC1206&lt;&gt;0,VLOOKUP(AC1206,DM_NV,2,0),"")</f>
        <v/>
      </c>
      <c r="AE1206" s="68"/>
      <c r="AF1206" s="64" t="str">
        <f>IF(AE1206&lt;&gt;0,VLOOKUP(AE1206,DM_NV,2,0),"")</f>
        <v/>
      </c>
    </row>
    <row r="1207">
      <c r="A1207" s="51"/>
      <c r="B1207" s="52" t="str">
        <f>IF(D1207="","",VLOOKUP(D1207,'THAM CHIẾU'!$A:$B,2,0))</f>
        <v>#N/A</v>
      </c>
      <c r="C1207" s="53" t="str">
        <f t="shared" si="5"/>
        <v>05/2022</v>
      </c>
      <c r="D1207" s="99">
        <v>44690.0</v>
      </c>
      <c r="E1207" s="55" t="s">
        <v>1168</v>
      </c>
      <c r="F1207" s="56"/>
      <c r="G1207" s="57" t="s">
        <v>205</v>
      </c>
      <c r="H1207" s="58" t="str">
        <f>IF(G1207="","",VLOOKUP($G1207,'Quy chuẩn hạch toán'!$B:$E,2,0))</f>
        <v>642</v>
      </c>
      <c r="I1207" s="58" t="str">
        <f>IF(H1207="","",VLOOKUP($G1207,'Quy chuẩn hạch toán'!$B:$E,3,0))</f>
        <v>1111</v>
      </c>
      <c r="J1207" s="59">
        <v>150000.0</v>
      </c>
      <c r="K1207" s="60"/>
      <c r="L1207" s="61"/>
      <c r="M1207" s="62"/>
      <c r="N1207" s="63"/>
      <c r="O1207" s="64" t="str">
        <f>IF($Q1207&lt;&gt;0,VLOOKUP($Q1207,DM_KM,3,0),"")</f>
        <v>#N/A</v>
      </c>
      <c r="P1207" s="64" t="str">
        <f>IF($Q1207&lt;&gt;0,VLOOKUP($Q1207,DM_KM,5,0),"")</f>
        <v>#N/A</v>
      </c>
      <c r="Q1207" s="65" t="s">
        <v>206</v>
      </c>
      <c r="R1207" s="64" t="str">
        <f>IF(S1207&lt;&gt;0,VLOOKUP(S1207,DM_DUAN,3,0),"")</f>
        <v>#N/A</v>
      </c>
      <c r="S1207" s="66" t="str">
        <f>IF(U1207&lt;&gt;0,VLOOKUP(U1207,DM_DUAN,3,0),"")</f>
        <v/>
      </c>
      <c r="T1207" s="64"/>
      <c r="U1207" s="93"/>
      <c r="V1207" s="64" t="str">
        <f>IF(W1207&lt;&gt;0,VLOOKUP(W1207,DM_DUAN,3,0),"")</f>
        <v/>
      </c>
      <c r="W1207" s="68"/>
      <c r="X1207" s="64" t="str">
        <f>IF(Y1207&lt;&gt;0,VLOOKUP(Y1207,DM_DUAN,3,0),"")</f>
        <v>#N/A</v>
      </c>
      <c r="Y1207" s="69" t="s">
        <v>207</v>
      </c>
      <c r="Z1207" s="64" t="str">
        <f>IF(AA1207&lt;&gt;0,VLOOKUP(AA1207,DM_DUAN,3,0),"")</f>
        <v>#N/A</v>
      </c>
      <c r="AA1207" s="70" t="s">
        <v>177</v>
      </c>
      <c r="AB1207" s="64" t="str">
        <f>IF(AC1207&lt;&gt;0,VLOOKUP(AC1207,DM_DUAN,3,0),"")</f>
        <v/>
      </c>
      <c r="AC1207" s="85"/>
      <c r="AD1207" s="64" t="str">
        <f>IF(AC1207&lt;&gt;0,VLOOKUP(AC1207,DM_NV,2,0),"")</f>
        <v/>
      </c>
      <c r="AE1207" s="83" t="s">
        <v>209</v>
      </c>
      <c r="AF1207" s="64" t="str">
        <f>IF(AE1207&lt;&gt;0,VLOOKUP(AE1207,DM_NV,2,0),"")</f>
        <v>#N/A</v>
      </c>
    </row>
    <row r="1208">
      <c r="A1208" s="51"/>
      <c r="B1208" s="52" t="str">
        <f>IF(D1208="","",VLOOKUP(D1208,'THAM CHIẾU'!$A:$B,2,0))</f>
        <v>#N/A</v>
      </c>
      <c r="C1208" s="53" t="str">
        <f t="shared" si="5"/>
        <v>05/2022</v>
      </c>
      <c r="D1208" s="99">
        <v>44691.0</v>
      </c>
      <c r="E1208" s="55" t="s">
        <v>1188</v>
      </c>
      <c r="F1208" s="56"/>
      <c r="G1208" s="57" t="s">
        <v>225</v>
      </c>
      <c r="H1208" s="58" t="str">
        <f>IF(G1208="","",VLOOKUP($G1208,'Quy chuẩn hạch toán'!$B:$E,2,0))</f>
        <v>154</v>
      </c>
      <c r="I1208" s="58" t="str">
        <f>IF(H1208="","",VLOOKUP($G1208,'Quy chuẩn hạch toán'!$B:$E,3,0))</f>
        <v>1111</v>
      </c>
      <c r="J1208" s="59">
        <v>250000.0</v>
      </c>
      <c r="K1208" s="60"/>
      <c r="L1208" s="61"/>
      <c r="M1208" s="62"/>
      <c r="N1208" s="63"/>
      <c r="O1208" s="64" t="str">
        <f>IF($Q1208&lt;&gt;0,VLOOKUP($Q1208,DM_KM,3,0),"")</f>
        <v>#N/A</v>
      </c>
      <c r="P1208" s="64" t="str">
        <f>IF($Q1208&lt;&gt;0,VLOOKUP($Q1208,DM_KM,5,0),"")</f>
        <v>#N/A</v>
      </c>
      <c r="Q1208" s="65" t="s">
        <v>1170</v>
      </c>
      <c r="R1208" s="64" t="str">
        <f>IF(S1208&lt;&gt;0,VLOOKUP(S1208,DM_DUAN,3,0),"")</f>
        <v>#N/A</v>
      </c>
      <c r="S1208" s="66" t="str">
        <f>IF(U1208&lt;&gt;0,VLOOKUP(U1208,DM_DUAN,3,0),"")</f>
        <v>CLOUDLAND</v>
      </c>
      <c r="T1208" s="64"/>
      <c r="U1208" s="67" t="s">
        <v>956</v>
      </c>
      <c r="V1208" s="64" t="str">
        <f>IF(W1208&lt;&gt;0,VLOOKUP(W1208,DM_DUAN,3,0),"")</f>
        <v/>
      </c>
      <c r="W1208" s="68"/>
      <c r="X1208" s="64" t="str">
        <f>IF(Y1208&lt;&gt;0,VLOOKUP(Y1208,DM_DUAN,3,0),"")</f>
        <v>#N/A</v>
      </c>
      <c r="Y1208" s="69" t="s">
        <v>176</v>
      </c>
      <c r="Z1208" s="64" t="str">
        <f>IF(AA1208&lt;&gt;0,VLOOKUP(AA1208,DM_DUAN,3,0),"")</f>
        <v>#N/A</v>
      </c>
      <c r="AA1208" s="70" t="s">
        <v>177</v>
      </c>
      <c r="AB1208" s="64" t="str">
        <f>IF(AC1208&lt;&gt;0,VLOOKUP(AC1208,DM_DUAN,3,0),"")</f>
        <v/>
      </c>
      <c r="AC1208" s="85"/>
      <c r="AD1208" s="64" t="str">
        <f>IF(AC1208&lt;&gt;0,VLOOKUP(AC1208,DM_NV,2,0),"")</f>
        <v/>
      </c>
      <c r="AE1208" s="83" t="s">
        <v>610</v>
      </c>
      <c r="AF1208" s="64" t="str">
        <f>IF(AE1208&lt;&gt;0,VLOOKUP(AE1208,DM_NV,2,0),"")</f>
        <v>#N/A</v>
      </c>
    </row>
    <row r="1209">
      <c r="A1209" s="51"/>
      <c r="B1209" s="52" t="str">
        <f>IF(D1209="","",VLOOKUP(D1209,'THAM CHIẾU'!$A:$B,2,0))</f>
        <v>#N/A</v>
      </c>
      <c r="C1209" s="53" t="str">
        <f t="shared" si="5"/>
        <v>05/2022</v>
      </c>
      <c r="D1209" s="99">
        <v>44691.0</v>
      </c>
      <c r="E1209" s="55" t="s">
        <v>1189</v>
      </c>
      <c r="F1209" s="56"/>
      <c r="G1209" s="57" t="s">
        <v>225</v>
      </c>
      <c r="H1209" s="58" t="str">
        <f>IF(G1209="","",VLOOKUP($G1209,'Quy chuẩn hạch toán'!$B:$E,2,0))</f>
        <v>154</v>
      </c>
      <c r="I1209" s="58" t="str">
        <f>IF(H1209="","",VLOOKUP($G1209,'Quy chuẩn hạch toán'!$B:$E,3,0))</f>
        <v>1111</v>
      </c>
      <c r="J1209" s="59">
        <v>4743000.0</v>
      </c>
      <c r="K1209" s="60"/>
      <c r="L1209" s="61"/>
      <c r="M1209" s="62"/>
      <c r="N1209" s="63"/>
      <c r="O1209" s="64" t="str">
        <f>IF($Q1209&lt;&gt;0,VLOOKUP($Q1209,DM_KM,3,0),"")</f>
        <v>#N/A</v>
      </c>
      <c r="P1209" s="64" t="str">
        <f>IF($Q1209&lt;&gt;0,VLOOKUP($Q1209,DM_KM,5,0),"")</f>
        <v>#N/A</v>
      </c>
      <c r="Q1209" s="65" t="s">
        <v>1170</v>
      </c>
      <c r="R1209" s="64" t="str">
        <f>IF(S1209&lt;&gt;0,VLOOKUP(S1209,DM_DUAN,3,0),"")</f>
        <v>#N/A</v>
      </c>
      <c r="S1209" s="66" t="str">
        <f>IF(U1209&lt;&gt;0,VLOOKUP(U1209,DM_DUAN,3,0),"")</f>
        <v>CLOUDLAND</v>
      </c>
      <c r="T1209" s="64"/>
      <c r="U1209" s="67" t="s">
        <v>956</v>
      </c>
      <c r="V1209" s="64" t="str">
        <f>IF(W1209&lt;&gt;0,VLOOKUP(W1209,DM_DUAN,3,0),"")</f>
        <v/>
      </c>
      <c r="W1209" s="68"/>
      <c r="X1209" s="64" t="str">
        <f>IF(Y1209&lt;&gt;0,VLOOKUP(Y1209,DM_DUAN,3,0),"")</f>
        <v>#N/A</v>
      </c>
      <c r="Y1209" s="69" t="s">
        <v>176</v>
      </c>
      <c r="Z1209" s="64" t="str">
        <f>IF(AA1209&lt;&gt;0,VLOOKUP(AA1209,DM_DUAN,3,0),"")</f>
        <v>#N/A</v>
      </c>
      <c r="AA1209" s="70" t="s">
        <v>177</v>
      </c>
      <c r="AB1209" s="64" t="str">
        <f>IF(AC1209&lt;&gt;0,VLOOKUP(AC1209,DM_DUAN,3,0),"")</f>
        <v/>
      </c>
      <c r="AC1209" s="85"/>
      <c r="AD1209" s="64" t="str">
        <f>IF(AC1209&lt;&gt;0,VLOOKUP(AC1209,DM_NV,2,0),"")</f>
        <v/>
      </c>
      <c r="AE1209" s="83" t="s">
        <v>610</v>
      </c>
      <c r="AF1209" s="64" t="str">
        <f>IF(AE1209&lt;&gt;0,VLOOKUP(AE1209,DM_NV,2,0),"")</f>
        <v>#N/A</v>
      </c>
    </row>
    <row r="1210">
      <c r="A1210" s="51"/>
      <c r="B1210" s="52" t="str">
        <f>IF(D1210="","",VLOOKUP(D1210,'THAM CHIẾU'!$A:$B,2,0))</f>
        <v>#N/A</v>
      </c>
      <c r="C1210" s="53" t="str">
        <f t="shared" si="5"/>
        <v>05/2022</v>
      </c>
      <c r="D1210" s="99">
        <v>44692.0</v>
      </c>
      <c r="E1210" s="55" t="s">
        <v>1171</v>
      </c>
      <c r="F1210" s="56"/>
      <c r="G1210" s="57" t="s">
        <v>205</v>
      </c>
      <c r="H1210" s="58" t="str">
        <f>IF(G1210="","",VLOOKUP($G1210,'Quy chuẩn hạch toán'!$B:$E,2,0))</f>
        <v>642</v>
      </c>
      <c r="I1210" s="58" t="str">
        <f>IF(H1210="","",VLOOKUP($G1210,'Quy chuẩn hạch toán'!$B:$E,3,0))</f>
        <v>1111</v>
      </c>
      <c r="J1210" s="59">
        <v>86944.0</v>
      </c>
      <c r="K1210" s="60"/>
      <c r="L1210" s="61"/>
      <c r="M1210" s="62"/>
      <c r="N1210" s="63"/>
      <c r="O1210" s="64" t="str">
        <f>IF($Q1210&lt;&gt;0,VLOOKUP($Q1210,DM_KM,3,0),"")</f>
        <v>#N/A</v>
      </c>
      <c r="P1210" s="64" t="str">
        <f>IF($Q1210&lt;&gt;0,VLOOKUP($Q1210,DM_KM,5,0),"")</f>
        <v>#N/A</v>
      </c>
      <c r="Q1210" s="65" t="s">
        <v>222</v>
      </c>
      <c r="R1210" s="64" t="str">
        <f>IF(S1210&lt;&gt;0,VLOOKUP(S1210,DM_DUAN,3,0),"")</f>
        <v>#N/A</v>
      </c>
      <c r="S1210" s="66" t="str">
        <f>IF(U1210&lt;&gt;0,VLOOKUP(U1210,DM_DUAN,3,0),"")</f>
        <v/>
      </c>
      <c r="T1210" s="64"/>
      <c r="U1210" s="93"/>
      <c r="V1210" s="64" t="str">
        <f>IF(W1210&lt;&gt;0,VLOOKUP(W1210,DM_DUAN,3,0),"")</f>
        <v/>
      </c>
      <c r="W1210" s="68"/>
      <c r="X1210" s="64" t="str">
        <f>IF(Y1210&lt;&gt;0,VLOOKUP(Y1210,DM_DUAN,3,0),"")</f>
        <v>#N/A</v>
      </c>
      <c r="Y1210" s="69" t="s">
        <v>207</v>
      </c>
      <c r="Z1210" s="64" t="str">
        <f>IF(AA1210&lt;&gt;0,VLOOKUP(AA1210,DM_DUAN,3,0),"")</f>
        <v>#N/A</v>
      </c>
      <c r="AA1210" s="70" t="s">
        <v>177</v>
      </c>
      <c r="AB1210" s="64" t="str">
        <f>IF(AC1210&lt;&gt;0,VLOOKUP(AC1210,DM_DUAN,3,0),"")</f>
        <v/>
      </c>
      <c r="AC1210" s="85"/>
      <c r="AD1210" s="64" t="str">
        <f>IF(AC1210&lt;&gt;0,VLOOKUP(AC1210,DM_NV,2,0),"")</f>
        <v/>
      </c>
      <c r="AE1210" s="83" t="s">
        <v>223</v>
      </c>
      <c r="AF1210" s="64" t="str">
        <f>IF(AE1210&lt;&gt;0,VLOOKUP(AE1210,DM_NV,2,0),"")</f>
        <v>#N/A</v>
      </c>
    </row>
    <row r="1211">
      <c r="A1211" s="51"/>
      <c r="B1211" s="52" t="str">
        <f>IF(D1211="","",VLOOKUP(D1211,'THAM CHIẾU'!$A:$B,2,0))</f>
        <v>#N/A</v>
      </c>
      <c r="C1211" s="53" t="str">
        <f t="shared" si="5"/>
        <v>05/2022</v>
      </c>
      <c r="D1211" s="99">
        <v>44695.0</v>
      </c>
      <c r="E1211" s="55" t="s">
        <v>1172</v>
      </c>
      <c r="F1211" s="56"/>
      <c r="G1211" s="57" t="s">
        <v>205</v>
      </c>
      <c r="H1211" s="58" t="str">
        <f>IF(G1211="","",VLOOKUP($G1211,'Quy chuẩn hạch toán'!$B:$E,2,0))</f>
        <v>642</v>
      </c>
      <c r="I1211" s="58" t="str">
        <f>IF(H1211="","",VLOOKUP($G1211,'Quy chuẩn hạch toán'!$B:$E,3,0))</f>
        <v>1111</v>
      </c>
      <c r="J1211" s="59">
        <v>75000.0</v>
      </c>
      <c r="K1211" s="60"/>
      <c r="L1211" s="61"/>
      <c r="M1211" s="62"/>
      <c r="N1211" s="63"/>
      <c r="O1211" s="64" t="str">
        <f>IF($Q1211&lt;&gt;0,VLOOKUP($Q1211,DM_KM,3,0),"")</f>
        <v>#N/A</v>
      </c>
      <c r="P1211" s="64" t="str">
        <f>IF($Q1211&lt;&gt;0,VLOOKUP($Q1211,DM_KM,5,0),"")</f>
        <v>#N/A</v>
      </c>
      <c r="Q1211" s="65" t="s">
        <v>219</v>
      </c>
      <c r="R1211" s="64" t="str">
        <f>IF(S1211&lt;&gt;0,VLOOKUP(S1211,DM_DUAN,3,0),"")</f>
        <v>#N/A</v>
      </c>
      <c r="S1211" s="66" t="str">
        <f>IF(U1211&lt;&gt;0,VLOOKUP(U1211,DM_DUAN,3,0),"")</f>
        <v/>
      </c>
      <c r="T1211" s="64"/>
      <c r="U1211" s="93"/>
      <c r="V1211" s="64" t="str">
        <f>IF(W1211&lt;&gt;0,VLOOKUP(W1211,DM_DUAN,3,0),"")</f>
        <v/>
      </c>
      <c r="W1211" s="68"/>
      <c r="X1211" s="64" t="str">
        <f>IF(Y1211&lt;&gt;0,VLOOKUP(Y1211,DM_DUAN,3,0),"")</f>
        <v>#N/A</v>
      </c>
      <c r="Y1211" s="69" t="s">
        <v>207</v>
      </c>
      <c r="Z1211" s="64" t="str">
        <f>IF(AA1211&lt;&gt;0,VLOOKUP(AA1211,DM_DUAN,3,0),"")</f>
        <v>#N/A</v>
      </c>
      <c r="AA1211" s="70" t="s">
        <v>177</v>
      </c>
      <c r="AB1211" s="64" t="str">
        <f>IF(AC1211&lt;&gt;0,VLOOKUP(AC1211,DM_DUAN,3,0),"")</f>
        <v/>
      </c>
      <c r="AC1211" s="85"/>
      <c r="AD1211" s="64" t="str">
        <f>IF(AC1211&lt;&gt;0,VLOOKUP(AC1211,DM_NV,2,0),"")</f>
        <v/>
      </c>
      <c r="AE1211" s="83" t="s">
        <v>220</v>
      </c>
      <c r="AF1211" s="64" t="str">
        <f>IF(AE1211&lt;&gt;0,VLOOKUP(AE1211,DM_NV,2,0),"")</f>
        <v>#N/A</v>
      </c>
    </row>
    <row r="1212">
      <c r="A1212" s="51"/>
      <c r="B1212" s="52" t="str">
        <f>IF(D1212="","",VLOOKUP(D1212,'THAM CHIẾU'!$A:$B,2,0))</f>
        <v>#N/A</v>
      </c>
      <c r="C1212" s="53" t="str">
        <f t="shared" si="5"/>
        <v>05/2022</v>
      </c>
      <c r="D1212" s="99">
        <v>44698.0</v>
      </c>
      <c r="E1212" s="55" t="s">
        <v>1173</v>
      </c>
      <c r="F1212" s="56"/>
      <c r="G1212" s="57" t="s">
        <v>205</v>
      </c>
      <c r="H1212" s="58" t="str">
        <f>IF(G1212="","",VLOOKUP($G1212,'Quy chuẩn hạch toán'!$B:$E,2,0))</f>
        <v>642</v>
      </c>
      <c r="I1212" s="58" t="str">
        <f>IF(H1212="","",VLOOKUP($G1212,'Quy chuẩn hạch toán'!$B:$E,3,0))</f>
        <v>1111</v>
      </c>
      <c r="J1212" s="59">
        <v>273863.0</v>
      </c>
      <c r="K1212" s="60"/>
      <c r="L1212" s="61"/>
      <c r="M1212" s="62"/>
      <c r="N1212" s="63"/>
      <c r="O1212" s="64" t="str">
        <f>IF($Q1212&lt;&gt;0,VLOOKUP($Q1212,DM_KM,3,0),"")</f>
        <v>#N/A</v>
      </c>
      <c r="P1212" s="64" t="str">
        <f>IF($Q1212&lt;&gt;0,VLOOKUP($Q1212,DM_KM,5,0),"")</f>
        <v>#N/A</v>
      </c>
      <c r="Q1212" s="65" t="s">
        <v>262</v>
      </c>
      <c r="R1212" s="64" t="str">
        <f>IF(S1212&lt;&gt;0,VLOOKUP(S1212,DM_DUAN,3,0),"")</f>
        <v>#N/A</v>
      </c>
      <c r="S1212" s="66" t="str">
        <f>IF(U1212&lt;&gt;0,VLOOKUP(U1212,DM_DUAN,3,0),"")</f>
        <v/>
      </c>
      <c r="T1212" s="64"/>
      <c r="U1212" s="93"/>
      <c r="V1212" s="64" t="str">
        <f>IF(W1212&lt;&gt;0,VLOOKUP(W1212,DM_DUAN,3,0),"")</f>
        <v/>
      </c>
      <c r="W1212" s="68"/>
      <c r="X1212" s="64" t="str">
        <f>IF(Y1212&lt;&gt;0,VLOOKUP(Y1212,DM_DUAN,3,0),"")</f>
        <v>#N/A</v>
      </c>
      <c r="Y1212" s="69" t="s">
        <v>207</v>
      </c>
      <c r="Z1212" s="64" t="str">
        <f>IF(AA1212&lt;&gt;0,VLOOKUP(AA1212,DM_DUAN,3,0),"")</f>
        <v>#N/A</v>
      </c>
      <c r="AA1212" s="70" t="s">
        <v>177</v>
      </c>
      <c r="AB1212" s="64" t="str">
        <f>IF(AC1212&lt;&gt;0,VLOOKUP(AC1212,DM_DUAN,3,0),"")</f>
        <v/>
      </c>
      <c r="AC1212" s="85"/>
      <c r="AD1212" s="64" t="str">
        <f>IF(AC1212&lt;&gt;0,VLOOKUP(AC1212,DM_NV,2,0),"")</f>
        <v/>
      </c>
      <c r="AE1212" s="83" t="s">
        <v>1174</v>
      </c>
      <c r="AF1212" s="64" t="str">
        <f>IF(AE1212&lt;&gt;0,VLOOKUP(AE1212,DM_NV,2,0),"")</f>
        <v>#N/A</v>
      </c>
    </row>
    <row r="1213">
      <c r="A1213" s="51"/>
      <c r="B1213" s="52" t="str">
        <f>IF(D1213="","",VLOOKUP(D1213,'THAM CHIẾU'!$A:$B,2,0))</f>
        <v>#N/A</v>
      </c>
      <c r="C1213" s="53" t="str">
        <f t="shared" si="5"/>
        <v>05/2022</v>
      </c>
      <c r="D1213" s="99">
        <v>44709.0</v>
      </c>
      <c r="E1213" s="55" t="s">
        <v>1175</v>
      </c>
      <c r="F1213" s="56"/>
      <c r="G1213" s="57" t="s">
        <v>205</v>
      </c>
      <c r="H1213" s="58" t="str">
        <f>IF(G1213="","",VLOOKUP($G1213,'Quy chuẩn hạch toán'!$B:$E,2,0))</f>
        <v>642</v>
      </c>
      <c r="I1213" s="58" t="str">
        <f>IF(H1213="","",VLOOKUP($G1213,'Quy chuẩn hạch toán'!$B:$E,3,0))</f>
        <v>1111</v>
      </c>
      <c r="J1213" s="59">
        <v>83333.0</v>
      </c>
      <c r="K1213" s="60"/>
      <c r="L1213" s="61"/>
      <c r="M1213" s="62"/>
      <c r="N1213" s="63"/>
      <c r="O1213" s="64" t="str">
        <f>IF($Q1213&lt;&gt;0,VLOOKUP($Q1213,DM_KM,3,0),"")</f>
        <v>#N/A</v>
      </c>
      <c r="P1213" s="64" t="str">
        <f>IF($Q1213&lt;&gt;0,VLOOKUP($Q1213,DM_KM,5,0),"")</f>
        <v>#N/A</v>
      </c>
      <c r="Q1213" s="65" t="s">
        <v>226</v>
      </c>
      <c r="R1213" s="64" t="str">
        <f>IF(S1213&lt;&gt;0,VLOOKUP(S1213,DM_DUAN,3,0),"")</f>
        <v>#N/A</v>
      </c>
      <c r="S1213" s="66" t="str">
        <f>IF(U1213&lt;&gt;0,VLOOKUP(U1213,DM_DUAN,3,0),"")</f>
        <v/>
      </c>
      <c r="T1213" s="64"/>
      <c r="U1213" s="93"/>
      <c r="V1213" s="64" t="str">
        <f>IF(W1213&lt;&gt;0,VLOOKUP(W1213,DM_DUAN,3,0),"")</f>
        <v/>
      </c>
      <c r="W1213" s="68"/>
      <c r="X1213" s="64" t="str">
        <f>IF(Y1213&lt;&gt;0,VLOOKUP(Y1213,DM_DUAN,3,0),"")</f>
        <v>#N/A</v>
      </c>
      <c r="Y1213" s="69" t="s">
        <v>207</v>
      </c>
      <c r="Z1213" s="64" t="str">
        <f>IF(AA1213&lt;&gt;0,VLOOKUP(AA1213,DM_DUAN,3,0),"")</f>
        <v>#N/A</v>
      </c>
      <c r="AA1213" s="70" t="s">
        <v>177</v>
      </c>
      <c r="AB1213" s="64" t="str">
        <f>IF(AC1213&lt;&gt;0,VLOOKUP(AC1213,DM_DUAN,3,0),"")</f>
        <v/>
      </c>
      <c r="AC1213" s="85"/>
      <c r="AD1213" s="64" t="str">
        <f>IF(AC1213&lt;&gt;0,VLOOKUP(AC1213,DM_NV,2,0),"")</f>
        <v/>
      </c>
      <c r="AE1213" s="83" t="s">
        <v>1174</v>
      </c>
      <c r="AF1213" s="64" t="str">
        <f>IF(AE1213&lt;&gt;0,VLOOKUP(AE1213,DM_NV,2,0),"")</f>
        <v>#N/A</v>
      </c>
    </row>
    <row r="1214">
      <c r="A1214" s="51"/>
      <c r="B1214" s="52" t="str">
        <f>IF(D1214="","",VLOOKUP(D1214,'THAM CHIẾU'!$A:$B,2,0))</f>
        <v>#N/A</v>
      </c>
      <c r="C1214" s="53" t="str">
        <f t="shared" si="5"/>
        <v>05/2022</v>
      </c>
      <c r="D1214" s="99">
        <v>44699.0</v>
      </c>
      <c r="E1214" s="55" t="s">
        <v>1176</v>
      </c>
      <c r="F1214" s="56"/>
      <c r="G1214" s="57" t="s">
        <v>205</v>
      </c>
      <c r="H1214" s="58" t="str">
        <f>IF(G1214="","",VLOOKUP($G1214,'Quy chuẩn hạch toán'!$B:$E,2,0))</f>
        <v>642</v>
      </c>
      <c r="I1214" s="58" t="str">
        <f>IF(H1214="","",VLOOKUP($G1214,'Quy chuẩn hạch toán'!$B:$E,3,0))</f>
        <v>1111</v>
      </c>
      <c r="J1214" s="59">
        <v>1231780.0</v>
      </c>
      <c r="K1214" s="60"/>
      <c r="L1214" s="61"/>
      <c r="M1214" s="62"/>
      <c r="N1214" s="63"/>
      <c r="O1214" s="64" t="str">
        <f>IF($Q1214&lt;&gt;0,VLOOKUP($Q1214,DM_KM,3,0),"")</f>
        <v>#N/A</v>
      </c>
      <c r="P1214" s="64" t="str">
        <f>IF($Q1214&lt;&gt;0,VLOOKUP($Q1214,DM_KM,5,0),"")</f>
        <v>#N/A</v>
      </c>
      <c r="Q1214" s="65" t="s">
        <v>272</v>
      </c>
      <c r="R1214" s="64" t="str">
        <f>IF(S1214&lt;&gt;0,VLOOKUP(S1214,DM_DUAN,3,0),"")</f>
        <v>#N/A</v>
      </c>
      <c r="S1214" s="66" t="str">
        <f>IF(U1214&lt;&gt;0,VLOOKUP(U1214,DM_DUAN,3,0),"")</f>
        <v/>
      </c>
      <c r="T1214" s="64"/>
      <c r="U1214" s="93"/>
      <c r="V1214" s="64" t="str">
        <f>IF(W1214&lt;&gt;0,VLOOKUP(W1214,DM_DUAN,3,0),"")</f>
        <v/>
      </c>
      <c r="W1214" s="68"/>
      <c r="X1214" s="64" t="str">
        <f>IF(Y1214&lt;&gt;0,VLOOKUP(Y1214,DM_DUAN,3,0),"")</f>
        <v>#N/A</v>
      </c>
      <c r="Y1214" s="69" t="s">
        <v>207</v>
      </c>
      <c r="Z1214" s="64" t="str">
        <f>IF(AA1214&lt;&gt;0,VLOOKUP(AA1214,DM_DUAN,3,0),"")</f>
        <v>#N/A</v>
      </c>
      <c r="AA1214" s="70" t="s">
        <v>177</v>
      </c>
      <c r="AB1214" s="64" t="str">
        <f>IF(AC1214&lt;&gt;0,VLOOKUP(AC1214,DM_DUAN,3,0),"")</f>
        <v/>
      </c>
      <c r="AC1214" s="85"/>
      <c r="AD1214" s="64" t="str">
        <f>IF(AC1214&lt;&gt;0,VLOOKUP(AC1214,DM_NV,2,0),"")</f>
        <v/>
      </c>
      <c r="AE1214" s="83" t="s">
        <v>227</v>
      </c>
      <c r="AF1214" s="64" t="str">
        <f>IF(AE1214&lt;&gt;0,VLOOKUP(AE1214,DM_NV,2,0),"")</f>
        <v>#N/A</v>
      </c>
    </row>
    <row r="1215">
      <c r="A1215" s="51"/>
      <c r="B1215" s="52" t="str">
        <f>IF(D1215="","",VLOOKUP(D1215,'THAM CHIẾU'!$A:$B,2,0))</f>
        <v>#N/A</v>
      </c>
      <c r="C1215" s="53" t="str">
        <f t="shared" si="5"/>
        <v>05/2022</v>
      </c>
      <c r="D1215" s="99">
        <v>44710.0</v>
      </c>
      <c r="E1215" s="55" t="s">
        <v>1190</v>
      </c>
      <c r="F1215" s="56"/>
      <c r="G1215" s="57" t="s">
        <v>249</v>
      </c>
      <c r="H1215" s="58" t="str">
        <f>IF(G1215="","",VLOOKUP($G1215,'Quy chuẩn hạch toán'!$B:$E,2,0))</f>
        <v>642</v>
      </c>
      <c r="I1215" s="58" t="str">
        <f>IF(H1215="","",VLOOKUP($G1215,'Quy chuẩn hạch toán'!$B:$E,3,0))</f>
        <v>331</v>
      </c>
      <c r="J1215" s="59">
        <v>1.4E7</v>
      </c>
      <c r="K1215" s="60"/>
      <c r="L1215" s="61"/>
      <c r="M1215" s="62"/>
      <c r="N1215" s="63"/>
      <c r="O1215" s="64" t="str">
        <f>IF($Q1215&lt;&gt;0,VLOOKUP($Q1215,DM_KM,3,0),"")</f>
        <v>THUEVP</v>
      </c>
      <c r="P1215" s="64">
        <f>IF($Q1215&lt;&gt;0,VLOOKUP($Q1215,DM_KM,5,0),"")</f>
        <v>642</v>
      </c>
      <c r="Q1215" s="65" t="s">
        <v>270</v>
      </c>
      <c r="R1215" s="64" t="str">
        <f>IF(S1215&lt;&gt;0,VLOOKUP(S1215,DM_DUAN,3,0),"")</f>
        <v>#N/A</v>
      </c>
      <c r="S1215" s="66" t="str">
        <f>IF(U1215&lt;&gt;0,VLOOKUP(U1215,DM_DUAN,3,0),"")</f>
        <v/>
      </c>
      <c r="T1215" s="64"/>
      <c r="U1215" s="93"/>
      <c r="V1215" s="64" t="str">
        <f>IF(W1215&lt;&gt;0,VLOOKUP(W1215,DM_DUAN,3,0),"")</f>
        <v/>
      </c>
      <c r="W1215" s="68"/>
      <c r="X1215" s="64" t="str">
        <f>IF(Y1215&lt;&gt;0,VLOOKUP(Y1215,DM_DUAN,3,0),"")</f>
        <v>#N/A</v>
      </c>
      <c r="Y1215" s="69" t="s">
        <v>207</v>
      </c>
      <c r="Z1215" s="64" t="str">
        <f>IF(AA1215&lt;&gt;0,VLOOKUP(AA1215,DM_DUAN,3,0),"")</f>
        <v>#N/A</v>
      </c>
      <c r="AA1215" s="70" t="s">
        <v>177</v>
      </c>
      <c r="AB1215" s="64" t="str">
        <f>IF(AC1215&lt;&gt;0,VLOOKUP(AC1215,DM_DUAN,3,0),"")</f>
        <v/>
      </c>
      <c r="AC1215" s="85"/>
      <c r="AD1215" s="64" t="str">
        <f>IF(AC1215&lt;&gt;0,VLOOKUP(AC1215,DM_NV,2,0),"")</f>
        <v/>
      </c>
      <c r="AE1215" s="83"/>
      <c r="AF1215" s="64" t="str">
        <f>IF(AE1215&lt;&gt;0,VLOOKUP(AE1215,DM_NV,2,0),"")</f>
        <v/>
      </c>
    </row>
    <row r="1216">
      <c r="A1216" s="51"/>
      <c r="B1216" s="52" t="str">
        <f>IF(D1216="","",VLOOKUP(D1216,'THAM CHIẾU'!$A:$B,2,0))</f>
        <v>#N/A</v>
      </c>
      <c r="C1216" s="53" t="str">
        <f t="shared" si="5"/>
        <v>05/2022</v>
      </c>
      <c r="D1216" s="99">
        <v>44710.0</v>
      </c>
      <c r="E1216" s="55" t="s">
        <v>1191</v>
      </c>
      <c r="F1216" s="56"/>
      <c r="G1216" s="57" t="s">
        <v>249</v>
      </c>
      <c r="H1216" s="58" t="str">
        <f>IF(G1216="","",VLOOKUP($G1216,'Quy chuẩn hạch toán'!$B:$E,2,0))</f>
        <v>642</v>
      </c>
      <c r="I1216" s="58" t="str">
        <f>IF(H1216="","",VLOOKUP($G1216,'Quy chuẩn hạch toán'!$B:$E,3,0))</f>
        <v>331</v>
      </c>
      <c r="J1216" s="59">
        <v>1444333.0</v>
      </c>
      <c r="K1216" s="60"/>
      <c r="L1216" s="61"/>
      <c r="M1216" s="62"/>
      <c r="N1216" s="63"/>
      <c r="O1216" s="64" t="str">
        <f>IF($Q1216&lt;&gt;0,VLOOKUP($Q1216,DM_KM,3,0),"")</f>
        <v>THUEVP</v>
      </c>
      <c r="P1216" s="64">
        <f>IF($Q1216&lt;&gt;0,VLOOKUP($Q1216,DM_KM,5,0),"")</f>
        <v>642</v>
      </c>
      <c r="Q1216" s="65" t="s">
        <v>270</v>
      </c>
      <c r="R1216" s="64" t="str">
        <f>IF(S1216&lt;&gt;0,VLOOKUP(S1216,DM_DUAN,3,0),"")</f>
        <v>#N/A</v>
      </c>
      <c r="S1216" s="66" t="str">
        <f>IF(U1216&lt;&gt;0,VLOOKUP(U1216,DM_DUAN,3,0),"")</f>
        <v/>
      </c>
      <c r="T1216" s="64"/>
      <c r="U1216" s="93"/>
      <c r="V1216" s="64" t="str">
        <f>IF(W1216&lt;&gt;0,VLOOKUP(W1216,DM_DUAN,3,0),"")</f>
        <v/>
      </c>
      <c r="W1216" s="68"/>
      <c r="X1216" s="64" t="str">
        <f>IF(Y1216&lt;&gt;0,VLOOKUP(Y1216,DM_DUAN,3,0),"")</f>
        <v>#N/A</v>
      </c>
      <c r="Y1216" s="69" t="s">
        <v>207</v>
      </c>
      <c r="Z1216" s="64" t="str">
        <f>IF(AA1216&lt;&gt;0,VLOOKUP(AA1216,DM_DUAN,3,0),"")</f>
        <v>#N/A</v>
      </c>
      <c r="AA1216" s="70" t="s">
        <v>177</v>
      </c>
      <c r="AB1216" s="64" t="str">
        <f>IF(AC1216&lt;&gt;0,VLOOKUP(AC1216,DM_DUAN,3,0),"")</f>
        <v/>
      </c>
      <c r="AC1216" s="85"/>
      <c r="AD1216" s="64" t="str">
        <f>IF(AC1216&lt;&gt;0,VLOOKUP(AC1216,DM_NV,2,0),"")</f>
        <v/>
      </c>
      <c r="AE1216" s="83"/>
      <c r="AF1216" s="64" t="str">
        <f>IF(AE1216&lt;&gt;0,VLOOKUP(AE1216,DM_NV,2,0),"")</f>
        <v/>
      </c>
    </row>
    <row r="1217">
      <c r="A1217" s="51"/>
      <c r="B1217" s="52" t="str">
        <f>IF(D1217="","",VLOOKUP(D1217,'THAM CHIẾU'!$A:$B,2,0))</f>
        <v>#N/A</v>
      </c>
      <c r="C1217" s="53" t="str">
        <f t="shared" si="5"/>
        <v>05/2022</v>
      </c>
      <c r="D1217" s="99">
        <v>44710.0</v>
      </c>
      <c r="E1217" s="55" t="s">
        <v>1192</v>
      </c>
      <c r="F1217" s="56"/>
      <c r="G1217" s="57" t="s">
        <v>249</v>
      </c>
      <c r="H1217" s="58" t="str">
        <f>IF(G1217="","",VLOOKUP($G1217,'Quy chuẩn hạch toán'!$B:$E,2,0))</f>
        <v>642</v>
      </c>
      <c r="I1217" s="58" t="str">
        <f>IF(H1217="","",VLOOKUP($G1217,'Quy chuẩn hạch toán'!$B:$E,3,0))</f>
        <v>331</v>
      </c>
      <c r="J1217" s="59">
        <v>277778.0</v>
      </c>
      <c r="K1217" s="60"/>
      <c r="L1217" s="61"/>
      <c r="M1217" s="62"/>
      <c r="N1217" s="63"/>
      <c r="O1217" s="64" t="str">
        <f>IF($Q1217&lt;&gt;0,VLOOKUP($Q1217,DM_KM,3,0),"")</f>
        <v>THUEVP</v>
      </c>
      <c r="P1217" s="64">
        <f>IF($Q1217&lt;&gt;0,VLOOKUP($Q1217,DM_KM,5,0),"")</f>
        <v>642</v>
      </c>
      <c r="Q1217" s="65" t="s">
        <v>270</v>
      </c>
      <c r="R1217" s="64" t="str">
        <f>IF(S1217&lt;&gt;0,VLOOKUP(S1217,DM_DUAN,3,0),"")</f>
        <v>#N/A</v>
      </c>
      <c r="S1217" s="66" t="str">
        <f>IF(U1217&lt;&gt;0,VLOOKUP(U1217,DM_DUAN,3,0),"")</f>
        <v/>
      </c>
      <c r="T1217" s="64"/>
      <c r="U1217" s="93"/>
      <c r="V1217" s="64" t="str">
        <f>IF(W1217&lt;&gt;0,VLOOKUP(W1217,DM_DUAN,3,0),"")</f>
        <v/>
      </c>
      <c r="W1217" s="68"/>
      <c r="X1217" s="64" t="str">
        <f>IF(Y1217&lt;&gt;0,VLOOKUP(Y1217,DM_DUAN,3,0),"")</f>
        <v>#N/A</v>
      </c>
      <c r="Y1217" s="69" t="s">
        <v>207</v>
      </c>
      <c r="Z1217" s="64" t="str">
        <f>IF(AA1217&lt;&gt;0,VLOOKUP(AA1217,DM_DUAN,3,0),"")</f>
        <v>#N/A</v>
      </c>
      <c r="AA1217" s="70" t="s">
        <v>177</v>
      </c>
      <c r="AB1217" s="64" t="str">
        <f>IF(AC1217&lt;&gt;0,VLOOKUP(AC1217,DM_DUAN,3,0),"")</f>
        <v/>
      </c>
      <c r="AC1217" s="85"/>
      <c r="AD1217" s="64" t="str">
        <f>IF(AC1217&lt;&gt;0,VLOOKUP(AC1217,DM_NV,2,0),"")</f>
        <v/>
      </c>
      <c r="AE1217" s="83"/>
      <c r="AF1217" s="64" t="str">
        <f>IF(AE1217&lt;&gt;0,VLOOKUP(AE1217,DM_NV,2,0),"")</f>
        <v/>
      </c>
    </row>
    <row r="1218">
      <c r="A1218" s="51"/>
      <c r="B1218" s="52" t="str">
        <f>IF(D1218="","",VLOOKUP(D1218,'THAM CHIẾU'!$A:$B,2,0))</f>
        <v/>
      </c>
      <c r="C1218" s="53" t="str">
        <f t="shared" si="5"/>
        <v/>
      </c>
      <c r="D1218" s="54"/>
      <c r="E1218" s="91"/>
      <c r="F1218" s="92"/>
      <c r="G1218" s="90"/>
      <c r="H1218" s="58" t="str">
        <f>IF(G1218="","",VLOOKUP($G1218,'Quy chuẩn hạch toán'!$B:$E,2,0))</f>
        <v/>
      </c>
      <c r="I1218" s="58" t="str">
        <f>IF(H1218="","",VLOOKUP($G1218,'Quy chuẩn hạch toán'!$B:$E,3,0))</f>
        <v/>
      </c>
      <c r="J1218" s="95"/>
      <c r="K1218" s="60"/>
      <c r="L1218" s="61"/>
      <c r="M1218" s="62"/>
      <c r="N1218" s="63"/>
      <c r="O1218" s="64" t="str">
        <f>IF($Q1218&lt;&gt;0,VLOOKUP($Q1218,DM_KM,3,0),"")</f>
        <v/>
      </c>
      <c r="P1218" s="64" t="str">
        <f>IF($Q1218&lt;&gt;0,VLOOKUP($Q1218,DM_KM,5,0),"")</f>
        <v/>
      </c>
      <c r="Q1218" s="89"/>
      <c r="R1218" s="64" t="str">
        <f>IF(S1218&lt;&gt;0,VLOOKUP(S1218,DM_DUAN,3,0),"")</f>
        <v>#N/A</v>
      </c>
      <c r="S1218" s="66" t="str">
        <f>IF(U1218&lt;&gt;0,VLOOKUP(U1218,DM_DUAN,3,0),"")</f>
        <v/>
      </c>
      <c r="T1218" s="64"/>
      <c r="U1218" s="93"/>
      <c r="V1218" s="64" t="str">
        <f>IF(W1218&lt;&gt;0,VLOOKUP(W1218,DM_DUAN,3,0),"")</f>
        <v/>
      </c>
      <c r="W1218" s="68"/>
      <c r="X1218" s="64" t="str">
        <f>IF(Y1218&lt;&gt;0,VLOOKUP(Y1218,DM_DUAN,3,0),"")</f>
        <v/>
      </c>
      <c r="Y1218" s="84"/>
      <c r="Z1218" s="64" t="str">
        <f>IF(AA1218&lt;&gt;0,VLOOKUP(AA1218,DM_DUAN,3,0),"")</f>
        <v/>
      </c>
      <c r="AA1218" s="131"/>
      <c r="AB1218" s="64" t="str">
        <f>IF(AC1218&lt;&gt;0,VLOOKUP(AC1218,DM_DUAN,3,0),"")</f>
        <v/>
      </c>
      <c r="AC1218" s="85"/>
      <c r="AD1218" s="64" t="str">
        <f>IF(AC1218&lt;&gt;0,VLOOKUP(AC1218,DM_NV,2,0),"")</f>
        <v/>
      </c>
      <c r="AE1218" s="68"/>
      <c r="AF1218" s="64" t="str">
        <f>IF(AE1218&lt;&gt;0,VLOOKUP(AE1218,DM_NV,2,0),"")</f>
        <v/>
      </c>
    </row>
    <row r="1219">
      <c r="A1219" s="51"/>
      <c r="B1219" s="52" t="str">
        <f>IF(D1219="","",VLOOKUP(D1219,'THAM CHIẾU'!$A:$B,2,0))</f>
        <v/>
      </c>
      <c r="C1219" s="53" t="str">
        <f t="shared" si="5"/>
        <v/>
      </c>
      <c r="D1219" s="54"/>
      <c r="E1219" s="91"/>
      <c r="F1219" s="92"/>
      <c r="G1219" s="90"/>
      <c r="H1219" s="58" t="str">
        <f>IF(G1219="","",VLOOKUP($G1219,'Quy chuẩn hạch toán'!$B:$E,2,0))</f>
        <v/>
      </c>
      <c r="I1219" s="58" t="str">
        <f>IF(H1219="","",VLOOKUP($G1219,'Quy chuẩn hạch toán'!$B:$E,3,0))</f>
        <v/>
      </c>
      <c r="J1219" s="95"/>
      <c r="K1219" s="60"/>
      <c r="L1219" s="61"/>
      <c r="M1219" s="62"/>
      <c r="N1219" s="63"/>
      <c r="O1219" s="64" t="str">
        <f>IF($Q1219&lt;&gt;0,VLOOKUP($Q1219,DM_KM,3,0),"")</f>
        <v/>
      </c>
      <c r="P1219" s="64" t="str">
        <f>IF($Q1219&lt;&gt;0,VLOOKUP($Q1219,DM_KM,5,0),"")</f>
        <v/>
      </c>
      <c r="Q1219" s="89"/>
      <c r="R1219" s="64" t="str">
        <f>IF(S1219&lt;&gt;0,VLOOKUP(S1219,DM_DUAN,3,0),"")</f>
        <v>#N/A</v>
      </c>
      <c r="S1219" s="66" t="str">
        <f>IF(U1219&lt;&gt;0,VLOOKUP(U1219,DM_DUAN,3,0),"")</f>
        <v/>
      </c>
      <c r="T1219" s="64"/>
      <c r="U1219" s="93"/>
      <c r="V1219" s="64" t="str">
        <f>IF(W1219&lt;&gt;0,VLOOKUP(W1219,DM_DUAN,3,0),"")</f>
        <v/>
      </c>
      <c r="W1219" s="68"/>
      <c r="X1219" s="64" t="str">
        <f>IF(Y1219&lt;&gt;0,VLOOKUP(Y1219,DM_DUAN,3,0),"")</f>
        <v/>
      </c>
      <c r="Y1219" s="84"/>
      <c r="Z1219" s="64" t="str">
        <f>IF(AA1219&lt;&gt;0,VLOOKUP(AA1219,DM_DUAN,3,0),"")</f>
        <v/>
      </c>
      <c r="AA1219" s="131"/>
      <c r="AB1219" s="64" t="str">
        <f>IF(AC1219&lt;&gt;0,VLOOKUP(AC1219,DM_DUAN,3,0),"")</f>
        <v/>
      </c>
      <c r="AC1219" s="85"/>
      <c r="AD1219" s="64" t="str">
        <f>IF(AC1219&lt;&gt;0,VLOOKUP(AC1219,DM_NV,2,0),"")</f>
        <v/>
      </c>
      <c r="AE1219" s="68"/>
      <c r="AF1219" s="64" t="str">
        <f>IF(AE1219&lt;&gt;0,VLOOKUP(AE1219,DM_NV,2,0),"")</f>
        <v/>
      </c>
    </row>
    <row r="1220">
      <c r="A1220" s="51"/>
      <c r="B1220" s="52" t="str">
        <f>IF(D1220="","",VLOOKUP(D1220,'THAM CHIẾU'!$A:$B,2,0))</f>
        <v>#N/A</v>
      </c>
      <c r="C1220" s="53" t="str">
        <f t="shared" si="5"/>
        <v>05/2022</v>
      </c>
      <c r="D1220" s="99">
        <v>44690.0</v>
      </c>
      <c r="E1220" s="55" t="s">
        <v>1168</v>
      </c>
      <c r="F1220" s="56"/>
      <c r="G1220" s="57" t="s">
        <v>205</v>
      </c>
      <c r="H1220" s="58" t="str">
        <f>IF(G1220="","",VLOOKUP($G1220,'Quy chuẩn hạch toán'!$B:$E,2,0))</f>
        <v>642</v>
      </c>
      <c r="I1220" s="58" t="str">
        <f>IF(H1220="","",VLOOKUP($G1220,'Quy chuẩn hạch toán'!$B:$E,3,0))</f>
        <v>1111</v>
      </c>
      <c r="J1220" s="59">
        <v>210000.0</v>
      </c>
      <c r="K1220" s="60"/>
      <c r="L1220" s="61"/>
      <c r="M1220" s="62"/>
      <c r="N1220" s="63"/>
      <c r="O1220" s="64" t="str">
        <f>IF($Q1220&lt;&gt;0,VLOOKUP($Q1220,DM_KM,3,0),"")</f>
        <v>#N/A</v>
      </c>
      <c r="P1220" s="64" t="str">
        <f>IF($Q1220&lt;&gt;0,VLOOKUP($Q1220,DM_KM,5,0),"")</f>
        <v>#N/A</v>
      </c>
      <c r="Q1220" s="65" t="s">
        <v>206</v>
      </c>
      <c r="R1220" s="64" t="str">
        <f>IF(S1220&lt;&gt;0,VLOOKUP(S1220,DM_DUAN,3,0),"")</f>
        <v>#N/A</v>
      </c>
      <c r="S1220" s="66" t="str">
        <f>IF(U1220&lt;&gt;0,VLOOKUP(U1220,DM_DUAN,3,0),"")</f>
        <v/>
      </c>
      <c r="T1220" s="64"/>
      <c r="U1220" s="93"/>
      <c r="V1220" s="64" t="str">
        <f>IF(W1220&lt;&gt;0,VLOOKUP(W1220,DM_DUAN,3,0),"")</f>
        <v/>
      </c>
      <c r="W1220" s="68"/>
      <c r="X1220" s="64" t="str">
        <f>IF(Y1220&lt;&gt;0,VLOOKUP(Y1220,DM_DUAN,3,0),"")</f>
        <v>#N/A</v>
      </c>
      <c r="Y1220" s="157" t="s">
        <v>207</v>
      </c>
      <c r="Z1220" s="64" t="str">
        <f>IF(AA1220&lt;&gt;0,VLOOKUP(AA1220,DM_DUAN,3,0),"")</f>
        <v>#N/A</v>
      </c>
      <c r="AA1220" s="70" t="s">
        <v>210</v>
      </c>
      <c r="AB1220" s="64" t="str">
        <f>IF(AC1220&lt;&gt;0,VLOOKUP(AC1220,DM_DUAN,3,0),"")</f>
        <v/>
      </c>
      <c r="AC1220" s="85"/>
      <c r="AD1220" s="64" t="str">
        <f>IF(AC1220&lt;&gt;0,VLOOKUP(AC1220,DM_NV,2,0),"")</f>
        <v/>
      </c>
      <c r="AE1220" s="83" t="s">
        <v>209</v>
      </c>
      <c r="AF1220" s="64" t="str">
        <f>IF(AE1220&lt;&gt;0,VLOOKUP(AE1220,DM_NV,2,0),"")</f>
        <v>#N/A</v>
      </c>
    </row>
    <row r="1221">
      <c r="A1221" s="51"/>
      <c r="B1221" s="52" t="str">
        <f>IF(D1221="","",VLOOKUP(D1221,'THAM CHIẾU'!$A:$B,2,0))</f>
        <v>#N/A</v>
      </c>
      <c r="C1221" s="53" t="str">
        <f t="shared" si="5"/>
        <v>05/2022</v>
      </c>
      <c r="D1221" s="99">
        <v>44691.0</v>
      </c>
      <c r="E1221" s="55" t="s">
        <v>1193</v>
      </c>
      <c r="F1221" s="56"/>
      <c r="G1221" s="57" t="s">
        <v>225</v>
      </c>
      <c r="H1221" s="58" t="str">
        <f>IF(G1221="","",VLOOKUP($G1221,'Quy chuẩn hạch toán'!$B:$E,2,0))</f>
        <v>154</v>
      </c>
      <c r="I1221" s="58" t="str">
        <f>IF(H1221="","",VLOOKUP($G1221,'Quy chuẩn hạch toán'!$B:$E,3,0))</f>
        <v>1111</v>
      </c>
      <c r="J1221" s="59">
        <v>500000.0</v>
      </c>
      <c r="K1221" s="60"/>
      <c r="L1221" s="61"/>
      <c r="M1221" s="62"/>
      <c r="N1221" s="63"/>
      <c r="O1221" s="64" t="str">
        <f>IF($Q1221&lt;&gt;0,VLOOKUP($Q1221,DM_KM,3,0),"")</f>
        <v>#N/A</v>
      </c>
      <c r="P1221" s="64" t="str">
        <f>IF($Q1221&lt;&gt;0,VLOOKUP($Q1221,DM_KM,5,0),"")</f>
        <v>#N/A</v>
      </c>
      <c r="Q1221" s="65" t="s">
        <v>1170</v>
      </c>
      <c r="R1221" s="64" t="str">
        <f>IF(S1221&lt;&gt;0,VLOOKUP(S1221,DM_DUAN,3,0),"")</f>
        <v>#N/A</v>
      </c>
      <c r="S1221" s="66" t="str">
        <f>IF(U1221&lt;&gt;0,VLOOKUP(U1221,DM_DUAN,3,0),"")</f>
        <v>CLOUDLAND</v>
      </c>
      <c r="T1221" s="64"/>
      <c r="U1221" s="67" t="s">
        <v>956</v>
      </c>
      <c r="V1221" s="64" t="str">
        <f>IF(W1221&lt;&gt;0,VLOOKUP(W1221,DM_DUAN,3,0),"")</f>
        <v/>
      </c>
      <c r="W1221" s="68"/>
      <c r="X1221" s="64" t="str">
        <f>IF(Y1221&lt;&gt;0,VLOOKUP(Y1221,DM_DUAN,3,0),"")</f>
        <v>#N/A</v>
      </c>
      <c r="Y1221" s="158" t="s">
        <v>176</v>
      </c>
      <c r="Z1221" s="64" t="str">
        <f>IF(AA1221&lt;&gt;0,VLOOKUP(AA1221,DM_DUAN,3,0),"")</f>
        <v>#N/A</v>
      </c>
      <c r="AA1221" s="70" t="s">
        <v>210</v>
      </c>
      <c r="AB1221" s="64" t="str">
        <f>IF(AC1221&lt;&gt;0,VLOOKUP(AC1221,DM_DUAN,3,0),"")</f>
        <v/>
      </c>
      <c r="AC1221" s="85"/>
      <c r="AD1221" s="64" t="str">
        <f>IF(AC1221&lt;&gt;0,VLOOKUP(AC1221,DM_NV,2,0),"")</f>
        <v/>
      </c>
      <c r="AE1221" s="83" t="s">
        <v>610</v>
      </c>
      <c r="AF1221" s="64" t="str">
        <f>IF(AE1221&lt;&gt;0,VLOOKUP(AE1221,DM_NV,2,0),"")</f>
        <v>#N/A</v>
      </c>
    </row>
    <row r="1222">
      <c r="A1222" s="51"/>
      <c r="B1222" s="52" t="str">
        <f>IF(D1222="","",VLOOKUP(D1222,'THAM CHIẾU'!$A:$B,2,0))</f>
        <v>#N/A</v>
      </c>
      <c r="C1222" s="53" t="str">
        <f t="shared" si="5"/>
        <v>05/2022</v>
      </c>
      <c r="D1222" s="99">
        <v>44692.0</v>
      </c>
      <c r="E1222" s="55" t="s">
        <v>1171</v>
      </c>
      <c r="F1222" s="56"/>
      <c r="G1222" s="57" t="s">
        <v>205</v>
      </c>
      <c r="H1222" s="58" t="str">
        <f>IF(G1222="","",VLOOKUP($G1222,'Quy chuẩn hạch toán'!$B:$E,2,0))</f>
        <v>642</v>
      </c>
      <c r="I1222" s="58" t="str">
        <f>IF(H1222="","",VLOOKUP($G1222,'Quy chuẩn hạch toán'!$B:$E,3,0))</f>
        <v>1111</v>
      </c>
      <c r="J1222" s="59">
        <v>121722.0</v>
      </c>
      <c r="K1222" s="60"/>
      <c r="L1222" s="61"/>
      <c r="M1222" s="62"/>
      <c r="N1222" s="63"/>
      <c r="O1222" s="64" t="str">
        <f>IF($Q1222&lt;&gt;0,VLOOKUP($Q1222,DM_KM,3,0),"")</f>
        <v>#N/A</v>
      </c>
      <c r="P1222" s="64" t="str">
        <f>IF($Q1222&lt;&gt;0,VLOOKUP($Q1222,DM_KM,5,0),"")</f>
        <v>#N/A</v>
      </c>
      <c r="Q1222" s="65" t="s">
        <v>222</v>
      </c>
      <c r="R1222" s="64" t="str">
        <f>IF(S1222&lt;&gt;0,VLOOKUP(S1222,DM_DUAN,3,0),"")</f>
        <v>#N/A</v>
      </c>
      <c r="S1222" s="66" t="str">
        <f>IF(U1222&lt;&gt;0,VLOOKUP(U1222,DM_DUAN,3,0),"")</f>
        <v/>
      </c>
      <c r="T1222" s="64"/>
      <c r="U1222" s="93"/>
      <c r="V1222" s="64" t="str">
        <f>IF(W1222&lt;&gt;0,VLOOKUP(W1222,DM_DUAN,3,0),"")</f>
        <v/>
      </c>
      <c r="W1222" s="68"/>
      <c r="X1222" s="64" t="str">
        <f>IF(Y1222&lt;&gt;0,VLOOKUP(Y1222,DM_DUAN,3,0),"")</f>
        <v>#N/A</v>
      </c>
      <c r="Y1222" s="158" t="s">
        <v>207</v>
      </c>
      <c r="Z1222" s="64" t="str">
        <f>IF(AA1222&lt;&gt;0,VLOOKUP(AA1222,DM_DUAN,3,0),"")</f>
        <v>#N/A</v>
      </c>
      <c r="AA1222" s="70" t="s">
        <v>210</v>
      </c>
      <c r="AB1222" s="64" t="str">
        <f>IF(AC1222&lt;&gt;0,VLOOKUP(AC1222,DM_DUAN,3,0),"")</f>
        <v/>
      </c>
      <c r="AC1222" s="85"/>
      <c r="AD1222" s="64" t="str">
        <f>IF(AC1222&lt;&gt;0,VLOOKUP(AC1222,DM_NV,2,0),"")</f>
        <v/>
      </c>
      <c r="AE1222" s="83" t="s">
        <v>223</v>
      </c>
      <c r="AF1222" s="64" t="str">
        <f>IF(AE1222&lt;&gt;0,VLOOKUP(AE1222,DM_NV,2,0),"")</f>
        <v>#N/A</v>
      </c>
    </row>
    <row r="1223">
      <c r="A1223" s="51"/>
      <c r="B1223" s="52" t="str">
        <f>IF(D1223="","",VLOOKUP(D1223,'THAM CHIẾU'!$A:$B,2,0))</f>
        <v>#N/A</v>
      </c>
      <c r="C1223" s="53" t="str">
        <f t="shared" si="5"/>
        <v>05/2022</v>
      </c>
      <c r="D1223" s="99">
        <v>44695.0</v>
      </c>
      <c r="E1223" s="55" t="s">
        <v>1172</v>
      </c>
      <c r="F1223" s="56"/>
      <c r="G1223" s="57" t="s">
        <v>205</v>
      </c>
      <c r="H1223" s="58" t="str">
        <f>IF(G1223="","",VLOOKUP($G1223,'Quy chuẩn hạch toán'!$B:$E,2,0))</f>
        <v>642</v>
      </c>
      <c r="I1223" s="58" t="str">
        <f>IF(H1223="","",VLOOKUP($G1223,'Quy chuẩn hạch toán'!$B:$E,3,0))</f>
        <v>1111</v>
      </c>
      <c r="J1223" s="59">
        <v>105000.0</v>
      </c>
      <c r="K1223" s="60"/>
      <c r="L1223" s="61"/>
      <c r="M1223" s="62"/>
      <c r="N1223" s="63"/>
      <c r="O1223" s="64" t="str">
        <f>IF($Q1223&lt;&gt;0,VLOOKUP($Q1223,DM_KM,3,0),"")</f>
        <v>#N/A</v>
      </c>
      <c r="P1223" s="64" t="str">
        <f>IF($Q1223&lt;&gt;0,VLOOKUP($Q1223,DM_KM,5,0),"")</f>
        <v>#N/A</v>
      </c>
      <c r="Q1223" s="65" t="s">
        <v>219</v>
      </c>
      <c r="R1223" s="64" t="str">
        <f>IF(S1223&lt;&gt;0,VLOOKUP(S1223,DM_DUAN,3,0),"")</f>
        <v>#N/A</v>
      </c>
      <c r="S1223" s="66" t="str">
        <f>IF(U1223&lt;&gt;0,VLOOKUP(U1223,DM_DUAN,3,0),"")</f>
        <v/>
      </c>
      <c r="T1223" s="64"/>
      <c r="U1223" s="93"/>
      <c r="V1223" s="64" t="str">
        <f>IF(W1223&lt;&gt;0,VLOOKUP(W1223,DM_DUAN,3,0),"")</f>
        <v/>
      </c>
      <c r="W1223" s="68"/>
      <c r="X1223" s="64" t="str">
        <f>IF(Y1223&lt;&gt;0,VLOOKUP(Y1223,DM_DUAN,3,0),"")</f>
        <v>#N/A</v>
      </c>
      <c r="Y1223" s="158" t="s">
        <v>207</v>
      </c>
      <c r="Z1223" s="64" t="str">
        <f>IF(AA1223&lt;&gt;0,VLOOKUP(AA1223,DM_DUAN,3,0),"")</f>
        <v>#N/A</v>
      </c>
      <c r="AA1223" s="70" t="s">
        <v>210</v>
      </c>
      <c r="AB1223" s="64" t="str">
        <f>IF(AC1223&lt;&gt;0,VLOOKUP(AC1223,DM_DUAN,3,0),"")</f>
        <v/>
      </c>
      <c r="AC1223" s="85"/>
      <c r="AD1223" s="64" t="str">
        <f>IF(AC1223&lt;&gt;0,VLOOKUP(AC1223,DM_NV,2,0),"")</f>
        <v/>
      </c>
      <c r="AE1223" s="83" t="s">
        <v>220</v>
      </c>
      <c r="AF1223" s="64" t="str">
        <f>IF(AE1223&lt;&gt;0,VLOOKUP(AE1223,DM_NV,2,0),"")</f>
        <v>#N/A</v>
      </c>
    </row>
    <row r="1224">
      <c r="A1224" s="51"/>
      <c r="B1224" s="52" t="str">
        <f>IF(D1224="","",VLOOKUP(D1224,'THAM CHIẾU'!$A:$B,2,0))</f>
        <v>#N/A</v>
      </c>
      <c r="C1224" s="53" t="str">
        <f t="shared" si="5"/>
        <v>05/2022</v>
      </c>
      <c r="D1224" s="99">
        <v>44698.0</v>
      </c>
      <c r="E1224" s="55" t="s">
        <v>1173</v>
      </c>
      <c r="F1224" s="56"/>
      <c r="G1224" s="57" t="s">
        <v>205</v>
      </c>
      <c r="H1224" s="58" t="str">
        <f>IF(G1224="","",VLOOKUP($G1224,'Quy chuẩn hạch toán'!$B:$E,2,0))</f>
        <v>642</v>
      </c>
      <c r="I1224" s="58" t="str">
        <f>IF(H1224="","",VLOOKUP($G1224,'Quy chuẩn hạch toán'!$B:$E,3,0))</f>
        <v>1111</v>
      </c>
      <c r="J1224" s="59">
        <v>383408.0</v>
      </c>
      <c r="K1224" s="60"/>
      <c r="L1224" s="61"/>
      <c r="M1224" s="62"/>
      <c r="N1224" s="63"/>
      <c r="O1224" s="64" t="str">
        <f>IF($Q1224&lt;&gt;0,VLOOKUP($Q1224,DM_KM,3,0),"")</f>
        <v>#N/A</v>
      </c>
      <c r="P1224" s="64" t="str">
        <f>IF($Q1224&lt;&gt;0,VLOOKUP($Q1224,DM_KM,5,0),"")</f>
        <v>#N/A</v>
      </c>
      <c r="Q1224" s="65" t="s">
        <v>262</v>
      </c>
      <c r="R1224" s="64" t="str">
        <f>IF(S1224&lt;&gt;0,VLOOKUP(S1224,DM_DUAN,3,0),"")</f>
        <v>#N/A</v>
      </c>
      <c r="S1224" s="66" t="str">
        <f>IF(U1224&lt;&gt;0,VLOOKUP(U1224,DM_DUAN,3,0),"")</f>
        <v/>
      </c>
      <c r="T1224" s="64"/>
      <c r="U1224" s="93"/>
      <c r="V1224" s="64" t="str">
        <f>IF(W1224&lt;&gt;0,VLOOKUP(W1224,DM_DUAN,3,0),"")</f>
        <v/>
      </c>
      <c r="W1224" s="68"/>
      <c r="X1224" s="64" t="str">
        <f>IF(Y1224&lt;&gt;0,VLOOKUP(Y1224,DM_DUAN,3,0),"")</f>
        <v>#N/A</v>
      </c>
      <c r="Y1224" s="158" t="s">
        <v>207</v>
      </c>
      <c r="Z1224" s="64" t="str">
        <f>IF(AA1224&lt;&gt;0,VLOOKUP(AA1224,DM_DUAN,3,0),"")</f>
        <v>#N/A</v>
      </c>
      <c r="AA1224" s="70" t="s">
        <v>210</v>
      </c>
      <c r="AB1224" s="64" t="str">
        <f>IF(AC1224&lt;&gt;0,VLOOKUP(AC1224,DM_DUAN,3,0),"")</f>
        <v/>
      </c>
      <c r="AC1224" s="85"/>
      <c r="AD1224" s="64" t="str">
        <f>IF(AC1224&lt;&gt;0,VLOOKUP(AC1224,DM_NV,2,0),"")</f>
        <v/>
      </c>
      <c r="AE1224" s="83" t="s">
        <v>1174</v>
      </c>
      <c r="AF1224" s="64" t="str">
        <f>IF(AE1224&lt;&gt;0,VLOOKUP(AE1224,DM_NV,2,0),"")</f>
        <v>#N/A</v>
      </c>
    </row>
    <row r="1225">
      <c r="A1225" s="51"/>
      <c r="B1225" s="52" t="str">
        <f>IF(D1225="","",VLOOKUP(D1225,'THAM CHIẾU'!$A:$B,2,0))</f>
        <v>#N/A</v>
      </c>
      <c r="C1225" s="53" t="str">
        <f t="shared" si="5"/>
        <v>05/2022</v>
      </c>
      <c r="D1225" s="99">
        <v>44709.0</v>
      </c>
      <c r="E1225" s="55" t="s">
        <v>1175</v>
      </c>
      <c r="F1225" s="56"/>
      <c r="G1225" s="57" t="s">
        <v>205</v>
      </c>
      <c r="H1225" s="58" t="str">
        <f>IF(G1225="","",VLOOKUP($G1225,'Quy chuẩn hạch toán'!$B:$E,2,0))</f>
        <v>642</v>
      </c>
      <c r="I1225" s="58" t="str">
        <f>IF(H1225="","",VLOOKUP($G1225,'Quy chuẩn hạch toán'!$B:$E,3,0))</f>
        <v>1111</v>
      </c>
      <c r="J1225" s="59">
        <v>116667.0</v>
      </c>
      <c r="K1225" s="60"/>
      <c r="L1225" s="61"/>
      <c r="M1225" s="62"/>
      <c r="N1225" s="63"/>
      <c r="O1225" s="64" t="str">
        <f>IF($Q1225&lt;&gt;0,VLOOKUP($Q1225,DM_KM,3,0),"")</f>
        <v>#N/A</v>
      </c>
      <c r="P1225" s="64" t="str">
        <f>IF($Q1225&lt;&gt;0,VLOOKUP($Q1225,DM_KM,5,0),"")</f>
        <v>#N/A</v>
      </c>
      <c r="Q1225" s="65" t="s">
        <v>226</v>
      </c>
      <c r="R1225" s="64" t="str">
        <f>IF(S1225&lt;&gt;0,VLOOKUP(S1225,DM_DUAN,3,0),"")</f>
        <v>#N/A</v>
      </c>
      <c r="S1225" s="66" t="str">
        <f>IF(U1225&lt;&gt;0,VLOOKUP(U1225,DM_DUAN,3,0),"")</f>
        <v/>
      </c>
      <c r="T1225" s="64"/>
      <c r="U1225" s="93"/>
      <c r="V1225" s="64" t="str">
        <f>IF(W1225&lt;&gt;0,VLOOKUP(W1225,DM_DUAN,3,0),"")</f>
        <v/>
      </c>
      <c r="W1225" s="68"/>
      <c r="X1225" s="64" t="str">
        <f>IF(Y1225&lt;&gt;0,VLOOKUP(Y1225,DM_DUAN,3,0),"")</f>
        <v>#N/A</v>
      </c>
      <c r="Y1225" s="158" t="s">
        <v>207</v>
      </c>
      <c r="Z1225" s="64" t="str">
        <f>IF(AA1225&lt;&gt;0,VLOOKUP(AA1225,DM_DUAN,3,0),"")</f>
        <v>#N/A</v>
      </c>
      <c r="AA1225" s="70" t="s">
        <v>210</v>
      </c>
      <c r="AB1225" s="64" t="str">
        <f>IF(AC1225&lt;&gt;0,VLOOKUP(AC1225,DM_DUAN,3,0),"")</f>
        <v/>
      </c>
      <c r="AC1225" s="85"/>
      <c r="AD1225" s="64" t="str">
        <f>IF(AC1225&lt;&gt;0,VLOOKUP(AC1225,DM_NV,2,0),"")</f>
        <v/>
      </c>
      <c r="AE1225" s="83" t="s">
        <v>1174</v>
      </c>
      <c r="AF1225" s="64" t="str">
        <f>IF(AE1225&lt;&gt;0,VLOOKUP(AE1225,DM_NV,2,0),"")</f>
        <v>#N/A</v>
      </c>
    </row>
    <row r="1226">
      <c r="A1226" s="51"/>
      <c r="B1226" s="52" t="str">
        <f>IF(D1226="","",VLOOKUP(D1226,'THAM CHIẾU'!$A:$B,2,0))</f>
        <v>#N/A</v>
      </c>
      <c r="C1226" s="53" t="str">
        <f t="shared" si="5"/>
        <v>05/2022</v>
      </c>
      <c r="D1226" s="99">
        <v>44699.0</v>
      </c>
      <c r="E1226" s="55" t="s">
        <v>1176</v>
      </c>
      <c r="F1226" s="56"/>
      <c r="G1226" s="57" t="s">
        <v>205</v>
      </c>
      <c r="H1226" s="58" t="str">
        <f>IF(G1226="","",VLOOKUP($G1226,'Quy chuẩn hạch toán'!$B:$E,2,0))</f>
        <v>642</v>
      </c>
      <c r="I1226" s="58" t="str">
        <f>IF(H1226="","",VLOOKUP($G1226,'Quy chuẩn hạch toán'!$B:$E,3,0))</f>
        <v>1111</v>
      </c>
      <c r="J1226" s="59">
        <v>1724492.0</v>
      </c>
      <c r="K1226" s="60"/>
      <c r="L1226" s="61"/>
      <c r="M1226" s="62"/>
      <c r="N1226" s="63"/>
      <c r="O1226" s="64" t="str">
        <f>IF($Q1226&lt;&gt;0,VLOOKUP($Q1226,DM_KM,3,0),"")</f>
        <v>#N/A</v>
      </c>
      <c r="P1226" s="64" t="str">
        <f>IF($Q1226&lt;&gt;0,VLOOKUP($Q1226,DM_KM,5,0),"")</f>
        <v>#N/A</v>
      </c>
      <c r="Q1226" s="65" t="s">
        <v>272</v>
      </c>
      <c r="R1226" s="64" t="str">
        <f>IF(S1226&lt;&gt;0,VLOOKUP(S1226,DM_DUAN,3,0),"")</f>
        <v>#N/A</v>
      </c>
      <c r="S1226" s="66" t="str">
        <f>IF(U1226&lt;&gt;0,VLOOKUP(U1226,DM_DUAN,3,0),"")</f>
        <v/>
      </c>
      <c r="T1226" s="64"/>
      <c r="U1226" s="93"/>
      <c r="V1226" s="64" t="str">
        <f>IF(W1226&lt;&gt;0,VLOOKUP(W1226,DM_DUAN,3,0),"")</f>
        <v/>
      </c>
      <c r="W1226" s="68"/>
      <c r="X1226" s="64" t="str">
        <f>IF(Y1226&lt;&gt;0,VLOOKUP(Y1226,DM_DUAN,3,0),"")</f>
        <v>#N/A</v>
      </c>
      <c r="Y1226" s="158" t="s">
        <v>207</v>
      </c>
      <c r="Z1226" s="64" t="str">
        <f>IF(AA1226&lt;&gt;0,VLOOKUP(AA1226,DM_DUAN,3,0),"")</f>
        <v>#N/A</v>
      </c>
      <c r="AA1226" s="70" t="s">
        <v>210</v>
      </c>
      <c r="AB1226" s="64" t="str">
        <f>IF(AC1226&lt;&gt;0,VLOOKUP(AC1226,DM_DUAN,3,0),"")</f>
        <v/>
      </c>
      <c r="AC1226" s="85"/>
      <c r="AD1226" s="64" t="str">
        <f>IF(AC1226&lt;&gt;0,VLOOKUP(AC1226,DM_NV,2,0),"")</f>
        <v/>
      </c>
      <c r="AE1226" s="83" t="s">
        <v>227</v>
      </c>
      <c r="AF1226" s="64" t="str">
        <f>IF(AE1226&lt;&gt;0,VLOOKUP(AE1226,DM_NV,2,0),"")</f>
        <v>#N/A</v>
      </c>
    </row>
    <row r="1227">
      <c r="A1227" s="51"/>
      <c r="B1227" s="52" t="str">
        <f>IF(D1227="","",VLOOKUP(D1227,'THAM CHIẾU'!$A:$B,2,0))</f>
        <v>#N/A</v>
      </c>
      <c r="C1227" s="53" t="str">
        <f t="shared" si="5"/>
        <v>05/2022</v>
      </c>
      <c r="D1227" s="99">
        <v>44710.0</v>
      </c>
      <c r="E1227" s="55" t="s">
        <v>1194</v>
      </c>
      <c r="F1227" s="56"/>
      <c r="G1227" s="57" t="s">
        <v>249</v>
      </c>
      <c r="H1227" s="58" t="str">
        <f>IF(G1227="","",VLOOKUP($G1227,'Quy chuẩn hạch toán'!$B:$E,2,0))</f>
        <v>642</v>
      </c>
      <c r="I1227" s="58" t="str">
        <f>IF(H1227="","",VLOOKUP($G1227,'Quy chuẩn hạch toán'!$B:$E,3,0))</f>
        <v>331</v>
      </c>
      <c r="J1227" s="59">
        <v>7000000.0</v>
      </c>
      <c r="K1227" s="60"/>
      <c r="L1227" s="61"/>
      <c r="M1227" s="62"/>
      <c r="N1227" s="63"/>
      <c r="O1227" s="64" t="str">
        <f>IF($Q1227&lt;&gt;0,VLOOKUP($Q1227,DM_KM,3,0),"")</f>
        <v>THUEVP</v>
      </c>
      <c r="P1227" s="64">
        <f>IF($Q1227&lt;&gt;0,VLOOKUP($Q1227,DM_KM,5,0),"")</f>
        <v>642</v>
      </c>
      <c r="Q1227" s="65" t="s">
        <v>270</v>
      </c>
      <c r="R1227" s="64" t="str">
        <f>IF(S1227&lt;&gt;0,VLOOKUP(S1227,DM_DUAN,3,0),"")</f>
        <v>#N/A</v>
      </c>
      <c r="S1227" s="66" t="str">
        <f>IF(U1227&lt;&gt;0,VLOOKUP(U1227,DM_DUAN,3,0),"")</f>
        <v/>
      </c>
      <c r="T1227" s="64"/>
      <c r="U1227" s="93"/>
      <c r="V1227" s="64" t="str">
        <f>IF(W1227&lt;&gt;0,VLOOKUP(W1227,DM_DUAN,3,0),"")</f>
        <v/>
      </c>
      <c r="W1227" s="68"/>
      <c r="X1227" s="64" t="str">
        <f>IF(Y1227&lt;&gt;0,VLOOKUP(Y1227,DM_DUAN,3,0),"")</f>
        <v>#N/A</v>
      </c>
      <c r="Y1227" s="158" t="s">
        <v>207</v>
      </c>
      <c r="Z1227" s="64" t="str">
        <f>IF(AA1227&lt;&gt;0,VLOOKUP(AA1227,DM_DUAN,3,0),"")</f>
        <v>#N/A</v>
      </c>
      <c r="AA1227" s="70" t="s">
        <v>210</v>
      </c>
      <c r="AB1227" s="64" t="str">
        <f>IF(AC1227&lt;&gt;0,VLOOKUP(AC1227,DM_DUAN,3,0),"")</f>
        <v/>
      </c>
      <c r="AC1227" s="85"/>
      <c r="AD1227" s="64" t="str">
        <f>IF(AC1227&lt;&gt;0,VLOOKUP(AC1227,DM_NV,2,0),"")</f>
        <v/>
      </c>
      <c r="AE1227" s="83"/>
      <c r="AF1227" s="64" t="str">
        <f>IF(AE1227&lt;&gt;0,VLOOKUP(AE1227,DM_NV,2,0),"")</f>
        <v/>
      </c>
    </row>
    <row r="1228">
      <c r="A1228" s="51"/>
      <c r="B1228" s="52" t="str">
        <f>IF(D1228="","",VLOOKUP(D1228,'THAM CHIẾU'!$A:$B,2,0))</f>
        <v>#N/A</v>
      </c>
      <c r="C1228" s="53" t="str">
        <f t="shared" si="5"/>
        <v>05/2022</v>
      </c>
      <c r="D1228" s="99">
        <v>44710.0</v>
      </c>
      <c r="E1228" s="55" t="s">
        <v>1195</v>
      </c>
      <c r="F1228" s="56"/>
      <c r="G1228" s="57" t="s">
        <v>249</v>
      </c>
      <c r="H1228" s="58" t="str">
        <f>IF(G1228="","",VLOOKUP($G1228,'Quy chuẩn hạch toán'!$B:$E,2,0))</f>
        <v>642</v>
      </c>
      <c r="I1228" s="58" t="str">
        <f>IF(H1228="","",VLOOKUP($G1228,'Quy chuẩn hạch toán'!$B:$E,3,0))</f>
        <v>331</v>
      </c>
      <c r="J1228" s="59">
        <v>722167.0</v>
      </c>
      <c r="K1228" s="60"/>
      <c r="L1228" s="61"/>
      <c r="M1228" s="62"/>
      <c r="N1228" s="63"/>
      <c r="O1228" s="64" t="str">
        <f>IF($Q1228&lt;&gt;0,VLOOKUP($Q1228,DM_KM,3,0),"")</f>
        <v>THUEVP</v>
      </c>
      <c r="P1228" s="64">
        <f>IF($Q1228&lt;&gt;0,VLOOKUP($Q1228,DM_KM,5,0),"")</f>
        <v>642</v>
      </c>
      <c r="Q1228" s="65" t="s">
        <v>270</v>
      </c>
      <c r="R1228" s="64" t="str">
        <f>IF(S1228&lt;&gt;0,VLOOKUP(S1228,DM_DUAN,3,0),"")</f>
        <v>#N/A</v>
      </c>
      <c r="S1228" s="66" t="str">
        <f>IF(U1228&lt;&gt;0,VLOOKUP(U1228,DM_DUAN,3,0),"")</f>
        <v/>
      </c>
      <c r="T1228" s="64"/>
      <c r="U1228" s="93"/>
      <c r="V1228" s="64" t="str">
        <f>IF(W1228&lt;&gt;0,VLOOKUP(W1228,DM_DUAN,3,0),"")</f>
        <v/>
      </c>
      <c r="W1228" s="68"/>
      <c r="X1228" s="64" t="str">
        <f>IF(Y1228&lt;&gt;0,VLOOKUP(Y1228,DM_DUAN,3,0),"")</f>
        <v>#N/A</v>
      </c>
      <c r="Y1228" s="158" t="s">
        <v>207</v>
      </c>
      <c r="Z1228" s="64" t="str">
        <f>IF(AA1228&lt;&gt;0,VLOOKUP(AA1228,DM_DUAN,3,0),"")</f>
        <v>#N/A</v>
      </c>
      <c r="AA1228" s="70" t="s">
        <v>210</v>
      </c>
      <c r="AB1228" s="64" t="str">
        <f>IF(AC1228&lt;&gt;0,VLOOKUP(AC1228,DM_DUAN,3,0),"")</f>
        <v/>
      </c>
      <c r="AC1228" s="85"/>
      <c r="AD1228" s="64" t="str">
        <f>IF(AC1228&lt;&gt;0,VLOOKUP(AC1228,DM_NV,2,0),"")</f>
        <v/>
      </c>
      <c r="AE1228" s="83"/>
      <c r="AF1228" s="64" t="str">
        <f>IF(AE1228&lt;&gt;0,VLOOKUP(AE1228,DM_NV,2,0),"")</f>
        <v/>
      </c>
    </row>
    <row r="1229">
      <c r="A1229" s="51"/>
      <c r="B1229" s="52" t="str">
        <f>IF(D1229="","",VLOOKUP(D1229,'THAM CHIẾU'!$A:$B,2,0))</f>
        <v>#N/A</v>
      </c>
      <c r="C1229" s="53" t="str">
        <f t="shared" si="5"/>
        <v>05/2022</v>
      </c>
      <c r="D1229" s="99">
        <v>44710.0</v>
      </c>
      <c r="E1229" s="55" t="s">
        <v>1196</v>
      </c>
      <c r="F1229" s="56"/>
      <c r="G1229" s="57" t="s">
        <v>249</v>
      </c>
      <c r="H1229" s="58" t="str">
        <f>IF(G1229="","",VLOOKUP($G1229,'Quy chuẩn hạch toán'!$B:$E,2,0))</f>
        <v>642</v>
      </c>
      <c r="I1229" s="58" t="str">
        <f>IF(H1229="","",VLOOKUP($G1229,'Quy chuẩn hạch toán'!$B:$E,3,0))</f>
        <v>331</v>
      </c>
      <c r="J1229" s="59">
        <v>388889.0</v>
      </c>
      <c r="K1229" s="60"/>
      <c r="L1229" s="61"/>
      <c r="M1229" s="62"/>
      <c r="N1229" s="63"/>
      <c r="O1229" s="64" t="str">
        <f>IF($Q1229&lt;&gt;0,VLOOKUP($Q1229,DM_KM,3,0),"")</f>
        <v>THUEVP</v>
      </c>
      <c r="P1229" s="64">
        <f>IF($Q1229&lt;&gt;0,VLOOKUP($Q1229,DM_KM,5,0),"")</f>
        <v>642</v>
      </c>
      <c r="Q1229" s="65" t="s">
        <v>270</v>
      </c>
      <c r="R1229" s="64" t="str">
        <f>IF(S1229&lt;&gt;0,VLOOKUP(S1229,DM_DUAN,3,0),"")</f>
        <v>#N/A</v>
      </c>
      <c r="S1229" s="66" t="str">
        <f>IF(U1229&lt;&gt;0,VLOOKUP(U1229,DM_DUAN,3,0),"")</f>
        <v/>
      </c>
      <c r="T1229" s="64"/>
      <c r="U1229" s="93"/>
      <c r="V1229" s="64" t="str">
        <f>IF(W1229&lt;&gt;0,VLOOKUP(W1229,DM_DUAN,3,0),"")</f>
        <v/>
      </c>
      <c r="W1229" s="68"/>
      <c r="X1229" s="64" t="str">
        <f>IF(Y1229&lt;&gt;0,VLOOKUP(Y1229,DM_DUAN,3,0),"")</f>
        <v>#N/A</v>
      </c>
      <c r="Y1229" s="158" t="s">
        <v>207</v>
      </c>
      <c r="Z1229" s="64" t="str">
        <f>IF(AA1229&lt;&gt;0,VLOOKUP(AA1229,DM_DUAN,3,0),"")</f>
        <v>#N/A</v>
      </c>
      <c r="AA1229" s="70" t="s">
        <v>210</v>
      </c>
      <c r="AB1229" s="64" t="str">
        <f>IF(AC1229&lt;&gt;0,VLOOKUP(AC1229,DM_DUAN,3,0),"")</f>
        <v/>
      </c>
      <c r="AC1229" s="85"/>
      <c r="AD1229" s="64" t="str">
        <f>IF(AC1229&lt;&gt;0,VLOOKUP(AC1229,DM_NV,2,0),"")</f>
        <v/>
      </c>
      <c r="AE1229" s="83"/>
      <c r="AF1229" s="64" t="str">
        <f>IF(AE1229&lt;&gt;0,VLOOKUP(AE1229,DM_NV,2,0),"")</f>
        <v/>
      </c>
    </row>
    <row r="1230">
      <c r="A1230" s="51"/>
      <c r="B1230" s="52" t="str">
        <f>IF(D1230="","",VLOOKUP(D1230,'THAM CHIẾU'!$A:$B,2,0))</f>
        <v>#N/A</v>
      </c>
      <c r="C1230" s="53" t="str">
        <f t="shared" si="5"/>
        <v>05/2022</v>
      </c>
      <c r="D1230" s="99">
        <v>44690.0</v>
      </c>
      <c r="E1230" s="55" t="s">
        <v>1197</v>
      </c>
      <c r="F1230" s="56"/>
      <c r="G1230" s="57" t="s">
        <v>249</v>
      </c>
      <c r="H1230" s="58" t="str">
        <f>IF(G1230="","",VLOOKUP($G1230,'Quy chuẩn hạch toán'!$B:$E,2,0))</f>
        <v>642</v>
      </c>
      <c r="I1230" s="58" t="str">
        <f>IF(H1230="","",VLOOKUP($G1230,'Quy chuẩn hạch toán'!$B:$E,3,0))</f>
        <v>331</v>
      </c>
      <c r="J1230" s="59">
        <v>52889.0</v>
      </c>
      <c r="K1230" s="60"/>
      <c r="L1230" s="61"/>
      <c r="M1230" s="62"/>
      <c r="N1230" s="63"/>
      <c r="O1230" s="64" t="str">
        <f>IF($Q1230&lt;&gt;0,VLOOKUP($Q1230,DM_KM,3,0),"")</f>
        <v>#N/A</v>
      </c>
      <c r="P1230" s="64" t="str">
        <f>IF($Q1230&lt;&gt;0,VLOOKUP($Q1230,DM_KM,5,0),"")</f>
        <v>#N/A</v>
      </c>
      <c r="Q1230" s="65" t="s">
        <v>174</v>
      </c>
      <c r="R1230" s="64" t="str">
        <f>IF(S1230&lt;&gt;0,VLOOKUP(S1230,DM_DUAN,3,0),"")</f>
        <v>#N/A</v>
      </c>
      <c r="S1230" s="66" t="str">
        <f>IF(U1230&lt;&gt;0,VLOOKUP(U1230,DM_DUAN,3,0),"")</f>
        <v/>
      </c>
      <c r="T1230" s="64"/>
      <c r="U1230" s="93"/>
      <c r="V1230" s="64" t="str">
        <f>IF(W1230&lt;&gt;0,VLOOKUP(W1230,DM_DUAN,3,0),"")</f>
        <v/>
      </c>
      <c r="W1230" s="68"/>
      <c r="X1230" s="64" t="str">
        <f>IF(Y1230&lt;&gt;0,VLOOKUP(Y1230,DM_DUAN,3,0),"")</f>
        <v>#N/A</v>
      </c>
      <c r="Y1230" s="69" t="s">
        <v>207</v>
      </c>
      <c r="Z1230" s="64" t="str">
        <f>IF(AA1230&lt;&gt;0,VLOOKUP(AA1230,DM_DUAN,3,0),"")</f>
        <v>#N/A</v>
      </c>
      <c r="AA1230" s="70" t="s">
        <v>705</v>
      </c>
      <c r="AB1230" s="64" t="str">
        <f>IF(AC1230&lt;&gt;0,VLOOKUP(AC1230,DM_DUAN,3,0),"")</f>
        <v/>
      </c>
      <c r="AC1230" s="85"/>
      <c r="AD1230" s="64" t="str">
        <f>IF(AC1230&lt;&gt;0,VLOOKUP(AC1230,DM_NV,2,0),"")</f>
        <v/>
      </c>
      <c r="AE1230" s="83"/>
      <c r="AF1230" s="64" t="str">
        <f>IF(AE1230&lt;&gt;0,VLOOKUP(AE1230,DM_NV,2,0),"")</f>
        <v/>
      </c>
    </row>
    <row r="1231">
      <c r="A1231" s="51"/>
      <c r="B1231" s="52" t="str">
        <f>IF(D1231="","",VLOOKUP(D1231,'THAM CHIẾU'!$A:$B,2,0))</f>
        <v>#N/A</v>
      </c>
      <c r="C1231" s="53" t="str">
        <f t="shared" si="5"/>
        <v>05/2022</v>
      </c>
      <c r="D1231" s="99">
        <v>44690.0</v>
      </c>
      <c r="E1231" s="55" t="s">
        <v>1197</v>
      </c>
      <c r="F1231" s="56"/>
      <c r="G1231" s="57" t="s">
        <v>249</v>
      </c>
      <c r="H1231" s="58" t="str">
        <f>IF(G1231="","",VLOOKUP($G1231,'Quy chuẩn hạch toán'!$B:$E,2,0))</f>
        <v>642</v>
      </c>
      <c r="I1231" s="58" t="str">
        <f>IF(H1231="","",VLOOKUP($G1231,'Quy chuẩn hạch toán'!$B:$E,3,0))</f>
        <v>331</v>
      </c>
      <c r="J1231" s="59">
        <v>46278.0</v>
      </c>
      <c r="K1231" s="60"/>
      <c r="L1231" s="61"/>
      <c r="M1231" s="62"/>
      <c r="N1231" s="63"/>
      <c r="O1231" s="64" t="str">
        <f>IF($Q1231&lt;&gt;0,VLOOKUP($Q1231,DM_KM,3,0),"")</f>
        <v>#N/A</v>
      </c>
      <c r="P1231" s="64" t="str">
        <f>IF($Q1231&lt;&gt;0,VLOOKUP($Q1231,DM_KM,5,0),"")</f>
        <v>#N/A</v>
      </c>
      <c r="Q1231" s="65" t="s">
        <v>174</v>
      </c>
      <c r="R1231" s="64" t="str">
        <f>IF(S1231&lt;&gt;0,VLOOKUP(S1231,DM_DUAN,3,0),"")</f>
        <v>#N/A</v>
      </c>
      <c r="S1231" s="66" t="str">
        <f>IF(U1231&lt;&gt;0,VLOOKUP(U1231,DM_DUAN,3,0),"")</f>
        <v/>
      </c>
      <c r="T1231" s="64"/>
      <c r="U1231" s="93"/>
      <c r="V1231" s="64" t="str">
        <f>IF(W1231&lt;&gt;0,VLOOKUP(W1231,DM_DUAN,3,0),"")</f>
        <v/>
      </c>
      <c r="W1231" s="68"/>
      <c r="X1231" s="64" t="str">
        <f>IF(Y1231&lt;&gt;0,VLOOKUP(Y1231,DM_DUAN,3,0),"")</f>
        <v>#N/A</v>
      </c>
      <c r="Y1231" s="69" t="s">
        <v>207</v>
      </c>
      <c r="Z1231" s="64" t="str">
        <f>IF(AA1231&lt;&gt;0,VLOOKUP(AA1231,DM_DUAN,3,0),"")</f>
        <v>#N/A</v>
      </c>
      <c r="AA1231" s="70" t="s">
        <v>210</v>
      </c>
      <c r="AB1231" s="64" t="str">
        <f>IF(AC1231&lt;&gt;0,VLOOKUP(AC1231,DM_DUAN,3,0),"")</f>
        <v/>
      </c>
      <c r="AC1231" s="85"/>
      <c r="AD1231" s="64" t="str">
        <f>IF(AC1231&lt;&gt;0,VLOOKUP(AC1231,DM_NV,2,0),"")</f>
        <v/>
      </c>
      <c r="AE1231" s="68"/>
      <c r="AF1231" s="64" t="str">
        <f>IF(AE1231&lt;&gt;0,VLOOKUP(AE1231,DM_NV,2,0),"")</f>
        <v/>
      </c>
    </row>
    <row r="1232">
      <c r="A1232" s="51"/>
      <c r="B1232" s="52" t="str">
        <f>IF(D1232="","",VLOOKUP(D1232,'THAM CHIẾU'!$A:$B,2,0))</f>
        <v>#N/A</v>
      </c>
      <c r="C1232" s="53" t="str">
        <f t="shared" si="5"/>
        <v>05/2022</v>
      </c>
      <c r="D1232" s="99">
        <v>44690.0</v>
      </c>
      <c r="E1232" s="55" t="s">
        <v>1197</v>
      </c>
      <c r="F1232" s="56"/>
      <c r="G1232" s="57" t="s">
        <v>249</v>
      </c>
      <c r="H1232" s="58" t="str">
        <f>IF(G1232="","",VLOOKUP($G1232,'Quy chuẩn hạch toán'!$B:$E,2,0))</f>
        <v>642</v>
      </c>
      <c r="I1232" s="58" t="str">
        <f>IF(H1232="","",VLOOKUP($G1232,'Quy chuẩn hạch toán'!$B:$E,3,0))</f>
        <v>331</v>
      </c>
      <c r="J1232" s="59">
        <v>33056.0</v>
      </c>
      <c r="K1232" s="60"/>
      <c r="L1232" s="61"/>
      <c r="M1232" s="62"/>
      <c r="N1232" s="63"/>
      <c r="O1232" s="64" t="str">
        <f>IF($Q1232&lt;&gt;0,VLOOKUP($Q1232,DM_KM,3,0),"")</f>
        <v>#N/A</v>
      </c>
      <c r="P1232" s="64" t="str">
        <f>IF($Q1232&lt;&gt;0,VLOOKUP($Q1232,DM_KM,5,0),"")</f>
        <v>#N/A</v>
      </c>
      <c r="Q1232" s="65" t="s">
        <v>174</v>
      </c>
      <c r="R1232" s="64" t="str">
        <f>IF(S1232&lt;&gt;0,VLOOKUP(S1232,DM_DUAN,3,0),"")</f>
        <v>#N/A</v>
      </c>
      <c r="S1232" s="66" t="str">
        <f>IF(U1232&lt;&gt;0,VLOOKUP(U1232,DM_DUAN,3,0),"")</f>
        <v/>
      </c>
      <c r="T1232" s="64"/>
      <c r="U1232" s="93"/>
      <c r="V1232" s="64" t="str">
        <f>IF(W1232&lt;&gt;0,VLOOKUP(W1232,DM_DUAN,3,0),"")</f>
        <v/>
      </c>
      <c r="W1232" s="68"/>
      <c r="X1232" s="64" t="str">
        <f>IF(Y1232&lt;&gt;0,VLOOKUP(Y1232,DM_DUAN,3,0),"")</f>
        <v>#N/A</v>
      </c>
      <c r="Y1232" s="69" t="s">
        <v>207</v>
      </c>
      <c r="Z1232" s="64" t="str">
        <f>IF(AA1232&lt;&gt;0,VLOOKUP(AA1232,DM_DUAN,3,0),"")</f>
        <v>#N/A</v>
      </c>
      <c r="AA1232" s="70" t="s">
        <v>177</v>
      </c>
      <c r="AB1232" s="64" t="str">
        <f>IF(AC1232&lt;&gt;0,VLOOKUP(AC1232,DM_DUAN,3,0),"")</f>
        <v/>
      </c>
      <c r="AC1232" s="85"/>
      <c r="AD1232" s="64" t="str">
        <f>IF(AC1232&lt;&gt;0,VLOOKUP(AC1232,DM_NV,2,0),"")</f>
        <v/>
      </c>
      <c r="AE1232" s="68"/>
      <c r="AF1232" s="64" t="str">
        <f>IF(AE1232&lt;&gt;0,VLOOKUP(AE1232,DM_NV,2,0),"")</f>
        <v/>
      </c>
    </row>
    <row r="1233">
      <c r="A1233" s="51"/>
      <c r="B1233" s="52" t="str">
        <f>IF(D1233="","",VLOOKUP(D1233,'THAM CHIẾU'!$A:$B,2,0))</f>
        <v>#N/A</v>
      </c>
      <c r="C1233" s="53" t="str">
        <f t="shared" si="5"/>
        <v>05/2022</v>
      </c>
      <c r="D1233" s="99">
        <v>44690.0</v>
      </c>
      <c r="E1233" s="55" t="s">
        <v>1197</v>
      </c>
      <c r="F1233" s="56"/>
      <c r="G1233" s="57" t="s">
        <v>249</v>
      </c>
      <c r="H1233" s="58" t="str">
        <f>IF(G1233="","",VLOOKUP($G1233,'Quy chuẩn hạch toán'!$B:$E,2,0))</f>
        <v>642</v>
      </c>
      <c r="I1233" s="58" t="str">
        <f>IF(H1233="","",VLOOKUP($G1233,'Quy chuẩn hạch toán'!$B:$E,3,0))</f>
        <v>331</v>
      </c>
      <c r="J1233" s="59">
        <v>105778.0</v>
      </c>
      <c r="K1233" s="60"/>
      <c r="L1233" s="61"/>
      <c r="M1233" s="62"/>
      <c r="N1233" s="63"/>
      <c r="O1233" s="64" t="str">
        <f>IF($Q1233&lt;&gt;0,VLOOKUP($Q1233,DM_KM,3,0),"")</f>
        <v>#N/A</v>
      </c>
      <c r="P1233" s="64" t="str">
        <f>IF($Q1233&lt;&gt;0,VLOOKUP($Q1233,DM_KM,5,0),"")</f>
        <v>#N/A</v>
      </c>
      <c r="Q1233" s="65" t="s">
        <v>174</v>
      </c>
      <c r="R1233" s="64" t="str">
        <f>IF(S1233&lt;&gt;0,VLOOKUP(S1233,DM_DUAN,3,0),"")</f>
        <v>#N/A</v>
      </c>
      <c r="S1233" s="66" t="str">
        <f>IF(U1233&lt;&gt;0,VLOOKUP(U1233,DM_DUAN,3,0),"")</f>
        <v/>
      </c>
      <c r="T1233" s="64"/>
      <c r="U1233" s="93"/>
      <c r="V1233" s="64" t="str">
        <f>IF(W1233&lt;&gt;0,VLOOKUP(W1233,DM_DUAN,3,0),"")</f>
        <v/>
      </c>
      <c r="W1233" s="68"/>
      <c r="X1233" s="64" t="str">
        <f>IF(Y1233&lt;&gt;0,VLOOKUP(Y1233,DM_DUAN,3,0),"")</f>
        <v>#N/A</v>
      </c>
      <c r="Y1233" s="69" t="s">
        <v>207</v>
      </c>
      <c r="Z1233" s="64" t="str">
        <f>IF(AA1233&lt;&gt;0,VLOOKUP(AA1233,DM_DUAN,3,0),"")</f>
        <v>#N/A</v>
      </c>
      <c r="AA1233" s="70" t="s">
        <v>183</v>
      </c>
      <c r="AB1233" s="64" t="str">
        <f>IF(AC1233&lt;&gt;0,VLOOKUP(AC1233,DM_DUAN,3,0),"")</f>
        <v/>
      </c>
      <c r="AC1233" s="85"/>
      <c r="AD1233" s="64" t="str">
        <f>IF(AC1233&lt;&gt;0,VLOOKUP(AC1233,DM_NV,2,0),"")</f>
        <v/>
      </c>
      <c r="AE1233" s="68"/>
      <c r="AF1233" s="64" t="str">
        <f>IF(AE1233&lt;&gt;0,VLOOKUP(AE1233,DM_NV,2,0),"")</f>
        <v/>
      </c>
    </row>
    <row r="1234">
      <c r="A1234" s="51"/>
      <c r="B1234" s="52" t="str">
        <f>IF(D1234="","",VLOOKUP(D1234,'THAM CHIẾU'!$A:$B,2,0))</f>
        <v>#N/A</v>
      </c>
      <c r="C1234" s="53" t="str">
        <f t="shared" si="5"/>
        <v>05/2022</v>
      </c>
      <c r="D1234" s="99">
        <v>44698.0</v>
      </c>
      <c r="E1234" s="55" t="s">
        <v>1198</v>
      </c>
      <c r="F1234" s="56"/>
      <c r="G1234" s="57" t="s">
        <v>173</v>
      </c>
      <c r="H1234" s="58" t="str">
        <f>IF(G1234="","",VLOOKUP($G1234,'Quy chuẩn hạch toán'!$B:$E,2,0))</f>
        <v>641</v>
      </c>
      <c r="I1234" s="58" t="str">
        <f>IF(H1234="","",VLOOKUP($G1234,'Quy chuẩn hạch toán'!$B:$E,3,0))</f>
        <v>331</v>
      </c>
      <c r="J1234" s="59">
        <v>2350000.0</v>
      </c>
      <c r="K1234" s="60"/>
      <c r="L1234" s="61"/>
      <c r="M1234" s="62"/>
      <c r="N1234" s="63"/>
      <c r="O1234" s="64" t="str">
        <f>IF($Q1234&lt;&gt;0,VLOOKUP($Q1234,DM_KM,3,0),"")</f>
        <v>#N/A</v>
      </c>
      <c r="P1234" s="64" t="str">
        <f>IF($Q1234&lt;&gt;0,VLOOKUP($Q1234,DM_KM,5,0),"")</f>
        <v>#N/A</v>
      </c>
      <c r="Q1234" s="65" t="s">
        <v>174</v>
      </c>
      <c r="R1234" s="64" t="str">
        <f>IF(S1234&lt;&gt;0,VLOOKUP(S1234,DM_DUAN,3,0),"")</f>
        <v>#N/A</v>
      </c>
      <c r="S1234" s="66" t="str">
        <f>IF(U1234&lt;&gt;0,VLOOKUP(U1234,DM_DUAN,3,0),"")</f>
        <v>CLOUDLAND</v>
      </c>
      <c r="T1234" s="64"/>
      <c r="U1234" s="67" t="s">
        <v>956</v>
      </c>
      <c r="V1234" s="64" t="str">
        <f>IF(W1234&lt;&gt;0,VLOOKUP(W1234,DM_DUAN,3,0),"")</f>
        <v/>
      </c>
      <c r="W1234" s="68"/>
      <c r="X1234" s="64" t="str">
        <f>IF(Y1234&lt;&gt;0,VLOOKUP(Y1234,DM_DUAN,3,0),"")</f>
        <v>#N/A</v>
      </c>
      <c r="Y1234" s="69" t="s">
        <v>176</v>
      </c>
      <c r="Z1234" s="64" t="str">
        <f>IF(AA1234&lt;&gt;0,VLOOKUP(AA1234,DM_DUAN,3,0),"")</f>
        <v>#N/A</v>
      </c>
      <c r="AA1234" s="70" t="s">
        <v>705</v>
      </c>
      <c r="AB1234" s="64" t="str">
        <f>IF(AC1234&lt;&gt;0,VLOOKUP(AC1234,DM_DUAN,3,0),"")</f>
        <v/>
      </c>
      <c r="AC1234" s="85"/>
      <c r="AD1234" s="64" t="str">
        <f>IF(AC1234&lt;&gt;0,VLOOKUP(AC1234,DM_NV,2,0),"")</f>
        <v/>
      </c>
      <c r="AE1234" s="68"/>
      <c r="AF1234" s="64" t="str">
        <f>IF(AE1234&lt;&gt;0,VLOOKUP(AE1234,DM_NV,2,0),"")</f>
        <v/>
      </c>
    </row>
    <row r="1235">
      <c r="A1235" s="51"/>
      <c r="B1235" s="52" t="str">
        <f>IF(D1235="","",VLOOKUP(D1235,'THAM CHIẾU'!$A:$B,2,0))</f>
        <v>#N/A</v>
      </c>
      <c r="C1235" s="53" t="str">
        <f t="shared" si="5"/>
        <v>05/2022</v>
      </c>
      <c r="D1235" s="99">
        <v>44687.0</v>
      </c>
      <c r="E1235" s="55" t="s">
        <v>1199</v>
      </c>
      <c r="F1235" s="56"/>
      <c r="G1235" s="57" t="s">
        <v>173</v>
      </c>
      <c r="H1235" s="58" t="str">
        <f>IF(G1235="","",VLOOKUP($G1235,'Quy chuẩn hạch toán'!$B:$E,2,0))</f>
        <v>641</v>
      </c>
      <c r="I1235" s="58" t="str">
        <f>IF(H1235="","",VLOOKUP($G1235,'Quy chuẩn hạch toán'!$B:$E,3,0))</f>
        <v>331</v>
      </c>
      <c r="J1235" s="59">
        <v>2600000.0</v>
      </c>
      <c r="K1235" s="60"/>
      <c r="L1235" s="61"/>
      <c r="M1235" s="62"/>
      <c r="N1235" s="63"/>
      <c r="O1235" s="64" t="str">
        <f>IF($Q1235&lt;&gt;0,VLOOKUP($Q1235,DM_KM,3,0),"")</f>
        <v>#N/A</v>
      </c>
      <c r="P1235" s="64" t="str">
        <f>IF($Q1235&lt;&gt;0,VLOOKUP($Q1235,DM_KM,5,0),"")</f>
        <v>#N/A</v>
      </c>
      <c r="Q1235" s="65" t="s">
        <v>174</v>
      </c>
      <c r="R1235" s="64" t="str">
        <f>IF(S1235&lt;&gt;0,VLOOKUP(S1235,DM_DUAN,3,0),"")</f>
        <v>#N/A</v>
      </c>
      <c r="S1235" s="66" t="str">
        <f>IF(U1235&lt;&gt;0,VLOOKUP(U1235,DM_DUAN,3,0),"")</f>
        <v>CLOUDLAND</v>
      </c>
      <c r="T1235" s="64"/>
      <c r="U1235" s="67" t="s">
        <v>956</v>
      </c>
      <c r="V1235" s="64" t="str">
        <f>IF(W1235&lt;&gt;0,VLOOKUP(W1235,DM_DUAN,3,0),"")</f>
        <v/>
      </c>
      <c r="W1235" s="68"/>
      <c r="X1235" s="64" t="str">
        <f>IF(Y1235&lt;&gt;0,VLOOKUP(Y1235,DM_DUAN,3,0),"")</f>
        <v>#N/A</v>
      </c>
      <c r="Y1235" s="69" t="s">
        <v>176</v>
      </c>
      <c r="Z1235" s="64" t="str">
        <f>IF(AA1235&lt;&gt;0,VLOOKUP(AA1235,DM_DUAN,3,0),"")</f>
        <v>#N/A</v>
      </c>
      <c r="AA1235" s="70" t="s">
        <v>210</v>
      </c>
      <c r="AB1235" s="64" t="str">
        <f>IF(AC1235&lt;&gt;0,VLOOKUP(AC1235,DM_DUAN,3,0),"")</f>
        <v/>
      </c>
      <c r="AC1235" s="85"/>
      <c r="AD1235" s="64" t="str">
        <f>IF(AC1235&lt;&gt;0,VLOOKUP(AC1235,DM_NV,2,0),"")</f>
        <v/>
      </c>
      <c r="AE1235" s="68"/>
      <c r="AF1235" s="64" t="str">
        <f>IF(AE1235&lt;&gt;0,VLOOKUP(AE1235,DM_NV,2,0),"")</f>
        <v/>
      </c>
    </row>
    <row r="1236">
      <c r="A1236" s="51"/>
      <c r="B1236" s="52" t="str">
        <f>IF(D1236="","",VLOOKUP(D1236,'THAM CHIẾU'!$A:$B,2,0))</f>
        <v>#N/A</v>
      </c>
      <c r="C1236" s="53" t="str">
        <f t="shared" si="5"/>
        <v>05/2022</v>
      </c>
      <c r="D1236" s="99">
        <v>44696.0</v>
      </c>
      <c r="E1236" s="55" t="s">
        <v>1200</v>
      </c>
      <c r="F1236" s="56"/>
      <c r="G1236" s="57" t="s">
        <v>173</v>
      </c>
      <c r="H1236" s="58" t="str">
        <f>IF(G1236="","",VLOOKUP($G1236,'Quy chuẩn hạch toán'!$B:$E,2,0))</f>
        <v>641</v>
      </c>
      <c r="I1236" s="58" t="str">
        <f>IF(H1236="","",VLOOKUP($G1236,'Quy chuẩn hạch toán'!$B:$E,3,0))</f>
        <v>331</v>
      </c>
      <c r="J1236" s="59">
        <v>2736000.0</v>
      </c>
      <c r="K1236" s="60"/>
      <c r="L1236" s="61"/>
      <c r="M1236" s="62"/>
      <c r="N1236" s="63"/>
      <c r="O1236" s="64" t="str">
        <f>IF($Q1236&lt;&gt;0,VLOOKUP($Q1236,DM_KM,3,0),"")</f>
        <v>#N/A</v>
      </c>
      <c r="P1236" s="64" t="str">
        <f>IF($Q1236&lt;&gt;0,VLOOKUP($Q1236,DM_KM,5,0),"")</f>
        <v>#N/A</v>
      </c>
      <c r="Q1236" s="65" t="s">
        <v>174</v>
      </c>
      <c r="R1236" s="64" t="str">
        <f>IF(S1236&lt;&gt;0,VLOOKUP(S1236,DM_DUAN,3,0),"")</f>
        <v>#N/A</v>
      </c>
      <c r="S1236" s="66" t="str">
        <f>IF(U1236&lt;&gt;0,VLOOKUP(U1236,DM_DUAN,3,0),"")</f>
        <v>CLOUDLAND</v>
      </c>
      <c r="T1236" s="64"/>
      <c r="U1236" s="67" t="s">
        <v>956</v>
      </c>
      <c r="V1236" s="64" t="str">
        <f>IF(W1236&lt;&gt;0,VLOOKUP(W1236,DM_DUAN,3,0),"")</f>
        <v/>
      </c>
      <c r="W1236" s="68"/>
      <c r="X1236" s="64" t="str">
        <f>IF(Y1236&lt;&gt;0,VLOOKUP(Y1236,DM_DUAN,3,0),"")</f>
        <v>#N/A</v>
      </c>
      <c r="Y1236" s="69" t="s">
        <v>176</v>
      </c>
      <c r="Z1236" s="64" t="str">
        <f>IF(AA1236&lt;&gt;0,VLOOKUP(AA1236,DM_DUAN,3,0),"")</f>
        <v>#N/A</v>
      </c>
      <c r="AA1236" s="70" t="s">
        <v>210</v>
      </c>
      <c r="AB1236" s="64" t="str">
        <f>IF(AC1236&lt;&gt;0,VLOOKUP(AC1236,DM_DUAN,3,0),"")</f>
        <v/>
      </c>
      <c r="AC1236" s="85"/>
      <c r="AD1236" s="64" t="str">
        <f>IF(AC1236&lt;&gt;0,VLOOKUP(AC1236,DM_NV,2,0),"")</f>
        <v/>
      </c>
      <c r="AE1236" s="68"/>
      <c r="AF1236" s="64" t="str">
        <f>IF(AE1236&lt;&gt;0,VLOOKUP(AE1236,DM_NV,2,0),"")</f>
        <v/>
      </c>
    </row>
    <row r="1237">
      <c r="A1237" s="51"/>
      <c r="B1237" s="52" t="str">
        <f>IF(D1237="","",VLOOKUP(D1237,'THAM CHIẾU'!$A:$B,2,0))</f>
        <v>#N/A</v>
      </c>
      <c r="C1237" s="53" t="str">
        <f t="shared" si="5"/>
        <v>05/2022</v>
      </c>
      <c r="D1237" s="99">
        <v>44710.0</v>
      </c>
      <c r="E1237" s="55" t="s">
        <v>1201</v>
      </c>
      <c r="F1237" s="56"/>
      <c r="G1237" s="57" t="s">
        <v>173</v>
      </c>
      <c r="H1237" s="58" t="str">
        <f>IF(G1237="","",VLOOKUP($G1237,'Quy chuẩn hạch toán'!$B:$E,2,0))</f>
        <v>641</v>
      </c>
      <c r="I1237" s="58" t="str">
        <f>IF(H1237="","",VLOOKUP($G1237,'Quy chuẩn hạch toán'!$B:$E,3,0))</f>
        <v>331</v>
      </c>
      <c r="J1237" s="59">
        <v>2500000.0</v>
      </c>
      <c r="K1237" s="60"/>
      <c r="L1237" s="61"/>
      <c r="M1237" s="62"/>
      <c r="N1237" s="63"/>
      <c r="O1237" s="64" t="str">
        <f>IF($Q1237&lt;&gt;0,VLOOKUP($Q1237,DM_KM,3,0),"")</f>
        <v>#N/A</v>
      </c>
      <c r="P1237" s="64" t="str">
        <f>IF($Q1237&lt;&gt;0,VLOOKUP($Q1237,DM_KM,5,0),"")</f>
        <v>#N/A</v>
      </c>
      <c r="Q1237" s="65" t="s">
        <v>174</v>
      </c>
      <c r="R1237" s="64" t="str">
        <f>IF(S1237&lt;&gt;0,VLOOKUP(S1237,DM_DUAN,3,0),"")</f>
        <v>#N/A</v>
      </c>
      <c r="S1237" s="66" t="str">
        <f>IF(U1237&lt;&gt;0,VLOOKUP(U1237,DM_DUAN,3,0),"")</f>
        <v>CLOUDLAND</v>
      </c>
      <c r="T1237" s="64"/>
      <c r="U1237" s="67" t="s">
        <v>956</v>
      </c>
      <c r="V1237" s="64" t="str">
        <f>IF(W1237&lt;&gt;0,VLOOKUP(W1237,DM_DUAN,3,0),"")</f>
        <v/>
      </c>
      <c r="W1237" s="68"/>
      <c r="X1237" s="64" t="str">
        <f>IF(Y1237&lt;&gt;0,VLOOKUP(Y1237,DM_DUAN,3,0),"")</f>
        <v>#N/A</v>
      </c>
      <c r="Y1237" s="69" t="s">
        <v>176</v>
      </c>
      <c r="Z1237" s="64" t="str">
        <f>IF(AA1237&lt;&gt;0,VLOOKUP(AA1237,DM_DUAN,3,0),"")</f>
        <v>#N/A</v>
      </c>
      <c r="AA1237" s="70" t="s">
        <v>210</v>
      </c>
      <c r="AB1237" s="64" t="str">
        <f>IF(AC1237&lt;&gt;0,VLOOKUP(AC1237,DM_DUAN,3,0),"")</f>
        <v/>
      </c>
      <c r="AC1237" s="85"/>
      <c r="AD1237" s="64" t="str">
        <f>IF(AC1237&lt;&gt;0,VLOOKUP(AC1237,DM_NV,2,0),"")</f>
        <v/>
      </c>
      <c r="AE1237" s="68"/>
      <c r="AF1237" s="64" t="str">
        <f>IF(AE1237&lt;&gt;0,VLOOKUP(AE1237,DM_NV,2,0),"")</f>
        <v/>
      </c>
    </row>
    <row r="1238">
      <c r="A1238" s="51"/>
      <c r="B1238" s="52" t="str">
        <f>IF(D1238="","",VLOOKUP(D1238,'THAM CHIẾU'!$A:$B,2,0))</f>
        <v>#N/A</v>
      </c>
      <c r="C1238" s="53" t="str">
        <f t="shared" si="5"/>
        <v>05/2022</v>
      </c>
      <c r="D1238" s="99">
        <v>44689.0</v>
      </c>
      <c r="E1238" s="55" t="s">
        <v>1202</v>
      </c>
      <c r="F1238" s="56"/>
      <c r="G1238" s="57" t="s">
        <v>173</v>
      </c>
      <c r="H1238" s="58" t="str">
        <f>IF(G1238="","",VLOOKUP($G1238,'Quy chuẩn hạch toán'!$B:$E,2,0))</f>
        <v>641</v>
      </c>
      <c r="I1238" s="58" t="str">
        <f>IF(H1238="","",VLOOKUP($G1238,'Quy chuẩn hạch toán'!$B:$E,3,0))</f>
        <v>331</v>
      </c>
      <c r="J1238" s="95"/>
      <c r="K1238" s="60"/>
      <c r="L1238" s="61"/>
      <c r="M1238" s="62"/>
      <c r="N1238" s="63"/>
      <c r="O1238" s="64" t="str">
        <f>IF($Q1238&lt;&gt;0,VLOOKUP($Q1238,DM_KM,3,0),"")</f>
        <v>#N/A</v>
      </c>
      <c r="P1238" s="64" t="str">
        <f>IF($Q1238&lt;&gt;0,VLOOKUP($Q1238,DM_KM,5,0),"")</f>
        <v>#N/A</v>
      </c>
      <c r="Q1238" s="65" t="s">
        <v>174</v>
      </c>
      <c r="R1238" s="64" t="str">
        <f>IF(S1238&lt;&gt;0,VLOOKUP(S1238,DM_DUAN,3,0),"")</f>
        <v>#N/A</v>
      </c>
      <c r="S1238" s="66" t="str">
        <f>IF(U1238&lt;&gt;0,VLOOKUP(U1238,DM_DUAN,3,0),"")</f>
        <v>CLOUDLAND</v>
      </c>
      <c r="T1238" s="64"/>
      <c r="U1238" s="67" t="s">
        <v>956</v>
      </c>
      <c r="V1238" s="64" t="str">
        <f>IF(W1238&lt;&gt;0,VLOOKUP(W1238,DM_DUAN,3,0),"")</f>
        <v/>
      </c>
      <c r="W1238" s="68"/>
      <c r="X1238" s="64" t="str">
        <f>IF(Y1238&lt;&gt;0,VLOOKUP(Y1238,DM_DUAN,3,0),"")</f>
        <v>#N/A</v>
      </c>
      <c r="Y1238" s="69" t="s">
        <v>176</v>
      </c>
      <c r="Z1238" s="64" t="str">
        <f>IF(AA1238&lt;&gt;0,VLOOKUP(AA1238,DM_DUAN,3,0),"")</f>
        <v>#N/A</v>
      </c>
      <c r="AA1238" s="70" t="s">
        <v>177</v>
      </c>
      <c r="AB1238" s="64" t="str">
        <f>IF(AC1238&lt;&gt;0,VLOOKUP(AC1238,DM_DUAN,3,0),"")</f>
        <v/>
      </c>
      <c r="AC1238" s="85"/>
      <c r="AD1238" s="64" t="str">
        <f>IF(AC1238&lt;&gt;0,VLOOKUP(AC1238,DM_NV,2,0),"")</f>
        <v/>
      </c>
      <c r="AE1238" s="68"/>
      <c r="AF1238" s="64" t="str">
        <f>IF(AE1238&lt;&gt;0,VLOOKUP(AE1238,DM_NV,2,0),"")</f>
        <v/>
      </c>
    </row>
    <row r="1239">
      <c r="A1239" s="51"/>
      <c r="B1239" s="52" t="str">
        <f>IF(D1239="","",VLOOKUP(D1239,'THAM CHIẾU'!$A:$B,2,0))</f>
        <v>#N/A</v>
      </c>
      <c r="C1239" s="53" t="str">
        <f t="shared" si="5"/>
        <v>05/2022</v>
      </c>
      <c r="D1239" s="99">
        <v>44697.0</v>
      </c>
      <c r="E1239" s="55" t="s">
        <v>1203</v>
      </c>
      <c r="F1239" s="56"/>
      <c r="G1239" s="57" t="s">
        <v>173</v>
      </c>
      <c r="H1239" s="58" t="str">
        <f>IF(G1239="","",VLOOKUP($G1239,'Quy chuẩn hạch toán'!$B:$E,2,0))</f>
        <v>641</v>
      </c>
      <c r="I1239" s="58" t="str">
        <f>IF(H1239="","",VLOOKUP($G1239,'Quy chuẩn hạch toán'!$B:$E,3,0))</f>
        <v>331</v>
      </c>
      <c r="J1239" s="59">
        <v>3500000.0</v>
      </c>
      <c r="K1239" s="60"/>
      <c r="L1239" s="61"/>
      <c r="M1239" s="62"/>
      <c r="N1239" s="63"/>
      <c r="O1239" s="64" t="str">
        <f>IF($Q1239&lt;&gt;0,VLOOKUP($Q1239,DM_KM,3,0),"")</f>
        <v>#N/A</v>
      </c>
      <c r="P1239" s="64" t="str">
        <f>IF($Q1239&lt;&gt;0,VLOOKUP($Q1239,DM_KM,5,0),"")</f>
        <v>#N/A</v>
      </c>
      <c r="Q1239" s="65" t="s">
        <v>174</v>
      </c>
      <c r="R1239" s="64" t="str">
        <f>IF(S1239&lt;&gt;0,VLOOKUP(S1239,DM_DUAN,3,0),"")</f>
        <v>#N/A</v>
      </c>
      <c r="S1239" s="66" t="str">
        <f>IF(U1239&lt;&gt;0,VLOOKUP(U1239,DM_DUAN,3,0),"")</f>
        <v>CLOUDLAND</v>
      </c>
      <c r="T1239" s="64"/>
      <c r="U1239" s="67" t="s">
        <v>956</v>
      </c>
      <c r="V1239" s="64" t="str">
        <f>IF(W1239&lt;&gt;0,VLOOKUP(W1239,DM_DUAN,3,0),"")</f>
        <v/>
      </c>
      <c r="W1239" s="68"/>
      <c r="X1239" s="64" t="str">
        <f>IF(Y1239&lt;&gt;0,VLOOKUP(Y1239,DM_DUAN,3,0),"")</f>
        <v>#N/A</v>
      </c>
      <c r="Y1239" s="69" t="s">
        <v>176</v>
      </c>
      <c r="Z1239" s="64" t="str">
        <f>IF(AA1239&lt;&gt;0,VLOOKUP(AA1239,DM_DUAN,3,0),"")</f>
        <v>#N/A</v>
      </c>
      <c r="AA1239" s="70" t="s">
        <v>177</v>
      </c>
      <c r="AB1239" s="64" t="str">
        <f>IF(AC1239&lt;&gt;0,VLOOKUP(AC1239,DM_DUAN,3,0),"")</f>
        <v/>
      </c>
      <c r="AC1239" s="85"/>
      <c r="AD1239" s="64" t="str">
        <f>IF(AC1239&lt;&gt;0,VLOOKUP(AC1239,DM_NV,2,0),"")</f>
        <v/>
      </c>
      <c r="AE1239" s="68"/>
      <c r="AF1239" s="64" t="str">
        <f>IF(AE1239&lt;&gt;0,VLOOKUP(AE1239,DM_NV,2,0),"")</f>
        <v/>
      </c>
    </row>
    <row r="1240">
      <c r="A1240" s="51"/>
      <c r="B1240" s="52" t="str">
        <f>IF(D1240="","",VLOOKUP(D1240,'THAM CHIẾU'!$A:$B,2,0))</f>
        <v>#N/A</v>
      </c>
      <c r="C1240" s="53" t="str">
        <f t="shared" si="5"/>
        <v>05/2022</v>
      </c>
      <c r="D1240" s="99">
        <v>44700.0</v>
      </c>
      <c r="E1240" s="55" t="s">
        <v>1204</v>
      </c>
      <c r="F1240" s="56"/>
      <c r="G1240" s="57" t="s">
        <v>173</v>
      </c>
      <c r="H1240" s="58" t="str">
        <f>IF(G1240="","",VLOOKUP($G1240,'Quy chuẩn hạch toán'!$B:$E,2,0))</f>
        <v>641</v>
      </c>
      <c r="I1240" s="58" t="str">
        <f>IF(H1240="","",VLOOKUP($G1240,'Quy chuẩn hạch toán'!$B:$E,3,0))</f>
        <v>331</v>
      </c>
      <c r="J1240" s="59">
        <v>2548000.0</v>
      </c>
      <c r="K1240" s="60"/>
      <c r="L1240" s="61"/>
      <c r="M1240" s="62"/>
      <c r="N1240" s="63"/>
      <c r="O1240" s="64" t="str">
        <f>IF($Q1240&lt;&gt;0,VLOOKUP($Q1240,DM_KM,3,0),"")</f>
        <v>#N/A</v>
      </c>
      <c r="P1240" s="64" t="str">
        <f>IF($Q1240&lt;&gt;0,VLOOKUP($Q1240,DM_KM,5,0),"")</f>
        <v>#N/A</v>
      </c>
      <c r="Q1240" s="65" t="s">
        <v>174</v>
      </c>
      <c r="R1240" s="64" t="str">
        <f>IF(S1240&lt;&gt;0,VLOOKUP(S1240,DM_DUAN,3,0),"")</f>
        <v>#N/A</v>
      </c>
      <c r="S1240" s="66" t="str">
        <f>IF(U1240&lt;&gt;0,VLOOKUP(U1240,DM_DUAN,3,0),"")</f>
        <v>CLOUDLAND</v>
      </c>
      <c r="T1240" s="64"/>
      <c r="U1240" s="67" t="s">
        <v>956</v>
      </c>
      <c r="V1240" s="64" t="str">
        <f>IF(W1240&lt;&gt;0,VLOOKUP(W1240,DM_DUAN,3,0),"")</f>
        <v/>
      </c>
      <c r="W1240" s="68"/>
      <c r="X1240" s="64" t="str">
        <f>IF(Y1240&lt;&gt;0,VLOOKUP(Y1240,DM_DUAN,3,0),"")</f>
        <v>#N/A</v>
      </c>
      <c r="Y1240" s="69" t="s">
        <v>176</v>
      </c>
      <c r="Z1240" s="64" t="str">
        <f>IF(AA1240&lt;&gt;0,VLOOKUP(AA1240,DM_DUAN,3,0),"")</f>
        <v>#N/A</v>
      </c>
      <c r="AA1240" s="70" t="s">
        <v>177</v>
      </c>
      <c r="AB1240" s="64" t="str">
        <f>IF(AC1240&lt;&gt;0,VLOOKUP(AC1240,DM_DUAN,3,0),"")</f>
        <v/>
      </c>
      <c r="AC1240" s="85"/>
      <c r="AD1240" s="64" t="str">
        <f>IF(AC1240&lt;&gt;0,VLOOKUP(AC1240,DM_NV,2,0),"")</f>
        <v/>
      </c>
      <c r="AE1240" s="68"/>
      <c r="AF1240" s="64" t="str">
        <f>IF(AE1240&lt;&gt;0,VLOOKUP(AE1240,DM_NV,2,0),"")</f>
        <v/>
      </c>
    </row>
    <row r="1241">
      <c r="A1241" s="51"/>
      <c r="B1241" s="52" t="str">
        <f>IF(D1241="","",VLOOKUP(D1241,'THAM CHIẾU'!$A:$B,2,0))</f>
        <v>#N/A</v>
      </c>
      <c r="C1241" s="53" t="str">
        <f t="shared" si="5"/>
        <v>05/2022</v>
      </c>
      <c r="D1241" s="99">
        <v>44702.0</v>
      </c>
      <c r="E1241" s="55" t="s">
        <v>1204</v>
      </c>
      <c r="F1241" s="56"/>
      <c r="G1241" s="57" t="s">
        <v>173</v>
      </c>
      <c r="H1241" s="58" t="str">
        <f>IF(G1241="","",VLOOKUP($G1241,'Quy chuẩn hạch toán'!$B:$E,2,0))</f>
        <v>641</v>
      </c>
      <c r="I1241" s="58" t="str">
        <f>IF(H1241="","",VLOOKUP($G1241,'Quy chuẩn hạch toán'!$B:$E,3,0))</f>
        <v>331</v>
      </c>
      <c r="J1241" s="59">
        <v>2616000.0</v>
      </c>
      <c r="K1241" s="60"/>
      <c r="L1241" s="61"/>
      <c r="M1241" s="62"/>
      <c r="N1241" s="63"/>
      <c r="O1241" s="64" t="str">
        <f>IF($Q1241&lt;&gt;0,VLOOKUP($Q1241,DM_KM,3,0),"")</f>
        <v>#N/A</v>
      </c>
      <c r="P1241" s="64" t="str">
        <f>IF($Q1241&lt;&gt;0,VLOOKUP($Q1241,DM_KM,5,0),"")</f>
        <v>#N/A</v>
      </c>
      <c r="Q1241" s="65" t="s">
        <v>174</v>
      </c>
      <c r="R1241" s="64" t="str">
        <f>IF(S1241&lt;&gt;0,VLOOKUP(S1241,DM_DUAN,3,0),"")</f>
        <v>#N/A</v>
      </c>
      <c r="S1241" s="66" t="str">
        <f>IF(U1241&lt;&gt;0,VLOOKUP(U1241,DM_DUAN,3,0),"")</f>
        <v>CLOUDLAND</v>
      </c>
      <c r="T1241" s="64"/>
      <c r="U1241" s="67" t="s">
        <v>956</v>
      </c>
      <c r="V1241" s="64" t="str">
        <f>IF(W1241&lt;&gt;0,VLOOKUP(W1241,DM_DUAN,3,0),"")</f>
        <v/>
      </c>
      <c r="W1241" s="68"/>
      <c r="X1241" s="64" t="str">
        <f>IF(Y1241&lt;&gt;0,VLOOKUP(Y1241,DM_DUAN,3,0),"")</f>
        <v>#N/A</v>
      </c>
      <c r="Y1241" s="69" t="s">
        <v>176</v>
      </c>
      <c r="Z1241" s="64" t="str">
        <f>IF(AA1241&lt;&gt;0,VLOOKUP(AA1241,DM_DUAN,3,0),"")</f>
        <v>#N/A</v>
      </c>
      <c r="AA1241" s="70" t="s">
        <v>177</v>
      </c>
      <c r="AB1241" s="64" t="str">
        <f>IF(AC1241&lt;&gt;0,VLOOKUP(AC1241,DM_DUAN,3,0),"")</f>
        <v/>
      </c>
      <c r="AC1241" s="85"/>
      <c r="AD1241" s="64" t="str">
        <f>IF(AC1241&lt;&gt;0,VLOOKUP(AC1241,DM_NV,2,0),"")</f>
        <v/>
      </c>
      <c r="AE1241" s="68"/>
      <c r="AF1241" s="64" t="str">
        <f>IF(AE1241&lt;&gt;0,VLOOKUP(AE1241,DM_NV,2,0),"")</f>
        <v/>
      </c>
    </row>
    <row r="1242">
      <c r="A1242" s="51"/>
      <c r="B1242" s="52" t="str">
        <f>IF(D1242="","",VLOOKUP(D1242,'THAM CHIẾU'!$A:$B,2,0))</f>
        <v>#N/A</v>
      </c>
      <c r="C1242" s="53" t="str">
        <f t="shared" si="5"/>
        <v>05/2022</v>
      </c>
      <c r="D1242" s="99">
        <v>44708.0</v>
      </c>
      <c r="E1242" s="55" t="s">
        <v>1205</v>
      </c>
      <c r="F1242" s="56"/>
      <c r="G1242" s="57" t="s">
        <v>173</v>
      </c>
      <c r="H1242" s="58" t="str">
        <f>IF(G1242="","",VLOOKUP($G1242,'Quy chuẩn hạch toán'!$B:$E,2,0))</f>
        <v>641</v>
      </c>
      <c r="I1242" s="58" t="str">
        <f>IF(H1242="","",VLOOKUP($G1242,'Quy chuẩn hạch toán'!$B:$E,3,0))</f>
        <v>331</v>
      </c>
      <c r="J1242" s="59">
        <v>2556000.0</v>
      </c>
      <c r="K1242" s="60"/>
      <c r="L1242" s="61"/>
      <c r="M1242" s="62"/>
      <c r="N1242" s="63"/>
      <c r="O1242" s="64" t="str">
        <f>IF($Q1242&lt;&gt;0,VLOOKUP($Q1242,DM_KM,3,0),"")</f>
        <v>#N/A</v>
      </c>
      <c r="P1242" s="64" t="str">
        <f>IF($Q1242&lt;&gt;0,VLOOKUP($Q1242,DM_KM,5,0),"")</f>
        <v>#N/A</v>
      </c>
      <c r="Q1242" s="65" t="s">
        <v>174</v>
      </c>
      <c r="R1242" s="64" t="str">
        <f>IF(S1242&lt;&gt;0,VLOOKUP(S1242,DM_DUAN,3,0),"")</f>
        <v>#N/A</v>
      </c>
      <c r="S1242" s="66" t="str">
        <f>IF(U1242&lt;&gt;0,VLOOKUP(U1242,DM_DUAN,3,0),"")</f>
        <v>CLOUDLAND</v>
      </c>
      <c r="T1242" s="64"/>
      <c r="U1242" s="67" t="s">
        <v>956</v>
      </c>
      <c r="V1242" s="64" t="str">
        <f>IF(W1242&lt;&gt;0,VLOOKUP(W1242,DM_DUAN,3,0),"")</f>
        <v/>
      </c>
      <c r="W1242" s="68"/>
      <c r="X1242" s="64" t="str">
        <f>IF(Y1242&lt;&gt;0,VLOOKUP(Y1242,DM_DUAN,3,0),"")</f>
        <v>#N/A</v>
      </c>
      <c r="Y1242" s="69" t="s">
        <v>176</v>
      </c>
      <c r="Z1242" s="64" t="str">
        <f>IF(AA1242&lt;&gt;0,VLOOKUP(AA1242,DM_DUAN,3,0),"")</f>
        <v>#N/A</v>
      </c>
      <c r="AA1242" s="70" t="s">
        <v>177</v>
      </c>
      <c r="AB1242" s="64" t="str">
        <f>IF(AC1242&lt;&gt;0,VLOOKUP(AC1242,DM_DUAN,3,0),"")</f>
        <v/>
      </c>
      <c r="AC1242" s="85"/>
      <c r="AD1242" s="64" t="str">
        <f>IF(AC1242&lt;&gt;0,VLOOKUP(AC1242,DM_NV,2,0),"")</f>
        <v/>
      </c>
      <c r="AE1242" s="68"/>
      <c r="AF1242" s="64" t="str">
        <f>IF(AE1242&lt;&gt;0,VLOOKUP(AE1242,DM_NV,2,0),"")</f>
        <v/>
      </c>
    </row>
    <row r="1243">
      <c r="A1243" s="51"/>
      <c r="B1243" s="52" t="str">
        <f>IF(D1243="","",VLOOKUP(D1243,'THAM CHIẾU'!$A:$B,2,0))</f>
        <v>#N/A</v>
      </c>
      <c r="C1243" s="53" t="str">
        <f t="shared" si="5"/>
        <v>05/2022</v>
      </c>
      <c r="D1243" s="99">
        <v>44710.0</v>
      </c>
      <c r="E1243" s="55" t="s">
        <v>1206</v>
      </c>
      <c r="F1243" s="56"/>
      <c r="G1243" s="57" t="s">
        <v>173</v>
      </c>
      <c r="H1243" s="58" t="str">
        <f>IF(G1243="","",VLOOKUP($G1243,'Quy chuẩn hạch toán'!$B:$E,2,0))</f>
        <v>641</v>
      </c>
      <c r="I1243" s="58" t="str">
        <f>IF(H1243="","",VLOOKUP($G1243,'Quy chuẩn hạch toán'!$B:$E,3,0))</f>
        <v>331</v>
      </c>
      <c r="J1243" s="59">
        <v>2732000.0</v>
      </c>
      <c r="K1243" s="60"/>
      <c r="L1243" s="61"/>
      <c r="M1243" s="62"/>
      <c r="N1243" s="63"/>
      <c r="O1243" s="64" t="str">
        <f>IF($Q1243&lt;&gt;0,VLOOKUP($Q1243,DM_KM,3,0),"")</f>
        <v>#N/A</v>
      </c>
      <c r="P1243" s="64" t="str">
        <f>IF($Q1243&lt;&gt;0,VLOOKUP($Q1243,DM_KM,5,0),"")</f>
        <v>#N/A</v>
      </c>
      <c r="Q1243" s="65" t="s">
        <v>174</v>
      </c>
      <c r="R1243" s="64" t="str">
        <f>IF(S1243&lt;&gt;0,VLOOKUP(S1243,DM_DUAN,3,0),"")</f>
        <v>#N/A</v>
      </c>
      <c r="S1243" s="66" t="str">
        <f>IF(U1243&lt;&gt;0,VLOOKUP(U1243,DM_DUAN,3,0),"")</f>
        <v>CLOUDLAND</v>
      </c>
      <c r="T1243" s="64"/>
      <c r="U1243" s="67" t="s">
        <v>956</v>
      </c>
      <c r="V1243" s="64" t="str">
        <f>IF(W1243&lt;&gt;0,VLOOKUP(W1243,DM_DUAN,3,0),"")</f>
        <v/>
      </c>
      <c r="W1243" s="68"/>
      <c r="X1243" s="64" t="str">
        <f>IF(Y1243&lt;&gt;0,VLOOKUP(Y1243,DM_DUAN,3,0),"")</f>
        <v>#N/A</v>
      </c>
      <c r="Y1243" s="69" t="s">
        <v>176</v>
      </c>
      <c r="Z1243" s="64" t="str">
        <f>IF(AA1243&lt;&gt;0,VLOOKUP(AA1243,DM_DUAN,3,0),"")</f>
        <v>#N/A</v>
      </c>
      <c r="AA1243" s="70" t="s">
        <v>177</v>
      </c>
      <c r="AB1243" s="64" t="str">
        <f>IF(AC1243&lt;&gt;0,VLOOKUP(AC1243,DM_DUAN,3,0),"")</f>
        <v/>
      </c>
      <c r="AC1243" s="85"/>
      <c r="AD1243" s="64" t="str">
        <f>IF(AC1243&lt;&gt;0,VLOOKUP(AC1243,DM_NV,2,0),"")</f>
        <v/>
      </c>
      <c r="AE1243" s="68"/>
      <c r="AF1243" s="64" t="str">
        <f>IF(AE1243&lt;&gt;0,VLOOKUP(AE1243,DM_NV,2,0),"")</f>
        <v/>
      </c>
    </row>
    <row r="1244">
      <c r="A1244" s="51"/>
      <c r="B1244" s="52" t="str">
        <f>IF(D1244="","",VLOOKUP(D1244,'THAM CHIẾU'!$A:$B,2,0))</f>
        <v>#N/A</v>
      </c>
      <c r="C1244" s="53" t="str">
        <f t="shared" si="5"/>
        <v>05/2022</v>
      </c>
      <c r="D1244" s="99">
        <v>44696.0</v>
      </c>
      <c r="E1244" s="55" t="s">
        <v>1207</v>
      </c>
      <c r="F1244" s="56"/>
      <c r="G1244" s="57" t="s">
        <v>173</v>
      </c>
      <c r="H1244" s="58" t="str">
        <f>IF(G1244="","",VLOOKUP($G1244,'Quy chuẩn hạch toán'!$B:$E,2,0))</f>
        <v>641</v>
      </c>
      <c r="I1244" s="58" t="str">
        <f>IF(H1244="","",VLOOKUP($G1244,'Quy chuẩn hạch toán'!$B:$E,3,0))</f>
        <v>331</v>
      </c>
      <c r="J1244" s="59">
        <v>2500000.0</v>
      </c>
      <c r="K1244" s="60"/>
      <c r="L1244" s="61"/>
      <c r="M1244" s="62"/>
      <c r="N1244" s="63"/>
      <c r="O1244" s="64" t="str">
        <f>IF($Q1244&lt;&gt;0,VLOOKUP($Q1244,DM_KM,3,0),"")</f>
        <v>#N/A</v>
      </c>
      <c r="P1244" s="64" t="str">
        <f>IF($Q1244&lt;&gt;0,VLOOKUP($Q1244,DM_KM,5,0),"")</f>
        <v>#N/A</v>
      </c>
      <c r="Q1244" s="65" t="s">
        <v>174</v>
      </c>
      <c r="R1244" s="64" t="str">
        <f>IF(S1244&lt;&gt;0,VLOOKUP(S1244,DM_DUAN,3,0),"")</f>
        <v>#N/A</v>
      </c>
      <c r="S1244" s="66" t="str">
        <f>IF(U1244&lt;&gt;0,VLOOKUP(U1244,DM_DUAN,3,0),"")</f>
        <v>CLOUDLAND</v>
      </c>
      <c r="T1244" s="64"/>
      <c r="U1244" s="67" t="s">
        <v>956</v>
      </c>
      <c r="V1244" s="64" t="str">
        <f>IF(W1244&lt;&gt;0,VLOOKUP(W1244,DM_DUAN,3,0),"")</f>
        <v/>
      </c>
      <c r="W1244" s="68"/>
      <c r="X1244" s="64" t="str">
        <f>IF(Y1244&lt;&gt;0,VLOOKUP(Y1244,DM_DUAN,3,0),"")</f>
        <v>#N/A</v>
      </c>
      <c r="Y1244" s="69" t="s">
        <v>176</v>
      </c>
      <c r="Z1244" s="64" t="str">
        <f>IF(AA1244&lt;&gt;0,VLOOKUP(AA1244,DM_DUAN,3,0),"")</f>
        <v>#N/A</v>
      </c>
      <c r="AA1244" s="70" t="s">
        <v>183</v>
      </c>
      <c r="AB1244" s="64" t="str">
        <f>IF(AC1244&lt;&gt;0,VLOOKUP(AC1244,DM_DUAN,3,0),"")</f>
        <v/>
      </c>
      <c r="AC1244" s="85"/>
      <c r="AD1244" s="64" t="str">
        <f>IF(AC1244&lt;&gt;0,VLOOKUP(AC1244,DM_NV,2,0),"")</f>
        <v/>
      </c>
      <c r="AE1244" s="68"/>
      <c r="AF1244" s="64" t="str">
        <f>IF(AE1244&lt;&gt;0,VLOOKUP(AE1244,DM_NV,2,0),"")</f>
        <v/>
      </c>
    </row>
    <row r="1245">
      <c r="A1245" s="51"/>
      <c r="B1245" s="52" t="str">
        <f>IF(D1245="","",VLOOKUP(D1245,'THAM CHIẾU'!$A:$B,2,0))</f>
        <v>#N/A</v>
      </c>
      <c r="C1245" s="53" t="str">
        <f t="shared" si="5"/>
        <v>05/2022</v>
      </c>
      <c r="D1245" s="99">
        <v>44705.0</v>
      </c>
      <c r="E1245" s="55" t="s">
        <v>1208</v>
      </c>
      <c r="F1245" s="56"/>
      <c r="G1245" s="57" t="s">
        <v>173</v>
      </c>
      <c r="H1245" s="58" t="str">
        <f>IF(G1245="","",VLOOKUP($G1245,'Quy chuẩn hạch toán'!$B:$E,2,0))</f>
        <v>641</v>
      </c>
      <c r="I1245" s="58" t="str">
        <f>IF(H1245="","",VLOOKUP($G1245,'Quy chuẩn hạch toán'!$B:$E,3,0))</f>
        <v>331</v>
      </c>
      <c r="J1245" s="59"/>
      <c r="K1245" s="60"/>
      <c r="L1245" s="61"/>
      <c r="M1245" s="62"/>
      <c r="N1245" s="63"/>
      <c r="O1245" s="64" t="str">
        <f>IF($Q1245&lt;&gt;0,VLOOKUP($Q1245,DM_KM,3,0),"")</f>
        <v>#N/A</v>
      </c>
      <c r="P1245" s="64" t="str">
        <f>IF($Q1245&lt;&gt;0,VLOOKUP($Q1245,DM_KM,5,0),"")</f>
        <v>#N/A</v>
      </c>
      <c r="Q1245" s="65" t="s">
        <v>174</v>
      </c>
      <c r="R1245" s="64" t="str">
        <f>IF(S1245&lt;&gt;0,VLOOKUP(S1245,DM_DUAN,3,0),"")</f>
        <v>#N/A</v>
      </c>
      <c r="S1245" s="66" t="str">
        <f>IF(U1245&lt;&gt;0,VLOOKUP(U1245,DM_DUAN,3,0),"")</f>
        <v>CLOUDLAND</v>
      </c>
      <c r="T1245" s="64"/>
      <c r="U1245" s="67" t="s">
        <v>956</v>
      </c>
      <c r="V1245" s="64" t="str">
        <f>IF(W1245&lt;&gt;0,VLOOKUP(W1245,DM_DUAN,3,0),"")</f>
        <v/>
      </c>
      <c r="W1245" s="68"/>
      <c r="X1245" s="64" t="str">
        <f>IF(Y1245&lt;&gt;0,VLOOKUP(Y1245,DM_DUAN,3,0),"")</f>
        <v>#N/A</v>
      </c>
      <c r="Y1245" s="69" t="s">
        <v>176</v>
      </c>
      <c r="Z1245" s="64" t="str">
        <f>IF(AA1245&lt;&gt;0,VLOOKUP(AA1245,DM_DUAN,3,0),"")</f>
        <v>#N/A</v>
      </c>
      <c r="AA1245" s="70" t="s">
        <v>183</v>
      </c>
      <c r="AB1245" s="64" t="str">
        <f>IF(AC1245&lt;&gt;0,VLOOKUP(AC1245,DM_DUAN,3,0),"")</f>
        <v/>
      </c>
      <c r="AC1245" s="85"/>
      <c r="AD1245" s="64" t="str">
        <f>IF(AC1245&lt;&gt;0,VLOOKUP(AC1245,DM_NV,2,0),"")</f>
        <v/>
      </c>
      <c r="AE1245" s="68"/>
      <c r="AF1245" s="64" t="str">
        <f>IF(AE1245&lt;&gt;0,VLOOKUP(AE1245,DM_NV,2,0),"")</f>
        <v/>
      </c>
    </row>
    <row r="1246">
      <c r="A1246" s="51"/>
      <c r="B1246" s="52" t="str">
        <f>IF(D1246="","",VLOOKUP(D1246,'THAM CHIẾU'!$A:$B,2,0))</f>
        <v>#N/A</v>
      </c>
      <c r="C1246" s="53" t="str">
        <f t="shared" si="5"/>
        <v>05/2022</v>
      </c>
      <c r="D1246" s="99">
        <v>44710.0</v>
      </c>
      <c r="E1246" s="55" t="s">
        <v>1209</v>
      </c>
      <c r="F1246" s="56"/>
      <c r="G1246" s="57" t="s">
        <v>173</v>
      </c>
      <c r="H1246" s="58" t="str">
        <f>IF(G1246="","",VLOOKUP($G1246,'Quy chuẩn hạch toán'!$B:$E,2,0))</f>
        <v>641</v>
      </c>
      <c r="I1246" s="58" t="str">
        <f>IF(H1246="","",VLOOKUP($G1246,'Quy chuẩn hạch toán'!$B:$E,3,0))</f>
        <v>331</v>
      </c>
      <c r="J1246" s="59">
        <v>2576000.0</v>
      </c>
      <c r="K1246" s="60"/>
      <c r="L1246" s="61"/>
      <c r="M1246" s="62"/>
      <c r="N1246" s="63"/>
      <c r="O1246" s="64" t="str">
        <f>IF($Q1246&lt;&gt;0,VLOOKUP($Q1246,DM_KM,3,0),"")</f>
        <v>#N/A</v>
      </c>
      <c r="P1246" s="64" t="str">
        <f>IF($Q1246&lt;&gt;0,VLOOKUP($Q1246,DM_KM,5,0),"")</f>
        <v>#N/A</v>
      </c>
      <c r="Q1246" s="65" t="s">
        <v>174</v>
      </c>
      <c r="R1246" s="64" t="str">
        <f>IF(S1246&lt;&gt;0,VLOOKUP(S1246,DM_DUAN,3,0),"")</f>
        <v>#N/A</v>
      </c>
      <c r="S1246" s="66" t="str">
        <f>IF(U1246&lt;&gt;0,VLOOKUP(U1246,DM_DUAN,3,0),"")</f>
        <v>CLOUDLAND</v>
      </c>
      <c r="T1246" s="64"/>
      <c r="U1246" s="67" t="s">
        <v>956</v>
      </c>
      <c r="V1246" s="64" t="str">
        <f>IF(W1246&lt;&gt;0,VLOOKUP(W1246,DM_DUAN,3,0),"")</f>
        <v/>
      </c>
      <c r="W1246" s="68"/>
      <c r="X1246" s="64" t="str">
        <f>IF(Y1246&lt;&gt;0,VLOOKUP(Y1246,DM_DUAN,3,0),"")</f>
        <v>#N/A</v>
      </c>
      <c r="Y1246" s="69" t="s">
        <v>176</v>
      </c>
      <c r="Z1246" s="64" t="str">
        <f>IF(AA1246&lt;&gt;0,VLOOKUP(AA1246,DM_DUAN,3,0),"")</f>
        <v>#N/A</v>
      </c>
      <c r="AA1246" s="70" t="s">
        <v>183</v>
      </c>
      <c r="AB1246" s="64" t="str">
        <f>IF(AC1246&lt;&gt;0,VLOOKUP(AC1246,DM_DUAN,3,0),"")</f>
        <v/>
      </c>
      <c r="AC1246" s="85"/>
      <c r="AD1246" s="64" t="str">
        <f>IF(AC1246&lt;&gt;0,VLOOKUP(AC1246,DM_NV,2,0),"")</f>
        <v/>
      </c>
      <c r="AE1246" s="68"/>
      <c r="AF1246" s="64" t="str">
        <f>IF(AE1246&lt;&gt;0,VLOOKUP(AE1246,DM_NV,2,0),"")</f>
        <v/>
      </c>
    </row>
    <row r="1247">
      <c r="A1247" s="51"/>
      <c r="B1247" s="52" t="str">
        <f>IF(D1247="","",VLOOKUP(D1247,'THAM CHIẾU'!$A:$B,2,0))</f>
        <v>#N/A</v>
      </c>
      <c r="C1247" s="53" t="str">
        <f t="shared" si="5"/>
        <v>05/2022</v>
      </c>
      <c r="D1247" s="99">
        <v>44698.0</v>
      </c>
      <c r="E1247" s="55" t="s">
        <v>1210</v>
      </c>
      <c r="F1247" s="56"/>
      <c r="G1247" s="57" t="s">
        <v>249</v>
      </c>
      <c r="H1247" s="58" t="str">
        <f>IF(G1247="","",VLOOKUP($G1247,'Quy chuẩn hạch toán'!$B:$E,2,0))</f>
        <v>642</v>
      </c>
      <c r="I1247" s="58" t="str">
        <f>IF(H1247="","",VLOOKUP($G1247,'Quy chuẩn hạch toán'!$B:$E,3,0))</f>
        <v>331</v>
      </c>
      <c r="J1247" s="59">
        <v>1.8E7</v>
      </c>
      <c r="K1247" s="60"/>
      <c r="L1247" s="61"/>
      <c r="M1247" s="62"/>
      <c r="N1247" s="63"/>
      <c r="O1247" s="64" t="str">
        <f>IF($Q1247&lt;&gt;0,VLOOKUP($Q1247,DM_KM,3,0),"")</f>
        <v>CPNS</v>
      </c>
      <c r="P1247" s="64">
        <f>IF($Q1247&lt;&gt;0,VLOOKUP($Q1247,DM_KM,5,0),"")</f>
        <v>642</v>
      </c>
      <c r="Q1247" s="65" t="s">
        <v>1211</v>
      </c>
      <c r="R1247" s="64" t="str">
        <f>IF(S1247&lt;&gt;0,VLOOKUP(S1247,DM_DUAN,3,0),"")</f>
        <v>#N/A</v>
      </c>
      <c r="S1247" s="66" t="str">
        <f>IF(U1247&lt;&gt;0,VLOOKUP(U1247,DM_DUAN,3,0),"")</f>
        <v>CLOUDLAND</v>
      </c>
      <c r="T1247" s="64"/>
      <c r="U1247" s="67" t="s">
        <v>956</v>
      </c>
      <c r="V1247" s="64" t="str">
        <f>IF(W1247&lt;&gt;0,VLOOKUP(W1247,DM_DUAN,3,0),"")</f>
        <v/>
      </c>
      <c r="W1247" s="68"/>
      <c r="X1247" s="64" t="str">
        <f>IF(Y1247&lt;&gt;0,VLOOKUP(Y1247,DM_DUAN,3,0),"")</f>
        <v>#N/A</v>
      </c>
      <c r="Y1247" s="69" t="s">
        <v>176</v>
      </c>
      <c r="Z1247" s="64" t="str">
        <f>IF(AA1247&lt;&gt;0,VLOOKUP(AA1247,DM_DUAN,3,0),"")</f>
        <v>#N/A</v>
      </c>
      <c r="AA1247" s="70" t="s">
        <v>177</v>
      </c>
      <c r="AB1247" s="64" t="str">
        <f>IF(AC1247&lt;&gt;0,VLOOKUP(AC1247,DM_DUAN,3,0),"")</f>
        <v/>
      </c>
      <c r="AC1247" s="85"/>
      <c r="AD1247" s="64" t="str">
        <f>IF(AC1247&lt;&gt;0,VLOOKUP(AC1247,DM_NV,2,0),"")</f>
        <v/>
      </c>
      <c r="AE1247" s="68"/>
      <c r="AF1247" s="64" t="str">
        <f>IF(AE1247&lt;&gt;0,VLOOKUP(AE1247,DM_NV,2,0),"")</f>
        <v/>
      </c>
    </row>
    <row r="1248">
      <c r="A1248" s="51"/>
      <c r="B1248" s="52" t="str">
        <f>IF(D1248="","",VLOOKUP(D1248,'THAM CHIẾU'!$A:$B,2,0))</f>
        <v>#N/A</v>
      </c>
      <c r="C1248" s="53" t="str">
        <f t="shared" si="5"/>
        <v>05/2022</v>
      </c>
      <c r="D1248" s="99">
        <v>44706.0</v>
      </c>
      <c r="E1248" s="79" t="s">
        <v>1212</v>
      </c>
      <c r="F1248" s="80"/>
      <c r="G1248" s="57" t="s">
        <v>282</v>
      </c>
      <c r="H1248" s="58" t="str">
        <f>IF(G1248="","",VLOOKUP($G1248,'Quy chuẩn hạch toán'!$B:$E,2,0))</f>
        <v>1111</v>
      </c>
      <c r="I1248" s="58" t="str">
        <f>IF(H1248="","",VLOOKUP($G1248,'Quy chuẩn hạch toán'!$B:$E,3,0))</f>
        <v>131</v>
      </c>
      <c r="J1248" s="95">
        <v>1.46288E8</v>
      </c>
      <c r="K1248" s="60"/>
      <c r="L1248" s="61"/>
      <c r="M1248" s="62"/>
      <c r="N1248" s="63"/>
      <c r="O1248" s="64" t="str">
        <f>IF($Q1248&lt;&gt;0,VLOOKUP($Q1248,DM_KM,3,0),"")</f>
        <v/>
      </c>
      <c r="P1248" s="64" t="str">
        <f>IF($Q1248&lt;&gt;0,VLOOKUP($Q1248,DM_KM,5,0),"")</f>
        <v/>
      </c>
      <c r="Q1248" s="89"/>
      <c r="R1248" s="64" t="str">
        <f>IF(S1248&lt;&gt;0,VLOOKUP(S1248,DM_DUAN,3,0),"")</f>
        <v>#N/A</v>
      </c>
      <c r="S1248" s="66" t="str">
        <f>IF(U1248&lt;&gt;0,VLOOKUP(U1248,DM_DUAN,3,0),"")</f>
        <v>CLOUDLAND</v>
      </c>
      <c r="T1248" s="64"/>
      <c r="U1248" s="67" t="s">
        <v>956</v>
      </c>
      <c r="V1248" s="64" t="str">
        <f>IF(W1248&lt;&gt;0,VLOOKUP(W1248,DM_DUAN,3,0),"")</f>
        <v>#N/A</v>
      </c>
      <c r="W1248" s="83" t="s">
        <v>1114</v>
      </c>
      <c r="X1248" s="64" t="str">
        <f>IF(Y1248&lt;&gt;0,VLOOKUP(Y1248,DM_DUAN,3,0),"")</f>
        <v>#N/A</v>
      </c>
      <c r="Y1248" s="69" t="s">
        <v>176</v>
      </c>
      <c r="Z1248" s="64" t="str">
        <f>IF(AA1248&lt;&gt;0,VLOOKUP(AA1248,DM_DUAN,3,0),"")</f>
        <v>#N/A</v>
      </c>
      <c r="AA1248" s="70" t="s">
        <v>177</v>
      </c>
      <c r="AB1248" s="64" t="str">
        <f>IF(AC1248&lt;&gt;0,VLOOKUP(AC1248,DM_DUAN,3,0),"")</f>
        <v/>
      </c>
      <c r="AC1248" s="85"/>
      <c r="AD1248" s="64" t="str">
        <f>IF(AC1248&lt;&gt;0,VLOOKUP(AC1248,DM_NV,2,0),"")</f>
        <v/>
      </c>
      <c r="AE1248" s="83" t="s">
        <v>283</v>
      </c>
      <c r="AF1248" s="64" t="str">
        <f>IF(AE1248&lt;&gt;0,VLOOKUP(AE1248,DM_NV,2,0),"")</f>
        <v>#N/A</v>
      </c>
    </row>
    <row r="1249">
      <c r="A1249" s="51"/>
      <c r="B1249" s="52" t="str">
        <f>IF(D1249="","",VLOOKUP(D1249,'THAM CHIẾU'!$A:$B,2,0))</f>
        <v>#N/A</v>
      </c>
      <c r="C1249" s="53" t="str">
        <f t="shared" si="5"/>
        <v>05/2022</v>
      </c>
      <c r="D1249" s="99">
        <v>44706.0</v>
      </c>
      <c r="E1249" s="141" t="s">
        <v>1213</v>
      </c>
      <c r="F1249" s="142"/>
      <c r="G1249" s="57" t="s">
        <v>275</v>
      </c>
      <c r="H1249" s="58" t="str">
        <f>IF(G1249="","",VLOOKUP($G1249,'Quy chuẩn hạch toán'!$B:$E,2,0))</f>
        <v>3341</v>
      </c>
      <c r="I1249" s="58" t="str">
        <f>IF(H1249="","",VLOOKUP($G1249,'Quy chuẩn hạch toán'!$B:$E,3,0))</f>
        <v>1111</v>
      </c>
      <c r="J1249" s="95">
        <v>3.0822E7</v>
      </c>
      <c r="K1249" s="60"/>
      <c r="L1249" s="61"/>
      <c r="M1249" s="62"/>
      <c r="N1249" s="63"/>
      <c r="O1249" s="64" t="str">
        <f>IF($Q1249&lt;&gt;0,VLOOKUP($Q1249,DM_KM,3,0),"")</f>
        <v/>
      </c>
      <c r="P1249" s="64" t="str">
        <f>IF($Q1249&lt;&gt;0,VLOOKUP($Q1249,DM_KM,5,0),"")</f>
        <v/>
      </c>
      <c r="Q1249" s="89"/>
      <c r="R1249" s="64" t="str">
        <f>IF(S1249&lt;&gt;0,VLOOKUP(S1249,DM_DUAN,3,0),"")</f>
        <v>#N/A</v>
      </c>
      <c r="S1249" s="66" t="str">
        <f>IF(U1249&lt;&gt;0,VLOOKUP(U1249,DM_DUAN,3,0),"")</f>
        <v>CLOUDLAND</v>
      </c>
      <c r="T1249" s="64"/>
      <c r="U1249" s="67" t="s">
        <v>956</v>
      </c>
      <c r="V1249" s="64" t="str">
        <f>IF(W1249&lt;&gt;0,VLOOKUP(W1249,DM_DUAN,3,0),"")</f>
        <v>#N/A</v>
      </c>
      <c r="W1249" s="83" t="s">
        <v>1114</v>
      </c>
      <c r="X1249" s="64" t="str">
        <f>IF(Y1249&lt;&gt;0,VLOOKUP(Y1249,DM_DUAN,3,0),"")</f>
        <v>#N/A</v>
      </c>
      <c r="Y1249" s="69" t="s">
        <v>176</v>
      </c>
      <c r="Z1249" s="64" t="str">
        <f>IF(AA1249&lt;&gt;0,VLOOKUP(AA1249,DM_DUAN,3,0),"")</f>
        <v>#N/A</v>
      </c>
      <c r="AA1249" s="70" t="s">
        <v>177</v>
      </c>
      <c r="AB1249" s="64" t="str">
        <f>IF(AC1249&lt;&gt;0,VLOOKUP(AC1249,DM_DUAN,3,0),"")</f>
        <v>#N/A</v>
      </c>
      <c r="AC1249" s="70" t="s">
        <v>600</v>
      </c>
      <c r="AD1249" s="64" t="str">
        <f>IF(AC1249&lt;&gt;0,VLOOKUP(AC1249,DM_NV,2,0),"")</f>
        <v>Nguyễn Quốc Việt</v>
      </c>
      <c r="AE1249" s="83" t="s">
        <v>276</v>
      </c>
      <c r="AF1249" s="64" t="str">
        <f>IF(AE1249&lt;&gt;0,VLOOKUP(AE1249,DM_NV,2,0),"")</f>
        <v>#N/A</v>
      </c>
    </row>
    <row r="1250">
      <c r="A1250" s="51"/>
      <c r="B1250" s="52" t="str">
        <f>IF(D1250="","",VLOOKUP(D1250,'THAM CHIẾU'!$A:$B,2,0))</f>
        <v>#N/A</v>
      </c>
      <c r="C1250" s="53" t="str">
        <f t="shared" si="5"/>
        <v>05/2022</v>
      </c>
      <c r="D1250" s="99">
        <v>44706.0</v>
      </c>
      <c r="E1250" s="141" t="s">
        <v>1214</v>
      </c>
      <c r="F1250" s="142"/>
      <c r="G1250" s="57" t="s">
        <v>275</v>
      </c>
      <c r="H1250" s="58" t="str">
        <f>IF(G1250="","",VLOOKUP($G1250,'Quy chuẩn hạch toán'!$B:$E,2,0))</f>
        <v>3341</v>
      </c>
      <c r="I1250" s="58" t="str">
        <f>IF(H1250="","",VLOOKUP($G1250,'Quy chuẩn hạch toán'!$B:$E,3,0))</f>
        <v>1111</v>
      </c>
      <c r="J1250" s="95">
        <v>1.8E7</v>
      </c>
      <c r="K1250" s="60"/>
      <c r="L1250" s="61"/>
      <c r="M1250" s="62"/>
      <c r="N1250" s="63"/>
      <c r="O1250" s="64" t="str">
        <f>IF($Q1250&lt;&gt;0,VLOOKUP($Q1250,DM_KM,3,0),"")</f>
        <v/>
      </c>
      <c r="P1250" s="64" t="str">
        <f>IF($Q1250&lt;&gt;0,VLOOKUP($Q1250,DM_KM,5,0),"")</f>
        <v/>
      </c>
      <c r="Q1250" s="89"/>
      <c r="R1250" s="64" t="str">
        <f>IF(S1250&lt;&gt;0,VLOOKUP(S1250,DM_DUAN,3,0),"")</f>
        <v>#N/A</v>
      </c>
      <c r="S1250" s="66" t="str">
        <f>IF(U1250&lt;&gt;0,VLOOKUP(U1250,DM_DUAN,3,0),"")</f>
        <v>CLOUDLAND</v>
      </c>
      <c r="T1250" s="64"/>
      <c r="U1250" s="67" t="s">
        <v>956</v>
      </c>
      <c r="V1250" s="64" t="str">
        <f>IF(W1250&lt;&gt;0,VLOOKUP(W1250,DM_DUAN,3,0),"")</f>
        <v>#N/A</v>
      </c>
      <c r="W1250" s="83" t="s">
        <v>1114</v>
      </c>
      <c r="X1250" s="64" t="str">
        <f>IF(Y1250&lt;&gt;0,VLOOKUP(Y1250,DM_DUAN,3,0),"")</f>
        <v>#N/A</v>
      </c>
      <c r="Y1250" s="69" t="s">
        <v>176</v>
      </c>
      <c r="Z1250" s="64" t="str">
        <f>IF(AA1250&lt;&gt;0,VLOOKUP(AA1250,DM_DUAN,3,0),"")</f>
        <v>#N/A</v>
      </c>
      <c r="AA1250" s="70" t="s">
        <v>177</v>
      </c>
      <c r="AB1250" s="64" t="str">
        <f>IF(AC1250&lt;&gt;0,VLOOKUP(AC1250,DM_DUAN,3,0),"")</f>
        <v>#N/A</v>
      </c>
      <c r="AC1250" s="70" t="s">
        <v>600</v>
      </c>
      <c r="AD1250" s="64" t="str">
        <f>IF(AC1250&lt;&gt;0,VLOOKUP(AC1250,DM_NV,2,0),"")</f>
        <v>Nguyễn Quốc Việt</v>
      </c>
      <c r="AE1250" s="83" t="s">
        <v>613</v>
      </c>
      <c r="AF1250" s="64" t="str">
        <f>IF(AE1250&lt;&gt;0,VLOOKUP(AE1250,DM_NV,2,0),"")</f>
        <v>#N/A</v>
      </c>
    </row>
    <row r="1251">
      <c r="A1251" s="51"/>
      <c r="B1251" s="52" t="str">
        <f>IF(D1251="","",VLOOKUP(D1251,'THAM CHIẾU'!$A:$B,2,0))</f>
        <v>#N/A</v>
      </c>
      <c r="C1251" s="53" t="str">
        <f t="shared" si="5"/>
        <v>05/2022</v>
      </c>
      <c r="D1251" s="99">
        <v>44706.0</v>
      </c>
      <c r="E1251" s="141" t="s">
        <v>1215</v>
      </c>
      <c r="F1251" s="142"/>
      <c r="G1251" s="57" t="s">
        <v>1216</v>
      </c>
      <c r="H1251" s="58" t="str">
        <f>IF(G1251="","",VLOOKUP($G1251,'Quy chuẩn hạch toán'!$B:$E,2,0))</f>
        <v>3344</v>
      </c>
      <c r="I1251" s="58" t="str">
        <f>IF(H1251="","",VLOOKUP($G1251,'Quy chuẩn hạch toán'!$B:$E,3,0))</f>
        <v>1111</v>
      </c>
      <c r="J1251" s="59">
        <v>4109600.0</v>
      </c>
      <c r="K1251" s="60"/>
      <c r="L1251" s="61"/>
      <c r="M1251" s="62"/>
      <c r="N1251" s="63"/>
      <c r="O1251" s="64" t="str">
        <f>IF($Q1251&lt;&gt;0,VLOOKUP($Q1251,DM_KM,3,0),"")</f>
        <v/>
      </c>
      <c r="P1251" s="64" t="str">
        <f>IF($Q1251&lt;&gt;0,VLOOKUP($Q1251,DM_KM,5,0),"")</f>
        <v/>
      </c>
      <c r="Q1251" s="89"/>
      <c r="R1251" s="64" t="str">
        <f>IF(S1251&lt;&gt;0,VLOOKUP(S1251,DM_DUAN,3,0),"")</f>
        <v>#N/A</v>
      </c>
      <c r="S1251" s="66" t="str">
        <f>IF(U1251&lt;&gt;0,VLOOKUP(U1251,DM_DUAN,3,0),"")</f>
        <v>CLOUDLAND</v>
      </c>
      <c r="T1251" s="64"/>
      <c r="U1251" s="67" t="s">
        <v>956</v>
      </c>
      <c r="V1251" s="64" t="str">
        <f>IF(W1251&lt;&gt;0,VLOOKUP(W1251,DM_DUAN,3,0),"")</f>
        <v>#N/A</v>
      </c>
      <c r="W1251" s="83" t="s">
        <v>1114</v>
      </c>
      <c r="X1251" s="64" t="str">
        <f>IF(Y1251&lt;&gt;0,VLOOKUP(Y1251,DM_DUAN,3,0),"")</f>
        <v>#N/A</v>
      </c>
      <c r="Y1251" s="69" t="s">
        <v>176</v>
      </c>
      <c r="Z1251" s="64" t="str">
        <f>IF(AA1251&lt;&gt;0,VLOOKUP(AA1251,DM_DUAN,3,0),"")</f>
        <v>#N/A</v>
      </c>
      <c r="AA1251" s="70" t="s">
        <v>177</v>
      </c>
      <c r="AB1251" s="64" t="str">
        <f>IF(AC1251&lt;&gt;0,VLOOKUP(AC1251,DM_DUAN,3,0),"")</f>
        <v>#N/A</v>
      </c>
      <c r="AC1251" s="70" t="s">
        <v>603</v>
      </c>
      <c r="AD1251" s="64" t="str">
        <f>IF(AC1251&lt;&gt;0,VLOOKUP(AC1251,DM_NV,2,0),"")</f>
        <v>Trần Minh Khánh</v>
      </c>
      <c r="AE1251" s="83" t="s">
        <v>276</v>
      </c>
      <c r="AF1251" s="64" t="str">
        <f>IF(AE1251&lt;&gt;0,VLOOKUP(AE1251,DM_NV,2,0),"")</f>
        <v>#N/A</v>
      </c>
    </row>
    <row r="1252">
      <c r="A1252" s="51"/>
      <c r="B1252" s="52" t="str">
        <f>IF(D1252="","",VLOOKUP(D1252,'THAM CHIẾU'!$A:$B,2,0))</f>
        <v>#N/A</v>
      </c>
      <c r="C1252" s="53" t="str">
        <f t="shared" si="5"/>
        <v>05/2022</v>
      </c>
      <c r="D1252" s="99">
        <v>44706.0</v>
      </c>
      <c r="E1252" s="141" t="s">
        <v>1217</v>
      </c>
      <c r="F1252" s="142"/>
      <c r="G1252" s="57" t="s">
        <v>278</v>
      </c>
      <c r="H1252" s="58" t="str">
        <f>IF(G1252="","",VLOOKUP($G1252,'Quy chuẩn hạch toán'!$B:$E,2,0))</f>
        <v>154</v>
      </c>
      <c r="I1252" s="58" t="str">
        <f>IF(H1252="","",VLOOKUP($G1252,'Quy chuẩn hạch toán'!$B:$E,3,0))</f>
        <v>1111</v>
      </c>
      <c r="J1252" s="95">
        <v>1000000.0</v>
      </c>
      <c r="K1252" s="60"/>
      <c r="L1252" s="61"/>
      <c r="M1252" s="62"/>
      <c r="N1252" s="63"/>
      <c r="O1252" s="64" t="str">
        <f>IF($Q1252&lt;&gt;0,VLOOKUP($Q1252,DM_KM,3,0),"")</f>
        <v/>
      </c>
      <c r="P1252" s="64" t="str">
        <f>IF($Q1252&lt;&gt;0,VLOOKUP($Q1252,DM_KM,5,0),"")</f>
        <v/>
      </c>
      <c r="Q1252" s="89"/>
      <c r="R1252" s="64" t="str">
        <f>IF(S1252&lt;&gt;0,VLOOKUP(S1252,DM_DUAN,3,0),"")</f>
        <v>#N/A</v>
      </c>
      <c r="S1252" s="66" t="str">
        <f>IF(U1252&lt;&gt;0,VLOOKUP(U1252,DM_DUAN,3,0),"")</f>
        <v>CLOUDLAND</v>
      </c>
      <c r="T1252" s="64"/>
      <c r="U1252" s="67" t="s">
        <v>956</v>
      </c>
      <c r="V1252" s="64" t="str">
        <f>IF(W1252&lt;&gt;0,VLOOKUP(W1252,DM_DUAN,3,0),"")</f>
        <v>#N/A</v>
      </c>
      <c r="W1252" s="83" t="s">
        <v>1114</v>
      </c>
      <c r="X1252" s="64" t="str">
        <f>IF(Y1252&lt;&gt;0,VLOOKUP(Y1252,DM_DUAN,3,0),"")</f>
        <v>#N/A</v>
      </c>
      <c r="Y1252" s="69" t="s">
        <v>176</v>
      </c>
      <c r="Z1252" s="64" t="str">
        <f>IF(AA1252&lt;&gt;0,VLOOKUP(AA1252,DM_DUAN,3,0),"")</f>
        <v>#N/A</v>
      </c>
      <c r="AA1252" s="70" t="s">
        <v>177</v>
      </c>
      <c r="AB1252" s="64" t="str">
        <f>IF(AC1252&lt;&gt;0,VLOOKUP(AC1252,DM_DUAN,3,0),"")</f>
        <v/>
      </c>
      <c r="AC1252" s="85"/>
      <c r="AD1252" s="64" t="str">
        <f>IF(AC1252&lt;&gt;0,VLOOKUP(AC1252,DM_NV,2,0),"")</f>
        <v/>
      </c>
      <c r="AE1252" s="83" t="s">
        <v>263</v>
      </c>
      <c r="AF1252" s="64" t="str">
        <f>IF(AE1252&lt;&gt;0,VLOOKUP(AE1252,DM_NV,2,0),"")</f>
        <v>#N/A</v>
      </c>
    </row>
    <row r="1253">
      <c r="A1253" s="51"/>
      <c r="B1253" s="52" t="str">
        <f>IF(D1253="","",VLOOKUP(D1253,'THAM CHIẾU'!$A:$B,2,0))</f>
        <v>#N/A</v>
      </c>
      <c r="C1253" s="53" t="str">
        <f t="shared" si="5"/>
        <v>05/2022</v>
      </c>
      <c r="D1253" s="99">
        <v>44706.0</v>
      </c>
      <c r="E1253" s="141" t="s">
        <v>1218</v>
      </c>
      <c r="F1253" s="142"/>
      <c r="G1253" s="90"/>
      <c r="H1253" s="58" t="str">
        <f>IF(G1253="","",VLOOKUP($G1253,'Quy chuẩn hạch toán'!$B:$E,2,0))</f>
        <v/>
      </c>
      <c r="I1253" s="58" t="str">
        <f>IF(H1253="","",VLOOKUP($G1253,'Quy chuẩn hạch toán'!$B:$E,3,0))</f>
        <v/>
      </c>
      <c r="J1253" s="95">
        <v>9863040.0</v>
      </c>
      <c r="K1253" s="60"/>
      <c r="L1253" s="61"/>
      <c r="M1253" s="62"/>
      <c r="N1253" s="63"/>
      <c r="O1253" s="64" t="str">
        <f>IF($Q1253&lt;&gt;0,VLOOKUP($Q1253,DM_KM,3,0),"")</f>
        <v/>
      </c>
      <c r="P1253" s="64" t="str">
        <f>IF($Q1253&lt;&gt;0,VLOOKUP($Q1253,DM_KM,5,0),"")</f>
        <v/>
      </c>
      <c r="Q1253" s="89"/>
      <c r="R1253" s="64" t="str">
        <f>IF(S1253&lt;&gt;0,VLOOKUP(S1253,DM_DUAN,3,0),"")</f>
        <v>#N/A</v>
      </c>
      <c r="S1253" s="66" t="str">
        <f>IF(U1253&lt;&gt;0,VLOOKUP(U1253,DM_DUAN,3,0),"")</f>
        <v>CLOUDLAND</v>
      </c>
      <c r="T1253" s="64"/>
      <c r="U1253" s="67" t="s">
        <v>956</v>
      </c>
      <c r="V1253" s="64" t="str">
        <f>IF(W1253&lt;&gt;0,VLOOKUP(W1253,DM_DUAN,3,0),"")</f>
        <v>#N/A</v>
      </c>
      <c r="W1253" s="83" t="s">
        <v>1114</v>
      </c>
      <c r="X1253" s="64" t="str">
        <f>IF(Y1253&lt;&gt;0,VLOOKUP(Y1253,DM_DUAN,3,0),"")</f>
        <v>#N/A</v>
      </c>
      <c r="Y1253" s="69" t="s">
        <v>176</v>
      </c>
      <c r="Z1253" s="64" t="str">
        <f>IF(AA1253&lt;&gt;0,VLOOKUP(AA1253,DM_DUAN,3,0),"")</f>
        <v>#N/A</v>
      </c>
      <c r="AA1253" s="70" t="s">
        <v>177</v>
      </c>
      <c r="AB1253" s="64" t="str">
        <f>IF(AC1253&lt;&gt;0,VLOOKUP(AC1253,DM_DUAN,3,0),"")</f>
        <v/>
      </c>
      <c r="AC1253" s="85"/>
      <c r="AD1253" s="64" t="str">
        <f>IF(AC1253&lt;&gt;0,VLOOKUP(AC1253,DM_NV,2,0),"")</f>
        <v/>
      </c>
      <c r="AE1253" s="83" t="s">
        <v>506</v>
      </c>
      <c r="AF1253" s="64" t="str">
        <f>IF(AE1253&lt;&gt;0,VLOOKUP(AE1253,DM_NV,2,0),"")</f>
        <v>#N/A</v>
      </c>
    </row>
    <row r="1254">
      <c r="A1254" s="51"/>
      <c r="B1254" s="52"/>
      <c r="C1254" s="53"/>
      <c r="D1254" s="99">
        <v>44706.0</v>
      </c>
      <c r="E1254" s="141" t="s">
        <v>1219</v>
      </c>
      <c r="F1254" s="142"/>
      <c r="G1254" s="57" t="s">
        <v>669</v>
      </c>
      <c r="H1254" s="58" t="str">
        <f>IF(G1254="","",VLOOKUP($G1254,'Quy chuẩn hạch toán'!$B:$E,2,0))</f>
        <v>641</v>
      </c>
      <c r="I1254" s="58" t="str">
        <f>IF(H1254="","",VLOOKUP($G1254,'Quy chuẩn hạch toán'!$B:$E,3,0))</f>
        <v>1111</v>
      </c>
      <c r="J1254" s="59">
        <v>5000000.0</v>
      </c>
      <c r="K1254" s="60"/>
      <c r="L1254" s="61"/>
      <c r="M1254" s="62"/>
      <c r="N1254" s="63"/>
      <c r="O1254" s="64" t="str">
        <f>IF($Q1254&lt;&gt;0,VLOOKUP($Q1254,DM_KM,3,0),"")</f>
        <v/>
      </c>
      <c r="P1254" s="64" t="str">
        <f>IF($Q1254&lt;&gt;0,VLOOKUP($Q1254,DM_KM,5,0),"")</f>
        <v/>
      </c>
      <c r="Q1254" s="89"/>
      <c r="R1254" s="64" t="str">
        <f>IF(S1254&lt;&gt;0,VLOOKUP(S1254,DM_DUAN,3,0),"")</f>
        <v>#N/A</v>
      </c>
      <c r="S1254" s="66" t="str">
        <f>IF(U1254&lt;&gt;0,VLOOKUP(U1254,DM_DUAN,3,0),"")</f>
        <v>CLOUDLAND</v>
      </c>
      <c r="T1254" s="64"/>
      <c r="U1254" s="67" t="s">
        <v>956</v>
      </c>
      <c r="V1254" s="64" t="str">
        <f>IF(W1254&lt;&gt;0,VLOOKUP(W1254,DM_DUAN,3,0),"")</f>
        <v>#N/A</v>
      </c>
      <c r="W1254" s="83" t="s">
        <v>1114</v>
      </c>
      <c r="X1254" s="64" t="str">
        <f>IF(Y1254&lt;&gt;0,VLOOKUP(Y1254,DM_DUAN,3,0),"")</f>
        <v>#N/A</v>
      </c>
      <c r="Y1254" s="69" t="s">
        <v>176</v>
      </c>
      <c r="Z1254" s="64" t="str">
        <f>IF(AA1254&lt;&gt;0,VLOOKUP(AA1254,DM_DUAN,3,0),"")</f>
        <v>#N/A</v>
      </c>
      <c r="AA1254" s="70" t="s">
        <v>177</v>
      </c>
      <c r="AB1254" s="64" t="str">
        <f>IF(AC1254&lt;&gt;0,VLOOKUP(AC1254,DM_DUAN,3,0),"")</f>
        <v/>
      </c>
      <c r="AC1254" s="85"/>
      <c r="AD1254" s="64" t="str">
        <f>IF(AC1254&lt;&gt;0,VLOOKUP(AC1254,DM_NV,2,0),"")</f>
        <v/>
      </c>
      <c r="AE1254" s="83" t="s">
        <v>613</v>
      </c>
      <c r="AF1254" s="64" t="str">
        <f>IF(AE1254&lt;&gt;0,VLOOKUP(AE1254,DM_NV,2,0),"")</f>
        <v>#N/A</v>
      </c>
    </row>
    <row r="1255">
      <c r="A1255" s="51"/>
      <c r="B1255" s="52" t="str">
        <f>IF(D1255="","",VLOOKUP(D1255,'THAM CHIẾU'!$A:$B,2,0))</f>
        <v>#N/A</v>
      </c>
      <c r="C1255" s="53" t="str">
        <f t="shared" ref="C1255:C1276" si="6">if(D1255&lt;&gt;0,TEXT(D1255,"mm/yyyy"),"")</f>
        <v>05/2022</v>
      </c>
      <c r="D1255" s="99">
        <v>44706.0</v>
      </c>
      <c r="E1255" s="141" t="s">
        <v>1220</v>
      </c>
      <c r="F1255" s="142"/>
      <c r="G1255" s="57" t="s">
        <v>282</v>
      </c>
      <c r="H1255" s="58" t="str">
        <f>IF(G1255="","",VLOOKUP($G1255,'Quy chuẩn hạch toán'!$B:$E,2,0))</f>
        <v>1111</v>
      </c>
      <c r="I1255" s="58" t="str">
        <f>IF(H1255="","",VLOOKUP($G1255,'Quy chuẩn hạch toán'!$B:$E,3,0))</f>
        <v>131</v>
      </c>
      <c r="J1255" s="95">
        <v>1.07732E8</v>
      </c>
      <c r="K1255" s="60"/>
      <c r="L1255" s="61"/>
      <c r="M1255" s="62"/>
      <c r="N1255" s="63"/>
      <c r="O1255" s="64" t="str">
        <f>IF($Q1255&lt;&gt;0,VLOOKUP($Q1255,DM_KM,3,0),"")</f>
        <v/>
      </c>
      <c r="P1255" s="64" t="str">
        <f>IF($Q1255&lt;&gt;0,VLOOKUP($Q1255,DM_KM,5,0),"")</f>
        <v/>
      </c>
      <c r="Q1255" s="89"/>
      <c r="R1255" s="64" t="str">
        <f>IF(S1255&lt;&gt;0,VLOOKUP(S1255,DM_DUAN,3,0),"")</f>
        <v>#N/A</v>
      </c>
      <c r="S1255" s="66" t="str">
        <f>IF(U1255&lt;&gt;0,VLOOKUP(U1255,DM_DUAN,3,0),"")</f>
        <v>CLOUDLAND</v>
      </c>
      <c r="T1255" s="64"/>
      <c r="U1255" s="67" t="s">
        <v>956</v>
      </c>
      <c r="V1255" s="64" t="str">
        <f>IF(W1255&lt;&gt;0,VLOOKUP(W1255,DM_DUAN,3,0),"")</f>
        <v>#N/A</v>
      </c>
      <c r="W1255" s="83" t="s">
        <v>1123</v>
      </c>
      <c r="X1255" s="64" t="str">
        <f>IF(Y1255&lt;&gt;0,VLOOKUP(Y1255,DM_DUAN,3,0),"")</f>
        <v>#N/A</v>
      </c>
      <c r="Y1255" s="69" t="s">
        <v>176</v>
      </c>
      <c r="Z1255" s="64" t="str">
        <f>IF(AA1255&lt;&gt;0,VLOOKUP(AA1255,DM_DUAN,3,0),"")</f>
        <v>#N/A</v>
      </c>
      <c r="AA1255" s="70" t="s">
        <v>177</v>
      </c>
      <c r="AB1255" s="64" t="str">
        <f>IF(AC1255&lt;&gt;0,VLOOKUP(AC1255,DM_DUAN,3,0),"")</f>
        <v/>
      </c>
      <c r="AC1255" s="85"/>
      <c r="AD1255" s="64" t="str">
        <f>IF(AC1255&lt;&gt;0,VLOOKUP(AC1255,DM_NV,2,0),"")</f>
        <v/>
      </c>
      <c r="AE1255" s="83" t="s">
        <v>283</v>
      </c>
      <c r="AF1255" s="64" t="str">
        <f>IF(AE1255&lt;&gt;0,VLOOKUP(AE1255,DM_NV,2,0),"")</f>
        <v>#N/A</v>
      </c>
    </row>
    <row r="1256">
      <c r="A1256" s="51"/>
      <c r="B1256" s="52" t="str">
        <f>IF(D1256="","",VLOOKUP(D1256,'THAM CHIẾU'!$A:$B,2,0))</f>
        <v>#N/A</v>
      </c>
      <c r="C1256" s="53" t="str">
        <f t="shared" si="6"/>
        <v>05/2022</v>
      </c>
      <c r="D1256" s="99">
        <v>44706.0</v>
      </c>
      <c r="E1256" s="141" t="s">
        <v>1221</v>
      </c>
      <c r="F1256" s="142"/>
      <c r="G1256" s="57" t="s">
        <v>275</v>
      </c>
      <c r="H1256" s="58" t="str">
        <f>IF(G1256="","",VLOOKUP($G1256,'Quy chuẩn hạch toán'!$B:$E,2,0))</f>
        <v>3341</v>
      </c>
      <c r="I1256" s="58" t="str">
        <f>IF(H1256="","",VLOOKUP($G1256,'Quy chuẩn hạch toán'!$B:$E,3,0))</f>
        <v>1111</v>
      </c>
      <c r="J1256" s="95">
        <v>2.1183E7</v>
      </c>
      <c r="K1256" s="60"/>
      <c r="L1256" s="61"/>
      <c r="M1256" s="62"/>
      <c r="N1256" s="63"/>
      <c r="O1256" s="64" t="str">
        <f>IF($Q1256&lt;&gt;0,VLOOKUP($Q1256,DM_KM,3,0),"")</f>
        <v/>
      </c>
      <c r="P1256" s="64" t="str">
        <f>IF($Q1256&lt;&gt;0,VLOOKUP($Q1256,DM_KM,5,0),"")</f>
        <v/>
      </c>
      <c r="Q1256" s="89"/>
      <c r="R1256" s="64" t="str">
        <f>IF(S1256&lt;&gt;0,VLOOKUP(S1256,DM_DUAN,3,0),"")</f>
        <v>#N/A</v>
      </c>
      <c r="S1256" s="66" t="str">
        <f>IF(U1256&lt;&gt;0,VLOOKUP(U1256,DM_DUAN,3,0),"")</f>
        <v>CLOUDLAND</v>
      </c>
      <c r="T1256" s="64"/>
      <c r="U1256" s="67" t="s">
        <v>956</v>
      </c>
      <c r="V1256" s="64" t="str">
        <f>IF(W1256&lt;&gt;0,VLOOKUP(W1256,DM_DUAN,3,0),"")</f>
        <v>#N/A</v>
      </c>
      <c r="W1256" s="83" t="s">
        <v>1123</v>
      </c>
      <c r="X1256" s="64" t="str">
        <f>IF(Y1256&lt;&gt;0,VLOOKUP(Y1256,DM_DUAN,3,0),"")</f>
        <v>#N/A</v>
      </c>
      <c r="Y1256" s="69" t="s">
        <v>176</v>
      </c>
      <c r="Z1256" s="64" t="str">
        <f>IF(AA1256&lt;&gt;0,VLOOKUP(AA1256,DM_DUAN,3,0),"")</f>
        <v>#N/A</v>
      </c>
      <c r="AA1256" s="70" t="s">
        <v>177</v>
      </c>
      <c r="AB1256" s="64" t="str">
        <f>IF(AC1256&lt;&gt;0,VLOOKUP(AC1256,DM_DUAN,3,0),"")</f>
        <v>#N/A</v>
      </c>
      <c r="AC1256" s="70" t="s">
        <v>791</v>
      </c>
      <c r="AD1256" s="64" t="str">
        <f>IF(AC1256&lt;&gt;0,VLOOKUP(AC1256,DM_NV,2,0),"")</f>
        <v>Hồ Thị Thuý An</v>
      </c>
      <c r="AE1256" s="83" t="s">
        <v>276</v>
      </c>
      <c r="AF1256" s="64" t="str">
        <f>IF(AE1256&lt;&gt;0,VLOOKUP(AE1256,DM_NV,2,0),"")</f>
        <v>#N/A</v>
      </c>
    </row>
    <row r="1257">
      <c r="A1257" s="51"/>
      <c r="B1257" s="52" t="str">
        <f>IF(D1257="","",VLOOKUP(D1257,'THAM CHIẾU'!$A:$B,2,0))</f>
        <v>#N/A</v>
      </c>
      <c r="C1257" s="53" t="str">
        <f t="shared" si="6"/>
        <v>05/2022</v>
      </c>
      <c r="D1257" s="99">
        <v>44706.0</v>
      </c>
      <c r="E1257" s="141" t="s">
        <v>1222</v>
      </c>
      <c r="F1257" s="142"/>
      <c r="G1257" s="57" t="s">
        <v>275</v>
      </c>
      <c r="H1257" s="58" t="str">
        <f>IF(G1257="","",VLOOKUP($G1257,'Quy chuẩn hạch toán'!$B:$E,2,0))</f>
        <v>3341</v>
      </c>
      <c r="I1257" s="58" t="str">
        <f>IF(H1257="","",VLOOKUP($G1257,'Quy chuẩn hạch toán'!$B:$E,3,0))</f>
        <v>1111</v>
      </c>
      <c r="J1257" s="95">
        <v>1.8E7</v>
      </c>
      <c r="K1257" s="60"/>
      <c r="L1257" s="61"/>
      <c r="M1257" s="62"/>
      <c r="N1257" s="63"/>
      <c r="O1257" s="64" t="str">
        <f>IF($Q1257&lt;&gt;0,VLOOKUP($Q1257,DM_KM,3,0),"")</f>
        <v/>
      </c>
      <c r="P1257" s="64" t="str">
        <f>IF($Q1257&lt;&gt;0,VLOOKUP($Q1257,DM_KM,5,0),"")</f>
        <v/>
      </c>
      <c r="Q1257" s="89"/>
      <c r="R1257" s="64" t="str">
        <f>IF(S1257&lt;&gt;0,VLOOKUP(S1257,DM_DUAN,3,0),"")</f>
        <v>#N/A</v>
      </c>
      <c r="S1257" s="66" t="str">
        <f>IF(U1257&lt;&gt;0,VLOOKUP(U1257,DM_DUAN,3,0),"")</f>
        <v>CLOUDLAND</v>
      </c>
      <c r="T1257" s="64"/>
      <c r="U1257" s="67" t="s">
        <v>956</v>
      </c>
      <c r="V1257" s="64" t="str">
        <f>IF(W1257&lt;&gt;0,VLOOKUP(W1257,DM_DUAN,3,0),"")</f>
        <v>#N/A</v>
      </c>
      <c r="W1257" s="83" t="s">
        <v>1123</v>
      </c>
      <c r="X1257" s="64" t="str">
        <f>IF(Y1257&lt;&gt;0,VLOOKUP(Y1257,DM_DUAN,3,0),"")</f>
        <v>#N/A</v>
      </c>
      <c r="Y1257" s="69" t="s">
        <v>176</v>
      </c>
      <c r="Z1257" s="64" t="str">
        <f>IF(AA1257&lt;&gt;0,VLOOKUP(AA1257,DM_DUAN,3,0),"")</f>
        <v>#N/A</v>
      </c>
      <c r="AA1257" s="70" t="s">
        <v>177</v>
      </c>
      <c r="AB1257" s="64" t="str">
        <f>IF(AC1257&lt;&gt;0,VLOOKUP(AC1257,DM_DUAN,3,0),"")</f>
        <v>#N/A</v>
      </c>
      <c r="AC1257" s="70" t="s">
        <v>791</v>
      </c>
      <c r="AD1257" s="64" t="str">
        <f>IF(AC1257&lt;&gt;0,VLOOKUP(AC1257,DM_NV,2,0),"")</f>
        <v>Hồ Thị Thuý An</v>
      </c>
      <c r="AE1257" s="83" t="s">
        <v>613</v>
      </c>
      <c r="AF1257" s="64" t="str">
        <f>IF(AE1257&lt;&gt;0,VLOOKUP(AE1257,DM_NV,2,0),"")</f>
        <v>#N/A</v>
      </c>
    </row>
    <row r="1258">
      <c r="A1258" s="51"/>
      <c r="B1258" s="52" t="str">
        <f>IF(D1258="","",VLOOKUP(D1258,'THAM CHIẾU'!$A:$B,2,0))</f>
        <v>#N/A</v>
      </c>
      <c r="C1258" s="53" t="str">
        <f t="shared" si="6"/>
        <v>05/2022</v>
      </c>
      <c r="D1258" s="99">
        <v>44706.0</v>
      </c>
      <c r="E1258" s="141" t="s">
        <v>1223</v>
      </c>
      <c r="F1258" s="142"/>
      <c r="G1258" s="57" t="s">
        <v>1216</v>
      </c>
      <c r="H1258" s="58" t="str">
        <f>IF(G1258="","",VLOOKUP($G1258,'Quy chuẩn hạch toán'!$B:$E,2,0))</f>
        <v>3344</v>
      </c>
      <c r="I1258" s="58" t="str">
        <f>IF(H1258="","",VLOOKUP($G1258,'Quy chuẩn hạch toán'!$B:$E,3,0))</f>
        <v>1111</v>
      </c>
      <c r="J1258" s="59">
        <v>2824400.0</v>
      </c>
      <c r="K1258" s="60"/>
      <c r="L1258" s="61"/>
      <c r="M1258" s="62"/>
      <c r="N1258" s="63"/>
      <c r="O1258" s="64" t="str">
        <f>IF($Q1258&lt;&gt;0,VLOOKUP($Q1258,DM_KM,3,0),"")</f>
        <v/>
      </c>
      <c r="P1258" s="64" t="str">
        <f>IF($Q1258&lt;&gt;0,VLOOKUP($Q1258,DM_KM,5,0),"")</f>
        <v/>
      </c>
      <c r="Q1258" s="89"/>
      <c r="R1258" s="64" t="str">
        <f>IF(S1258&lt;&gt;0,VLOOKUP(S1258,DM_DUAN,3,0),"")</f>
        <v>#N/A</v>
      </c>
      <c r="S1258" s="66" t="str">
        <f>IF(U1258&lt;&gt;0,VLOOKUP(U1258,DM_DUAN,3,0),"")</f>
        <v>CLOUDLAND</v>
      </c>
      <c r="T1258" s="64"/>
      <c r="U1258" s="67" t="s">
        <v>956</v>
      </c>
      <c r="V1258" s="64" t="str">
        <f>IF(W1258&lt;&gt;0,VLOOKUP(W1258,DM_DUAN,3,0),"")</f>
        <v>#N/A</v>
      </c>
      <c r="W1258" s="83" t="s">
        <v>1123</v>
      </c>
      <c r="X1258" s="64" t="str">
        <f>IF(Y1258&lt;&gt;0,VLOOKUP(Y1258,DM_DUAN,3,0),"")</f>
        <v>#N/A</v>
      </c>
      <c r="Y1258" s="69" t="s">
        <v>176</v>
      </c>
      <c r="Z1258" s="64" t="str">
        <f>IF(AA1258&lt;&gt;0,VLOOKUP(AA1258,DM_DUAN,3,0),"")</f>
        <v>#N/A</v>
      </c>
      <c r="AA1258" s="70" t="s">
        <v>177</v>
      </c>
      <c r="AB1258" s="64" t="str">
        <f>IF(AC1258&lt;&gt;0,VLOOKUP(AC1258,DM_DUAN,3,0),"")</f>
        <v>#N/A</v>
      </c>
      <c r="AC1258" s="70" t="s">
        <v>603</v>
      </c>
      <c r="AD1258" s="64" t="str">
        <f>IF(AC1258&lt;&gt;0,VLOOKUP(AC1258,DM_NV,2,0),"")</f>
        <v>Trần Minh Khánh</v>
      </c>
      <c r="AE1258" s="83" t="s">
        <v>276</v>
      </c>
      <c r="AF1258" s="64" t="str">
        <f>IF(AE1258&lt;&gt;0,VLOOKUP(AE1258,DM_NV,2,0),"")</f>
        <v>#N/A</v>
      </c>
    </row>
    <row r="1259">
      <c r="A1259" s="51"/>
      <c r="B1259" s="52" t="str">
        <f>IF(D1259="","",VLOOKUP(D1259,'THAM CHIẾU'!$A:$B,2,0))</f>
        <v>#N/A</v>
      </c>
      <c r="C1259" s="53" t="str">
        <f t="shared" si="6"/>
        <v>05/2022</v>
      </c>
      <c r="D1259" s="99">
        <v>44706.0</v>
      </c>
      <c r="E1259" s="141" t="s">
        <v>1224</v>
      </c>
      <c r="F1259" s="142"/>
      <c r="G1259" s="57" t="s">
        <v>278</v>
      </c>
      <c r="H1259" s="58" t="str">
        <f>IF(G1259="","",VLOOKUP($G1259,'Quy chuẩn hạch toán'!$B:$E,2,0))</f>
        <v>154</v>
      </c>
      <c r="I1259" s="58" t="str">
        <f>IF(H1259="","",VLOOKUP($G1259,'Quy chuẩn hạch toán'!$B:$E,3,0))</f>
        <v>1111</v>
      </c>
      <c r="J1259" s="95">
        <v>1000000.0</v>
      </c>
      <c r="K1259" s="60"/>
      <c r="L1259" s="61"/>
      <c r="M1259" s="62"/>
      <c r="N1259" s="63"/>
      <c r="O1259" s="64" t="str">
        <f>IF($Q1259&lt;&gt;0,VLOOKUP($Q1259,DM_KM,3,0),"")</f>
        <v/>
      </c>
      <c r="P1259" s="64" t="str">
        <f>IF($Q1259&lt;&gt;0,VLOOKUP($Q1259,DM_KM,5,0),"")</f>
        <v/>
      </c>
      <c r="Q1259" s="89"/>
      <c r="R1259" s="64" t="str">
        <f>IF(S1259&lt;&gt;0,VLOOKUP(S1259,DM_DUAN,3,0),"")</f>
        <v>#N/A</v>
      </c>
      <c r="S1259" s="66" t="str">
        <f>IF(U1259&lt;&gt;0,VLOOKUP(U1259,DM_DUAN,3,0),"")</f>
        <v>CLOUDLAND</v>
      </c>
      <c r="T1259" s="64"/>
      <c r="U1259" s="67" t="s">
        <v>956</v>
      </c>
      <c r="V1259" s="64" t="str">
        <f>IF(W1259&lt;&gt;0,VLOOKUP(W1259,DM_DUAN,3,0),"")</f>
        <v>#N/A</v>
      </c>
      <c r="W1259" s="83" t="s">
        <v>1123</v>
      </c>
      <c r="X1259" s="64" t="str">
        <f>IF(Y1259&lt;&gt;0,VLOOKUP(Y1259,DM_DUAN,3,0),"")</f>
        <v>#N/A</v>
      </c>
      <c r="Y1259" s="69" t="s">
        <v>176</v>
      </c>
      <c r="Z1259" s="64" t="str">
        <f>IF(AA1259&lt;&gt;0,VLOOKUP(AA1259,DM_DUAN,3,0),"")</f>
        <v>#N/A</v>
      </c>
      <c r="AA1259" s="70" t="s">
        <v>177</v>
      </c>
      <c r="AB1259" s="64" t="str">
        <f>IF(AC1259&lt;&gt;0,VLOOKUP(AC1259,DM_DUAN,3,0),"")</f>
        <v/>
      </c>
      <c r="AC1259" s="85"/>
      <c r="AD1259" s="64" t="str">
        <f>IF(AC1259&lt;&gt;0,VLOOKUP(AC1259,DM_NV,2,0),"")</f>
        <v/>
      </c>
      <c r="AE1259" s="83" t="s">
        <v>263</v>
      </c>
      <c r="AF1259" s="64" t="str">
        <f>IF(AE1259&lt;&gt;0,VLOOKUP(AE1259,DM_NV,2,0),"")</f>
        <v>#N/A</v>
      </c>
    </row>
    <row r="1260">
      <c r="A1260" s="51"/>
      <c r="B1260" s="52" t="str">
        <f>IF(D1260="","",VLOOKUP(D1260,'THAM CHIẾU'!$A:$B,2,0))</f>
        <v>#N/A</v>
      </c>
      <c r="C1260" s="53" t="str">
        <f t="shared" si="6"/>
        <v>05/2022</v>
      </c>
      <c r="D1260" s="99">
        <v>44706.0</v>
      </c>
      <c r="E1260" s="141" t="s">
        <v>1225</v>
      </c>
      <c r="F1260" s="142"/>
      <c r="G1260" s="90"/>
      <c r="H1260" s="58" t="str">
        <f>IF(G1260="","",VLOOKUP($G1260,'Quy chuẩn hạch toán'!$B:$E,2,0))</f>
        <v/>
      </c>
      <c r="I1260" s="58" t="str">
        <f>IF(H1260="","",VLOOKUP($G1260,'Quy chuẩn hạch toán'!$B:$E,3,0))</f>
        <v/>
      </c>
      <c r="J1260" s="95">
        <v>6778560.0</v>
      </c>
      <c r="K1260" s="60"/>
      <c r="L1260" s="61"/>
      <c r="M1260" s="62"/>
      <c r="N1260" s="63"/>
      <c r="O1260" s="64" t="str">
        <f>IF($Q1260&lt;&gt;0,VLOOKUP($Q1260,DM_KM,3,0),"")</f>
        <v/>
      </c>
      <c r="P1260" s="64" t="str">
        <f>IF($Q1260&lt;&gt;0,VLOOKUP($Q1260,DM_KM,5,0),"")</f>
        <v/>
      </c>
      <c r="Q1260" s="89"/>
      <c r="R1260" s="64" t="str">
        <f>IF(S1260&lt;&gt;0,VLOOKUP(S1260,DM_DUAN,3,0),"")</f>
        <v>#N/A</v>
      </c>
      <c r="S1260" s="66" t="str">
        <f>IF(U1260&lt;&gt;0,VLOOKUP(U1260,DM_DUAN,3,0),"")</f>
        <v>CLOUDLAND</v>
      </c>
      <c r="T1260" s="64"/>
      <c r="U1260" s="67" t="s">
        <v>956</v>
      </c>
      <c r="V1260" s="64" t="str">
        <f>IF(W1260&lt;&gt;0,VLOOKUP(W1260,DM_DUAN,3,0),"")</f>
        <v>#N/A</v>
      </c>
      <c r="W1260" s="83" t="s">
        <v>1123</v>
      </c>
      <c r="X1260" s="64" t="str">
        <f>IF(Y1260&lt;&gt;0,VLOOKUP(Y1260,DM_DUAN,3,0),"")</f>
        <v>#N/A</v>
      </c>
      <c r="Y1260" s="69" t="s">
        <v>176</v>
      </c>
      <c r="Z1260" s="64" t="str">
        <f>IF(AA1260&lt;&gt;0,VLOOKUP(AA1260,DM_DUAN,3,0),"")</f>
        <v>#N/A</v>
      </c>
      <c r="AA1260" s="70" t="s">
        <v>177</v>
      </c>
      <c r="AB1260" s="64" t="str">
        <f>IF(AC1260&lt;&gt;0,VLOOKUP(AC1260,DM_DUAN,3,0),"")</f>
        <v/>
      </c>
      <c r="AC1260" s="85"/>
      <c r="AD1260" s="64" t="str">
        <f>IF(AC1260&lt;&gt;0,VLOOKUP(AC1260,DM_NV,2,0),"")</f>
        <v/>
      </c>
      <c r="AE1260" s="83" t="s">
        <v>506</v>
      </c>
      <c r="AF1260" s="64" t="str">
        <f>IF(AE1260&lt;&gt;0,VLOOKUP(AE1260,DM_NV,2,0),"")</f>
        <v>#N/A</v>
      </c>
    </row>
    <row r="1261">
      <c r="A1261" s="51"/>
      <c r="B1261" s="52" t="str">
        <f>IF(D1261="","",VLOOKUP(D1261,'THAM CHIẾU'!$A:$B,2,0))</f>
        <v>#N/A</v>
      </c>
      <c r="C1261" s="53" t="str">
        <f t="shared" si="6"/>
        <v>05/2022</v>
      </c>
      <c r="D1261" s="99">
        <v>44706.0</v>
      </c>
      <c r="E1261" s="141" t="s">
        <v>1226</v>
      </c>
      <c r="F1261" s="142"/>
      <c r="G1261" s="57" t="s">
        <v>669</v>
      </c>
      <c r="H1261" s="58" t="str">
        <f>IF(G1261="","",VLOOKUP($G1261,'Quy chuẩn hạch toán'!$B:$E,2,0))</f>
        <v>641</v>
      </c>
      <c r="I1261" s="58" t="str">
        <f>IF(H1261="","",VLOOKUP($G1261,'Quy chuẩn hạch toán'!$B:$E,3,0))</f>
        <v>1111</v>
      </c>
      <c r="J1261" s="59">
        <v>5000000.0</v>
      </c>
      <c r="K1261" s="60"/>
      <c r="L1261" s="61"/>
      <c r="M1261" s="62"/>
      <c r="N1261" s="63"/>
      <c r="O1261" s="64" t="str">
        <f>IF($Q1261&lt;&gt;0,VLOOKUP($Q1261,DM_KM,3,0),"")</f>
        <v/>
      </c>
      <c r="P1261" s="64" t="str">
        <f>IF($Q1261&lt;&gt;0,VLOOKUP($Q1261,DM_KM,5,0),"")</f>
        <v/>
      </c>
      <c r="Q1261" s="89"/>
      <c r="R1261" s="64" t="str">
        <f>IF(S1261&lt;&gt;0,VLOOKUP(S1261,DM_DUAN,3,0),"")</f>
        <v>#N/A</v>
      </c>
      <c r="S1261" s="66" t="str">
        <f>IF(U1261&lt;&gt;0,VLOOKUP(U1261,DM_DUAN,3,0),"")</f>
        <v>CLOUDLAND</v>
      </c>
      <c r="T1261" s="64"/>
      <c r="U1261" s="67" t="s">
        <v>956</v>
      </c>
      <c r="V1261" s="64" t="str">
        <f>IF(W1261&lt;&gt;0,VLOOKUP(W1261,DM_DUAN,3,0),"")</f>
        <v>#N/A</v>
      </c>
      <c r="W1261" s="83" t="s">
        <v>1123</v>
      </c>
      <c r="X1261" s="64" t="str">
        <f>IF(Y1261&lt;&gt;0,VLOOKUP(Y1261,DM_DUAN,3,0),"")</f>
        <v>#N/A</v>
      </c>
      <c r="Y1261" s="69" t="s">
        <v>176</v>
      </c>
      <c r="Z1261" s="64" t="str">
        <f>IF(AA1261&lt;&gt;0,VLOOKUP(AA1261,DM_DUAN,3,0),"")</f>
        <v>#N/A</v>
      </c>
      <c r="AA1261" s="70" t="s">
        <v>177</v>
      </c>
      <c r="AB1261" s="64" t="str">
        <f>IF(AC1261&lt;&gt;0,VLOOKUP(AC1261,DM_DUAN,3,0),"")</f>
        <v/>
      </c>
      <c r="AC1261" s="85"/>
      <c r="AD1261" s="64" t="str">
        <f>IF(AC1261&lt;&gt;0,VLOOKUP(AC1261,DM_NV,2,0),"")</f>
        <v/>
      </c>
      <c r="AE1261" s="83" t="s">
        <v>613</v>
      </c>
      <c r="AF1261" s="64" t="str">
        <f>IF(AE1261&lt;&gt;0,VLOOKUP(AE1261,DM_NV,2,0),"")</f>
        <v>#N/A</v>
      </c>
    </row>
    <row r="1262">
      <c r="A1262" s="51"/>
      <c r="B1262" s="52" t="str">
        <f>IF(D1262="","",VLOOKUP(D1262,'THAM CHIẾU'!$A:$B,2,0))</f>
        <v/>
      </c>
      <c r="C1262" s="53" t="str">
        <f t="shared" si="6"/>
        <v/>
      </c>
      <c r="D1262" s="54"/>
      <c r="E1262" s="91"/>
      <c r="F1262" s="92"/>
      <c r="G1262" s="90"/>
      <c r="H1262" s="58" t="str">
        <f>IF(G1262="","",VLOOKUP($G1262,'Quy chuẩn hạch toán'!$B:$E,2,0))</f>
        <v/>
      </c>
      <c r="I1262" s="58" t="str">
        <f>IF(H1262="","",VLOOKUP($G1262,'Quy chuẩn hạch toán'!$B:$E,3,0))</f>
        <v/>
      </c>
      <c r="J1262" s="95"/>
      <c r="K1262" s="60"/>
      <c r="L1262" s="61"/>
      <c r="M1262" s="62"/>
      <c r="N1262" s="63"/>
      <c r="O1262" s="64" t="str">
        <f>IF($Q1262&lt;&gt;0,VLOOKUP($Q1262,DM_KM,3,0),"")</f>
        <v/>
      </c>
      <c r="P1262" s="64" t="str">
        <f>IF($Q1262&lt;&gt;0,VLOOKUP($Q1262,DM_KM,5,0),"")</f>
        <v/>
      </c>
      <c r="Q1262" s="89"/>
      <c r="R1262" s="64" t="str">
        <f>IF(S1262&lt;&gt;0,VLOOKUP(S1262,DM_DUAN,3,0),"")</f>
        <v>#N/A</v>
      </c>
      <c r="S1262" s="66" t="str">
        <f>IF(U1262&lt;&gt;0,VLOOKUP(U1262,DM_DUAN,3,0),"")</f>
        <v/>
      </c>
      <c r="T1262" s="64"/>
      <c r="U1262" s="93"/>
      <c r="V1262" s="64" t="str">
        <f>IF(W1262&lt;&gt;0,VLOOKUP(W1262,DM_DUAN,3,0),"")</f>
        <v/>
      </c>
      <c r="W1262" s="68"/>
      <c r="X1262" s="64" t="str">
        <f>IF(Y1262&lt;&gt;0,VLOOKUP(Y1262,DM_DUAN,3,0),"")</f>
        <v/>
      </c>
      <c r="Y1262" s="84"/>
      <c r="Z1262" s="64" t="str">
        <f>IF(AA1262&lt;&gt;0,VLOOKUP(AA1262,DM_DUAN,3,0),"")</f>
        <v/>
      </c>
      <c r="AA1262" s="131"/>
      <c r="AB1262" s="64" t="str">
        <f>IF(AC1262&lt;&gt;0,VLOOKUP(AC1262,DM_DUAN,3,0),"")</f>
        <v/>
      </c>
      <c r="AC1262" s="85"/>
      <c r="AD1262" s="64" t="str">
        <f>IF(AC1262&lt;&gt;0,VLOOKUP(AC1262,DM_NV,2,0),"")</f>
        <v/>
      </c>
      <c r="AE1262" s="68"/>
      <c r="AF1262" s="64" t="str">
        <f>IF(AE1262&lt;&gt;0,VLOOKUP(AE1262,DM_NV,2,0),"")</f>
        <v/>
      </c>
    </row>
    <row r="1263">
      <c r="A1263" s="51"/>
      <c r="B1263" s="52" t="str">
        <f>IF(D1263="","",VLOOKUP(D1263,'THAM CHIẾU'!$A:$B,2,0))</f>
        <v>#N/A</v>
      </c>
      <c r="C1263" s="53" t="str">
        <f t="shared" si="6"/>
        <v>05/2022</v>
      </c>
      <c r="D1263" s="99">
        <v>44712.0</v>
      </c>
      <c r="E1263" s="55" t="s">
        <v>1227</v>
      </c>
      <c r="F1263" s="56"/>
      <c r="G1263" s="57" t="s">
        <v>173</v>
      </c>
      <c r="H1263" s="58" t="str">
        <f>IF(G1263="","",VLOOKUP($G1263,'Quy chuẩn hạch toán'!$B:$E,2,0))</f>
        <v>641</v>
      </c>
      <c r="I1263" s="58" t="str">
        <f>IF(H1263="","",VLOOKUP($G1263,'Quy chuẩn hạch toán'!$B:$E,3,0))</f>
        <v>331</v>
      </c>
      <c r="J1263" s="59">
        <v>1.1424E7</v>
      </c>
      <c r="K1263" s="60"/>
      <c r="L1263" s="61"/>
      <c r="M1263" s="62"/>
      <c r="N1263" s="63"/>
      <c r="O1263" s="64" t="str">
        <f>IF($Q1263&lt;&gt;0,VLOOKUP($Q1263,DM_KM,3,0),"")</f>
        <v>#N/A</v>
      </c>
      <c r="P1263" s="64" t="str">
        <f>IF($Q1263&lt;&gt;0,VLOOKUP($Q1263,DM_KM,5,0),"")</f>
        <v>#N/A</v>
      </c>
      <c r="Q1263" s="65" t="s">
        <v>169</v>
      </c>
      <c r="R1263" s="64" t="str">
        <f>IF(S1263&lt;&gt;0,VLOOKUP(S1263,DM_DUAN,3,0),"")</f>
        <v>#N/A</v>
      </c>
      <c r="S1263" s="66" t="str">
        <f>IF(U1263&lt;&gt;0,VLOOKUP(U1263,DM_DUAN,3,0),"")</f>
        <v>CLOUDLAND</v>
      </c>
      <c r="T1263" s="64"/>
      <c r="U1263" s="67" t="s">
        <v>956</v>
      </c>
      <c r="V1263" s="64" t="str">
        <f>IF(W1263&lt;&gt;0,VLOOKUP(W1263,DM_DUAN,3,0),"")</f>
        <v/>
      </c>
      <c r="W1263" s="68"/>
      <c r="X1263" s="64" t="str">
        <f>IF(Y1263&lt;&gt;0,VLOOKUP(Y1263,DM_DUAN,3,0),"")</f>
        <v>#N/A</v>
      </c>
      <c r="Y1263" s="69" t="s">
        <v>176</v>
      </c>
      <c r="Z1263" s="64" t="str">
        <f>IF(AA1263&lt;&gt;0,VLOOKUP(AA1263,DM_DUAN,3,0),"")</f>
        <v>#N/A</v>
      </c>
      <c r="AA1263" s="70" t="s">
        <v>705</v>
      </c>
      <c r="AB1263" s="64" t="str">
        <f>IF(AC1263&lt;&gt;0,VLOOKUP(AC1263,DM_DUAN,3,0),"")</f>
        <v/>
      </c>
      <c r="AC1263" s="85"/>
      <c r="AD1263" s="64" t="str">
        <f>IF(AC1263&lt;&gt;0,VLOOKUP(AC1263,DM_NV,2,0),"")</f>
        <v/>
      </c>
      <c r="AE1263" s="68"/>
      <c r="AF1263" s="64" t="str">
        <f>IF(AE1263&lt;&gt;0,VLOOKUP(AE1263,DM_NV,2,0),"")</f>
        <v/>
      </c>
    </row>
    <row r="1264">
      <c r="A1264" s="51"/>
      <c r="B1264" s="52" t="str">
        <f>IF(D1264="","",VLOOKUP(D1264,'THAM CHIẾU'!$A:$B,2,0))</f>
        <v>#N/A</v>
      </c>
      <c r="C1264" s="53" t="str">
        <f t="shared" si="6"/>
        <v>05/2022</v>
      </c>
      <c r="D1264" s="99">
        <v>44712.0</v>
      </c>
      <c r="E1264" s="55" t="s">
        <v>1228</v>
      </c>
      <c r="F1264" s="56"/>
      <c r="G1264" s="57" t="s">
        <v>173</v>
      </c>
      <c r="H1264" s="58" t="str">
        <f>IF(G1264="","",VLOOKUP($G1264,'Quy chuẩn hạch toán'!$B:$E,2,0))</f>
        <v>641</v>
      </c>
      <c r="I1264" s="58" t="str">
        <f>IF(H1264="","",VLOOKUP($G1264,'Quy chuẩn hạch toán'!$B:$E,3,0))</f>
        <v>331</v>
      </c>
      <c r="J1264" s="59">
        <v>3.0E7</v>
      </c>
      <c r="K1264" s="60"/>
      <c r="L1264" s="61"/>
      <c r="M1264" s="62"/>
      <c r="N1264" s="63"/>
      <c r="O1264" s="64" t="str">
        <f>IF($Q1264&lt;&gt;0,VLOOKUP($Q1264,DM_KM,3,0),"")</f>
        <v>#N/A</v>
      </c>
      <c r="P1264" s="64" t="str">
        <f>IF($Q1264&lt;&gt;0,VLOOKUP($Q1264,DM_KM,5,0),"")</f>
        <v>#N/A</v>
      </c>
      <c r="Q1264" s="65" t="s">
        <v>169</v>
      </c>
      <c r="R1264" s="64" t="str">
        <f>IF(S1264&lt;&gt;0,VLOOKUP(S1264,DM_DUAN,3,0),"")</f>
        <v>#N/A</v>
      </c>
      <c r="S1264" s="66" t="str">
        <f>IF(U1264&lt;&gt;0,VLOOKUP(U1264,DM_DUAN,3,0),"")</f>
        <v>CLOUDLAND</v>
      </c>
      <c r="T1264" s="64"/>
      <c r="U1264" s="67" t="s">
        <v>956</v>
      </c>
      <c r="V1264" s="64" t="str">
        <f>IF(W1264&lt;&gt;0,VLOOKUP(W1264,DM_DUAN,3,0),"")</f>
        <v/>
      </c>
      <c r="W1264" s="68"/>
      <c r="X1264" s="64" t="str">
        <f>IF(Y1264&lt;&gt;0,VLOOKUP(Y1264,DM_DUAN,3,0),"")</f>
        <v>#N/A</v>
      </c>
      <c r="Y1264" s="69" t="s">
        <v>176</v>
      </c>
      <c r="Z1264" s="64" t="str">
        <f>IF(AA1264&lt;&gt;0,VLOOKUP(AA1264,DM_DUAN,3,0),"")</f>
        <v>#N/A</v>
      </c>
      <c r="AA1264" s="70" t="s">
        <v>183</v>
      </c>
      <c r="AB1264" s="64" t="str">
        <f>IF(AC1264&lt;&gt;0,VLOOKUP(AC1264,DM_DUAN,3,0),"")</f>
        <v/>
      </c>
      <c r="AC1264" s="85"/>
      <c r="AD1264" s="64" t="str">
        <f>IF(AC1264&lt;&gt;0,VLOOKUP(AC1264,DM_NV,2,0),"")</f>
        <v/>
      </c>
      <c r="AE1264" s="68"/>
      <c r="AF1264" s="64" t="str">
        <f>IF(AE1264&lt;&gt;0,VLOOKUP(AE1264,DM_NV,2,0),"")</f>
        <v/>
      </c>
    </row>
    <row r="1265">
      <c r="A1265" s="51"/>
      <c r="B1265" s="52" t="str">
        <f>IF(D1265="","",VLOOKUP(D1265,'THAM CHIẾU'!$A:$B,2,0))</f>
        <v>#N/A</v>
      </c>
      <c r="C1265" s="53" t="str">
        <f t="shared" si="6"/>
        <v>05/2022</v>
      </c>
      <c r="D1265" s="99">
        <v>44712.0</v>
      </c>
      <c r="E1265" s="55" t="s">
        <v>1229</v>
      </c>
      <c r="F1265" s="56"/>
      <c r="G1265" s="57" t="s">
        <v>173</v>
      </c>
      <c r="H1265" s="58" t="str">
        <f>IF(G1265="","",VLOOKUP($G1265,'Quy chuẩn hạch toán'!$B:$E,2,0))</f>
        <v>641</v>
      </c>
      <c r="I1265" s="58" t="str">
        <f>IF(H1265="","",VLOOKUP($G1265,'Quy chuẩn hạch toán'!$B:$E,3,0))</f>
        <v>331</v>
      </c>
      <c r="J1265" s="59">
        <v>6460999.0</v>
      </c>
      <c r="K1265" s="60"/>
      <c r="L1265" s="61"/>
      <c r="M1265" s="62"/>
      <c r="N1265" s="63"/>
      <c r="O1265" s="64" t="str">
        <f>IF($Q1265&lt;&gt;0,VLOOKUP($Q1265,DM_KM,3,0),"")</f>
        <v>#N/A</v>
      </c>
      <c r="P1265" s="64" t="str">
        <f>IF($Q1265&lt;&gt;0,VLOOKUP($Q1265,DM_KM,5,0),"")</f>
        <v>#N/A</v>
      </c>
      <c r="Q1265" s="65" t="s">
        <v>169</v>
      </c>
      <c r="R1265" s="64" t="str">
        <f>IF(S1265&lt;&gt;0,VLOOKUP(S1265,DM_DUAN,3,0),"")</f>
        <v>#N/A</v>
      </c>
      <c r="S1265" s="66" t="str">
        <f>IF(U1265&lt;&gt;0,VLOOKUP(U1265,DM_DUAN,3,0),"")</f>
        <v>CLOUDLAND</v>
      </c>
      <c r="T1265" s="64"/>
      <c r="U1265" s="67" t="s">
        <v>956</v>
      </c>
      <c r="V1265" s="64" t="str">
        <f>IF(W1265&lt;&gt;0,VLOOKUP(W1265,DM_DUAN,3,0),"")</f>
        <v/>
      </c>
      <c r="W1265" s="68"/>
      <c r="X1265" s="64" t="str">
        <f>IF(Y1265&lt;&gt;0,VLOOKUP(Y1265,DM_DUAN,3,0),"")</f>
        <v>#N/A</v>
      </c>
      <c r="Y1265" s="69" t="s">
        <v>176</v>
      </c>
      <c r="Z1265" s="64" t="str">
        <f>IF(AA1265&lt;&gt;0,VLOOKUP(AA1265,DM_DUAN,3,0),"")</f>
        <v>#N/A</v>
      </c>
      <c r="AA1265" s="70" t="s">
        <v>183</v>
      </c>
      <c r="AB1265" s="64" t="str">
        <f>IF(AC1265&lt;&gt;0,VLOOKUP(AC1265,DM_DUAN,3,0),"")</f>
        <v/>
      </c>
      <c r="AC1265" s="85"/>
      <c r="AD1265" s="64" t="str">
        <f>IF(AC1265&lt;&gt;0,VLOOKUP(AC1265,DM_NV,2,0),"")</f>
        <v/>
      </c>
      <c r="AE1265" s="68"/>
      <c r="AF1265" s="64" t="str">
        <f>IF(AE1265&lt;&gt;0,VLOOKUP(AE1265,DM_NV,2,0),"")</f>
        <v/>
      </c>
    </row>
    <row r="1266">
      <c r="A1266" s="51"/>
      <c r="B1266" s="52" t="str">
        <f>IF(D1266="","",VLOOKUP(D1266,'THAM CHIẾU'!$A:$B,2,0))</f>
        <v>#N/A</v>
      </c>
      <c r="C1266" s="53" t="str">
        <f t="shared" si="6"/>
        <v>05/2022</v>
      </c>
      <c r="D1266" s="99">
        <v>44712.0</v>
      </c>
      <c r="E1266" s="55" t="s">
        <v>1230</v>
      </c>
      <c r="F1266" s="56"/>
      <c r="G1266" s="57" t="s">
        <v>173</v>
      </c>
      <c r="H1266" s="58" t="str">
        <f>IF(G1266="","",VLOOKUP($G1266,'Quy chuẩn hạch toán'!$B:$E,2,0))</f>
        <v>641</v>
      </c>
      <c r="I1266" s="58" t="str">
        <f>IF(H1266="","",VLOOKUP($G1266,'Quy chuẩn hạch toán'!$B:$E,3,0))</f>
        <v>331</v>
      </c>
      <c r="J1266" s="59">
        <v>1.0E7</v>
      </c>
      <c r="K1266" s="60"/>
      <c r="L1266" s="61"/>
      <c r="M1266" s="62"/>
      <c r="N1266" s="63"/>
      <c r="O1266" s="64" t="str">
        <f>IF($Q1266&lt;&gt;0,VLOOKUP($Q1266,DM_KM,3,0),"")</f>
        <v>#N/A</v>
      </c>
      <c r="P1266" s="64" t="str">
        <f>IF($Q1266&lt;&gt;0,VLOOKUP($Q1266,DM_KM,5,0),"")</f>
        <v>#N/A</v>
      </c>
      <c r="Q1266" s="65" t="s">
        <v>169</v>
      </c>
      <c r="R1266" s="64" t="str">
        <f>IF(S1266&lt;&gt;0,VLOOKUP(S1266,DM_DUAN,3,0),"")</f>
        <v>#N/A</v>
      </c>
      <c r="S1266" s="66" t="str">
        <f>IF(U1266&lt;&gt;0,VLOOKUP(U1266,DM_DUAN,3,0),"")</f>
        <v>CLOUDLAND</v>
      </c>
      <c r="T1266" s="64"/>
      <c r="U1266" s="67" t="s">
        <v>956</v>
      </c>
      <c r="V1266" s="64" t="str">
        <f>IF(W1266&lt;&gt;0,VLOOKUP(W1266,DM_DUAN,3,0),"")</f>
        <v/>
      </c>
      <c r="W1266" s="68"/>
      <c r="X1266" s="64" t="str">
        <f>IF(Y1266&lt;&gt;0,VLOOKUP(Y1266,DM_DUAN,3,0),"")</f>
        <v>#N/A</v>
      </c>
      <c r="Y1266" s="69" t="s">
        <v>176</v>
      </c>
      <c r="Z1266" s="64" t="str">
        <f>IF(AA1266&lt;&gt;0,VLOOKUP(AA1266,DM_DUAN,3,0),"")</f>
        <v>#N/A</v>
      </c>
      <c r="AA1266" s="70" t="s">
        <v>177</v>
      </c>
      <c r="AB1266" s="64" t="str">
        <f>IF(AC1266&lt;&gt;0,VLOOKUP(AC1266,DM_DUAN,3,0),"")</f>
        <v/>
      </c>
      <c r="AC1266" s="85"/>
      <c r="AD1266" s="64" t="str">
        <f>IF(AC1266&lt;&gt;0,VLOOKUP(AC1266,DM_NV,2,0),"")</f>
        <v/>
      </c>
      <c r="AE1266" s="68"/>
      <c r="AF1266" s="64" t="str">
        <f>IF(AE1266&lt;&gt;0,VLOOKUP(AE1266,DM_NV,2,0),"")</f>
        <v/>
      </c>
    </row>
    <row r="1267">
      <c r="A1267" s="51"/>
      <c r="B1267" s="52" t="str">
        <f>IF(D1267="","",VLOOKUP(D1267,'THAM CHIẾU'!$A:$B,2,0))</f>
        <v>#N/A</v>
      </c>
      <c r="C1267" s="53" t="str">
        <f t="shared" si="6"/>
        <v>05/2022</v>
      </c>
      <c r="D1267" s="99">
        <v>44712.0</v>
      </c>
      <c r="E1267" s="55" t="s">
        <v>1231</v>
      </c>
      <c r="F1267" s="56"/>
      <c r="G1267" s="57" t="s">
        <v>173</v>
      </c>
      <c r="H1267" s="58" t="str">
        <f>IF(G1267="","",VLOOKUP($G1267,'Quy chuẩn hạch toán'!$B:$E,2,0))</f>
        <v>641</v>
      </c>
      <c r="I1267" s="58" t="str">
        <f>IF(H1267="","",VLOOKUP($G1267,'Quy chuẩn hạch toán'!$B:$E,3,0))</f>
        <v>331</v>
      </c>
      <c r="J1267" s="59">
        <v>1.4249E7</v>
      </c>
      <c r="K1267" s="60"/>
      <c r="L1267" s="61"/>
      <c r="M1267" s="62"/>
      <c r="N1267" s="63"/>
      <c r="O1267" s="64" t="str">
        <f>IF($Q1267&lt;&gt;0,VLOOKUP($Q1267,DM_KM,3,0),"")</f>
        <v>#N/A</v>
      </c>
      <c r="P1267" s="64" t="str">
        <f>IF($Q1267&lt;&gt;0,VLOOKUP($Q1267,DM_KM,5,0),"")</f>
        <v>#N/A</v>
      </c>
      <c r="Q1267" s="65" t="s">
        <v>169</v>
      </c>
      <c r="R1267" s="64" t="str">
        <f>IF(S1267&lt;&gt;0,VLOOKUP(S1267,DM_DUAN,3,0),"")</f>
        <v>#N/A</v>
      </c>
      <c r="S1267" s="66" t="str">
        <f>IF(U1267&lt;&gt;0,VLOOKUP(U1267,DM_DUAN,3,0),"")</f>
        <v>CLOUDLAND</v>
      </c>
      <c r="T1267" s="64"/>
      <c r="U1267" s="67" t="s">
        <v>956</v>
      </c>
      <c r="V1267" s="64" t="str">
        <f>IF(W1267&lt;&gt;0,VLOOKUP(W1267,DM_DUAN,3,0),"")</f>
        <v/>
      </c>
      <c r="W1267" s="68"/>
      <c r="X1267" s="64" t="str">
        <f>IF(Y1267&lt;&gt;0,VLOOKUP(Y1267,DM_DUAN,3,0),"")</f>
        <v>#N/A</v>
      </c>
      <c r="Y1267" s="69" t="s">
        <v>176</v>
      </c>
      <c r="Z1267" s="64" t="str">
        <f>IF(AA1267&lt;&gt;0,VLOOKUP(AA1267,DM_DUAN,3,0),"")</f>
        <v>#N/A</v>
      </c>
      <c r="AA1267" s="70" t="s">
        <v>177</v>
      </c>
      <c r="AB1267" s="64" t="str">
        <f>IF(AC1267&lt;&gt;0,VLOOKUP(AC1267,DM_DUAN,3,0),"")</f>
        <v/>
      </c>
      <c r="AC1267" s="85"/>
      <c r="AD1267" s="64" t="str">
        <f>IF(AC1267&lt;&gt;0,VLOOKUP(AC1267,DM_NV,2,0),"")</f>
        <v/>
      </c>
      <c r="AE1267" s="68"/>
      <c r="AF1267" s="64" t="str">
        <f>IF(AE1267&lt;&gt;0,VLOOKUP(AE1267,DM_NV,2,0),"")</f>
        <v/>
      </c>
    </row>
    <row r="1268">
      <c r="A1268" s="51"/>
      <c r="B1268" s="52" t="str">
        <f>IF(D1268="","",VLOOKUP(D1268,'THAM CHIẾU'!$A:$B,2,0))</f>
        <v>#N/A</v>
      </c>
      <c r="C1268" s="53" t="str">
        <f t="shared" si="6"/>
        <v>05/2022</v>
      </c>
      <c r="D1268" s="99">
        <v>44712.0</v>
      </c>
      <c r="E1268" s="55" t="s">
        <v>1232</v>
      </c>
      <c r="F1268" s="56"/>
      <c r="G1268" s="57" t="s">
        <v>173</v>
      </c>
      <c r="H1268" s="58" t="str">
        <f>IF(G1268="","",VLOOKUP($G1268,'Quy chuẩn hạch toán'!$B:$E,2,0))</f>
        <v>641</v>
      </c>
      <c r="I1268" s="58" t="str">
        <f>IF(H1268="","",VLOOKUP($G1268,'Quy chuẩn hạch toán'!$B:$E,3,0))</f>
        <v>331</v>
      </c>
      <c r="J1268" s="59">
        <v>8000000.0</v>
      </c>
      <c r="K1268" s="60"/>
      <c r="L1268" s="61"/>
      <c r="M1268" s="62"/>
      <c r="N1268" s="63"/>
      <c r="O1268" s="64" t="str">
        <f>IF($Q1268&lt;&gt;0,VLOOKUP($Q1268,DM_KM,3,0),"")</f>
        <v>#N/A</v>
      </c>
      <c r="P1268" s="64" t="str">
        <f>IF($Q1268&lt;&gt;0,VLOOKUP($Q1268,DM_KM,5,0),"")</f>
        <v>#N/A</v>
      </c>
      <c r="Q1268" s="65" t="s">
        <v>169</v>
      </c>
      <c r="R1268" s="64" t="str">
        <f>IF(S1268&lt;&gt;0,VLOOKUP(S1268,DM_DUAN,3,0),"")</f>
        <v>#N/A</v>
      </c>
      <c r="S1268" s="66" t="str">
        <f>IF(U1268&lt;&gt;0,VLOOKUP(U1268,DM_DUAN,3,0),"")</f>
        <v>CLOUDLAND</v>
      </c>
      <c r="T1268" s="64"/>
      <c r="U1268" s="67" t="s">
        <v>956</v>
      </c>
      <c r="V1268" s="64" t="str">
        <f>IF(W1268&lt;&gt;0,VLOOKUP(W1268,DM_DUAN,3,0),"")</f>
        <v/>
      </c>
      <c r="W1268" s="68"/>
      <c r="X1268" s="64" t="str">
        <f>IF(Y1268&lt;&gt;0,VLOOKUP(Y1268,DM_DUAN,3,0),"")</f>
        <v>#N/A</v>
      </c>
      <c r="Y1268" s="69" t="s">
        <v>176</v>
      </c>
      <c r="Z1268" s="64" t="str">
        <f>IF(AA1268&lt;&gt;0,VLOOKUP(AA1268,DM_DUAN,3,0),"")</f>
        <v>#N/A</v>
      </c>
      <c r="AA1268" s="70" t="s">
        <v>210</v>
      </c>
      <c r="AB1268" s="64" t="str">
        <f>IF(AC1268&lt;&gt;0,VLOOKUP(AC1268,DM_DUAN,3,0),"")</f>
        <v/>
      </c>
      <c r="AC1268" s="85"/>
      <c r="AD1268" s="64" t="str">
        <f>IF(AC1268&lt;&gt;0,VLOOKUP(AC1268,DM_NV,2,0),"")</f>
        <v/>
      </c>
      <c r="AE1268" s="68"/>
      <c r="AF1268" s="64" t="str">
        <f>IF(AE1268&lt;&gt;0,VLOOKUP(AE1268,DM_NV,2,0),"")</f>
        <v/>
      </c>
    </row>
    <row r="1269">
      <c r="A1269" s="51"/>
      <c r="B1269" s="52" t="str">
        <f>IF(D1269="","",VLOOKUP(D1269,'THAM CHIẾU'!$A:$B,2,0))</f>
        <v>#N/A</v>
      </c>
      <c r="C1269" s="53" t="str">
        <f t="shared" si="6"/>
        <v>05/2022</v>
      </c>
      <c r="D1269" s="99">
        <v>44712.0</v>
      </c>
      <c r="E1269" s="55" t="s">
        <v>1233</v>
      </c>
      <c r="F1269" s="56"/>
      <c r="G1269" s="90"/>
      <c r="H1269" s="58" t="str">
        <f>IF(G1269="","",VLOOKUP($G1269,'Quy chuẩn hạch toán'!$B:$E,2,0))</f>
        <v/>
      </c>
      <c r="I1269" s="58" t="str">
        <f>IF(H1269="","",VLOOKUP($G1269,'Quy chuẩn hạch toán'!$B:$E,3,0))</f>
        <v/>
      </c>
      <c r="J1269" s="59">
        <v>1142400.0</v>
      </c>
      <c r="K1269" s="60"/>
      <c r="L1269" s="61"/>
      <c r="M1269" s="62"/>
      <c r="N1269" s="63"/>
      <c r="O1269" s="64" t="str">
        <f>IF($Q1269&lt;&gt;0,VLOOKUP($Q1269,DM_KM,3,0),"")</f>
        <v>#N/A</v>
      </c>
      <c r="P1269" s="64" t="str">
        <f>IF($Q1269&lt;&gt;0,VLOOKUP($Q1269,DM_KM,5,0),"")</f>
        <v>#N/A</v>
      </c>
      <c r="Q1269" s="65" t="s">
        <v>203</v>
      </c>
      <c r="R1269" s="64" t="str">
        <f>IF(S1269&lt;&gt;0,VLOOKUP(S1269,DM_DUAN,3,0),"")</f>
        <v>#N/A</v>
      </c>
      <c r="S1269" s="66" t="str">
        <f>IF(U1269&lt;&gt;0,VLOOKUP(U1269,DM_DUAN,3,0),"")</f>
        <v>CLOUDLAND</v>
      </c>
      <c r="T1269" s="64"/>
      <c r="U1269" s="67" t="s">
        <v>956</v>
      </c>
      <c r="V1269" s="64" t="str">
        <f>IF(W1269&lt;&gt;0,VLOOKUP(W1269,DM_DUAN,3,0),"")</f>
        <v/>
      </c>
      <c r="W1269" s="68"/>
      <c r="X1269" s="64" t="str">
        <f>IF(Y1269&lt;&gt;0,VLOOKUP(Y1269,DM_DUAN,3,0),"")</f>
        <v/>
      </c>
      <c r="Y1269" s="84"/>
      <c r="Z1269" s="64" t="str">
        <f>IF(AA1269&lt;&gt;0,VLOOKUP(AA1269,DM_DUAN,3,0),"")</f>
        <v/>
      </c>
      <c r="AA1269" s="131"/>
      <c r="AB1269" s="64" t="str">
        <f>IF(AC1269&lt;&gt;0,VLOOKUP(AC1269,DM_DUAN,3,0),"")</f>
        <v/>
      </c>
      <c r="AC1269" s="85"/>
      <c r="AD1269" s="64" t="str">
        <f>IF(AC1269&lt;&gt;0,VLOOKUP(AC1269,DM_NV,2,0),"")</f>
        <v/>
      </c>
      <c r="AE1269" s="68"/>
      <c r="AF1269" s="64" t="str">
        <f>IF(AE1269&lt;&gt;0,VLOOKUP(AE1269,DM_NV,2,0),"")</f>
        <v/>
      </c>
    </row>
    <row r="1270">
      <c r="A1270" s="51"/>
      <c r="B1270" s="52" t="str">
        <f>IF(D1270="","",VLOOKUP(D1270,'THAM CHIẾU'!$A:$B,2,0))</f>
        <v>#N/A</v>
      </c>
      <c r="C1270" s="53" t="str">
        <f t="shared" si="6"/>
        <v>05/2022</v>
      </c>
      <c r="D1270" s="99">
        <v>44712.0</v>
      </c>
      <c r="E1270" s="55" t="s">
        <v>1234</v>
      </c>
      <c r="F1270" s="56"/>
      <c r="G1270" s="90"/>
      <c r="H1270" s="58" t="str">
        <f>IF(G1270="","",VLOOKUP($G1270,'Quy chuẩn hạch toán'!$B:$E,2,0))</f>
        <v/>
      </c>
      <c r="I1270" s="58" t="str">
        <f>IF(H1270="","",VLOOKUP($G1270,'Quy chuẩn hạch toán'!$B:$E,3,0))</f>
        <v/>
      </c>
      <c r="J1270" s="59">
        <v>3000000.0</v>
      </c>
      <c r="K1270" s="60"/>
      <c r="L1270" s="61"/>
      <c r="M1270" s="62"/>
      <c r="N1270" s="63"/>
      <c r="O1270" s="64" t="str">
        <f>IF($Q1270&lt;&gt;0,VLOOKUP($Q1270,DM_KM,3,0),"")</f>
        <v>#N/A</v>
      </c>
      <c r="P1270" s="64" t="str">
        <f>IF($Q1270&lt;&gt;0,VLOOKUP($Q1270,DM_KM,5,0),"")</f>
        <v>#N/A</v>
      </c>
      <c r="Q1270" s="65" t="s">
        <v>203</v>
      </c>
      <c r="R1270" s="64" t="str">
        <f>IF(S1270&lt;&gt;0,VLOOKUP(S1270,DM_DUAN,3,0),"")</f>
        <v>#N/A</v>
      </c>
      <c r="S1270" s="66" t="str">
        <f>IF(U1270&lt;&gt;0,VLOOKUP(U1270,DM_DUAN,3,0),"")</f>
        <v>CLOUDLAND</v>
      </c>
      <c r="T1270" s="64"/>
      <c r="U1270" s="67" t="s">
        <v>956</v>
      </c>
      <c r="V1270" s="64" t="str">
        <f>IF(W1270&lt;&gt;0,VLOOKUP(W1270,DM_DUAN,3,0),"")</f>
        <v/>
      </c>
      <c r="W1270" s="68"/>
      <c r="X1270" s="64" t="str">
        <f>IF(Y1270&lt;&gt;0,VLOOKUP(Y1270,DM_DUAN,3,0),"")</f>
        <v/>
      </c>
      <c r="Y1270" s="84"/>
      <c r="Z1270" s="64" t="str">
        <f>IF(AA1270&lt;&gt;0,VLOOKUP(AA1270,DM_DUAN,3,0),"")</f>
        <v/>
      </c>
      <c r="AA1270" s="131"/>
      <c r="AB1270" s="64" t="str">
        <f>IF(AC1270&lt;&gt;0,VLOOKUP(AC1270,DM_DUAN,3,0),"")</f>
        <v/>
      </c>
      <c r="AC1270" s="85"/>
      <c r="AD1270" s="64" t="str">
        <f>IF(AC1270&lt;&gt;0,VLOOKUP(AC1270,DM_NV,2,0),"")</f>
        <v/>
      </c>
      <c r="AE1270" s="68"/>
      <c r="AF1270" s="64" t="str">
        <f>IF(AE1270&lt;&gt;0,VLOOKUP(AE1270,DM_NV,2,0),"")</f>
        <v/>
      </c>
    </row>
    <row r="1271">
      <c r="A1271" s="51"/>
      <c r="B1271" s="52" t="str">
        <f>IF(D1271="","",VLOOKUP(D1271,'THAM CHIẾU'!$A:$B,2,0))</f>
        <v>#N/A</v>
      </c>
      <c r="C1271" s="53" t="str">
        <f t="shared" si="6"/>
        <v>05/2022</v>
      </c>
      <c r="D1271" s="99">
        <v>44712.0</v>
      </c>
      <c r="E1271" s="55" t="s">
        <v>1235</v>
      </c>
      <c r="F1271" s="56"/>
      <c r="G1271" s="90"/>
      <c r="H1271" s="58" t="str">
        <f>IF(G1271="","",VLOOKUP($G1271,'Quy chuẩn hạch toán'!$B:$E,2,0))</f>
        <v/>
      </c>
      <c r="I1271" s="58" t="str">
        <f>IF(H1271="","",VLOOKUP($G1271,'Quy chuẩn hạch toán'!$B:$E,3,0))</f>
        <v/>
      </c>
      <c r="J1271" s="59">
        <v>1000000.0</v>
      </c>
      <c r="K1271" s="60"/>
      <c r="L1271" s="61"/>
      <c r="M1271" s="62"/>
      <c r="N1271" s="63"/>
      <c r="O1271" s="64" t="str">
        <f>IF($Q1271&lt;&gt;0,VLOOKUP($Q1271,DM_KM,3,0),"")</f>
        <v>#N/A</v>
      </c>
      <c r="P1271" s="64" t="str">
        <f>IF($Q1271&lt;&gt;0,VLOOKUP($Q1271,DM_KM,5,0),"")</f>
        <v>#N/A</v>
      </c>
      <c r="Q1271" s="65" t="s">
        <v>612</v>
      </c>
      <c r="R1271" s="64" t="str">
        <f>IF(S1271&lt;&gt;0,VLOOKUP(S1271,DM_DUAN,3,0),"")</f>
        <v>#N/A</v>
      </c>
      <c r="S1271" s="66" t="str">
        <f>IF(U1271&lt;&gt;0,VLOOKUP(U1271,DM_DUAN,3,0),"")</f>
        <v>CLOUDLAND</v>
      </c>
      <c r="T1271" s="64"/>
      <c r="U1271" s="67" t="s">
        <v>956</v>
      </c>
      <c r="V1271" s="64" t="str">
        <f>IF(W1271&lt;&gt;0,VLOOKUP(W1271,DM_DUAN,3,0),"")</f>
        <v/>
      </c>
      <c r="W1271" s="68"/>
      <c r="X1271" s="64" t="str">
        <f>IF(Y1271&lt;&gt;0,VLOOKUP(Y1271,DM_DUAN,3,0),"")</f>
        <v/>
      </c>
      <c r="Y1271" s="84"/>
      <c r="Z1271" s="64" t="str">
        <f>IF(AA1271&lt;&gt;0,VLOOKUP(AA1271,DM_DUAN,3,0),"")</f>
        <v/>
      </c>
      <c r="AA1271" s="131"/>
      <c r="AB1271" s="64" t="str">
        <f>IF(AC1271&lt;&gt;0,VLOOKUP(AC1271,DM_DUAN,3,0),"")</f>
        <v/>
      </c>
      <c r="AC1271" s="85"/>
      <c r="AD1271" s="64" t="str">
        <f>IF(AC1271&lt;&gt;0,VLOOKUP(AC1271,DM_NV,2,0),"")</f>
        <v/>
      </c>
      <c r="AE1271" s="68"/>
      <c r="AF1271" s="64" t="str">
        <f>IF(AE1271&lt;&gt;0,VLOOKUP(AE1271,DM_NV,2,0),"")</f>
        <v/>
      </c>
    </row>
    <row r="1272">
      <c r="A1272" s="51"/>
      <c r="B1272" s="52" t="str">
        <f>IF(D1272="","",VLOOKUP(D1272,'THAM CHIẾU'!$A:$B,2,0))</f>
        <v>#N/A</v>
      </c>
      <c r="C1272" s="53" t="str">
        <f t="shared" si="6"/>
        <v>05/2022</v>
      </c>
      <c r="D1272" s="99">
        <v>44712.0</v>
      </c>
      <c r="E1272" s="55" t="s">
        <v>1236</v>
      </c>
      <c r="F1272" s="56"/>
      <c r="G1272" s="90"/>
      <c r="H1272" s="58" t="str">
        <f>IF(G1272="","",VLOOKUP($G1272,'Quy chuẩn hạch toán'!$B:$E,2,0))</f>
        <v/>
      </c>
      <c r="I1272" s="58" t="str">
        <f>IF(H1272="","",VLOOKUP($G1272,'Quy chuẩn hạch toán'!$B:$E,3,0))</f>
        <v/>
      </c>
      <c r="J1272" s="59">
        <v>800000.0</v>
      </c>
      <c r="K1272" s="60"/>
      <c r="L1272" s="61"/>
      <c r="M1272" s="62"/>
      <c r="N1272" s="63"/>
      <c r="O1272" s="64" t="str">
        <f>IF($Q1272&lt;&gt;0,VLOOKUP($Q1272,DM_KM,3,0),"")</f>
        <v>#N/A</v>
      </c>
      <c r="P1272" s="64" t="str">
        <f>IF($Q1272&lt;&gt;0,VLOOKUP($Q1272,DM_KM,5,0),"")</f>
        <v>#N/A</v>
      </c>
      <c r="Q1272" s="65" t="s">
        <v>203</v>
      </c>
      <c r="R1272" s="64" t="str">
        <f>IF(S1272&lt;&gt;0,VLOOKUP(S1272,DM_DUAN,3,0),"")</f>
        <v>#N/A</v>
      </c>
      <c r="S1272" s="66" t="str">
        <f>IF(U1272&lt;&gt;0,VLOOKUP(U1272,DM_DUAN,3,0),"")</f>
        <v>CLOUDLAND</v>
      </c>
      <c r="T1272" s="64"/>
      <c r="U1272" s="67" t="s">
        <v>956</v>
      </c>
      <c r="V1272" s="64" t="str">
        <f>IF(W1272&lt;&gt;0,VLOOKUP(W1272,DM_DUAN,3,0),"")</f>
        <v/>
      </c>
      <c r="W1272" s="68"/>
      <c r="X1272" s="64" t="str">
        <f>IF(Y1272&lt;&gt;0,VLOOKUP(Y1272,DM_DUAN,3,0),"")</f>
        <v/>
      </c>
      <c r="Y1272" s="84"/>
      <c r="Z1272" s="64" t="str">
        <f>IF(AA1272&lt;&gt;0,VLOOKUP(AA1272,DM_DUAN,3,0),"")</f>
        <v/>
      </c>
      <c r="AA1272" s="131"/>
      <c r="AB1272" s="64" t="str">
        <f>IF(AC1272&lt;&gt;0,VLOOKUP(AC1272,DM_DUAN,3,0),"")</f>
        <v/>
      </c>
      <c r="AC1272" s="85"/>
      <c r="AD1272" s="64" t="str">
        <f>IF(AC1272&lt;&gt;0,VLOOKUP(AC1272,DM_NV,2,0),"")</f>
        <v/>
      </c>
      <c r="AE1272" s="68"/>
      <c r="AF1272" s="64" t="str">
        <f>IF(AE1272&lt;&gt;0,VLOOKUP(AE1272,DM_NV,2,0),"")</f>
        <v/>
      </c>
    </row>
    <row r="1273">
      <c r="A1273" s="51"/>
      <c r="B1273" s="52" t="str">
        <f>IF(D1273="","",VLOOKUP(D1273,'THAM CHIẾU'!$A:$B,2,0))</f>
        <v>#N/A</v>
      </c>
      <c r="C1273" s="53" t="str">
        <f t="shared" si="6"/>
        <v>05/2022</v>
      </c>
      <c r="D1273" s="99">
        <v>44712.0</v>
      </c>
      <c r="E1273" s="55" t="s">
        <v>1237</v>
      </c>
      <c r="F1273" s="56"/>
      <c r="G1273" s="57" t="s">
        <v>266</v>
      </c>
      <c r="H1273" s="58" t="str">
        <f>IF(G1273="","",VLOOKUP($G1273,'Quy chuẩn hạch toán'!$B:$E,2,0))</f>
        <v>642</v>
      </c>
      <c r="I1273" s="58" t="str">
        <f>IF(H1273="","",VLOOKUP($G1273,'Quy chuẩn hạch toán'!$B:$E,3,0))</f>
        <v>3341</v>
      </c>
      <c r="J1273" s="59">
        <f>23278107-516923</f>
        <v>22761184</v>
      </c>
      <c r="K1273" s="60"/>
      <c r="L1273" s="61"/>
      <c r="M1273" s="62"/>
      <c r="N1273" s="63"/>
      <c r="O1273" s="64" t="str">
        <f>IF($Q1273&lt;&gt;0,VLOOKUP($Q1273,DM_KM,3,0),"")</f>
        <v>#N/A</v>
      </c>
      <c r="P1273" s="64" t="str">
        <f>IF($Q1273&lt;&gt;0,VLOOKUP($Q1273,DM_KM,5,0),"")</f>
        <v>#N/A</v>
      </c>
      <c r="Q1273" s="65" t="s">
        <v>267</v>
      </c>
      <c r="R1273" s="64" t="str">
        <f>IF(S1273&lt;&gt;0,VLOOKUP(S1273,DM_DUAN,3,0),"")</f>
        <v>#N/A</v>
      </c>
      <c r="S1273" s="66" t="str">
        <f>IF(U1273&lt;&gt;0,VLOOKUP(U1273,DM_DUAN,3,0),"")</f>
        <v/>
      </c>
      <c r="T1273" s="64"/>
      <c r="U1273" s="93"/>
      <c r="V1273" s="64" t="str">
        <f>IF(W1273&lt;&gt;0,VLOOKUP(W1273,DM_DUAN,3,0),"")</f>
        <v/>
      </c>
      <c r="W1273" s="68"/>
      <c r="X1273" s="64" t="str">
        <f>IF(Y1273&lt;&gt;0,VLOOKUP(Y1273,DM_DUAN,3,0),"")</f>
        <v>#N/A</v>
      </c>
      <c r="Y1273" s="69" t="s">
        <v>176</v>
      </c>
      <c r="Z1273" s="64" t="str">
        <f>IF(AA1273&lt;&gt;0,VLOOKUP(AA1273,DM_DUAN,3,0),"")</f>
        <v>#N/A</v>
      </c>
      <c r="AA1273" s="70" t="s">
        <v>705</v>
      </c>
      <c r="AB1273" s="64" t="str">
        <f>IF(AC1273&lt;&gt;0,VLOOKUP(AC1273,DM_DUAN,3,0),"")</f>
        <v/>
      </c>
      <c r="AC1273" s="85"/>
      <c r="AD1273" s="64" t="str">
        <f>IF(AC1273&lt;&gt;0,VLOOKUP(AC1273,DM_NV,2,0),"")</f>
        <v/>
      </c>
      <c r="AE1273" s="68"/>
      <c r="AF1273" s="64" t="str">
        <f>IF(AE1273&lt;&gt;0,VLOOKUP(AE1273,DM_NV,2,0),"")</f>
        <v/>
      </c>
    </row>
    <row r="1274">
      <c r="A1274" s="51"/>
      <c r="B1274" s="52" t="str">
        <f>IF(D1274="","",VLOOKUP(D1274,'THAM CHIẾU'!$A:$B,2,0))</f>
        <v>#N/A</v>
      </c>
      <c r="C1274" s="53" t="str">
        <f t="shared" si="6"/>
        <v>05/2022</v>
      </c>
      <c r="D1274" s="99">
        <v>44712.0</v>
      </c>
      <c r="E1274" s="55" t="s">
        <v>1238</v>
      </c>
      <c r="F1274" s="56"/>
      <c r="G1274" s="57" t="s">
        <v>266</v>
      </c>
      <c r="H1274" s="58" t="str">
        <f>IF(G1274="","",VLOOKUP($G1274,'Quy chuẩn hạch toán'!$B:$E,2,0))</f>
        <v>642</v>
      </c>
      <c r="I1274" s="58" t="str">
        <f>IF(H1274="","",VLOOKUP($G1274,'Quy chuẩn hạch toán'!$B:$E,3,0))</f>
        <v>3341</v>
      </c>
      <c r="J1274" s="59">
        <f t="shared" ref="J1274:J1275" si="7">20368343-452308</f>
        <v>19916035</v>
      </c>
      <c r="K1274" s="60"/>
      <c r="L1274" s="61"/>
      <c r="M1274" s="62"/>
      <c r="N1274" s="63"/>
      <c r="O1274" s="64" t="str">
        <f>IF($Q1274&lt;&gt;0,VLOOKUP($Q1274,DM_KM,3,0),"")</f>
        <v>#N/A</v>
      </c>
      <c r="P1274" s="64" t="str">
        <f>IF($Q1274&lt;&gt;0,VLOOKUP($Q1274,DM_KM,5,0),"")</f>
        <v>#N/A</v>
      </c>
      <c r="Q1274" s="65" t="s">
        <v>267</v>
      </c>
      <c r="R1274" s="64" t="str">
        <f>IF(S1274&lt;&gt;0,VLOOKUP(S1274,DM_DUAN,3,0),"")</f>
        <v>#N/A</v>
      </c>
      <c r="S1274" s="66" t="str">
        <f>IF(U1274&lt;&gt;0,VLOOKUP(U1274,DM_DUAN,3,0),"")</f>
        <v/>
      </c>
      <c r="T1274" s="64"/>
      <c r="U1274" s="93"/>
      <c r="V1274" s="64" t="str">
        <f>IF(W1274&lt;&gt;0,VLOOKUP(W1274,DM_DUAN,3,0),"")</f>
        <v/>
      </c>
      <c r="W1274" s="68"/>
      <c r="X1274" s="64" t="str">
        <f>IF(Y1274&lt;&gt;0,VLOOKUP(Y1274,DM_DUAN,3,0),"")</f>
        <v>#N/A</v>
      </c>
      <c r="Y1274" s="69" t="s">
        <v>176</v>
      </c>
      <c r="Z1274" s="64" t="str">
        <f>IF(AA1274&lt;&gt;0,VLOOKUP(AA1274,DM_DUAN,3,0),"")</f>
        <v>#N/A</v>
      </c>
      <c r="AA1274" s="70" t="s">
        <v>210</v>
      </c>
      <c r="AB1274" s="64" t="str">
        <f>IF(AC1274&lt;&gt;0,VLOOKUP(AC1274,DM_DUAN,3,0),"")</f>
        <v/>
      </c>
      <c r="AC1274" s="85"/>
      <c r="AD1274" s="64" t="str">
        <f>IF(AC1274&lt;&gt;0,VLOOKUP(AC1274,DM_NV,2,0),"")</f>
        <v/>
      </c>
      <c r="AE1274" s="68"/>
      <c r="AF1274" s="64" t="str">
        <f>IF(AE1274&lt;&gt;0,VLOOKUP(AE1274,DM_NV,2,0),"")</f>
        <v/>
      </c>
    </row>
    <row r="1275">
      <c r="A1275" s="51"/>
      <c r="B1275" s="52" t="str">
        <f>IF(D1275="","",VLOOKUP(D1275,'THAM CHIẾU'!$A:$B,2,0))</f>
        <v>#N/A</v>
      </c>
      <c r="C1275" s="53" t="str">
        <f t="shared" si="6"/>
        <v>05/2022</v>
      </c>
      <c r="D1275" s="99">
        <v>44712.0</v>
      </c>
      <c r="E1275" s="55" t="s">
        <v>1239</v>
      </c>
      <c r="F1275" s="56"/>
      <c r="G1275" s="57" t="s">
        <v>266</v>
      </c>
      <c r="H1275" s="58" t="str">
        <f>IF(G1275="","",VLOOKUP($G1275,'Quy chuẩn hạch toán'!$B:$E,2,0))</f>
        <v>642</v>
      </c>
      <c r="I1275" s="58" t="str">
        <f>IF(H1275="","",VLOOKUP($G1275,'Quy chuẩn hạch toán'!$B:$E,3,0))</f>
        <v>3341</v>
      </c>
      <c r="J1275" s="59">
        <f t="shared" si="7"/>
        <v>19916035</v>
      </c>
      <c r="K1275" s="60"/>
      <c r="L1275" s="61"/>
      <c r="M1275" s="62"/>
      <c r="N1275" s="63"/>
      <c r="O1275" s="64" t="str">
        <f>IF($Q1275&lt;&gt;0,VLOOKUP($Q1275,DM_KM,3,0),"")</f>
        <v>#N/A</v>
      </c>
      <c r="P1275" s="64" t="str">
        <f>IF($Q1275&lt;&gt;0,VLOOKUP($Q1275,DM_KM,5,0),"")</f>
        <v>#N/A</v>
      </c>
      <c r="Q1275" s="65" t="s">
        <v>267</v>
      </c>
      <c r="R1275" s="64" t="str">
        <f>IF(S1275&lt;&gt;0,VLOOKUP(S1275,DM_DUAN,3,0),"")</f>
        <v>#N/A</v>
      </c>
      <c r="S1275" s="66" t="str">
        <f>IF(U1275&lt;&gt;0,VLOOKUP(U1275,DM_DUAN,3,0),"")</f>
        <v/>
      </c>
      <c r="T1275" s="64"/>
      <c r="U1275" s="93"/>
      <c r="V1275" s="64" t="str">
        <f>IF(W1275&lt;&gt;0,VLOOKUP(W1275,DM_DUAN,3,0),"")</f>
        <v/>
      </c>
      <c r="W1275" s="68"/>
      <c r="X1275" s="64" t="str">
        <f>IF(Y1275&lt;&gt;0,VLOOKUP(Y1275,DM_DUAN,3,0),"")</f>
        <v>#N/A</v>
      </c>
      <c r="Y1275" s="69" t="s">
        <v>176</v>
      </c>
      <c r="Z1275" s="64" t="str">
        <f>IF(AA1275&lt;&gt;0,VLOOKUP(AA1275,DM_DUAN,3,0),"")</f>
        <v>#N/A</v>
      </c>
      <c r="AA1275" s="70" t="s">
        <v>177</v>
      </c>
      <c r="AB1275" s="64" t="str">
        <f>IF(AC1275&lt;&gt;0,VLOOKUP(AC1275,DM_DUAN,3,0),"")</f>
        <v/>
      </c>
      <c r="AC1275" s="85"/>
      <c r="AD1275" s="64" t="str">
        <f>IF(AC1275&lt;&gt;0,VLOOKUP(AC1275,DM_NV,2,0),"")</f>
        <v/>
      </c>
      <c r="AE1275" s="68"/>
      <c r="AF1275" s="64" t="str">
        <f>IF(AE1275&lt;&gt;0,VLOOKUP(AE1275,DM_NV,2,0),"")</f>
        <v/>
      </c>
    </row>
    <row r="1276">
      <c r="A1276" s="51"/>
      <c r="B1276" s="52" t="str">
        <f>IF(D1276="","",VLOOKUP(D1276,'THAM CHIẾU'!$A:$B,2,0))</f>
        <v>#N/A</v>
      </c>
      <c r="C1276" s="53" t="str">
        <f t="shared" si="6"/>
        <v>05/2022</v>
      </c>
      <c r="D1276" s="99">
        <v>44712.0</v>
      </c>
      <c r="E1276" s="55" t="s">
        <v>1240</v>
      </c>
      <c r="F1276" s="56"/>
      <c r="G1276" s="57" t="s">
        <v>266</v>
      </c>
      <c r="H1276" s="58" t="str">
        <f>IF(G1276="","",VLOOKUP($G1276,'Quy chuẩn hạch toán'!$B:$E,2,0))</f>
        <v>642</v>
      </c>
      <c r="I1276" s="58" t="str">
        <f>IF(H1276="","",VLOOKUP($G1276,'Quy chuẩn hạch toán'!$B:$E,3,0))</f>
        <v>3341</v>
      </c>
      <c r="J1276" s="59">
        <f>49465976-1098462</f>
        <v>48367514</v>
      </c>
      <c r="K1276" s="60"/>
      <c r="L1276" s="61"/>
      <c r="M1276" s="62"/>
      <c r="N1276" s="63"/>
      <c r="O1276" s="64" t="str">
        <f>IF($Q1276&lt;&gt;0,VLOOKUP($Q1276,DM_KM,3,0),"")</f>
        <v>#N/A</v>
      </c>
      <c r="P1276" s="64" t="str">
        <f>IF($Q1276&lt;&gt;0,VLOOKUP($Q1276,DM_KM,5,0),"")</f>
        <v>#N/A</v>
      </c>
      <c r="Q1276" s="65" t="s">
        <v>267</v>
      </c>
      <c r="R1276" s="64" t="str">
        <f>IF(S1276&lt;&gt;0,VLOOKUP(S1276,DM_DUAN,3,0),"")</f>
        <v>#N/A</v>
      </c>
      <c r="S1276" s="66" t="str">
        <f>IF(U1276&lt;&gt;0,VLOOKUP(U1276,DM_DUAN,3,0),"")</f>
        <v/>
      </c>
      <c r="T1276" s="64"/>
      <c r="U1276" s="93"/>
      <c r="V1276" s="64" t="str">
        <f>IF(W1276&lt;&gt;0,VLOOKUP(W1276,DM_DUAN,3,0),"")</f>
        <v/>
      </c>
      <c r="W1276" s="68"/>
      <c r="X1276" s="64" t="str">
        <f>IF(Y1276&lt;&gt;0,VLOOKUP(Y1276,DM_DUAN,3,0),"")</f>
        <v>#N/A</v>
      </c>
      <c r="Y1276" s="69" t="s">
        <v>176</v>
      </c>
      <c r="Z1276" s="64" t="str">
        <f>IF(AA1276&lt;&gt;0,VLOOKUP(AA1276,DM_DUAN,3,0),"")</f>
        <v>#N/A</v>
      </c>
      <c r="AA1276" s="70" t="s">
        <v>183</v>
      </c>
      <c r="AB1276" s="64" t="str">
        <f>IF(AC1276&lt;&gt;0,VLOOKUP(AC1276,DM_DUAN,3,0),"")</f>
        <v/>
      </c>
      <c r="AC1276" s="85"/>
      <c r="AD1276" s="64" t="str">
        <f>IF(AC1276&lt;&gt;0,VLOOKUP(AC1276,DM_NV,2,0),"")</f>
        <v/>
      </c>
      <c r="AE1276" s="68"/>
      <c r="AF1276" s="64" t="str">
        <f>IF(AE1276&lt;&gt;0,VLOOKUP(AE1276,DM_NV,2,0),"")</f>
        <v/>
      </c>
    </row>
    <row r="1277">
      <c r="A1277" s="51"/>
      <c r="B1277" s="52"/>
      <c r="C1277" s="53"/>
      <c r="D1277" s="99">
        <v>44712.0</v>
      </c>
      <c r="E1277" s="55" t="s">
        <v>1241</v>
      </c>
      <c r="F1277" s="56"/>
      <c r="G1277" s="57" t="s">
        <v>1242</v>
      </c>
      <c r="H1277" s="58" t="str">
        <f>IF(G1277="","",VLOOKUP($G1277,'Quy chuẩn hạch toán'!$B:$E,2,0))</f>
        <v>3383</v>
      </c>
      <c r="I1277" s="58" t="str">
        <f>IF(H1277="","",VLOOKUP($G1277,'Quy chuẩn hạch toán'!$B:$E,3,0))</f>
        <v>3341</v>
      </c>
      <c r="J1277" s="59">
        <v>393846.0</v>
      </c>
      <c r="K1277" s="60"/>
      <c r="L1277" s="61"/>
      <c r="M1277" s="62"/>
      <c r="N1277" s="63"/>
      <c r="O1277" s="64"/>
      <c r="P1277" s="64"/>
      <c r="Q1277" s="65" t="s">
        <v>267</v>
      </c>
      <c r="R1277" s="64" t="str">
        <f>IF(S1277&lt;&gt;0,VLOOKUP(S1277,DM_DUAN,3,0),"")</f>
        <v>#N/A</v>
      </c>
      <c r="S1277" s="66" t="str">
        <f>IF(U1277&lt;&gt;0,VLOOKUP(U1277,DM_DUAN,3,0),"")</f>
        <v/>
      </c>
      <c r="T1277" s="64"/>
      <c r="U1277" s="93"/>
      <c r="V1277" s="64" t="str">
        <f>IF(W1277&lt;&gt;0,VLOOKUP(W1277,DM_DUAN,3,0),"")</f>
        <v/>
      </c>
      <c r="W1277" s="68"/>
      <c r="X1277" s="64" t="str">
        <f>IF(Y1277&lt;&gt;0,VLOOKUP(Y1277,DM_DUAN,3,0),"")</f>
        <v>#N/A</v>
      </c>
      <c r="Y1277" s="69" t="s">
        <v>176</v>
      </c>
      <c r="Z1277" s="64" t="str">
        <f>IF(AA1277&lt;&gt;0,VLOOKUP(AA1277,DM_DUAN,3,0),"")</f>
        <v>#N/A</v>
      </c>
      <c r="AA1277" s="70" t="s">
        <v>705</v>
      </c>
      <c r="AB1277" s="64" t="str">
        <f>IF(AC1277&lt;&gt;0,VLOOKUP(AC1277,DM_DUAN,3,0),"")</f>
        <v/>
      </c>
      <c r="AC1277" s="85"/>
      <c r="AD1277" s="64" t="str">
        <f>IF(AC1277&lt;&gt;0,VLOOKUP(AC1277,DM_NV,2,0),"")</f>
        <v/>
      </c>
      <c r="AE1277" s="68"/>
      <c r="AF1277" s="64" t="str">
        <f>IF(AE1277&lt;&gt;0,VLOOKUP(AE1277,DM_NV,2,0),"")</f>
        <v/>
      </c>
    </row>
    <row r="1278">
      <c r="A1278" s="51"/>
      <c r="B1278" s="52"/>
      <c r="C1278" s="53"/>
      <c r="D1278" s="99">
        <v>44712.0</v>
      </c>
      <c r="E1278" s="55" t="s">
        <v>1243</v>
      </c>
      <c r="F1278" s="56"/>
      <c r="G1278" s="57" t="s">
        <v>1242</v>
      </c>
      <c r="H1278" s="58" t="str">
        <f>IF(G1278="","",VLOOKUP($G1278,'Quy chuẩn hạch toán'!$B:$E,2,0))</f>
        <v>3383</v>
      </c>
      <c r="I1278" s="58" t="str">
        <f>IF(H1278="","",VLOOKUP($G1278,'Quy chuẩn hạch toán'!$B:$E,3,0))</f>
        <v>3341</v>
      </c>
      <c r="J1278" s="59">
        <v>344615.0</v>
      </c>
      <c r="K1278" s="60"/>
      <c r="L1278" s="61"/>
      <c r="M1278" s="62"/>
      <c r="N1278" s="63"/>
      <c r="O1278" s="64"/>
      <c r="P1278" s="64"/>
      <c r="Q1278" s="65" t="s">
        <v>267</v>
      </c>
      <c r="R1278" s="64" t="str">
        <f>IF(S1278&lt;&gt;0,VLOOKUP(S1278,DM_DUAN,3,0),"")</f>
        <v>#N/A</v>
      </c>
      <c r="S1278" s="66" t="str">
        <f>IF(U1278&lt;&gt;0,VLOOKUP(U1278,DM_DUAN,3,0),"")</f>
        <v/>
      </c>
      <c r="T1278" s="64"/>
      <c r="U1278" s="93"/>
      <c r="V1278" s="64" t="str">
        <f>IF(W1278&lt;&gt;0,VLOOKUP(W1278,DM_DUAN,3,0),"")</f>
        <v/>
      </c>
      <c r="W1278" s="68"/>
      <c r="X1278" s="64" t="str">
        <f>IF(Y1278&lt;&gt;0,VLOOKUP(Y1278,DM_DUAN,3,0),"")</f>
        <v>#N/A</v>
      </c>
      <c r="Y1278" s="69" t="s">
        <v>176</v>
      </c>
      <c r="Z1278" s="64" t="str">
        <f>IF(AA1278&lt;&gt;0,VLOOKUP(AA1278,DM_DUAN,3,0),"")</f>
        <v>#N/A</v>
      </c>
      <c r="AA1278" s="70" t="s">
        <v>210</v>
      </c>
      <c r="AB1278" s="64" t="str">
        <f>IF(AC1278&lt;&gt;0,VLOOKUP(AC1278,DM_DUAN,3,0),"")</f>
        <v/>
      </c>
      <c r="AC1278" s="85"/>
      <c r="AD1278" s="64" t="str">
        <f>IF(AC1278&lt;&gt;0,VLOOKUP(AC1278,DM_NV,2,0),"")</f>
        <v/>
      </c>
      <c r="AE1278" s="68"/>
      <c r="AF1278" s="64" t="str">
        <f>IF(AE1278&lt;&gt;0,VLOOKUP(AE1278,DM_NV,2,0),"")</f>
        <v/>
      </c>
    </row>
    <row r="1279">
      <c r="A1279" s="51"/>
      <c r="B1279" s="52"/>
      <c r="C1279" s="53"/>
      <c r="D1279" s="99">
        <v>44712.0</v>
      </c>
      <c r="E1279" s="55" t="s">
        <v>1244</v>
      </c>
      <c r="F1279" s="56"/>
      <c r="G1279" s="57" t="s">
        <v>1242</v>
      </c>
      <c r="H1279" s="58" t="str">
        <f>IF(G1279="","",VLOOKUP($G1279,'Quy chuẩn hạch toán'!$B:$E,2,0))</f>
        <v>3383</v>
      </c>
      <c r="I1279" s="58" t="str">
        <f>IF(H1279="","",VLOOKUP($G1279,'Quy chuẩn hạch toán'!$B:$E,3,0))</f>
        <v>3341</v>
      </c>
      <c r="J1279" s="59">
        <v>344615.0</v>
      </c>
      <c r="K1279" s="60"/>
      <c r="L1279" s="61"/>
      <c r="M1279" s="62"/>
      <c r="N1279" s="63"/>
      <c r="O1279" s="64"/>
      <c r="P1279" s="64"/>
      <c r="Q1279" s="65" t="s">
        <v>267</v>
      </c>
      <c r="R1279" s="64" t="str">
        <f>IF(S1279&lt;&gt;0,VLOOKUP(S1279,DM_DUAN,3,0),"")</f>
        <v>#N/A</v>
      </c>
      <c r="S1279" s="66" t="str">
        <f>IF(U1279&lt;&gt;0,VLOOKUP(U1279,DM_DUAN,3,0),"")</f>
        <v/>
      </c>
      <c r="T1279" s="64"/>
      <c r="U1279" s="93"/>
      <c r="V1279" s="64" t="str">
        <f>IF(W1279&lt;&gt;0,VLOOKUP(W1279,DM_DUAN,3,0),"")</f>
        <v/>
      </c>
      <c r="W1279" s="68"/>
      <c r="X1279" s="64" t="str">
        <f>IF(Y1279&lt;&gt;0,VLOOKUP(Y1279,DM_DUAN,3,0),"")</f>
        <v>#N/A</v>
      </c>
      <c r="Y1279" s="69" t="s">
        <v>176</v>
      </c>
      <c r="Z1279" s="64" t="str">
        <f>IF(AA1279&lt;&gt;0,VLOOKUP(AA1279,DM_DUAN,3,0),"")</f>
        <v>#N/A</v>
      </c>
      <c r="AA1279" s="70" t="s">
        <v>177</v>
      </c>
      <c r="AB1279" s="64" t="str">
        <f>IF(AC1279&lt;&gt;0,VLOOKUP(AC1279,DM_DUAN,3,0),"")</f>
        <v/>
      </c>
      <c r="AC1279" s="85"/>
      <c r="AD1279" s="64" t="str">
        <f>IF(AC1279&lt;&gt;0,VLOOKUP(AC1279,DM_NV,2,0),"")</f>
        <v/>
      </c>
      <c r="AE1279" s="68"/>
      <c r="AF1279" s="64" t="str">
        <f>IF(AE1279&lt;&gt;0,VLOOKUP(AE1279,DM_NV,2,0),"")</f>
        <v/>
      </c>
    </row>
    <row r="1280">
      <c r="A1280" s="51"/>
      <c r="B1280" s="52"/>
      <c r="C1280" s="53"/>
      <c r="D1280" s="99">
        <v>44712.0</v>
      </c>
      <c r="E1280" s="55" t="s">
        <v>1245</v>
      </c>
      <c r="F1280" s="56"/>
      <c r="G1280" s="57" t="s">
        <v>1242</v>
      </c>
      <c r="H1280" s="58" t="str">
        <f>IF(G1280="","",VLOOKUP($G1280,'Quy chuẩn hạch toán'!$B:$E,2,0))</f>
        <v>3383</v>
      </c>
      <c r="I1280" s="58" t="str">
        <f>IF(H1280="","",VLOOKUP($G1280,'Quy chuẩn hạch toán'!$B:$E,3,0))</f>
        <v>3341</v>
      </c>
      <c r="J1280" s="59">
        <v>836923.0</v>
      </c>
      <c r="K1280" s="60"/>
      <c r="L1280" s="61"/>
      <c r="M1280" s="62"/>
      <c r="N1280" s="63"/>
      <c r="O1280" s="64"/>
      <c r="P1280" s="64"/>
      <c r="Q1280" s="65" t="s">
        <v>267</v>
      </c>
      <c r="R1280" s="64" t="str">
        <f>IF(S1280&lt;&gt;0,VLOOKUP(S1280,DM_DUAN,3,0),"")</f>
        <v>#N/A</v>
      </c>
      <c r="S1280" s="66" t="str">
        <f>IF(U1280&lt;&gt;0,VLOOKUP(U1280,DM_DUAN,3,0),"")</f>
        <v/>
      </c>
      <c r="T1280" s="64"/>
      <c r="U1280" s="93"/>
      <c r="V1280" s="64" t="str">
        <f>IF(W1280&lt;&gt;0,VLOOKUP(W1280,DM_DUAN,3,0),"")</f>
        <v/>
      </c>
      <c r="W1280" s="68"/>
      <c r="X1280" s="64" t="str">
        <f>IF(Y1280&lt;&gt;0,VLOOKUP(Y1280,DM_DUAN,3,0),"")</f>
        <v>#N/A</v>
      </c>
      <c r="Y1280" s="69" t="s">
        <v>176</v>
      </c>
      <c r="Z1280" s="64" t="str">
        <f>IF(AA1280&lt;&gt;0,VLOOKUP(AA1280,DM_DUAN,3,0),"")</f>
        <v>#N/A</v>
      </c>
      <c r="AA1280" s="70" t="s">
        <v>183</v>
      </c>
      <c r="AB1280" s="64" t="str">
        <f>IF(AC1280&lt;&gt;0,VLOOKUP(AC1280,DM_DUAN,3,0),"")</f>
        <v/>
      </c>
      <c r="AC1280" s="85"/>
      <c r="AD1280" s="64" t="str">
        <f>IF(AC1280&lt;&gt;0,VLOOKUP(AC1280,DM_NV,2,0),"")</f>
        <v/>
      </c>
      <c r="AE1280" s="68"/>
      <c r="AF1280" s="64" t="str">
        <f>IF(AE1280&lt;&gt;0,VLOOKUP(AE1280,DM_NV,2,0),"")</f>
        <v/>
      </c>
    </row>
    <row r="1281">
      <c r="A1281" s="51"/>
      <c r="B1281" s="52"/>
      <c r="C1281" s="53"/>
      <c r="D1281" s="99">
        <v>44712.0</v>
      </c>
      <c r="E1281" s="55" t="s">
        <v>1246</v>
      </c>
      <c r="F1281" s="56"/>
      <c r="G1281" s="57" t="s">
        <v>1247</v>
      </c>
      <c r="H1281" s="58" t="str">
        <f>IF(G1281="","",VLOOKUP($G1281,'Quy chuẩn hạch toán'!$B:$E,2,0))</f>
        <v>3384</v>
      </c>
      <c r="I1281" s="58" t="str">
        <f>IF(H1281="","",VLOOKUP($G1281,'Quy chuẩn hạch toán'!$B:$E,3,0))</f>
        <v>3341</v>
      </c>
      <c r="J1281" s="59">
        <v>73846.0</v>
      </c>
      <c r="K1281" s="60"/>
      <c r="L1281" s="61"/>
      <c r="M1281" s="62"/>
      <c r="N1281" s="63"/>
      <c r="O1281" s="64"/>
      <c r="P1281" s="64"/>
      <c r="Q1281" s="65" t="s">
        <v>267</v>
      </c>
      <c r="R1281" s="64"/>
      <c r="S1281" s="66"/>
      <c r="T1281" s="64"/>
      <c r="U1281" s="93"/>
      <c r="V1281" s="64"/>
      <c r="W1281" s="68"/>
      <c r="X1281" s="64"/>
      <c r="Y1281" s="69" t="s">
        <v>176</v>
      </c>
      <c r="Z1281" s="64"/>
      <c r="AA1281" s="70" t="s">
        <v>705</v>
      </c>
      <c r="AB1281" s="64"/>
      <c r="AC1281" s="85"/>
      <c r="AD1281" s="64"/>
      <c r="AE1281" s="68"/>
      <c r="AF1281" s="64"/>
    </row>
    <row r="1282">
      <c r="A1282" s="51"/>
      <c r="B1282" s="52"/>
      <c r="C1282" s="53"/>
      <c r="D1282" s="99">
        <v>44712.0</v>
      </c>
      <c r="E1282" s="55" t="s">
        <v>1248</v>
      </c>
      <c r="F1282" s="56"/>
      <c r="G1282" s="57" t="s">
        <v>1247</v>
      </c>
      <c r="H1282" s="58" t="str">
        <f>IF(G1282="","",VLOOKUP($G1282,'Quy chuẩn hạch toán'!$B:$E,2,0))</f>
        <v>3384</v>
      </c>
      <c r="I1282" s="58" t="str">
        <f>IF(H1282="","",VLOOKUP($G1282,'Quy chuẩn hạch toán'!$B:$E,3,0))</f>
        <v>3341</v>
      </c>
      <c r="J1282" s="59">
        <v>64615.0</v>
      </c>
      <c r="K1282" s="60"/>
      <c r="L1282" s="61"/>
      <c r="M1282" s="62"/>
      <c r="N1282" s="63"/>
      <c r="O1282" s="64"/>
      <c r="P1282" s="64"/>
      <c r="Q1282" s="65" t="s">
        <v>267</v>
      </c>
      <c r="R1282" s="64"/>
      <c r="S1282" s="66"/>
      <c r="T1282" s="64"/>
      <c r="U1282" s="93"/>
      <c r="V1282" s="64"/>
      <c r="W1282" s="68"/>
      <c r="X1282" s="64"/>
      <c r="Y1282" s="69" t="s">
        <v>176</v>
      </c>
      <c r="Z1282" s="64"/>
      <c r="AA1282" s="70" t="s">
        <v>210</v>
      </c>
      <c r="AB1282" s="64"/>
      <c r="AC1282" s="85"/>
      <c r="AD1282" s="64"/>
      <c r="AE1282" s="68"/>
      <c r="AF1282" s="64"/>
    </row>
    <row r="1283">
      <c r="A1283" s="51"/>
      <c r="B1283" s="52"/>
      <c r="C1283" s="53"/>
      <c r="D1283" s="99">
        <v>44712.0</v>
      </c>
      <c r="E1283" s="55" t="s">
        <v>1249</v>
      </c>
      <c r="F1283" s="56"/>
      <c r="G1283" s="57" t="s">
        <v>1247</v>
      </c>
      <c r="H1283" s="58" t="str">
        <f>IF(G1283="","",VLOOKUP($G1283,'Quy chuẩn hạch toán'!$B:$E,2,0))</f>
        <v>3384</v>
      </c>
      <c r="I1283" s="58" t="str">
        <f>IF(H1283="","",VLOOKUP($G1283,'Quy chuẩn hạch toán'!$B:$E,3,0))</f>
        <v>3341</v>
      </c>
      <c r="J1283" s="59">
        <v>64615.0</v>
      </c>
      <c r="K1283" s="60"/>
      <c r="L1283" s="61"/>
      <c r="M1283" s="62"/>
      <c r="N1283" s="63"/>
      <c r="O1283" s="64"/>
      <c r="P1283" s="64"/>
      <c r="Q1283" s="65" t="s">
        <v>267</v>
      </c>
      <c r="R1283" s="64"/>
      <c r="S1283" s="66"/>
      <c r="T1283" s="64"/>
      <c r="U1283" s="93"/>
      <c r="V1283" s="64"/>
      <c r="W1283" s="68"/>
      <c r="X1283" s="64"/>
      <c r="Y1283" s="69" t="s">
        <v>176</v>
      </c>
      <c r="Z1283" s="64"/>
      <c r="AA1283" s="70" t="s">
        <v>177</v>
      </c>
      <c r="AB1283" s="64"/>
      <c r="AC1283" s="85"/>
      <c r="AD1283" s="64"/>
      <c r="AE1283" s="68"/>
      <c r="AF1283" s="64"/>
    </row>
    <row r="1284">
      <c r="A1284" s="51"/>
      <c r="B1284" s="52"/>
      <c r="C1284" s="53"/>
      <c r="D1284" s="99">
        <v>44712.0</v>
      </c>
      <c r="E1284" s="55" t="s">
        <v>1250</v>
      </c>
      <c r="F1284" s="56"/>
      <c r="G1284" s="57" t="s">
        <v>1247</v>
      </c>
      <c r="H1284" s="58" t="str">
        <f>IF(G1284="","",VLOOKUP($G1284,'Quy chuẩn hạch toán'!$B:$E,2,0))</f>
        <v>3384</v>
      </c>
      <c r="I1284" s="58" t="str">
        <f>IF(H1284="","",VLOOKUP($G1284,'Quy chuẩn hạch toán'!$B:$E,3,0))</f>
        <v>3341</v>
      </c>
      <c r="J1284" s="59">
        <v>156923.0</v>
      </c>
      <c r="K1284" s="60"/>
      <c r="L1284" s="61"/>
      <c r="M1284" s="62"/>
      <c r="N1284" s="63"/>
      <c r="O1284" s="64"/>
      <c r="P1284" s="64"/>
      <c r="Q1284" s="65" t="s">
        <v>267</v>
      </c>
      <c r="R1284" s="64"/>
      <c r="S1284" s="66"/>
      <c r="T1284" s="64"/>
      <c r="U1284" s="93"/>
      <c r="V1284" s="64"/>
      <c r="W1284" s="68"/>
      <c r="X1284" s="64"/>
      <c r="Y1284" s="69" t="s">
        <v>176</v>
      </c>
      <c r="Z1284" s="64"/>
      <c r="AA1284" s="70" t="s">
        <v>183</v>
      </c>
      <c r="AB1284" s="64"/>
      <c r="AC1284" s="85"/>
      <c r="AD1284" s="64"/>
      <c r="AE1284" s="68"/>
      <c r="AF1284" s="64"/>
    </row>
    <row r="1285">
      <c r="A1285" s="51"/>
      <c r="B1285" s="52"/>
      <c r="C1285" s="53"/>
      <c r="D1285" s="99">
        <v>44712.0</v>
      </c>
      <c r="E1285" s="55" t="s">
        <v>1251</v>
      </c>
      <c r="F1285" s="56"/>
      <c r="G1285" s="57" t="s">
        <v>1252</v>
      </c>
      <c r="H1285" s="58" t="str">
        <f>IF(G1285="","",VLOOKUP($G1285,'Quy chuẩn hạch toán'!$B:$E,2,0))</f>
        <v>3386</v>
      </c>
      <c r="I1285" s="58" t="str">
        <f>IF(H1285="","",VLOOKUP($G1285,'Quy chuẩn hạch toán'!$B:$E,3,0))</f>
        <v>3341</v>
      </c>
      <c r="J1285" s="59">
        <v>49231.0</v>
      </c>
      <c r="K1285" s="60"/>
      <c r="L1285" s="61"/>
      <c r="M1285" s="62"/>
      <c r="N1285" s="63"/>
      <c r="O1285" s="64"/>
      <c r="P1285" s="64"/>
      <c r="Q1285" s="65" t="s">
        <v>267</v>
      </c>
      <c r="R1285" s="64"/>
      <c r="S1285" s="66"/>
      <c r="T1285" s="64"/>
      <c r="U1285" s="93"/>
      <c r="V1285" s="64"/>
      <c r="W1285" s="68"/>
      <c r="X1285" s="64"/>
      <c r="Y1285" s="69" t="s">
        <v>176</v>
      </c>
      <c r="Z1285" s="64"/>
      <c r="AA1285" s="70" t="s">
        <v>705</v>
      </c>
      <c r="AB1285" s="64"/>
      <c r="AC1285" s="85"/>
      <c r="AD1285" s="64"/>
      <c r="AE1285" s="68"/>
      <c r="AF1285" s="64"/>
    </row>
    <row r="1286">
      <c r="A1286" s="51"/>
      <c r="B1286" s="52"/>
      <c r="C1286" s="53"/>
      <c r="D1286" s="99">
        <v>44712.0</v>
      </c>
      <c r="E1286" s="55" t="s">
        <v>1253</v>
      </c>
      <c r="F1286" s="56"/>
      <c r="G1286" s="57" t="s">
        <v>1252</v>
      </c>
      <c r="H1286" s="58" t="str">
        <f>IF(G1286="","",VLOOKUP($G1286,'Quy chuẩn hạch toán'!$B:$E,2,0))</f>
        <v>3386</v>
      </c>
      <c r="I1286" s="58" t="str">
        <f>IF(H1286="","",VLOOKUP($G1286,'Quy chuẩn hạch toán'!$B:$E,3,0))</f>
        <v>3341</v>
      </c>
      <c r="J1286" s="59">
        <v>43077.0</v>
      </c>
      <c r="K1286" s="60"/>
      <c r="L1286" s="61"/>
      <c r="M1286" s="62"/>
      <c r="N1286" s="63"/>
      <c r="O1286" s="64"/>
      <c r="P1286" s="64"/>
      <c r="Q1286" s="65" t="s">
        <v>267</v>
      </c>
      <c r="R1286" s="64"/>
      <c r="S1286" s="66"/>
      <c r="T1286" s="64"/>
      <c r="U1286" s="93"/>
      <c r="V1286" s="64"/>
      <c r="W1286" s="68"/>
      <c r="X1286" s="64"/>
      <c r="Y1286" s="69" t="s">
        <v>176</v>
      </c>
      <c r="Z1286" s="64"/>
      <c r="AA1286" s="70" t="s">
        <v>210</v>
      </c>
      <c r="AB1286" s="64"/>
      <c r="AC1286" s="85"/>
      <c r="AD1286" s="64"/>
      <c r="AE1286" s="68"/>
      <c r="AF1286" s="64"/>
    </row>
    <row r="1287">
      <c r="A1287" s="51"/>
      <c r="B1287" s="52"/>
      <c r="C1287" s="53"/>
      <c r="D1287" s="99">
        <v>44712.0</v>
      </c>
      <c r="E1287" s="55" t="s">
        <v>1254</v>
      </c>
      <c r="F1287" s="56"/>
      <c r="G1287" s="57" t="s">
        <v>1252</v>
      </c>
      <c r="H1287" s="58" t="str">
        <f>IF(G1287="","",VLOOKUP($G1287,'Quy chuẩn hạch toán'!$B:$E,2,0))</f>
        <v>3386</v>
      </c>
      <c r="I1287" s="58" t="str">
        <f>IF(H1287="","",VLOOKUP($G1287,'Quy chuẩn hạch toán'!$B:$E,3,0))</f>
        <v>3341</v>
      </c>
      <c r="J1287" s="59">
        <v>43077.0</v>
      </c>
      <c r="K1287" s="60"/>
      <c r="L1287" s="61"/>
      <c r="M1287" s="62"/>
      <c r="N1287" s="63"/>
      <c r="O1287" s="64"/>
      <c r="P1287" s="64"/>
      <c r="Q1287" s="65" t="s">
        <v>267</v>
      </c>
      <c r="R1287" s="64"/>
      <c r="S1287" s="66"/>
      <c r="T1287" s="64"/>
      <c r="U1287" s="93"/>
      <c r="V1287" s="64"/>
      <c r="W1287" s="68"/>
      <c r="X1287" s="64"/>
      <c r="Y1287" s="69" t="s">
        <v>176</v>
      </c>
      <c r="Z1287" s="64"/>
      <c r="AA1287" s="70" t="s">
        <v>177</v>
      </c>
      <c r="AB1287" s="64"/>
      <c r="AC1287" s="85"/>
      <c r="AD1287" s="64"/>
      <c r="AE1287" s="68"/>
      <c r="AF1287" s="64"/>
    </row>
    <row r="1288">
      <c r="A1288" s="51"/>
      <c r="B1288" s="52"/>
      <c r="C1288" s="53"/>
      <c r="D1288" s="99">
        <v>44712.0</v>
      </c>
      <c r="E1288" s="55" t="s">
        <v>1255</v>
      </c>
      <c r="F1288" s="56"/>
      <c r="G1288" s="57" t="s">
        <v>1252</v>
      </c>
      <c r="H1288" s="58" t="str">
        <f>IF(G1288="","",VLOOKUP($G1288,'Quy chuẩn hạch toán'!$B:$E,2,0))</f>
        <v>3386</v>
      </c>
      <c r="I1288" s="58" t="str">
        <f>IF(H1288="","",VLOOKUP($G1288,'Quy chuẩn hạch toán'!$B:$E,3,0))</f>
        <v>3341</v>
      </c>
      <c r="J1288" s="59">
        <v>104615.0</v>
      </c>
      <c r="K1288" s="60"/>
      <c r="L1288" s="61"/>
      <c r="M1288" s="62"/>
      <c r="N1288" s="63"/>
      <c r="O1288" s="64"/>
      <c r="P1288" s="64"/>
      <c r="Q1288" s="65" t="s">
        <v>267</v>
      </c>
      <c r="R1288" s="64"/>
      <c r="S1288" s="66"/>
      <c r="T1288" s="64"/>
      <c r="U1288" s="93"/>
      <c r="V1288" s="64"/>
      <c r="W1288" s="68"/>
      <c r="X1288" s="64"/>
      <c r="Y1288" s="69" t="s">
        <v>176</v>
      </c>
      <c r="Z1288" s="64"/>
      <c r="AA1288" s="70" t="s">
        <v>183</v>
      </c>
      <c r="AB1288" s="64"/>
      <c r="AC1288" s="85"/>
      <c r="AD1288" s="64"/>
      <c r="AE1288" s="68"/>
      <c r="AF1288" s="64"/>
    </row>
    <row r="1289">
      <c r="A1289" s="51"/>
      <c r="B1289" s="52"/>
      <c r="C1289" s="53"/>
      <c r="D1289" s="99"/>
      <c r="E1289" s="55"/>
      <c r="F1289" s="56"/>
      <c r="G1289" s="57"/>
      <c r="H1289" s="58" t="str">
        <f>IF(G1289="","",VLOOKUP($G1289,'Quy chuẩn hạch toán'!$B:$E,2,0))</f>
        <v/>
      </c>
      <c r="I1289" s="58" t="str">
        <f>IF(H1289="","",VLOOKUP($G1289,'Quy chuẩn hạch toán'!$B:$E,3,0))</f>
        <v/>
      </c>
      <c r="J1289" s="59"/>
      <c r="K1289" s="60"/>
      <c r="L1289" s="61"/>
      <c r="M1289" s="62"/>
      <c r="N1289" s="63"/>
      <c r="O1289" s="64"/>
      <c r="P1289" s="64"/>
      <c r="Q1289" s="65"/>
      <c r="R1289" s="64"/>
      <c r="S1289" s="66"/>
      <c r="T1289" s="64"/>
      <c r="U1289" s="93"/>
      <c r="V1289" s="64"/>
      <c r="W1289" s="68"/>
      <c r="X1289" s="64"/>
      <c r="Y1289" s="69"/>
      <c r="Z1289" s="64"/>
      <c r="AA1289" s="70"/>
      <c r="AB1289" s="64"/>
      <c r="AC1289" s="85"/>
      <c r="AD1289" s="64"/>
      <c r="AE1289" s="68"/>
      <c r="AF1289" s="64"/>
    </row>
    <row r="1290">
      <c r="A1290" s="51"/>
      <c r="B1290" s="52"/>
      <c r="C1290" s="53"/>
      <c r="D1290" s="99"/>
      <c r="E1290" s="55"/>
      <c r="F1290" s="56"/>
      <c r="G1290" s="57"/>
      <c r="H1290" s="58" t="str">
        <f>IF(G1290="","",VLOOKUP($G1290,'Quy chuẩn hạch toán'!$B:$E,2,0))</f>
        <v/>
      </c>
      <c r="I1290" s="58" t="str">
        <f>IF(H1290="","",VLOOKUP($G1290,'Quy chuẩn hạch toán'!$B:$E,3,0))</f>
        <v/>
      </c>
      <c r="J1290" s="59"/>
      <c r="K1290" s="60"/>
      <c r="L1290" s="61"/>
      <c r="M1290" s="62"/>
      <c r="N1290" s="63"/>
      <c r="O1290" s="64"/>
      <c r="P1290" s="64"/>
      <c r="Q1290" s="65"/>
      <c r="R1290" s="64"/>
      <c r="S1290" s="66"/>
      <c r="T1290" s="64"/>
      <c r="U1290" s="93"/>
      <c r="V1290" s="64"/>
      <c r="W1290" s="68"/>
      <c r="X1290" s="64"/>
      <c r="Y1290" s="69"/>
      <c r="Z1290" s="64"/>
      <c r="AA1290" s="70"/>
      <c r="AB1290" s="64"/>
      <c r="AC1290" s="85"/>
      <c r="AD1290" s="64"/>
      <c r="AE1290" s="68"/>
      <c r="AF1290" s="64"/>
    </row>
    <row r="1291">
      <c r="A1291" s="51"/>
      <c r="B1291" s="52"/>
      <c r="C1291" s="53"/>
      <c r="D1291" s="99"/>
      <c r="E1291" s="55"/>
      <c r="F1291" s="56"/>
      <c r="G1291" s="57"/>
      <c r="H1291" s="58" t="str">
        <f>IF(G1291="","",VLOOKUP($G1291,'Quy chuẩn hạch toán'!$B:$E,2,0))</f>
        <v/>
      </c>
      <c r="I1291" s="58" t="str">
        <f>IF(H1291="","",VLOOKUP($G1291,'Quy chuẩn hạch toán'!$B:$E,3,0))</f>
        <v/>
      </c>
      <c r="J1291" s="59"/>
      <c r="K1291" s="60"/>
      <c r="L1291" s="61"/>
      <c r="M1291" s="62"/>
      <c r="N1291" s="63"/>
      <c r="O1291" s="64"/>
      <c r="P1291" s="64"/>
      <c r="Q1291" s="65"/>
      <c r="R1291" s="64"/>
      <c r="S1291" s="66"/>
      <c r="T1291" s="64"/>
      <c r="U1291" s="93"/>
      <c r="V1291" s="64"/>
      <c r="W1291" s="68"/>
      <c r="X1291" s="64"/>
      <c r="Y1291" s="69"/>
      <c r="Z1291" s="64"/>
      <c r="AA1291" s="70"/>
      <c r="AB1291" s="64"/>
      <c r="AC1291" s="85"/>
      <c r="AD1291" s="64"/>
      <c r="AE1291" s="68"/>
      <c r="AF1291" s="64"/>
    </row>
    <row r="1292">
      <c r="A1292" s="51"/>
      <c r="B1292" s="52"/>
      <c r="C1292" s="53"/>
      <c r="D1292" s="99"/>
      <c r="E1292" s="55"/>
      <c r="F1292" s="56"/>
      <c r="G1292" s="57"/>
      <c r="H1292" s="58" t="str">
        <f>IF(G1292="","",VLOOKUP($G1292,'Quy chuẩn hạch toán'!$B:$E,2,0))</f>
        <v/>
      </c>
      <c r="I1292" s="58" t="str">
        <f>IF(H1292="","",VLOOKUP($G1292,'Quy chuẩn hạch toán'!$B:$E,3,0))</f>
        <v/>
      </c>
      <c r="J1292" s="59"/>
      <c r="K1292" s="60"/>
      <c r="L1292" s="61"/>
      <c r="M1292" s="62"/>
      <c r="N1292" s="63"/>
      <c r="O1292" s="64"/>
      <c r="P1292" s="64"/>
      <c r="Q1292" s="65"/>
      <c r="R1292" s="64"/>
      <c r="S1292" s="66"/>
      <c r="T1292" s="64"/>
      <c r="U1292" s="93"/>
      <c r="V1292" s="64"/>
      <c r="W1292" s="68"/>
      <c r="X1292" s="64"/>
      <c r="Y1292" s="69"/>
      <c r="Z1292" s="64"/>
      <c r="AA1292" s="70"/>
      <c r="AB1292" s="64"/>
      <c r="AC1292" s="85"/>
      <c r="AD1292" s="64"/>
      <c r="AE1292" s="68"/>
      <c r="AF1292" s="64"/>
    </row>
    <row r="1293">
      <c r="A1293" s="51"/>
      <c r="B1293" s="52" t="str">
        <f>IF(D1293="","",VLOOKUP(D1293,'THAM CHIẾU'!$A:$B,2,0))</f>
        <v>#N/A</v>
      </c>
      <c r="C1293" s="53" t="str">
        <f t="shared" ref="C1293:C1296" si="8">if(D1293&lt;&gt;0,TEXT(D1293,"mm/yyyy"),"")</f>
        <v>05/2022</v>
      </c>
      <c r="D1293" s="99">
        <v>44712.0</v>
      </c>
      <c r="E1293" s="55" t="s">
        <v>1256</v>
      </c>
      <c r="F1293" s="56"/>
      <c r="G1293" s="57" t="s">
        <v>292</v>
      </c>
      <c r="H1293" s="58" t="str">
        <f>IF(G1293="","",VLOOKUP($G1293,'Quy chuẩn hạch toán'!$B:$E,2,0))</f>
        <v>154</v>
      </c>
      <c r="I1293" s="58" t="str">
        <f>IF(H1293="","",VLOOKUP($G1293,'Quy chuẩn hạch toán'!$B:$E,3,0))</f>
        <v>3341</v>
      </c>
      <c r="J1293" s="59">
        <v>1.4E7</v>
      </c>
      <c r="K1293" s="60"/>
      <c r="L1293" s="61"/>
      <c r="M1293" s="62"/>
      <c r="N1293" s="63"/>
      <c r="O1293" s="64" t="str">
        <f>IF($Q1293&lt;&gt;0,VLOOKUP($Q1293,DM_KM,3,0),"")</f>
        <v>CPNS</v>
      </c>
      <c r="P1293" s="64">
        <f>IF($Q1293&lt;&gt;0,VLOOKUP($Q1293,DM_KM,5,0),"")</f>
        <v>642</v>
      </c>
      <c r="Q1293" s="65" t="s">
        <v>293</v>
      </c>
      <c r="R1293" s="64" t="str">
        <f>IF(S1293&lt;&gt;0,VLOOKUP(S1293,DM_DUAN,3,0),"")</f>
        <v>#N/A</v>
      </c>
      <c r="S1293" s="66" t="str">
        <f>IF(U1293&lt;&gt;0,VLOOKUP(U1293,DM_DUAN,3,0),"")</f>
        <v/>
      </c>
      <c r="T1293" s="64"/>
      <c r="U1293" s="93"/>
      <c r="V1293" s="64" t="str">
        <f>IF(W1293&lt;&gt;0,VLOOKUP(W1293,DM_DUAN,3,0),"")</f>
        <v/>
      </c>
      <c r="W1293" s="68"/>
      <c r="X1293" s="64" t="str">
        <f>IF(Y1293&lt;&gt;0,VLOOKUP(Y1293,DM_DUAN,3,0),"")</f>
        <v>#N/A</v>
      </c>
      <c r="Y1293" s="69" t="s">
        <v>176</v>
      </c>
      <c r="Z1293" s="64" t="str">
        <f>IF(AA1293&lt;&gt;0,VLOOKUP(AA1293,DM_DUAN,3,0),"")</f>
        <v>#N/A</v>
      </c>
      <c r="AA1293" s="70" t="s">
        <v>210</v>
      </c>
      <c r="AB1293" s="64" t="str">
        <f>IF(AC1293&lt;&gt;0,VLOOKUP(AC1293,DM_DUAN,3,0),"")</f>
        <v/>
      </c>
      <c r="AC1293" s="85"/>
      <c r="AD1293" s="64" t="str">
        <f>IF(AC1293&lt;&gt;0,VLOOKUP(AC1293,DM_NV,2,0),"")</f>
        <v/>
      </c>
      <c r="AE1293" s="68"/>
      <c r="AF1293" s="64" t="str">
        <f>IF(AE1293&lt;&gt;0,VLOOKUP(AE1293,DM_NV,2,0),"")</f>
        <v/>
      </c>
    </row>
    <row r="1294">
      <c r="A1294" s="51"/>
      <c r="B1294" s="52" t="str">
        <f>IF(D1294="","",VLOOKUP(D1294,'THAM CHIẾU'!$A:$B,2,0))</f>
        <v>#N/A</v>
      </c>
      <c r="C1294" s="53" t="str">
        <f t="shared" si="8"/>
        <v>05/2022</v>
      </c>
      <c r="D1294" s="99">
        <v>44712.0</v>
      </c>
      <c r="E1294" s="55" t="s">
        <v>1257</v>
      </c>
      <c r="F1294" s="56"/>
      <c r="G1294" s="57" t="s">
        <v>292</v>
      </c>
      <c r="H1294" s="58" t="str">
        <f>IF(G1294="","",VLOOKUP($G1294,'Quy chuẩn hạch toán'!$B:$E,2,0))</f>
        <v>154</v>
      </c>
      <c r="I1294" s="58" t="str">
        <f>IF(H1294="","",VLOOKUP($G1294,'Quy chuẩn hạch toán'!$B:$E,3,0))</f>
        <v>3341</v>
      </c>
      <c r="J1294" s="59">
        <v>1.4E7</v>
      </c>
      <c r="K1294" s="60"/>
      <c r="L1294" s="61"/>
      <c r="M1294" s="62"/>
      <c r="N1294" s="63"/>
      <c r="O1294" s="64" t="str">
        <f>IF($Q1294&lt;&gt;0,VLOOKUP($Q1294,DM_KM,3,0),"")</f>
        <v>CPNS</v>
      </c>
      <c r="P1294" s="64">
        <f>IF($Q1294&lt;&gt;0,VLOOKUP($Q1294,DM_KM,5,0),"")</f>
        <v>642</v>
      </c>
      <c r="Q1294" s="65" t="s">
        <v>293</v>
      </c>
      <c r="R1294" s="64" t="str">
        <f>IF(S1294&lt;&gt;0,VLOOKUP(S1294,DM_DUAN,3,0),"")</f>
        <v>#N/A</v>
      </c>
      <c r="S1294" s="66" t="str">
        <f>IF(U1294&lt;&gt;0,VLOOKUP(U1294,DM_DUAN,3,0),"")</f>
        <v/>
      </c>
      <c r="T1294" s="64"/>
      <c r="U1294" s="93"/>
      <c r="V1294" s="64" t="str">
        <f>IF(W1294&lt;&gt;0,VLOOKUP(W1294,DM_DUAN,3,0),"")</f>
        <v/>
      </c>
      <c r="W1294" s="68"/>
      <c r="X1294" s="64" t="str">
        <f>IF(Y1294&lt;&gt;0,VLOOKUP(Y1294,DM_DUAN,3,0),"")</f>
        <v>#N/A</v>
      </c>
      <c r="Y1294" s="69" t="s">
        <v>176</v>
      </c>
      <c r="Z1294" s="64" t="str">
        <f>IF(AA1294&lt;&gt;0,VLOOKUP(AA1294,DM_DUAN,3,0),"")</f>
        <v>#N/A</v>
      </c>
      <c r="AA1294" s="70" t="s">
        <v>177</v>
      </c>
      <c r="AB1294" s="64" t="str">
        <f>IF(AC1294&lt;&gt;0,VLOOKUP(AC1294,DM_DUAN,3,0),"")</f>
        <v/>
      </c>
      <c r="AC1294" s="85"/>
      <c r="AD1294" s="64" t="str">
        <f>IF(AC1294&lt;&gt;0,VLOOKUP(AC1294,DM_NV,2,0),"")</f>
        <v/>
      </c>
      <c r="AE1294" s="68"/>
      <c r="AF1294" s="64" t="str">
        <f>IF(AE1294&lt;&gt;0,VLOOKUP(AE1294,DM_NV,2,0),"")</f>
        <v/>
      </c>
    </row>
    <row r="1295">
      <c r="A1295" s="51"/>
      <c r="B1295" s="52" t="str">
        <f>IF(D1295="","",VLOOKUP(D1295,'THAM CHIẾU'!$A:$B,2,0))</f>
        <v>#N/A</v>
      </c>
      <c r="C1295" s="53" t="str">
        <f t="shared" si="8"/>
        <v>05/2022</v>
      </c>
      <c r="D1295" s="99">
        <v>44712.0</v>
      </c>
      <c r="E1295" s="55" t="s">
        <v>1258</v>
      </c>
      <c r="F1295" s="56"/>
      <c r="G1295" s="57" t="s">
        <v>292</v>
      </c>
      <c r="H1295" s="58" t="str">
        <f>IF(G1295="","",VLOOKUP($G1295,'Quy chuẩn hạch toán'!$B:$E,2,0))</f>
        <v>154</v>
      </c>
      <c r="I1295" s="58" t="str">
        <f>IF(H1295="","",VLOOKUP($G1295,'Quy chuẩn hạch toán'!$B:$E,3,0))</f>
        <v>3341</v>
      </c>
      <c r="J1295" s="59">
        <v>1.4E7</v>
      </c>
      <c r="K1295" s="60"/>
      <c r="L1295" s="61"/>
      <c r="M1295" s="62"/>
      <c r="N1295" s="63"/>
      <c r="O1295" s="64" t="str">
        <f>IF($Q1295&lt;&gt;0,VLOOKUP($Q1295,DM_KM,3,0),"")</f>
        <v>CPNS</v>
      </c>
      <c r="P1295" s="64">
        <f>IF($Q1295&lt;&gt;0,VLOOKUP($Q1295,DM_KM,5,0),"")</f>
        <v>642</v>
      </c>
      <c r="Q1295" s="65" t="s">
        <v>293</v>
      </c>
      <c r="R1295" s="64" t="str">
        <f>IF(S1295&lt;&gt;0,VLOOKUP(S1295,DM_DUAN,3,0),"")</f>
        <v>#N/A</v>
      </c>
      <c r="S1295" s="66" t="str">
        <f>IF(U1295&lt;&gt;0,VLOOKUP(U1295,DM_DUAN,3,0),"")</f>
        <v/>
      </c>
      <c r="T1295" s="64"/>
      <c r="U1295" s="93"/>
      <c r="V1295" s="64" t="str">
        <f>IF(W1295&lt;&gt;0,VLOOKUP(W1295,DM_DUAN,3,0),"")</f>
        <v/>
      </c>
      <c r="W1295" s="68"/>
      <c r="X1295" s="64" t="str">
        <f>IF(Y1295&lt;&gt;0,VLOOKUP(Y1295,DM_DUAN,3,0),"")</f>
        <v>#N/A</v>
      </c>
      <c r="Y1295" s="69" t="s">
        <v>176</v>
      </c>
      <c r="Z1295" s="64" t="str">
        <f>IF(AA1295&lt;&gt;0,VLOOKUP(AA1295,DM_DUAN,3,0),"")</f>
        <v>#N/A</v>
      </c>
      <c r="AA1295" s="70" t="s">
        <v>183</v>
      </c>
      <c r="AB1295" s="64" t="str">
        <f>IF(AC1295&lt;&gt;0,VLOOKUP(AC1295,DM_DUAN,3,0),"")</f>
        <v/>
      </c>
      <c r="AC1295" s="85"/>
      <c r="AD1295" s="64" t="str">
        <f>IF(AC1295&lt;&gt;0,VLOOKUP(AC1295,DM_NV,2,0),"")</f>
        <v/>
      </c>
      <c r="AE1295" s="68"/>
      <c r="AF1295" s="64" t="str">
        <f>IF(AE1295&lt;&gt;0,VLOOKUP(AE1295,DM_NV,2,0),"")</f>
        <v/>
      </c>
    </row>
    <row r="1296">
      <c r="A1296" s="51"/>
      <c r="B1296" s="52" t="str">
        <f>IF(D1296="","",VLOOKUP(D1296,'THAM CHIẾU'!$A:$B,2,0))</f>
        <v>#N/A</v>
      </c>
      <c r="C1296" s="53" t="str">
        <f t="shared" si="8"/>
        <v>05/2022</v>
      </c>
      <c r="D1296" s="99">
        <v>44712.0</v>
      </c>
      <c r="E1296" s="55" t="s">
        <v>1259</v>
      </c>
      <c r="F1296" s="56"/>
      <c r="G1296" s="57" t="s">
        <v>297</v>
      </c>
      <c r="H1296" s="58" t="str">
        <f>IF(G1296="","",VLOOKUP($G1296,'Quy chuẩn hạch toán'!$B:$E,2,0))</f>
        <v>154</v>
      </c>
      <c r="I1296" s="58" t="str">
        <f>IF(H1296="","",VLOOKUP($G1296,'Quy chuẩn hạch toán'!$B:$E,3,0))</f>
        <v>3341</v>
      </c>
      <c r="J1296" s="59">
        <f>41638462-504000</f>
        <v>41134462</v>
      </c>
      <c r="K1296" s="60"/>
      <c r="L1296" s="61"/>
      <c r="M1296" s="62"/>
      <c r="N1296" s="63"/>
      <c r="O1296" s="64" t="str">
        <f>IF($Q1296&lt;&gt;0,VLOOKUP($Q1296,DM_KM,3,0),"")</f>
        <v>#N/A</v>
      </c>
      <c r="P1296" s="64" t="str">
        <f>IF($Q1296&lt;&gt;0,VLOOKUP($Q1296,DM_KM,5,0),"")</f>
        <v>#N/A</v>
      </c>
      <c r="Q1296" s="65" t="s">
        <v>255</v>
      </c>
      <c r="R1296" s="64" t="str">
        <f>IF(S1296&lt;&gt;0,VLOOKUP(S1296,DM_DUAN,3,0),"")</f>
        <v>#N/A</v>
      </c>
      <c r="S1296" s="66" t="str">
        <f>IF(U1296&lt;&gt;0,VLOOKUP(U1296,DM_DUAN,3,0),"")</f>
        <v/>
      </c>
      <c r="T1296" s="64"/>
      <c r="U1296" s="93"/>
      <c r="V1296" s="64" t="str">
        <f>IF(W1296&lt;&gt;0,VLOOKUP(W1296,DM_DUAN,3,0),"")</f>
        <v/>
      </c>
      <c r="W1296" s="68"/>
      <c r="X1296" s="64" t="str">
        <f>IF(Y1296&lt;&gt;0,VLOOKUP(Y1296,DM_DUAN,3,0),"")</f>
        <v>#N/A</v>
      </c>
      <c r="Y1296" s="69" t="s">
        <v>176</v>
      </c>
      <c r="Z1296" s="64" t="str">
        <f>IF(AA1296&lt;&gt;0,VLOOKUP(AA1296,DM_DUAN,3,0),"")</f>
        <v>#N/A</v>
      </c>
      <c r="AA1296" s="70" t="s">
        <v>705</v>
      </c>
      <c r="AB1296" s="64" t="str">
        <f>IF(AC1296&lt;&gt;0,VLOOKUP(AC1296,DM_DUAN,3,0),"")</f>
        <v/>
      </c>
      <c r="AC1296" s="85"/>
      <c r="AD1296" s="64" t="str">
        <f>IF(AC1296&lt;&gt;0,VLOOKUP(AC1296,DM_NV,2,0),"")</f>
        <v/>
      </c>
      <c r="AE1296" s="68"/>
      <c r="AF1296" s="64" t="str">
        <f>IF(AE1296&lt;&gt;0,VLOOKUP(AE1296,DM_NV,2,0),"")</f>
        <v/>
      </c>
    </row>
    <row r="1297">
      <c r="A1297" s="51"/>
      <c r="B1297" s="52"/>
      <c r="C1297" s="53"/>
      <c r="D1297" s="99">
        <v>44712.0</v>
      </c>
      <c r="E1297" s="55" t="s">
        <v>1260</v>
      </c>
      <c r="F1297" s="56"/>
      <c r="G1297" s="57" t="s">
        <v>1242</v>
      </c>
      <c r="H1297" s="58" t="str">
        <f>IF(G1297="","",VLOOKUP($G1297,'Quy chuẩn hạch toán'!$B:$E,2,0))</f>
        <v>3383</v>
      </c>
      <c r="I1297" s="58" t="str">
        <f>IF(H1297="","",VLOOKUP($G1297,'Quy chuẩn hạch toán'!$B:$E,3,0))</f>
        <v>3341</v>
      </c>
      <c r="J1297" s="59">
        <v>384000.0</v>
      </c>
      <c r="K1297" s="60"/>
      <c r="L1297" s="61"/>
      <c r="M1297" s="62"/>
      <c r="N1297" s="63"/>
      <c r="O1297" s="64"/>
      <c r="P1297" s="64"/>
      <c r="Q1297" s="65" t="s">
        <v>255</v>
      </c>
      <c r="R1297" s="64"/>
      <c r="S1297" s="66"/>
      <c r="T1297" s="64"/>
      <c r="U1297" s="93"/>
      <c r="V1297" s="64"/>
      <c r="W1297" s="68"/>
      <c r="X1297" s="64"/>
      <c r="Y1297" s="69" t="s">
        <v>176</v>
      </c>
      <c r="Z1297" s="64"/>
      <c r="AA1297" s="70" t="s">
        <v>705</v>
      </c>
      <c r="AB1297" s="64"/>
      <c r="AC1297" s="85"/>
      <c r="AD1297" s="64"/>
      <c r="AE1297" s="68"/>
      <c r="AF1297" s="64"/>
    </row>
    <row r="1298">
      <c r="A1298" s="51"/>
      <c r="B1298" s="52"/>
      <c r="C1298" s="53"/>
      <c r="D1298" s="99">
        <v>44712.0</v>
      </c>
      <c r="E1298" s="55" t="s">
        <v>1261</v>
      </c>
      <c r="F1298" s="56"/>
      <c r="G1298" s="57" t="s">
        <v>1247</v>
      </c>
      <c r="H1298" s="58" t="str">
        <f>IF(G1298="","",VLOOKUP($G1298,'Quy chuẩn hạch toán'!$B:$E,2,0))</f>
        <v>3384</v>
      </c>
      <c r="I1298" s="58" t="str">
        <f>IF(H1298="","",VLOOKUP($G1298,'Quy chuẩn hạch toán'!$B:$E,3,0))</f>
        <v>3341</v>
      </c>
      <c r="J1298" s="59">
        <v>72000.0</v>
      </c>
      <c r="K1298" s="60"/>
      <c r="L1298" s="61"/>
      <c r="M1298" s="62"/>
      <c r="N1298" s="63"/>
      <c r="O1298" s="64"/>
      <c r="P1298" s="64"/>
      <c r="Q1298" s="65" t="s">
        <v>255</v>
      </c>
      <c r="R1298" s="64"/>
      <c r="S1298" s="66"/>
      <c r="T1298" s="64"/>
      <c r="U1298" s="93"/>
      <c r="V1298" s="64"/>
      <c r="W1298" s="68"/>
      <c r="X1298" s="64"/>
      <c r="Y1298" s="69" t="s">
        <v>176</v>
      </c>
      <c r="Z1298" s="64"/>
      <c r="AA1298" s="70" t="s">
        <v>705</v>
      </c>
      <c r="AB1298" s="64"/>
      <c r="AC1298" s="85"/>
      <c r="AD1298" s="64"/>
      <c r="AE1298" s="68"/>
      <c r="AF1298" s="64"/>
    </row>
    <row r="1299">
      <c r="A1299" s="51"/>
      <c r="B1299" s="52"/>
      <c r="C1299" s="53"/>
      <c r="D1299" s="99">
        <v>44712.0</v>
      </c>
      <c r="E1299" s="55" t="s">
        <v>1262</v>
      </c>
      <c r="F1299" s="56"/>
      <c r="G1299" s="57" t="s">
        <v>1252</v>
      </c>
      <c r="H1299" s="58" t="str">
        <f>IF(G1299="","",VLOOKUP($G1299,'Quy chuẩn hạch toán'!$B:$E,2,0))</f>
        <v>3386</v>
      </c>
      <c r="I1299" s="58" t="str">
        <f>IF(H1299="","",VLOOKUP($G1299,'Quy chuẩn hạch toán'!$B:$E,3,0))</f>
        <v>3341</v>
      </c>
      <c r="J1299" s="59">
        <v>48000.0</v>
      </c>
      <c r="K1299" s="60"/>
      <c r="L1299" s="61"/>
      <c r="M1299" s="62"/>
      <c r="N1299" s="63"/>
      <c r="O1299" s="64"/>
      <c r="P1299" s="64"/>
      <c r="Q1299" s="65" t="s">
        <v>255</v>
      </c>
      <c r="R1299" s="64"/>
      <c r="S1299" s="66"/>
      <c r="T1299" s="64"/>
      <c r="U1299" s="93"/>
      <c r="V1299" s="64"/>
      <c r="W1299" s="68"/>
      <c r="X1299" s="64"/>
      <c r="Y1299" s="69" t="s">
        <v>176</v>
      </c>
      <c r="Z1299" s="64"/>
      <c r="AA1299" s="70" t="s">
        <v>705</v>
      </c>
      <c r="AB1299" s="64"/>
      <c r="AC1299" s="85"/>
      <c r="AD1299" s="64"/>
      <c r="AE1299" s="68"/>
      <c r="AF1299" s="64"/>
    </row>
    <row r="1300">
      <c r="A1300" s="51"/>
      <c r="B1300" s="52" t="str">
        <f>IF(D1300="","",VLOOKUP(D1300,'THAM CHIẾU'!$A:$B,2,0))</f>
        <v>#N/A</v>
      </c>
      <c r="C1300" s="53" t="str">
        <f t="shared" ref="C1300:C1303" si="9">if(D1300&lt;&gt;0,TEXT(D1300,"mm/yyyy"),"")</f>
        <v>05/2022</v>
      </c>
      <c r="D1300" s="99">
        <v>44712.0</v>
      </c>
      <c r="E1300" s="55" t="s">
        <v>1263</v>
      </c>
      <c r="F1300" s="56"/>
      <c r="G1300" s="57" t="s">
        <v>297</v>
      </c>
      <c r="H1300" s="58" t="str">
        <f>IF(G1300="","",VLOOKUP($G1300,'Quy chuẩn hạch toán'!$B:$E,2,0))</f>
        <v>154</v>
      </c>
      <c r="I1300" s="58" t="str">
        <f>IF(H1300="","",VLOOKUP($G1300,'Quy chuẩn hạch toán'!$B:$E,3,0))</f>
        <v>3341</v>
      </c>
      <c r="J1300" s="59">
        <v>2.7538462E7</v>
      </c>
      <c r="K1300" s="60"/>
      <c r="L1300" s="61"/>
      <c r="M1300" s="62"/>
      <c r="N1300" s="63"/>
      <c r="O1300" s="64" t="str">
        <f>IF($Q1300&lt;&gt;0,VLOOKUP($Q1300,DM_KM,3,0),"")</f>
        <v>#N/A</v>
      </c>
      <c r="P1300" s="64" t="str">
        <f>IF($Q1300&lt;&gt;0,VLOOKUP($Q1300,DM_KM,5,0),"")</f>
        <v>#N/A</v>
      </c>
      <c r="Q1300" s="65" t="s">
        <v>255</v>
      </c>
      <c r="R1300" s="64" t="str">
        <f>IF(S1300&lt;&gt;0,VLOOKUP(S1300,DM_DUAN,3,0),"")</f>
        <v>#N/A</v>
      </c>
      <c r="S1300" s="66" t="str">
        <f>IF(U1300&lt;&gt;0,VLOOKUP(U1300,DM_DUAN,3,0),"")</f>
        <v/>
      </c>
      <c r="T1300" s="64"/>
      <c r="U1300" s="93"/>
      <c r="V1300" s="64" t="str">
        <f>IF(W1300&lt;&gt;0,VLOOKUP(W1300,DM_DUAN,3,0),"")</f>
        <v/>
      </c>
      <c r="W1300" s="68"/>
      <c r="X1300" s="64" t="str">
        <f>IF(Y1300&lt;&gt;0,VLOOKUP(Y1300,DM_DUAN,3,0),"")</f>
        <v>#N/A</v>
      </c>
      <c r="Y1300" s="69" t="s">
        <v>176</v>
      </c>
      <c r="Z1300" s="64" t="str">
        <f>IF(AA1300&lt;&gt;0,VLOOKUP(AA1300,DM_DUAN,3,0),"")</f>
        <v>#N/A</v>
      </c>
      <c r="AA1300" s="70" t="s">
        <v>210</v>
      </c>
      <c r="AB1300" s="64" t="str">
        <f>IF(AC1300&lt;&gt;0,VLOOKUP(AC1300,DM_DUAN,3,0),"")</f>
        <v/>
      </c>
      <c r="AC1300" s="85"/>
      <c r="AD1300" s="64" t="str">
        <f>IF(AC1300&lt;&gt;0,VLOOKUP(AC1300,DM_NV,2,0),"")</f>
        <v/>
      </c>
      <c r="AE1300" s="68"/>
      <c r="AF1300" s="64" t="str">
        <f>IF(AE1300&lt;&gt;0,VLOOKUP(AE1300,DM_NV,2,0),"")</f>
        <v/>
      </c>
    </row>
    <row r="1301">
      <c r="A1301" s="51"/>
      <c r="B1301" s="52" t="str">
        <f>IF(D1301="","",VLOOKUP(D1301,'THAM CHIẾU'!$A:$B,2,0))</f>
        <v>#N/A</v>
      </c>
      <c r="C1301" s="53" t="str">
        <f t="shared" si="9"/>
        <v>05/2022</v>
      </c>
      <c r="D1301" s="99">
        <v>44712.0</v>
      </c>
      <c r="E1301" s="55" t="s">
        <v>1264</v>
      </c>
      <c r="F1301" s="56"/>
      <c r="G1301" s="57" t="s">
        <v>297</v>
      </c>
      <c r="H1301" s="58" t="str">
        <f>IF(G1301="","",VLOOKUP($G1301,'Quy chuẩn hạch toán'!$B:$E,2,0))</f>
        <v>154</v>
      </c>
      <c r="I1301" s="58" t="str">
        <f>IF(H1301="","",VLOOKUP($G1301,'Quy chuẩn hạch toán'!$B:$E,3,0))</f>
        <v>3341</v>
      </c>
      <c r="J1301" s="59">
        <v>4.7703754E7</v>
      </c>
      <c r="K1301" s="60"/>
      <c r="L1301" s="61"/>
      <c r="M1301" s="62"/>
      <c r="N1301" s="63"/>
      <c r="O1301" s="64" t="str">
        <f>IF($Q1301&lt;&gt;0,VLOOKUP($Q1301,DM_KM,3,0),"")</f>
        <v>#N/A</v>
      </c>
      <c r="P1301" s="64" t="str">
        <f>IF($Q1301&lt;&gt;0,VLOOKUP($Q1301,DM_KM,5,0),"")</f>
        <v>#N/A</v>
      </c>
      <c r="Q1301" s="65" t="s">
        <v>255</v>
      </c>
      <c r="R1301" s="64" t="str">
        <f>IF(S1301&lt;&gt;0,VLOOKUP(S1301,DM_DUAN,3,0),"")</f>
        <v>#N/A</v>
      </c>
      <c r="S1301" s="66" t="str">
        <f>IF(U1301&lt;&gt;0,VLOOKUP(U1301,DM_DUAN,3,0),"")</f>
        <v/>
      </c>
      <c r="T1301" s="64"/>
      <c r="U1301" s="93"/>
      <c r="V1301" s="64" t="str">
        <f>IF(W1301&lt;&gt;0,VLOOKUP(W1301,DM_DUAN,3,0),"")</f>
        <v/>
      </c>
      <c r="W1301" s="68"/>
      <c r="X1301" s="64" t="str">
        <f>IF(Y1301&lt;&gt;0,VLOOKUP(Y1301,DM_DUAN,3,0),"")</f>
        <v>#N/A</v>
      </c>
      <c r="Y1301" s="69" t="s">
        <v>176</v>
      </c>
      <c r="Z1301" s="64" t="str">
        <f>IF(AA1301&lt;&gt;0,VLOOKUP(AA1301,DM_DUAN,3,0),"")</f>
        <v>#N/A</v>
      </c>
      <c r="AA1301" s="70" t="s">
        <v>177</v>
      </c>
      <c r="AB1301" s="64" t="str">
        <f>IF(AC1301&lt;&gt;0,VLOOKUP(AC1301,DM_DUAN,3,0),"")</f>
        <v/>
      </c>
      <c r="AC1301" s="85"/>
      <c r="AD1301" s="64" t="str">
        <f>IF(AC1301&lt;&gt;0,VLOOKUP(AC1301,DM_NV,2,0),"")</f>
        <v/>
      </c>
      <c r="AE1301" s="68"/>
      <c r="AF1301" s="64" t="str">
        <f>IF(AE1301&lt;&gt;0,VLOOKUP(AE1301,DM_NV,2,0),"")</f>
        <v/>
      </c>
    </row>
    <row r="1302">
      <c r="A1302" s="51"/>
      <c r="B1302" s="52" t="str">
        <f>IF(D1302="","",VLOOKUP(D1302,'THAM CHIẾU'!$A:$B,2,0))</f>
        <v>#N/A</v>
      </c>
      <c r="C1302" s="53" t="str">
        <f t="shared" si="9"/>
        <v>05/2022</v>
      </c>
      <c r="D1302" s="99">
        <v>44712.0</v>
      </c>
      <c r="E1302" s="55" t="s">
        <v>1265</v>
      </c>
      <c r="F1302" s="56"/>
      <c r="G1302" s="57" t="s">
        <v>297</v>
      </c>
      <c r="H1302" s="58" t="str">
        <f>IF(G1302="","",VLOOKUP($G1302,'Quy chuẩn hạch toán'!$B:$E,2,0))</f>
        <v>154</v>
      </c>
      <c r="I1302" s="58" t="str">
        <f>IF(H1302="","",VLOOKUP($G1302,'Quy chuẩn hạch toán'!$B:$E,3,0))</f>
        <v>3341</v>
      </c>
      <c r="J1302" s="59">
        <v>9707692.0</v>
      </c>
      <c r="K1302" s="60"/>
      <c r="L1302" s="61"/>
      <c r="M1302" s="62"/>
      <c r="N1302" s="63"/>
      <c r="O1302" s="64" t="str">
        <f>IF($Q1302&lt;&gt;0,VLOOKUP($Q1302,DM_KM,3,0),"")</f>
        <v>#N/A</v>
      </c>
      <c r="P1302" s="64" t="str">
        <f>IF($Q1302&lt;&gt;0,VLOOKUP($Q1302,DM_KM,5,0),"")</f>
        <v>#N/A</v>
      </c>
      <c r="Q1302" s="65" t="s">
        <v>255</v>
      </c>
      <c r="R1302" s="64" t="str">
        <f>IF(S1302&lt;&gt;0,VLOOKUP(S1302,DM_DUAN,3,0),"")</f>
        <v>#N/A</v>
      </c>
      <c r="S1302" s="66" t="str">
        <f>IF(U1302&lt;&gt;0,VLOOKUP(U1302,DM_DUAN,3,0),"")</f>
        <v/>
      </c>
      <c r="T1302" s="64"/>
      <c r="U1302" s="93"/>
      <c r="V1302" s="64" t="str">
        <f>IF(W1302&lt;&gt;0,VLOOKUP(W1302,DM_DUAN,3,0),"")</f>
        <v/>
      </c>
      <c r="W1302" s="68"/>
      <c r="X1302" s="64" t="str">
        <f>IF(Y1302&lt;&gt;0,VLOOKUP(Y1302,DM_DUAN,3,0),"")</f>
        <v>#N/A</v>
      </c>
      <c r="Y1302" s="69" t="s">
        <v>176</v>
      </c>
      <c r="Z1302" s="64" t="str">
        <f>IF(AA1302&lt;&gt;0,VLOOKUP(AA1302,DM_DUAN,3,0),"")</f>
        <v>#N/A</v>
      </c>
      <c r="AA1302" s="70" t="s">
        <v>1266</v>
      </c>
      <c r="AB1302" s="64" t="str">
        <f>IF(AC1302&lt;&gt;0,VLOOKUP(AC1302,DM_DUAN,3,0),"")</f>
        <v/>
      </c>
      <c r="AC1302" s="85"/>
      <c r="AD1302" s="64" t="str">
        <f>IF(AC1302&lt;&gt;0,VLOOKUP(AC1302,DM_NV,2,0),"")</f>
        <v/>
      </c>
      <c r="AE1302" s="68"/>
      <c r="AF1302" s="64" t="str">
        <f>IF(AE1302&lt;&gt;0,VLOOKUP(AE1302,DM_NV,2,0),"")</f>
        <v/>
      </c>
    </row>
    <row r="1303">
      <c r="A1303" s="51"/>
      <c r="B1303" s="52" t="str">
        <f>IF(D1303="","",VLOOKUP(D1303,'THAM CHIẾU'!$A:$B,2,0))</f>
        <v>#N/A</v>
      </c>
      <c r="C1303" s="53" t="str">
        <f t="shared" si="9"/>
        <v>05/2022</v>
      </c>
      <c r="D1303" s="99">
        <v>44712.0</v>
      </c>
      <c r="E1303" s="55" t="s">
        <v>1267</v>
      </c>
      <c r="F1303" s="56"/>
      <c r="G1303" s="57" t="s">
        <v>297</v>
      </c>
      <c r="H1303" s="58" t="str">
        <f>IF(G1303="","",VLOOKUP($G1303,'Quy chuẩn hạch toán'!$B:$E,2,0))</f>
        <v>154</v>
      </c>
      <c r="I1303" s="58" t="str">
        <f>IF(H1303="","",VLOOKUP($G1303,'Quy chuẩn hạch toán'!$B:$E,3,0))</f>
        <v>3341</v>
      </c>
      <c r="J1303" s="59">
        <f>53746154-504000</f>
        <v>53242154</v>
      </c>
      <c r="K1303" s="60"/>
      <c r="L1303" s="61"/>
      <c r="M1303" s="62"/>
      <c r="N1303" s="63"/>
      <c r="O1303" s="64" t="str">
        <f>IF($Q1303&lt;&gt;0,VLOOKUP($Q1303,DM_KM,3,0),"")</f>
        <v>#N/A</v>
      </c>
      <c r="P1303" s="64" t="str">
        <f>IF($Q1303&lt;&gt;0,VLOOKUP($Q1303,DM_KM,5,0),"")</f>
        <v>#N/A</v>
      </c>
      <c r="Q1303" s="65" t="s">
        <v>255</v>
      </c>
      <c r="R1303" s="64" t="str">
        <f>IF(S1303&lt;&gt;0,VLOOKUP(S1303,DM_DUAN,3,0),"")</f>
        <v>#N/A</v>
      </c>
      <c r="S1303" s="66" t="str">
        <f>IF(U1303&lt;&gt;0,VLOOKUP(U1303,DM_DUAN,3,0),"")</f>
        <v/>
      </c>
      <c r="T1303" s="64"/>
      <c r="U1303" s="93"/>
      <c r="V1303" s="64" t="str">
        <f>IF(W1303&lt;&gt;0,VLOOKUP(W1303,DM_DUAN,3,0),"")</f>
        <v/>
      </c>
      <c r="W1303" s="68"/>
      <c r="X1303" s="64" t="str">
        <f>IF(Y1303&lt;&gt;0,VLOOKUP(Y1303,DM_DUAN,3,0),"")</f>
        <v>#N/A</v>
      </c>
      <c r="Y1303" s="69" t="s">
        <v>176</v>
      </c>
      <c r="Z1303" s="64" t="str">
        <f>IF(AA1303&lt;&gt;0,VLOOKUP(AA1303,DM_DUAN,3,0),"")</f>
        <v>#N/A</v>
      </c>
      <c r="AA1303" s="70" t="s">
        <v>183</v>
      </c>
      <c r="AB1303" s="64" t="str">
        <f>IF(AC1303&lt;&gt;0,VLOOKUP(AC1303,DM_DUAN,3,0),"")</f>
        <v/>
      </c>
      <c r="AC1303" s="85"/>
      <c r="AD1303" s="64" t="str">
        <f>IF(AC1303&lt;&gt;0,VLOOKUP(AC1303,DM_NV,2,0),"")</f>
        <v/>
      </c>
      <c r="AE1303" s="68"/>
      <c r="AF1303" s="64" t="str">
        <f>IF(AE1303&lt;&gt;0,VLOOKUP(AE1303,DM_NV,2,0),"")</f>
        <v/>
      </c>
    </row>
    <row r="1304">
      <c r="A1304" s="51"/>
      <c r="B1304" s="52"/>
      <c r="C1304" s="53"/>
      <c r="D1304" s="99">
        <v>44712.0</v>
      </c>
      <c r="E1304" s="55" t="s">
        <v>1268</v>
      </c>
      <c r="F1304" s="56"/>
      <c r="G1304" s="57" t="s">
        <v>1242</v>
      </c>
      <c r="H1304" s="58" t="str">
        <f>IF(G1304="","",VLOOKUP($G1304,'Quy chuẩn hạch toán'!$B:$E,2,0))</f>
        <v>3383</v>
      </c>
      <c r="I1304" s="58" t="str">
        <f>IF(H1304="","",VLOOKUP($G1304,'Quy chuẩn hạch toán'!$B:$E,3,0))</f>
        <v>3341</v>
      </c>
      <c r="J1304" s="59">
        <v>384000.0</v>
      </c>
      <c r="K1304" s="60"/>
      <c r="L1304" s="61"/>
      <c r="M1304" s="62"/>
      <c r="N1304" s="63"/>
      <c r="O1304" s="64"/>
      <c r="P1304" s="64"/>
      <c r="Q1304" s="65" t="s">
        <v>255</v>
      </c>
      <c r="R1304" s="64"/>
      <c r="S1304" s="66"/>
      <c r="T1304" s="64"/>
      <c r="U1304" s="93"/>
      <c r="V1304" s="64"/>
      <c r="W1304" s="68"/>
      <c r="X1304" s="64"/>
      <c r="Y1304" s="69" t="s">
        <v>176</v>
      </c>
      <c r="Z1304" s="64"/>
      <c r="AA1304" s="70" t="s">
        <v>183</v>
      </c>
      <c r="AB1304" s="64"/>
      <c r="AC1304" s="85"/>
      <c r="AD1304" s="64"/>
      <c r="AE1304" s="68"/>
      <c r="AF1304" s="64"/>
    </row>
    <row r="1305">
      <c r="A1305" s="51"/>
      <c r="B1305" s="52" t="str">
        <f>IF(D1305="","",VLOOKUP(D1305,'THAM CHIẾU'!$A:$B,2,0))</f>
        <v>#N/A</v>
      </c>
      <c r="C1305" s="53" t="str">
        <f t="shared" ref="C1305:C1309" si="10">if(D1305&lt;&gt;0,TEXT(D1305,"mm/yyyy"),"")</f>
        <v>05/2022</v>
      </c>
      <c r="D1305" s="99">
        <v>44712.0</v>
      </c>
      <c r="E1305" s="55" t="s">
        <v>1269</v>
      </c>
      <c r="F1305" s="56"/>
      <c r="G1305" s="57" t="s">
        <v>1247</v>
      </c>
      <c r="H1305" s="58" t="str">
        <f>IF(G1305="","",VLOOKUP($G1305,'Quy chuẩn hạch toán'!$B:$E,2,0))</f>
        <v>3384</v>
      </c>
      <c r="I1305" s="58" t="str">
        <f>IF(H1305="","",VLOOKUP($G1305,'Quy chuẩn hạch toán'!$B:$E,3,0))</f>
        <v>3341</v>
      </c>
      <c r="J1305" s="59">
        <v>72000.0</v>
      </c>
      <c r="K1305" s="60"/>
      <c r="L1305" s="61"/>
      <c r="M1305" s="62"/>
      <c r="N1305" s="63"/>
      <c r="O1305" s="64" t="str">
        <f>IF($Q1305&lt;&gt;0,VLOOKUP($Q1305,DM_KM,3,0),"")</f>
        <v>#N/A</v>
      </c>
      <c r="P1305" s="64" t="str">
        <f>IF($Q1305&lt;&gt;0,VLOOKUP($Q1305,DM_KM,5,0),"")</f>
        <v>#N/A</v>
      </c>
      <c r="Q1305" s="65" t="s">
        <v>255</v>
      </c>
      <c r="R1305" s="64" t="str">
        <f>IF(S1305&lt;&gt;0,VLOOKUP(S1305,DM_DUAN,3,0),"")</f>
        <v>#N/A</v>
      </c>
      <c r="S1305" s="66" t="str">
        <f>IF(U1305&lt;&gt;0,VLOOKUP(U1305,DM_DUAN,3,0),"")</f>
        <v/>
      </c>
      <c r="T1305" s="64"/>
      <c r="U1305" s="93"/>
      <c r="V1305" s="64" t="str">
        <f>IF(W1305&lt;&gt;0,VLOOKUP(W1305,DM_DUAN,3,0),"")</f>
        <v/>
      </c>
      <c r="W1305" s="68"/>
      <c r="X1305" s="64" t="str">
        <f>IF(Y1305&lt;&gt;0,VLOOKUP(Y1305,DM_DUAN,3,0),"")</f>
        <v>#N/A</v>
      </c>
      <c r="Y1305" s="69" t="s">
        <v>176</v>
      </c>
      <c r="Z1305" s="64" t="str">
        <f>IF(AA1305&lt;&gt;0,VLOOKUP(AA1305,DM_DUAN,3,0),"")</f>
        <v>#N/A</v>
      </c>
      <c r="AA1305" s="70" t="s">
        <v>183</v>
      </c>
      <c r="AB1305" s="64" t="str">
        <f>IF(AC1305&lt;&gt;0,VLOOKUP(AC1305,DM_DUAN,3,0),"")</f>
        <v/>
      </c>
      <c r="AC1305" s="85"/>
      <c r="AD1305" s="64" t="str">
        <f>IF(AC1305&lt;&gt;0,VLOOKUP(AC1305,DM_NV,2,0),"")</f>
        <v/>
      </c>
      <c r="AE1305" s="68"/>
      <c r="AF1305" s="64" t="str">
        <f>IF(AE1305&lt;&gt;0,VLOOKUP(AE1305,DM_NV,2,0),"")</f>
        <v/>
      </c>
    </row>
    <row r="1306">
      <c r="A1306" s="51"/>
      <c r="B1306" s="52" t="str">
        <f>IF(D1306="","",VLOOKUP(D1306,'THAM CHIẾU'!$A:$B,2,0))</f>
        <v>#N/A</v>
      </c>
      <c r="C1306" s="53" t="str">
        <f t="shared" si="10"/>
        <v>05/2022</v>
      </c>
      <c r="D1306" s="99">
        <v>44712.0</v>
      </c>
      <c r="E1306" s="55" t="s">
        <v>1270</v>
      </c>
      <c r="F1306" s="56"/>
      <c r="G1306" s="57" t="s">
        <v>1252</v>
      </c>
      <c r="H1306" s="58" t="str">
        <f>IF(G1306="","",VLOOKUP($G1306,'Quy chuẩn hạch toán'!$B:$E,2,0))</f>
        <v>3386</v>
      </c>
      <c r="I1306" s="58" t="str">
        <f>IF(H1306="","",VLOOKUP($G1306,'Quy chuẩn hạch toán'!$B:$E,3,0))</f>
        <v>3341</v>
      </c>
      <c r="J1306" s="59">
        <v>48000.0</v>
      </c>
      <c r="K1306" s="60"/>
      <c r="L1306" s="61"/>
      <c r="M1306" s="62"/>
      <c r="N1306" s="63"/>
      <c r="O1306" s="64"/>
      <c r="P1306" s="64"/>
      <c r="Q1306" s="65" t="s">
        <v>255</v>
      </c>
      <c r="R1306" s="64" t="str">
        <f>IF(S1306&lt;&gt;0,VLOOKUP(S1306,DM_DUAN,3,0),"")</f>
        <v>#N/A</v>
      </c>
      <c r="S1306" s="66" t="str">
        <f>IF(U1306&lt;&gt;0,VLOOKUP(U1306,DM_DUAN,3,0),"")</f>
        <v/>
      </c>
      <c r="T1306" s="64"/>
      <c r="U1306" s="93"/>
      <c r="V1306" s="64" t="str">
        <f>IF(W1306&lt;&gt;0,VLOOKUP(W1306,DM_DUAN,3,0),"")</f>
        <v/>
      </c>
      <c r="W1306" s="68"/>
      <c r="X1306" s="64" t="str">
        <f>IF(Y1306&lt;&gt;0,VLOOKUP(Y1306,DM_DUAN,3,0),"")</f>
        <v>#N/A</v>
      </c>
      <c r="Y1306" s="69" t="s">
        <v>176</v>
      </c>
      <c r="Z1306" s="64" t="str">
        <f>IF(AA1306&lt;&gt;0,VLOOKUP(AA1306,DM_DUAN,3,0),"")</f>
        <v>#N/A</v>
      </c>
      <c r="AA1306" s="70" t="s">
        <v>183</v>
      </c>
      <c r="AB1306" s="64" t="str">
        <f>IF(AC1306&lt;&gt;0,VLOOKUP(AC1306,DM_DUAN,3,0),"")</f>
        <v/>
      </c>
      <c r="AC1306" s="85"/>
      <c r="AD1306" s="64" t="str">
        <f>IF(AC1306&lt;&gt;0,VLOOKUP(AC1306,DM_NV,2,0),"")</f>
        <v/>
      </c>
      <c r="AE1306" s="68"/>
      <c r="AF1306" s="64" t="str">
        <f>IF(AE1306&lt;&gt;0,VLOOKUP(AE1306,DM_NV,2,0),"")</f>
        <v/>
      </c>
    </row>
    <row r="1307">
      <c r="A1307" s="51"/>
      <c r="B1307" s="52" t="str">
        <f>IF(D1307="","",VLOOKUP(D1307,'THAM CHIẾU'!$A:$B,2,0))</f>
        <v/>
      </c>
      <c r="C1307" s="53" t="str">
        <f t="shared" si="10"/>
        <v/>
      </c>
      <c r="D1307" s="99"/>
      <c r="E1307" s="55"/>
      <c r="F1307" s="56"/>
      <c r="G1307" s="57"/>
      <c r="H1307" s="58" t="str">
        <f>IF(G1307="","",VLOOKUP($G1307,'Quy chuẩn hạch toán'!$B:$E,2,0))</f>
        <v/>
      </c>
      <c r="I1307" s="58" t="str">
        <f>IF(H1307="","",VLOOKUP($G1307,'Quy chuẩn hạch toán'!$B:$E,3,0))</f>
        <v/>
      </c>
      <c r="J1307" s="59"/>
      <c r="K1307" s="60"/>
      <c r="L1307" s="61"/>
      <c r="M1307" s="62"/>
      <c r="N1307" s="63"/>
      <c r="O1307" s="64"/>
      <c r="P1307" s="64"/>
      <c r="Q1307" s="65"/>
      <c r="R1307" s="64" t="str">
        <f>IF(S1307&lt;&gt;0,VLOOKUP(S1307,DM_DUAN,3,0),"")</f>
        <v>#N/A</v>
      </c>
      <c r="S1307" s="66" t="str">
        <f>IF(U1307&lt;&gt;0,VLOOKUP(U1307,DM_DUAN,3,0),"")</f>
        <v/>
      </c>
      <c r="T1307" s="64"/>
      <c r="U1307" s="93"/>
      <c r="V1307" s="64" t="str">
        <f>IF(W1307&lt;&gt;0,VLOOKUP(W1307,DM_DUAN,3,0),"")</f>
        <v/>
      </c>
      <c r="W1307" s="68"/>
      <c r="X1307" s="64" t="str">
        <f>IF(Y1307&lt;&gt;0,VLOOKUP(Y1307,DM_DUAN,3,0),"")</f>
        <v/>
      </c>
      <c r="Y1307" s="69"/>
      <c r="Z1307" s="64" t="str">
        <f>IF(AA1307&lt;&gt;0,VLOOKUP(AA1307,DM_DUAN,3,0),"")</f>
        <v/>
      </c>
      <c r="AA1307" s="131"/>
      <c r="AB1307" s="64" t="str">
        <f>IF(AC1307&lt;&gt;0,VLOOKUP(AC1307,DM_DUAN,3,0),"")</f>
        <v/>
      </c>
      <c r="AC1307" s="85"/>
      <c r="AD1307" s="64" t="str">
        <f>IF(AC1307&lt;&gt;0,VLOOKUP(AC1307,DM_NV,2,0),"")</f>
        <v/>
      </c>
      <c r="AE1307" s="68"/>
      <c r="AF1307" s="64" t="str">
        <f>IF(AE1307&lt;&gt;0,VLOOKUP(AE1307,DM_NV,2,0),"")</f>
        <v/>
      </c>
    </row>
    <row r="1308">
      <c r="A1308" s="51"/>
      <c r="B1308" s="52" t="str">
        <f>IF(D1308="","",VLOOKUP(D1308,'THAM CHIẾU'!$A:$B,2,0))</f>
        <v>#N/A</v>
      </c>
      <c r="C1308" s="53" t="str">
        <f t="shared" si="10"/>
        <v>05/2022</v>
      </c>
      <c r="D1308" s="99">
        <v>44712.0</v>
      </c>
      <c r="E1308" s="55" t="s">
        <v>1271</v>
      </c>
      <c r="F1308" s="56"/>
      <c r="G1308" s="57" t="s">
        <v>1272</v>
      </c>
      <c r="H1308" s="58" t="str">
        <f>IF(G1308="","",VLOOKUP($G1308,'Quy chuẩn hạch toán'!$B:$E,2,0))</f>
        <v>3383</v>
      </c>
      <c r="I1308" s="58" t="str">
        <f>IF(H1308="","",VLOOKUP($G1308,'Quy chuẩn hạch toán'!$B:$E,3,0))</f>
        <v>642</v>
      </c>
      <c r="J1308" s="59">
        <f>4080000+1632000</f>
        <v>5712000</v>
      </c>
      <c r="K1308" s="60"/>
      <c r="L1308" s="61"/>
      <c r="M1308" s="62"/>
      <c r="N1308" s="63"/>
      <c r="O1308" s="64"/>
      <c r="P1308" s="64"/>
      <c r="Q1308" s="65" t="s">
        <v>1273</v>
      </c>
      <c r="R1308" s="64" t="str">
        <f>IF(S1308&lt;&gt;0,VLOOKUP(S1308,DM_DUAN,3,0),"")</f>
        <v>#N/A</v>
      </c>
      <c r="S1308" s="66" t="str">
        <f>IF(U1308&lt;&gt;0,VLOOKUP(U1308,DM_DUAN,3,0),"")</f>
        <v/>
      </c>
      <c r="T1308" s="64"/>
      <c r="U1308" s="93"/>
      <c r="V1308" s="64" t="str">
        <f>IF(W1308&lt;&gt;0,VLOOKUP(W1308,DM_DUAN,3,0),"")</f>
        <v/>
      </c>
      <c r="W1308" s="68"/>
      <c r="X1308" s="64" t="str">
        <f>IF(Y1308&lt;&gt;0,VLOOKUP(Y1308,DM_DUAN,3,0),"")</f>
        <v/>
      </c>
      <c r="Y1308" s="69"/>
      <c r="Z1308" s="64" t="str">
        <f>IF(AA1308&lt;&gt;0,VLOOKUP(AA1308,DM_DUAN,3,0),"")</f>
        <v/>
      </c>
      <c r="AA1308" s="131"/>
      <c r="AB1308" s="64" t="str">
        <f>IF(AC1308&lt;&gt;0,VLOOKUP(AC1308,DM_DUAN,3,0),"")</f>
        <v/>
      </c>
      <c r="AC1308" s="85"/>
      <c r="AD1308" s="64" t="str">
        <f>IF(AC1308&lt;&gt;0,VLOOKUP(AC1308,DM_NV,2,0),"")</f>
        <v/>
      </c>
      <c r="AE1308" s="68"/>
      <c r="AF1308" s="64" t="str">
        <f>IF(AE1308&lt;&gt;0,VLOOKUP(AE1308,DM_NV,2,0),"")</f>
        <v/>
      </c>
    </row>
    <row r="1309">
      <c r="A1309" s="51"/>
      <c r="B1309" s="52" t="str">
        <f>IF(D1309="","",VLOOKUP(D1309,'THAM CHIẾU'!$A:$B,2,0))</f>
        <v>#N/A</v>
      </c>
      <c r="C1309" s="53" t="str">
        <f t="shared" si="10"/>
        <v>05/2022</v>
      </c>
      <c r="D1309" s="99">
        <v>44712.0</v>
      </c>
      <c r="E1309" s="55" t="s">
        <v>1274</v>
      </c>
      <c r="F1309" s="56"/>
      <c r="G1309" s="57" t="s">
        <v>1275</v>
      </c>
      <c r="H1309" s="58" t="str">
        <f>IF(G1309="","",VLOOKUP($G1309,'Quy chuẩn hạch toán'!$B:$E,2,0))</f>
        <v>3384</v>
      </c>
      <c r="I1309" s="58" t="str">
        <f>IF(H1309="","",VLOOKUP($G1309,'Quy chuẩn hạch toán'!$B:$E,3,0))</f>
        <v>642</v>
      </c>
      <c r="J1309" s="59">
        <f>720000+288000</f>
        <v>1008000</v>
      </c>
      <c r="K1309" s="60"/>
      <c r="L1309" s="61"/>
      <c r="M1309" s="62"/>
      <c r="N1309" s="63"/>
      <c r="O1309" s="64"/>
      <c r="P1309" s="64"/>
      <c r="Q1309" s="65" t="s">
        <v>1273</v>
      </c>
      <c r="R1309" s="64" t="str">
        <f>IF(S1309&lt;&gt;0,VLOOKUP(S1309,DM_DUAN,3,0),"")</f>
        <v>#N/A</v>
      </c>
      <c r="S1309" s="66" t="str">
        <f>IF(U1309&lt;&gt;0,VLOOKUP(U1309,DM_DUAN,3,0),"")</f>
        <v/>
      </c>
      <c r="T1309" s="64"/>
      <c r="U1309" s="93"/>
      <c r="V1309" s="64" t="str">
        <f>IF(W1309&lt;&gt;0,VLOOKUP(W1309,DM_DUAN,3,0),"")</f>
        <v/>
      </c>
      <c r="W1309" s="68"/>
      <c r="X1309" s="64" t="str">
        <f>IF(Y1309&lt;&gt;0,VLOOKUP(Y1309,DM_DUAN,3,0),"")</f>
        <v/>
      </c>
      <c r="Y1309" s="84"/>
      <c r="Z1309" s="64" t="str">
        <f>IF(AA1309&lt;&gt;0,VLOOKUP(AA1309,DM_DUAN,3,0),"")</f>
        <v/>
      </c>
      <c r="AA1309" s="131"/>
      <c r="AB1309" s="64" t="str">
        <f>IF(AC1309&lt;&gt;0,VLOOKUP(AC1309,DM_DUAN,3,0),"")</f>
        <v/>
      </c>
      <c r="AC1309" s="85"/>
      <c r="AD1309" s="64" t="str">
        <f>IF(AC1309&lt;&gt;0,VLOOKUP(AC1309,DM_NV,2,0),"")</f>
        <v/>
      </c>
      <c r="AE1309" s="68"/>
      <c r="AF1309" s="64" t="str">
        <f>IF(AE1309&lt;&gt;0,VLOOKUP(AE1309,DM_NV,2,0),"")</f>
        <v/>
      </c>
    </row>
    <row r="1310">
      <c r="A1310" s="51"/>
      <c r="B1310" s="52"/>
      <c r="C1310" s="53"/>
      <c r="D1310" s="99"/>
      <c r="E1310" s="55"/>
      <c r="F1310" s="56"/>
      <c r="G1310" s="57"/>
      <c r="H1310" s="58" t="str">
        <f>IF(G1310="","",VLOOKUP($G1310,'Quy chuẩn hạch toán'!$B:$E,2,0))</f>
        <v/>
      </c>
      <c r="I1310" s="58" t="str">
        <f>IF(H1310="","",VLOOKUP($G1310,'Quy chuẩn hạch toán'!$B:$E,3,0))</f>
        <v/>
      </c>
      <c r="J1310" s="59"/>
      <c r="K1310" s="60"/>
      <c r="L1310" s="61"/>
      <c r="M1310" s="62"/>
      <c r="N1310" s="63"/>
      <c r="O1310" s="64"/>
      <c r="P1310" s="64"/>
      <c r="Q1310" s="65"/>
      <c r="R1310" s="64"/>
      <c r="S1310" s="66"/>
      <c r="T1310" s="64"/>
      <c r="U1310" s="93"/>
      <c r="V1310" s="64"/>
      <c r="W1310" s="68"/>
      <c r="X1310" s="64"/>
      <c r="Y1310" s="84"/>
      <c r="Z1310" s="64"/>
      <c r="AA1310" s="70"/>
      <c r="AB1310" s="64"/>
      <c r="AC1310" s="70"/>
      <c r="AD1310" s="64" t="str">
        <f>IF(AC1310&lt;&gt;0,VLOOKUP(AC1310,DM_NV,2,0),"")</f>
        <v/>
      </c>
      <c r="AE1310" s="68"/>
      <c r="AF1310" s="64" t="str">
        <f>IF(AE1310&lt;&gt;0,VLOOKUP(AE1310,DM_NV,2,0),"")</f>
        <v/>
      </c>
    </row>
    <row r="1311">
      <c r="A1311" s="51"/>
      <c r="B1311" s="52"/>
      <c r="C1311" s="53"/>
      <c r="D1311" s="99"/>
      <c r="E1311" s="55"/>
      <c r="F1311" s="56"/>
      <c r="G1311" s="57"/>
      <c r="H1311" s="58" t="str">
        <f>IF(G1311="","",VLOOKUP($G1311,'Quy chuẩn hạch toán'!$B:$E,2,0))</f>
        <v/>
      </c>
      <c r="I1311" s="58" t="str">
        <f>IF(H1311="","",VLOOKUP($G1311,'Quy chuẩn hạch toán'!$B:$E,3,0))</f>
        <v/>
      </c>
      <c r="J1311" s="59"/>
      <c r="K1311" s="60"/>
      <c r="L1311" s="61"/>
      <c r="M1311" s="62"/>
      <c r="N1311" s="63"/>
      <c r="O1311" s="64"/>
      <c r="P1311" s="64"/>
      <c r="Q1311" s="65"/>
      <c r="R1311" s="64"/>
      <c r="S1311" s="66"/>
      <c r="T1311" s="64"/>
      <c r="U1311" s="93"/>
      <c r="V1311" s="64"/>
      <c r="W1311" s="68"/>
      <c r="X1311" s="64"/>
      <c r="Y1311" s="84"/>
      <c r="Z1311" s="64"/>
      <c r="AA1311" s="70"/>
      <c r="AB1311" s="64"/>
      <c r="AC1311" s="70"/>
      <c r="AD1311" s="64" t="str">
        <f>IF(AC1311&lt;&gt;0,VLOOKUP(AC1311,DM_NV,2,0),"")</f>
        <v/>
      </c>
      <c r="AE1311" s="68"/>
      <c r="AF1311" s="64" t="str">
        <f>IF(AE1311&lt;&gt;0,VLOOKUP(AE1311,DM_NV,2,0),"")</f>
        <v/>
      </c>
    </row>
    <row r="1312">
      <c r="A1312" s="51"/>
      <c r="B1312" s="52" t="str">
        <f>IF(D1312="","",VLOOKUP(D1312,'THAM CHIẾU'!$A:$B,2,0))</f>
        <v/>
      </c>
      <c r="C1312" s="53" t="str">
        <f t="shared" ref="C1312:C1385" si="11">if(D1312&lt;&gt;0,TEXT(D1312,"mm/yyyy"),"")</f>
        <v/>
      </c>
      <c r="D1312" s="99"/>
      <c r="E1312" s="55" t="s">
        <v>1276</v>
      </c>
      <c r="F1312" s="56"/>
      <c r="G1312" s="57" t="s">
        <v>1277</v>
      </c>
      <c r="H1312" s="58" t="str">
        <f>IF(G1312="","",VLOOKUP($G1312,'Quy chuẩn hạch toán'!$B:$E,2,0))</f>
        <v>1111</v>
      </c>
      <c r="I1312" s="58" t="str">
        <f>IF(H1312="","",VLOOKUP($G1312,'Quy chuẩn hạch toán'!$B:$E,3,0))</f>
        <v>3344</v>
      </c>
      <c r="J1312" s="59">
        <v>6934000.0</v>
      </c>
      <c r="K1312" s="60"/>
      <c r="L1312" s="61"/>
      <c r="M1312" s="62"/>
      <c r="N1312" s="63"/>
      <c r="O1312" s="64"/>
      <c r="P1312" s="64"/>
      <c r="Q1312" s="65"/>
      <c r="R1312" s="64" t="str">
        <f>IF(S1312&lt;&gt;0,VLOOKUP(S1312,DM_DUAN,3,0),"")</f>
        <v>#N/A</v>
      </c>
      <c r="S1312" s="66" t="str">
        <f>IF(U1312&lt;&gt;0,VLOOKUP(U1312,DM_DUAN,3,0),"")</f>
        <v/>
      </c>
      <c r="T1312" s="64"/>
      <c r="U1312" s="93"/>
      <c r="V1312" s="64" t="str">
        <f>IF(W1312&lt;&gt;0,VLOOKUP(W1312,DM_DUAN,3,0),"")</f>
        <v/>
      </c>
      <c r="W1312" s="68"/>
      <c r="X1312" s="64" t="str">
        <f>IF(Y1312&lt;&gt;0,VLOOKUP(Y1312,DM_DUAN,3,0),"")</f>
        <v/>
      </c>
      <c r="Y1312" s="84"/>
      <c r="Z1312" s="64" t="str">
        <f>IF(AA1312&lt;&gt;0,VLOOKUP(AA1312,DM_DUAN,3,0),"")</f>
        <v>#N/A</v>
      </c>
      <c r="AA1312" s="70" t="s">
        <v>177</v>
      </c>
      <c r="AB1312" s="64" t="str">
        <f>IF(AC1312&lt;&gt;0,VLOOKUP(AC1312,DM_DUAN,3,0),"")</f>
        <v>#N/A</v>
      </c>
      <c r="AC1312" s="70" t="s">
        <v>603</v>
      </c>
      <c r="AD1312" s="64" t="str">
        <f>IF(AC1312&lt;&gt;0,VLOOKUP(AC1312,DM_NV,2,0),"")</f>
        <v>Trần Minh Khánh</v>
      </c>
      <c r="AE1312" s="68"/>
      <c r="AF1312" s="64" t="str">
        <f>IF(AE1312&lt;&gt;0,VLOOKUP(AE1312,DM_NV,2,0),"")</f>
        <v/>
      </c>
    </row>
    <row r="1313">
      <c r="A1313" s="51"/>
      <c r="B1313" s="52" t="str">
        <f>IF(D1313="","",VLOOKUP(D1313,'THAM CHIẾU'!$A:$B,2,0))</f>
        <v>#N/A</v>
      </c>
      <c r="C1313" s="53" t="str">
        <f t="shared" si="11"/>
        <v>05/2022</v>
      </c>
      <c r="D1313" s="99">
        <v>44712.0</v>
      </c>
      <c r="E1313" s="79" t="s">
        <v>1278</v>
      </c>
      <c r="F1313" s="80"/>
      <c r="G1313" s="57" t="s">
        <v>326</v>
      </c>
      <c r="H1313" s="58" t="str">
        <f>IF(G1313="","",VLOOKUP($G1313,'Quy chuẩn hạch toán'!$B:$E,2,0))</f>
        <v>911</v>
      </c>
      <c r="I1313" s="58" t="str">
        <f>IF(H1313="","",VLOOKUP($G1313,'Quy chuẩn hạch toán'!$B:$E,3,0))</f>
        <v>632</v>
      </c>
      <c r="J1313" s="59">
        <v>5.5536E7</v>
      </c>
      <c r="K1313" s="60"/>
      <c r="L1313" s="61"/>
      <c r="M1313" s="62"/>
      <c r="N1313" s="63"/>
      <c r="O1313" s="64"/>
      <c r="P1313" s="64"/>
      <c r="Q1313" s="65"/>
      <c r="R1313" s="64" t="str">
        <f>IF(S1313&lt;&gt;0,VLOOKUP(S1313,DM_DUAN,3,0),"")</f>
        <v>#N/A</v>
      </c>
      <c r="S1313" s="66" t="str">
        <f>IF(U1313&lt;&gt;0,VLOOKUP(U1313,DM_DUAN,3,0),"")</f>
        <v/>
      </c>
      <c r="T1313" s="64"/>
      <c r="U1313" s="93"/>
      <c r="V1313" s="64" t="str">
        <f>IF(W1313&lt;&gt;0,VLOOKUP(W1313,DM_DUAN,3,0),"")</f>
        <v/>
      </c>
      <c r="W1313" s="68"/>
      <c r="X1313" s="64" t="str">
        <f>IF(Y1313&lt;&gt;0,VLOOKUP(Y1313,DM_DUAN,3,0),"")</f>
        <v/>
      </c>
      <c r="Y1313" s="84"/>
      <c r="Z1313" s="64" t="str">
        <f>IF(AA1313&lt;&gt;0,VLOOKUP(AA1313,DM_DUAN,3,0),"")</f>
        <v>#N/A</v>
      </c>
      <c r="AA1313" s="70" t="s">
        <v>183</v>
      </c>
      <c r="AB1313" s="64" t="str">
        <f>IF(AC1313&lt;&gt;0,VLOOKUP(AC1313,DM_DUAN,3,0),"")</f>
        <v/>
      </c>
      <c r="AC1313" s="85"/>
      <c r="AD1313" s="64" t="str">
        <f>IF(AC1313&lt;&gt;0,VLOOKUP(AC1313,DM_NV,2,0),"")</f>
        <v/>
      </c>
      <c r="AE1313" s="68"/>
      <c r="AF1313" s="64" t="str">
        <f>IF(AE1313&lt;&gt;0,VLOOKUP(AE1313,DM_NV,2,0),"")</f>
        <v/>
      </c>
    </row>
    <row r="1314">
      <c r="A1314" s="51"/>
      <c r="B1314" s="52" t="str">
        <f>IF(D1314="","",VLOOKUP(D1314,'THAM CHIẾU'!$A:$B,2,0))</f>
        <v>#N/A</v>
      </c>
      <c r="C1314" s="53" t="str">
        <f t="shared" si="11"/>
        <v>05/2022</v>
      </c>
      <c r="D1314" s="99">
        <v>44712.0</v>
      </c>
      <c r="E1314" s="141" t="s">
        <v>1279</v>
      </c>
      <c r="F1314" s="142"/>
      <c r="G1314" s="57" t="s">
        <v>326</v>
      </c>
      <c r="H1314" s="58" t="str">
        <f>IF(G1314="","",VLOOKUP($G1314,'Quy chuẩn hạch toán'!$B:$E,2,0))</f>
        <v>911</v>
      </c>
      <c r="I1314" s="58" t="str">
        <f>IF(H1314="","",VLOOKUP($G1314,'Quy chuẩn hạch toán'!$B:$E,3,0))</f>
        <v>632</v>
      </c>
      <c r="J1314" s="59">
        <v>1.38957E8</v>
      </c>
      <c r="K1314" s="60"/>
      <c r="L1314" s="61"/>
      <c r="M1314" s="62"/>
      <c r="N1314" s="63"/>
      <c r="O1314" s="64"/>
      <c r="P1314" s="64"/>
      <c r="Q1314" s="65"/>
      <c r="R1314" s="64" t="str">
        <f>IF(S1314&lt;&gt;0,VLOOKUP(S1314,DM_DUAN,3,0),"")</f>
        <v>#N/A</v>
      </c>
      <c r="S1314" s="66" t="str">
        <f>IF(U1314&lt;&gt;0,VLOOKUP(U1314,DM_DUAN,3,0),"")</f>
        <v/>
      </c>
      <c r="T1314" s="64"/>
      <c r="U1314" s="93"/>
      <c r="V1314" s="64" t="str">
        <f>IF(W1314&lt;&gt;0,VLOOKUP(W1314,DM_DUAN,3,0),"")</f>
        <v/>
      </c>
      <c r="W1314" s="68"/>
      <c r="X1314" s="64" t="str">
        <f>IF(Y1314&lt;&gt;0,VLOOKUP(Y1314,DM_DUAN,3,0),"")</f>
        <v/>
      </c>
      <c r="Y1314" s="84"/>
      <c r="Z1314" s="64" t="str">
        <f>IF(AA1314&lt;&gt;0,VLOOKUP(AA1314,DM_DUAN,3,0),"")</f>
        <v>#N/A</v>
      </c>
      <c r="AA1314" s="70" t="s">
        <v>177</v>
      </c>
      <c r="AB1314" s="64" t="str">
        <f>IF(AC1314&lt;&gt;0,VLOOKUP(AC1314,DM_DUAN,3,0),"")</f>
        <v/>
      </c>
      <c r="AC1314" s="85"/>
      <c r="AD1314" s="64" t="str">
        <f>IF(AC1314&lt;&gt;0,VLOOKUP(AC1314,DM_NV,2,0),"")</f>
        <v/>
      </c>
      <c r="AE1314" s="68"/>
      <c r="AF1314" s="64" t="str">
        <f>IF(AE1314&lt;&gt;0,VLOOKUP(AE1314,DM_NV,2,0),"")</f>
        <v/>
      </c>
    </row>
    <row r="1315">
      <c r="A1315" s="51"/>
      <c r="B1315" s="52" t="str">
        <f>IF(D1315="","",VLOOKUP(D1315,'THAM CHIẾU'!$A:$B,2,0))</f>
        <v>#N/A</v>
      </c>
      <c r="C1315" s="53" t="str">
        <f t="shared" si="11"/>
        <v>05/2022</v>
      </c>
      <c r="D1315" s="99">
        <v>44712.0</v>
      </c>
      <c r="E1315" s="141" t="s">
        <v>1280</v>
      </c>
      <c r="F1315" s="142"/>
      <c r="G1315" s="57" t="s">
        <v>326</v>
      </c>
      <c r="H1315" s="58" t="str">
        <f>IF(G1315="","",VLOOKUP($G1315,'Quy chuẩn hạch toán'!$B:$E,2,0))</f>
        <v>911</v>
      </c>
      <c r="I1315" s="58" t="str">
        <f>IF(H1315="","",VLOOKUP($G1315,'Quy chuẩn hạch toán'!$B:$E,3,0))</f>
        <v>632</v>
      </c>
      <c r="J1315" s="95"/>
      <c r="K1315" s="60"/>
      <c r="L1315" s="61"/>
      <c r="M1315" s="62"/>
      <c r="N1315" s="63"/>
      <c r="O1315" s="64" t="str">
        <f>IF($Q1315&lt;&gt;0,VLOOKUP($Q1315,DM_KM,3,0),"")</f>
        <v/>
      </c>
      <c r="P1315" s="64" t="str">
        <f>IF($Q1315&lt;&gt;0,VLOOKUP($Q1315,DM_KM,5,0),"")</f>
        <v/>
      </c>
      <c r="Q1315" s="89"/>
      <c r="R1315" s="64" t="str">
        <f>IF(S1315&lt;&gt;0,VLOOKUP(S1315,DM_DUAN,3,0),"")</f>
        <v>#N/A</v>
      </c>
      <c r="S1315" s="66" t="str">
        <f>IF(U1315&lt;&gt;0,VLOOKUP(U1315,DM_DUAN,3,0),"")</f>
        <v/>
      </c>
      <c r="T1315" s="64"/>
      <c r="U1315" s="93"/>
      <c r="V1315" s="64" t="str">
        <f>IF(W1315&lt;&gt;0,VLOOKUP(W1315,DM_DUAN,3,0),"")</f>
        <v/>
      </c>
      <c r="W1315" s="68"/>
      <c r="X1315" s="64" t="str">
        <f>IF(Y1315&lt;&gt;0,VLOOKUP(Y1315,DM_DUAN,3,0),"")</f>
        <v/>
      </c>
      <c r="Y1315" s="84"/>
      <c r="Z1315" s="64" t="str">
        <f>IF(AA1315&lt;&gt;0,VLOOKUP(AA1315,DM_DUAN,3,0),"")</f>
        <v>#N/A</v>
      </c>
      <c r="AA1315" s="70" t="s">
        <v>210</v>
      </c>
      <c r="AB1315" s="64" t="str">
        <f>IF(AC1315&lt;&gt;0,VLOOKUP(AC1315,DM_DUAN,3,0),"")</f>
        <v/>
      </c>
      <c r="AC1315" s="85"/>
      <c r="AD1315" s="64" t="str">
        <f>IF(AC1315&lt;&gt;0,VLOOKUP(AC1315,DM_NV,2,0),"")</f>
        <v/>
      </c>
      <c r="AE1315" s="68"/>
      <c r="AF1315" s="64" t="str">
        <f>IF(AE1315&lt;&gt;0,VLOOKUP(AE1315,DM_NV,2,0),"")</f>
        <v/>
      </c>
    </row>
    <row r="1316">
      <c r="A1316" s="51"/>
      <c r="B1316" s="52" t="str">
        <f>IF(D1316="","",VLOOKUP(D1316,'THAM CHIẾU'!$A:$B,2,0))</f>
        <v>#N/A</v>
      </c>
      <c r="C1316" s="53" t="str">
        <f t="shared" si="11"/>
        <v>05/2022</v>
      </c>
      <c r="D1316" s="99">
        <v>44712.0</v>
      </c>
      <c r="E1316" s="141" t="s">
        <v>1281</v>
      </c>
      <c r="F1316" s="142"/>
      <c r="G1316" s="57" t="s">
        <v>326</v>
      </c>
      <c r="H1316" s="58" t="str">
        <f>IF(G1316="","",VLOOKUP($G1316,'Quy chuẩn hạch toán'!$B:$E,2,0))</f>
        <v>911</v>
      </c>
      <c r="I1316" s="58" t="str">
        <f>IF(H1316="","",VLOOKUP($G1316,'Quy chuẩn hạch toán'!$B:$E,3,0))</f>
        <v>632</v>
      </c>
      <c r="J1316" s="95"/>
      <c r="K1316" s="60"/>
      <c r="L1316" s="61"/>
      <c r="M1316" s="62"/>
      <c r="N1316" s="63"/>
      <c r="O1316" s="64" t="str">
        <f>IF($Q1316&lt;&gt;0,VLOOKUP($Q1316,DM_KM,3,0),"")</f>
        <v/>
      </c>
      <c r="P1316" s="64" t="str">
        <f>IF($Q1316&lt;&gt;0,VLOOKUP($Q1316,DM_KM,5,0),"")</f>
        <v/>
      </c>
      <c r="Q1316" s="89"/>
      <c r="R1316" s="64" t="str">
        <f>IF(S1316&lt;&gt;0,VLOOKUP(S1316,DM_DUAN,3,0),"")</f>
        <v>#N/A</v>
      </c>
      <c r="S1316" s="66" t="str">
        <f>IF(U1316&lt;&gt;0,VLOOKUP(U1316,DM_DUAN,3,0),"")</f>
        <v/>
      </c>
      <c r="T1316" s="64"/>
      <c r="U1316" s="93"/>
      <c r="V1316" s="64" t="str">
        <f>IF(W1316&lt;&gt;0,VLOOKUP(W1316,DM_DUAN,3,0),"")</f>
        <v/>
      </c>
      <c r="W1316" s="68"/>
      <c r="X1316" s="64" t="str">
        <f>IF(Y1316&lt;&gt;0,VLOOKUP(Y1316,DM_DUAN,3,0),"")</f>
        <v/>
      </c>
      <c r="Y1316" s="84"/>
      <c r="Z1316" s="64" t="str">
        <f>IF(AA1316&lt;&gt;0,VLOOKUP(AA1316,DM_DUAN,3,0),"")</f>
        <v>#N/A</v>
      </c>
      <c r="AA1316" s="70" t="s">
        <v>705</v>
      </c>
      <c r="AB1316" s="64" t="str">
        <f>IF(AC1316&lt;&gt;0,VLOOKUP(AC1316,DM_DUAN,3,0),"")</f>
        <v/>
      </c>
      <c r="AC1316" s="85"/>
      <c r="AD1316" s="64" t="str">
        <f>IF(AC1316&lt;&gt;0,VLOOKUP(AC1316,DM_NV,2,0),"")</f>
        <v/>
      </c>
      <c r="AE1316" s="68"/>
      <c r="AF1316" s="64" t="str">
        <f>IF(AE1316&lt;&gt;0,VLOOKUP(AE1316,DM_NV,2,0),"")</f>
        <v/>
      </c>
    </row>
    <row r="1317">
      <c r="A1317" s="51"/>
      <c r="B1317" s="52" t="str">
        <f>IF(D1317="","",VLOOKUP(D1317,'THAM CHIẾU'!$A:$B,2,0))</f>
        <v>#N/A</v>
      </c>
      <c r="C1317" s="53" t="str">
        <f t="shared" si="11"/>
        <v>05/2022</v>
      </c>
      <c r="D1317" s="99">
        <v>44712.0</v>
      </c>
      <c r="E1317" s="141" t="s">
        <v>1282</v>
      </c>
      <c r="F1317" s="142"/>
      <c r="G1317" s="57" t="s">
        <v>326</v>
      </c>
      <c r="H1317" s="58" t="str">
        <f>IF(G1317="","",VLOOKUP($G1317,'Quy chuẩn hạch toán'!$B:$E,2,0))</f>
        <v>911</v>
      </c>
      <c r="I1317" s="58" t="str">
        <f>IF(H1317="","",VLOOKUP($G1317,'Quy chuẩn hạch toán'!$B:$E,3,0))</f>
        <v>632</v>
      </c>
      <c r="J1317" s="95"/>
      <c r="K1317" s="60"/>
      <c r="L1317" s="61"/>
      <c r="M1317" s="62"/>
      <c r="N1317" s="63"/>
      <c r="O1317" s="64" t="str">
        <f>IF($Q1317&lt;&gt;0,VLOOKUP($Q1317,DM_KM,3,0),"")</f>
        <v/>
      </c>
      <c r="P1317" s="64" t="str">
        <f>IF($Q1317&lt;&gt;0,VLOOKUP($Q1317,DM_KM,5,0),"")</f>
        <v/>
      </c>
      <c r="Q1317" s="89"/>
      <c r="R1317" s="64" t="str">
        <f>IF(S1317&lt;&gt;0,VLOOKUP(S1317,DM_DUAN,3,0),"")</f>
        <v>#N/A</v>
      </c>
      <c r="S1317" s="66" t="str">
        <f>IF(U1317&lt;&gt;0,VLOOKUP(U1317,DM_DUAN,3,0),"")</f>
        <v/>
      </c>
      <c r="T1317" s="64"/>
      <c r="U1317" s="93"/>
      <c r="V1317" s="64" t="str">
        <f>IF(W1317&lt;&gt;0,VLOOKUP(W1317,DM_DUAN,3,0),"")</f>
        <v/>
      </c>
      <c r="W1317" s="68"/>
      <c r="X1317" s="64" t="str">
        <f>IF(Y1317&lt;&gt;0,VLOOKUP(Y1317,DM_DUAN,3,0),"")</f>
        <v/>
      </c>
      <c r="Y1317" s="84"/>
      <c r="Z1317" s="64" t="str">
        <f>IF(AA1317&lt;&gt;0,VLOOKUP(AA1317,DM_DUAN,3,0),"")</f>
        <v>#N/A</v>
      </c>
      <c r="AA1317" s="70" t="s">
        <v>1266</v>
      </c>
      <c r="AB1317" s="64" t="str">
        <f>IF(AC1317&lt;&gt;0,VLOOKUP(AC1317,DM_DUAN,3,0),"")</f>
        <v/>
      </c>
      <c r="AC1317" s="85"/>
      <c r="AD1317" s="64" t="str">
        <f>IF(AC1317&lt;&gt;0,VLOOKUP(AC1317,DM_NV,2,0),"")</f>
        <v/>
      </c>
      <c r="AE1317" s="68"/>
      <c r="AF1317" s="64" t="str">
        <f>IF(AE1317&lt;&gt;0,VLOOKUP(AE1317,DM_NV,2,0),"")</f>
        <v/>
      </c>
    </row>
    <row r="1318">
      <c r="A1318" s="51"/>
      <c r="B1318" s="52" t="str">
        <f>IF(D1318="","",VLOOKUP(D1318,'THAM CHIẾU'!$A:$B,2,0))</f>
        <v>#N/A</v>
      </c>
      <c r="C1318" s="53" t="str">
        <f t="shared" si="11"/>
        <v>05/2022</v>
      </c>
      <c r="D1318" s="99">
        <v>44712.0</v>
      </c>
      <c r="E1318" s="55" t="s">
        <v>1283</v>
      </c>
      <c r="F1318" s="56"/>
      <c r="G1318" s="57" t="s">
        <v>321</v>
      </c>
      <c r="H1318" s="58" t="str">
        <f>IF(G1318="","",VLOOKUP($G1318,'Quy chuẩn hạch toán'!$B:$E,2,0))</f>
        <v>911</v>
      </c>
      <c r="I1318" s="58" t="str">
        <f>IF(H1318="","",VLOOKUP($G1318,'Quy chuẩn hạch toán'!$B:$E,3,0))</f>
        <v>641</v>
      </c>
      <c r="J1318" s="59">
        <v>1.19026153E8</v>
      </c>
      <c r="K1318" s="60"/>
      <c r="L1318" s="61"/>
      <c r="M1318" s="62"/>
      <c r="N1318" s="63"/>
      <c r="O1318" s="64" t="str">
        <f>IF($Q1318&lt;&gt;0,VLOOKUP($Q1318,DM_KM,3,0),"")</f>
        <v/>
      </c>
      <c r="P1318" s="64" t="str">
        <f>IF($Q1318&lt;&gt;0,VLOOKUP($Q1318,DM_KM,5,0),"")</f>
        <v/>
      </c>
      <c r="Q1318" s="89"/>
      <c r="R1318" s="64" t="str">
        <f>IF(S1318&lt;&gt;0,VLOOKUP(S1318,DM_DUAN,3,0),"")</f>
        <v>#N/A</v>
      </c>
      <c r="S1318" s="66" t="str">
        <f>IF(U1318&lt;&gt;0,VLOOKUP(U1318,DM_DUAN,3,0),"")</f>
        <v/>
      </c>
      <c r="T1318" s="64"/>
      <c r="U1318" s="93"/>
      <c r="V1318" s="64" t="str">
        <f>IF(W1318&lt;&gt;0,VLOOKUP(W1318,DM_DUAN,3,0),"")</f>
        <v/>
      </c>
      <c r="W1318" s="68"/>
      <c r="X1318" s="64" t="str">
        <f>IF(Y1318&lt;&gt;0,VLOOKUP(Y1318,DM_DUAN,3,0),"")</f>
        <v/>
      </c>
      <c r="Y1318" s="84"/>
      <c r="Z1318" s="64" t="str">
        <f>IF(AA1318&lt;&gt;0,VLOOKUP(AA1318,DM_DUAN,3,0),"")</f>
        <v>#N/A</v>
      </c>
      <c r="AA1318" s="70" t="s">
        <v>183</v>
      </c>
      <c r="AB1318" s="64" t="str">
        <f>IF(AC1318&lt;&gt;0,VLOOKUP(AC1318,DM_DUAN,3,0),"")</f>
        <v/>
      </c>
      <c r="AC1318" s="85"/>
      <c r="AD1318" s="64" t="str">
        <f>IF(AC1318&lt;&gt;0,VLOOKUP(AC1318,DM_NV,2,0),"")</f>
        <v/>
      </c>
      <c r="AE1318" s="68"/>
      <c r="AF1318" s="64" t="str">
        <f>IF(AE1318&lt;&gt;0,VLOOKUP(AE1318,DM_NV,2,0),"")</f>
        <v/>
      </c>
    </row>
    <row r="1319">
      <c r="A1319" s="51"/>
      <c r="B1319" s="52" t="str">
        <f>IF(D1319="","",VLOOKUP(D1319,'THAM CHIẾU'!$A:$B,2,0))</f>
        <v>#N/A</v>
      </c>
      <c r="C1319" s="53" t="str">
        <f t="shared" si="11"/>
        <v>05/2022</v>
      </c>
      <c r="D1319" s="99">
        <v>44712.0</v>
      </c>
      <c r="E1319" s="55" t="s">
        <v>1284</v>
      </c>
      <c r="F1319" s="56"/>
      <c r="G1319" s="57" t="s">
        <v>321</v>
      </c>
      <c r="H1319" s="58" t="str">
        <f>IF(G1319="","",VLOOKUP($G1319,'Quy chuẩn hạch toán'!$B:$E,2,0))</f>
        <v>911</v>
      </c>
      <c r="I1319" s="58" t="str">
        <f>IF(H1319="","",VLOOKUP($G1319,'Quy chuẩn hạch toán'!$B:$E,3,0))</f>
        <v>641</v>
      </c>
      <c r="J1319" s="59">
        <v>1.40897754E8</v>
      </c>
      <c r="K1319" s="60"/>
      <c r="L1319" s="61"/>
      <c r="M1319" s="62"/>
      <c r="N1319" s="63"/>
      <c r="O1319" s="64" t="str">
        <f>IF($Q1319&lt;&gt;0,VLOOKUP($Q1319,DM_KM,3,0),"")</f>
        <v/>
      </c>
      <c r="P1319" s="64" t="str">
        <f>IF($Q1319&lt;&gt;0,VLOOKUP($Q1319,DM_KM,5,0),"")</f>
        <v/>
      </c>
      <c r="Q1319" s="89"/>
      <c r="R1319" s="64" t="str">
        <f>IF(S1319&lt;&gt;0,VLOOKUP(S1319,DM_DUAN,3,0),"")</f>
        <v>#N/A</v>
      </c>
      <c r="S1319" s="66" t="str">
        <f>IF(U1319&lt;&gt;0,VLOOKUP(U1319,DM_DUAN,3,0),"")</f>
        <v/>
      </c>
      <c r="T1319" s="64"/>
      <c r="U1319" s="93"/>
      <c r="V1319" s="64" t="str">
        <f>IF(W1319&lt;&gt;0,VLOOKUP(W1319,DM_DUAN,3,0),"")</f>
        <v/>
      </c>
      <c r="W1319" s="68"/>
      <c r="X1319" s="64" t="str">
        <f>IF(Y1319&lt;&gt;0,VLOOKUP(Y1319,DM_DUAN,3,0),"")</f>
        <v/>
      </c>
      <c r="Y1319" s="84"/>
      <c r="Z1319" s="64" t="str">
        <f>IF(AA1319&lt;&gt;0,VLOOKUP(AA1319,DM_DUAN,3,0),"")</f>
        <v>#N/A</v>
      </c>
      <c r="AA1319" s="70" t="s">
        <v>177</v>
      </c>
      <c r="AB1319" s="64" t="str">
        <f>IF(AC1319&lt;&gt;0,VLOOKUP(AC1319,DM_DUAN,3,0),"")</f>
        <v/>
      </c>
      <c r="AC1319" s="85"/>
      <c r="AD1319" s="64" t="str">
        <f>IF(AC1319&lt;&gt;0,VLOOKUP(AC1319,DM_NV,2,0),"")</f>
        <v/>
      </c>
      <c r="AE1319" s="68"/>
      <c r="AF1319" s="64" t="str">
        <f>IF(AE1319&lt;&gt;0,VLOOKUP(AE1319,DM_NV,2,0),"")</f>
        <v/>
      </c>
    </row>
    <row r="1320">
      <c r="A1320" s="51"/>
      <c r="B1320" s="52" t="str">
        <f>IF(D1320="","",VLOOKUP(D1320,'THAM CHIẾU'!$A:$B,2,0))</f>
        <v>#N/A</v>
      </c>
      <c r="C1320" s="53" t="str">
        <f t="shared" si="11"/>
        <v>05/2022</v>
      </c>
      <c r="D1320" s="99">
        <v>44712.0</v>
      </c>
      <c r="E1320" s="55" t="s">
        <v>1285</v>
      </c>
      <c r="F1320" s="56"/>
      <c r="G1320" s="57" t="s">
        <v>321</v>
      </c>
      <c r="H1320" s="58" t="str">
        <f>IF(G1320="","",VLOOKUP($G1320,'Quy chuẩn hạch toán'!$B:$E,2,0))</f>
        <v>911</v>
      </c>
      <c r="I1320" s="58" t="str">
        <f>IF(H1320="","",VLOOKUP($G1320,'Quy chuẩn hạch toán'!$B:$E,3,0))</f>
        <v>641</v>
      </c>
      <c r="J1320" s="59">
        <v>5.7874462E7</v>
      </c>
      <c r="K1320" s="60"/>
      <c r="L1320" s="61"/>
      <c r="M1320" s="62"/>
      <c r="N1320" s="63"/>
      <c r="O1320" s="64" t="str">
        <f>IF($Q1320&lt;&gt;0,VLOOKUP($Q1320,DM_KM,3,0),"")</f>
        <v/>
      </c>
      <c r="P1320" s="64" t="str">
        <f>IF($Q1320&lt;&gt;0,VLOOKUP($Q1320,DM_KM,5,0),"")</f>
        <v/>
      </c>
      <c r="Q1320" s="89"/>
      <c r="R1320" s="64" t="str">
        <f>IF(S1320&lt;&gt;0,VLOOKUP(S1320,DM_DUAN,3,0),"")</f>
        <v>#N/A</v>
      </c>
      <c r="S1320" s="66" t="str">
        <f>IF(U1320&lt;&gt;0,VLOOKUP(U1320,DM_DUAN,3,0),"")</f>
        <v/>
      </c>
      <c r="T1320" s="64"/>
      <c r="U1320" s="93"/>
      <c r="V1320" s="64" t="str">
        <f>IF(W1320&lt;&gt;0,VLOOKUP(W1320,DM_DUAN,3,0),"")</f>
        <v/>
      </c>
      <c r="W1320" s="68"/>
      <c r="X1320" s="64" t="str">
        <f>IF(Y1320&lt;&gt;0,VLOOKUP(Y1320,DM_DUAN,3,0),"")</f>
        <v/>
      </c>
      <c r="Y1320" s="84"/>
      <c r="Z1320" s="64" t="str">
        <f>IF(AA1320&lt;&gt;0,VLOOKUP(AA1320,DM_DUAN,3,0),"")</f>
        <v>#N/A</v>
      </c>
      <c r="AA1320" s="70" t="s">
        <v>210</v>
      </c>
      <c r="AB1320" s="64" t="str">
        <f>IF(AC1320&lt;&gt;0,VLOOKUP(AC1320,DM_DUAN,3,0),"")</f>
        <v/>
      </c>
      <c r="AC1320" s="85"/>
      <c r="AD1320" s="64" t="str">
        <f>IF(AC1320&lt;&gt;0,VLOOKUP(AC1320,DM_NV,2,0),"")</f>
        <v/>
      </c>
      <c r="AE1320" s="68"/>
      <c r="AF1320" s="64" t="str">
        <f>IF(AE1320&lt;&gt;0,VLOOKUP(AE1320,DM_NV,2,0),"")</f>
        <v/>
      </c>
    </row>
    <row r="1321">
      <c r="A1321" s="51"/>
      <c r="B1321" s="52" t="str">
        <f>IF(D1321="","",VLOOKUP(D1321,'THAM CHIẾU'!$A:$B,2,0))</f>
        <v>#N/A</v>
      </c>
      <c r="C1321" s="53" t="str">
        <f t="shared" si="11"/>
        <v>05/2022</v>
      </c>
      <c r="D1321" s="99">
        <v>44712.0</v>
      </c>
      <c r="E1321" s="55" t="s">
        <v>1286</v>
      </c>
      <c r="F1321" s="56"/>
      <c r="G1321" s="57" t="s">
        <v>321</v>
      </c>
      <c r="H1321" s="58" t="str">
        <f>IF(G1321="","",VLOOKUP($G1321,'Quy chuẩn hạch toán'!$B:$E,2,0))</f>
        <v>911</v>
      </c>
      <c r="I1321" s="58" t="str">
        <f>IF(H1321="","",VLOOKUP($G1321,'Quy chuẩn hạch toán'!$B:$E,3,0))</f>
        <v>641</v>
      </c>
      <c r="J1321" s="59">
        <v>6.1415462E7</v>
      </c>
      <c r="K1321" s="60"/>
      <c r="L1321" s="61"/>
      <c r="M1321" s="62"/>
      <c r="N1321" s="63"/>
      <c r="O1321" s="64" t="str">
        <f>IF($Q1321&lt;&gt;0,VLOOKUP($Q1321,DM_KM,3,0),"")</f>
        <v/>
      </c>
      <c r="P1321" s="64" t="str">
        <f>IF($Q1321&lt;&gt;0,VLOOKUP($Q1321,DM_KM,5,0),"")</f>
        <v/>
      </c>
      <c r="Q1321" s="89"/>
      <c r="R1321" s="64" t="str">
        <f>IF(S1321&lt;&gt;0,VLOOKUP(S1321,DM_DUAN,3,0),"")</f>
        <v>#N/A</v>
      </c>
      <c r="S1321" s="66" t="str">
        <f>IF(U1321&lt;&gt;0,VLOOKUP(U1321,DM_DUAN,3,0),"")</f>
        <v/>
      </c>
      <c r="T1321" s="64"/>
      <c r="U1321" s="93"/>
      <c r="V1321" s="64" t="str">
        <f>IF(W1321&lt;&gt;0,VLOOKUP(W1321,DM_DUAN,3,0),"")</f>
        <v/>
      </c>
      <c r="W1321" s="68"/>
      <c r="X1321" s="64" t="str">
        <f>IF(Y1321&lt;&gt;0,VLOOKUP(Y1321,DM_DUAN,3,0),"")</f>
        <v/>
      </c>
      <c r="Y1321" s="84"/>
      <c r="Z1321" s="64" t="str">
        <f>IF(AA1321&lt;&gt;0,VLOOKUP(AA1321,DM_DUAN,3,0),"")</f>
        <v>#N/A</v>
      </c>
      <c r="AA1321" s="70" t="s">
        <v>705</v>
      </c>
      <c r="AB1321" s="64" t="str">
        <f>IF(AC1321&lt;&gt;0,VLOOKUP(AC1321,DM_DUAN,3,0),"")</f>
        <v/>
      </c>
      <c r="AC1321" s="85"/>
      <c r="AD1321" s="64" t="str">
        <f>IF(AC1321&lt;&gt;0,VLOOKUP(AC1321,DM_NV,2,0),"")</f>
        <v/>
      </c>
      <c r="AE1321" s="68"/>
      <c r="AF1321" s="64" t="str">
        <f>IF(AE1321&lt;&gt;0,VLOOKUP(AE1321,DM_NV,2,0),"")</f>
        <v/>
      </c>
    </row>
    <row r="1322">
      <c r="A1322" s="51"/>
      <c r="B1322" s="52" t="str">
        <f>IF(D1322="","",VLOOKUP(D1322,'THAM CHIẾU'!$A:$B,2,0))</f>
        <v>#N/A</v>
      </c>
      <c r="C1322" s="53" t="str">
        <f t="shared" si="11"/>
        <v>05/2022</v>
      </c>
      <c r="D1322" s="99">
        <v>44712.0</v>
      </c>
      <c r="E1322" s="55" t="s">
        <v>1287</v>
      </c>
      <c r="F1322" s="56"/>
      <c r="G1322" s="57" t="s">
        <v>321</v>
      </c>
      <c r="H1322" s="58" t="str">
        <f>IF(G1322="","",VLOOKUP($G1322,'Quy chuẩn hạch toán'!$B:$E,2,0))</f>
        <v>911</v>
      </c>
      <c r="I1322" s="58" t="str">
        <f>IF(H1322="","",VLOOKUP($G1322,'Quy chuẩn hạch toán'!$B:$E,3,0))</f>
        <v>641</v>
      </c>
      <c r="J1322" s="59">
        <v>9707692.0</v>
      </c>
      <c r="K1322" s="60"/>
      <c r="L1322" s="61"/>
      <c r="M1322" s="62"/>
      <c r="N1322" s="63"/>
      <c r="O1322" s="64" t="str">
        <f>IF($Q1322&lt;&gt;0,VLOOKUP($Q1322,DM_KM,3,0),"")</f>
        <v/>
      </c>
      <c r="P1322" s="64" t="str">
        <f>IF($Q1322&lt;&gt;0,VLOOKUP($Q1322,DM_KM,5,0),"")</f>
        <v/>
      </c>
      <c r="Q1322" s="89"/>
      <c r="R1322" s="64" t="str">
        <f>IF(S1322&lt;&gt;0,VLOOKUP(S1322,DM_DUAN,3,0),"")</f>
        <v>#N/A</v>
      </c>
      <c r="S1322" s="66" t="str">
        <f>IF(U1322&lt;&gt;0,VLOOKUP(U1322,DM_DUAN,3,0),"")</f>
        <v/>
      </c>
      <c r="T1322" s="64"/>
      <c r="U1322" s="93"/>
      <c r="V1322" s="64" t="str">
        <f>IF(W1322&lt;&gt;0,VLOOKUP(W1322,DM_DUAN,3,0),"")</f>
        <v/>
      </c>
      <c r="W1322" s="68"/>
      <c r="X1322" s="64" t="str">
        <f>IF(Y1322&lt;&gt;0,VLOOKUP(Y1322,DM_DUAN,3,0),"")</f>
        <v/>
      </c>
      <c r="Y1322" s="84"/>
      <c r="Z1322" s="64" t="str">
        <f>IF(AA1322&lt;&gt;0,VLOOKUP(AA1322,DM_DUAN,3,0),"")</f>
        <v>#N/A</v>
      </c>
      <c r="AA1322" s="70" t="s">
        <v>1266</v>
      </c>
      <c r="AB1322" s="64" t="str">
        <f>IF(AC1322&lt;&gt;0,VLOOKUP(AC1322,DM_DUAN,3,0),"")</f>
        <v/>
      </c>
      <c r="AC1322" s="85"/>
      <c r="AD1322" s="64" t="str">
        <f>IF(AC1322&lt;&gt;0,VLOOKUP(AC1322,DM_NV,2,0),"")</f>
        <v/>
      </c>
      <c r="AE1322" s="68"/>
      <c r="AF1322" s="64" t="str">
        <f>IF(AE1322&lt;&gt;0,VLOOKUP(AE1322,DM_NV,2,0),"")</f>
        <v/>
      </c>
    </row>
    <row r="1323">
      <c r="A1323" s="51"/>
      <c r="B1323" s="52" t="str">
        <f>IF(D1323="","",VLOOKUP(D1323,'THAM CHIẾU'!$A:$B,2,0))</f>
        <v>#N/A</v>
      </c>
      <c r="C1323" s="53" t="str">
        <f t="shared" si="11"/>
        <v>05/2022</v>
      </c>
      <c r="D1323" s="99">
        <v>44712.0</v>
      </c>
      <c r="E1323" s="55" t="s">
        <v>1288</v>
      </c>
      <c r="F1323" s="56"/>
      <c r="G1323" s="57" t="s">
        <v>316</v>
      </c>
      <c r="H1323" s="58" t="str">
        <f>IF(G1323="","",VLOOKUP($G1323,'Quy chuẩn hạch toán'!$B:$E,2,0))</f>
        <v>911</v>
      </c>
      <c r="I1323" s="58" t="str">
        <f>IF(H1323="","",VLOOKUP($G1323,'Quy chuẩn hạch toán'!$B:$E,3,0))</f>
        <v>642</v>
      </c>
      <c r="J1323" s="59">
        <v>7.1602319E7</v>
      </c>
      <c r="K1323" s="60"/>
      <c r="L1323" s="61"/>
      <c r="M1323" s="62"/>
      <c r="N1323" s="63"/>
      <c r="O1323" s="64" t="str">
        <f>IF($Q1323&lt;&gt;0,VLOOKUP($Q1323,DM_KM,3,0),"")</f>
        <v/>
      </c>
      <c r="P1323" s="64" t="str">
        <f>IF($Q1323&lt;&gt;0,VLOOKUP($Q1323,DM_KM,5,0),"")</f>
        <v/>
      </c>
      <c r="Q1323" s="89"/>
      <c r="R1323" s="64" t="str">
        <f>IF(S1323&lt;&gt;0,VLOOKUP(S1323,DM_DUAN,3,0),"")</f>
        <v>#N/A</v>
      </c>
      <c r="S1323" s="66" t="str">
        <f>IF(U1323&lt;&gt;0,VLOOKUP(U1323,DM_DUAN,3,0),"")</f>
        <v/>
      </c>
      <c r="T1323" s="64"/>
      <c r="U1323" s="93"/>
      <c r="V1323" s="64" t="str">
        <f>IF(W1323&lt;&gt;0,VLOOKUP(W1323,DM_DUAN,3,0),"")</f>
        <v/>
      </c>
      <c r="W1323" s="68"/>
      <c r="X1323" s="64" t="str">
        <f>IF(Y1323&lt;&gt;0,VLOOKUP(Y1323,DM_DUAN,3,0),"")</f>
        <v/>
      </c>
      <c r="Y1323" s="84"/>
      <c r="Z1323" s="64" t="str">
        <f>IF(AA1323&lt;&gt;0,VLOOKUP(AA1323,DM_DUAN,3,0),"")</f>
        <v>#N/A</v>
      </c>
      <c r="AA1323" s="70" t="s">
        <v>183</v>
      </c>
      <c r="AB1323" s="64" t="str">
        <f>IF(AC1323&lt;&gt;0,VLOOKUP(AC1323,DM_DUAN,3,0),"")</f>
        <v/>
      </c>
      <c r="AC1323" s="85"/>
      <c r="AD1323" s="64" t="str">
        <f>IF(AC1323&lt;&gt;0,VLOOKUP(AC1323,DM_NV,2,0),"")</f>
        <v/>
      </c>
      <c r="AE1323" s="68"/>
      <c r="AF1323" s="64" t="str">
        <f>IF(AE1323&lt;&gt;0,VLOOKUP(AE1323,DM_NV,2,0),"")</f>
        <v/>
      </c>
    </row>
    <row r="1324">
      <c r="A1324" s="51"/>
      <c r="B1324" s="52" t="str">
        <f>IF(D1324="","",VLOOKUP(D1324,'THAM CHIẾU'!$A:$B,2,0))</f>
        <v>#N/A</v>
      </c>
      <c r="C1324" s="53" t="str">
        <f t="shared" si="11"/>
        <v>05/2022</v>
      </c>
      <c r="D1324" s="99">
        <v>44712.0</v>
      </c>
      <c r="E1324" s="55" t="s">
        <v>1289</v>
      </c>
      <c r="F1324" s="56"/>
      <c r="G1324" s="57" t="s">
        <v>316</v>
      </c>
      <c r="H1324" s="58" t="str">
        <f>IF(G1324="","",VLOOKUP($G1324,'Quy chuẩn hạch toán'!$B:$E,2,0))</f>
        <v>911</v>
      </c>
      <c r="I1324" s="58" t="str">
        <f>IF(H1324="","",VLOOKUP($G1324,'Quy chuẩn hạch toán'!$B:$E,3,0))</f>
        <v>642</v>
      </c>
      <c r="J1324" s="59">
        <v>6.5865653E7</v>
      </c>
      <c r="K1324" s="60"/>
      <c r="L1324" s="61"/>
      <c r="M1324" s="62"/>
      <c r="N1324" s="63"/>
      <c r="O1324" s="64" t="str">
        <f>IF($Q1324&lt;&gt;0,VLOOKUP($Q1324,DM_KM,3,0),"")</f>
        <v/>
      </c>
      <c r="P1324" s="64" t="str">
        <f>IF($Q1324&lt;&gt;0,VLOOKUP($Q1324,DM_KM,5,0),"")</f>
        <v/>
      </c>
      <c r="Q1324" s="89"/>
      <c r="R1324" s="64" t="str">
        <f>IF(S1324&lt;&gt;0,VLOOKUP(S1324,DM_DUAN,3,0),"")</f>
        <v>#N/A</v>
      </c>
      <c r="S1324" s="66" t="str">
        <f>IF(U1324&lt;&gt;0,VLOOKUP(U1324,DM_DUAN,3,0),"")</f>
        <v/>
      </c>
      <c r="T1324" s="64"/>
      <c r="U1324" s="93"/>
      <c r="V1324" s="64" t="str">
        <f>IF(W1324&lt;&gt;0,VLOOKUP(W1324,DM_DUAN,3,0),"")</f>
        <v/>
      </c>
      <c r="W1324" s="68"/>
      <c r="X1324" s="64" t="str">
        <f>IF(Y1324&lt;&gt;0,VLOOKUP(Y1324,DM_DUAN,3,0),"")</f>
        <v/>
      </c>
      <c r="Y1324" s="84"/>
      <c r="Z1324" s="64" t="str">
        <f>IF(AA1324&lt;&gt;0,VLOOKUP(AA1324,DM_DUAN,3,0),"")</f>
        <v>#N/A</v>
      </c>
      <c r="AA1324" s="70" t="s">
        <v>177</v>
      </c>
      <c r="AB1324" s="64" t="str">
        <f>IF(AC1324&lt;&gt;0,VLOOKUP(AC1324,DM_DUAN,3,0),"")</f>
        <v/>
      </c>
      <c r="AC1324" s="85"/>
      <c r="AD1324" s="64" t="str">
        <f>IF(AC1324&lt;&gt;0,VLOOKUP(AC1324,DM_NV,2,0),"")</f>
        <v/>
      </c>
      <c r="AE1324" s="68"/>
      <c r="AF1324" s="64" t="str">
        <f>IF(AE1324&lt;&gt;0,VLOOKUP(AE1324,DM_NV,2,0),"")</f>
        <v/>
      </c>
    </row>
    <row r="1325">
      <c r="A1325" s="51"/>
      <c r="B1325" s="52" t="str">
        <f>IF(D1325="","",VLOOKUP(D1325,'THAM CHIẾU'!$A:$B,2,0))</f>
        <v>#N/A</v>
      </c>
      <c r="C1325" s="53" t="str">
        <f t="shared" si="11"/>
        <v>05/2022</v>
      </c>
      <c r="D1325" s="99">
        <v>44712.0</v>
      </c>
      <c r="E1325" s="55" t="s">
        <v>1290</v>
      </c>
      <c r="F1325" s="56"/>
      <c r="G1325" s="57" t="s">
        <v>316</v>
      </c>
      <c r="H1325" s="58" t="str">
        <f>IF(G1325="","",VLOOKUP($G1325,'Quy chuẩn hạch toán'!$B:$E,2,0))</f>
        <v>911</v>
      </c>
      <c r="I1325" s="58" t="str">
        <f>IF(H1325="","",VLOOKUP($G1325,'Quy chuẩn hạch toán'!$B:$E,3,0))</f>
        <v>642</v>
      </c>
      <c r="J1325" s="59">
        <v>3.1028189E7</v>
      </c>
      <c r="K1325" s="60"/>
      <c r="L1325" s="61"/>
      <c r="M1325" s="62"/>
      <c r="N1325" s="63"/>
      <c r="O1325" s="64" t="str">
        <f>IF($Q1325&lt;&gt;0,VLOOKUP($Q1325,DM_KM,3,0),"")</f>
        <v/>
      </c>
      <c r="P1325" s="64" t="str">
        <f>IF($Q1325&lt;&gt;0,VLOOKUP($Q1325,DM_KM,5,0),"")</f>
        <v/>
      </c>
      <c r="Q1325" s="89"/>
      <c r="R1325" s="64" t="str">
        <f>IF(S1325&lt;&gt;0,VLOOKUP(S1325,DM_DUAN,3,0),"")</f>
        <v>#N/A</v>
      </c>
      <c r="S1325" s="66" t="str">
        <f>IF(U1325&lt;&gt;0,VLOOKUP(U1325,DM_DUAN,3,0),"")</f>
        <v/>
      </c>
      <c r="T1325" s="64"/>
      <c r="U1325" s="93"/>
      <c r="V1325" s="64" t="str">
        <f>IF(W1325&lt;&gt;0,VLOOKUP(W1325,DM_DUAN,3,0),"")</f>
        <v/>
      </c>
      <c r="W1325" s="68"/>
      <c r="X1325" s="64" t="str">
        <f>IF(Y1325&lt;&gt;0,VLOOKUP(Y1325,DM_DUAN,3,0),"")</f>
        <v/>
      </c>
      <c r="Y1325" s="84"/>
      <c r="Z1325" s="64" t="str">
        <f>IF(AA1325&lt;&gt;0,VLOOKUP(AA1325,DM_DUAN,3,0),"")</f>
        <v>#N/A</v>
      </c>
      <c r="AA1325" s="70" t="s">
        <v>210</v>
      </c>
      <c r="AB1325" s="64" t="str">
        <f>IF(AC1325&lt;&gt;0,VLOOKUP(AC1325,DM_DUAN,3,0),"")</f>
        <v/>
      </c>
      <c r="AC1325" s="85"/>
      <c r="AD1325" s="64" t="str">
        <f>IF(AC1325&lt;&gt;0,VLOOKUP(AC1325,DM_NV,2,0),"")</f>
        <v/>
      </c>
      <c r="AE1325" s="68"/>
      <c r="AF1325" s="64" t="str">
        <f>IF(AE1325&lt;&gt;0,VLOOKUP(AE1325,DM_NV,2,0),"")</f>
        <v/>
      </c>
    </row>
    <row r="1326">
      <c r="A1326" s="51"/>
      <c r="B1326" s="52" t="str">
        <f>IF(D1326="","",VLOOKUP(D1326,'THAM CHIẾU'!$A:$B,2,0))</f>
        <v>#N/A</v>
      </c>
      <c r="C1326" s="53" t="str">
        <f t="shared" si="11"/>
        <v>05/2022</v>
      </c>
      <c r="D1326" s="99">
        <v>44712.0</v>
      </c>
      <c r="E1326" s="55" t="s">
        <v>1291</v>
      </c>
      <c r="F1326" s="56"/>
      <c r="G1326" s="57" t="s">
        <v>316</v>
      </c>
      <c r="H1326" s="58" t="str">
        <f>IF(G1326="","",VLOOKUP($G1326,'Quy chuẩn hạch toán'!$B:$E,2,0))</f>
        <v>911</v>
      </c>
      <c r="I1326" s="58" t="str">
        <f>IF(H1326="","",VLOOKUP($G1326,'Quy chuẩn hạch toán'!$B:$E,3,0))</f>
        <v>642</v>
      </c>
      <c r="J1326" s="59">
        <v>3.8357619E7</v>
      </c>
      <c r="K1326" s="60"/>
      <c r="L1326" s="61"/>
      <c r="M1326" s="62"/>
      <c r="N1326" s="63"/>
      <c r="O1326" s="64" t="str">
        <f>IF($Q1326&lt;&gt;0,VLOOKUP($Q1326,DM_KM,3,0),"")</f>
        <v/>
      </c>
      <c r="P1326" s="64" t="str">
        <f>IF($Q1326&lt;&gt;0,VLOOKUP($Q1326,DM_KM,5,0),"")</f>
        <v/>
      </c>
      <c r="Q1326" s="89"/>
      <c r="R1326" s="64" t="str">
        <f>IF(S1326&lt;&gt;0,VLOOKUP(S1326,DM_DUAN,3,0),"")</f>
        <v>#N/A</v>
      </c>
      <c r="S1326" s="66" t="str">
        <f>IF(U1326&lt;&gt;0,VLOOKUP(U1326,DM_DUAN,3,0),"")</f>
        <v/>
      </c>
      <c r="T1326" s="64"/>
      <c r="U1326" s="93"/>
      <c r="V1326" s="64" t="str">
        <f>IF(W1326&lt;&gt;0,VLOOKUP(W1326,DM_DUAN,3,0),"")</f>
        <v/>
      </c>
      <c r="W1326" s="68"/>
      <c r="X1326" s="64" t="str">
        <f>IF(Y1326&lt;&gt;0,VLOOKUP(Y1326,DM_DUAN,3,0),"")</f>
        <v/>
      </c>
      <c r="Y1326" s="84"/>
      <c r="Z1326" s="64" t="str">
        <f>IF(AA1326&lt;&gt;0,VLOOKUP(AA1326,DM_DUAN,3,0),"")</f>
        <v>#N/A</v>
      </c>
      <c r="AA1326" s="70" t="s">
        <v>705</v>
      </c>
      <c r="AB1326" s="64" t="str">
        <f>IF(AC1326&lt;&gt;0,VLOOKUP(AC1326,DM_DUAN,3,0),"")</f>
        <v/>
      </c>
      <c r="AC1326" s="85"/>
      <c r="AD1326" s="64" t="str">
        <f>IF(AC1326&lt;&gt;0,VLOOKUP(AC1326,DM_NV,2,0),"")</f>
        <v/>
      </c>
      <c r="AE1326" s="68"/>
      <c r="AF1326" s="64" t="str">
        <f>IF(AE1326&lt;&gt;0,VLOOKUP(AE1326,DM_NV,2,0),"")</f>
        <v/>
      </c>
    </row>
    <row r="1327">
      <c r="A1327" s="51"/>
      <c r="B1327" s="52" t="str">
        <f>IF(D1327="","",VLOOKUP(D1327,'THAM CHIẾU'!$A:$B,2,0))</f>
        <v>#N/A</v>
      </c>
      <c r="C1327" s="53" t="str">
        <f t="shared" si="11"/>
        <v>05/2022</v>
      </c>
      <c r="D1327" s="99">
        <v>44712.0</v>
      </c>
      <c r="E1327" s="55" t="s">
        <v>1292</v>
      </c>
      <c r="F1327" s="108"/>
      <c r="G1327" s="109" t="s">
        <v>328</v>
      </c>
      <c r="H1327" s="58" t="str">
        <f>IF(G1327="","",VLOOKUP($G1327,'Quy chuẩn hạch toán'!$B:$E,2,0))</f>
        <v>5113</v>
      </c>
      <c r="I1327" s="58" t="str">
        <f>IF(H1327="","",VLOOKUP($G1327,'Quy chuẩn hạch toán'!$B:$E,3,0))</f>
        <v>911</v>
      </c>
      <c r="J1327" s="59">
        <v>4.02228E8</v>
      </c>
      <c r="K1327" s="60"/>
      <c r="L1327" s="61"/>
      <c r="M1327" s="62"/>
      <c r="N1327" s="63"/>
      <c r="O1327" s="64" t="str">
        <f>IF($Q1327&lt;&gt;0,VLOOKUP($Q1327,DM_KM,3,0),"")</f>
        <v/>
      </c>
      <c r="P1327" s="64" t="str">
        <f>IF($Q1327&lt;&gt;0,VLOOKUP($Q1327,DM_KM,5,0),"")</f>
        <v/>
      </c>
      <c r="Q1327" s="89"/>
      <c r="R1327" s="64" t="str">
        <f>IF(S1327&lt;&gt;0,VLOOKUP(S1327,DM_DUAN,3,0),"")</f>
        <v>#N/A</v>
      </c>
      <c r="S1327" s="66" t="str">
        <f>IF(U1327&lt;&gt;0,VLOOKUP(U1327,DM_DUAN,3,0),"")</f>
        <v/>
      </c>
      <c r="T1327" s="64"/>
      <c r="U1327" s="93"/>
      <c r="V1327" s="64" t="str">
        <f>IF(W1327&lt;&gt;0,VLOOKUP(W1327,DM_DUAN,3,0),"")</f>
        <v/>
      </c>
      <c r="W1327" s="68"/>
      <c r="X1327" s="64" t="str">
        <f>IF(Y1327&lt;&gt;0,VLOOKUP(Y1327,DM_DUAN,3,0),"")</f>
        <v/>
      </c>
      <c r="Y1327" s="84"/>
      <c r="Z1327" s="64" t="str">
        <f>IF(AA1327&lt;&gt;0,VLOOKUP(AA1327,DM_DUAN,3,0),"")</f>
        <v>#N/A</v>
      </c>
      <c r="AA1327" s="70" t="s">
        <v>177</v>
      </c>
      <c r="AB1327" s="64" t="str">
        <f>IF(AC1327&lt;&gt;0,VLOOKUP(AC1327,DM_DUAN,3,0),"")</f>
        <v/>
      </c>
      <c r="AC1327" s="85"/>
      <c r="AD1327" s="64" t="str">
        <f>IF(AC1327&lt;&gt;0,VLOOKUP(AC1327,DM_NV,2,0),"")</f>
        <v/>
      </c>
      <c r="AE1327" s="68"/>
      <c r="AF1327" s="64" t="str">
        <f>IF(AE1327&lt;&gt;0,VLOOKUP(AE1327,DM_NV,2,0),"")</f>
        <v/>
      </c>
    </row>
    <row r="1328">
      <c r="A1328" s="51"/>
      <c r="B1328" s="52" t="str">
        <f>IF(D1328="","",VLOOKUP(D1328,'THAM CHIẾU'!$A:$B,2,0))</f>
        <v>#N/A</v>
      </c>
      <c r="C1328" s="53" t="str">
        <f t="shared" si="11"/>
        <v>05/2022</v>
      </c>
      <c r="D1328" s="99">
        <v>44712.0</v>
      </c>
      <c r="E1328" s="55" t="s">
        <v>1293</v>
      </c>
      <c r="F1328" s="108"/>
      <c r="G1328" s="109" t="s">
        <v>328</v>
      </c>
      <c r="H1328" s="58" t="str">
        <f>IF(G1328="","",VLOOKUP($G1328,'Quy chuẩn hạch toán'!$B:$E,2,0))</f>
        <v>5113</v>
      </c>
      <c r="I1328" s="58" t="str">
        <f>IF(H1328="","",VLOOKUP($G1328,'Quy chuẩn hạch toán'!$B:$E,3,0))</f>
        <v>911</v>
      </c>
      <c r="J1328" s="59">
        <v>1.53344E8</v>
      </c>
      <c r="K1328" s="60"/>
      <c r="L1328" s="61"/>
      <c r="M1328" s="62"/>
      <c r="N1328" s="63"/>
      <c r="O1328" s="64" t="str">
        <f>IF($Q1328&lt;&gt;0,VLOOKUP($Q1328,DM_KM,3,0),"")</f>
        <v/>
      </c>
      <c r="P1328" s="64" t="str">
        <f>IF($Q1328&lt;&gt;0,VLOOKUP($Q1328,DM_KM,5,0),"")</f>
        <v/>
      </c>
      <c r="Q1328" s="89"/>
      <c r="R1328" s="64" t="str">
        <f>IF(S1328&lt;&gt;0,VLOOKUP(S1328,DM_DUAN,3,0),"")</f>
        <v>#N/A</v>
      </c>
      <c r="S1328" s="66" t="str">
        <f>IF(U1328&lt;&gt;0,VLOOKUP(U1328,DM_DUAN,3,0),"")</f>
        <v/>
      </c>
      <c r="T1328" s="64"/>
      <c r="U1328" s="93"/>
      <c r="V1328" s="64" t="str">
        <f>IF(W1328&lt;&gt;0,VLOOKUP(W1328,DM_DUAN,3,0),"")</f>
        <v/>
      </c>
      <c r="W1328" s="68"/>
      <c r="X1328" s="64" t="str">
        <f>IF(Y1328&lt;&gt;0,VLOOKUP(Y1328,DM_DUAN,3,0),"")</f>
        <v/>
      </c>
      <c r="Y1328" s="84"/>
      <c r="Z1328" s="64" t="str">
        <f>IF(AA1328&lt;&gt;0,VLOOKUP(AA1328,DM_DUAN,3,0),"")</f>
        <v>#N/A</v>
      </c>
      <c r="AA1328" s="70" t="s">
        <v>183</v>
      </c>
      <c r="AB1328" s="64" t="str">
        <f>IF(AC1328&lt;&gt;0,VLOOKUP(AC1328,DM_DUAN,3,0),"")</f>
        <v/>
      </c>
      <c r="AC1328" s="85"/>
      <c r="AD1328" s="64" t="str">
        <f>IF(AC1328&lt;&gt;0,VLOOKUP(AC1328,DM_NV,2,0),"")</f>
        <v/>
      </c>
      <c r="AE1328" s="68"/>
      <c r="AF1328" s="64" t="str">
        <f>IF(AE1328&lt;&gt;0,VLOOKUP(AE1328,DM_NV,2,0),"")</f>
        <v/>
      </c>
    </row>
    <row r="1329">
      <c r="A1329" s="51"/>
      <c r="B1329" s="52" t="str">
        <f>IF(D1329="","",VLOOKUP(D1329,'THAM CHIẾU'!$A:$B,2,0))</f>
        <v>#N/A</v>
      </c>
      <c r="C1329" s="53" t="str">
        <f t="shared" si="11"/>
        <v>05/2022</v>
      </c>
      <c r="D1329" s="99">
        <v>44712.0</v>
      </c>
      <c r="E1329" s="55" t="s">
        <v>1294</v>
      </c>
      <c r="F1329" s="56"/>
      <c r="G1329" s="57"/>
      <c r="H1329" s="58" t="str">
        <f>IF(G1329="","",VLOOKUP($G1329,'Quy chuẩn hạch toán'!$B:$E,2,0))</f>
        <v/>
      </c>
      <c r="I1329" s="58" t="str">
        <f>IF(H1329="","",VLOOKUP($G1329,'Quy chuẩn hạch toán'!$B:$E,3,0))</f>
        <v/>
      </c>
      <c r="J1329" s="59">
        <v>4.0673036E7</v>
      </c>
      <c r="K1329" s="60"/>
      <c r="L1329" s="61"/>
      <c r="M1329" s="62"/>
      <c r="N1329" s="63"/>
      <c r="O1329" s="64" t="str">
        <f>IF($Q1329&lt;&gt;0,VLOOKUP($Q1329,DM_KM,3,0),"")</f>
        <v/>
      </c>
      <c r="P1329" s="64" t="str">
        <f>IF($Q1329&lt;&gt;0,VLOOKUP($Q1329,DM_KM,5,0),"")</f>
        <v/>
      </c>
      <c r="Q1329" s="89"/>
      <c r="R1329" s="64" t="str">
        <f>IF(S1329&lt;&gt;0,VLOOKUP(S1329,DM_DUAN,3,0),"")</f>
        <v>#N/A</v>
      </c>
      <c r="S1329" s="66" t="str">
        <f>IF(U1329&lt;&gt;0,VLOOKUP(U1329,DM_DUAN,3,0),"")</f>
        <v/>
      </c>
      <c r="T1329" s="64"/>
      <c r="U1329" s="93"/>
      <c r="V1329" s="64" t="str">
        <f>IF(W1329&lt;&gt;0,VLOOKUP(W1329,DM_DUAN,3,0),"")</f>
        <v/>
      </c>
      <c r="W1329" s="68"/>
      <c r="X1329" s="64" t="str">
        <f>IF(Y1329&lt;&gt;0,VLOOKUP(Y1329,DM_DUAN,3,0),"")</f>
        <v>#N/A</v>
      </c>
      <c r="Y1329" s="69" t="s">
        <v>176</v>
      </c>
      <c r="Z1329" s="64" t="str">
        <f>IF(AA1329&lt;&gt;0,VLOOKUP(AA1329,DM_DUAN,3,0),"")</f>
        <v>#N/A</v>
      </c>
      <c r="AA1329" s="70" t="s">
        <v>210</v>
      </c>
      <c r="AB1329" s="64" t="str">
        <f>IF(AC1329&lt;&gt;0,VLOOKUP(AC1329,DM_DUAN,3,0),"")</f>
        <v>#N/A</v>
      </c>
      <c r="AC1329" s="70" t="s">
        <v>436</v>
      </c>
      <c r="AD1329" s="64" t="str">
        <f>IF(AC1329&lt;&gt;0,VLOOKUP(AC1329,DM_NV,2,0),"")</f>
        <v>Đinh Hoàng Nam</v>
      </c>
      <c r="AE1329" s="68"/>
      <c r="AF1329" s="64" t="str">
        <f>IF(AE1329&lt;&gt;0,VLOOKUP(AE1329,DM_NV,2,0),"")</f>
        <v/>
      </c>
    </row>
    <row r="1330">
      <c r="A1330" s="51"/>
      <c r="B1330" s="52" t="str">
        <f>IF(D1330="","",VLOOKUP(D1330,'THAM CHIẾU'!$A:$B,2,0))</f>
        <v>#N/A</v>
      </c>
      <c r="C1330" s="53" t="str">
        <f t="shared" si="11"/>
        <v>05/2022</v>
      </c>
      <c r="D1330" s="99">
        <v>44712.0</v>
      </c>
      <c r="E1330" s="55" t="s">
        <v>1295</v>
      </c>
      <c r="F1330" s="56"/>
      <c r="G1330" s="57"/>
      <c r="H1330" s="58" t="str">
        <f>IF(G1330="","",VLOOKUP($G1330,'Quy chuẩn hạch toán'!$B:$E,2,0))</f>
        <v/>
      </c>
      <c r="I1330" s="58" t="str">
        <f>IF(H1330="","",VLOOKUP($G1330,'Quy chuẩn hạch toán'!$B:$E,3,0))</f>
        <v/>
      </c>
      <c r="J1330" s="59">
        <v>4.233316E7</v>
      </c>
      <c r="K1330" s="60"/>
      <c r="L1330" s="61"/>
      <c r="M1330" s="62"/>
      <c r="N1330" s="63"/>
      <c r="O1330" s="64" t="str">
        <f>IF($Q1330&lt;&gt;0,VLOOKUP($Q1330,DM_KM,3,0),"")</f>
        <v/>
      </c>
      <c r="P1330" s="64" t="str">
        <f>IF($Q1330&lt;&gt;0,VLOOKUP($Q1330,DM_KM,5,0),"")</f>
        <v/>
      </c>
      <c r="Q1330" s="89"/>
      <c r="R1330" s="64" t="str">
        <f>IF(S1330&lt;&gt;0,VLOOKUP(S1330,DM_DUAN,3,0),"")</f>
        <v>#N/A</v>
      </c>
      <c r="S1330" s="66" t="str">
        <f>IF(U1330&lt;&gt;0,VLOOKUP(U1330,DM_DUAN,3,0),"")</f>
        <v/>
      </c>
      <c r="T1330" s="64"/>
      <c r="U1330" s="93"/>
      <c r="V1330" s="64" t="str">
        <f>IF(W1330&lt;&gt;0,VLOOKUP(W1330,DM_DUAN,3,0),"")</f>
        <v/>
      </c>
      <c r="W1330" s="68"/>
      <c r="X1330" s="64" t="str">
        <f>IF(Y1330&lt;&gt;0,VLOOKUP(Y1330,DM_DUAN,3,0),"")</f>
        <v>#N/A</v>
      </c>
      <c r="Y1330" s="69" t="s">
        <v>176</v>
      </c>
      <c r="Z1330" s="64" t="str">
        <f>IF(AA1330&lt;&gt;0,VLOOKUP(AA1330,DM_DUAN,3,0),"")</f>
        <v>#N/A</v>
      </c>
      <c r="AA1330" s="70" t="s">
        <v>210</v>
      </c>
      <c r="AB1330" s="64" t="str">
        <f>IF(AC1330&lt;&gt;0,VLOOKUP(AC1330,DM_DUAN,3,0),"")</f>
        <v>#N/A</v>
      </c>
      <c r="AC1330" s="70" t="s">
        <v>335</v>
      </c>
      <c r="AD1330" s="64" t="str">
        <f>IF(AC1330&lt;&gt;0,VLOOKUP(AC1330,DM_NV,2,0),"")</f>
        <v>Trần Phước Thành</v>
      </c>
      <c r="AE1330" s="68"/>
      <c r="AF1330" s="64" t="str">
        <f>IF(AE1330&lt;&gt;0,VLOOKUP(AE1330,DM_NV,2,0),"")</f>
        <v/>
      </c>
    </row>
    <row r="1331">
      <c r="A1331" s="51"/>
      <c r="B1331" s="52" t="str">
        <f>IF(D1331="","",VLOOKUP(D1331,'THAM CHIẾU'!$A:$B,2,0))</f>
        <v>#N/A</v>
      </c>
      <c r="C1331" s="53" t="str">
        <f t="shared" si="11"/>
        <v>05/2022</v>
      </c>
      <c r="D1331" s="99">
        <v>44712.0</v>
      </c>
      <c r="E1331" s="55" t="s">
        <v>1296</v>
      </c>
      <c r="F1331" s="56"/>
      <c r="G1331" s="57"/>
      <c r="H1331" s="58" t="str">
        <f>IF(G1331="","",VLOOKUP($G1331,'Quy chuẩn hạch toán'!$B:$E,2,0))</f>
        <v/>
      </c>
      <c r="I1331" s="58" t="str">
        <f>IF(H1331="","",VLOOKUP($G1331,'Quy chuẩn hạch toán'!$B:$E,3,0))</f>
        <v/>
      </c>
      <c r="J1331" s="59">
        <v>8.9034277E7</v>
      </c>
      <c r="K1331" s="60"/>
      <c r="L1331" s="61"/>
      <c r="M1331" s="62"/>
      <c r="N1331" s="63"/>
      <c r="O1331" s="64" t="str">
        <f>IF($Q1331&lt;&gt;0,VLOOKUP($Q1331,DM_KM,3,0),"")</f>
        <v/>
      </c>
      <c r="P1331" s="64" t="str">
        <f>IF($Q1331&lt;&gt;0,VLOOKUP($Q1331,DM_KM,5,0),"")</f>
        <v/>
      </c>
      <c r="Q1331" s="89"/>
      <c r="R1331" s="64" t="str">
        <f>IF(S1331&lt;&gt;0,VLOOKUP(S1331,DM_DUAN,3,0),"")</f>
        <v>#N/A</v>
      </c>
      <c r="S1331" s="66" t="str">
        <f>IF(U1331&lt;&gt;0,VLOOKUP(U1331,DM_DUAN,3,0),"")</f>
        <v/>
      </c>
      <c r="T1331" s="64"/>
      <c r="U1331" s="93"/>
      <c r="V1331" s="64" t="str">
        <f>IF(W1331&lt;&gt;0,VLOOKUP(W1331,DM_DUAN,3,0),"")</f>
        <v/>
      </c>
      <c r="W1331" s="68"/>
      <c r="X1331" s="64" t="str">
        <f>IF(Y1331&lt;&gt;0,VLOOKUP(Y1331,DM_DUAN,3,0),"")</f>
        <v>#N/A</v>
      </c>
      <c r="Y1331" s="69" t="s">
        <v>176</v>
      </c>
      <c r="Z1331" s="64" t="str">
        <f>IF(AA1331&lt;&gt;0,VLOOKUP(AA1331,DM_DUAN,3,0),"")</f>
        <v>#N/A</v>
      </c>
      <c r="AA1331" s="70" t="s">
        <v>705</v>
      </c>
      <c r="AB1331" s="64" t="str">
        <f>IF(AC1331&lt;&gt;0,VLOOKUP(AC1331,DM_DUAN,3,0),"")</f>
        <v>#N/A</v>
      </c>
      <c r="AC1331" s="70" t="s">
        <v>335</v>
      </c>
      <c r="AD1331" s="64" t="str">
        <f>IF(AC1331&lt;&gt;0,VLOOKUP(AC1331,DM_NV,2,0),"")</f>
        <v>Trần Phước Thành</v>
      </c>
      <c r="AE1331" s="68"/>
      <c r="AF1331" s="64" t="str">
        <f>IF(AE1331&lt;&gt;0,VLOOKUP(AE1331,DM_NV,2,0),"")</f>
        <v/>
      </c>
    </row>
    <row r="1332">
      <c r="A1332" s="51"/>
      <c r="B1332" s="52" t="str">
        <f>IF(D1332="","",VLOOKUP(D1332,'THAM CHIẾU'!$A:$B,2,0))</f>
        <v>#N/A</v>
      </c>
      <c r="C1332" s="53" t="str">
        <f t="shared" si="11"/>
        <v>05/2022</v>
      </c>
      <c r="D1332" s="99">
        <v>44712.0</v>
      </c>
      <c r="E1332" s="55" t="s">
        <v>1297</v>
      </c>
      <c r="F1332" s="56"/>
      <c r="G1332" s="90"/>
      <c r="H1332" s="58" t="str">
        <f>IF(G1332="","",VLOOKUP($G1332,'Quy chuẩn hạch toán'!$B:$E,2,0))</f>
        <v/>
      </c>
      <c r="I1332" s="58" t="str">
        <f>IF(H1332="","",VLOOKUP($G1332,'Quy chuẩn hạch toán'!$B:$E,3,0))</f>
        <v/>
      </c>
      <c r="J1332" s="59">
        <v>9707692.0</v>
      </c>
      <c r="K1332" s="60"/>
      <c r="L1332" s="61"/>
      <c r="M1332" s="62"/>
      <c r="N1332" s="63"/>
      <c r="O1332" s="64" t="str">
        <f>IF($Q1332&lt;&gt;0,VLOOKUP($Q1332,DM_KM,3,0),"")</f>
        <v/>
      </c>
      <c r="P1332" s="64" t="str">
        <f>IF($Q1332&lt;&gt;0,VLOOKUP($Q1332,DM_KM,5,0),"")</f>
        <v/>
      </c>
      <c r="Q1332" s="89"/>
      <c r="R1332" s="64" t="str">
        <f>IF(S1332&lt;&gt;0,VLOOKUP(S1332,DM_DUAN,3,0),"")</f>
        <v>#N/A</v>
      </c>
      <c r="S1332" s="66" t="str">
        <f>IF(U1332&lt;&gt;0,VLOOKUP(U1332,DM_DUAN,3,0),"")</f>
        <v/>
      </c>
      <c r="T1332" s="64"/>
      <c r="U1332" s="93"/>
      <c r="V1332" s="64" t="str">
        <f>IF(W1332&lt;&gt;0,VLOOKUP(W1332,DM_DUAN,3,0),"")</f>
        <v/>
      </c>
      <c r="W1332" s="68"/>
      <c r="X1332" s="64" t="str">
        <f>IF(Y1332&lt;&gt;0,VLOOKUP(Y1332,DM_DUAN,3,0),"")</f>
        <v>#N/A</v>
      </c>
      <c r="Y1332" s="69" t="s">
        <v>176</v>
      </c>
      <c r="Z1332" s="64" t="str">
        <f>IF(AA1332&lt;&gt;0,VLOOKUP(AA1332,DM_DUAN,3,0),"")</f>
        <v>#N/A</v>
      </c>
      <c r="AA1332" s="70" t="s">
        <v>1266</v>
      </c>
      <c r="AB1332" s="64" t="str">
        <f>IF(AC1332&lt;&gt;0,VLOOKUP(AC1332,DM_DUAN,3,0),"")</f>
        <v>#N/A</v>
      </c>
      <c r="AC1332" s="70" t="s">
        <v>335</v>
      </c>
      <c r="AD1332" s="64" t="str">
        <f>IF(AC1332&lt;&gt;0,VLOOKUP(AC1332,DM_NV,2,0),"")</f>
        <v>Trần Phước Thành</v>
      </c>
      <c r="AE1332" s="68"/>
      <c r="AF1332" s="64" t="str">
        <f>IF(AE1332&lt;&gt;0,VLOOKUP(AE1332,DM_NV,2,0),"")</f>
        <v/>
      </c>
    </row>
    <row r="1333">
      <c r="A1333" s="51"/>
      <c r="B1333" s="52" t="str">
        <f>IF(D1333="","",VLOOKUP(D1333,'THAM CHIẾU'!$A:$B,2,0))</f>
        <v>#N/A</v>
      </c>
      <c r="C1333" s="53" t="str">
        <f t="shared" si="11"/>
        <v>05/2022</v>
      </c>
      <c r="D1333" s="99">
        <v>44712.0</v>
      </c>
      <c r="E1333" s="55" t="s">
        <v>1298</v>
      </c>
      <c r="F1333" s="56"/>
      <c r="G1333" s="90"/>
      <c r="H1333" s="58" t="str">
        <f>IF(G1333="","",VLOOKUP($G1333,'Quy chuẩn hạch toán'!$B:$E,2,0))</f>
        <v/>
      </c>
      <c r="I1333" s="58" t="str">
        <f>IF(H1333="","",VLOOKUP($G1333,'Quy chuẩn hạch toán'!$B:$E,3,0))</f>
        <v/>
      </c>
      <c r="J1333" s="59">
        <v>4.4281488E7</v>
      </c>
      <c r="K1333" s="60"/>
      <c r="L1333" s="61"/>
      <c r="M1333" s="62"/>
      <c r="N1333" s="63"/>
      <c r="O1333" s="64" t="str">
        <f>IF($Q1333&lt;&gt;0,VLOOKUP($Q1333,DM_KM,3,0),"")</f>
        <v/>
      </c>
      <c r="P1333" s="64" t="str">
        <f>IF($Q1333&lt;&gt;0,VLOOKUP($Q1333,DM_KM,5,0),"")</f>
        <v/>
      </c>
      <c r="Q1333" s="89"/>
      <c r="R1333" s="64" t="str">
        <f>IF(S1333&lt;&gt;0,VLOOKUP(S1333,DM_DUAN,3,0),"")</f>
        <v>#N/A</v>
      </c>
      <c r="S1333" s="66" t="str">
        <f>IF(U1333&lt;&gt;0,VLOOKUP(U1333,DM_DUAN,3,0),"")</f>
        <v/>
      </c>
      <c r="T1333" s="64"/>
      <c r="U1333" s="93"/>
      <c r="V1333" s="64" t="str">
        <f>IF(W1333&lt;&gt;0,VLOOKUP(W1333,DM_DUAN,3,0),"")</f>
        <v/>
      </c>
      <c r="W1333" s="68"/>
      <c r="X1333" s="64" t="str">
        <f>IF(Y1333&lt;&gt;0,VLOOKUP(Y1333,DM_DUAN,3,0),"")</f>
        <v>#N/A</v>
      </c>
      <c r="Y1333" s="69" t="s">
        <v>176</v>
      </c>
      <c r="Z1333" s="64" t="str">
        <f>IF(AA1333&lt;&gt;0,VLOOKUP(AA1333,DM_DUAN,3,0),"")</f>
        <v>#N/A</v>
      </c>
      <c r="AA1333" s="70" t="s">
        <v>183</v>
      </c>
      <c r="AB1333" s="64" t="str">
        <f>IF(AC1333&lt;&gt;0,VLOOKUP(AC1333,DM_DUAN,3,0),"")</f>
        <v>#N/A</v>
      </c>
      <c r="AC1333" s="70" t="s">
        <v>191</v>
      </c>
      <c r="AD1333" s="64" t="str">
        <f>IF(AC1333&lt;&gt;0,VLOOKUP(AC1333,DM_NV,2,0),"")</f>
        <v>Nguyễn Anh Vy</v>
      </c>
      <c r="AE1333" s="68"/>
      <c r="AF1333" s="64" t="str">
        <f>IF(AE1333&lt;&gt;0,VLOOKUP(AE1333,DM_NV,2,0),"")</f>
        <v/>
      </c>
    </row>
    <row r="1334">
      <c r="A1334" s="51"/>
      <c r="B1334" s="52" t="str">
        <f>IF(D1334="","",VLOOKUP(D1334,'THAM CHIẾU'!$A:$B,2,0))</f>
        <v>#N/A</v>
      </c>
      <c r="C1334" s="53" t="str">
        <f t="shared" si="11"/>
        <v>05/2022</v>
      </c>
      <c r="D1334" s="99">
        <v>44712.0</v>
      </c>
      <c r="E1334" s="55" t="s">
        <v>1299</v>
      </c>
      <c r="F1334" s="56"/>
      <c r="G1334" s="90"/>
      <c r="H1334" s="58" t="str">
        <f>IF(G1334="","",VLOOKUP($G1334,'Quy chuẩn hạch toán'!$B:$E,2,0))</f>
        <v/>
      </c>
      <c r="I1334" s="58" t="str">
        <f>IF(H1334="","",VLOOKUP($G1334,'Quy chuẩn hạch toán'!$B:$E,3,0))</f>
        <v/>
      </c>
      <c r="J1334" s="59">
        <v>4.6088896E7</v>
      </c>
      <c r="K1334" s="60"/>
      <c r="L1334" s="61"/>
      <c r="M1334" s="62"/>
      <c r="N1334" s="63"/>
      <c r="O1334" s="64" t="str">
        <f>IF($Q1334&lt;&gt;0,VLOOKUP($Q1334,DM_KM,3,0),"")</f>
        <v/>
      </c>
      <c r="P1334" s="64" t="str">
        <f>IF($Q1334&lt;&gt;0,VLOOKUP($Q1334,DM_KM,5,0),"")</f>
        <v/>
      </c>
      <c r="Q1334" s="89"/>
      <c r="R1334" s="64" t="str">
        <f>IF(S1334&lt;&gt;0,VLOOKUP(S1334,DM_DUAN,3,0),"")</f>
        <v>#N/A</v>
      </c>
      <c r="S1334" s="66" t="str">
        <f>IF(U1334&lt;&gt;0,VLOOKUP(U1334,DM_DUAN,3,0),"")</f>
        <v/>
      </c>
      <c r="T1334" s="64"/>
      <c r="U1334" s="93"/>
      <c r="V1334" s="64" t="str">
        <f>IF(W1334&lt;&gt;0,VLOOKUP(W1334,DM_DUAN,3,0),"")</f>
        <v/>
      </c>
      <c r="W1334" s="68"/>
      <c r="X1334" s="64" t="str">
        <f>IF(Y1334&lt;&gt;0,VLOOKUP(Y1334,DM_DUAN,3,0),"")</f>
        <v>#N/A</v>
      </c>
      <c r="Y1334" s="69" t="s">
        <v>176</v>
      </c>
      <c r="Z1334" s="64" t="str">
        <f>IF(AA1334&lt;&gt;0,VLOOKUP(AA1334,DM_DUAN,3,0),"")</f>
        <v>#N/A</v>
      </c>
      <c r="AA1334" s="70" t="s">
        <v>183</v>
      </c>
      <c r="AB1334" s="64" t="str">
        <f>IF(AC1334&lt;&gt;0,VLOOKUP(AC1334,DM_DUAN,3,0),"")</f>
        <v>#N/A</v>
      </c>
      <c r="AC1334" s="70" t="s">
        <v>335</v>
      </c>
      <c r="AD1334" s="64" t="str">
        <f>IF(AC1334&lt;&gt;0,VLOOKUP(AC1334,DM_NV,2,0),"")</f>
        <v>Trần Phước Thành</v>
      </c>
      <c r="AE1334" s="68"/>
      <c r="AF1334" s="64" t="str">
        <f>IF(AE1334&lt;&gt;0,VLOOKUP(AE1334,DM_NV,2,0),"")</f>
        <v/>
      </c>
    </row>
    <row r="1335">
      <c r="A1335" s="51"/>
      <c r="B1335" s="52" t="str">
        <f>IF(D1335="","",VLOOKUP(D1335,'THAM CHIẾU'!$A:$B,2,0))</f>
        <v>#N/A</v>
      </c>
      <c r="C1335" s="53" t="str">
        <f t="shared" si="11"/>
        <v>05/2022</v>
      </c>
      <c r="D1335" s="99">
        <v>44712.0</v>
      </c>
      <c r="E1335" s="55" t="s">
        <v>1300</v>
      </c>
      <c r="F1335" s="56"/>
      <c r="G1335" s="90"/>
      <c r="H1335" s="58" t="str">
        <f>IF(G1335="","",VLOOKUP($G1335,'Quy chuẩn hạch toán'!$B:$E,2,0))</f>
        <v/>
      </c>
      <c r="I1335" s="58" t="str">
        <f>IF(H1335="","",VLOOKUP($G1335,'Quy chuẩn hạch toán'!$B:$E,3,0))</f>
        <v/>
      </c>
      <c r="J1335" s="59">
        <v>3.1610442E7</v>
      </c>
      <c r="K1335" s="60"/>
      <c r="L1335" s="61"/>
      <c r="M1335" s="62"/>
      <c r="N1335" s="63"/>
      <c r="O1335" s="64" t="str">
        <f>IF($Q1335&lt;&gt;0,VLOOKUP($Q1335,DM_KM,3,0),"")</f>
        <v/>
      </c>
      <c r="P1335" s="64" t="str">
        <f>IF($Q1335&lt;&gt;0,VLOOKUP($Q1335,DM_KM,5,0),"")</f>
        <v/>
      </c>
      <c r="Q1335" s="89"/>
      <c r="R1335" s="64" t="str">
        <f>IF(S1335&lt;&gt;0,VLOOKUP(S1335,DM_DUAN,3,0),"")</f>
        <v>#N/A</v>
      </c>
      <c r="S1335" s="66" t="str">
        <f>IF(U1335&lt;&gt;0,VLOOKUP(U1335,DM_DUAN,3,0),"")</f>
        <v/>
      </c>
      <c r="T1335" s="64"/>
      <c r="U1335" s="93"/>
      <c r="V1335" s="64" t="str">
        <f>IF(W1335&lt;&gt;0,VLOOKUP(W1335,DM_DUAN,3,0),"")</f>
        <v/>
      </c>
      <c r="W1335" s="68"/>
      <c r="X1335" s="64" t="str">
        <f>IF(Y1335&lt;&gt;0,VLOOKUP(Y1335,DM_DUAN,3,0),"")</f>
        <v>#N/A</v>
      </c>
      <c r="Y1335" s="69" t="s">
        <v>176</v>
      </c>
      <c r="Z1335" s="64" t="str">
        <f>IF(AA1335&lt;&gt;0,VLOOKUP(AA1335,DM_DUAN,3,0),"")</f>
        <v>#N/A</v>
      </c>
      <c r="AA1335" s="70" t="s">
        <v>177</v>
      </c>
      <c r="AB1335" s="64" t="str">
        <f>IF(AC1335&lt;&gt;0,VLOOKUP(AC1335,DM_DUAN,3,0),"")</f>
        <v>#N/A</v>
      </c>
      <c r="AC1335" s="70" t="s">
        <v>178</v>
      </c>
      <c r="AD1335" s="64" t="str">
        <f>IF(AC1335&lt;&gt;0,VLOOKUP(AC1335,DM_NV,2,0),"")</f>
        <v>Lê Hoàng Quân</v>
      </c>
      <c r="AE1335" s="68"/>
      <c r="AF1335" s="64" t="str">
        <f>IF(AE1335&lt;&gt;0,VLOOKUP(AE1335,DM_NV,2,0),"")</f>
        <v/>
      </c>
    </row>
    <row r="1336">
      <c r="A1336" s="51"/>
      <c r="B1336" s="52" t="str">
        <f>IF(D1336="","",VLOOKUP(D1336,'THAM CHIẾU'!$A:$B,2,0))</f>
        <v>#N/A</v>
      </c>
      <c r="C1336" s="53" t="str">
        <f t="shared" si="11"/>
        <v>05/2022</v>
      </c>
      <c r="D1336" s="99">
        <v>44712.0</v>
      </c>
      <c r="E1336" s="55" t="s">
        <v>1301</v>
      </c>
      <c r="F1336" s="56"/>
      <c r="G1336" s="90"/>
      <c r="H1336" s="58" t="str">
        <f>IF(G1336="","",VLOOKUP($G1336,'Quy chuẩn hạch toán'!$B:$E,2,0))</f>
        <v/>
      </c>
      <c r="I1336" s="58" t="str">
        <f>IF(H1336="","",VLOOKUP($G1336,'Quy chuẩn hạch toán'!$B:$E,3,0))</f>
        <v/>
      </c>
      <c r="J1336" s="59">
        <v>3.2900664E7</v>
      </c>
      <c r="K1336" s="60"/>
      <c r="L1336" s="61"/>
      <c r="M1336" s="62"/>
      <c r="N1336" s="63"/>
      <c r="O1336" s="64" t="str">
        <f>IF($Q1336&lt;&gt;0,VLOOKUP($Q1336,DM_KM,3,0),"")</f>
        <v/>
      </c>
      <c r="P1336" s="64" t="str">
        <f>IF($Q1336&lt;&gt;0,VLOOKUP($Q1336,DM_KM,5,0),"")</f>
        <v/>
      </c>
      <c r="Q1336" s="89"/>
      <c r="R1336" s="64" t="str">
        <f>IF(S1336&lt;&gt;0,VLOOKUP(S1336,DM_DUAN,3,0),"")</f>
        <v>#N/A</v>
      </c>
      <c r="S1336" s="66" t="str">
        <f>IF(U1336&lt;&gt;0,VLOOKUP(U1336,DM_DUAN,3,0),"")</f>
        <v/>
      </c>
      <c r="T1336" s="64"/>
      <c r="U1336" s="93"/>
      <c r="V1336" s="64" t="str">
        <f>IF(W1336&lt;&gt;0,VLOOKUP(W1336,DM_DUAN,3,0),"")</f>
        <v/>
      </c>
      <c r="W1336" s="68"/>
      <c r="X1336" s="64" t="str">
        <f>IF(Y1336&lt;&gt;0,VLOOKUP(Y1336,DM_DUAN,3,0),"")</f>
        <v>#N/A</v>
      </c>
      <c r="Y1336" s="69" t="s">
        <v>176</v>
      </c>
      <c r="Z1336" s="64" t="str">
        <f>IF(AA1336&lt;&gt;0,VLOOKUP(AA1336,DM_DUAN,3,0),"")</f>
        <v>#N/A</v>
      </c>
      <c r="AA1336" s="70" t="s">
        <v>177</v>
      </c>
      <c r="AB1336" s="64" t="str">
        <f>IF(AC1336&lt;&gt;0,VLOOKUP(AC1336,DM_DUAN,3,0),"")</f>
        <v>#N/A</v>
      </c>
      <c r="AC1336" s="70" t="s">
        <v>335</v>
      </c>
      <c r="AD1336" s="64" t="str">
        <f>IF(AC1336&lt;&gt;0,VLOOKUP(AC1336,DM_NV,2,0),"")</f>
        <v>Trần Phước Thành</v>
      </c>
      <c r="AE1336" s="68"/>
      <c r="AF1336" s="64" t="str">
        <f>IF(AE1336&lt;&gt;0,VLOOKUP(AE1336,DM_NV,2,0),"")</f>
        <v/>
      </c>
    </row>
    <row r="1337">
      <c r="A1337" s="51"/>
      <c r="B1337" s="52" t="str">
        <f>IF(D1337="","",VLOOKUP(D1337,'THAM CHIẾU'!$A:$B,2,0))</f>
        <v/>
      </c>
      <c r="C1337" s="53" t="str">
        <f t="shared" si="11"/>
        <v/>
      </c>
      <c r="D1337" s="54"/>
      <c r="E1337" s="91"/>
      <c r="F1337" s="92"/>
      <c r="G1337" s="90"/>
      <c r="H1337" s="58" t="str">
        <f>IF(G1337="","",VLOOKUP($G1337,'Quy chuẩn hạch toán'!$B:$E,2,0))</f>
        <v/>
      </c>
      <c r="I1337" s="58" t="str">
        <f>IF(H1337="","",VLOOKUP($G1337,'Quy chuẩn hạch toán'!$B:$E,3,0))</f>
        <v/>
      </c>
      <c r="J1337" s="95"/>
      <c r="K1337" s="60"/>
      <c r="L1337" s="61"/>
      <c r="M1337" s="62"/>
      <c r="N1337" s="63"/>
      <c r="O1337" s="64" t="str">
        <f>IF($Q1337&lt;&gt;0,VLOOKUP($Q1337,DM_KM,3,0),"")</f>
        <v/>
      </c>
      <c r="P1337" s="64" t="str">
        <f>IF($Q1337&lt;&gt;0,VLOOKUP($Q1337,DM_KM,5,0),"")</f>
        <v/>
      </c>
      <c r="Q1337" s="89"/>
      <c r="R1337" s="64" t="str">
        <f>IF(S1337&lt;&gt;0,VLOOKUP(S1337,DM_DUAN,3,0),"")</f>
        <v>#N/A</v>
      </c>
      <c r="S1337" s="66" t="str">
        <f>IF(U1337&lt;&gt;0,VLOOKUP(U1337,DM_DUAN,3,0),"")</f>
        <v/>
      </c>
      <c r="T1337" s="64"/>
      <c r="U1337" s="93"/>
      <c r="V1337" s="64" t="str">
        <f>IF(W1337&lt;&gt;0,VLOOKUP(W1337,DM_DUAN,3,0),"")</f>
        <v/>
      </c>
      <c r="W1337" s="68"/>
      <c r="X1337" s="64" t="str">
        <f>IF(Y1337&lt;&gt;0,VLOOKUP(Y1337,DM_DUAN,3,0),"")</f>
        <v/>
      </c>
      <c r="Y1337" s="84"/>
      <c r="Z1337" s="64" t="str">
        <f>IF(AA1337&lt;&gt;0,VLOOKUP(AA1337,DM_DUAN,3,0),"")</f>
        <v/>
      </c>
      <c r="AA1337" s="131"/>
      <c r="AB1337" s="64" t="str">
        <f>IF(AC1337&lt;&gt;0,VLOOKUP(AC1337,DM_DUAN,3,0),"")</f>
        <v/>
      </c>
      <c r="AC1337" s="85"/>
      <c r="AD1337" s="64" t="str">
        <f>IF(AC1337&lt;&gt;0,VLOOKUP(AC1337,DM_NV,2,0),"")</f>
        <v/>
      </c>
      <c r="AE1337" s="68"/>
      <c r="AF1337" s="64" t="str">
        <f>IF(AE1337&lt;&gt;0,VLOOKUP(AE1337,DM_NV,2,0),"")</f>
        <v/>
      </c>
    </row>
    <row r="1338">
      <c r="A1338" s="51"/>
      <c r="B1338" s="52" t="str">
        <f>IF(D1338="","",VLOOKUP(D1338,'THAM CHIẾU'!$A:$B,2,0))</f>
        <v/>
      </c>
      <c r="C1338" s="53" t="str">
        <f t="shared" si="11"/>
        <v/>
      </c>
      <c r="D1338" s="54"/>
      <c r="E1338" s="91"/>
      <c r="F1338" s="92"/>
      <c r="G1338" s="90"/>
      <c r="H1338" s="58" t="str">
        <f>IF(G1338="","",VLOOKUP($G1338,'Quy chuẩn hạch toán'!$B:$E,2,0))</f>
        <v/>
      </c>
      <c r="I1338" s="58" t="str">
        <f>IF(H1338="","",VLOOKUP($G1338,'Quy chuẩn hạch toán'!$B:$E,3,0))</f>
        <v/>
      </c>
      <c r="J1338" s="95"/>
      <c r="K1338" s="60"/>
      <c r="L1338" s="61"/>
      <c r="M1338" s="62"/>
      <c r="N1338" s="63"/>
      <c r="O1338" s="64" t="str">
        <f>IF($Q1338&lt;&gt;0,VLOOKUP($Q1338,DM_KM,3,0),"")</f>
        <v/>
      </c>
      <c r="P1338" s="64" t="str">
        <f>IF($Q1338&lt;&gt;0,VLOOKUP($Q1338,DM_KM,5,0),"")</f>
        <v/>
      </c>
      <c r="Q1338" s="89"/>
      <c r="R1338" s="64" t="str">
        <f>IF(S1338&lt;&gt;0,VLOOKUP(S1338,DM_DUAN,3,0),"")</f>
        <v>#N/A</v>
      </c>
      <c r="S1338" s="66" t="str">
        <f>IF(U1338&lt;&gt;0,VLOOKUP(U1338,DM_DUAN,3,0),"")</f>
        <v/>
      </c>
      <c r="T1338" s="64"/>
      <c r="U1338" s="93"/>
      <c r="V1338" s="64" t="str">
        <f>IF(W1338&lt;&gt;0,VLOOKUP(W1338,DM_DUAN,3,0),"")</f>
        <v/>
      </c>
      <c r="W1338" s="68"/>
      <c r="X1338" s="64" t="str">
        <f>IF(Y1338&lt;&gt;0,VLOOKUP(Y1338,DM_DUAN,3,0),"")</f>
        <v/>
      </c>
      <c r="Y1338" s="84"/>
      <c r="Z1338" s="64" t="str">
        <f>IF(AA1338&lt;&gt;0,VLOOKUP(AA1338,DM_DUAN,3,0),"")</f>
        <v/>
      </c>
      <c r="AA1338" s="131"/>
      <c r="AB1338" s="64" t="str">
        <f>IF(AC1338&lt;&gt;0,VLOOKUP(AC1338,DM_DUAN,3,0),"")</f>
        <v/>
      </c>
      <c r="AC1338" s="85"/>
      <c r="AD1338" s="64" t="str">
        <f>IF(AC1338&lt;&gt;0,VLOOKUP(AC1338,DM_NV,2,0),"")</f>
        <v/>
      </c>
      <c r="AE1338" s="68"/>
      <c r="AF1338" s="64" t="str">
        <f>IF(AE1338&lt;&gt;0,VLOOKUP(AE1338,DM_NV,2,0),"")</f>
        <v/>
      </c>
    </row>
    <row r="1339">
      <c r="A1339" s="51"/>
      <c r="B1339" s="52" t="str">
        <f>IF(D1339="","",VLOOKUP(D1339,'THAM CHIẾU'!$A:$B,2,0))</f>
        <v/>
      </c>
      <c r="C1339" s="53" t="str">
        <f t="shared" si="11"/>
        <v/>
      </c>
      <c r="D1339" s="54"/>
      <c r="E1339" s="91"/>
      <c r="F1339" s="92"/>
      <c r="G1339" s="90"/>
      <c r="H1339" s="58" t="str">
        <f>IF(G1339="","",VLOOKUP($G1339,'Quy chuẩn hạch toán'!$B:$E,2,0))</f>
        <v/>
      </c>
      <c r="I1339" s="58" t="str">
        <f>IF(H1339="","",VLOOKUP($G1339,'Quy chuẩn hạch toán'!$B:$E,3,0))</f>
        <v/>
      </c>
      <c r="J1339" s="95"/>
      <c r="K1339" s="60"/>
      <c r="L1339" s="61"/>
      <c r="M1339" s="62"/>
      <c r="N1339" s="63"/>
      <c r="O1339" s="64" t="str">
        <f>IF($Q1339&lt;&gt;0,VLOOKUP($Q1339,DM_KM,3,0),"")</f>
        <v/>
      </c>
      <c r="P1339" s="64" t="str">
        <f>IF($Q1339&lt;&gt;0,VLOOKUP($Q1339,DM_KM,5,0),"")</f>
        <v/>
      </c>
      <c r="Q1339" s="89"/>
      <c r="R1339" s="64" t="str">
        <f>IF(S1339&lt;&gt;0,VLOOKUP(S1339,DM_DUAN,3,0),"")</f>
        <v>#N/A</v>
      </c>
      <c r="S1339" s="66" t="str">
        <f>IF(U1339&lt;&gt;0,VLOOKUP(U1339,DM_DUAN,3,0),"")</f>
        <v/>
      </c>
      <c r="T1339" s="64"/>
      <c r="U1339" s="93"/>
      <c r="V1339" s="64" t="str">
        <f>IF(W1339&lt;&gt;0,VLOOKUP(W1339,DM_DUAN,3,0),"")</f>
        <v/>
      </c>
      <c r="W1339" s="68"/>
      <c r="X1339" s="64" t="str">
        <f>IF(Y1339&lt;&gt;0,VLOOKUP(Y1339,DM_DUAN,3,0),"")</f>
        <v/>
      </c>
      <c r="Y1339" s="84"/>
      <c r="Z1339" s="64" t="str">
        <f>IF(AA1339&lt;&gt;0,VLOOKUP(AA1339,DM_DUAN,3,0),"")</f>
        <v/>
      </c>
      <c r="AA1339" s="131"/>
      <c r="AB1339" s="64" t="str">
        <f>IF(AC1339&lt;&gt;0,VLOOKUP(AC1339,DM_DUAN,3,0),"")</f>
        <v/>
      </c>
      <c r="AC1339" s="85"/>
      <c r="AD1339" s="64" t="str">
        <f>IF(AC1339&lt;&gt;0,VLOOKUP(AC1339,DM_NV,2,0),"")</f>
        <v/>
      </c>
      <c r="AE1339" s="68"/>
      <c r="AF1339" s="64" t="str">
        <f>IF(AE1339&lt;&gt;0,VLOOKUP(AE1339,DM_NV,2,0),"")</f>
        <v/>
      </c>
    </row>
    <row r="1340">
      <c r="A1340" s="51"/>
      <c r="B1340" s="52" t="str">
        <f>IF(D1340="","",VLOOKUP(D1340,'THAM CHIẾU'!$A:$B,2,0))</f>
        <v/>
      </c>
      <c r="C1340" s="53" t="str">
        <f t="shared" si="11"/>
        <v/>
      </c>
      <c r="D1340" s="54"/>
      <c r="E1340" s="91"/>
      <c r="F1340" s="92"/>
      <c r="G1340" s="90"/>
      <c r="H1340" s="58" t="str">
        <f>IF(G1340="","",VLOOKUP($G1340,'Quy chuẩn hạch toán'!$B:$E,2,0))</f>
        <v/>
      </c>
      <c r="I1340" s="58" t="str">
        <f>IF(H1340="","",VLOOKUP($G1340,'Quy chuẩn hạch toán'!$B:$E,3,0))</f>
        <v/>
      </c>
      <c r="J1340" s="95"/>
      <c r="K1340" s="60"/>
      <c r="L1340" s="61"/>
      <c r="M1340" s="62"/>
      <c r="N1340" s="63"/>
      <c r="O1340" s="64" t="str">
        <f>IF($Q1340&lt;&gt;0,VLOOKUP($Q1340,DM_KM,3,0),"")</f>
        <v/>
      </c>
      <c r="P1340" s="64" t="str">
        <f>IF($Q1340&lt;&gt;0,VLOOKUP($Q1340,DM_KM,5,0),"")</f>
        <v/>
      </c>
      <c r="Q1340" s="89"/>
      <c r="R1340" s="64" t="str">
        <f>IF(S1340&lt;&gt;0,VLOOKUP(S1340,DM_DUAN,3,0),"")</f>
        <v>#N/A</v>
      </c>
      <c r="S1340" s="66" t="str">
        <f>IF(U1340&lt;&gt;0,VLOOKUP(U1340,DM_DUAN,3,0),"")</f>
        <v/>
      </c>
      <c r="T1340" s="64"/>
      <c r="U1340" s="93"/>
      <c r="V1340" s="64" t="str">
        <f>IF(W1340&lt;&gt;0,VLOOKUP(W1340,DM_DUAN,3,0),"")</f>
        <v/>
      </c>
      <c r="W1340" s="68"/>
      <c r="X1340" s="64" t="str">
        <f>IF(Y1340&lt;&gt;0,VLOOKUP(Y1340,DM_DUAN,3,0),"")</f>
        <v/>
      </c>
      <c r="Y1340" s="84"/>
      <c r="Z1340" s="64" t="str">
        <f>IF(AA1340&lt;&gt;0,VLOOKUP(AA1340,DM_DUAN,3,0),"")</f>
        <v/>
      </c>
      <c r="AA1340" s="131"/>
      <c r="AB1340" s="64" t="str">
        <f>IF(AC1340&lt;&gt;0,VLOOKUP(AC1340,DM_DUAN,3,0),"")</f>
        <v/>
      </c>
      <c r="AC1340" s="85"/>
      <c r="AD1340" s="64" t="str">
        <f>IF(AC1340&lt;&gt;0,VLOOKUP(AC1340,DM_NV,2,0),"")</f>
        <v/>
      </c>
      <c r="AE1340" s="68"/>
      <c r="AF1340" s="64" t="str">
        <f>IF(AE1340&lt;&gt;0,VLOOKUP(AE1340,DM_NV,2,0),"")</f>
        <v/>
      </c>
    </row>
    <row r="1341">
      <c r="A1341" s="51"/>
      <c r="B1341" s="52" t="str">
        <f>IF(D1341="","",VLOOKUP(D1341,'THAM CHIẾU'!$A:$B,2,0))</f>
        <v/>
      </c>
      <c r="C1341" s="53" t="str">
        <f t="shared" si="11"/>
        <v/>
      </c>
      <c r="D1341" s="54"/>
      <c r="E1341" s="91"/>
      <c r="F1341" s="92"/>
      <c r="G1341" s="90"/>
      <c r="H1341" s="58" t="str">
        <f>IF(G1341="","",VLOOKUP($G1341,'Quy chuẩn hạch toán'!$B:$E,2,0))</f>
        <v/>
      </c>
      <c r="I1341" s="58" t="str">
        <f>IF(H1341="","",VLOOKUP($G1341,'Quy chuẩn hạch toán'!$B:$E,3,0))</f>
        <v/>
      </c>
      <c r="J1341" s="95"/>
      <c r="K1341" s="60"/>
      <c r="L1341" s="61"/>
      <c r="M1341" s="62"/>
      <c r="N1341" s="63"/>
      <c r="O1341" s="64" t="str">
        <f>IF($Q1341&lt;&gt;0,VLOOKUP($Q1341,DM_KM,3,0),"")</f>
        <v/>
      </c>
      <c r="P1341" s="64" t="str">
        <f>IF($Q1341&lt;&gt;0,VLOOKUP($Q1341,DM_KM,5,0),"")</f>
        <v/>
      </c>
      <c r="Q1341" s="89"/>
      <c r="R1341" s="64" t="str">
        <f>IF(S1341&lt;&gt;0,VLOOKUP(S1341,DM_DUAN,3,0),"")</f>
        <v>#N/A</v>
      </c>
      <c r="S1341" s="66" t="str">
        <f>IF(U1341&lt;&gt;0,VLOOKUP(U1341,DM_DUAN,3,0),"")</f>
        <v/>
      </c>
      <c r="T1341" s="64"/>
      <c r="U1341" s="93"/>
      <c r="V1341" s="64" t="str">
        <f>IF(W1341&lt;&gt;0,VLOOKUP(W1341,DM_DUAN,3,0),"")</f>
        <v/>
      </c>
      <c r="W1341" s="68"/>
      <c r="X1341" s="64" t="str">
        <f>IF(Y1341&lt;&gt;0,VLOOKUP(Y1341,DM_DUAN,3,0),"")</f>
        <v/>
      </c>
      <c r="Y1341" s="84"/>
      <c r="Z1341" s="64" t="str">
        <f>IF(AA1341&lt;&gt;0,VLOOKUP(AA1341,DM_DUAN,3,0),"")</f>
        <v/>
      </c>
      <c r="AA1341" s="131"/>
      <c r="AB1341" s="64" t="str">
        <f>IF(AC1341&lt;&gt;0,VLOOKUP(AC1341,DM_DUAN,3,0),"")</f>
        <v/>
      </c>
      <c r="AC1341" s="85"/>
      <c r="AD1341" s="64" t="str">
        <f>IF(AC1341&lt;&gt;0,VLOOKUP(AC1341,DM_NV,2,0),"")</f>
        <v/>
      </c>
      <c r="AE1341" s="68"/>
      <c r="AF1341" s="64" t="str">
        <f>IF(AE1341&lt;&gt;0,VLOOKUP(AE1341,DM_NV,2,0),"")</f>
        <v/>
      </c>
    </row>
    <row r="1342">
      <c r="A1342" s="51"/>
      <c r="B1342" s="52" t="str">
        <f>IF(D1342="","",VLOOKUP(D1342,'THAM CHIẾU'!$A:$B,2,0))</f>
        <v/>
      </c>
      <c r="C1342" s="53" t="str">
        <f t="shared" si="11"/>
        <v/>
      </c>
      <c r="D1342" s="54"/>
      <c r="E1342" s="91"/>
      <c r="F1342" s="92"/>
      <c r="G1342" s="90"/>
      <c r="H1342" s="58" t="str">
        <f>IF(G1342="","",VLOOKUP($G1342,'Quy chuẩn hạch toán'!$B:$E,2,0))</f>
        <v/>
      </c>
      <c r="I1342" s="58" t="str">
        <f>IF(H1342="","",VLOOKUP($G1342,'Quy chuẩn hạch toán'!$B:$E,3,0))</f>
        <v/>
      </c>
      <c r="J1342" s="95"/>
      <c r="K1342" s="60"/>
      <c r="L1342" s="61"/>
      <c r="M1342" s="62"/>
      <c r="N1342" s="63"/>
      <c r="O1342" s="64" t="str">
        <f>IF($Q1342&lt;&gt;0,VLOOKUP($Q1342,DM_KM,3,0),"")</f>
        <v/>
      </c>
      <c r="P1342" s="64" t="str">
        <f>IF($Q1342&lt;&gt;0,VLOOKUP($Q1342,DM_KM,5,0),"")</f>
        <v/>
      </c>
      <c r="Q1342" s="89"/>
      <c r="R1342" s="64" t="str">
        <f>IF(S1342&lt;&gt;0,VLOOKUP(S1342,DM_DUAN,3,0),"")</f>
        <v>#N/A</v>
      </c>
      <c r="S1342" s="66" t="str">
        <f>IF(U1342&lt;&gt;0,VLOOKUP(U1342,DM_DUAN,3,0),"")</f>
        <v/>
      </c>
      <c r="T1342" s="64"/>
      <c r="U1342" s="93"/>
      <c r="V1342" s="64" t="str">
        <f>IF(W1342&lt;&gt;0,VLOOKUP(W1342,DM_DUAN,3,0),"")</f>
        <v/>
      </c>
      <c r="W1342" s="68"/>
      <c r="X1342" s="64" t="str">
        <f>IF(Y1342&lt;&gt;0,VLOOKUP(Y1342,DM_DUAN,3,0),"")</f>
        <v/>
      </c>
      <c r="Y1342" s="84"/>
      <c r="Z1342" s="64" t="str">
        <f>IF(AA1342&lt;&gt;0,VLOOKUP(AA1342,DM_DUAN,3,0),"")</f>
        <v/>
      </c>
      <c r="AA1342" s="131"/>
      <c r="AB1342" s="64" t="str">
        <f>IF(AC1342&lt;&gt;0,VLOOKUP(AC1342,DM_DUAN,3,0),"")</f>
        <v/>
      </c>
      <c r="AC1342" s="85"/>
      <c r="AD1342" s="64" t="str">
        <f>IF(AC1342&lt;&gt;0,VLOOKUP(AC1342,DM_NV,2,0),"")</f>
        <v/>
      </c>
      <c r="AE1342" s="68"/>
      <c r="AF1342" s="64" t="str">
        <f>IF(AE1342&lt;&gt;0,VLOOKUP(AE1342,DM_NV,2,0),"")</f>
        <v/>
      </c>
    </row>
    <row r="1343">
      <c r="A1343" s="51"/>
      <c r="B1343" s="52" t="str">
        <f>IF(D1343="","",VLOOKUP(D1343,'THAM CHIẾU'!$A:$B,2,0))</f>
        <v/>
      </c>
      <c r="C1343" s="53" t="str">
        <f t="shared" si="11"/>
        <v/>
      </c>
      <c r="D1343" s="54"/>
      <c r="E1343" s="91"/>
      <c r="F1343" s="92"/>
      <c r="G1343" s="90"/>
      <c r="H1343" s="58" t="str">
        <f>IF(G1343="","",VLOOKUP($G1343,'Quy chuẩn hạch toán'!$B:$E,2,0))</f>
        <v/>
      </c>
      <c r="I1343" s="58" t="str">
        <f>IF(H1343="","",VLOOKUP($G1343,'Quy chuẩn hạch toán'!$B:$E,3,0))</f>
        <v/>
      </c>
      <c r="J1343" s="95"/>
      <c r="K1343" s="60"/>
      <c r="L1343" s="61"/>
      <c r="M1343" s="62"/>
      <c r="N1343" s="63"/>
      <c r="O1343" s="64" t="str">
        <f>IF($Q1343&lt;&gt;0,VLOOKUP($Q1343,DM_KM,3,0),"")</f>
        <v/>
      </c>
      <c r="P1343" s="64" t="str">
        <f>IF($Q1343&lt;&gt;0,VLOOKUP($Q1343,DM_KM,5,0),"")</f>
        <v/>
      </c>
      <c r="Q1343" s="89"/>
      <c r="R1343" s="64" t="str">
        <f>IF(S1343&lt;&gt;0,VLOOKUP(S1343,DM_DUAN,3,0),"")</f>
        <v>#N/A</v>
      </c>
      <c r="S1343" s="66" t="str">
        <f>IF(U1343&lt;&gt;0,VLOOKUP(U1343,DM_DUAN,3,0),"")</f>
        <v/>
      </c>
      <c r="T1343" s="64"/>
      <c r="U1343" s="93"/>
      <c r="V1343" s="64" t="str">
        <f>IF(W1343&lt;&gt;0,VLOOKUP(W1343,DM_DUAN,3,0),"")</f>
        <v/>
      </c>
      <c r="W1343" s="68"/>
      <c r="X1343" s="64" t="str">
        <f>IF(Y1343&lt;&gt;0,VLOOKUP(Y1343,DM_DUAN,3,0),"")</f>
        <v/>
      </c>
      <c r="Y1343" s="84"/>
      <c r="Z1343" s="64" t="str">
        <f>IF(AA1343&lt;&gt;0,VLOOKUP(AA1343,DM_DUAN,3,0),"")</f>
        <v/>
      </c>
      <c r="AA1343" s="131"/>
      <c r="AB1343" s="64" t="str">
        <f>IF(AC1343&lt;&gt;0,VLOOKUP(AC1343,DM_DUAN,3,0),"")</f>
        <v/>
      </c>
      <c r="AC1343" s="85"/>
      <c r="AD1343" s="64" t="str">
        <f>IF(AC1343&lt;&gt;0,VLOOKUP(AC1343,DM_NV,2,0),"")</f>
        <v/>
      </c>
      <c r="AE1343" s="68"/>
      <c r="AF1343" s="64" t="str">
        <f>IF(AE1343&lt;&gt;0,VLOOKUP(AE1343,DM_NV,2,0),"")</f>
        <v/>
      </c>
    </row>
    <row r="1344">
      <c r="A1344" s="51"/>
      <c r="B1344" s="52" t="str">
        <f>IF(D1344="","",VLOOKUP(D1344,'THAM CHIẾU'!$A:$B,2,0))</f>
        <v>#N/A</v>
      </c>
      <c r="C1344" s="53" t="str">
        <f t="shared" si="11"/>
        <v>06/2022</v>
      </c>
      <c r="D1344" s="99">
        <v>44715.0</v>
      </c>
      <c r="E1344" s="55" t="s">
        <v>1302</v>
      </c>
      <c r="F1344" s="56"/>
      <c r="G1344" s="57" t="s">
        <v>197</v>
      </c>
      <c r="H1344" s="58" t="str">
        <f>IF(G1344="","",VLOOKUP($G1344,'Quy chuẩn hạch toán'!$B:$E,2,0))</f>
        <v>#N/A</v>
      </c>
      <c r="I1344" s="58" t="str">
        <f>IF(H1344="","",VLOOKUP($G1344,'Quy chuẩn hạch toán'!$B:$E,3,0))</f>
        <v>#N/A</v>
      </c>
      <c r="J1344" s="59">
        <v>1.2182E9</v>
      </c>
      <c r="K1344" s="60"/>
      <c r="L1344" s="61"/>
      <c r="M1344" s="62"/>
      <c r="N1344" s="63"/>
      <c r="O1344" s="64" t="str">
        <f>IF($Q1344&lt;&gt;0,VLOOKUP($Q1344,DM_KM,3,0),"")</f>
        <v>#N/A</v>
      </c>
      <c r="P1344" s="64" t="str">
        <f>IF($Q1344&lt;&gt;0,VLOOKUP($Q1344,DM_KM,5,0),"")</f>
        <v>#N/A</v>
      </c>
      <c r="Q1344" s="65" t="s">
        <v>198</v>
      </c>
      <c r="R1344" s="64" t="str">
        <f>IF(S1344&lt;&gt;0,VLOOKUP(S1344,DM_DUAN,3,0),"")</f>
        <v>#N/A</v>
      </c>
      <c r="S1344" s="66" t="str">
        <f>IF(U1344&lt;&gt;0,VLOOKUP(U1344,DM_DUAN,3,0),"")</f>
        <v>CLOUDLAND</v>
      </c>
      <c r="T1344" s="64"/>
      <c r="U1344" s="67" t="s">
        <v>956</v>
      </c>
      <c r="V1344" s="64" t="str">
        <f>IF(W1344&lt;&gt;0,VLOOKUP(W1344,DM_DUAN,3,0),"")</f>
        <v/>
      </c>
      <c r="W1344" s="68"/>
      <c r="X1344" s="64" t="str">
        <f>IF(Y1344&lt;&gt;0,VLOOKUP(Y1344,DM_DUAN,3,0),"")</f>
        <v>#N/A</v>
      </c>
      <c r="Y1344" s="69" t="s">
        <v>176</v>
      </c>
      <c r="Z1344" s="64" t="str">
        <f>IF(AA1344&lt;&gt;0,VLOOKUP(AA1344,DM_DUAN,3,0),"")</f>
        <v>#N/A</v>
      </c>
      <c r="AA1344" s="70" t="s">
        <v>705</v>
      </c>
      <c r="AB1344" s="64" t="str">
        <f>IF(AC1344&lt;&gt;0,VLOOKUP(AC1344,DM_DUAN,3,0),"")</f>
        <v/>
      </c>
      <c r="AC1344" s="85"/>
      <c r="AD1344" s="64" t="str">
        <f>IF(AC1344&lt;&gt;0,VLOOKUP(AC1344,DM_NV,2,0),"")</f>
        <v/>
      </c>
      <c r="AE1344" s="68"/>
      <c r="AF1344" s="64" t="str">
        <f>IF(AE1344&lt;&gt;0,VLOOKUP(AE1344,DM_NV,2,0),"")</f>
        <v/>
      </c>
    </row>
    <row r="1345">
      <c r="A1345" s="51"/>
      <c r="B1345" s="52" t="str">
        <f>IF(D1345="","",VLOOKUP(D1345,'THAM CHIẾU'!$A:$B,2,0))</f>
        <v>#N/A</v>
      </c>
      <c r="C1345" s="53" t="str">
        <f t="shared" si="11"/>
        <v>06/2022</v>
      </c>
      <c r="D1345" s="99">
        <v>44716.0</v>
      </c>
      <c r="E1345" s="55" t="s">
        <v>1303</v>
      </c>
      <c r="F1345" s="56"/>
      <c r="G1345" s="57" t="s">
        <v>197</v>
      </c>
      <c r="H1345" s="58" t="str">
        <f>IF(G1345="","",VLOOKUP($G1345,'Quy chuẩn hạch toán'!$B:$E,2,0))</f>
        <v>#N/A</v>
      </c>
      <c r="I1345" s="58" t="str">
        <f>IF(H1345="","",VLOOKUP($G1345,'Quy chuẩn hạch toán'!$B:$E,3,0))</f>
        <v>#N/A</v>
      </c>
      <c r="J1345" s="95"/>
      <c r="K1345" s="60"/>
      <c r="L1345" s="61"/>
      <c r="M1345" s="62"/>
      <c r="N1345" s="63"/>
      <c r="O1345" s="64" t="str">
        <f>IF($Q1345&lt;&gt;0,VLOOKUP($Q1345,DM_KM,3,0),"")</f>
        <v>#N/A</v>
      </c>
      <c r="P1345" s="64" t="str">
        <f>IF($Q1345&lt;&gt;0,VLOOKUP($Q1345,DM_KM,5,0),"")</f>
        <v>#N/A</v>
      </c>
      <c r="Q1345" s="65" t="s">
        <v>198</v>
      </c>
      <c r="R1345" s="64" t="str">
        <f>IF(S1345&lt;&gt;0,VLOOKUP(S1345,DM_DUAN,3,0),"")</f>
        <v>#N/A</v>
      </c>
      <c r="S1345" s="66" t="str">
        <f>IF(U1345&lt;&gt;0,VLOOKUP(U1345,DM_DUAN,3,0),"")</f>
        <v>KIMCUONGLAND</v>
      </c>
      <c r="T1345" s="64"/>
      <c r="U1345" s="67" t="s">
        <v>1304</v>
      </c>
      <c r="V1345" s="64" t="str">
        <f>IF(W1345&lt;&gt;0,VLOOKUP(W1345,DM_DUAN,3,0),"")</f>
        <v/>
      </c>
      <c r="W1345" s="68"/>
      <c r="X1345" s="64" t="str">
        <f>IF(Y1345&lt;&gt;0,VLOOKUP(Y1345,DM_DUAN,3,0),"")</f>
        <v>#N/A</v>
      </c>
      <c r="Y1345" s="69" t="s">
        <v>176</v>
      </c>
      <c r="Z1345" s="64" t="str">
        <f>IF(AA1345&lt;&gt;0,VLOOKUP(AA1345,DM_DUAN,3,0),"")</f>
        <v>#N/A</v>
      </c>
      <c r="AA1345" s="70" t="s">
        <v>177</v>
      </c>
      <c r="AB1345" s="64" t="str">
        <f>IF(AC1345&lt;&gt;0,VLOOKUP(AC1345,DM_DUAN,3,0),"")</f>
        <v/>
      </c>
      <c r="AC1345" s="85"/>
      <c r="AD1345" s="64" t="str">
        <f>IF(AC1345&lt;&gt;0,VLOOKUP(AC1345,DM_NV,2,0),"")</f>
        <v/>
      </c>
      <c r="AE1345" s="68"/>
      <c r="AF1345" s="64" t="str">
        <f>IF(AE1345&lt;&gt;0,VLOOKUP(AE1345,DM_NV,2,0),"")</f>
        <v/>
      </c>
    </row>
    <row r="1346">
      <c r="A1346" s="51"/>
      <c r="B1346" s="52" t="str">
        <f>IF(D1346="","",VLOOKUP(D1346,'THAM CHIẾU'!$A:$B,2,0))</f>
        <v>#N/A</v>
      </c>
      <c r="C1346" s="53" t="str">
        <f t="shared" si="11"/>
        <v>06/2022</v>
      </c>
      <c r="D1346" s="99">
        <v>44716.0</v>
      </c>
      <c r="E1346" s="55" t="s">
        <v>1305</v>
      </c>
      <c r="F1346" s="56"/>
      <c r="G1346" s="57" t="s">
        <v>197</v>
      </c>
      <c r="H1346" s="58" t="str">
        <f>IF(G1346="","",VLOOKUP($G1346,'Quy chuẩn hạch toán'!$B:$E,2,0))</f>
        <v>#N/A</v>
      </c>
      <c r="I1346" s="58" t="str">
        <f>IF(H1346="","",VLOOKUP($G1346,'Quy chuẩn hạch toán'!$B:$E,3,0))</f>
        <v>#N/A</v>
      </c>
      <c r="J1346" s="95"/>
      <c r="K1346" s="60"/>
      <c r="L1346" s="61"/>
      <c r="M1346" s="62"/>
      <c r="N1346" s="63"/>
      <c r="O1346" s="64" t="str">
        <f>IF($Q1346&lt;&gt;0,VLOOKUP($Q1346,DM_KM,3,0),"")</f>
        <v>#N/A</v>
      </c>
      <c r="P1346" s="64" t="str">
        <f>IF($Q1346&lt;&gt;0,VLOOKUP($Q1346,DM_KM,5,0),"")</f>
        <v>#N/A</v>
      </c>
      <c r="Q1346" s="65" t="s">
        <v>198</v>
      </c>
      <c r="R1346" s="64" t="str">
        <f>IF(S1346&lt;&gt;0,VLOOKUP(S1346,DM_DUAN,3,0),"")</f>
        <v>#N/A</v>
      </c>
      <c r="S1346" s="66" t="str">
        <f>IF(U1346&lt;&gt;0,VLOOKUP(U1346,DM_DUAN,3,0),"")</f>
        <v>KIMCUONGLAND</v>
      </c>
      <c r="T1346" s="64"/>
      <c r="U1346" s="67" t="s">
        <v>1304</v>
      </c>
      <c r="V1346" s="64" t="str">
        <f>IF(W1346&lt;&gt;0,VLOOKUP(W1346,DM_DUAN,3,0),"")</f>
        <v/>
      </c>
      <c r="W1346" s="68"/>
      <c r="X1346" s="64" t="str">
        <f>IF(Y1346&lt;&gt;0,VLOOKUP(Y1346,DM_DUAN,3,0),"")</f>
        <v>#N/A</v>
      </c>
      <c r="Y1346" s="69" t="s">
        <v>176</v>
      </c>
      <c r="Z1346" s="64" t="str">
        <f>IF(AA1346&lt;&gt;0,VLOOKUP(AA1346,DM_DUAN,3,0),"")</f>
        <v>#N/A</v>
      </c>
      <c r="AA1346" s="70" t="s">
        <v>177</v>
      </c>
      <c r="AB1346" s="64" t="str">
        <f>IF(AC1346&lt;&gt;0,VLOOKUP(AC1346,DM_DUAN,3,0),"")</f>
        <v/>
      </c>
      <c r="AC1346" s="85"/>
      <c r="AD1346" s="64" t="str">
        <f>IF(AC1346&lt;&gt;0,VLOOKUP(AC1346,DM_NV,2,0),"")</f>
        <v/>
      </c>
      <c r="AE1346" s="68"/>
      <c r="AF1346" s="64" t="str">
        <f>IF(AE1346&lt;&gt;0,VLOOKUP(AE1346,DM_NV,2,0),"")</f>
        <v/>
      </c>
    </row>
    <row r="1347">
      <c r="A1347" s="51"/>
      <c r="B1347" s="52" t="str">
        <f>IF(D1347="","",VLOOKUP(D1347,'THAM CHIẾU'!$A:$B,2,0))</f>
        <v>#N/A</v>
      </c>
      <c r="C1347" s="53" t="str">
        <f t="shared" si="11"/>
        <v>06/2022</v>
      </c>
      <c r="D1347" s="99">
        <v>44718.0</v>
      </c>
      <c r="E1347" s="55" t="s">
        <v>1306</v>
      </c>
      <c r="F1347" s="56"/>
      <c r="G1347" s="57" t="s">
        <v>197</v>
      </c>
      <c r="H1347" s="58" t="str">
        <f>IF(G1347="","",VLOOKUP($G1347,'Quy chuẩn hạch toán'!$B:$E,2,0))</f>
        <v>#N/A</v>
      </c>
      <c r="I1347" s="58" t="str">
        <f>IF(H1347="","",VLOOKUP($G1347,'Quy chuẩn hạch toán'!$B:$E,3,0))</f>
        <v>#N/A</v>
      </c>
      <c r="J1347" s="95"/>
      <c r="K1347" s="60"/>
      <c r="L1347" s="61"/>
      <c r="M1347" s="62"/>
      <c r="N1347" s="63"/>
      <c r="O1347" s="64" t="str">
        <f>IF($Q1347&lt;&gt;0,VLOOKUP($Q1347,DM_KM,3,0),"")</f>
        <v>#N/A</v>
      </c>
      <c r="P1347" s="64" t="str">
        <f>IF($Q1347&lt;&gt;0,VLOOKUP($Q1347,DM_KM,5,0),"")</f>
        <v>#N/A</v>
      </c>
      <c r="Q1347" s="65" t="s">
        <v>198</v>
      </c>
      <c r="R1347" s="64" t="str">
        <f>IF(S1347&lt;&gt;0,VLOOKUP(S1347,DM_DUAN,3,0),"")</f>
        <v>#N/A</v>
      </c>
      <c r="S1347" s="66" t="str">
        <f>IF(U1347&lt;&gt;0,VLOOKUP(U1347,DM_DUAN,3,0),"")</f>
        <v>CLOUDLAND</v>
      </c>
      <c r="T1347" s="64"/>
      <c r="U1347" s="67" t="s">
        <v>956</v>
      </c>
      <c r="V1347" s="64" t="str">
        <f>IF(W1347&lt;&gt;0,VLOOKUP(W1347,DM_DUAN,3,0),"")</f>
        <v/>
      </c>
      <c r="W1347" s="68"/>
      <c r="X1347" s="64" t="str">
        <f>IF(Y1347&lt;&gt;0,VLOOKUP(Y1347,DM_DUAN,3,0),"")</f>
        <v>#N/A</v>
      </c>
      <c r="Y1347" s="69" t="s">
        <v>176</v>
      </c>
      <c r="Z1347" s="64" t="str">
        <f>IF(AA1347&lt;&gt;0,VLOOKUP(AA1347,DM_DUAN,3,0),"")</f>
        <v>#N/A</v>
      </c>
      <c r="AA1347" s="70" t="s">
        <v>210</v>
      </c>
      <c r="AB1347" s="64" t="str">
        <f>IF(AC1347&lt;&gt;0,VLOOKUP(AC1347,DM_DUAN,3,0),"")</f>
        <v/>
      </c>
      <c r="AC1347" s="85"/>
      <c r="AD1347" s="64" t="str">
        <f>IF(AC1347&lt;&gt;0,VLOOKUP(AC1347,DM_NV,2,0),"")</f>
        <v/>
      </c>
      <c r="AE1347" s="68"/>
      <c r="AF1347" s="64" t="str">
        <f>IF(AE1347&lt;&gt;0,VLOOKUP(AE1347,DM_NV,2,0),"")</f>
        <v/>
      </c>
    </row>
    <row r="1348">
      <c r="A1348" s="51"/>
      <c r="B1348" s="52" t="str">
        <f>IF(D1348="","",VLOOKUP(D1348,'THAM CHIẾU'!$A:$B,2,0))</f>
        <v>#N/A</v>
      </c>
      <c r="C1348" s="53" t="str">
        <f t="shared" si="11"/>
        <v>06/2022</v>
      </c>
      <c r="D1348" s="99">
        <v>44718.0</v>
      </c>
      <c r="E1348" s="55" t="s">
        <v>1307</v>
      </c>
      <c r="F1348" s="56"/>
      <c r="G1348" s="57" t="s">
        <v>197</v>
      </c>
      <c r="H1348" s="58" t="str">
        <f>IF(G1348="","",VLOOKUP($G1348,'Quy chuẩn hạch toán'!$B:$E,2,0))</f>
        <v>#N/A</v>
      </c>
      <c r="I1348" s="58" t="str">
        <f>IF(H1348="","",VLOOKUP($G1348,'Quy chuẩn hạch toán'!$B:$E,3,0))</f>
        <v>#N/A</v>
      </c>
      <c r="J1348" s="95"/>
      <c r="K1348" s="60"/>
      <c r="L1348" s="61"/>
      <c r="M1348" s="62"/>
      <c r="N1348" s="63"/>
      <c r="O1348" s="64" t="str">
        <f>IF($Q1348&lt;&gt;0,VLOOKUP($Q1348,DM_KM,3,0),"")</f>
        <v>#N/A</v>
      </c>
      <c r="P1348" s="64" t="str">
        <f>IF($Q1348&lt;&gt;0,VLOOKUP($Q1348,DM_KM,5,0),"")</f>
        <v>#N/A</v>
      </c>
      <c r="Q1348" s="65" t="s">
        <v>198</v>
      </c>
      <c r="R1348" s="64" t="str">
        <f>IF(S1348&lt;&gt;0,VLOOKUP(S1348,DM_DUAN,3,0),"")</f>
        <v>#N/A</v>
      </c>
      <c r="S1348" s="66" t="str">
        <f>IF(U1348&lt;&gt;0,VLOOKUP(U1348,DM_DUAN,3,0),"")</f>
        <v>CLOUDLAND</v>
      </c>
      <c r="T1348" s="64"/>
      <c r="U1348" s="67" t="s">
        <v>956</v>
      </c>
      <c r="V1348" s="64" t="str">
        <f>IF(W1348&lt;&gt;0,VLOOKUP(W1348,DM_DUAN,3,0),"")</f>
        <v/>
      </c>
      <c r="W1348" s="68"/>
      <c r="X1348" s="64" t="str">
        <f>IF(Y1348&lt;&gt;0,VLOOKUP(Y1348,DM_DUAN,3,0),"")</f>
        <v>#N/A</v>
      </c>
      <c r="Y1348" s="69" t="s">
        <v>176</v>
      </c>
      <c r="Z1348" s="64" t="str">
        <f>IF(AA1348&lt;&gt;0,VLOOKUP(AA1348,DM_DUAN,3,0),"")</f>
        <v>#N/A</v>
      </c>
      <c r="AA1348" s="70" t="s">
        <v>705</v>
      </c>
      <c r="AB1348" s="64" t="str">
        <f>IF(AC1348&lt;&gt;0,VLOOKUP(AC1348,DM_DUAN,3,0),"")</f>
        <v/>
      </c>
      <c r="AC1348" s="85"/>
      <c r="AD1348" s="64" t="str">
        <f>IF(AC1348&lt;&gt;0,VLOOKUP(AC1348,DM_NV,2,0),"")</f>
        <v/>
      </c>
      <c r="AE1348" s="68"/>
      <c r="AF1348" s="64" t="str">
        <f>IF(AE1348&lt;&gt;0,VLOOKUP(AE1348,DM_NV,2,0),"")</f>
        <v/>
      </c>
    </row>
    <row r="1349">
      <c r="A1349" s="51"/>
      <c r="B1349" s="52" t="str">
        <f>IF(D1349="","",VLOOKUP(D1349,'THAM CHIẾU'!$A:$B,2,0))</f>
        <v/>
      </c>
      <c r="C1349" s="53" t="str">
        <f t="shared" si="11"/>
        <v/>
      </c>
      <c r="D1349" s="54"/>
      <c r="E1349" s="91"/>
      <c r="F1349" s="92"/>
      <c r="G1349" s="90"/>
      <c r="H1349" s="58" t="str">
        <f>IF(G1349="","",VLOOKUP($G1349,'Quy chuẩn hạch toán'!$B:$E,2,0))</f>
        <v/>
      </c>
      <c r="I1349" s="58" t="str">
        <f>IF(H1349="","",VLOOKUP($G1349,'Quy chuẩn hạch toán'!$B:$E,3,0))</f>
        <v/>
      </c>
      <c r="J1349" s="95"/>
      <c r="K1349" s="60"/>
      <c r="L1349" s="61"/>
      <c r="M1349" s="62"/>
      <c r="N1349" s="63"/>
      <c r="O1349" s="64" t="str">
        <f>IF($Q1349&lt;&gt;0,VLOOKUP($Q1349,DM_KM,3,0),"")</f>
        <v/>
      </c>
      <c r="P1349" s="64" t="str">
        <f>IF($Q1349&lt;&gt;0,VLOOKUP($Q1349,DM_KM,5,0),"")</f>
        <v/>
      </c>
      <c r="Q1349" s="89"/>
      <c r="R1349" s="64" t="str">
        <f>IF(S1349&lt;&gt;0,VLOOKUP(S1349,DM_DUAN,3,0),"")</f>
        <v>#N/A</v>
      </c>
      <c r="S1349" s="66" t="str">
        <f>IF(U1349&lt;&gt;0,VLOOKUP(U1349,DM_DUAN,3,0),"")</f>
        <v/>
      </c>
      <c r="T1349" s="64"/>
      <c r="U1349" s="93"/>
      <c r="V1349" s="64" t="str">
        <f>IF(W1349&lt;&gt;0,VLOOKUP(W1349,DM_DUAN,3,0),"")</f>
        <v/>
      </c>
      <c r="W1349" s="68"/>
      <c r="X1349" s="64" t="str">
        <f>IF(Y1349&lt;&gt;0,VLOOKUP(Y1349,DM_DUAN,3,0),"")</f>
        <v/>
      </c>
      <c r="Y1349" s="84"/>
      <c r="Z1349" s="64" t="str">
        <f>IF(AA1349&lt;&gt;0,VLOOKUP(AA1349,DM_DUAN,3,0),"")</f>
        <v/>
      </c>
      <c r="AA1349" s="131"/>
      <c r="AB1349" s="64" t="str">
        <f>IF(AC1349&lt;&gt;0,VLOOKUP(AC1349,DM_DUAN,3,0),"")</f>
        <v/>
      </c>
      <c r="AC1349" s="85"/>
      <c r="AD1349" s="64" t="str">
        <f>IF(AC1349&lt;&gt;0,VLOOKUP(AC1349,DM_NV,2,0),"")</f>
        <v/>
      </c>
      <c r="AE1349" s="68"/>
      <c r="AF1349" s="64" t="str">
        <f>IF(AE1349&lt;&gt;0,VLOOKUP(AE1349,DM_NV,2,0),"")</f>
        <v/>
      </c>
    </row>
    <row r="1350">
      <c r="A1350" s="51"/>
      <c r="B1350" s="52" t="str">
        <f>IF(D1350="","",VLOOKUP(D1350,'THAM CHIẾU'!$A:$B,2,0))</f>
        <v/>
      </c>
      <c r="C1350" s="53" t="str">
        <f t="shared" si="11"/>
        <v/>
      </c>
      <c r="D1350" s="54"/>
      <c r="E1350" s="91"/>
      <c r="F1350" s="92"/>
      <c r="G1350" s="90"/>
      <c r="H1350" s="58" t="str">
        <f>IF(G1350="","",VLOOKUP($G1350,'Quy chuẩn hạch toán'!$B:$E,2,0))</f>
        <v/>
      </c>
      <c r="I1350" s="58" t="str">
        <f>IF(H1350="","",VLOOKUP($G1350,'Quy chuẩn hạch toán'!$B:$E,3,0))</f>
        <v/>
      </c>
      <c r="J1350" s="95"/>
      <c r="K1350" s="60"/>
      <c r="L1350" s="61"/>
      <c r="M1350" s="62"/>
      <c r="N1350" s="63"/>
      <c r="O1350" s="64" t="str">
        <f>IF($Q1350&lt;&gt;0,VLOOKUP($Q1350,DM_KM,3,0),"")</f>
        <v/>
      </c>
      <c r="P1350" s="64" t="str">
        <f>IF($Q1350&lt;&gt;0,VLOOKUP($Q1350,DM_KM,5,0),"")</f>
        <v/>
      </c>
      <c r="Q1350" s="89"/>
      <c r="R1350" s="64" t="str">
        <f>IF(S1350&lt;&gt;0,VLOOKUP(S1350,DM_DUAN,3,0),"")</f>
        <v>#N/A</v>
      </c>
      <c r="S1350" s="66" t="str">
        <f>IF(U1350&lt;&gt;0,VLOOKUP(U1350,DM_DUAN,3,0),"")</f>
        <v/>
      </c>
      <c r="T1350" s="64"/>
      <c r="U1350" s="93"/>
      <c r="V1350" s="64" t="str">
        <f>IF(W1350&lt;&gt;0,VLOOKUP(W1350,DM_DUAN,3,0),"")</f>
        <v/>
      </c>
      <c r="W1350" s="68"/>
      <c r="X1350" s="64" t="str">
        <f>IF(Y1350&lt;&gt;0,VLOOKUP(Y1350,DM_DUAN,3,0),"")</f>
        <v/>
      </c>
      <c r="Y1350" s="84"/>
      <c r="Z1350" s="64" t="str">
        <f>IF(AA1350&lt;&gt;0,VLOOKUP(AA1350,DM_DUAN,3,0),"")</f>
        <v/>
      </c>
      <c r="AA1350" s="131"/>
      <c r="AB1350" s="64" t="str">
        <f>IF(AC1350&lt;&gt;0,VLOOKUP(AC1350,DM_DUAN,3,0),"")</f>
        <v/>
      </c>
      <c r="AC1350" s="85"/>
      <c r="AD1350" s="64" t="str">
        <f>IF(AC1350&lt;&gt;0,VLOOKUP(AC1350,DM_NV,2,0),"")</f>
        <v/>
      </c>
      <c r="AE1350" s="68"/>
      <c r="AF1350" s="64" t="str">
        <f>IF(AE1350&lt;&gt;0,VLOOKUP(AE1350,DM_NV,2,0),"")</f>
        <v/>
      </c>
    </row>
    <row r="1351">
      <c r="A1351" s="51"/>
      <c r="B1351" s="52" t="str">
        <f>IF(D1351="","",VLOOKUP(D1351,'THAM CHIẾU'!$A:$B,2,0))</f>
        <v/>
      </c>
      <c r="C1351" s="53" t="str">
        <f t="shared" si="11"/>
        <v/>
      </c>
      <c r="D1351" s="54"/>
      <c r="E1351" s="91"/>
      <c r="F1351" s="92"/>
      <c r="G1351" s="90"/>
      <c r="H1351" s="58" t="str">
        <f>IF(G1351="","",VLOOKUP($G1351,'Quy chuẩn hạch toán'!$B:$E,2,0))</f>
        <v/>
      </c>
      <c r="I1351" s="58" t="str">
        <f>IF(H1351="","",VLOOKUP($G1351,'Quy chuẩn hạch toán'!$B:$E,3,0))</f>
        <v/>
      </c>
      <c r="J1351" s="95"/>
      <c r="K1351" s="60"/>
      <c r="L1351" s="61"/>
      <c r="M1351" s="62"/>
      <c r="N1351" s="63"/>
      <c r="O1351" s="64" t="str">
        <f>IF($Q1351&lt;&gt;0,VLOOKUP($Q1351,DM_KM,3,0),"")</f>
        <v/>
      </c>
      <c r="P1351" s="64" t="str">
        <f>IF($Q1351&lt;&gt;0,VLOOKUP($Q1351,DM_KM,5,0),"")</f>
        <v/>
      </c>
      <c r="Q1351" s="89"/>
      <c r="R1351" s="64" t="str">
        <f>IF(S1351&lt;&gt;0,VLOOKUP(S1351,DM_DUAN,3,0),"")</f>
        <v>#N/A</v>
      </c>
      <c r="S1351" s="66" t="str">
        <f>IF(U1351&lt;&gt;0,VLOOKUP(U1351,DM_DUAN,3,0),"")</f>
        <v/>
      </c>
      <c r="T1351" s="64"/>
      <c r="U1351" s="93"/>
      <c r="V1351" s="64" t="str">
        <f>IF(W1351&lt;&gt;0,VLOOKUP(W1351,DM_DUAN,3,0),"")</f>
        <v/>
      </c>
      <c r="W1351" s="68"/>
      <c r="X1351" s="64" t="str">
        <f>IF(Y1351&lt;&gt;0,VLOOKUP(Y1351,DM_DUAN,3,0),"")</f>
        <v/>
      </c>
      <c r="Y1351" s="84"/>
      <c r="Z1351" s="64" t="str">
        <f>IF(AA1351&lt;&gt;0,VLOOKUP(AA1351,DM_DUAN,3,0),"")</f>
        <v/>
      </c>
      <c r="AA1351" s="131"/>
      <c r="AB1351" s="64" t="str">
        <f>IF(AC1351&lt;&gt;0,VLOOKUP(AC1351,DM_DUAN,3,0),"")</f>
        <v/>
      </c>
      <c r="AC1351" s="85"/>
      <c r="AD1351" s="64" t="str">
        <f>IF(AC1351&lt;&gt;0,VLOOKUP(AC1351,DM_NV,2,0),"")</f>
        <v/>
      </c>
      <c r="AE1351" s="68"/>
      <c r="AF1351" s="64" t="str">
        <f>IF(AE1351&lt;&gt;0,VLOOKUP(AE1351,DM_NV,2,0),"")</f>
        <v/>
      </c>
    </row>
    <row r="1352">
      <c r="A1352" s="51"/>
      <c r="B1352" s="52" t="str">
        <f>IF(D1352="","",VLOOKUP(D1352,'THAM CHIẾU'!$A:$B,2,0))</f>
        <v/>
      </c>
      <c r="C1352" s="53" t="str">
        <f t="shared" si="11"/>
        <v/>
      </c>
      <c r="D1352" s="54"/>
      <c r="E1352" s="91"/>
      <c r="F1352" s="92"/>
      <c r="G1352" s="90"/>
      <c r="H1352" s="58" t="str">
        <f>IF(G1352="","",VLOOKUP($G1352,'Quy chuẩn hạch toán'!$B:$E,2,0))</f>
        <v/>
      </c>
      <c r="I1352" s="58" t="str">
        <f>IF(H1352="","",VLOOKUP($G1352,'Quy chuẩn hạch toán'!$B:$E,3,0))</f>
        <v/>
      </c>
      <c r="J1352" s="95"/>
      <c r="K1352" s="60"/>
      <c r="L1352" s="61"/>
      <c r="M1352" s="62"/>
      <c r="N1352" s="63"/>
      <c r="O1352" s="64" t="str">
        <f>IF($Q1352&lt;&gt;0,VLOOKUP($Q1352,DM_KM,3,0),"")</f>
        <v/>
      </c>
      <c r="P1352" s="64" t="str">
        <f>IF($Q1352&lt;&gt;0,VLOOKUP($Q1352,DM_KM,5,0),"")</f>
        <v/>
      </c>
      <c r="Q1352" s="89"/>
      <c r="R1352" s="64" t="str">
        <f>IF(S1352&lt;&gt;0,VLOOKUP(S1352,DM_DUAN,3,0),"")</f>
        <v>#N/A</v>
      </c>
      <c r="S1352" s="66" t="str">
        <f>IF(U1352&lt;&gt;0,VLOOKUP(U1352,DM_DUAN,3,0),"")</f>
        <v/>
      </c>
      <c r="T1352" s="64"/>
      <c r="U1352" s="93"/>
      <c r="V1352" s="64" t="str">
        <f>IF(W1352&lt;&gt;0,VLOOKUP(W1352,DM_DUAN,3,0),"")</f>
        <v/>
      </c>
      <c r="W1352" s="68"/>
      <c r="X1352" s="64" t="str">
        <f>IF(Y1352&lt;&gt;0,VLOOKUP(Y1352,DM_DUAN,3,0),"")</f>
        <v/>
      </c>
      <c r="Y1352" s="84"/>
      <c r="Z1352" s="64" t="str">
        <f>IF(AA1352&lt;&gt;0,VLOOKUP(AA1352,DM_DUAN,3,0),"")</f>
        <v/>
      </c>
      <c r="AA1352" s="131"/>
      <c r="AB1352" s="64" t="str">
        <f>IF(AC1352&lt;&gt;0,VLOOKUP(AC1352,DM_DUAN,3,0),"")</f>
        <v/>
      </c>
      <c r="AC1352" s="85"/>
      <c r="AD1352" s="64" t="str">
        <f>IF(AC1352&lt;&gt;0,VLOOKUP(AC1352,DM_NV,2,0),"")</f>
        <v/>
      </c>
      <c r="AE1352" s="68"/>
      <c r="AF1352" s="64" t="str">
        <f>IF(AE1352&lt;&gt;0,VLOOKUP(AE1352,DM_NV,2,0),"")</f>
        <v/>
      </c>
    </row>
    <row r="1353">
      <c r="A1353" s="51"/>
      <c r="B1353" s="52" t="str">
        <f>IF(D1353="","",VLOOKUP(D1353,'THAM CHIẾU'!$A:$B,2,0))</f>
        <v/>
      </c>
      <c r="C1353" s="53" t="str">
        <f t="shared" si="11"/>
        <v/>
      </c>
      <c r="D1353" s="54"/>
      <c r="E1353" s="91"/>
      <c r="F1353" s="92"/>
      <c r="G1353" s="90"/>
      <c r="H1353" s="58" t="str">
        <f>IF(G1353="","",VLOOKUP($G1353,'Quy chuẩn hạch toán'!$B:$E,2,0))</f>
        <v/>
      </c>
      <c r="I1353" s="58" t="str">
        <f>IF(H1353="","",VLOOKUP($G1353,'Quy chuẩn hạch toán'!$B:$E,3,0))</f>
        <v/>
      </c>
      <c r="J1353" s="95"/>
      <c r="K1353" s="60"/>
      <c r="L1353" s="61"/>
      <c r="M1353" s="62"/>
      <c r="N1353" s="63"/>
      <c r="O1353" s="64" t="str">
        <f>IF($Q1353&lt;&gt;0,VLOOKUP($Q1353,DM_KM,3,0),"")</f>
        <v/>
      </c>
      <c r="P1353" s="64" t="str">
        <f>IF($Q1353&lt;&gt;0,VLOOKUP($Q1353,DM_KM,5,0),"")</f>
        <v/>
      </c>
      <c r="Q1353" s="89"/>
      <c r="R1353" s="64" t="str">
        <f>IF(S1353&lt;&gt;0,VLOOKUP(S1353,DM_DUAN,3,0),"")</f>
        <v>#N/A</v>
      </c>
      <c r="S1353" s="66" t="str">
        <f>IF(U1353&lt;&gt;0,VLOOKUP(U1353,DM_DUAN,3,0),"")</f>
        <v/>
      </c>
      <c r="T1353" s="64"/>
      <c r="U1353" s="93"/>
      <c r="V1353" s="64" t="str">
        <f>IF(W1353&lt;&gt;0,VLOOKUP(W1353,DM_DUAN,3,0),"")</f>
        <v/>
      </c>
      <c r="W1353" s="68"/>
      <c r="X1353" s="64" t="str">
        <f>IF(Y1353&lt;&gt;0,VLOOKUP(Y1353,DM_DUAN,3,0),"")</f>
        <v/>
      </c>
      <c r="Y1353" s="84"/>
      <c r="Z1353" s="64" t="str">
        <f>IF(AA1353&lt;&gt;0,VLOOKUP(AA1353,DM_DUAN,3,0),"")</f>
        <v/>
      </c>
      <c r="AA1353" s="131"/>
      <c r="AB1353" s="64" t="str">
        <f>IF(AC1353&lt;&gt;0,VLOOKUP(AC1353,DM_DUAN,3,0),"")</f>
        <v/>
      </c>
      <c r="AC1353" s="85"/>
      <c r="AD1353" s="64" t="str">
        <f>IF(AC1353&lt;&gt;0,VLOOKUP(AC1353,DM_NV,2,0),"")</f>
        <v/>
      </c>
      <c r="AE1353" s="68"/>
      <c r="AF1353" s="64" t="str">
        <f>IF(AE1353&lt;&gt;0,VLOOKUP(AE1353,DM_NV,2,0),"")</f>
        <v/>
      </c>
    </row>
    <row r="1354">
      <c r="A1354" s="51"/>
      <c r="B1354" s="52" t="str">
        <f>IF(D1354="","",VLOOKUP(D1354,'THAM CHIẾU'!$A:$B,2,0))</f>
        <v/>
      </c>
      <c r="C1354" s="53" t="str">
        <f t="shared" si="11"/>
        <v/>
      </c>
      <c r="D1354" s="54"/>
      <c r="E1354" s="91"/>
      <c r="F1354" s="92"/>
      <c r="G1354" s="90"/>
      <c r="H1354" s="58" t="str">
        <f>IF(G1354="","",VLOOKUP($G1354,'Quy chuẩn hạch toán'!$B:$E,2,0))</f>
        <v/>
      </c>
      <c r="I1354" s="58" t="str">
        <f>IF(H1354="","",VLOOKUP($G1354,'Quy chuẩn hạch toán'!$B:$E,3,0))</f>
        <v/>
      </c>
      <c r="J1354" s="95"/>
      <c r="K1354" s="60"/>
      <c r="L1354" s="61"/>
      <c r="M1354" s="62"/>
      <c r="N1354" s="63"/>
      <c r="O1354" s="64" t="str">
        <f>IF($Q1354&lt;&gt;0,VLOOKUP($Q1354,DM_KM,3,0),"")</f>
        <v/>
      </c>
      <c r="P1354" s="64" t="str">
        <f>IF($Q1354&lt;&gt;0,VLOOKUP($Q1354,DM_KM,5,0),"")</f>
        <v/>
      </c>
      <c r="Q1354" s="89"/>
      <c r="R1354" s="64" t="str">
        <f>IF(S1354&lt;&gt;0,VLOOKUP(S1354,DM_DUAN,3,0),"")</f>
        <v>#N/A</v>
      </c>
      <c r="S1354" s="66" t="str">
        <f>IF(U1354&lt;&gt;0,VLOOKUP(U1354,DM_DUAN,3,0),"")</f>
        <v/>
      </c>
      <c r="T1354" s="64"/>
      <c r="U1354" s="93"/>
      <c r="V1354" s="64" t="str">
        <f>IF(W1354&lt;&gt;0,VLOOKUP(W1354,DM_DUAN,3,0),"")</f>
        <v/>
      </c>
      <c r="W1354" s="68"/>
      <c r="X1354" s="64" t="str">
        <f>IF(Y1354&lt;&gt;0,VLOOKUP(Y1354,DM_DUAN,3,0),"")</f>
        <v/>
      </c>
      <c r="Y1354" s="84"/>
      <c r="Z1354" s="64" t="str">
        <f>IF(AA1354&lt;&gt;0,VLOOKUP(AA1354,DM_DUAN,3,0),"")</f>
        <v/>
      </c>
      <c r="AA1354" s="131"/>
      <c r="AB1354" s="64" t="str">
        <f>IF(AC1354&lt;&gt;0,VLOOKUP(AC1354,DM_DUAN,3,0),"")</f>
        <v/>
      </c>
      <c r="AC1354" s="85"/>
      <c r="AD1354" s="64" t="str">
        <f>IF(AC1354&lt;&gt;0,VLOOKUP(AC1354,DM_NV,2,0),"")</f>
        <v/>
      </c>
      <c r="AE1354" s="68"/>
      <c r="AF1354" s="64" t="str">
        <f>IF(AE1354&lt;&gt;0,VLOOKUP(AE1354,DM_NV,2,0),"")</f>
        <v/>
      </c>
    </row>
    <row r="1355">
      <c r="A1355" s="51"/>
      <c r="B1355" s="52" t="str">
        <f>IF(D1355="","",VLOOKUP(D1355,'THAM CHIẾU'!$A:$B,2,0))</f>
        <v/>
      </c>
      <c r="C1355" s="53" t="str">
        <f t="shared" si="11"/>
        <v/>
      </c>
      <c r="D1355" s="54"/>
      <c r="E1355" s="91"/>
      <c r="F1355" s="92"/>
      <c r="G1355" s="90"/>
      <c r="H1355" s="58" t="str">
        <f>IF(G1355="","",VLOOKUP($G1355,'Quy chuẩn hạch toán'!$B:$E,2,0))</f>
        <v/>
      </c>
      <c r="I1355" s="58" t="str">
        <f>IF(H1355="","",VLOOKUP($G1355,'Quy chuẩn hạch toán'!$B:$E,3,0))</f>
        <v/>
      </c>
      <c r="J1355" s="95"/>
      <c r="K1355" s="60"/>
      <c r="L1355" s="61"/>
      <c r="M1355" s="62"/>
      <c r="N1355" s="63"/>
      <c r="O1355" s="64" t="str">
        <f>IF($Q1355&lt;&gt;0,VLOOKUP($Q1355,DM_KM,3,0),"")</f>
        <v/>
      </c>
      <c r="P1355" s="64" t="str">
        <f>IF($Q1355&lt;&gt;0,VLOOKUP($Q1355,DM_KM,5,0),"")</f>
        <v/>
      </c>
      <c r="Q1355" s="89"/>
      <c r="R1355" s="64" t="str">
        <f>IF(S1355&lt;&gt;0,VLOOKUP(S1355,DM_DUAN,3,0),"")</f>
        <v>#N/A</v>
      </c>
      <c r="S1355" s="66" t="str">
        <f>IF(U1355&lt;&gt;0,VLOOKUP(U1355,DM_DUAN,3,0),"")</f>
        <v/>
      </c>
      <c r="T1355" s="64"/>
      <c r="U1355" s="93"/>
      <c r="V1355" s="64" t="str">
        <f>IF(W1355&lt;&gt;0,VLOOKUP(W1355,DM_DUAN,3,0),"")</f>
        <v/>
      </c>
      <c r="W1355" s="68"/>
      <c r="X1355" s="64" t="str">
        <f>IF(Y1355&lt;&gt;0,VLOOKUP(Y1355,DM_DUAN,3,0),"")</f>
        <v/>
      </c>
      <c r="Y1355" s="84"/>
      <c r="Z1355" s="64" t="str">
        <f>IF(AA1355&lt;&gt;0,VLOOKUP(AA1355,DM_DUAN,3,0),"")</f>
        <v/>
      </c>
      <c r="AA1355" s="131"/>
      <c r="AB1355" s="64" t="str">
        <f>IF(AC1355&lt;&gt;0,VLOOKUP(AC1355,DM_DUAN,3,0),"")</f>
        <v/>
      </c>
      <c r="AC1355" s="85"/>
      <c r="AD1355" s="64" t="str">
        <f>IF(AC1355&lt;&gt;0,VLOOKUP(AC1355,DM_NV,2,0),"")</f>
        <v/>
      </c>
      <c r="AE1355" s="68"/>
      <c r="AF1355" s="64" t="str">
        <f>IF(AE1355&lt;&gt;0,VLOOKUP(AE1355,DM_NV,2,0),"")</f>
        <v/>
      </c>
    </row>
    <row r="1356">
      <c r="A1356" s="51"/>
      <c r="B1356" s="52" t="str">
        <f>IF(D1356="","",VLOOKUP(D1356,'THAM CHIẾU'!$A:$B,2,0))</f>
        <v/>
      </c>
      <c r="C1356" s="53" t="str">
        <f t="shared" si="11"/>
        <v/>
      </c>
      <c r="D1356" s="54"/>
      <c r="E1356" s="91"/>
      <c r="F1356" s="92"/>
      <c r="G1356" s="90"/>
      <c r="H1356" s="58" t="str">
        <f>IF(G1356="","",VLOOKUP($G1356,'Quy chuẩn hạch toán'!$B:$E,2,0))</f>
        <v/>
      </c>
      <c r="I1356" s="58" t="str">
        <f>IF(H1356="","",VLOOKUP($G1356,'Quy chuẩn hạch toán'!$B:$E,3,0))</f>
        <v/>
      </c>
      <c r="J1356" s="95"/>
      <c r="K1356" s="60"/>
      <c r="L1356" s="61"/>
      <c r="M1356" s="62"/>
      <c r="N1356" s="63"/>
      <c r="O1356" s="64" t="str">
        <f>IF($Q1356&lt;&gt;0,VLOOKUP($Q1356,DM_KM,3,0),"")</f>
        <v/>
      </c>
      <c r="P1356" s="64" t="str">
        <f>IF($Q1356&lt;&gt;0,VLOOKUP($Q1356,DM_KM,5,0),"")</f>
        <v/>
      </c>
      <c r="Q1356" s="89"/>
      <c r="R1356" s="64" t="str">
        <f>IF(S1356&lt;&gt;0,VLOOKUP(S1356,DM_DUAN,3,0),"")</f>
        <v>#N/A</v>
      </c>
      <c r="S1356" s="66" t="str">
        <f>IF(U1356&lt;&gt;0,VLOOKUP(U1356,DM_DUAN,3,0),"")</f>
        <v/>
      </c>
      <c r="T1356" s="64"/>
      <c r="U1356" s="93"/>
      <c r="V1356" s="64" t="str">
        <f>IF(W1356&lt;&gt;0,VLOOKUP(W1356,DM_DUAN,3,0),"")</f>
        <v/>
      </c>
      <c r="W1356" s="68"/>
      <c r="X1356" s="64" t="str">
        <f>IF(Y1356&lt;&gt;0,VLOOKUP(Y1356,DM_DUAN,3,0),"")</f>
        <v/>
      </c>
      <c r="Y1356" s="84"/>
      <c r="Z1356" s="64" t="str">
        <f>IF(AA1356&lt;&gt;0,VLOOKUP(AA1356,DM_DUAN,3,0),"")</f>
        <v/>
      </c>
      <c r="AA1356" s="131"/>
      <c r="AB1356" s="64" t="str">
        <f>IF(AC1356&lt;&gt;0,VLOOKUP(AC1356,DM_DUAN,3,0),"")</f>
        <v/>
      </c>
      <c r="AC1356" s="85"/>
      <c r="AD1356" s="64" t="str">
        <f>IF(AC1356&lt;&gt;0,VLOOKUP(AC1356,DM_NV,2,0),"")</f>
        <v/>
      </c>
      <c r="AE1356" s="68"/>
      <c r="AF1356" s="64" t="str">
        <f>IF(AE1356&lt;&gt;0,VLOOKUP(AE1356,DM_NV,2,0),"")</f>
        <v/>
      </c>
    </row>
    <row r="1357">
      <c r="A1357" s="51"/>
      <c r="B1357" s="52" t="str">
        <f>IF(D1357="","",VLOOKUP(D1357,'THAM CHIẾU'!$A:$B,2,0))</f>
        <v/>
      </c>
      <c r="C1357" s="53" t="str">
        <f t="shared" si="11"/>
        <v/>
      </c>
      <c r="D1357" s="54"/>
      <c r="E1357" s="91"/>
      <c r="F1357" s="92"/>
      <c r="G1357" s="90"/>
      <c r="H1357" s="58" t="str">
        <f>IF(G1357="","",VLOOKUP($G1357,'Quy chuẩn hạch toán'!$B:$E,2,0))</f>
        <v/>
      </c>
      <c r="I1357" s="58" t="str">
        <f>IF(H1357="","",VLOOKUP($G1357,'Quy chuẩn hạch toán'!$B:$E,3,0))</f>
        <v/>
      </c>
      <c r="J1357" s="95"/>
      <c r="K1357" s="60"/>
      <c r="L1357" s="61"/>
      <c r="M1357" s="62"/>
      <c r="N1357" s="63"/>
      <c r="O1357" s="64" t="str">
        <f>IF($Q1357&lt;&gt;0,VLOOKUP($Q1357,DM_KM,3,0),"")</f>
        <v/>
      </c>
      <c r="P1357" s="64" t="str">
        <f>IF($Q1357&lt;&gt;0,VLOOKUP($Q1357,DM_KM,5,0),"")</f>
        <v/>
      </c>
      <c r="Q1357" s="89"/>
      <c r="R1357" s="64" t="str">
        <f>IF(S1357&lt;&gt;0,VLOOKUP(S1357,DM_DUAN,3,0),"")</f>
        <v>#N/A</v>
      </c>
      <c r="S1357" s="66" t="str">
        <f>IF(U1357&lt;&gt;0,VLOOKUP(U1357,DM_DUAN,3,0),"")</f>
        <v/>
      </c>
      <c r="T1357" s="64"/>
      <c r="U1357" s="93"/>
      <c r="V1357" s="64" t="str">
        <f>IF(W1357&lt;&gt;0,VLOOKUP(W1357,DM_DUAN,3,0),"")</f>
        <v/>
      </c>
      <c r="W1357" s="68"/>
      <c r="X1357" s="64" t="str">
        <f>IF(Y1357&lt;&gt;0,VLOOKUP(Y1357,DM_DUAN,3,0),"")</f>
        <v/>
      </c>
      <c r="Y1357" s="84"/>
      <c r="Z1357" s="64" t="str">
        <f>IF(AA1357&lt;&gt;0,VLOOKUP(AA1357,DM_DUAN,3,0),"")</f>
        <v/>
      </c>
      <c r="AA1357" s="131"/>
      <c r="AB1357" s="64" t="str">
        <f>IF(AC1357&lt;&gt;0,VLOOKUP(AC1357,DM_DUAN,3,0),"")</f>
        <v/>
      </c>
      <c r="AC1357" s="85"/>
      <c r="AD1357" s="64" t="str">
        <f>IF(AC1357&lt;&gt;0,VLOOKUP(AC1357,DM_NV,2,0),"")</f>
        <v/>
      </c>
      <c r="AE1357" s="68"/>
      <c r="AF1357" s="64" t="str">
        <f>IF(AE1357&lt;&gt;0,VLOOKUP(AE1357,DM_NV,2,0),"")</f>
        <v/>
      </c>
    </row>
    <row r="1358">
      <c r="A1358" s="51"/>
      <c r="B1358" s="52" t="str">
        <f>IF(D1358="","",VLOOKUP(D1358,'THAM CHIẾU'!$A:$B,2,0))</f>
        <v/>
      </c>
      <c r="C1358" s="53" t="str">
        <f t="shared" si="11"/>
        <v/>
      </c>
      <c r="D1358" s="54"/>
      <c r="E1358" s="91"/>
      <c r="F1358" s="92"/>
      <c r="G1358" s="90"/>
      <c r="H1358" s="58" t="str">
        <f>IF(G1358="","",VLOOKUP($G1358,'Quy chuẩn hạch toán'!$B:$E,2,0))</f>
        <v/>
      </c>
      <c r="I1358" s="58" t="str">
        <f>IF(H1358="","",VLOOKUP($G1358,'Quy chuẩn hạch toán'!$B:$E,3,0))</f>
        <v/>
      </c>
      <c r="J1358" s="95"/>
      <c r="K1358" s="60"/>
      <c r="L1358" s="61"/>
      <c r="M1358" s="62"/>
      <c r="N1358" s="63"/>
      <c r="O1358" s="64" t="str">
        <f>IF($Q1358&lt;&gt;0,VLOOKUP($Q1358,DM_KM,3,0),"")</f>
        <v/>
      </c>
      <c r="P1358" s="64" t="str">
        <f>IF($Q1358&lt;&gt;0,VLOOKUP($Q1358,DM_KM,5,0),"")</f>
        <v/>
      </c>
      <c r="Q1358" s="89"/>
      <c r="R1358" s="64" t="str">
        <f>IF(S1358&lt;&gt;0,VLOOKUP(S1358,DM_DUAN,3,0),"")</f>
        <v>#N/A</v>
      </c>
      <c r="S1358" s="66" t="str">
        <f>IF(U1358&lt;&gt;0,VLOOKUP(U1358,DM_DUAN,3,0),"")</f>
        <v/>
      </c>
      <c r="T1358" s="64"/>
      <c r="U1358" s="93"/>
      <c r="V1358" s="64" t="str">
        <f>IF(W1358&lt;&gt;0,VLOOKUP(W1358,DM_DUAN,3,0),"")</f>
        <v/>
      </c>
      <c r="W1358" s="68"/>
      <c r="X1358" s="64" t="str">
        <f>IF(Y1358&lt;&gt;0,VLOOKUP(Y1358,DM_DUAN,3,0),"")</f>
        <v/>
      </c>
      <c r="Y1358" s="84"/>
      <c r="Z1358" s="64" t="str">
        <f>IF(AA1358&lt;&gt;0,VLOOKUP(AA1358,DM_DUAN,3,0),"")</f>
        <v/>
      </c>
      <c r="AA1358" s="131"/>
      <c r="AB1358" s="64" t="str">
        <f>IF(AC1358&lt;&gt;0,VLOOKUP(AC1358,DM_DUAN,3,0),"")</f>
        <v/>
      </c>
      <c r="AC1358" s="85"/>
      <c r="AD1358" s="64" t="str">
        <f>IF(AC1358&lt;&gt;0,VLOOKUP(AC1358,DM_NV,2,0),"")</f>
        <v/>
      </c>
      <c r="AE1358" s="68"/>
      <c r="AF1358" s="64" t="str">
        <f>IF(AE1358&lt;&gt;0,VLOOKUP(AE1358,DM_NV,2,0),"")</f>
        <v/>
      </c>
    </row>
    <row r="1359">
      <c r="A1359" s="51"/>
      <c r="B1359" s="52" t="str">
        <f>IF(D1359="","",VLOOKUP(D1359,'THAM CHIẾU'!$A:$B,2,0))</f>
        <v/>
      </c>
      <c r="C1359" s="53" t="str">
        <f t="shared" si="11"/>
        <v/>
      </c>
      <c r="D1359" s="54"/>
      <c r="E1359" s="91"/>
      <c r="F1359" s="92"/>
      <c r="G1359" s="90"/>
      <c r="H1359" s="58" t="str">
        <f>IF(G1359="","",VLOOKUP($G1359,'Quy chuẩn hạch toán'!$B:$E,2,0))</f>
        <v/>
      </c>
      <c r="I1359" s="58" t="str">
        <f>IF(H1359="","",VLOOKUP($G1359,'Quy chuẩn hạch toán'!$B:$E,3,0))</f>
        <v/>
      </c>
      <c r="J1359" s="95"/>
      <c r="K1359" s="60"/>
      <c r="L1359" s="61"/>
      <c r="M1359" s="62"/>
      <c r="N1359" s="63"/>
      <c r="O1359" s="64" t="str">
        <f>IF($Q1359&lt;&gt;0,VLOOKUP($Q1359,DM_KM,3,0),"")</f>
        <v/>
      </c>
      <c r="P1359" s="64" t="str">
        <f>IF($Q1359&lt;&gt;0,VLOOKUP($Q1359,DM_KM,5,0),"")</f>
        <v/>
      </c>
      <c r="Q1359" s="89"/>
      <c r="R1359" s="64" t="str">
        <f>IF(S1359&lt;&gt;0,VLOOKUP(S1359,DM_DUAN,3,0),"")</f>
        <v>#N/A</v>
      </c>
      <c r="S1359" s="66" t="str">
        <f>IF(U1359&lt;&gt;0,VLOOKUP(U1359,DM_DUAN,3,0),"")</f>
        <v/>
      </c>
      <c r="T1359" s="64"/>
      <c r="U1359" s="93"/>
      <c r="V1359" s="64" t="str">
        <f>IF(W1359&lt;&gt;0,VLOOKUP(W1359,DM_DUAN,3,0),"")</f>
        <v/>
      </c>
      <c r="W1359" s="68"/>
      <c r="X1359" s="64" t="str">
        <f>IF(Y1359&lt;&gt;0,VLOOKUP(Y1359,DM_DUAN,3,0),"")</f>
        <v/>
      </c>
      <c r="Y1359" s="84"/>
      <c r="Z1359" s="64" t="str">
        <f>IF(AA1359&lt;&gt;0,VLOOKUP(AA1359,DM_DUAN,3,0),"")</f>
        <v/>
      </c>
      <c r="AA1359" s="131"/>
      <c r="AB1359" s="64" t="str">
        <f>IF(AC1359&lt;&gt;0,VLOOKUP(AC1359,DM_DUAN,3,0),"")</f>
        <v/>
      </c>
      <c r="AC1359" s="85"/>
      <c r="AD1359" s="64" t="str">
        <f>IF(AC1359&lt;&gt;0,VLOOKUP(AC1359,DM_NV,2,0),"")</f>
        <v/>
      </c>
      <c r="AE1359" s="68"/>
      <c r="AF1359" s="64" t="str">
        <f>IF(AE1359&lt;&gt;0,VLOOKUP(AE1359,DM_NV,2,0),"")</f>
        <v/>
      </c>
    </row>
    <row r="1360">
      <c r="A1360" s="51"/>
      <c r="B1360" s="52" t="str">
        <f>IF(D1360="","",VLOOKUP(D1360,'THAM CHIẾU'!$A:$B,2,0))</f>
        <v/>
      </c>
      <c r="C1360" s="53" t="str">
        <f t="shared" si="11"/>
        <v/>
      </c>
      <c r="D1360" s="54"/>
      <c r="E1360" s="91"/>
      <c r="F1360" s="92"/>
      <c r="G1360" s="90"/>
      <c r="H1360" s="58" t="str">
        <f>IF(G1360="","",VLOOKUP($G1360,'Quy chuẩn hạch toán'!$B:$E,2,0))</f>
        <v/>
      </c>
      <c r="I1360" s="58" t="str">
        <f>IF(H1360="","",VLOOKUP($G1360,'Quy chuẩn hạch toán'!$B:$E,3,0))</f>
        <v/>
      </c>
      <c r="J1360" s="95"/>
      <c r="K1360" s="60"/>
      <c r="L1360" s="61"/>
      <c r="M1360" s="62"/>
      <c r="N1360" s="63"/>
      <c r="O1360" s="64" t="str">
        <f>IF($Q1360&lt;&gt;0,VLOOKUP($Q1360,DM_KM,3,0),"")</f>
        <v/>
      </c>
      <c r="P1360" s="64" t="str">
        <f>IF($Q1360&lt;&gt;0,VLOOKUP($Q1360,DM_KM,5,0),"")</f>
        <v/>
      </c>
      <c r="Q1360" s="89"/>
      <c r="R1360" s="64" t="str">
        <f>IF(S1360&lt;&gt;0,VLOOKUP(S1360,DM_DUAN,3,0),"")</f>
        <v>#N/A</v>
      </c>
      <c r="S1360" s="66" t="str">
        <f>IF(U1360&lt;&gt;0,VLOOKUP(U1360,DM_DUAN,3,0),"")</f>
        <v/>
      </c>
      <c r="T1360" s="64"/>
      <c r="U1360" s="93"/>
      <c r="V1360" s="64" t="str">
        <f>IF(W1360&lt;&gt;0,VLOOKUP(W1360,DM_DUAN,3,0),"")</f>
        <v/>
      </c>
      <c r="W1360" s="68"/>
      <c r="X1360" s="64" t="str">
        <f>IF(Y1360&lt;&gt;0,VLOOKUP(Y1360,DM_DUAN,3,0),"")</f>
        <v/>
      </c>
      <c r="Y1360" s="84"/>
      <c r="Z1360" s="64" t="str">
        <f>IF(AA1360&lt;&gt;0,VLOOKUP(AA1360,DM_DUAN,3,0),"")</f>
        <v/>
      </c>
      <c r="AA1360" s="131"/>
      <c r="AB1360" s="64" t="str">
        <f>IF(AC1360&lt;&gt;0,VLOOKUP(AC1360,DM_DUAN,3,0),"")</f>
        <v/>
      </c>
      <c r="AC1360" s="85"/>
      <c r="AD1360" s="64" t="str">
        <f>IF(AC1360&lt;&gt;0,VLOOKUP(AC1360,DM_NV,2,0),"")</f>
        <v/>
      </c>
      <c r="AE1360" s="68"/>
      <c r="AF1360" s="64" t="str">
        <f>IF(AE1360&lt;&gt;0,VLOOKUP(AE1360,DM_NV,2,0),"")</f>
        <v/>
      </c>
    </row>
    <row r="1361">
      <c r="A1361" s="51"/>
      <c r="B1361" s="52" t="str">
        <f>IF(D1361="","",VLOOKUP(D1361,'THAM CHIẾU'!$A:$B,2,0))</f>
        <v/>
      </c>
      <c r="C1361" s="53" t="str">
        <f t="shared" si="11"/>
        <v/>
      </c>
      <c r="D1361" s="54"/>
      <c r="E1361" s="91"/>
      <c r="F1361" s="92"/>
      <c r="G1361" s="90"/>
      <c r="H1361" s="58" t="str">
        <f>IF(G1361="","",VLOOKUP($G1361,'Quy chuẩn hạch toán'!$B:$E,2,0))</f>
        <v/>
      </c>
      <c r="I1361" s="58" t="str">
        <f>IF(H1361="","",VLOOKUP($G1361,'Quy chuẩn hạch toán'!$B:$E,3,0))</f>
        <v/>
      </c>
      <c r="J1361" s="95"/>
      <c r="K1361" s="60"/>
      <c r="L1361" s="61"/>
      <c r="M1361" s="62"/>
      <c r="N1361" s="63"/>
      <c r="O1361" s="64" t="str">
        <f>IF($Q1361&lt;&gt;0,VLOOKUP($Q1361,DM_KM,3,0),"")</f>
        <v/>
      </c>
      <c r="P1361" s="64" t="str">
        <f>IF($Q1361&lt;&gt;0,VLOOKUP($Q1361,DM_KM,5,0),"")</f>
        <v/>
      </c>
      <c r="Q1361" s="89"/>
      <c r="R1361" s="64" t="str">
        <f>IF(S1361&lt;&gt;0,VLOOKUP(S1361,DM_DUAN,3,0),"")</f>
        <v>#N/A</v>
      </c>
      <c r="S1361" s="66" t="str">
        <f>IF(U1361&lt;&gt;0,VLOOKUP(U1361,DM_DUAN,3,0),"")</f>
        <v/>
      </c>
      <c r="T1361" s="64"/>
      <c r="U1361" s="93"/>
      <c r="V1361" s="64" t="str">
        <f>IF(W1361&lt;&gt;0,VLOOKUP(W1361,DM_DUAN,3,0),"")</f>
        <v/>
      </c>
      <c r="W1361" s="68"/>
      <c r="X1361" s="64" t="str">
        <f>IF(Y1361&lt;&gt;0,VLOOKUP(Y1361,DM_DUAN,3,0),"")</f>
        <v/>
      </c>
      <c r="Y1361" s="84"/>
      <c r="Z1361" s="64" t="str">
        <f>IF(AA1361&lt;&gt;0,VLOOKUP(AA1361,DM_DUAN,3,0),"")</f>
        <v/>
      </c>
      <c r="AA1361" s="131"/>
      <c r="AB1361" s="64" t="str">
        <f>IF(AC1361&lt;&gt;0,VLOOKUP(AC1361,DM_DUAN,3,0),"")</f>
        <v/>
      </c>
      <c r="AC1361" s="85"/>
      <c r="AD1361" s="64" t="str">
        <f>IF(AC1361&lt;&gt;0,VLOOKUP(AC1361,DM_NV,2,0),"")</f>
        <v/>
      </c>
      <c r="AE1361" s="68"/>
      <c r="AF1361" s="64" t="str">
        <f>IF(AE1361&lt;&gt;0,VLOOKUP(AE1361,DM_NV,2,0),"")</f>
        <v/>
      </c>
    </row>
    <row r="1362">
      <c r="A1362" s="51"/>
      <c r="B1362" s="52" t="str">
        <f>IF(D1362="","",VLOOKUP(D1362,'THAM CHIẾU'!$A:$B,2,0))</f>
        <v/>
      </c>
      <c r="C1362" s="53" t="str">
        <f t="shared" si="11"/>
        <v/>
      </c>
      <c r="D1362" s="54"/>
      <c r="E1362" s="91"/>
      <c r="F1362" s="92"/>
      <c r="G1362" s="90"/>
      <c r="H1362" s="58" t="str">
        <f>IF(G1362="","",VLOOKUP($G1362,'Quy chuẩn hạch toán'!$B:$E,2,0))</f>
        <v/>
      </c>
      <c r="I1362" s="58" t="str">
        <f>IF(H1362="","",VLOOKUP($G1362,'Quy chuẩn hạch toán'!$B:$E,3,0))</f>
        <v/>
      </c>
      <c r="J1362" s="95"/>
      <c r="K1362" s="60"/>
      <c r="L1362" s="61"/>
      <c r="M1362" s="62"/>
      <c r="N1362" s="63"/>
      <c r="O1362" s="64" t="str">
        <f>IF($Q1362&lt;&gt;0,VLOOKUP($Q1362,DM_KM,3,0),"")</f>
        <v/>
      </c>
      <c r="P1362" s="64" t="str">
        <f>IF($Q1362&lt;&gt;0,VLOOKUP($Q1362,DM_KM,5,0),"")</f>
        <v/>
      </c>
      <c r="Q1362" s="89"/>
      <c r="R1362" s="64" t="str">
        <f>IF(S1362&lt;&gt;0,VLOOKUP(S1362,DM_DUAN,3,0),"")</f>
        <v>#N/A</v>
      </c>
      <c r="S1362" s="66" t="str">
        <f>IF(U1362&lt;&gt;0,VLOOKUP(U1362,DM_DUAN,3,0),"")</f>
        <v/>
      </c>
      <c r="T1362" s="64"/>
      <c r="U1362" s="93"/>
      <c r="V1362" s="64" t="str">
        <f>IF(W1362&lt;&gt;0,VLOOKUP(W1362,DM_DUAN,3,0),"")</f>
        <v/>
      </c>
      <c r="W1362" s="68"/>
      <c r="X1362" s="64" t="str">
        <f>IF(Y1362&lt;&gt;0,VLOOKUP(Y1362,DM_DUAN,3,0),"")</f>
        <v/>
      </c>
      <c r="Y1362" s="84"/>
      <c r="Z1362" s="64" t="str">
        <f>IF(AA1362&lt;&gt;0,VLOOKUP(AA1362,DM_DUAN,3,0),"")</f>
        <v/>
      </c>
      <c r="AA1362" s="131"/>
      <c r="AB1362" s="64" t="str">
        <f>IF(AC1362&lt;&gt;0,VLOOKUP(AC1362,DM_DUAN,3,0),"")</f>
        <v/>
      </c>
      <c r="AC1362" s="85"/>
      <c r="AD1362" s="64" t="str">
        <f>IF(AC1362&lt;&gt;0,VLOOKUP(AC1362,DM_NV,2,0),"")</f>
        <v/>
      </c>
      <c r="AE1362" s="68"/>
      <c r="AF1362" s="64" t="str">
        <f>IF(AE1362&lt;&gt;0,VLOOKUP(AE1362,DM_NV,2,0),"")</f>
        <v/>
      </c>
    </row>
    <row r="1363">
      <c r="A1363" s="51"/>
      <c r="B1363" s="52" t="str">
        <f>IF(D1363="","",VLOOKUP(D1363,'THAM CHIẾU'!$A:$B,2,0))</f>
        <v/>
      </c>
      <c r="C1363" s="53" t="str">
        <f t="shared" si="11"/>
        <v/>
      </c>
      <c r="D1363" s="54"/>
      <c r="E1363" s="91"/>
      <c r="F1363" s="92"/>
      <c r="G1363" s="90"/>
      <c r="H1363" s="58" t="str">
        <f>IF(G1363="","",VLOOKUP($G1363,'Quy chuẩn hạch toán'!$B:$E,2,0))</f>
        <v/>
      </c>
      <c r="I1363" s="58" t="str">
        <f>IF(H1363="","",VLOOKUP($G1363,'Quy chuẩn hạch toán'!$B:$E,3,0))</f>
        <v/>
      </c>
      <c r="J1363" s="95"/>
      <c r="K1363" s="60"/>
      <c r="L1363" s="61"/>
      <c r="M1363" s="62"/>
      <c r="N1363" s="63"/>
      <c r="O1363" s="64" t="str">
        <f>IF($Q1363&lt;&gt;0,VLOOKUP($Q1363,DM_KM,3,0),"")</f>
        <v/>
      </c>
      <c r="P1363" s="64" t="str">
        <f>IF($Q1363&lt;&gt;0,VLOOKUP($Q1363,DM_KM,5,0),"")</f>
        <v/>
      </c>
      <c r="Q1363" s="89"/>
      <c r="R1363" s="64" t="str">
        <f>IF(S1363&lt;&gt;0,VLOOKUP(S1363,DM_DUAN,3,0),"")</f>
        <v>#N/A</v>
      </c>
      <c r="S1363" s="66" t="str">
        <f>IF(U1363&lt;&gt;0,VLOOKUP(U1363,DM_DUAN,3,0),"")</f>
        <v/>
      </c>
      <c r="T1363" s="64"/>
      <c r="U1363" s="93"/>
      <c r="V1363" s="64" t="str">
        <f>IF(W1363&lt;&gt;0,VLOOKUP(W1363,DM_DUAN,3,0),"")</f>
        <v/>
      </c>
      <c r="W1363" s="68"/>
      <c r="X1363" s="64" t="str">
        <f>IF(Y1363&lt;&gt;0,VLOOKUP(Y1363,DM_DUAN,3,0),"")</f>
        <v/>
      </c>
      <c r="Y1363" s="84"/>
      <c r="Z1363" s="64" t="str">
        <f>IF(AA1363&lt;&gt;0,VLOOKUP(AA1363,DM_DUAN,3,0),"")</f>
        <v/>
      </c>
      <c r="AA1363" s="131"/>
      <c r="AB1363" s="64" t="str">
        <f>IF(AC1363&lt;&gt;0,VLOOKUP(AC1363,DM_DUAN,3,0),"")</f>
        <v/>
      </c>
      <c r="AC1363" s="85"/>
      <c r="AD1363" s="64" t="str">
        <f>IF(AC1363&lt;&gt;0,VLOOKUP(AC1363,DM_NV,2,0),"")</f>
        <v/>
      </c>
      <c r="AE1363" s="68"/>
      <c r="AF1363" s="64" t="str">
        <f>IF(AE1363&lt;&gt;0,VLOOKUP(AE1363,DM_NV,2,0),"")</f>
        <v/>
      </c>
    </row>
    <row r="1364">
      <c r="A1364" s="51"/>
      <c r="B1364" s="52" t="str">
        <f>IF(D1364="","",VLOOKUP(D1364,'THAM CHIẾU'!$A:$B,2,0))</f>
        <v/>
      </c>
      <c r="C1364" s="53" t="str">
        <f t="shared" si="11"/>
        <v/>
      </c>
      <c r="D1364" s="54"/>
      <c r="E1364" s="91"/>
      <c r="F1364" s="92"/>
      <c r="G1364" s="90"/>
      <c r="H1364" s="58" t="str">
        <f>IF(G1364="","",VLOOKUP($G1364,'Quy chuẩn hạch toán'!$B:$E,2,0))</f>
        <v/>
      </c>
      <c r="I1364" s="58" t="str">
        <f>IF(H1364="","",VLOOKUP($G1364,'Quy chuẩn hạch toán'!$B:$E,3,0))</f>
        <v/>
      </c>
      <c r="J1364" s="95"/>
      <c r="K1364" s="60"/>
      <c r="L1364" s="61"/>
      <c r="M1364" s="62"/>
      <c r="N1364" s="63"/>
      <c r="O1364" s="64" t="str">
        <f>IF($Q1364&lt;&gt;0,VLOOKUP($Q1364,DM_KM,3,0),"")</f>
        <v/>
      </c>
      <c r="P1364" s="64" t="str">
        <f>IF($Q1364&lt;&gt;0,VLOOKUP($Q1364,DM_KM,5,0),"")</f>
        <v/>
      </c>
      <c r="Q1364" s="89"/>
      <c r="R1364" s="64" t="str">
        <f>IF(S1364&lt;&gt;0,VLOOKUP(S1364,DM_DUAN,3,0),"")</f>
        <v>#N/A</v>
      </c>
      <c r="S1364" s="66" t="str">
        <f>IF(U1364&lt;&gt;0,VLOOKUP(U1364,DM_DUAN,3,0),"")</f>
        <v/>
      </c>
      <c r="T1364" s="64"/>
      <c r="U1364" s="93"/>
      <c r="V1364" s="64" t="str">
        <f>IF(W1364&lt;&gt;0,VLOOKUP(W1364,DM_DUAN,3,0),"")</f>
        <v/>
      </c>
      <c r="W1364" s="68"/>
      <c r="X1364" s="64" t="str">
        <f>IF(Y1364&lt;&gt;0,VLOOKUP(Y1364,DM_DUAN,3,0),"")</f>
        <v/>
      </c>
      <c r="Y1364" s="84"/>
      <c r="Z1364" s="64" t="str">
        <f>IF(AA1364&lt;&gt;0,VLOOKUP(AA1364,DM_DUAN,3,0),"")</f>
        <v/>
      </c>
      <c r="AA1364" s="131"/>
      <c r="AB1364" s="64" t="str">
        <f>IF(AC1364&lt;&gt;0,VLOOKUP(AC1364,DM_DUAN,3,0),"")</f>
        <v/>
      </c>
      <c r="AC1364" s="85"/>
      <c r="AD1364" s="64" t="str">
        <f>IF(AC1364&lt;&gt;0,VLOOKUP(AC1364,DM_NV,2,0),"")</f>
        <v/>
      </c>
      <c r="AE1364" s="68"/>
      <c r="AF1364" s="64" t="str">
        <f>IF(AE1364&lt;&gt;0,VLOOKUP(AE1364,DM_NV,2,0),"")</f>
        <v/>
      </c>
    </row>
    <row r="1365">
      <c r="A1365" s="51"/>
      <c r="B1365" s="52" t="str">
        <f>IF(D1365="","",VLOOKUP(D1365,'THAM CHIẾU'!$A:$B,2,0))</f>
        <v/>
      </c>
      <c r="C1365" s="53" t="str">
        <f t="shared" si="11"/>
        <v/>
      </c>
      <c r="D1365" s="54"/>
      <c r="E1365" s="91"/>
      <c r="F1365" s="92"/>
      <c r="G1365" s="90"/>
      <c r="H1365" s="58" t="str">
        <f>IF(G1365="","",VLOOKUP($G1365,'Quy chuẩn hạch toán'!$B:$E,2,0))</f>
        <v/>
      </c>
      <c r="I1365" s="58" t="str">
        <f>IF(H1365="","",VLOOKUP($G1365,'Quy chuẩn hạch toán'!$B:$E,3,0))</f>
        <v/>
      </c>
      <c r="J1365" s="95"/>
      <c r="K1365" s="60"/>
      <c r="L1365" s="61"/>
      <c r="M1365" s="62"/>
      <c r="N1365" s="63"/>
      <c r="O1365" s="64" t="str">
        <f>IF($Q1365&lt;&gt;0,VLOOKUP($Q1365,DM_KM,3,0),"")</f>
        <v/>
      </c>
      <c r="P1365" s="64" t="str">
        <f>IF($Q1365&lt;&gt;0,VLOOKUP($Q1365,DM_KM,5,0),"")</f>
        <v/>
      </c>
      <c r="Q1365" s="89"/>
      <c r="R1365" s="64" t="str">
        <f>IF(S1365&lt;&gt;0,VLOOKUP(S1365,DM_DUAN,3,0),"")</f>
        <v>#N/A</v>
      </c>
      <c r="S1365" s="66" t="str">
        <f>IF(U1365&lt;&gt;0,VLOOKUP(U1365,DM_DUAN,3,0),"")</f>
        <v/>
      </c>
      <c r="T1365" s="64"/>
      <c r="U1365" s="93"/>
      <c r="V1365" s="64" t="str">
        <f>IF(W1365&lt;&gt;0,VLOOKUP(W1365,DM_DUAN,3,0),"")</f>
        <v/>
      </c>
      <c r="W1365" s="68"/>
      <c r="X1365" s="64" t="str">
        <f>IF(Y1365&lt;&gt;0,VLOOKUP(Y1365,DM_DUAN,3,0),"")</f>
        <v/>
      </c>
      <c r="Y1365" s="84"/>
      <c r="Z1365" s="64" t="str">
        <f>IF(AA1365&lt;&gt;0,VLOOKUP(AA1365,DM_DUAN,3,0),"")</f>
        <v/>
      </c>
      <c r="AA1365" s="131"/>
      <c r="AB1365" s="64" t="str">
        <f>IF(AC1365&lt;&gt;0,VLOOKUP(AC1365,DM_DUAN,3,0),"")</f>
        <v/>
      </c>
      <c r="AC1365" s="85"/>
      <c r="AD1365" s="64" t="str">
        <f>IF(AC1365&lt;&gt;0,VLOOKUP(AC1365,DM_NV,2,0),"")</f>
        <v/>
      </c>
      <c r="AE1365" s="68"/>
      <c r="AF1365" s="64" t="str">
        <f>IF(AE1365&lt;&gt;0,VLOOKUP(AE1365,DM_NV,2,0),"")</f>
        <v/>
      </c>
    </row>
    <row r="1366">
      <c r="A1366" s="51"/>
      <c r="B1366" s="52" t="str">
        <f>IF(D1366="","",VLOOKUP(D1366,'THAM CHIẾU'!$A:$B,2,0))</f>
        <v/>
      </c>
      <c r="C1366" s="53" t="str">
        <f t="shared" si="11"/>
        <v/>
      </c>
      <c r="D1366" s="54"/>
      <c r="E1366" s="91"/>
      <c r="F1366" s="92"/>
      <c r="G1366" s="90"/>
      <c r="H1366" s="58" t="str">
        <f>IF(G1366="","",VLOOKUP($G1366,'Quy chuẩn hạch toán'!$B:$E,2,0))</f>
        <v/>
      </c>
      <c r="I1366" s="58" t="str">
        <f>IF(H1366="","",VLOOKUP($G1366,'Quy chuẩn hạch toán'!$B:$E,3,0))</f>
        <v/>
      </c>
      <c r="J1366" s="95"/>
      <c r="K1366" s="60"/>
      <c r="L1366" s="61"/>
      <c r="M1366" s="62"/>
      <c r="N1366" s="63"/>
      <c r="O1366" s="64" t="str">
        <f>IF($Q1366&lt;&gt;0,VLOOKUP($Q1366,DM_KM,3,0),"")</f>
        <v/>
      </c>
      <c r="P1366" s="64" t="str">
        <f>IF($Q1366&lt;&gt;0,VLOOKUP($Q1366,DM_KM,5,0),"")</f>
        <v/>
      </c>
      <c r="Q1366" s="89"/>
      <c r="R1366" s="64" t="str">
        <f>IF(S1366&lt;&gt;0,VLOOKUP(S1366,DM_DUAN,3,0),"")</f>
        <v>#N/A</v>
      </c>
      <c r="S1366" s="66" t="str">
        <f>IF(U1366&lt;&gt;0,VLOOKUP(U1366,DM_DUAN,3,0),"")</f>
        <v/>
      </c>
      <c r="T1366" s="64"/>
      <c r="U1366" s="93"/>
      <c r="V1366" s="64" t="str">
        <f>IF(W1366&lt;&gt;0,VLOOKUP(W1366,DM_DUAN,3,0),"")</f>
        <v/>
      </c>
      <c r="W1366" s="68"/>
      <c r="X1366" s="64" t="str">
        <f>IF(Y1366&lt;&gt;0,VLOOKUP(Y1366,DM_DUAN,3,0),"")</f>
        <v/>
      </c>
      <c r="Y1366" s="84"/>
      <c r="Z1366" s="64" t="str">
        <f>IF(AA1366&lt;&gt;0,VLOOKUP(AA1366,DM_DUAN,3,0),"")</f>
        <v/>
      </c>
      <c r="AA1366" s="131"/>
      <c r="AB1366" s="64" t="str">
        <f>IF(AC1366&lt;&gt;0,VLOOKUP(AC1366,DM_DUAN,3,0),"")</f>
        <v/>
      </c>
      <c r="AC1366" s="85"/>
      <c r="AD1366" s="64" t="str">
        <f>IF(AC1366&lt;&gt;0,VLOOKUP(AC1366,DM_NV,2,0),"")</f>
        <v/>
      </c>
      <c r="AE1366" s="68"/>
      <c r="AF1366" s="64" t="str">
        <f>IF(AE1366&lt;&gt;0,VLOOKUP(AE1366,DM_NV,2,0),"")</f>
        <v/>
      </c>
    </row>
    <row r="1367">
      <c r="A1367" s="51"/>
      <c r="B1367" s="52" t="str">
        <f>IF(D1367="","",VLOOKUP(D1367,'THAM CHIẾU'!$A:$B,2,0))</f>
        <v/>
      </c>
      <c r="C1367" s="53" t="str">
        <f t="shared" si="11"/>
        <v/>
      </c>
      <c r="D1367" s="54"/>
      <c r="E1367" s="91"/>
      <c r="F1367" s="92"/>
      <c r="G1367" s="90"/>
      <c r="H1367" s="58" t="str">
        <f>IF(G1367="","",VLOOKUP($G1367,'Quy chuẩn hạch toán'!$B:$E,2,0))</f>
        <v/>
      </c>
      <c r="I1367" s="58" t="str">
        <f>IF(H1367="","",VLOOKUP($G1367,'Quy chuẩn hạch toán'!$B:$E,3,0))</f>
        <v/>
      </c>
      <c r="J1367" s="95"/>
      <c r="K1367" s="60"/>
      <c r="L1367" s="61"/>
      <c r="M1367" s="62"/>
      <c r="N1367" s="63"/>
      <c r="O1367" s="64" t="str">
        <f>IF($Q1367&lt;&gt;0,VLOOKUP($Q1367,DM_KM,3,0),"")</f>
        <v/>
      </c>
      <c r="P1367" s="64" t="str">
        <f>IF($Q1367&lt;&gt;0,VLOOKUP($Q1367,DM_KM,5,0),"")</f>
        <v/>
      </c>
      <c r="Q1367" s="89"/>
      <c r="R1367" s="64" t="str">
        <f>IF(S1367&lt;&gt;0,VLOOKUP(S1367,DM_DUAN,3,0),"")</f>
        <v>#N/A</v>
      </c>
      <c r="S1367" s="66" t="str">
        <f>IF(U1367&lt;&gt;0,VLOOKUP(U1367,DM_DUAN,3,0),"")</f>
        <v/>
      </c>
      <c r="T1367" s="64"/>
      <c r="U1367" s="93"/>
      <c r="V1367" s="64" t="str">
        <f>IF(W1367&lt;&gt;0,VLOOKUP(W1367,DM_DUAN,3,0),"")</f>
        <v/>
      </c>
      <c r="W1367" s="68"/>
      <c r="X1367" s="64" t="str">
        <f>IF(Y1367&lt;&gt;0,VLOOKUP(Y1367,DM_DUAN,3,0),"")</f>
        <v/>
      </c>
      <c r="Y1367" s="84"/>
      <c r="Z1367" s="64" t="str">
        <f>IF(AA1367&lt;&gt;0,VLOOKUP(AA1367,DM_DUAN,3,0),"")</f>
        <v/>
      </c>
      <c r="AA1367" s="131"/>
      <c r="AB1367" s="64" t="str">
        <f>IF(AC1367&lt;&gt;0,VLOOKUP(AC1367,DM_DUAN,3,0),"")</f>
        <v/>
      </c>
      <c r="AC1367" s="85"/>
      <c r="AD1367" s="64" t="str">
        <f>IF(AC1367&lt;&gt;0,VLOOKUP(AC1367,DM_NV,2,0),"")</f>
        <v/>
      </c>
      <c r="AE1367" s="68"/>
      <c r="AF1367" s="64" t="str">
        <f>IF(AE1367&lt;&gt;0,VLOOKUP(AE1367,DM_NV,2,0),"")</f>
        <v/>
      </c>
    </row>
    <row r="1368">
      <c r="A1368" s="51"/>
      <c r="B1368" s="52" t="str">
        <f>IF(D1368="","",VLOOKUP(D1368,'THAM CHIẾU'!$A:$B,2,0))</f>
        <v/>
      </c>
      <c r="C1368" s="53" t="str">
        <f t="shared" si="11"/>
        <v/>
      </c>
      <c r="D1368" s="54"/>
      <c r="E1368" s="91"/>
      <c r="F1368" s="92"/>
      <c r="G1368" s="90"/>
      <c r="H1368" s="58" t="str">
        <f>IF(G1368="","",VLOOKUP($G1368,'Quy chuẩn hạch toán'!$B:$E,2,0))</f>
        <v/>
      </c>
      <c r="I1368" s="58" t="str">
        <f>IF(H1368="","",VLOOKUP($G1368,'Quy chuẩn hạch toán'!$B:$E,3,0))</f>
        <v/>
      </c>
      <c r="J1368" s="95"/>
      <c r="K1368" s="60"/>
      <c r="L1368" s="61"/>
      <c r="M1368" s="62"/>
      <c r="N1368" s="63"/>
      <c r="O1368" s="64" t="str">
        <f>IF($Q1368&lt;&gt;0,VLOOKUP($Q1368,DM_KM,3,0),"")</f>
        <v/>
      </c>
      <c r="P1368" s="64" t="str">
        <f>IF($Q1368&lt;&gt;0,VLOOKUP($Q1368,DM_KM,5,0),"")</f>
        <v/>
      </c>
      <c r="Q1368" s="89"/>
      <c r="R1368" s="64" t="str">
        <f>IF(S1368&lt;&gt;0,VLOOKUP(S1368,DM_DUAN,3,0),"")</f>
        <v>#N/A</v>
      </c>
      <c r="S1368" s="66" t="str">
        <f>IF(U1368&lt;&gt;0,VLOOKUP(U1368,DM_DUAN,3,0),"")</f>
        <v/>
      </c>
      <c r="T1368" s="64"/>
      <c r="U1368" s="93"/>
      <c r="V1368" s="64" t="str">
        <f>IF(W1368&lt;&gt;0,VLOOKUP(W1368,DM_DUAN,3,0),"")</f>
        <v/>
      </c>
      <c r="W1368" s="68"/>
      <c r="X1368" s="64" t="str">
        <f>IF(Y1368&lt;&gt;0,VLOOKUP(Y1368,DM_DUAN,3,0),"")</f>
        <v/>
      </c>
      <c r="Y1368" s="84"/>
      <c r="Z1368" s="64" t="str">
        <f>IF(AA1368&lt;&gt;0,VLOOKUP(AA1368,DM_DUAN,3,0),"")</f>
        <v/>
      </c>
      <c r="AA1368" s="131"/>
      <c r="AB1368" s="64" t="str">
        <f>IF(AC1368&lt;&gt;0,VLOOKUP(AC1368,DM_DUAN,3,0),"")</f>
        <v/>
      </c>
      <c r="AC1368" s="85"/>
      <c r="AD1368" s="64" t="str">
        <f>IF(AC1368&lt;&gt;0,VLOOKUP(AC1368,DM_NV,2,0),"")</f>
        <v/>
      </c>
      <c r="AE1368" s="68"/>
      <c r="AF1368" s="64" t="str">
        <f>IF(AE1368&lt;&gt;0,VLOOKUP(AE1368,DM_NV,2,0),"")</f>
        <v/>
      </c>
    </row>
    <row r="1369">
      <c r="A1369" s="51"/>
      <c r="B1369" s="52" t="str">
        <f>IF(D1369="","",VLOOKUP(D1369,'THAM CHIẾU'!$A:$B,2,0))</f>
        <v/>
      </c>
      <c r="C1369" s="53" t="str">
        <f t="shared" si="11"/>
        <v/>
      </c>
      <c r="D1369" s="54"/>
      <c r="E1369" s="91"/>
      <c r="F1369" s="92"/>
      <c r="G1369" s="90"/>
      <c r="H1369" s="58" t="str">
        <f>IF(G1369="","",VLOOKUP($G1369,'Quy chuẩn hạch toán'!$B:$E,2,0))</f>
        <v/>
      </c>
      <c r="I1369" s="58" t="str">
        <f>IF(H1369="","",VLOOKUP($G1369,'Quy chuẩn hạch toán'!$B:$E,3,0))</f>
        <v/>
      </c>
      <c r="J1369" s="95"/>
      <c r="K1369" s="60"/>
      <c r="L1369" s="61"/>
      <c r="M1369" s="62"/>
      <c r="N1369" s="63"/>
      <c r="O1369" s="64" t="str">
        <f>IF($Q1369&lt;&gt;0,VLOOKUP($Q1369,DM_KM,3,0),"")</f>
        <v/>
      </c>
      <c r="P1369" s="64" t="str">
        <f>IF($Q1369&lt;&gt;0,VLOOKUP($Q1369,DM_KM,5,0),"")</f>
        <v/>
      </c>
      <c r="Q1369" s="89"/>
      <c r="R1369" s="64" t="str">
        <f>IF(S1369&lt;&gt;0,VLOOKUP(S1369,DM_DUAN,3,0),"")</f>
        <v>#N/A</v>
      </c>
      <c r="S1369" s="66" t="str">
        <f>IF(U1369&lt;&gt;0,VLOOKUP(U1369,DM_DUAN,3,0),"")</f>
        <v/>
      </c>
      <c r="T1369" s="64"/>
      <c r="U1369" s="93"/>
      <c r="V1369" s="64" t="str">
        <f>IF(W1369&lt;&gt;0,VLOOKUP(W1369,DM_DUAN,3,0),"")</f>
        <v/>
      </c>
      <c r="W1369" s="68"/>
      <c r="X1369" s="64" t="str">
        <f>IF(Y1369&lt;&gt;0,VLOOKUP(Y1369,DM_DUAN,3,0),"")</f>
        <v/>
      </c>
      <c r="Y1369" s="84"/>
      <c r="Z1369" s="64" t="str">
        <f>IF(AA1369&lt;&gt;0,VLOOKUP(AA1369,DM_DUAN,3,0),"")</f>
        <v/>
      </c>
      <c r="AA1369" s="131"/>
      <c r="AB1369" s="64" t="str">
        <f>IF(AC1369&lt;&gt;0,VLOOKUP(AC1369,DM_DUAN,3,0),"")</f>
        <v/>
      </c>
      <c r="AC1369" s="85"/>
      <c r="AD1369" s="64" t="str">
        <f>IF(AC1369&lt;&gt;0,VLOOKUP(AC1369,DM_NV,2,0),"")</f>
        <v/>
      </c>
      <c r="AE1369" s="68"/>
      <c r="AF1369" s="64" t="str">
        <f>IF(AE1369&lt;&gt;0,VLOOKUP(AE1369,DM_NV,2,0),"")</f>
        <v/>
      </c>
    </row>
    <row r="1370">
      <c r="A1370" s="51"/>
      <c r="B1370" s="52" t="str">
        <f>IF(D1370="","",VLOOKUP(D1370,'THAM CHIẾU'!$A:$B,2,0))</f>
        <v/>
      </c>
      <c r="C1370" s="53" t="str">
        <f t="shared" si="11"/>
        <v/>
      </c>
      <c r="D1370" s="54"/>
      <c r="E1370" s="91"/>
      <c r="F1370" s="92"/>
      <c r="G1370" s="90"/>
      <c r="H1370" s="58" t="str">
        <f>IF(G1370="","",VLOOKUP($G1370,'Quy chuẩn hạch toán'!$B:$E,2,0))</f>
        <v/>
      </c>
      <c r="I1370" s="58" t="str">
        <f>IF(H1370="","",VLOOKUP($G1370,'Quy chuẩn hạch toán'!$B:$E,3,0))</f>
        <v/>
      </c>
      <c r="J1370" s="95"/>
      <c r="K1370" s="60"/>
      <c r="L1370" s="61"/>
      <c r="M1370" s="62"/>
      <c r="N1370" s="63"/>
      <c r="O1370" s="64" t="str">
        <f>IF($Q1370&lt;&gt;0,VLOOKUP($Q1370,DM_KM,3,0),"")</f>
        <v/>
      </c>
      <c r="P1370" s="64" t="str">
        <f>IF($Q1370&lt;&gt;0,VLOOKUP($Q1370,DM_KM,5,0),"")</f>
        <v/>
      </c>
      <c r="Q1370" s="89"/>
      <c r="R1370" s="64" t="str">
        <f>IF(S1370&lt;&gt;0,VLOOKUP(S1370,DM_DUAN,3,0),"")</f>
        <v>#N/A</v>
      </c>
      <c r="S1370" s="66" t="str">
        <f>IF(U1370&lt;&gt;0,VLOOKUP(U1370,DM_DUAN,3,0),"")</f>
        <v/>
      </c>
      <c r="T1370" s="64"/>
      <c r="U1370" s="93"/>
      <c r="V1370" s="64" t="str">
        <f>IF(W1370&lt;&gt;0,VLOOKUP(W1370,DM_DUAN,3,0),"")</f>
        <v/>
      </c>
      <c r="W1370" s="68"/>
      <c r="X1370" s="64" t="str">
        <f>IF(Y1370&lt;&gt;0,VLOOKUP(Y1370,DM_DUAN,3,0),"")</f>
        <v/>
      </c>
      <c r="Y1370" s="84"/>
      <c r="Z1370" s="64" t="str">
        <f>IF(AA1370&lt;&gt;0,VLOOKUP(AA1370,DM_DUAN,3,0),"")</f>
        <v/>
      </c>
      <c r="AA1370" s="131"/>
      <c r="AB1370" s="64" t="str">
        <f>IF(AC1370&lt;&gt;0,VLOOKUP(AC1370,DM_DUAN,3,0),"")</f>
        <v/>
      </c>
      <c r="AC1370" s="85"/>
      <c r="AD1370" s="64" t="str">
        <f>IF(AC1370&lt;&gt;0,VLOOKUP(AC1370,DM_NV,2,0),"")</f>
        <v/>
      </c>
      <c r="AE1370" s="68"/>
      <c r="AF1370" s="64" t="str">
        <f>IF(AE1370&lt;&gt;0,VLOOKUP(AE1370,DM_NV,2,0),"")</f>
        <v/>
      </c>
    </row>
    <row r="1371">
      <c r="A1371" s="51"/>
      <c r="B1371" s="52" t="str">
        <f>IF(D1371="","",VLOOKUP(D1371,'THAM CHIẾU'!$A:$B,2,0))</f>
        <v/>
      </c>
      <c r="C1371" s="53" t="str">
        <f t="shared" si="11"/>
        <v/>
      </c>
      <c r="D1371" s="54"/>
      <c r="E1371" s="91"/>
      <c r="F1371" s="92"/>
      <c r="G1371" s="90"/>
      <c r="H1371" s="58" t="str">
        <f>IF(G1371="","",VLOOKUP($G1371,'Quy chuẩn hạch toán'!$B:$E,2,0))</f>
        <v/>
      </c>
      <c r="I1371" s="58" t="str">
        <f>IF(H1371="","",VLOOKUP($G1371,'Quy chuẩn hạch toán'!$B:$E,3,0))</f>
        <v/>
      </c>
      <c r="J1371" s="95"/>
      <c r="K1371" s="60"/>
      <c r="L1371" s="61"/>
      <c r="M1371" s="62"/>
      <c r="N1371" s="63"/>
      <c r="O1371" s="64" t="str">
        <f>IF($Q1371&lt;&gt;0,VLOOKUP($Q1371,DM_KM,3,0),"")</f>
        <v/>
      </c>
      <c r="P1371" s="64" t="str">
        <f>IF($Q1371&lt;&gt;0,VLOOKUP($Q1371,DM_KM,5,0),"")</f>
        <v/>
      </c>
      <c r="Q1371" s="89"/>
      <c r="R1371" s="64" t="str">
        <f>IF(S1371&lt;&gt;0,VLOOKUP(S1371,DM_DUAN,3,0),"")</f>
        <v>#N/A</v>
      </c>
      <c r="S1371" s="66" t="str">
        <f>IF(U1371&lt;&gt;0,VLOOKUP(U1371,DM_DUAN,3,0),"")</f>
        <v/>
      </c>
      <c r="T1371" s="64"/>
      <c r="U1371" s="93"/>
      <c r="V1371" s="64" t="str">
        <f>IF(W1371&lt;&gt;0,VLOOKUP(W1371,DM_DUAN,3,0),"")</f>
        <v/>
      </c>
      <c r="W1371" s="68"/>
      <c r="X1371" s="64" t="str">
        <f>IF(Y1371&lt;&gt;0,VLOOKUP(Y1371,DM_DUAN,3,0),"")</f>
        <v/>
      </c>
      <c r="Y1371" s="84"/>
      <c r="Z1371" s="64" t="str">
        <f>IF(AA1371&lt;&gt;0,VLOOKUP(AA1371,DM_DUAN,3,0),"")</f>
        <v/>
      </c>
      <c r="AA1371" s="131"/>
      <c r="AB1371" s="64" t="str">
        <f>IF(AC1371&lt;&gt;0,VLOOKUP(AC1371,DM_DUAN,3,0),"")</f>
        <v/>
      </c>
      <c r="AC1371" s="85"/>
      <c r="AD1371" s="64" t="str">
        <f>IF(AC1371&lt;&gt;0,VLOOKUP(AC1371,DM_NV,2,0),"")</f>
        <v/>
      </c>
      <c r="AE1371" s="68"/>
      <c r="AF1371" s="64" t="str">
        <f>IF(AE1371&lt;&gt;0,VLOOKUP(AE1371,DM_NV,2,0),"")</f>
        <v/>
      </c>
    </row>
    <row r="1372">
      <c r="A1372" s="51"/>
      <c r="B1372" s="52" t="str">
        <f>IF(D1372="","",VLOOKUP(D1372,'THAM CHIẾU'!$A:$B,2,0))</f>
        <v/>
      </c>
      <c r="C1372" s="53" t="str">
        <f t="shared" si="11"/>
        <v/>
      </c>
      <c r="D1372" s="54"/>
      <c r="E1372" s="91"/>
      <c r="F1372" s="92"/>
      <c r="G1372" s="90"/>
      <c r="H1372" s="58" t="str">
        <f>IF(G1372="","",VLOOKUP($G1372,'Quy chuẩn hạch toán'!$B:$E,2,0))</f>
        <v/>
      </c>
      <c r="I1372" s="58" t="str">
        <f>IF(H1372="","",VLOOKUP($G1372,'Quy chuẩn hạch toán'!$B:$E,3,0))</f>
        <v/>
      </c>
      <c r="J1372" s="95"/>
      <c r="K1372" s="60"/>
      <c r="L1372" s="61"/>
      <c r="M1372" s="62"/>
      <c r="N1372" s="63"/>
      <c r="O1372" s="64" t="str">
        <f>IF($Q1372&lt;&gt;0,VLOOKUP($Q1372,DM_KM,3,0),"")</f>
        <v/>
      </c>
      <c r="P1372" s="64" t="str">
        <f>IF($Q1372&lt;&gt;0,VLOOKUP($Q1372,DM_KM,5,0),"")</f>
        <v/>
      </c>
      <c r="Q1372" s="89"/>
      <c r="R1372" s="64" t="str">
        <f>IF(S1372&lt;&gt;0,VLOOKUP(S1372,DM_DUAN,3,0),"")</f>
        <v>#N/A</v>
      </c>
      <c r="S1372" s="66" t="str">
        <f>IF(U1372&lt;&gt;0,VLOOKUP(U1372,DM_DUAN,3,0),"")</f>
        <v/>
      </c>
      <c r="T1372" s="64"/>
      <c r="U1372" s="93"/>
      <c r="V1372" s="64" t="str">
        <f>IF(W1372&lt;&gt;0,VLOOKUP(W1372,DM_DUAN,3,0),"")</f>
        <v/>
      </c>
      <c r="W1372" s="68"/>
      <c r="X1372" s="64" t="str">
        <f>IF(Y1372&lt;&gt;0,VLOOKUP(Y1372,DM_DUAN,3,0),"")</f>
        <v/>
      </c>
      <c r="Y1372" s="84"/>
      <c r="Z1372" s="64" t="str">
        <f>IF(AA1372&lt;&gt;0,VLOOKUP(AA1372,DM_DUAN,3,0),"")</f>
        <v/>
      </c>
      <c r="AA1372" s="131"/>
      <c r="AB1372" s="64" t="str">
        <f>IF(AC1372&lt;&gt;0,VLOOKUP(AC1372,DM_DUAN,3,0),"")</f>
        <v/>
      </c>
      <c r="AC1372" s="85"/>
      <c r="AD1372" s="64" t="str">
        <f>IF(AC1372&lt;&gt;0,VLOOKUP(AC1372,DM_NV,2,0),"")</f>
        <v/>
      </c>
      <c r="AE1372" s="68"/>
      <c r="AF1372" s="64" t="str">
        <f>IF(AE1372&lt;&gt;0,VLOOKUP(AE1372,DM_NV,2,0),"")</f>
        <v/>
      </c>
    </row>
    <row r="1373">
      <c r="A1373" s="51"/>
      <c r="B1373" s="52" t="str">
        <f>IF(D1373="","",VLOOKUP(D1373,'THAM CHIẾU'!$A:$B,2,0))</f>
        <v/>
      </c>
      <c r="C1373" s="53" t="str">
        <f t="shared" si="11"/>
        <v/>
      </c>
      <c r="D1373" s="54"/>
      <c r="E1373" s="91"/>
      <c r="F1373" s="92"/>
      <c r="G1373" s="90"/>
      <c r="H1373" s="58" t="str">
        <f>IF(G1373="","",VLOOKUP($G1373,'Quy chuẩn hạch toán'!$B:$E,2,0))</f>
        <v/>
      </c>
      <c r="I1373" s="58" t="str">
        <f>IF(H1373="","",VLOOKUP($G1373,'Quy chuẩn hạch toán'!$B:$E,3,0))</f>
        <v/>
      </c>
      <c r="J1373" s="95"/>
      <c r="K1373" s="60"/>
      <c r="L1373" s="61"/>
      <c r="M1373" s="62"/>
      <c r="N1373" s="63"/>
      <c r="O1373" s="64" t="str">
        <f>IF($Q1373&lt;&gt;0,VLOOKUP($Q1373,DM_KM,3,0),"")</f>
        <v/>
      </c>
      <c r="P1373" s="64" t="str">
        <f>IF($Q1373&lt;&gt;0,VLOOKUP($Q1373,DM_KM,5,0),"")</f>
        <v/>
      </c>
      <c r="Q1373" s="89"/>
      <c r="R1373" s="64" t="str">
        <f>IF(S1373&lt;&gt;0,VLOOKUP(S1373,DM_DUAN,3,0),"")</f>
        <v>#N/A</v>
      </c>
      <c r="S1373" s="66" t="str">
        <f>IF(U1373&lt;&gt;0,VLOOKUP(U1373,DM_DUAN,3,0),"")</f>
        <v/>
      </c>
      <c r="T1373" s="64"/>
      <c r="U1373" s="93"/>
      <c r="V1373" s="64" t="str">
        <f>IF(W1373&lt;&gt;0,VLOOKUP(W1373,DM_DUAN,3,0),"")</f>
        <v/>
      </c>
      <c r="W1373" s="68"/>
      <c r="X1373" s="64" t="str">
        <f>IF(Y1373&lt;&gt;0,VLOOKUP(Y1373,DM_DUAN,3,0),"")</f>
        <v/>
      </c>
      <c r="Y1373" s="84"/>
      <c r="Z1373" s="64" t="str">
        <f>IF(AA1373&lt;&gt;0,VLOOKUP(AA1373,DM_DUAN,3,0),"")</f>
        <v/>
      </c>
      <c r="AA1373" s="131"/>
      <c r="AB1373" s="64" t="str">
        <f>IF(AC1373&lt;&gt;0,VLOOKUP(AC1373,DM_DUAN,3,0),"")</f>
        <v/>
      </c>
      <c r="AC1373" s="85"/>
      <c r="AD1373" s="64" t="str">
        <f>IF(AC1373&lt;&gt;0,VLOOKUP(AC1373,DM_NV,2,0),"")</f>
        <v/>
      </c>
      <c r="AE1373" s="68"/>
      <c r="AF1373" s="64" t="str">
        <f>IF(AE1373&lt;&gt;0,VLOOKUP(AE1373,DM_NV,2,0),"")</f>
        <v/>
      </c>
    </row>
    <row r="1374">
      <c r="A1374" s="51"/>
      <c r="B1374" s="52" t="str">
        <f>IF(D1374="","",VLOOKUP(D1374,'THAM CHIẾU'!$A:$B,2,0))</f>
        <v/>
      </c>
      <c r="C1374" s="53" t="str">
        <f t="shared" si="11"/>
        <v/>
      </c>
      <c r="D1374" s="54"/>
      <c r="E1374" s="91"/>
      <c r="F1374" s="92"/>
      <c r="G1374" s="90"/>
      <c r="H1374" s="58" t="str">
        <f>IF(G1374="","",VLOOKUP($G1374,'Quy chuẩn hạch toán'!$B:$E,2,0))</f>
        <v/>
      </c>
      <c r="I1374" s="58" t="str">
        <f>IF(H1374="","",VLOOKUP($G1374,'Quy chuẩn hạch toán'!$B:$E,3,0))</f>
        <v/>
      </c>
      <c r="J1374" s="95"/>
      <c r="K1374" s="60"/>
      <c r="L1374" s="61"/>
      <c r="M1374" s="62"/>
      <c r="N1374" s="63"/>
      <c r="O1374" s="64" t="str">
        <f>IF($Q1374&lt;&gt;0,VLOOKUP($Q1374,DM_KM,3,0),"")</f>
        <v/>
      </c>
      <c r="P1374" s="64" t="str">
        <f>IF($Q1374&lt;&gt;0,VLOOKUP($Q1374,DM_KM,5,0),"")</f>
        <v/>
      </c>
      <c r="Q1374" s="89"/>
      <c r="R1374" s="64" t="str">
        <f>IF(S1374&lt;&gt;0,VLOOKUP(S1374,DM_DUAN,3,0),"")</f>
        <v>#N/A</v>
      </c>
      <c r="S1374" s="66" t="str">
        <f>IF(U1374&lt;&gt;0,VLOOKUP(U1374,DM_DUAN,3,0),"")</f>
        <v/>
      </c>
      <c r="T1374" s="64"/>
      <c r="U1374" s="93"/>
      <c r="V1374" s="64" t="str">
        <f>IF(W1374&lt;&gt;0,VLOOKUP(W1374,DM_DUAN,3,0),"")</f>
        <v/>
      </c>
      <c r="W1374" s="68"/>
      <c r="X1374" s="64" t="str">
        <f>IF(Y1374&lt;&gt;0,VLOOKUP(Y1374,DM_DUAN,3,0),"")</f>
        <v/>
      </c>
      <c r="Y1374" s="84"/>
      <c r="Z1374" s="64" t="str">
        <f>IF(AA1374&lt;&gt;0,VLOOKUP(AA1374,DM_DUAN,3,0),"")</f>
        <v/>
      </c>
      <c r="AA1374" s="131"/>
      <c r="AB1374" s="64" t="str">
        <f>IF(AC1374&lt;&gt;0,VLOOKUP(AC1374,DM_DUAN,3,0),"")</f>
        <v/>
      </c>
      <c r="AC1374" s="85"/>
      <c r="AD1374" s="64" t="str">
        <f>IF(AC1374&lt;&gt;0,VLOOKUP(AC1374,DM_NV,2,0),"")</f>
        <v/>
      </c>
      <c r="AE1374" s="68"/>
      <c r="AF1374" s="64" t="str">
        <f>IF(AE1374&lt;&gt;0,VLOOKUP(AE1374,DM_NV,2,0),"")</f>
        <v/>
      </c>
    </row>
    <row r="1375">
      <c r="A1375" s="51"/>
      <c r="B1375" s="52" t="str">
        <f>IF(D1375="","",VLOOKUP(D1375,'THAM CHIẾU'!$A:$B,2,0))</f>
        <v/>
      </c>
      <c r="C1375" s="53" t="str">
        <f t="shared" si="11"/>
        <v/>
      </c>
      <c r="D1375" s="54"/>
      <c r="E1375" s="91"/>
      <c r="F1375" s="92"/>
      <c r="G1375" s="90"/>
      <c r="H1375" s="58" t="str">
        <f>IF(G1375="","",VLOOKUP($G1375,'Quy chuẩn hạch toán'!$B:$E,2,0))</f>
        <v/>
      </c>
      <c r="I1375" s="58" t="str">
        <f>IF(H1375="","",VLOOKUP($G1375,'Quy chuẩn hạch toán'!$B:$E,3,0))</f>
        <v/>
      </c>
      <c r="J1375" s="95"/>
      <c r="K1375" s="60"/>
      <c r="L1375" s="61"/>
      <c r="M1375" s="62"/>
      <c r="N1375" s="63"/>
      <c r="O1375" s="64" t="str">
        <f>IF($Q1375&lt;&gt;0,VLOOKUP($Q1375,DM_KM,3,0),"")</f>
        <v/>
      </c>
      <c r="P1375" s="64" t="str">
        <f>IF($Q1375&lt;&gt;0,VLOOKUP($Q1375,DM_KM,5,0),"")</f>
        <v/>
      </c>
      <c r="Q1375" s="89"/>
      <c r="R1375" s="64" t="str">
        <f>IF(S1375&lt;&gt;0,VLOOKUP(S1375,DM_DUAN,3,0),"")</f>
        <v>#N/A</v>
      </c>
      <c r="S1375" s="66" t="str">
        <f>IF(U1375&lt;&gt;0,VLOOKUP(U1375,DM_DUAN,3,0),"")</f>
        <v/>
      </c>
      <c r="T1375" s="64"/>
      <c r="U1375" s="93"/>
      <c r="V1375" s="64" t="str">
        <f>IF(W1375&lt;&gt;0,VLOOKUP(W1375,DM_DUAN,3,0),"")</f>
        <v/>
      </c>
      <c r="W1375" s="68"/>
      <c r="X1375" s="64" t="str">
        <f>IF(Y1375&lt;&gt;0,VLOOKUP(Y1375,DM_DUAN,3,0),"")</f>
        <v/>
      </c>
      <c r="Y1375" s="84"/>
      <c r="Z1375" s="64" t="str">
        <f>IF(AA1375&lt;&gt;0,VLOOKUP(AA1375,DM_DUAN,3,0),"")</f>
        <v/>
      </c>
      <c r="AA1375" s="131"/>
      <c r="AB1375" s="64" t="str">
        <f>IF(AC1375&lt;&gt;0,VLOOKUP(AC1375,DM_DUAN,3,0),"")</f>
        <v/>
      </c>
      <c r="AC1375" s="85"/>
      <c r="AD1375" s="64" t="str">
        <f>IF(AC1375&lt;&gt;0,VLOOKUP(AC1375,DM_NV,2,0),"")</f>
        <v/>
      </c>
      <c r="AE1375" s="68"/>
      <c r="AF1375" s="64" t="str">
        <f>IF(AE1375&lt;&gt;0,VLOOKUP(AE1375,DM_NV,2,0),"")</f>
        <v/>
      </c>
    </row>
    <row r="1376">
      <c r="A1376" s="51"/>
      <c r="B1376" s="52" t="str">
        <f>IF(D1376="","",VLOOKUP(D1376,'THAM CHIẾU'!$A:$B,2,0))</f>
        <v/>
      </c>
      <c r="C1376" s="53" t="str">
        <f t="shared" si="11"/>
        <v/>
      </c>
      <c r="D1376" s="54"/>
      <c r="E1376" s="91"/>
      <c r="F1376" s="92"/>
      <c r="G1376" s="90"/>
      <c r="H1376" s="58" t="str">
        <f>IF(G1376="","",VLOOKUP($G1376,'Quy chuẩn hạch toán'!$B:$E,2,0))</f>
        <v/>
      </c>
      <c r="I1376" s="58" t="str">
        <f>IF(H1376="","",VLOOKUP($G1376,'Quy chuẩn hạch toán'!$B:$E,3,0))</f>
        <v/>
      </c>
      <c r="J1376" s="95"/>
      <c r="K1376" s="60"/>
      <c r="L1376" s="61"/>
      <c r="M1376" s="62"/>
      <c r="N1376" s="63"/>
      <c r="O1376" s="64" t="str">
        <f>IF($Q1376&lt;&gt;0,VLOOKUP($Q1376,DM_KM,3,0),"")</f>
        <v/>
      </c>
      <c r="P1376" s="64" t="str">
        <f>IF($Q1376&lt;&gt;0,VLOOKUP($Q1376,DM_KM,5,0),"")</f>
        <v/>
      </c>
      <c r="Q1376" s="89"/>
      <c r="R1376" s="64" t="str">
        <f>IF(S1376&lt;&gt;0,VLOOKUP(S1376,DM_DUAN,3,0),"")</f>
        <v>#N/A</v>
      </c>
      <c r="S1376" s="66" t="str">
        <f>IF(U1376&lt;&gt;0,VLOOKUP(U1376,DM_DUAN,3,0),"")</f>
        <v/>
      </c>
      <c r="T1376" s="64"/>
      <c r="U1376" s="93"/>
      <c r="V1376" s="64" t="str">
        <f>IF(W1376&lt;&gt;0,VLOOKUP(W1376,DM_DUAN,3,0),"")</f>
        <v/>
      </c>
      <c r="W1376" s="68"/>
      <c r="X1376" s="64" t="str">
        <f>IF(Y1376&lt;&gt;0,VLOOKUP(Y1376,DM_DUAN,3,0),"")</f>
        <v/>
      </c>
      <c r="Y1376" s="84"/>
      <c r="Z1376" s="64" t="str">
        <f>IF(AA1376&lt;&gt;0,VLOOKUP(AA1376,DM_DUAN,3,0),"")</f>
        <v/>
      </c>
      <c r="AA1376" s="131"/>
      <c r="AB1376" s="64" t="str">
        <f>IF(AC1376&lt;&gt;0,VLOOKUP(AC1376,DM_DUAN,3,0),"")</f>
        <v/>
      </c>
      <c r="AC1376" s="85"/>
      <c r="AD1376" s="64" t="str">
        <f>IF(AC1376&lt;&gt;0,VLOOKUP(AC1376,DM_NV,2,0),"")</f>
        <v/>
      </c>
      <c r="AE1376" s="68"/>
      <c r="AF1376" s="64" t="str">
        <f>IF(AE1376&lt;&gt;0,VLOOKUP(AE1376,DM_NV,2,0),"")</f>
        <v/>
      </c>
    </row>
    <row r="1377">
      <c r="A1377" s="51"/>
      <c r="B1377" s="52" t="str">
        <f>IF(D1377="","",VLOOKUP(D1377,'THAM CHIẾU'!$A:$B,2,0))</f>
        <v/>
      </c>
      <c r="C1377" s="53" t="str">
        <f t="shared" si="11"/>
        <v/>
      </c>
      <c r="D1377" s="54"/>
      <c r="E1377" s="91"/>
      <c r="F1377" s="92"/>
      <c r="G1377" s="90"/>
      <c r="H1377" s="58" t="str">
        <f>IF(G1377="","",VLOOKUP($G1377,'Quy chuẩn hạch toán'!$B:$E,2,0))</f>
        <v/>
      </c>
      <c r="I1377" s="58" t="str">
        <f>IF(H1377="","",VLOOKUP($G1377,'Quy chuẩn hạch toán'!$B:$E,3,0))</f>
        <v/>
      </c>
      <c r="J1377" s="95"/>
      <c r="K1377" s="60"/>
      <c r="L1377" s="61"/>
      <c r="M1377" s="62"/>
      <c r="N1377" s="63"/>
      <c r="O1377" s="64" t="str">
        <f>IF($Q1377&lt;&gt;0,VLOOKUP($Q1377,DM_KM,3,0),"")</f>
        <v/>
      </c>
      <c r="P1377" s="64" t="str">
        <f>IF($Q1377&lt;&gt;0,VLOOKUP($Q1377,DM_KM,5,0),"")</f>
        <v/>
      </c>
      <c r="Q1377" s="89"/>
      <c r="R1377" s="64" t="str">
        <f>IF(S1377&lt;&gt;0,VLOOKUP(S1377,DM_DUAN,3,0),"")</f>
        <v>#N/A</v>
      </c>
      <c r="S1377" s="66" t="str">
        <f>IF(U1377&lt;&gt;0,VLOOKUP(U1377,DM_DUAN,3,0),"")</f>
        <v/>
      </c>
      <c r="T1377" s="64"/>
      <c r="U1377" s="93"/>
      <c r="V1377" s="64" t="str">
        <f>IF(W1377&lt;&gt;0,VLOOKUP(W1377,DM_DUAN,3,0),"")</f>
        <v/>
      </c>
      <c r="W1377" s="68"/>
      <c r="X1377" s="64" t="str">
        <f>IF(Y1377&lt;&gt;0,VLOOKUP(Y1377,DM_DUAN,3,0),"")</f>
        <v/>
      </c>
      <c r="Y1377" s="84"/>
      <c r="Z1377" s="64" t="str">
        <f>IF(AA1377&lt;&gt;0,VLOOKUP(AA1377,DM_DUAN,3,0),"")</f>
        <v/>
      </c>
      <c r="AA1377" s="131"/>
      <c r="AB1377" s="64" t="str">
        <f>IF(AC1377&lt;&gt;0,VLOOKUP(AC1377,DM_DUAN,3,0),"")</f>
        <v/>
      </c>
      <c r="AC1377" s="85"/>
      <c r="AD1377" s="64" t="str">
        <f>IF(AC1377&lt;&gt;0,VLOOKUP(AC1377,DM_NV,2,0),"")</f>
        <v/>
      </c>
      <c r="AE1377" s="68"/>
      <c r="AF1377" s="64" t="str">
        <f>IF(AE1377&lt;&gt;0,VLOOKUP(AE1377,DM_NV,2,0),"")</f>
        <v/>
      </c>
    </row>
    <row r="1378">
      <c r="A1378" s="51"/>
      <c r="B1378" s="52" t="str">
        <f>IF(D1378="","",VLOOKUP(D1378,'THAM CHIẾU'!$A:$B,2,0))</f>
        <v/>
      </c>
      <c r="C1378" s="53" t="str">
        <f t="shared" si="11"/>
        <v/>
      </c>
      <c r="D1378" s="54"/>
      <c r="E1378" s="91"/>
      <c r="F1378" s="92"/>
      <c r="G1378" s="90"/>
      <c r="H1378" s="58" t="str">
        <f>IF(G1378="","",VLOOKUP($G1378,'Quy chuẩn hạch toán'!$B:$E,2,0))</f>
        <v/>
      </c>
      <c r="I1378" s="58" t="str">
        <f>IF(H1378="","",VLOOKUP($G1378,'Quy chuẩn hạch toán'!$B:$E,3,0))</f>
        <v/>
      </c>
      <c r="J1378" s="95"/>
      <c r="K1378" s="60"/>
      <c r="L1378" s="61"/>
      <c r="M1378" s="62"/>
      <c r="N1378" s="63"/>
      <c r="O1378" s="64" t="str">
        <f>IF($Q1378&lt;&gt;0,VLOOKUP($Q1378,DM_KM,3,0),"")</f>
        <v/>
      </c>
      <c r="P1378" s="64" t="str">
        <f>IF($Q1378&lt;&gt;0,VLOOKUP($Q1378,DM_KM,5,0),"")</f>
        <v/>
      </c>
      <c r="Q1378" s="89"/>
      <c r="R1378" s="64" t="str">
        <f>IF(S1378&lt;&gt;0,VLOOKUP(S1378,DM_DUAN,3,0),"")</f>
        <v>#N/A</v>
      </c>
      <c r="S1378" s="66" t="str">
        <f>IF(U1378&lt;&gt;0,VLOOKUP(U1378,DM_DUAN,3,0),"")</f>
        <v/>
      </c>
      <c r="T1378" s="64"/>
      <c r="U1378" s="93"/>
      <c r="V1378" s="64" t="str">
        <f>IF(W1378&lt;&gt;0,VLOOKUP(W1378,DM_DUAN,3,0),"")</f>
        <v/>
      </c>
      <c r="W1378" s="68"/>
      <c r="X1378" s="64" t="str">
        <f>IF(Y1378&lt;&gt;0,VLOOKUP(Y1378,DM_DUAN,3,0),"")</f>
        <v/>
      </c>
      <c r="Y1378" s="84"/>
      <c r="Z1378" s="64" t="str">
        <f>IF(AA1378&lt;&gt;0,VLOOKUP(AA1378,DM_DUAN,3,0),"")</f>
        <v/>
      </c>
      <c r="AA1378" s="131"/>
      <c r="AB1378" s="64" t="str">
        <f>IF(AC1378&lt;&gt;0,VLOOKUP(AC1378,DM_DUAN,3,0),"")</f>
        <v/>
      </c>
      <c r="AC1378" s="85"/>
      <c r="AD1378" s="64" t="str">
        <f>IF(AC1378&lt;&gt;0,VLOOKUP(AC1378,DM_NV,2,0),"")</f>
        <v/>
      </c>
      <c r="AE1378" s="68"/>
      <c r="AF1378" s="64" t="str">
        <f>IF(AE1378&lt;&gt;0,VLOOKUP(AE1378,DM_NV,2,0),"")</f>
        <v/>
      </c>
    </row>
    <row r="1379">
      <c r="A1379" s="51"/>
      <c r="B1379" s="52" t="str">
        <f>IF(D1379="","",VLOOKUP(D1379,'THAM CHIẾU'!$A:$B,2,0))</f>
        <v/>
      </c>
      <c r="C1379" s="53" t="str">
        <f t="shared" si="11"/>
        <v/>
      </c>
      <c r="D1379" s="54"/>
      <c r="E1379" s="91"/>
      <c r="F1379" s="92"/>
      <c r="G1379" s="90"/>
      <c r="H1379" s="58" t="str">
        <f>IF(G1379="","",VLOOKUP($G1379,'Quy chuẩn hạch toán'!$B:$E,2,0))</f>
        <v/>
      </c>
      <c r="I1379" s="58" t="str">
        <f>IF(H1379="","",VLOOKUP($G1379,'Quy chuẩn hạch toán'!$B:$E,3,0))</f>
        <v/>
      </c>
      <c r="J1379" s="95"/>
      <c r="K1379" s="60"/>
      <c r="L1379" s="61"/>
      <c r="M1379" s="62"/>
      <c r="N1379" s="63"/>
      <c r="O1379" s="64" t="str">
        <f>IF($Q1379&lt;&gt;0,VLOOKUP($Q1379,DM_KM,3,0),"")</f>
        <v/>
      </c>
      <c r="P1379" s="64" t="str">
        <f>IF($Q1379&lt;&gt;0,VLOOKUP($Q1379,DM_KM,5,0),"")</f>
        <v/>
      </c>
      <c r="Q1379" s="89"/>
      <c r="R1379" s="64" t="str">
        <f>IF(S1379&lt;&gt;0,VLOOKUP(S1379,DM_DUAN,3,0),"")</f>
        <v>#N/A</v>
      </c>
      <c r="S1379" s="66" t="str">
        <f>IF(U1379&lt;&gt;0,VLOOKUP(U1379,DM_DUAN,3,0),"")</f>
        <v/>
      </c>
      <c r="T1379" s="64"/>
      <c r="U1379" s="93"/>
      <c r="V1379" s="64" t="str">
        <f>IF(W1379&lt;&gt;0,VLOOKUP(W1379,DM_DUAN,3,0),"")</f>
        <v/>
      </c>
      <c r="W1379" s="68"/>
      <c r="X1379" s="64" t="str">
        <f>IF(Y1379&lt;&gt;0,VLOOKUP(Y1379,DM_DUAN,3,0),"")</f>
        <v/>
      </c>
      <c r="Y1379" s="84"/>
      <c r="Z1379" s="64" t="str">
        <f>IF(AA1379&lt;&gt;0,VLOOKUP(AA1379,DM_DUAN,3,0),"")</f>
        <v/>
      </c>
      <c r="AA1379" s="131"/>
      <c r="AB1379" s="64" t="str">
        <f>IF(AC1379&lt;&gt;0,VLOOKUP(AC1379,DM_DUAN,3,0),"")</f>
        <v/>
      </c>
      <c r="AC1379" s="85"/>
      <c r="AD1379" s="64" t="str">
        <f>IF(AC1379&lt;&gt;0,VLOOKUP(AC1379,DM_NV,2,0),"")</f>
        <v/>
      </c>
      <c r="AE1379" s="68"/>
      <c r="AF1379" s="64" t="str">
        <f>IF(AE1379&lt;&gt;0,VLOOKUP(AE1379,DM_NV,2,0),"")</f>
        <v/>
      </c>
    </row>
    <row r="1380">
      <c r="A1380" s="51"/>
      <c r="B1380" s="52" t="str">
        <f>IF(D1380="","",VLOOKUP(D1380,'THAM CHIẾU'!$A:$B,2,0))</f>
        <v/>
      </c>
      <c r="C1380" s="53" t="str">
        <f t="shared" si="11"/>
        <v/>
      </c>
      <c r="D1380" s="54"/>
      <c r="E1380" s="91"/>
      <c r="F1380" s="92"/>
      <c r="G1380" s="90"/>
      <c r="H1380" s="58" t="str">
        <f>IF(G1380="","",VLOOKUP($G1380,'Quy chuẩn hạch toán'!$B:$E,2,0))</f>
        <v/>
      </c>
      <c r="I1380" s="58" t="str">
        <f>IF(H1380="","",VLOOKUP($G1380,'Quy chuẩn hạch toán'!$B:$E,3,0))</f>
        <v/>
      </c>
      <c r="J1380" s="95"/>
      <c r="K1380" s="60"/>
      <c r="L1380" s="61"/>
      <c r="M1380" s="62"/>
      <c r="N1380" s="63"/>
      <c r="O1380" s="64" t="str">
        <f>IF($Q1380&lt;&gt;0,VLOOKUP($Q1380,DM_KM,3,0),"")</f>
        <v/>
      </c>
      <c r="P1380" s="64" t="str">
        <f>IF($Q1380&lt;&gt;0,VLOOKUP($Q1380,DM_KM,5,0),"")</f>
        <v/>
      </c>
      <c r="Q1380" s="89"/>
      <c r="R1380" s="64" t="str">
        <f>IF(S1380&lt;&gt;0,VLOOKUP(S1380,DM_DUAN,3,0),"")</f>
        <v>#N/A</v>
      </c>
      <c r="S1380" s="66" t="str">
        <f>IF(U1380&lt;&gt;0,VLOOKUP(U1380,DM_DUAN,3,0),"")</f>
        <v/>
      </c>
      <c r="T1380" s="64"/>
      <c r="U1380" s="93"/>
      <c r="V1380" s="64" t="str">
        <f>IF(W1380&lt;&gt;0,VLOOKUP(W1380,DM_DUAN,3,0),"")</f>
        <v/>
      </c>
      <c r="W1380" s="68"/>
      <c r="X1380" s="64" t="str">
        <f>IF(Y1380&lt;&gt;0,VLOOKUP(Y1380,DM_DUAN,3,0),"")</f>
        <v/>
      </c>
      <c r="Y1380" s="84"/>
      <c r="Z1380" s="64" t="str">
        <f>IF(AA1380&lt;&gt;0,VLOOKUP(AA1380,DM_DUAN,3,0),"")</f>
        <v/>
      </c>
      <c r="AA1380" s="131"/>
      <c r="AB1380" s="64" t="str">
        <f>IF(AC1380&lt;&gt;0,VLOOKUP(AC1380,DM_DUAN,3,0),"")</f>
        <v/>
      </c>
      <c r="AC1380" s="85"/>
      <c r="AD1380" s="64" t="str">
        <f>IF(AC1380&lt;&gt;0,VLOOKUP(AC1380,DM_NV,2,0),"")</f>
        <v/>
      </c>
      <c r="AE1380" s="68"/>
      <c r="AF1380" s="64" t="str">
        <f>IF(AE1380&lt;&gt;0,VLOOKUP(AE1380,DM_NV,2,0),"")</f>
        <v/>
      </c>
    </row>
    <row r="1381">
      <c r="A1381" s="51"/>
      <c r="B1381" s="52" t="str">
        <f>IF(D1381="","",VLOOKUP(D1381,'THAM CHIẾU'!$A:$B,2,0))</f>
        <v/>
      </c>
      <c r="C1381" s="53" t="str">
        <f t="shared" si="11"/>
        <v/>
      </c>
      <c r="D1381" s="54"/>
      <c r="E1381" s="91"/>
      <c r="F1381" s="92"/>
      <c r="G1381" s="90"/>
      <c r="H1381" s="58" t="str">
        <f>IF(G1381="","",VLOOKUP($G1381,'Quy chuẩn hạch toán'!$B:$E,2,0))</f>
        <v/>
      </c>
      <c r="I1381" s="58" t="str">
        <f>IF(H1381="","",VLOOKUP($G1381,'Quy chuẩn hạch toán'!$B:$E,3,0))</f>
        <v/>
      </c>
      <c r="J1381" s="95"/>
      <c r="K1381" s="60"/>
      <c r="L1381" s="61"/>
      <c r="M1381" s="62"/>
      <c r="N1381" s="63"/>
      <c r="O1381" s="64" t="str">
        <f>IF($Q1381&lt;&gt;0,VLOOKUP($Q1381,DM_KM,3,0),"")</f>
        <v/>
      </c>
      <c r="P1381" s="64" t="str">
        <f>IF($Q1381&lt;&gt;0,VLOOKUP($Q1381,DM_KM,5,0),"")</f>
        <v/>
      </c>
      <c r="Q1381" s="89"/>
      <c r="R1381" s="64" t="str">
        <f>IF(S1381&lt;&gt;0,VLOOKUP(S1381,DM_DUAN,3,0),"")</f>
        <v>#N/A</v>
      </c>
      <c r="S1381" s="66" t="str">
        <f>IF(U1381&lt;&gt;0,VLOOKUP(U1381,DM_DUAN,3,0),"")</f>
        <v/>
      </c>
      <c r="T1381" s="64"/>
      <c r="U1381" s="93"/>
      <c r="V1381" s="64" t="str">
        <f>IF(W1381&lt;&gt;0,VLOOKUP(W1381,DM_DUAN,3,0),"")</f>
        <v/>
      </c>
      <c r="W1381" s="68"/>
      <c r="X1381" s="64" t="str">
        <f>IF(Y1381&lt;&gt;0,VLOOKUP(Y1381,DM_DUAN,3,0),"")</f>
        <v/>
      </c>
      <c r="Y1381" s="84"/>
      <c r="Z1381" s="64" t="str">
        <f>IF(AA1381&lt;&gt;0,VLOOKUP(AA1381,DM_DUAN,3,0),"")</f>
        <v/>
      </c>
      <c r="AA1381" s="131"/>
      <c r="AB1381" s="64" t="str">
        <f>IF(AC1381&lt;&gt;0,VLOOKUP(AC1381,DM_DUAN,3,0),"")</f>
        <v/>
      </c>
      <c r="AC1381" s="85"/>
      <c r="AD1381" s="64" t="str">
        <f>IF(AC1381&lt;&gt;0,VLOOKUP(AC1381,DM_NV,2,0),"")</f>
        <v/>
      </c>
      <c r="AE1381" s="68"/>
      <c r="AF1381" s="64" t="str">
        <f>IF(AE1381&lt;&gt;0,VLOOKUP(AE1381,DM_NV,2,0),"")</f>
        <v/>
      </c>
    </row>
    <row r="1382">
      <c r="A1382" s="51"/>
      <c r="B1382" s="52" t="str">
        <f>IF(D1382="","",VLOOKUP(D1382,'THAM CHIẾU'!$A:$B,2,0))</f>
        <v/>
      </c>
      <c r="C1382" s="53" t="str">
        <f t="shared" si="11"/>
        <v/>
      </c>
      <c r="D1382" s="54"/>
      <c r="E1382" s="91"/>
      <c r="F1382" s="92"/>
      <c r="G1382" s="90"/>
      <c r="H1382" s="58" t="str">
        <f>IF(G1382="","",VLOOKUP($G1382,'Quy chuẩn hạch toán'!$B:$E,2,0))</f>
        <v/>
      </c>
      <c r="I1382" s="58" t="str">
        <f>IF(H1382="","",VLOOKUP($G1382,'Quy chuẩn hạch toán'!$B:$E,3,0))</f>
        <v/>
      </c>
      <c r="J1382" s="95"/>
      <c r="K1382" s="60"/>
      <c r="L1382" s="61"/>
      <c r="M1382" s="62"/>
      <c r="N1382" s="63"/>
      <c r="O1382" s="64" t="str">
        <f>IF($Q1382&lt;&gt;0,VLOOKUP($Q1382,DM_KM,3,0),"")</f>
        <v/>
      </c>
      <c r="P1382" s="64" t="str">
        <f>IF($Q1382&lt;&gt;0,VLOOKUP($Q1382,DM_KM,5,0),"")</f>
        <v/>
      </c>
      <c r="Q1382" s="89"/>
      <c r="R1382" s="64" t="str">
        <f>IF(S1382&lt;&gt;0,VLOOKUP(S1382,DM_DUAN,3,0),"")</f>
        <v>#N/A</v>
      </c>
      <c r="S1382" s="66" t="str">
        <f>IF(U1382&lt;&gt;0,VLOOKUP(U1382,DM_DUAN,3,0),"")</f>
        <v/>
      </c>
      <c r="T1382" s="64"/>
      <c r="U1382" s="93"/>
      <c r="V1382" s="64" t="str">
        <f>IF(W1382&lt;&gt;0,VLOOKUP(W1382,DM_DUAN,3,0),"")</f>
        <v/>
      </c>
      <c r="W1382" s="68"/>
      <c r="X1382" s="64" t="str">
        <f>IF(Y1382&lt;&gt;0,VLOOKUP(Y1382,DM_DUAN,3,0),"")</f>
        <v/>
      </c>
      <c r="Y1382" s="84"/>
      <c r="Z1382" s="64" t="str">
        <f>IF(AA1382&lt;&gt;0,VLOOKUP(AA1382,DM_DUAN,3,0),"")</f>
        <v/>
      </c>
      <c r="AA1382" s="131"/>
      <c r="AB1382" s="64" t="str">
        <f>IF(AC1382&lt;&gt;0,VLOOKUP(AC1382,DM_DUAN,3,0),"")</f>
        <v/>
      </c>
      <c r="AC1382" s="85"/>
      <c r="AD1382" s="64" t="str">
        <f>IF(AC1382&lt;&gt;0,VLOOKUP(AC1382,DM_NV,2,0),"")</f>
        <v/>
      </c>
      <c r="AE1382" s="68"/>
      <c r="AF1382" s="64" t="str">
        <f>IF(AE1382&lt;&gt;0,VLOOKUP(AE1382,DM_NV,2,0),"")</f>
        <v/>
      </c>
    </row>
    <row r="1383">
      <c r="A1383" s="51"/>
      <c r="B1383" s="52" t="str">
        <f>IF(D1383="","",VLOOKUP(D1383,'THAM CHIẾU'!$A:$B,2,0))</f>
        <v/>
      </c>
      <c r="C1383" s="53" t="str">
        <f t="shared" si="11"/>
        <v/>
      </c>
      <c r="D1383" s="54"/>
      <c r="E1383" s="91"/>
      <c r="F1383" s="92"/>
      <c r="G1383" s="90"/>
      <c r="H1383" s="58" t="str">
        <f>IF(G1383="","",VLOOKUP($G1383,'Quy chuẩn hạch toán'!$B:$E,2,0))</f>
        <v/>
      </c>
      <c r="I1383" s="58" t="str">
        <f>IF(H1383="","",VLOOKUP($G1383,'Quy chuẩn hạch toán'!$B:$E,3,0))</f>
        <v/>
      </c>
      <c r="J1383" s="95"/>
      <c r="K1383" s="60"/>
      <c r="L1383" s="61"/>
      <c r="M1383" s="62"/>
      <c r="N1383" s="63"/>
      <c r="O1383" s="64" t="str">
        <f>IF($Q1383&lt;&gt;0,VLOOKUP($Q1383,DM_KM,3,0),"")</f>
        <v/>
      </c>
      <c r="P1383" s="64" t="str">
        <f>IF($Q1383&lt;&gt;0,VLOOKUP($Q1383,DM_KM,5,0),"")</f>
        <v/>
      </c>
      <c r="Q1383" s="89"/>
      <c r="R1383" s="64" t="str">
        <f>IF(S1383&lt;&gt;0,VLOOKUP(S1383,DM_DUAN,3,0),"")</f>
        <v>#N/A</v>
      </c>
      <c r="S1383" s="66" t="str">
        <f>IF(U1383&lt;&gt;0,VLOOKUP(U1383,DM_DUAN,3,0),"")</f>
        <v/>
      </c>
      <c r="T1383" s="64"/>
      <c r="U1383" s="93"/>
      <c r="V1383" s="64" t="str">
        <f>IF(W1383&lt;&gt;0,VLOOKUP(W1383,DM_DUAN,3,0),"")</f>
        <v/>
      </c>
      <c r="W1383" s="68"/>
      <c r="X1383" s="64" t="str">
        <f>IF(Y1383&lt;&gt;0,VLOOKUP(Y1383,DM_DUAN,3,0),"")</f>
        <v/>
      </c>
      <c r="Y1383" s="84"/>
      <c r="Z1383" s="64" t="str">
        <f>IF(AA1383&lt;&gt;0,VLOOKUP(AA1383,DM_DUAN,3,0),"")</f>
        <v/>
      </c>
      <c r="AA1383" s="131"/>
      <c r="AB1383" s="64" t="str">
        <f>IF(AC1383&lt;&gt;0,VLOOKUP(AC1383,DM_DUAN,3,0),"")</f>
        <v/>
      </c>
      <c r="AC1383" s="85"/>
      <c r="AD1383" s="64" t="str">
        <f>IF(AC1383&lt;&gt;0,VLOOKUP(AC1383,DM_NV,2,0),"")</f>
        <v/>
      </c>
      <c r="AE1383" s="68"/>
      <c r="AF1383" s="64" t="str">
        <f>IF(AE1383&lt;&gt;0,VLOOKUP(AE1383,DM_NV,2,0),"")</f>
        <v/>
      </c>
    </row>
    <row r="1384">
      <c r="A1384" s="51"/>
      <c r="B1384" s="52" t="str">
        <f>IF(D1384="","",VLOOKUP(D1384,'THAM CHIẾU'!$A:$B,2,0))</f>
        <v/>
      </c>
      <c r="C1384" s="53" t="str">
        <f t="shared" si="11"/>
        <v/>
      </c>
      <c r="D1384" s="54"/>
      <c r="E1384" s="91"/>
      <c r="F1384" s="92"/>
      <c r="G1384" s="90"/>
      <c r="H1384" s="58" t="str">
        <f>IF(G1384="","",VLOOKUP($G1384,'Quy chuẩn hạch toán'!$B:$E,2,0))</f>
        <v/>
      </c>
      <c r="I1384" s="58" t="str">
        <f>IF(H1384="","",VLOOKUP($G1384,'Quy chuẩn hạch toán'!$B:$E,3,0))</f>
        <v/>
      </c>
      <c r="J1384" s="95"/>
      <c r="K1384" s="60"/>
      <c r="L1384" s="61"/>
      <c r="M1384" s="62"/>
      <c r="N1384" s="63"/>
      <c r="O1384" s="64" t="str">
        <f>IF($Q1384&lt;&gt;0,VLOOKUP($Q1384,DM_KM,3,0),"")</f>
        <v/>
      </c>
      <c r="P1384" s="64" t="str">
        <f>IF($Q1384&lt;&gt;0,VLOOKUP($Q1384,DM_KM,5,0),"")</f>
        <v/>
      </c>
      <c r="Q1384" s="89"/>
      <c r="R1384" s="64" t="str">
        <f>IF(S1384&lt;&gt;0,VLOOKUP(S1384,DM_DUAN,3,0),"")</f>
        <v>#N/A</v>
      </c>
      <c r="S1384" s="66" t="str">
        <f>IF(U1384&lt;&gt;0,VLOOKUP(U1384,DM_DUAN,3,0),"")</f>
        <v/>
      </c>
      <c r="T1384" s="64"/>
      <c r="U1384" s="93"/>
      <c r="V1384" s="64" t="str">
        <f>IF(W1384&lt;&gt;0,VLOOKUP(W1384,DM_DUAN,3,0),"")</f>
        <v/>
      </c>
      <c r="W1384" s="68"/>
      <c r="X1384" s="64" t="str">
        <f>IF(Y1384&lt;&gt;0,VLOOKUP(Y1384,DM_DUAN,3,0),"")</f>
        <v/>
      </c>
      <c r="Y1384" s="84"/>
      <c r="Z1384" s="64" t="str">
        <f>IF(AA1384&lt;&gt;0,VLOOKUP(AA1384,DM_DUAN,3,0),"")</f>
        <v/>
      </c>
      <c r="AA1384" s="131"/>
      <c r="AB1384" s="64" t="str">
        <f>IF(AC1384&lt;&gt;0,VLOOKUP(AC1384,DM_DUAN,3,0),"")</f>
        <v/>
      </c>
      <c r="AC1384" s="85"/>
      <c r="AD1384" s="64" t="str">
        <f>IF(AC1384&lt;&gt;0,VLOOKUP(AC1384,DM_NV,2,0),"")</f>
        <v/>
      </c>
      <c r="AE1384" s="68"/>
      <c r="AF1384" s="64" t="str">
        <f>IF(AE1384&lt;&gt;0,VLOOKUP(AE1384,DM_NV,2,0),"")</f>
        <v/>
      </c>
    </row>
    <row r="1385">
      <c r="A1385" s="51"/>
      <c r="B1385" s="52" t="str">
        <f>IF(D1385="","",VLOOKUP(D1385,'THAM CHIẾU'!$A:$B,2,0))</f>
        <v/>
      </c>
      <c r="C1385" s="53" t="str">
        <f t="shared" si="11"/>
        <v/>
      </c>
      <c r="D1385" s="54"/>
      <c r="E1385" s="91"/>
      <c r="F1385" s="92"/>
      <c r="G1385" s="90"/>
      <c r="H1385" s="58" t="str">
        <f>IF(G1385="","",VLOOKUP($G1385,'Quy chuẩn hạch toán'!$B:$E,2,0))</f>
        <v/>
      </c>
      <c r="I1385" s="58" t="str">
        <f>IF(H1385="","",VLOOKUP($G1385,'Quy chuẩn hạch toán'!$B:$E,3,0))</f>
        <v/>
      </c>
      <c r="J1385" s="95"/>
      <c r="K1385" s="60"/>
      <c r="L1385" s="61"/>
      <c r="M1385" s="62"/>
      <c r="N1385" s="63"/>
      <c r="O1385" s="64" t="str">
        <f>IF($Q1385&lt;&gt;0,VLOOKUP($Q1385,DM_KM,3,0),"")</f>
        <v/>
      </c>
      <c r="P1385" s="64" t="str">
        <f>IF($Q1385&lt;&gt;0,VLOOKUP($Q1385,DM_KM,5,0),"")</f>
        <v/>
      </c>
      <c r="Q1385" s="89"/>
      <c r="R1385" s="64" t="str">
        <f>IF(S1385&lt;&gt;0,VLOOKUP(S1385,DM_DUAN,3,0),"")</f>
        <v>#N/A</v>
      </c>
      <c r="S1385" s="66" t="str">
        <f>IF(U1385&lt;&gt;0,VLOOKUP(U1385,DM_DUAN,3,0),"")</f>
        <v/>
      </c>
      <c r="T1385" s="64"/>
      <c r="U1385" s="93"/>
      <c r="V1385" s="64" t="str">
        <f>IF(W1385&lt;&gt;0,VLOOKUP(W1385,DM_DUAN,3,0),"")</f>
        <v/>
      </c>
      <c r="W1385" s="68"/>
      <c r="X1385" s="64" t="str">
        <f>IF(Y1385&lt;&gt;0,VLOOKUP(Y1385,DM_DUAN,3,0),"")</f>
        <v/>
      </c>
      <c r="Y1385" s="84"/>
      <c r="Z1385" s="64" t="str">
        <f>IF(AA1385&lt;&gt;0,VLOOKUP(AA1385,DM_DUAN,3,0),"")</f>
        <v/>
      </c>
      <c r="AA1385" s="131"/>
      <c r="AB1385" s="64" t="str">
        <f>IF(AC1385&lt;&gt;0,VLOOKUP(AC1385,DM_DUAN,3,0),"")</f>
        <v/>
      </c>
      <c r="AC1385" s="85"/>
      <c r="AD1385" s="64" t="str">
        <f>IF(AC1385&lt;&gt;0,VLOOKUP(AC1385,DM_NV,2,0),"")</f>
        <v/>
      </c>
      <c r="AE1385" s="68"/>
      <c r="AF1385" s="64" t="str">
        <f>IF(AE1385&lt;&gt;0,VLOOKUP(AE1385,DM_NV,2,0),"")</f>
        <v/>
      </c>
    </row>
  </sheetData>
  <autoFilter ref="$A$2:$AI$1385"/>
  <mergeCells count="2">
    <mergeCell ref="H1:I1"/>
    <mergeCell ref="O1:P1"/>
  </mergeCells>
  <conditionalFormatting sqref="G3:G1385">
    <cfRule type="containsBlanks" dxfId="4" priority="1">
      <formula>LEN(TRIM(G3))=0</formula>
    </cfRule>
  </conditionalFormatting>
  <dataValidations>
    <dataValidation type="list" allowBlank="1" showErrorMessage="1" sqref="Y3:Y1385">
      <formula1>MA_BP</formula1>
    </dataValidation>
    <dataValidation type="list" allowBlank="1" showErrorMessage="1" sqref="G3:G1385">
      <formula1>NGHIEPVU</formula1>
    </dataValidation>
    <dataValidation type="list" allowBlank="1" showErrorMessage="1" sqref="AA3:AA1385">
      <formula1>'THAM CHIẾU'!$R$3:$R$86</formula1>
    </dataValidation>
    <dataValidation type="list" allowBlank="1" showErrorMessage="1" sqref="D3:D1385">
      <formula1>NGAY</formula1>
    </dataValidation>
    <dataValidation type="list" allowBlank="1" showErrorMessage="1" sqref="U3:U1385">
      <formula1>MA_DUAN</formula1>
    </dataValidation>
    <dataValidation type="list" allowBlank="1" showErrorMessage="1" sqref="AC3:AC1385">
      <formula1>MA_NV</formula1>
    </dataValidation>
    <dataValidation type="list" allowBlank="1" showErrorMessage="1" sqref="Q3:Q1385">
      <formula1>MA_KM</formula1>
    </dataValidation>
    <dataValidation type="list" allowBlank="1" showErrorMessage="1" sqref="AE3:AE1385">
      <formula1>MA_DONGTIEN</formula1>
    </dataValidation>
    <dataValidation type="list" allowBlank="1" showErrorMessage="1" sqref="R402 V402 X402 Z402 AB402">
      <formula1>MA_SP</formula1>
    </dataValidation>
    <dataValidation type="list" allowBlank="1" showErrorMessage="1" sqref="W3:W1385">
      <formula1>MA_SP</formula1>
    </dataValidation>
  </dataValidations>
  <hyperlinks>
    <hyperlink r:id="rId2" ref="Q517"/>
    <hyperlink r:id="rId3" ref="Q518"/>
    <hyperlink r:id="rId4" ref="Q519"/>
    <hyperlink r:id="rId5" ref="Q520"/>
    <hyperlink r:id="rId6" ref="Q834"/>
    <hyperlink r:id="rId7" ref="Q835"/>
    <hyperlink r:id="rId8" ref="Q836"/>
    <hyperlink r:id="rId9" ref="Q837"/>
  </hyperlinks>
  <drawing r:id="rId10"/>
  <legacyDrawing r:id="rId11"/>
  <tableParts count="1">
    <tablePart r:id="rId1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2" width="7.0"/>
    <col customWidth="1" min="3" max="3" width="39.86"/>
    <col customWidth="1" min="4" max="4" width="14.86"/>
    <col customWidth="1" min="5" max="5" width="13.57"/>
    <col customWidth="1" min="6" max="6" width="9.14"/>
    <col customWidth="1" min="7" max="7" width="14.86"/>
    <col customWidth="1" min="8" max="15" width="9.43"/>
  </cols>
  <sheetData>
    <row r="1">
      <c r="A1" s="159" t="s">
        <v>1308</v>
      </c>
      <c r="C1" s="160" t="s">
        <v>1309</v>
      </c>
      <c r="D1" s="161" t="s">
        <v>1310</v>
      </c>
      <c r="E1" s="161" t="s">
        <v>40</v>
      </c>
      <c r="F1" s="161" t="s">
        <v>1311</v>
      </c>
      <c r="G1" s="162" t="s">
        <v>1312</v>
      </c>
    </row>
    <row r="2">
      <c r="A2" s="159" t="s">
        <v>1313</v>
      </c>
      <c r="B2" s="159" t="s">
        <v>1314</v>
      </c>
      <c r="D2" s="163"/>
      <c r="E2" s="163"/>
      <c r="F2" s="163"/>
      <c r="G2" s="162" t="s">
        <v>1315</v>
      </c>
      <c r="H2" s="162" t="s">
        <v>1316</v>
      </c>
      <c r="I2" s="162" t="s">
        <v>1317</v>
      </c>
      <c r="J2" s="162" t="s">
        <v>1318</v>
      </c>
      <c r="K2" s="162" t="s">
        <v>1319</v>
      </c>
      <c r="L2" s="162" t="s">
        <v>1320</v>
      </c>
      <c r="M2" s="162" t="s">
        <v>1321</v>
      </c>
      <c r="N2" s="162" t="s">
        <v>1322</v>
      </c>
      <c r="O2" s="162" t="s">
        <v>1323</v>
      </c>
    </row>
    <row r="3">
      <c r="A3" s="164"/>
      <c r="B3" s="164"/>
      <c r="C3" s="165" t="s">
        <v>1324</v>
      </c>
      <c r="D3" s="166"/>
      <c r="E3" s="166"/>
      <c r="F3" s="166"/>
      <c r="G3" s="167"/>
      <c r="H3" s="167"/>
      <c r="I3" s="167"/>
      <c r="J3" s="167"/>
      <c r="K3" s="167"/>
      <c r="L3" s="167"/>
      <c r="M3" s="167"/>
      <c r="N3" s="167"/>
      <c r="O3" s="167"/>
    </row>
    <row r="4">
      <c r="A4" s="159">
        <v>111.0</v>
      </c>
      <c r="B4" s="168"/>
      <c r="C4" s="169" t="s">
        <v>1325</v>
      </c>
      <c r="D4" s="170" t="s">
        <v>1326</v>
      </c>
      <c r="E4" s="170" t="s">
        <v>1327</v>
      </c>
      <c r="F4" s="171"/>
      <c r="G4" s="172"/>
      <c r="H4" s="172"/>
      <c r="I4" s="172"/>
      <c r="J4" s="172"/>
      <c r="K4" s="172"/>
      <c r="L4" s="172"/>
      <c r="M4" s="172"/>
      <c r="N4" s="172"/>
      <c r="O4" s="172"/>
    </row>
    <row r="5">
      <c r="A5" s="159"/>
      <c r="B5" s="173" t="s">
        <v>1328</v>
      </c>
      <c r="C5" s="174" t="s">
        <v>1329</v>
      </c>
      <c r="D5" s="170" t="s">
        <v>1326</v>
      </c>
      <c r="E5" s="170" t="s">
        <v>1327</v>
      </c>
      <c r="F5" s="171"/>
      <c r="G5" s="172"/>
      <c r="H5" s="172"/>
      <c r="I5" s="172"/>
      <c r="J5" s="172"/>
      <c r="K5" s="175"/>
      <c r="L5" s="172"/>
      <c r="M5" s="172"/>
      <c r="N5" s="172"/>
      <c r="O5" s="172"/>
    </row>
    <row r="6">
      <c r="A6" s="159"/>
      <c r="B6" s="176" t="s">
        <v>1330</v>
      </c>
      <c r="C6" s="177" t="s">
        <v>1331</v>
      </c>
      <c r="D6" s="170" t="s">
        <v>1326</v>
      </c>
      <c r="E6" s="170" t="s">
        <v>1327</v>
      </c>
      <c r="F6" s="171"/>
      <c r="G6" s="172"/>
      <c r="H6" s="172"/>
      <c r="I6" s="172"/>
      <c r="J6" s="172"/>
      <c r="K6" s="175"/>
      <c r="L6" s="172"/>
      <c r="M6" s="172"/>
      <c r="N6" s="172"/>
      <c r="O6" s="172"/>
    </row>
    <row r="7">
      <c r="A7" s="159">
        <v>112.0</v>
      </c>
      <c r="B7" s="168"/>
      <c r="C7" s="169" t="s">
        <v>1332</v>
      </c>
      <c r="D7" s="170" t="s">
        <v>1326</v>
      </c>
      <c r="E7" s="170" t="s">
        <v>1327</v>
      </c>
      <c r="F7" s="171"/>
      <c r="G7" s="172"/>
      <c r="H7" s="172"/>
      <c r="I7" s="172"/>
      <c r="J7" s="172"/>
      <c r="K7" s="175" t="s">
        <v>1333</v>
      </c>
      <c r="L7" s="172"/>
      <c r="M7" s="172"/>
      <c r="N7" s="172"/>
      <c r="O7" s="172"/>
    </row>
    <row r="8">
      <c r="A8" s="159"/>
      <c r="B8" s="176" t="s">
        <v>1334</v>
      </c>
      <c r="C8" s="177" t="s">
        <v>1329</v>
      </c>
      <c r="D8" s="170" t="s">
        <v>1326</v>
      </c>
      <c r="E8" s="170" t="s">
        <v>1327</v>
      </c>
      <c r="F8" s="171"/>
      <c r="G8" s="172"/>
      <c r="H8" s="172"/>
      <c r="I8" s="172"/>
      <c r="J8" s="172"/>
      <c r="K8" s="172"/>
      <c r="L8" s="172"/>
      <c r="M8" s="172"/>
      <c r="N8" s="172"/>
      <c r="O8" s="172"/>
    </row>
    <row r="9">
      <c r="A9" s="159"/>
      <c r="B9" s="173"/>
      <c r="C9" s="178" t="s">
        <v>1335</v>
      </c>
      <c r="D9" s="170"/>
      <c r="E9" s="170"/>
      <c r="F9" s="171"/>
      <c r="G9" s="172"/>
      <c r="H9" s="172"/>
      <c r="I9" s="172"/>
      <c r="J9" s="172"/>
      <c r="K9" s="172"/>
      <c r="L9" s="172"/>
      <c r="M9" s="172"/>
      <c r="N9" s="172"/>
      <c r="O9" s="172"/>
    </row>
    <row r="10">
      <c r="A10" s="159"/>
      <c r="B10" s="173"/>
      <c r="C10" s="178" t="s">
        <v>1336</v>
      </c>
      <c r="D10" s="170"/>
      <c r="E10" s="170"/>
      <c r="F10" s="171"/>
      <c r="G10" s="172"/>
      <c r="H10" s="172"/>
      <c r="I10" s="172"/>
      <c r="J10" s="172"/>
      <c r="K10" s="172"/>
      <c r="L10" s="172"/>
      <c r="M10" s="172"/>
      <c r="N10" s="172"/>
      <c r="O10" s="172"/>
    </row>
    <row r="11">
      <c r="A11" s="159"/>
      <c r="B11" s="173"/>
      <c r="C11" s="174"/>
      <c r="D11" s="170"/>
      <c r="E11" s="170"/>
      <c r="F11" s="171"/>
      <c r="G11" s="172"/>
      <c r="H11" s="172"/>
      <c r="I11" s="172"/>
      <c r="J11" s="172"/>
      <c r="K11" s="172"/>
      <c r="L11" s="172"/>
      <c r="M11" s="172"/>
      <c r="N11" s="172"/>
      <c r="O11" s="172"/>
    </row>
    <row r="12">
      <c r="A12" s="159"/>
      <c r="B12" s="173" t="s">
        <v>1337</v>
      </c>
      <c r="C12" s="174" t="s">
        <v>1331</v>
      </c>
      <c r="D12" s="170" t="s">
        <v>1326</v>
      </c>
      <c r="E12" s="170" t="s">
        <v>1327</v>
      </c>
      <c r="F12" s="171"/>
      <c r="G12" s="172"/>
      <c r="H12" s="172"/>
      <c r="I12" s="172"/>
      <c r="J12" s="172"/>
      <c r="K12" s="172"/>
      <c r="L12" s="172"/>
      <c r="M12" s="172"/>
      <c r="N12" s="172"/>
      <c r="O12" s="172"/>
    </row>
    <row r="13">
      <c r="A13" s="159">
        <v>121.0</v>
      </c>
      <c r="B13" s="168"/>
      <c r="C13" s="169" t="s">
        <v>1338</v>
      </c>
      <c r="D13" s="170" t="s">
        <v>1326</v>
      </c>
      <c r="E13" s="171"/>
      <c r="F13" s="171"/>
      <c r="G13" s="172"/>
      <c r="H13" s="172"/>
      <c r="I13" s="172"/>
      <c r="J13" s="172"/>
      <c r="K13" s="172"/>
      <c r="L13" s="172"/>
      <c r="M13" s="172"/>
      <c r="N13" s="172"/>
      <c r="O13" s="172"/>
    </row>
    <row r="14">
      <c r="A14" s="159">
        <v>128.0</v>
      </c>
      <c r="B14" s="168"/>
      <c r="C14" s="169" t="s">
        <v>1339</v>
      </c>
      <c r="D14" s="170" t="s">
        <v>1326</v>
      </c>
      <c r="E14" s="171"/>
      <c r="F14" s="171"/>
      <c r="G14" s="172"/>
      <c r="H14" s="172"/>
      <c r="I14" s="172"/>
      <c r="J14" s="172"/>
      <c r="K14" s="172"/>
      <c r="L14" s="172"/>
      <c r="M14" s="172"/>
      <c r="N14" s="172"/>
      <c r="O14" s="172"/>
    </row>
    <row r="15">
      <c r="A15" s="168"/>
      <c r="B15" s="179" t="s">
        <v>1340</v>
      </c>
      <c r="C15" s="177" t="s">
        <v>1341</v>
      </c>
      <c r="D15" s="170" t="s">
        <v>1326</v>
      </c>
      <c r="E15" s="171"/>
      <c r="F15" s="171"/>
      <c r="G15" s="172"/>
      <c r="H15" s="172"/>
      <c r="I15" s="172"/>
      <c r="J15" s="172"/>
      <c r="K15" s="172"/>
      <c r="L15" s="172"/>
      <c r="M15" s="172"/>
      <c r="N15" s="172"/>
      <c r="O15" s="172"/>
    </row>
    <row r="16">
      <c r="A16" s="168"/>
      <c r="B16" s="180" t="s">
        <v>1342</v>
      </c>
      <c r="C16" s="181" t="s">
        <v>1343</v>
      </c>
      <c r="D16" s="170" t="s">
        <v>1326</v>
      </c>
      <c r="E16" s="171"/>
      <c r="F16" s="171"/>
      <c r="G16" s="172"/>
      <c r="H16" s="172"/>
      <c r="I16" s="172"/>
      <c r="J16" s="172"/>
      <c r="K16" s="172"/>
      <c r="L16" s="172"/>
      <c r="M16" s="172"/>
      <c r="N16" s="172"/>
      <c r="O16" s="172"/>
    </row>
    <row r="17">
      <c r="A17" s="159">
        <v>131.0</v>
      </c>
      <c r="B17" s="168"/>
      <c r="C17" s="169" t="s">
        <v>1344</v>
      </c>
      <c r="D17" s="170" t="s">
        <v>1345</v>
      </c>
      <c r="E17" s="170" t="s">
        <v>1327</v>
      </c>
      <c r="F17" s="171"/>
      <c r="G17" s="175" t="s">
        <v>1346</v>
      </c>
      <c r="H17" s="172"/>
      <c r="I17" s="172"/>
      <c r="J17" s="172"/>
      <c r="K17" s="172"/>
      <c r="L17" s="172"/>
      <c r="M17" s="172"/>
      <c r="N17" s="172"/>
      <c r="O17" s="172"/>
    </row>
    <row r="18">
      <c r="A18" s="159">
        <v>133.0</v>
      </c>
      <c r="B18" s="168"/>
      <c r="C18" s="169" t="s">
        <v>1347</v>
      </c>
      <c r="D18" s="170" t="s">
        <v>1326</v>
      </c>
      <c r="E18" s="170" t="s">
        <v>1327</v>
      </c>
      <c r="F18" s="171"/>
      <c r="G18" s="172"/>
      <c r="H18" s="172"/>
      <c r="I18" s="172"/>
      <c r="J18" s="172"/>
      <c r="K18" s="172"/>
      <c r="L18" s="172"/>
      <c r="M18" s="172"/>
      <c r="N18" s="172"/>
      <c r="O18" s="172"/>
    </row>
    <row r="19">
      <c r="A19" s="168"/>
      <c r="B19" s="182">
        <v>1331.0</v>
      </c>
      <c r="C19" s="181" t="s">
        <v>1348</v>
      </c>
      <c r="D19" s="170" t="s">
        <v>1326</v>
      </c>
      <c r="E19" s="171"/>
      <c r="F19" s="171"/>
      <c r="G19" s="172"/>
      <c r="H19" s="172"/>
      <c r="I19" s="172"/>
      <c r="J19" s="172"/>
      <c r="K19" s="172"/>
      <c r="L19" s="172"/>
      <c r="M19" s="172"/>
      <c r="N19" s="172"/>
      <c r="O19" s="172"/>
    </row>
    <row r="20">
      <c r="A20" s="168"/>
      <c r="B20" s="182">
        <v>1332.0</v>
      </c>
      <c r="C20" s="181" t="s">
        <v>1349</v>
      </c>
      <c r="D20" s="170" t="s">
        <v>1326</v>
      </c>
      <c r="E20" s="171"/>
      <c r="F20" s="171"/>
      <c r="G20" s="172"/>
      <c r="H20" s="172"/>
      <c r="I20" s="172"/>
      <c r="J20" s="172"/>
      <c r="K20" s="172"/>
      <c r="L20" s="172"/>
      <c r="M20" s="172"/>
      <c r="N20" s="172"/>
      <c r="O20" s="172"/>
    </row>
    <row r="21">
      <c r="A21" s="159">
        <v>136.0</v>
      </c>
      <c r="B21" s="168"/>
      <c r="C21" s="169" t="s">
        <v>1350</v>
      </c>
      <c r="D21" s="170" t="s">
        <v>1326</v>
      </c>
      <c r="E21" s="171"/>
      <c r="F21" s="171"/>
      <c r="G21" s="172"/>
      <c r="H21" s="172"/>
      <c r="I21" s="172"/>
      <c r="J21" s="172"/>
      <c r="K21" s="172"/>
      <c r="L21" s="172"/>
      <c r="M21" s="172"/>
      <c r="N21" s="172"/>
      <c r="O21" s="172"/>
    </row>
    <row r="22">
      <c r="A22" s="168"/>
      <c r="B22" s="180" t="s">
        <v>1351</v>
      </c>
      <c r="C22" s="174" t="s">
        <v>1352</v>
      </c>
      <c r="D22" s="170" t="s">
        <v>1326</v>
      </c>
      <c r="E22" s="171"/>
      <c r="F22" s="171"/>
      <c r="G22" s="172"/>
      <c r="H22" s="172"/>
      <c r="I22" s="172"/>
      <c r="J22" s="172"/>
      <c r="K22" s="172"/>
      <c r="L22" s="172"/>
      <c r="M22" s="172"/>
      <c r="N22" s="172"/>
      <c r="O22" s="172"/>
    </row>
    <row r="23">
      <c r="A23" s="168"/>
      <c r="B23" s="179" t="s">
        <v>1353</v>
      </c>
      <c r="C23" s="177" t="s">
        <v>1354</v>
      </c>
      <c r="D23" s="170" t="s">
        <v>1326</v>
      </c>
      <c r="E23" s="171"/>
      <c r="F23" s="171"/>
      <c r="G23" s="172"/>
      <c r="H23" s="172"/>
      <c r="I23" s="172"/>
      <c r="J23" s="172"/>
      <c r="K23" s="172"/>
      <c r="L23" s="172"/>
      <c r="M23" s="172"/>
      <c r="N23" s="172"/>
      <c r="O23" s="172"/>
    </row>
    <row r="24">
      <c r="A24" s="159">
        <v>138.0</v>
      </c>
      <c r="B24" s="168"/>
      <c r="C24" s="169" t="s">
        <v>1355</v>
      </c>
      <c r="D24" s="170" t="s">
        <v>1326</v>
      </c>
      <c r="E24" s="170" t="s">
        <v>1327</v>
      </c>
      <c r="F24" s="171"/>
      <c r="G24" s="172"/>
      <c r="H24" s="172"/>
      <c r="I24" s="172"/>
      <c r="J24" s="172"/>
      <c r="K24" s="172"/>
      <c r="L24" s="172"/>
      <c r="M24" s="172"/>
      <c r="N24" s="172"/>
      <c r="O24" s="172"/>
    </row>
    <row r="25">
      <c r="A25" s="168"/>
      <c r="B25" s="179" t="s">
        <v>1356</v>
      </c>
      <c r="C25" s="177" t="s">
        <v>1357</v>
      </c>
      <c r="D25" s="170" t="s">
        <v>1326</v>
      </c>
      <c r="E25" s="170" t="s">
        <v>1327</v>
      </c>
      <c r="F25" s="171"/>
      <c r="G25" s="172"/>
      <c r="H25" s="172"/>
      <c r="I25" s="172"/>
      <c r="J25" s="172"/>
      <c r="K25" s="172"/>
      <c r="L25" s="172"/>
      <c r="M25" s="172"/>
      <c r="N25" s="172"/>
      <c r="O25" s="172"/>
    </row>
    <row r="26">
      <c r="A26" s="168"/>
      <c r="B26" s="180" t="s">
        <v>1358</v>
      </c>
      <c r="C26" s="174" t="s">
        <v>1359</v>
      </c>
      <c r="D26" s="170" t="s">
        <v>1326</v>
      </c>
      <c r="E26" s="170"/>
      <c r="F26" s="171"/>
      <c r="G26" s="172"/>
      <c r="H26" s="172"/>
      <c r="I26" s="172"/>
      <c r="J26" s="172"/>
      <c r="K26" s="172"/>
      <c r="L26" s="172"/>
      <c r="M26" s="172"/>
      <c r="N26" s="172"/>
      <c r="O26" s="172"/>
    </row>
    <row r="27">
      <c r="A27" s="168"/>
      <c r="B27" s="179" t="s">
        <v>1360</v>
      </c>
      <c r="C27" s="177" t="s">
        <v>1355</v>
      </c>
      <c r="D27" s="170" t="s">
        <v>1326</v>
      </c>
      <c r="E27" s="170" t="s">
        <v>1327</v>
      </c>
      <c r="F27" s="171"/>
      <c r="G27" s="172"/>
      <c r="H27" s="172"/>
      <c r="I27" s="172"/>
      <c r="J27" s="172"/>
      <c r="K27" s="172"/>
      <c r="L27" s="172"/>
      <c r="M27" s="172"/>
      <c r="N27" s="172"/>
      <c r="O27" s="172"/>
    </row>
    <row r="28">
      <c r="A28" s="159">
        <v>141.0</v>
      </c>
      <c r="B28" s="168"/>
      <c r="C28" s="169" t="s">
        <v>1361</v>
      </c>
      <c r="D28" s="170" t="s">
        <v>1326</v>
      </c>
      <c r="E28" s="170" t="s">
        <v>1327</v>
      </c>
      <c r="F28" s="171"/>
      <c r="G28" s="175" t="s">
        <v>1362</v>
      </c>
      <c r="H28" s="172"/>
      <c r="I28" s="172"/>
      <c r="J28" s="172"/>
      <c r="K28" s="175" t="s">
        <v>1333</v>
      </c>
      <c r="L28" s="172"/>
      <c r="M28" s="172"/>
      <c r="N28" s="172"/>
      <c r="O28" s="172"/>
    </row>
    <row r="29">
      <c r="A29" s="159">
        <v>151.0</v>
      </c>
      <c r="B29" s="168"/>
      <c r="C29" s="169" t="s">
        <v>1363</v>
      </c>
      <c r="D29" s="170" t="s">
        <v>1326</v>
      </c>
      <c r="E29" s="171"/>
      <c r="F29" s="171"/>
      <c r="G29" s="172"/>
      <c r="H29" s="172"/>
      <c r="I29" s="172"/>
      <c r="J29" s="172"/>
      <c r="K29" s="172"/>
      <c r="L29" s="172"/>
      <c r="M29" s="172"/>
      <c r="N29" s="172"/>
      <c r="O29" s="172"/>
    </row>
    <row r="30">
      <c r="A30" s="159">
        <v>152.0</v>
      </c>
      <c r="B30" s="168"/>
      <c r="C30" s="169" t="s">
        <v>1364</v>
      </c>
      <c r="D30" s="170" t="s">
        <v>1326</v>
      </c>
      <c r="E30" s="171"/>
      <c r="F30" s="171"/>
      <c r="G30" s="172"/>
      <c r="H30" s="172"/>
      <c r="I30" s="172"/>
      <c r="J30" s="172"/>
      <c r="K30" s="172"/>
      <c r="L30" s="172"/>
      <c r="M30" s="172"/>
      <c r="N30" s="172"/>
      <c r="O30" s="172"/>
    </row>
    <row r="31">
      <c r="A31" s="159">
        <v>153.0</v>
      </c>
      <c r="B31" s="168"/>
      <c r="C31" s="169" t="s">
        <v>1365</v>
      </c>
      <c r="D31" s="170" t="s">
        <v>1326</v>
      </c>
      <c r="E31" s="171"/>
      <c r="F31" s="171"/>
      <c r="G31" s="172"/>
      <c r="H31" s="172"/>
      <c r="I31" s="172"/>
      <c r="J31" s="172"/>
      <c r="K31" s="172"/>
      <c r="L31" s="172"/>
      <c r="M31" s="172"/>
      <c r="N31" s="172"/>
      <c r="O31" s="172"/>
    </row>
    <row r="32">
      <c r="A32" s="159">
        <v>154.0</v>
      </c>
      <c r="B32" s="168"/>
      <c r="C32" s="169" t="s">
        <v>1366</v>
      </c>
      <c r="D32" s="170" t="s">
        <v>1326</v>
      </c>
      <c r="E32" s="170" t="s">
        <v>1327</v>
      </c>
      <c r="F32" s="171"/>
      <c r="G32" s="172"/>
      <c r="H32" s="172"/>
      <c r="I32" s="172"/>
      <c r="J32" s="172"/>
      <c r="K32" s="172"/>
      <c r="L32" s="175" t="s">
        <v>1333</v>
      </c>
      <c r="M32" s="172"/>
      <c r="N32" s="172"/>
      <c r="O32" s="172"/>
    </row>
    <row r="33">
      <c r="A33" s="159">
        <v>155.0</v>
      </c>
      <c r="B33" s="168"/>
      <c r="C33" s="169" t="s">
        <v>1322</v>
      </c>
      <c r="D33" s="170" t="s">
        <v>1326</v>
      </c>
      <c r="E33" s="171"/>
      <c r="F33" s="171"/>
      <c r="G33" s="172"/>
      <c r="H33" s="172"/>
      <c r="I33" s="172"/>
      <c r="J33" s="172"/>
      <c r="K33" s="172"/>
      <c r="L33" s="172"/>
      <c r="M33" s="172"/>
      <c r="N33" s="172"/>
      <c r="O33" s="172"/>
    </row>
    <row r="34">
      <c r="A34" s="159">
        <v>156.0</v>
      </c>
      <c r="B34" s="168"/>
      <c r="C34" s="169" t="s">
        <v>1367</v>
      </c>
      <c r="D34" s="170" t="s">
        <v>1326</v>
      </c>
      <c r="E34" s="171"/>
      <c r="F34" s="171"/>
      <c r="G34" s="172"/>
      <c r="H34" s="172"/>
      <c r="I34" s="172"/>
      <c r="J34" s="172"/>
      <c r="K34" s="172"/>
      <c r="L34" s="172"/>
      <c r="M34" s="172"/>
      <c r="N34" s="172"/>
      <c r="O34" s="172"/>
    </row>
    <row r="35">
      <c r="A35" s="159">
        <v>157.0</v>
      </c>
      <c r="B35" s="168"/>
      <c r="C35" s="169" t="s">
        <v>1368</v>
      </c>
      <c r="D35" s="170" t="s">
        <v>1326</v>
      </c>
      <c r="E35" s="171"/>
      <c r="F35" s="171"/>
      <c r="G35" s="172"/>
      <c r="H35" s="172"/>
      <c r="I35" s="172"/>
      <c r="J35" s="172"/>
      <c r="K35" s="172"/>
      <c r="L35" s="172"/>
      <c r="M35" s="172"/>
      <c r="N35" s="172"/>
      <c r="O35" s="172"/>
    </row>
    <row r="36">
      <c r="A36" s="159">
        <v>211.0</v>
      </c>
      <c r="B36" s="168"/>
      <c r="C36" s="169" t="s">
        <v>1369</v>
      </c>
      <c r="D36" s="170" t="s">
        <v>1326</v>
      </c>
      <c r="E36" s="170"/>
      <c r="F36" s="171"/>
      <c r="G36" s="172"/>
      <c r="H36" s="172"/>
      <c r="I36" s="172"/>
      <c r="J36" s="172"/>
      <c r="K36" s="172"/>
      <c r="L36" s="172"/>
      <c r="M36" s="172"/>
      <c r="N36" s="172"/>
      <c r="O36" s="172"/>
    </row>
    <row r="37">
      <c r="A37" s="159"/>
      <c r="B37" s="176" t="s">
        <v>1370</v>
      </c>
      <c r="C37" s="177" t="s">
        <v>1371</v>
      </c>
      <c r="D37" s="170"/>
      <c r="E37" s="171"/>
      <c r="F37" s="171"/>
      <c r="G37" s="172"/>
      <c r="H37" s="172"/>
      <c r="I37" s="172"/>
      <c r="J37" s="172"/>
      <c r="K37" s="172"/>
      <c r="L37" s="172"/>
      <c r="M37" s="172"/>
      <c r="N37" s="172"/>
      <c r="O37" s="172"/>
    </row>
    <row r="38">
      <c r="A38" s="159"/>
      <c r="B38" s="173" t="s">
        <v>1372</v>
      </c>
      <c r="C38" s="174" t="s">
        <v>1373</v>
      </c>
      <c r="D38" s="170"/>
      <c r="E38" s="171"/>
      <c r="F38" s="171"/>
      <c r="G38" s="172"/>
      <c r="H38" s="172"/>
      <c r="I38" s="172"/>
      <c r="J38" s="172"/>
      <c r="K38" s="172"/>
      <c r="L38" s="172"/>
      <c r="M38" s="172"/>
      <c r="N38" s="172"/>
      <c r="O38" s="172"/>
    </row>
    <row r="39">
      <c r="A39" s="159"/>
      <c r="B39" s="176" t="s">
        <v>1374</v>
      </c>
      <c r="C39" s="177" t="s">
        <v>1375</v>
      </c>
      <c r="D39" s="170"/>
      <c r="E39" s="171"/>
      <c r="F39" s="171"/>
      <c r="G39" s="172"/>
      <c r="H39" s="172"/>
      <c r="I39" s="172"/>
      <c r="J39" s="172"/>
      <c r="K39" s="172"/>
      <c r="L39" s="172"/>
      <c r="M39" s="172"/>
      <c r="N39" s="172"/>
      <c r="O39" s="172"/>
    </row>
    <row r="40">
      <c r="A40" s="159">
        <v>214.0</v>
      </c>
      <c r="B40" s="168"/>
      <c r="C40" s="169" t="s">
        <v>1376</v>
      </c>
      <c r="D40" s="170" t="s">
        <v>1377</v>
      </c>
      <c r="E40" s="171"/>
      <c r="F40" s="171"/>
      <c r="G40" s="172"/>
      <c r="H40" s="172"/>
      <c r="I40" s="172"/>
      <c r="J40" s="172"/>
      <c r="K40" s="172"/>
      <c r="L40" s="172"/>
      <c r="M40" s="172"/>
      <c r="N40" s="172"/>
      <c r="O40" s="172"/>
    </row>
    <row r="41">
      <c r="A41" s="168"/>
      <c r="B41" s="179" t="s">
        <v>1378</v>
      </c>
      <c r="C41" s="177" t="s">
        <v>1379</v>
      </c>
      <c r="D41" s="170" t="s">
        <v>1377</v>
      </c>
      <c r="E41" s="171"/>
      <c r="F41" s="171"/>
      <c r="G41" s="172"/>
      <c r="H41" s="172"/>
      <c r="I41" s="172"/>
      <c r="J41" s="172"/>
      <c r="K41" s="172"/>
      <c r="L41" s="172"/>
      <c r="M41" s="172"/>
      <c r="N41" s="172"/>
      <c r="O41" s="172"/>
    </row>
    <row r="42">
      <c r="A42" s="168"/>
      <c r="B42" s="180" t="s">
        <v>1380</v>
      </c>
      <c r="C42" s="174" t="s">
        <v>1381</v>
      </c>
      <c r="D42" s="170" t="s">
        <v>1377</v>
      </c>
      <c r="E42" s="171"/>
      <c r="F42" s="171"/>
      <c r="G42" s="172"/>
      <c r="H42" s="172"/>
      <c r="I42" s="172"/>
      <c r="J42" s="172"/>
      <c r="K42" s="172"/>
      <c r="L42" s="172"/>
      <c r="M42" s="172"/>
      <c r="N42" s="172"/>
      <c r="O42" s="172"/>
    </row>
    <row r="43">
      <c r="A43" s="168"/>
      <c r="B43" s="179" t="s">
        <v>1382</v>
      </c>
      <c r="C43" s="177" t="s">
        <v>1383</v>
      </c>
      <c r="D43" s="170" t="s">
        <v>1377</v>
      </c>
      <c r="E43" s="171"/>
      <c r="F43" s="171"/>
      <c r="G43" s="172"/>
      <c r="H43" s="172"/>
      <c r="I43" s="172"/>
      <c r="J43" s="172"/>
      <c r="K43" s="172"/>
      <c r="L43" s="172"/>
      <c r="M43" s="172"/>
      <c r="N43" s="172"/>
      <c r="O43" s="172"/>
    </row>
    <row r="44">
      <c r="A44" s="168"/>
      <c r="B44" s="180" t="s">
        <v>1384</v>
      </c>
      <c r="C44" s="174" t="s">
        <v>1385</v>
      </c>
      <c r="D44" s="170" t="s">
        <v>1377</v>
      </c>
      <c r="E44" s="171"/>
      <c r="F44" s="171"/>
      <c r="G44" s="172"/>
      <c r="H44" s="172"/>
      <c r="I44" s="172"/>
      <c r="J44" s="172"/>
      <c r="K44" s="172"/>
      <c r="L44" s="172"/>
      <c r="M44" s="172"/>
      <c r="N44" s="172"/>
      <c r="O44" s="172"/>
    </row>
    <row r="45">
      <c r="A45" s="159">
        <v>217.0</v>
      </c>
      <c r="B45" s="168"/>
      <c r="C45" s="169" t="s">
        <v>1386</v>
      </c>
      <c r="D45" s="170" t="s">
        <v>1326</v>
      </c>
      <c r="E45" s="171"/>
      <c r="F45" s="171"/>
      <c r="G45" s="172"/>
      <c r="H45" s="172"/>
      <c r="I45" s="172"/>
      <c r="J45" s="172"/>
      <c r="K45" s="172"/>
      <c r="L45" s="172"/>
      <c r="M45" s="172"/>
      <c r="N45" s="172"/>
      <c r="O45" s="172"/>
    </row>
    <row r="46">
      <c r="A46" s="183" t="s">
        <v>1387</v>
      </c>
      <c r="B46" s="183"/>
      <c r="C46" s="184" t="s">
        <v>1388</v>
      </c>
      <c r="D46" s="170" t="s">
        <v>1326</v>
      </c>
      <c r="E46" s="171"/>
      <c r="F46" s="171"/>
      <c r="G46" s="172"/>
      <c r="H46" s="172"/>
      <c r="I46" s="172"/>
      <c r="J46" s="172"/>
      <c r="K46" s="172"/>
      <c r="L46" s="172"/>
      <c r="M46" s="172"/>
      <c r="N46" s="172"/>
      <c r="O46" s="172"/>
    </row>
    <row r="47">
      <c r="A47" s="168"/>
      <c r="B47" s="179" t="s">
        <v>1389</v>
      </c>
      <c r="C47" s="177" t="s">
        <v>1390</v>
      </c>
      <c r="D47" s="170" t="s">
        <v>1326</v>
      </c>
      <c r="E47" s="171"/>
      <c r="F47" s="171"/>
      <c r="G47" s="172"/>
      <c r="H47" s="172"/>
      <c r="I47" s="172"/>
      <c r="J47" s="172"/>
      <c r="K47" s="172"/>
      <c r="L47" s="172"/>
      <c r="M47" s="172"/>
      <c r="N47" s="172"/>
      <c r="O47" s="172"/>
    </row>
    <row r="48">
      <c r="A48" s="168"/>
      <c r="B48" s="180" t="s">
        <v>1391</v>
      </c>
      <c r="C48" s="174" t="s">
        <v>1392</v>
      </c>
      <c r="D48" s="170" t="s">
        <v>1326</v>
      </c>
      <c r="E48" s="171"/>
      <c r="F48" s="171"/>
      <c r="G48" s="172"/>
      <c r="H48" s="172"/>
      <c r="I48" s="172"/>
      <c r="J48" s="172"/>
      <c r="K48" s="172"/>
      <c r="L48" s="172"/>
      <c r="M48" s="172"/>
      <c r="N48" s="172"/>
      <c r="O48" s="172"/>
    </row>
    <row r="49">
      <c r="A49" s="159">
        <v>229.0</v>
      </c>
      <c r="B49" s="168"/>
      <c r="C49" s="169" t="s">
        <v>1393</v>
      </c>
      <c r="D49" s="170" t="s">
        <v>1377</v>
      </c>
      <c r="E49" s="171"/>
      <c r="F49" s="171"/>
      <c r="G49" s="172"/>
      <c r="H49" s="172"/>
      <c r="I49" s="172"/>
      <c r="J49" s="172"/>
      <c r="K49" s="172"/>
      <c r="L49" s="172"/>
      <c r="M49" s="172"/>
      <c r="N49" s="172"/>
      <c r="O49" s="172"/>
    </row>
    <row r="50">
      <c r="A50" s="168"/>
      <c r="B50" s="180" t="s">
        <v>1394</v>
      </c>
      <c r="C50" s="174" t="s">
        <v>1395</v>
      </c>
      <c r="D50" s="170" t="s">
        <v>1377</v>
      </c>
      <c r="E50" s="171"/>
      <c r="F50" s="171"/>
      <c r="G50" s="172"/>
      <c r="H50" s="172"/>
      <c r="I50" s="172"/>
      <c r="J50" s="172"/>
      <c r="K50" s="172"/>
      <c r="L50" s="172"/>
      <c r="M50" s="172"/>
      <c r="N50" s="172"/>
      <c r="O50" s="172"/>
    </row>
    <row r="51">
      <c r="A51" s="168"/>
      <c r="B51" s="179" t="s">
        <v>1396</v>
      </c>
      <c r="C51" s="177" t="s">
        <v>1397</v>
      </c>
      <c r="D51" s="170" t="s">
        <v>1377</v>
      </c>
      <c r="E51" s="171"/>
      <c r="F51" s="171"/>
      <c r="G51" s="172"/>
      <c r="H51" s="172"/>
      <c r="I51" s="172"/>
      <c r="J51" s="172"/>
      <c r="K51" s="172"/>
      <c r="L51" s="172"/>
      <c r="M51" s="172"/>
      <c r="N51" s="172"/>
      <c r="O51" s="172"/>
    </row>
    <row r="52">
      <c r="A52" s="168"/>
      <c r="B52" s="180" t="s">
        <v>1398</v>
      </c>
      <c r="C52" s="174" t="s">
        <v>1399</v>
      </c>
      <c r="D52" s="170" t="s">
        <v>1377</v>
      </c>
      <c r="E52" s="171"/>
      <c r="F52" s="171"/>
      <c r="G52" s="172"/>
      <c r="H52" s="172"/>
      <c r="I52" s="172"/>
      <c r="J52" s="172"/>
      <c r="K52" s="172"/>
      <c r="L52" s="172"/>
      <c r="M52" s="172"/>
      <c r="N52" s="172"/>
      <c r="O52" s="172"/>
    </row>
    <row r="53">
      <c r="A53" s="168"/>
      <c r="B53" s="179" t="s">
        <v>1400</v>
      </c>
      <c r="C53" s="177" t="s">
        <v>1401</v>
      </c>
      <c r="D53" s="170" t="s">
        <v>1377</v>
      </c>
      <c r="E53" s="171"/>
      <c r="F53" s="171"/>
      <c r="G53" s="172"/>
      <c r="H53" s="172"/>
      <c r="I53" s="172"/>
      <c r="J53" s="172"/>
      <c r="K53" s="172"/>
      <c r="L53" s="172"/>
      <c r="M53" s="172"/>
      <c r="N53" s="172"/>
      <c r="O53" s="172"/>
    </row>
    <row r="54">
      <c r="A54" s="159">
        <v>241.0</v>
      </c>
      <c r="B54" s="168"/>
      <c r="C54" s="169" t="s">
        <v>1402</v>
      </c>
      <c r="D54" s="170" t="s">
        <v>1326</v>
      </c>
      <c r="E54" s="171"/>
      <c r="F54" s="171"/>
      <c r="G54" s="172"/>
      <c r="H54" s="172"/>
      <c r="I54" s="172"/>
      <c r="J54" s="172"/>
      <c r="K54" s="172"/>
      <c r="L54" s="172"/>
      <c r="M54" s="172"/>
      <c r="N54" s="172"/>
      <c r="O54" s="172"/>
    </row>
    <row r="55">
      <c r="A55" s="168"/>
      <c r="B55" s="179" t="s">
        <v>1403</v>
      </c>
      <c r="C55" s="177" t="s">
        <v>1404</v>
      </c>
      <c r="D55" s="170" t="s">
        <v>1326</v>
      </c>
      <c r="E55" s="171"/>
      <c r="F55" s="171"/>
      <c r="G55" s="172"/>
      <c r="H55" s="172"/>
      <c r="I55" s="172"/>
      <c r="J55" s="172"/>
      <c r="K55" s="172"/>
      <c r="L55" s="172"/>
      <c r="M55" s="172"/>
      <c r="N55" s="172"/>
      <c r="O55" s="172"/>
    </row>
    <row r="56">
      <c r="A56" s="168"/>
      <c r="B56" s="180" t="s">
        <v>1405</v>
      </c>
      <c r="C56" s="174" t="s">
        <v>1406</v>
      </c>
      <c r="D56" s="170" t="s">
        <v>1326</v>
      </c>
      <c r="E56" s="171"/>
      <c r="F56" s="171"/>
      <c r="G56" s="172"/>
      <c r="H56" s="172"/>
      <c r="I56" s="172"/>
      <c r="J56" s="172"/>
      <c r="K56" s="172"/>
      <c r="L56" s="172"/>
      <c r="M56" s="172"/>
      <c r="N56" s="172"/>
      <c r="O56" s="172"/>
    </row>
    <row r="57">
      <c r="A57" s="168"/>
      <c r="B57" s="179" t="s">
        <v>1407</v>
      </c>
      <c r="C57" s="177" t="s">
        <v>1408</v>
      </c>
      <c r="D57" s="170" t="s">
        <v>1326</v>
      </c>
      <c r="E57" s="171"/>
      <c r="F57" s="171"/>
      <c r="G57" s="172"/>
      <c r="H57" s="172"/>
      <c r="I57" s="172"/>
      <c r="J57" s="172"/>
      <c r="K57" s="172"/>
      <c r="L57" s="172"/>
      <c r="M57" s="172"/>
      <c r="N57" s="172"/>
      <c r="O57" s="172"/>
    </row>
    <row r="58">
      <c r="A58" s="159">
        <v>242.0</v>
      </c>
      <c r="B58" s="168"/>
      <c r="C58" s="169" t="s">
        <v>1409</v>
      </c>
      <c r="D58" s="170" t="s">
        <v>1326</v>
      </c>
      <c r="E58" s="171"/>
      <c r="F58" s="171"/>
      <c r="G58" s="172"/>
      <c r="H58" s="172"/>
      <c r="I58" s="172"/>
      <c r="J58" s="172"/>
      <c r="K58" s="172"/>
      <c r="L58" s="172"/>
      <c r="M58" s="172"/>
      <c r="N58" s="172"/>
      <c r="O58" s="172"/>
    </row>
    <row r="59">
      <c r="A59" s="164"/>
      <c r="B59" s="164"/>
      <c r="C59" s="165" t="s">
        <v>1410</v>
      </c>
      <c r="D59" s="167"/>
      <c r="E59" s="167"/>
      <c r="F59" s="167"/>
      <c r="G59" s="167"/>
      <c r="H59" s="167"/>
      <c r="I59" s="167"/>
      <c r="J59" s="167"/>
      <c r="K59" s="167"/>
      <c r="L59" s="167"/>
      <c r="M59" s="167"/>
      <c r="N59" s="167"/>
      <c r="O59" s="167"/>
    </row>
    <row r="60">
      <c r="A60" s="159">
        <v>331.0</v>
      </c>
      <c r="B60" s="168"/>
      <c r="C60" s="169" t="s">
        <v>1411</v>
      </c>
      <c r="D60" s="170" t="s">
        <v>1345</v>
      </c>
      <c r="E60" s="170" t="s">
        <v>1327</v>
      </c>
      <c r="F60" s="171"/>
      <c r="G60" s="175" t="s">
        <v>1412</v>
      </c>
      <c r="H60" s="172"/>
      <c r="I60" s="172"/>
      <c r="J60" s="172"/>
      <c r="K60" s="172"/>
      <c r="L60" s="172"/>
      <c r="M60" s="172"/>
      <c r="N60" s="172"/>
      <c r="O60" s="172"/>
    </row>
    <row r="61">
      <c r="A61" s="159">
        <v>333.0</v>
      </c>
      <c r="B61" s="168"/>
      <c r="C61" s="169" t="s">
        <v>1413</v>
      </c>
      <c r="D61" s="170" t="s">
        <v>1345</v>
      </c>
      <c r="E61" s="170" t="s">
        <v>1327</v>
      </c>
      <c r="F61" s="171"/>
      <c r="G61" s="172"/>
      <c r="H61" s="172"/>
      <c r="I61" s="172"/>
      <c r="J61" s="172"/>
      <c r="K61" s="172"/>
      <c r="L61" s="172"/>
      <c r="M61" s="172"/>
      <c r="N61" s="172"/>
      <c r="O61" s="172"/>
    </row>
    <row r="62">
      <c r="A62" s="168"/>
      <c r="B62" s="182">
        <v>3331.0</v>
      </c>
      <c r="C62" s="181" t="s">
        <v>1414</v>
      </c>
      <c r="D62" s="170" t="s">
        <v>1345</v>
      </c>
      <c r="E62" s="170" t="s">
        <v>1327</v>
      </c>
      <c r="F62" s="171"/>
      <c r="G62" s="172"/>
      <c r="H62" s="172"/>
      <c r="I62" s="172"/>
      <c r="J62" s="172"/>
      <c r="K62" s="172"/>
      <c r="L62" s="172"/>
      <c r="M62" s="172"/>
      <c r="N62" s="172"/>
      <c r="O62" s="172"/>
    </row>
    <row r="63">
      <c r="A63" s="168"/>
      <c r="B63" s="179" t="s">
        <v>1415</v>
      </c>
      <c r="C63" s="177" t="s">
        <v>1416</v>
      </c>
      <c r="D63" s="170" t="s">
        <v>1345</v>
      </c>
      <c r="E63" s="171"/>
      <c r="F63" s="171"/>
      <c r="G63" s="172"/>
      <c r="H63" s="172"/>
      <c r="I63" s="172"/>
      <c r="J63" s="172"/>
      <c r="K63" s="172"/>
      <c r="L63" s="172"/>
      <c r="M63" s="172"/>
      <c r="N63" s="172"/>
      <c r="O63" s="172"/>
    </row>
    <row r="64">
      <c r="A64" s="168"/>
      <c r="B64" s="180" t="s">
        <v>1417</v>
      </c>
      <c r="C64" s="174" t="s">
        <v>1418</v>
      </c>
      <c r="D64" s="170" t="s">
        <v>1345</v>
      </c>
      <c r="E64" s="171"/>
      <c r="F64" s="171"/>
      <c r="G64" s="172"/>
      <c r="H64" s="172"/>
      <c r="I64" s="172"/>
      <c r="J64" s="172"/>
      <c r="K64" s="172"/>
      <c r="L64" s="172"/>
      <c r="M64" s="172"/>
      <c r="N64" s="172"/>
      <c r="O64" s="172"/>
    </row>
    <row r="65">
      <c r="A65" s="168"/>
      <c r="B65" s="179" t="s">
        <v>1419</v>
      </c>
      <c r="C65" s="177" t="s">
        <v>1420</v>
      </c>
      <c r="D65" s="170" t="s">
        <v>1345</v>
      </c>
      <c r="E65" s="171"/>
      <c r="F65" s="171"/>
      <c r="G65" s="172"/>
      <c r="H65" s="172"/>
      <c r="I65" s="172"/>
      <c r="J65" s="172"/>
      <c r="K65" s="172"/>
      <c r="L65" s="172"/>
      <c r="M65" s="172"/>
      <c r="N65" s="172"/>
      <c r="O65" s="172"/>
    </row>
    <row r="66">
      <c r="A66" s="168"/>
      <c r="B66" s="180" t="s">
        <v>1421</v>
      </c>
      <c r="C66" s="174" t="s">
        <v>1422</v>
      </c>
      <c r="D66" s="170" t="s">
        <v>1345</v>
      </c>
      <c r="E66" s="171"/>
      <c r="F66" s="171"/>
      <c r="G66" s="172"/>
      <c r="H66" s="172"/>
      <c r="I66" s="172"/>
      <c r="J66" s="172"/>
      <c r="K66" s="172"/>
      <c r="L66" s="172"/>
      <c r="M66" s="172"/>
      <c r="N66" s="172"/>
      <c r="O66" s="172"/>
    </row>
    <row r="67">
      <c r="A67" s="168"/>
      <c r="B67" s="179" t="s">
        <v>1423</v>
      </c>
      <c r="C67" s="177" t="s">
        <v>1424</v>
      </c>
      <c r="D67" s="170" t="s">
        <v>1345</v>
      </c>
      <c r="E67" s="170" t="s">
        <v>1327</v>
      </c>
      <c r="F67" s="171"/>
      <c r="G67" s="172"/>
      <c r="H67" s="172"/>
      <c r="I67" s="172"/>
      <c r="J67" s="172"/>
      <c r="K67" s="172"/>
      <c r="L67" s="172"/>
      <c r="M67" s="172"/>
      <c r="N67" s="172"/>
      <c r="O67" s="172"/>
    </row>
    <row r="68">
      <c r="A68" s="168"/>
      <c r="B68" s="180" t="s">
        <v>1425</v>
      </c>
      <c r="C68" s="174" t="s">
        <v>1426</v>
      </c>
      <c r="D68" s="170" t="s">
        <v>1345</v>
      </c>
      <c r="E68" s="170" t="s">
        <v>1327</v>
      </c>
      <c r="F68" s="171"/>
      <c r="G68" s="172"/>
      <c r="H68" s="172"/>
      <c r="I68" s="172"/>
      <c r="J68" s="172"/>
      <c r="K68" s="172"/>
      <c r="L68" s="172"/>
      <c r="M68" s="172"/>
      <c r="N68" s="172"/>
      <c r="O68" s="172"/>
    </row>
    <row r="69">
      <c r="A69" s="168"/>
      <c r="B69" s="179" t="s">
        <v>1427</v>
      </c>
      <c r="C69" s="177" t="s">
        <v>1428</v>
      </c>
      <c r="D69" s="170" t="s">
        <v>1345</v>
      </c>
      <c r="E69" s="171"/>
      <c r="F69" s="171"/>
      <c r="G69" s="172"/>
      <c r="H69" s="172"/>
      <c r="I69" s="172"/>
      <c r="J69" s="172"/>
      <c r="K69" s="172"/>
      <c r="L69" s="172"/>
      <c r="M69" s="172"/>
      <c r="N69" s="172"/>
      <c r="O69" s="172"/>
    </row>
    <row r="70">
      <c r="A70" s="168"/>
      <c r="B70" s="180" t="s">
        <v>1429</v>
      </c>
      <c r="C70" s="174" t="s">
        <v>1430</v>
      </c>
      <c r="D70" s="170" t="s">
        <v>1345</v>
      </c>
      <c r="E70" s="171"/>
      <c r="F70" s="171"/>
      <c r="G70" s="172"/>
      <c r="H70" s="172"/>
      <c r="I70" s="172"/>
      <c r="J70" s="172"/>
      <c r="K70" s="172"/>
      <c r="L70" s="172"/>
      <c r="M70" s="172"/>
      <c r="N70" s="172"/>
      <c r="O70" s="172"/>
    </row>
    <row r="71">
      <c r="A71" s="168"/>
      <c r="B71" s="185" t="s">
        <v>1431</v>
      </c>
      <c r="C71" s="186" t="s">
        <v>1432</v>
      </c>
      <c r="D71" s="170" t="s">
        <v>1345</v>
      </c>
      <c r="E71" s="170" t="s">
        <v>1327</v>
      </c>
      <c r="F71" s="171"/>
      <c r="G71" s="172"/>
      <c r="H71" s="172"/>
      <c r="I71" s="172"/>
      <c r="J71" s="172"/>
      <c r="K71" s="172"/>
      <c r="L71" s="172"/>
      <c r="M71" s="172"/>
      <c r="N71" s="172"/>
      <c r="O71" s="172"/>
    </row>
    <row r="72">
      <c r="A72" s="168"/>
      <c r="B72" s="180" t="s">
        <v>1433</v>
      </c>
      <c r="C72" s="174" t="s">
        <v>1434</v>
      </c>
      <c r="D72" s="170" t="s">
        <v>1345</v>
      </c>
      <c r="E72" s="171"/>
      <c r="F72" s="171"/>
      <c r="G72" s="172"/>
      <c r="H72" s="172"/>
      <c r="I72" s="172"/>
      <c r="J72" s="172"/>
      <c r="K72" s="172"/>
      <c r="L72" s="172"/>
      <c r="M72" s="172"/>
      <c r="N72" s="172"/>
      <c r="O72" s="172"/>
    </row>
    <row r="73">
      <c r="A73" s="168"/>
      <c r="B73" s="179" t="s">
        <v>1435</v>
      </c>
      <c r="C73" s="177" t="s">
        <v>1436</v>
      </c>
      <c r="D73" s="170" t="s">
        <v>1345</v>
      </c>
      <c r="E73" s="171"/>
      <c r="F73" s="171"/>
      <c r="G73" s="172"/>
      <c r="H73" s="172"/>
      <c r="I73" s="172"/>
      <c r="J73" s="172"/>
      <c r="K73" s="172"/>
      <c r="L73" s="172"/>
      <c r="M73" s="172"/>
      <c r="N73" s="172"/>
      <c r="O73" s="172"/>
    </row>
    <row r="74">
      <c r="A74" s="168"/>
      <c r="B74" s="180" t="s">
        <v>1437</v>
      </c>
      <c r="C74" s="174" t="s">
        <v>1438</v>
      </c>
      <c r="D74" s="170" t="s">
        <v>1345</v>
      </c>
      <c r="E74" s="170" t="s">
        <v>1327</v>
      </c>
      <c r="F74" s="171"/>
      <c r="G74" s="172"/>
      <c r="H74" s="172"/>
      <c r="I74" s="172"/>
      <c r="J74" s="172"/>
      <c r="K74" s="172"/>
      <c r="L74" s="172"/>
      <c r="M74" s="172"/>
      <c r="N74" s="172"/>
      <c r="O74" s="172"/>
    </row>
    <row r="75">
      <c r="A75" s="159">
        <v>334.0</v>
      </c>
      <c r="B75" s="168"/>
      <c r="C75" s="169" t="s">
        <v>1439</v>
      </c>
      <c r="D75" s="170" t="s">
        <v>1345</v>
      </c>
      <c r="E75" s="170" t="s">
        <v>1327</v>
      </c>
      <c r="F75" s="171"/>
      <c r="G75" s="175" t="s">
        <v>1362</v>
      </c>
      <c r="H75" s="172"/>
      <c r="I75" s="172"/>
      <c r="J75" s="172"/>
      <c r="K75" s="172"/>
      <c r="L75" s="172"/>
      <c r="M75" s="172"/>
      <c r="N75" s="172"/>
      <c r="O75" s="172"/>
    </row>
    <row r="76">
      <c r="A76" s="159">
        <v>335.0</v>
      </c>
      <c r="B76" s="168"/>
      <c r="C76" s="169" t="s">
        <v>1440</v>
      </c>
      <c r="D76" s="170" t="s">
        <v>1377</v>
      </c>
      <c r="E76" s="171"/>
      <c r="F76" s="171"/>
      <c r="G76" s="172"/>
      <c r="H76" s="172"/>
      <c r="I76" s="172"/>
      <c r="J76" s="172"/>
      <c r="K76" s="172"/>
      <c r="L76" s="172"/>
      <c r="M76" s="172"/>
      <c r="N76" s="172"/>
      <c r="O76" s="172"/>
    </row>
    <row r="77">
      <c r="A77" s="159">
        <v>336.0</v>
      </c>
      <c r="B77" s="168"/>
      <c r="C77" s="169" t="s">
        <v>1441</v>
      </c>
      <c r="D77" s="170" t="s">
        <v>1377</v>
      </c>
      <c r="E77" s="171"/>
      <c r="F77" s="171"/>
      <c r="G77" s="172"/>
      <c r="H77" s="172"/>
      <c r="I77" s="172"/>
      <c r="J77" s="172"/>
      <c r="K77" s="172"/>
      <c r="L77" s="172"/>
      <c r="M77" s="172"/>
      <c r="N77" s="172"/>
      <c r="O77" s="172"/>
    </row>
    <row r="78">
      <c r="A78" s="168"/>
      <c r="B78" s="180" t="s">
        <v>1442</v>
      </c>
      <c r="C78" s="174" t="s">
        <v>1443</v>
      </c>
      <c r="D78" s="170" t="s">
        <v>1377</v>
      </c>
      <c r="E78" s="171"/>
      <c r="F78" s="171"/>
      <c r="G78" s="172"/>
      <c r="H78" s="172"/>
      <c r="I78" s="172"/>
      <c r="J78" s="172"/>
      <c r="K78" s="172"/>
      <c r="L78" s="172"/>
      <c r="M78" s="172"/>
      <c r="N78" s="172"/>
      <c r="O78" s="172"/>
    </row>
    <row r="79">
      <c r="A79" s="168"/>
      <c r="B79" s="179" t="s">
        <v>1444</v>
      </c>
      <c r="C79" s="177" t="s">
        <v>1445</v>
      </c>
      <c r="D79" s="170" t="s">
        <v>1377</v>
      </c>
      <c r="E79" s="171"/>
      <c r="F79" s="171"/>
      <c r="G79" s="172"/>
      <c r="H79" s="172"/>
      <c r="I79" s="172"/>
      <c r="J79" s="172"/>
      <c r="K79" s="172"/>
      <c r="L79" s="172"/>
      <c r="M79" s="172"/>
      <c r="N79" s="172"/>
      <c r="O79" s="172"/>
    </row>
    <row r="80">
      <c r="A80" s="159">
        <v>338.0</v>
      </c>
      <c r="B80" s="168"/>
      <c r="C80" s="169" t="s">
        <v>1446</v>
      </c>
      <c r="D80" s="170" t="s">
        <v>1345</v>
      </c>
      <c r="E80" s="170" t="s">
        <v>1327</v>
      </c>
      <c r="F80" s="171"/>
      <c r="G80" s="172"/>
      <c r="H80" s="172"/>
      <c r="I80" s="172"/>
      <c r="J80" s="172"/>
      <c r="K80" s="172"/>
      <c r="L80" s="172"/>
      <c r="M80" s="172"/>
      <c r="N80" s="172"/>
      <c r="O80" s="172"/>
    </row>
    <row r="81">
      <c r="A81" s="168"/>
      <c r="B81" s="179" t="s">
        <v>1447</v>
      </c>
      <c r="C81" s="177" t="s">
        <v>1448</v>
      </c>
      <c r="D81" s="170" t="s">
        <v>1345</v>
      </c>
      <c r="E81" s="170" t="s">
        <v>1327</v>
      </c>
      <c r="F81" s="171"/>
      <c r="G81" s="172"/>
      <c r="H81" s="172"/>
      <c r="I81" s="172"/>
      <c r="J81" s="172"/>
      <c r="K81" s="172"/>
      <c r="L81" s="172"/>
      <c r="M81" s="172"/>
      <c r="N81" s="172"/>
      <c r="O81" s="172"/>
    </row>
    <row r="82">
      <c r="A82" s="168"/>
      <c r="B82" s="180" t="s">
        <v>1449</v>
      </c>
      <c r="C82" s="174" t="s">
        <v>1450</v>
      </c>
      <c r="D82" s="170" t="s">
        <v>1345</v>
      </c>
      <c r="E82" s="170" t="s">
        <v>1327</v>
      </c>
      <c r="F82" s="171"/>
      <c r="G82" s="172"/>
      <c r="H82" s="172"/>
      <c r="I82" s="172"/>
      <c r="J82" s="172"/>
      <c r="K82" s="172"/>
      <c r="L82" s="172"/>
      <c r="M82" s="172"/>
      <c r="N82" s="172"/>
      <c r="O82" s="172"/>
    </row>
    <row r="83">
      <c r="A83" s="168"/>
      <c r="B83" s="179" t="s">
        <v>1451</v>
      </c>
      <c r="C83" s="177" t="s">
        <v>1452</v>
      </c>
      <c r="D83" s="170" t="s">
        <v>1345</v>
      </c>
      <c r="E83" s="170" t="s">
        <v>1327</v>
      </c>
      <c r="F83" s="171"/>
      <c r="G83" s="172"/>
      <c r="H83" s="172"/>
      <c r="I83" s="172"/>
      <c r="J83" s="172"/>
      <c r="K83" s="172"/>
      <c r="L83" s="172"/>
      <c r="M83" s="172"/>
      <c r="N83" s="172"/>
      <c r="O83" s="172"/>
    </row>
    <row r="84">
      <c r="A84" s="168"/>
      <c r="B84" s="180" t="s">
        <v>1453</v>
      </c>
      <c r="C84" s="174" t="s">
        <v>1454</v>
      </c>
      <c r="D84" s="170" t="s">
        <v>1345</v>
      </c>
      <c r="E84" s="170" t="s">
        <v>1327</v>
      </c>
      <c r="F84" s="171"/>
      <c r="G84" s="172"/>
      <c r="H84" s="172"/>
      <c r="I84" s="172"/>
      <c r="J84" s="172"/>
      <c r="K84" s="172"/>
      <c r="L84" s="172"/>
      <c r="M84" s="172"/>
      <c r="N84" s="172"/>
      <c r="O84" s="172"/>
    </row>
    <row r="85">
      <c r="A85" s="168"/>
      <c r="B85" s="179" t="s">
        <v>1455</v>
      </c>
      <c r="C85" s="177" t="s">
        <v>1456</v>
      </c>
      <c r="D85" s="170" t="s">
        <v>1345</v>
      </c>
      <c r="E85" s="170" t="s">
        <v>1327</v>
      </c>
      <c r="F85" s="171"/>
      <c r="G85" s="172"/>
      <c r="H85" s="172"/>
      <c r="I85" s="172"/>
      <c r="J85" s="172"/>
      <c r="K85" s="172"/>
      <c r="L85" s="172"/>
      <c r="M85" s="172"/>
      <c r="N85" s="172"/>
      <c r="O85" s="172"/>
    </row>
    <row r="86">
      <c r="A86" s="168"/>
      <c r="B86" s="180" t="s">
        <v>1457</v>
      </c>
      <c r="C86" s="174" t="s">
        <v>1458</v>
      </c>
      <c r="D86" s="170" t="s">
        <v>1345</v>
      </c>
      <c r="E86" s="170" t="s">
        <v>1327</v>
      </c>
      <c r="F86" s="171"/>
      <c r="G86" s="172"/>
      <c r="H86" s="172"/>
      <c r="I86" s="172"/>
      <c r="J86" s="172"/>
      <c r="K86" s="172"/>
      <c r="L86" s="172"/>
      <c r="M86" s="172"/>
      <c r="N86" s="172"/>
      <c r="O86" s="172"/>
    </row>
    <row r="87">
      <c r="A87" s="168"/>
      <c r="B87" s="179" t="s">
        <v>1459</v>
      </c>
      <c r="C87" s="177" t="s">
        <v>1460</v>
      </c>
      <c r="D87" s="170" t="s">
        <v>1345</v>
      </c>
      <c r="E87" s="171"/>
      <c r="F87" s="171"/>
      <c r="G87" s="172"/>
      <c r="H87" s="172"/>
      <c r="I87" s="175" t="s">
        <v>1333</v>
      </c>
      <c r="J87" s="172"/>
      <c r="K87" s="172"/>
      <c r="L87" s="172"/>
      <c r="M87" s="172"/>
      <c r="N87" s="172"/>
      <c r="O87" s="172"/>
    </row>
    <row r="88">
      <c r="A88" s="168"/>
      <c r="B88" s="180" t="s">
        <v>1461</v>
      </c>
      <c r="C88" s="174" t="s">
        <v>1446</v>
      </c>
      <c r="D88" s="170" t="s">
        <v>1345</v>
      </c>
      <c r="E88" s="170" t="s">
        <v>1327</v>
      </c>
      <c r="F88" s="171"/>
      <c r="G88" s="172"/>
      <c r="H88" s="172"/>
      <c r="I88" s="172"/>
      <c r="J88" s="172"/>
      <c r="K88" s="172"/>
      <c r="L88" s="172"/>
      <c r="M88" s="172"/>
      <c r="N88" s="172"/>
      <c r="O88" s="172"/>
    </row>
    <row r="89">
      <c r="A89" s="159">
        <v>341.0</v>
      </c>
      <c r="B89" s="168"/>
      <c r="C89" s="169" t="s">
        <v>1462</v>
      </c>
      <c r="D89" s="170" t="s">
        <v>1377</v>
      </c>
      <c r="E89" s="171"/>
      <c r="F89" s="171"/>
      <c r="G89" s="175" t="s">
        <v>1412</v>
      </c>
      <c r="H89" s="172"/>
      <c r="I89" s="172"/>
      <c r="J89" s="172"/>
      <c r="K89" s="172"/>
      <c r="L89" s="172"/>
      <c r="M89" s="172"/>
      <c r="N89" s="172"/>
      <c r="O89" s="172"/>
    </row>
    <row r="90">
      <c r="A90" s="168"/>
      <c r="B90" s="182">
        <v>3411.0</v>
      </c>
      <c r="C90" s="181" t="s">
        <v>1463</v>
      </c>
      <c r="D90" s="170" t="s">
        <v>1377</v>
      </c>
      <c r="E90" s="171"/>
      <c r="F90" s="171"/>
      <c r="G90" s="175" t="s">
        <v>1412</v>
      </c>
      <c r="H90" s="172"/>
      <c r="I90" s="172"/>
      <c r="J90" s="172"/>
      <c r="K90" s="172"/>
      <c r="L90" s="172"/>
      <c r="M90" s="172"/>
      <c r="N90" s="172"/>
      <c r="O90" s="172"/>
    </row>
    <row r="91">
      <c r="A91" s="168"/>
      <c r="B91" s="182">
        <v>3412.0</v>
      </c>
      <c r="C91" s="181" t="s">
        <v>1464</v>
      </c>
      <c r="D91" s="170" t="s">
        <v>1377</v>
      </c>
      <c r="E91" s="171"/>
      <c r="F91" s="171"/>
      <c r="G91" s="175" t="s">
        <v>1412</v>
      </c>
      <c r="H91" s="172"/>
      <c r="I91" s="172"/>
      <c r="J91" s="172"/>
      <c r="K91" s="172"/>
      <c r="L91" s="172"/>
      <c r="M91" s="172"/>
      <c r="N91" s="172"/>
      <c r="O91" s="172"/>
    </row>
    <row r="92">
      <c r="A92" s="159">
        <v>352.0</v>
      </c>
      <c r="B92" s="168"/>
      <c r="C92" s="169" t="s">
        <v>1465</v>
      </c>
      <c r="D92" s="170" t="s">
        <v>1377</v>
      </c>
      <c r="E92" s="171"/>
      <c r="F92" s="171"/>
      <c r="G92" s="172"/>
      <c r="H92" s="172"/>
      <c r="I92" s="172"/>
      <c r="J92" s="172"/>
      <c r="K92" s="172"/>
      <c r="L92" s="172"/>
      <c r="M92" s="172"/>
      <c r="N92" s="172"/>
      <c r="O92" s="172"/>
    </row>
    <row r="93">
      <c r="A93" s="168"/>
      <c r="B93" s="180" t="s">
        <v>1466</v>
      </c>
      <c r="C93" s="174" t="s">
        <v>1467</v>
      </c>
      <c r="D93" s="170" t="s">
        <v>1377</v>
      </c>
      <c r="E93" s="171"/>
      <c r="F93" s="171"/>
      <c r="G93" s="172"/>
      <c r="H93" s="172"/>
      <c r="I93" s="172"/>
      <c r="J93" s="172"/>
      <c r="K93" s="172"/>
      <c r="L93" s="172"/>
      <c r="M93" s="172"/>
      <c r="N93" s="172"/>
      <c r="O93" s="172"/>
    </row>
    <row r="94">
      <c r="A94" s="168"/>
      <c r="B94" s="179" t="s">
        <v>1468</v>
      </c>
      <c r="C94" s="177" t="s">
        <v>1469</v>
      </c>
      <c r="D94" s="170" t="s">
        <v>1377</v>
      </c>
      <c r="E94" s="171"/>
      <c r="F94" s="171"/>
      <c r="G94" s="172"/>
      <c r="H94" s="172"/>
      <c r="I94" s="172"/>
      <c r="J94" s="172"/>
      <c r="K94" s="172"/>
      <c r="L94" s="172"/>
      <c r="M94" s="172"/>
      <c r="N94" s="172"/>
      <c r="O94" s="172"/>
    </row>
    <row r="95">
      <c r="A95" s="168"/>
      <c r="B95" s="180" t="s">
        <v>1470</v>
      </c>
      <c r="C95" s="174" t="s">
        <v>1471</v>
      </c>
      <c r="D95" s="170" t="s">
        <v>1377</v>
      </c>
      <c r="E95" s="171"/>
      <c r="F95" s="171"/>
      <c r="G95" s="172"/>
      <c r="H95" s="172"/>
      <c r="I95" s="172"/>
      <c r="J95" s="172"/>
      <c r="K95" s="172"/>
      <c r="L95" s="172"/>
      <c r="M95" s="172"/>
      <c r="N95" s="172"/>
      <c r="O95" s="172"/>
    </row>
    <row r="96">
      <c r="A96" s="159">
        <v>353.0</v>
      </c>
      <c r="B96" s="168"/>
      <c r="C96" s="169" t="s">
        <v>1472</v>
      </c>
      <c r="D96" s="170" t="s">
        <v>1377</v>
      </c>
      <c r="E96" s="171"/>
      <c r="F96" s="171"/>
      <c r="G96" s="172"/>
      <c r="H96" s="172"/>
      <c r="I96" s="172"/>
      <c r="J96" s="172"/>
      <c r="K96" s="172"/>
      <c r="L96" s="172"/>
      <c r="M96" s="172"/>
      <c r="N96" s="172"/>
      <c r="O96" s="172"/>
    </row>
    <row r="97">
      <c r="A97" s="168"/>
      <c r="B97" s="182">
        <v>3531.0</v>
      </c>
      <c r="C97" s="181" t="s">
        <v>1473</v>
      </c>
      <c r="D97" s="170" t="s">
        <v>1377</v>
      </c>
      <c r="E97" s="171"/>
      <c r="F97" s="171"/>
      <c r="G97" s="172"/>
      <c r="H97" s="172"/>
      <c r="I97" s="172"/>
      <c r="J97" s="172"/>
      <c r="K97" s="172"/>
      <c r="L97" s="172"/>
      <c r="M97" s="172"/>
      <c r="N97" s="172"/>
      <c r="O97" s="172"/>
    </row>
    <row r="98">
      <c r="A98" s="168"/>
      <c r="B98" s="182">
        <v>3532.0</v>
      </c>
      <c r="C98" s="181" t="s">
        <v>1474</v>
      </c>
      <c r="D98" s="170" t="s">
        <v>1377</v>
      </c>
      <c r="E98" s="171"/>
      <c r="F98" s="171"/>
      <c r="G98" s="172"/>
      <c r="H98" s="172"/>
      <c r="I98" s="172"/>
      <c r="J98" s="172"/>
      <c r="K98" s="172"/>
      <c r="L98" s="172"/>
      <c r="M98" s="172"/>
      <c r="N98" s="172"/>
      <c r="O98" s="172"/>
    </row>
    <row r="99">
      <c r="A99" s="168"/>
      <c r="B99" s="182">
        <v>3533.0</v>
      </c>
      <c r="C99" s="181" t="s">
        <v>1475</v>
      </c>
      <c r="D99" s="170" t="s">
        <v>1377</v>
      </c>
      <c r="E99" s="171"/>
      <c r="F99" s="171"/>
      <c r="G99" s="172"/>
      <c r="H99" s="172"/>
      <c r="I99" s="172"/>
      <c r="J99" s="172"/>
      <c r="K99" s="172"/>
      <c r="L99" s="172"/>
      <c r="M99" s="172"/>
      <c r="N99" s="172"/>
      <c r="O99" s="172"/>
    </row>
    <row r="100">
      <c r="A100" s="168"/>
      <c r="B100" s="182">
        <v>3534.0</v>
      </c>
      <c r="C100" s="181" t="s">
        <v>1476</v>
      </c>
      <c r="D100" s="170" t="s">
        <v>1377</v>
      </c>
      <c r="E100" s="171"/>
      <c r="F100" s="171"/>
      <c r="G100" s="172"/>
      <c r="H100" s="172"/>
      <c r="I100" s="172"/>
      <c r="J100" s="172"/>
      <c r="K100" s="172"/>
      <c r="L100" s="172"/>
      <c r="M100" s="172"/>
      <c r="N100" s="172"/>
      <c r="O100" s="172"/>
    </row>
    <row r="101">
      <c r="A101" s="159">
        <v>356.0</v>
      </c>
      <c r="B101" s="168"/>
      <c r="C101" s="169" t="s">
        <v>1477</v>
      </c>
      <c r="D101" s="170" t="s">
        <v>1377</v>
      </c>
      <c r="E101" s="171"/>
      <c r="F101" s="171"/>
      <c r="G101" s="172"/>
      <c r="H101" s="172"/>
      <c r="I101" s="172"/>
      <c r="J101" s="172"/>
      <c r="K101" s="172"/>
      <c r="L101" s="172"/>
      <c r="M101" s="172"/>
      <c r="N101" s="172"/>
      <c r="O101" s="172"/>
    </row>
    <row r="102">
      <c r="A102" s="168"/>
      <c r="B102" s="179" t="s">
        <v>1478</v>
      </c>
      <c r="C102" s="181" t="s">
        <v>1477</v>
      </c>
      <c r="D102" s="170" t="s">
        <v>1377</v>
      </c>
      <c r="E102" s="171"/>
      <c r="F102" s="171"/>
      <c r="G102" s="172"/>
      <c r="H102" s="172"/>
      <c r="I102" s="172"/>
      <c r="J102" s="172"/>
      <c r="K102" s="172"/>
      <c r="L102" s="172"/>
      <c r="M102" s="172"/>
      <c r="N102" s="172"/>
      <c r="O102" s="172"/>
    </row>
    <row r="103">
      <c r="A103" s="168"/>
      <c r="B103" s="180" t="s">
        <v>1479</v>
      </c>
      <c r="C103" s="181" t="s">
        <v>1480</v>
      </c>
      <c r="D103" s="170" t="s">
        <v>1377</v>
      </c>
      <c r="E103" s="171"/>
      <c r="F103" s="171"/>
      <c r="G103" s="172"/>
      <c r="H103" s="172"/>
      <c r="I103" s="172"/>
      <c r="J103" s="172"/>
      <c r="K103" s="172"/>
      <c r="L103" s="172"/>
      <c r="M103" s="172"/>
      <c r="N103" s="172"/>
      <c r="O103" s="172"/>
    </row>
    <row r="104">
      <c r="A104" s="159">
        <v>357.0</v>
      </c>
      <c r="B104" s="168"/>
      <c r="C104" s="169" t="s">
        <v>1481</v>
      </c>
      <c r="D104" s="170" t="s">
        <v>1377</v>
      </c>
      <c r="E104" s="171"/>
      <c r="F104" s="171"/>
      <c r="G104" s="172"/>
      <c r="H104" s="172"/>
      <c r="I104" s="172"/>
      <c r="J104" s="172"/>
      <c r="K104" s="172"/>
      <c r="L104" s="172"/>
      <c r="M104" s="172"/>
      <c r="N104" s="172"/>
      <c r="O104" s="172"/>
    </row>
    <row r="105">
      <c r="A105" s="164"/>
      <c r="B105" s="164"/>
      <c r="C105" s="165" t="s">
        <v>1482</v>
      </c>
      <c r="D105" s="172"/>
      <c r="E105" s="172"/>
      <c r="F105" s="172"/>
      <c r="G105" s="172"/>
      <c r="H105" s="172"/>
      <c r="I105" s="172"/>
      <c r="J105" s="172"/>
      <c r="K105" s="172"/>
      <c r="L105" s="172"/>
      <c r="M105" s="172"/>
      <c r="N105" s="172"/>
      <c r="O105" s="172"/>
    </row>
    <row r="106">
      <c r="A106" s="159">
        <v>411.0</v>
      </c>
      <c r="B106" s="168"/>
      <c r="C106" s="169" t="s">
        <v>1483</v>
      </c>
      <c r="D106" s="170" t="s">
        <v>1377</v>
      </c>
      <c r="E106" s="170" t="s">
        <v>1327</v>
      </c>
      <c r="F106" s="171"/>
      <c r="G106" s="175" t="s">
        <v>1412</v>
      </c>
      <c r="H106" s="172"/>
      <c r="I106" s="172"/>
      <c r="J106" s="172"/>
      <c r="K106" s="172"/>
      <c r="L106" s="172"/>
      <c r="M106" s="172"/>
      <c r="N106" s="172"/>
      <c r="O106" s="172"/>
    </row>
    <row r="107">
      <c r="A107" s="168"/>
      <c r="B107" s="179" t="s">
        <v>1484</v>
      </c>
      <c r="C107" s="177" t="s">
        <v>1485</v>
      </c>
      <c r="D107" s="170" t="s">
        <v>1377</v>
      </c>
      <c r="E107" s="170" t="s">
        <v>1327</v>
      </c>
      <c r="F107" s="171"/>
      <c r="G107" s="175" t="s">
        <v>1412</v>
      </c>
      <c r="H107" s="172"/>
      <c r="I107" s="172"/>
      <c r="J107" s="172"/>
      <c r="K107" s="172"/>
      <c r="L107" s="172"/>
      <c r="M107" s="172"/>
      <c r="N107" s="172"/>
      <c r="O107" s="172"/>
    </row>
    <row r="108">
      <c r="A108" s="168"/>
      <c r="B108" s="180" t="s">
        <v>1486</v>
      </c>
      <c r="C108" s="174" t="s">
        <v>1487</v>
      </c>
      <c r="D108" s="170" t="s">
        <v>1377</v>
      </c>
      <c r="E108" s="171"/>
      <c r="F108" s="171"/>
      <c r="G108" s="175" t="s">
        <v>1412</v>
      </c>
      <c r="H108" s="172"/>
      <c r="I108" s="172"/>
      <c r="J108" s="172"/>
      <c r="K108" s="172"/>
      <c r="L108" s="172"/>
      <c r="M108" s="172"/>
      <c r="N108" s="172"/>
      <c r="O108" s="172"/>
    </row>
    <row r="109">
      <c r="A109" s="168"/>
      <c r="B109" s="179" t="s">
        <v>1488</v>
      </c>
      <c r="C109" s="177" t="s">
        <v>1489</v>
      </c>
      <c r="D109" s="170" t="s">
        <v>1377</v>
      </c>
      <c r="E109" s="171"/>
      <c r="F109" s="171"/>
      <c r="G109" s="175" t="s">
        <v>1412</v>
      </c>
      <c r="H109" s="172"/>
      <c r="I109" s="172"/>
      <c r="J109" s="172"/>
      <c r="K109" s="172"/>
      <c r="L109" s="172"/>
      <c r="M109" s="172"/>
      <c r="N109" s="172"/>
      <c r="O109" s="172"/>
    </row>
    <row r="110">
      <c r="A110" s="159">
        <v>413.0</v>
      </c>
      <c r="B110" s="168"/>
      <c r="C110" s="169" t="s">
        <v>1490</v>
      </c>
      <c r="D110" s="170" t="s">
        <v>1345</v>
      </c>
      <c r="E110" s="171"/>
      <c r="F110" s="171"/>
      <c r="G110" s="172"/>
      <c r="H110" s="172"/>
      <c r="I110" s="172"/>
      <c r="J110" s="172"/>
      <c r="K110" s="172"/>
      <c r="L110" s="172"/>
      <c r="M110" s="172"/>
      <c r="N110" s="172"/>
      <c r="O110" s="172"/>
    </row>
    <row r="111">
      <c r="A111" s="159">
        <v>418.0</v>
      </c>
      <c r="B111" s="168"/>
      <c r="C111" s="169" t="s">
        <v>1491</v>
      </c>
      <c r="D111" s="170" t="s">
        <v>1377</v>
      </c>
      <c r="E111" s="171"/>
      <c r="F111" s="171"/>
      <c r="G111" s="172"/>
      <c r="H111" s="172"/>
      <c r="I111" s="172"/>
      <c r="J111" s="172"/>
      <c r="K111" s="172"/>
      <c r="L111" s="172"/>
      <c r="M111" s="172"/>
      <c r="N111" s="172"/>
      <c r="O111" s="172"/>
    </row>
    <row r="112">
      <c r="A112" s="159">
        <v>419.0</v>
      </c>
      <c r="B112" s="168"/>
      <c r="C112" s="169" t="s">
        <v>1492</v>
      </c>
      <c r="D112" s="170" t="s">
        <v>1326</v>
      </c>
      <c r="E112" s="171"/>
      <c r="F112" s="171"/>
      <c r="G112" s="172"/>
      <c r="H112" s="172"/>
      <c r="I112" s="172"/>
      <c r="J112" s="172"/>
      <c r="K112" s="172"/>
      <c r="L112" s="172"/>
      <c r="M112" s="172"/>
      <c r="N112" s="172"/>
      <c r="O112" s="172"/>
    </row>
    <row r="113">
      <c r="A113" s="159">
        <v>421.0</v>
      </c>
      <c r="B113" s="168"/>
      <c r="C113" s="169" t="s">
        <v>1493</v>
      </c>
      <c r="D113" s="170" t="s">
        <v>1345</v>
      </c>
      <c r="E113" s="170" t="s">
        <v>1327</v>
      </c>
      <c r="F113" s="171"/>
      <c r="G113" s="172"/>
      <c r="H113" s="172"/>
      <c r="I113" s="172"/>
      <c r="J113" s="172"/>
      <c r="K113" s="172"/>
      <c r="L113" s="172"/>
      <c r="M113" s="172"/>
      <c r="N113" s="172"/>
      <c r="O113" s="172"/>
    </row>
    <row r="114">
      <c r="A114" s="168"/>
      <c r="B114" s="182">
        <v>4211.0</v>
      </c>
      <c r="C114" s="181" t="s">
        <v>1494</v>
      </c>
      <c r="D114" s="170" t="s">
        <v>1345</v>
      </c>
      <c r="E114" s="171"/>
      <c r="F114" s="171"/>
      <c r="G114" s="172"/>
      <c r="H114" s="172"/>
      <c r="I114" s="172"/>
      <c r="J114" s="172"/>
      <c r="K114" s="172"/>
      <c r="L114" s="172"/>
      <c r="M114" s="172"/>
      <c r="N114" s="172"/>
      <c r="O114" s="172"/>
    </row>
    <row r="115">
      <c r="A115" s="168"/>
      <c r="B115" s="182">
        <v>4212.0</v>
      </c>
      <c r="C115" s="181" t="s">
        <v>1495</v>
      </c>
      <c r="D115" s="170" t="s">
        <v>1345</v>
      </c>
      <c r="E115" s="171"/>
      <c r="F115" s="171"/>
      <c r="G115" s="172"/>
      <c r="H115" s="172"/>
      <c r="I115" s="172"/>
      <c r="J115" s="172"/>
      <c r="K115" s="172"/>
      <c r="L115" s="172"/>
      <c r="M115" s="172"/>
      <c r="N115" s="172"/>
      <c r="O115" s="172"/>
    </row>
    <row r="116">
      <c r="A116" s="164"/>
      <c r="B116" s="164"/>
      <c r="C116" s="165" t="s">
        <v>1496</v>
      </c>
      <c r="D116" s="167"/>
      <c r="E116" s="167"/>
      <c r="F116" s="167"/>
      <c r="G116" s="167"/>
      <c r="H116" s="167"/>
      <c r="I116" s="167"/>
      <c r="J116" s="167"/>
      <c r="K116" s="167"/>
      <c r="L116" s="167"/>
      <c r="M116" s="167"/>
      <c r="N116" s="167"/>
      <c r="O116" s="167"/>
    </row>
    <row r="117">
      <c r="A117" s="159">
        <v>511.0</v>
      </c>
      <c r="B117" s="168"/>
      <c r="C117" s="169" t="s">
        <v>1497</v>
      </c>
      <c r="D117" s="170" t="s">
        <v>1498</v>
      </c>
      <c r="E117" s="170" t="s">
        <v>1327</v>
      </c>
      <c r="F117" s="171"/>
      <c r="G117" s="172"/>
      <c r="H117" s="172"/>
      <c r="I117" s="172"/>
      <c r="J117" s="172"/>
      <c r="K117" s="172"/>
      <c r="L117" s="172"/>
      <c r="M117" s="172"/>
      <c r="N117" s="172"/>
      <c r="O117" s="172"/>
    </row>
    <row r="118">
      <c r="A118" s="159"/>
      <c r="B118" s="173" t="s">
        <v>1499</v>
      </c>
      <c r="C118" s="174" t="s">
        <v>1500</v>
      </c>
      <c r="D118" s="170" t="s">
        <v>1498</v>
      </c>
      <c r="E118" s="170"/>
      <c r="F118" s="171"/>
      <c r="G118" s="172"/>
      <c r="H118" s="172"/>
      <c r="I118" s="172"/>
      <c r="J118" s="172"/>
      <c r="K118" s="172"/>
      <c r="L118" s="172"/>
      <c r="M118" s="172"/>
      <c r="N118" s="172"/>
      <c r="O118" s="172"/>
    </row>
    <row r="119">
      <c r="A119" s="159"/>
      <c r="B119" s="176" t="s">
        <v>1501</v>
      </c>
      <c r="C119" s="177" t="s">
        <v>1502</v>
      </c>
      <c r="D119" s="170" t="s">
        <v>1498</v>
      </c>
      <c r="E119" s="170"/>
      <c r="F119" s="171"/>
      <c r="G119" s="172"/>
      <c r="H119" s="172"/>
      <c r="I119" s="172"/>
      <c r="J119" s="172"/>
      <c r="K119" s="172"/>
      <c r="L119" s="172"/>
      <c r="M119" s="172"/>
      <c r="N119" s="172"/>
      <c r="O119" s="172"/>
    </row>
    <row r="120">
      <c r="A120" s="159"/>
      <c r="B120" s="173" t="s">
        <v>1503</v>
      </c>
      <c r="C120" s="174" t="s">
        <v>1504</v>
      </c>
      <c r="D120" s="170" t="s">
        <v>1498</v>
      </c>
      <c r="E120" s="170"/>
      <c r="F120" s="171"/>
      <c r="G120" s="172"/>
      <c r="H120" s="172"/>
      <c r="I120" s="172"/>
      <c r="J120" s="172"/>
      <c r="K120" s="172"/>
      <c r="L120" s="172"/>
      <c r="M120" s="172"/>
      <c r="N120" s="172"/>
      <c r="O120" s="172"/>
    </row>
    <row r="121">
      <c r="A121" s="159"/>
      <c r="B121" s="176" t="s">
        <v>1505</v>
      </c>
      <c r="C121" s="177" t="s">
        <v>1506</v>
      </c>
      <c r="D121" s="170" t="s">
        <v>1498</v>
      </c>
      <c r="E121" s="170"/>
      <c r="F121" s="171"/>
      <c r="G121" s="172"/>
      <c r="H121" s="172"/>
      <c r="I121" s="172"/>
      <c r="J121" s="172"/>
      <c r="K121" s="172"/>
      <c r="L121" s="172"/>
      <c r="M121" s="172"/>
      <c r="N121" s="172"/>
      <c r="O121" s="172"/>
    </row>
    <row r="122">
      <c r="A122" s="159">
        <v>515.0</v>
      </c>
      <c r="B122" s="168"/>
      <c r="C122" s="169" t="s">
        <v>1507</v>
      </c>
      <c r="D122" s="170" t="s">
        <v>1498</v>
      </c>
      <c r="E122" s="171"/>
      <c r="F122" s="171"/>
      <c r="G122" s="172"/>
      <c r="H122" s="172"/>
      <c r="I122" s="172"/>
      <c r="J122" s="172"/>
      <c r="K122" s="172"/>
      <c r="L122" s="172"/>
      <c r="M122" s="172"/>
      <c r="N122" s="172"/>
      <c r="O122" s="172"/>
    </row>
    <row r="123">
      <c r="A123" s="164"/>
      <c r="B123" s="164"/>
      <c r="C123" s="165" t="s">
        <v>1508</v>
      </c>
      <c r="D123" s="167"/>
      <c r="E123" s="167"/>
      <c r="F123" s="167"/>
      <c r="G123" s="167"/>
      <c r="H123" s="167"/>
      <c r="I123" s="167"/>
      <c r="J123" s="167"/>
      <c r="K123" s="167"/>
      <c r="L123" s="167"/>
      <c r="M123" s="167"/>
      <c r="N123" s="167"/>
      <c r="O123" s="167"/>
    </row>
    <row r="124">
      <c r="A124" s="183" t="s">
        <v>1509</v>
      </c>
      <c r="B124" s="183"/>
      <c r="C124" s="184" t="s">
        <v>1510</v>
      </c>
      <c r="D124" s="170" t="s">
        <v>1498</v>
      </c>
      <c r="E124" s="171"/>
      <c r="F124" s="171"/>
      <c r="G124" s="172"/>
      <c r="H124" s="172"/>
      <c r="I124" s="172"/>
      <c r="J124" s="172"/>
      <c r="K124" s="172"/>
      <c r="L124" s="172"/>
      <c r="M124" s="172"/>
      <c r="N124" s="172"/>
      <c r="O124" s="172"/>
    </row>
    <row r="125">
      <c r="A125" s="159">
        <v>631.0</v>
      </c>
      <c r="B125" s="168"/>
      <c r="C125" s="186" t="s">
        <v>1511</v>
      </c>
      <c r="D125" s="170" t="s">
        <v>1498</v>
      </c>
      <c r="E125" s="171"/>
      <c r="F125" s="171"/>
      <c r="G125" s="172"/>
      <c r="H125" s="172"/>
      <c r="I125" s="172"/>
      <c r="J125" s="172"/>
      <c r="K125" s="172"/>
      <c r="L125" s="172"/>
      <c r="M125" s="172"/>
      <c r="N125" s="172"/>
      <c r="O125" s="172"/>
    </row>
    <row r="126">
      <c r="A126" s="159">
        <v>632.0</v>
      </c>
      <c r="B126" s="168"/>
      <c r="C126" s="184" t="s">
        <v>1512</v>
      </c>
      <c r="D126" s="170" t="s">
        <v>1498</v>
      </c>
      <c r="E126" s="171"/>
      <c r="F126" s="171"/>
      <c r="G126" s="172"/>
      <c r="H126" s="172"/>
      <c r="I126" s="172"/>
      <c r="J126" s="172"/>
      <c r="K126" s="172"/>
      <c r="L126" s="172"/>
      <c r="M126" s="172"/>
      <c r="N126" s="172"/>
      <c r="O126" s="172"/>
    </row>
    <row r="127">
      <c r="A127" s="159">
        <v>632.0</v>
      </c>
      <c r="B127" s="168"/>
      <c r="C127" s="169" t="s">
        <v>1512</v>
      </c>
      <c r="D127" s="170" t="s">
        <v>1498</v>
      </c>
      <c r="E127" s="171"/>
      <c r="F127" s="171"/>
      <c r="G127" s="172"/>
      <c r="H127" s="172"/>
      <c r="I127" s="172"/>
      <c r="J127" s="172"/>
      <c r="K127" s="172"/>
      <c r="L127" s="172"/>
      <c r="M127" s="172"/>
      <c r="N127" s="172"/>
      <c r="O127" s="172"/>
    </row>
    <row r="128">
      <c r="A128" s="159">
        <v>635.0</v>
      </c>
      <c r="B128" s="168"/>
      <c r="C128" s="169" t="s">
        <v>1513</v>
      </c>
      <c r="D128" s="170" t="s">
        <v>1498</v>
      </c>
      <c r="E128" s="171"/>
      <c r="F128" s="171"/>
      <c r="G128" s="172"/>
      <c r="H128" s="172"/>
      <c r="I128" s="172"/>
      <c r="J128" s="172"/>
      <c r="K128" s="172"/>
      <c r="L128" s="172"/>
      <c r="M128" s="172"/>
      <c r="N128" s="172"/>
      <c r="O128" s="172"/>
    </row>
    <row r="129">
      <c r="A129" s="159">
        <v>642.0</v>
      </c>
      <c r="B129" s="168"/>
      <c r="C129" s="169" t="s">
        <v>1514</v>
      </c>
      <c r="D129" s="170" t="s">
        <v>1498</v>
      </c>
      <c r="E129" s="171"/>
      <c r="F129" s="171"/>
      <c r="G129" s="172"/>
      <c r="H129" s="172"/>
      <c r="I129" s="172"/>
      <c r="J129" s="172"/>
      <c r="K129" s="172"/>
      <c r="L129" s="172"/>
      <c r="M129" s="172"/>
      <c r="N129" s="172"/>
      <c r="O129" s="172"/>
    </row>
    <row r="130">
      <c r="A130" s="168"/>
      <c r="B130" s="182">
        <v>6421.0</v>
      </c>
      <c r="C130" s="177" t="s">
        <v>1515</v>
      </c>
      <c r="D130" s="170" t="s">
        <v>1498</v>
      </c>
      <c r="E130" s="171"/>
      <c r="F130" s="171"/>
      <c r="G130" s="172"/>
      <c r="H130" s="172"/>
      <c r="I130" s="172"/>
      <c r="J130" s="172"/>
      <c r="K130" s="172"/>
      <c r="L130" s="172"/>
      <c r="M130" s="172"/>
      <c r="N130" s="172"/>
      <c r="O130" s="172"/>
    </row>
    <row r="131">
      <c r="A131" s="168"/>
      <c r="B131" s="182">
        <v>6422.0</v>
      </c>
      <c r="C131" s="174" t="s">
        <v>1514</v>
      </c>
      <c r="D131" s="170" t="s">
        <v>1498</v>
      </c>
      <c r="E131" s="171"/>
      <c r="F131" s="171"/>
      <c r="G131" s="172"/>
      <c r="H131" s="172"/>
      <c r="I131" s="172"/>
      <c r="J131" s="172"/>
      <c r="K131" s="172"/>
      <c r="L131" s="172"/>
      <c r="M131" s="172"/>
      <c r="N131" s="172"/>
      <c r="O131" s="172"/>
    </row>
    <row r="132">
      <c r="A132" s="164"/>
      <c r="B132" s="164"/>
      <c r="C132" s="165" t="s">
        <v>1516</v>
      </c>
      <c r="D132" s="167"/>
      <c r="E132" s="167"/>
      <c r="F132" s="167"/>
      <c r="G132" s="167"/>
      <c r="H132" s="167"/>
      <c r="I132" s="167"/>
      <c r="J132" s="167"/>
      <c r="K132" s="167"/>
      <c r="L132" s="167"/>
      <c r="M132" s="167"/>
      <c r="N132" s="167"/>
      <c r="O132" s="167"/>
    </row>
    <row r="133">
      <c r="A133" s="159">
        <v>711.0</v>
      </c>
      <c r="B133" s="168"/>
      <c r="C133" s="169" t="s">
        <v>1517</v>
      </c>
      <c r="D133" s="170" t="s">
        <v>1498</v>
      </c>
      <c r="E133" s="171"/>
      <c r="F133" s="171"/>
      <c r="G133" s="172"/>
      <c r="H133" s="172"/>
      <c r="I133" s="172"/>
      <c r="J133" s="172"/>
      <c r="K133" s="172"/>
      <c r="L133" s="172"/>
      <c r="M133" s="172"/>
      <c r="N133" s="172"/>
      <c r="O133" s="172"/>
    </row>
    <row r="134">
      <c r="A134" s="164"/>
      <c r="B134" s="164"/>
      <c r="C134" s="165" t="s">
        <v>1518</v>
      </c>
      <c r="D134" s="167"/>
      <c r="E134" s="167"/>
      <c r="F134" s="167"/>
      <c r="G134" s="167"/>
      <c r="H134" s="167"/>
      <c r="I134" s="167"/>
      <c r="J134" s="167"/>
      <c r="K134" s="167"/>
      <c r="L134" s="167"/>
      <c r="M134" s="167"/>
      <c r="N134" s="167"/>
      <c r="O134" s="167"/>
    </row>
    <row r="135">
      <c r="A135" s="159">
        <v>811.0</v>
      </c>
      <c r="B135" s="168"/>
      <c r="C135" s="169" t="s">
        <v>1519</v>
      </c>
      <c r="D135" s="170" t="s">
        <v>1498</v>
      </c>
      <c r="E135" s="171"/>
      <c r="F135" s="171"/>
      <c r="G135" s="172"/>
      <c r="H135" s="172"/>
      <c r="I135" s="172"/>
      <c r="J135" s="172"/>
      <c r="K135" s="172"/>
      <c r="L135" s="172"/>
      <c r="M135" s="172"/>
      <c r="N135" s="172"/>
      <c r="O135" s="172"/>
    </row>
    <row r="136">
      <c r="A136" s="159">
        <v>821.0</v>
      </c>
      <c r="B136" s="168"/>
      <c r="C136" s="169" t="s">
        <v>1520</v>
      </c>
      <c r="D136" s="170" t="s">
        <v>1498</v>
      </c>
      <c r="E136" s="171"/>
      <c r="F136" s="171"/>
      <c r="G136" s="172"/>
      <c r="H136" s="172"/>
      <c r="I136" s="172"/>
      <c r="J136" s="172"/>
      <c r="K136" s="172"/>
      <c r="L136" s="172"/>
      <c r="M136" s="172"/>
      <c r="N136" s="172"/>
      <c r="O136" s="172"/>
    </row>
    <row r="137">
      <c r="A137" s="164"/>
      <c r="B137" s="164"/>
      <c r="C137" s="165" t="s">
        <v>1521</v>
      </c>
      <c r="D137" s="167"/>
      <c r="E137" s="167"/>
      <c r="F137" s="167"/>
      <c r="G137" s="167"/>
      <c r="H137" s="167"/>
      <c r="I137" s="167"/>
      <c r="J137" s="167"/>
      <c r="K137" s="167"/>
      <c r="L137" s="167"/>
      <c r="M137" s="167"/>
      <c r="N137" s="167"/>
      <c r="O137" s="167"/>
    </row>
    <row r="138">
      <c r="A138" s="159">
        <v>911.0</v>
      </c>
      <c r="B138" s="168"/>
      <c r="C138" s="169" t="s">
        <v>1522</v>
      </c>
      <c r="D138" s="170" t="s">
        <v>1498</v>
      </c>
      <c r="E138" s="171"/>
      <c r="F138" s="171"/>
      <c r="G138" s="172"/>
      <c r="H138" s="172"/>
      <c r="I138" s="172"/>
      <c r="J138" s="172"/>
      <c r="K138" s="172"/>
      <c r="L138" s="172"/>
      <c r="M138" s="172"/>
      <c r="N138" s="172"/>
      <c r="O138" s="172"/>
    </row>
  </sheetData>
  <mergeCells count="3">
    <mergeCell ref="A1:B1"/>
    <mergeCell ref="C1:C2"/>
    <mergeCell ref="G1:O1"/>
  </mergeCells>
  <conditionalFormatting sqref="D1:D58 D60:D104 D106:D115 D117:D122 D124:D131 D133 D135:D136 D138">
    <cfRule type="containsText" dxfId="6" priority="1" operator="containsText" text="Nợ">
      <formula>NOT(ISERROR(SEARCH(("Nợ"),(D1))))</formula>
    </cfRule>
  </conditionalFormatting>
  <conditionalFormatting sqref="D1:D58 D60:D104 D106:D115 D117:D122 D124:D131 D133 D135:D136 D138">
    <cfRule type="containsText" dxfId="7" priority="2" operator="containsText" text="Dư Có">
      <formula>NOT(ISERROR(SEARCH(("Dư Có"),(D1))))</formula>
    </cfRule>
  </conditionalFormatting>
  <conditionalFormatting sqref="D1:D58 D60:D104 D106:D115 D117:D122 D124:D131 D133 D135:D136 D138">
    <cfRule type="containsText" dxfId="8" priority="3" operator="containsText" text="Lưỡng tính">
      <formula>NOT(ISERROR(SEARCH(("Lưỡng tính"),(D1))))</formula>
    </cfRule>
  </conditionalFormatting>
  <conditionalFormatting sqref="D1:D58 D60:D104 D106:D115 D117:D122 D124:D131 D133 D135:D136 D138">
    <cfRule type="containsText" dxfId="9" priority="4" operator="containsText" text="Không có số dư">
      <formula>NOT(ISERROR(SEARCH(("Không có số dư"),(D1))))</formula>
    </cfRule>
  </conditionalFormatting>
  <conditionalFormatting sqref="G4:G58 G60:G104 G106:G115 G117:G122 G124:G131 G133 G135:G136 G138">
    <cfRule type="containsText" dxfId="10" priority="5" operator="containsText" text="Khách hàng">
      <formula>NOT(ISERROR(SEARCH(("Khách hàng"),(G4))))</formula>
    </cfRule>
  </conditionalFormatting>
  <conditionalFormatting sqref="G4:G58 G60:G104 G106:G115 G117:G122 G124:G131 G133 G135:G136 G138">
    <cfRule type="containsText" dxfId="7" priority="6" operator="containsText" text="Nhà cung cấp">
      <formula>NOT(ISERROR(SEARCH(("Nhà cung cấp"),(G4))))</formula>
    </cfRule>
  </conditionalFormatting>
  <conditionalFormatting sqref="G4:G58 G60:G104 G106:G115 G117:G122 G124:G131 G133 G135:G136 G138">
    <cfRule type="containsText" dxfId="11" priority="7" operator="containsText" text="Nhân viên">
      <formula>NOT(ISERROR(SEARCH(("Nhân viên"),(G4))))</formula>
    </cfRule>
  </conditionalFormatting>
  <conditionalFormatting sqref="H2:O58 H60:O104 H106:O115 H117:O122 H124:O131 H133:O133 H135:O136 H138:O138">
    <cfRule type="containsText" dxfId="12" priority="8" operator="containsText" text="Bắt buộc">
      <formula>NOT(ISERROR(SEARCH(("Bắt buộc"),(H2))))</formula>
    </cfRule>
  </conditionalFormatting>
  <dataValidations>
    <dataValidation type="list" allowBlank="1" showErrorMessage="1" sqref="G4:G58 G60:G104 G106:G115 G117:G122 G124:G131 G133 G135:G136 G138">
      <formula1>"Khách hàng,Nhà cung cấp,Nhân viên"</formula1>
    </dataValidation>
    <dataValidation type="list" allowBlank="1" showErrorMessage="1" sqref="H4:O58 H60:O104 H106:O115 H117:O122 H124:O131 H133:O133 H135:O136 H138:O138">
      <formula1>"Bắt buộc,Chỉ cảnh báo"</formula1>
    </dataValidation>
    <dataValidation type="list" allowBlank="1" showErrorMessage="1" sqref="F4:F58 F60:F104 F106:F115 F117:F122 F124:F131 F133 F135:F136 F138">
      <formula1>"Xóa,Sửa,Nhân bản,Chuyển tài khoản hạch toán"</formula1>
    </dataValidation>
    <dataValidation type="list" allowBlank="1" showErrorMessage="1" sqref="D4:D58 D60:D104 D106:D115 D117:D122 D124:D131 D133 D135:D136 D138">
      <formula1>"Dư Nợ,Dư Có,Lưỡng tính,Không có số dư"</formula1>
    </dataValidation>
    <dataValidation type="list" allowBlank="1" showErrorMessage="1" sqref="E4:E58 E60:E104 E106:E115 E117:E122 E124:E131 E133 E135:E136 E138">
      <formula1>"Sử dụng,Ngừng sử dụng"</formula1>
    </dataValidation>
  </dataValidations>
  <drawing r:id="rId1"/>
  <tableParts count="20">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9"/>
    <col customWidth="1" min="2" max="2" width="64.14"/>
  </cols>
  <sheetData>
    <row r="1">
      <c r="A1" s="187"/>
      <c r="B1" s="187" t="s">
        <v>1523</v>
      </c>
      <c r="C1" s="188"/>
    </row>
    <row r="2">
      <c r="A2" s="187"/>
      <c r="B2" s="187" t="s">
        <v>1524</v>
      </c>
      <c r="C2" s="188"/>
    </row>
    <row r="3">
      <c r="A3" s="189"/>
      <c r="B3" s="189" t="s">
        <v>1525</v>
      </c>
      <c r="C3" s="188"/>
    </row>
    <row r="4">
      <c r="A4" s="190" t="s">
        <v>1526</v>
      </c>
      <c r="B4" s="190" t="s">
        <v>1527</v>
      </c>
      <c r="C4" s="191" t="s">
        <v>1528</v>
      </c>
    </row>
    <row r="5">
      <c r="A5" s="192"/>
      <c r="B5" s="193" t="s">
        <v>1529</v>
      </c>
      <c r="C5" s="194"/>
    </row>
    <row r="6">
      <c r="A6" s="195">
        <v>1.0</v>
      </c>
      <c r="B6" s="196" t="s">
        <v>1530</v>
      </c>
      <c r="C6" s="197" t="s">
        <v>1531</v>
      </c>
    </row>
    <row r="7">
      <c r="A7" s="195">
        <v>2.0</v>
      </c>
      <c r="B7" s="196" t="s">
        <v>1532</v>
      </c>
      <c r="C7" s="197" t="s">
        <v>1533</v>
      </c>
    </row>
    <row r="8">
      <c r="A8" s="195">
        <v>3.0</v>
      </c>
      <c r="B8" s="196" t="s">
        <v>1534</v>
      </c>
      <c r="C8" s="197" t="s">
        <v>1535</v>
      </c>
    </row>
    <row r="9">
      <c r="A9" s="195">
        <v>4.0</v>
      </c>
      <c r="B9" s="196" t="s">
        <v>1536</v>
      </c>
      <c r="C9" s="197" t="s">
        <v>1537</v>
      </c>
    </row>
    <row r="10">
      <c r="A10" s="195">
        <v>5.0</v>
      </c>
      <c r="B10" s="196" t="s">
        <v>1538</v>
      </c>
      <c r="C10" s="197" t="s">
        <v>1539</v>
      </c>
    </row>
    <row r="11">
      <c r="A11" s="195">
        <v>6.0</v>
      </c>
      <c r="B11" s="196" t="s">
        <v>1540</v>
      </c>
      <c r="C11" s="197" t="s">
        <v>1541</v>
      </c>
    </row>
    <row r="12">
      <c r="A12" s="195">
        <v>7.0</v>
      </c>
      <c r="B12" s="196" t="s">
        <v>1542</v>
      </c>
      <c r="C12" s="197" t="s">
        <v>1543</v>
      </c>
    </row>
    <row r="13">
      <c r="A13" s="195">
        <v>8.0</v>
      </c>
      <c r="B13" s="196" t="s">
        <v>1544</v>
      </c>
      <c r="C13" s="197" t="s">
        <v>1545</v>
      </c>
    </row>
    <row r="14">
      <c r="A14" s="192"/>
      <c r="B14" s="193" t="s">
        <v>1546</v>
      </c>
      <c r="C14" s="194"/>
    </row>
    <row r="15">
      <c r="A15" s="195">
        <v>1.0</v>
      </c>
      <c r="B15" s="196" t="s">
        <v>1547</v>
      </c>
      <c r="C15" s="198" t="s">
        <v>1548</v>
      </c>
    </row>
    <row r="16">
      <c r="A16" s="195">
        <v>2.0</v>
      </c>
      <c r="B16" s="196" t="s">
        <v>1549</v>
      </c>
      <c r="C16" s="198" t="s">
        <v>1550</v>
      </c>
    </row>
    <row r="17">
      <c r="A17" s="195">
        <v>3.0</v>
      </c>
      <c r="B17" s="196" t="s">
        <v>1551</v>
      </c>
      <c r="C17" s="198" t="s">
        <v>1552</v>
      </c>
    </row>
    <row r="18">
      <c r="A18" s="195">
        <v>4.0</v>
      </c>
      <c r="B18" s="196" t="s">
        <v>1553</v>
      </c>
      <c r="C18" s="198" t="s">
        <v>1554</v>
      </c>
    </row>
    <row r="19">
      <c r="A19" s="195">
        <v>5.0</v>
      </c>
      <c r="B19" s="196" t="s">
        <v>1555</v>
      </c>
      <c r="C19" s="198" t="s">
        <v>1556</v>
      </c>
    </row>
    <row r="20">
      <c r="A20" s="195">
        <v>6.0</v>
      </c>
      <c r="B20" s="196" t="s">
        <v>1557</v>
      </c>
      <c r="C20" s="198" t="s">
        <v>1558</v>
      </c>
    </row>
    <row r="21">
      <c r="A21" s="195">
        <v>7.0</v>
      </c>
      <c r="B21" s="196" t="s">
        <v>1559</v>
      </c>
      <c r="C21" s="198" t="s">
        <v>1560</v>
      </c>
    </row>
    <row r="22">
      <c r="A22" s="192"/>
      <c r="B22" s="193" t="s">
        <v>1561</v>
      </c>
      <c r="C22" s="194"/>
    </row>
    <row r="23">
      <c r="A23" s="195">
        <v>1.0</v>
      </c>
      <c r="B23" s="196" t="s">
        <v>1562</v>
      </c>
      <c r="C23" s="198" t="s">
        <v>1563</v>
      </c>
    </row>
    <row r="24">
      <c r="A24" s="195">
        <v>2.0</v>
      </c>
      <c r="B24" s="196" t="s">
        <v>1564</v>
      </c>
      <c r="C24" s="198" t="s">
        <v>1565</v>
      </c>
    </row>
    <row r="25">
      <c r="A25" s="192"/>
      <c r="B25" s="193" t="s">
        <v>1566</v>
      </c>
      <c r="C25" s="199"/>
    </row>
    <row r="26">
      <c r="A26" s="195">
        <v>1.0</v>
      </c>
      <c r="B26" s="196" t="s">
        <v>1567</v>
      </c>
      <c r="C26" s="198" t="s">
        <v>1568</v>
      </c>
    </row>
    <row r="27">
      <c r="A27" s="195">
        <v>2.0</v>
      </c>
      <c r="B27" s="196" t="s">
        <v>1569</v>
      </c>
      <c r="C27" s="198" t="s">
        <v>1570</v>
      </c>
    </row>
    <row r="28">
      <c r="A28" s="200">
        <v>3.0</v>
      </c>
      <c r="B28" s="201" t="s">
        <v>1571</v>
      </c>
      <c r="C28" s="202" t="s">
        <v>1572</v>
      </c>
    </row>
    <row r="29">
      <c r="A29" s="203">
        <v>4.0</v>
      </c>
      <c r="B29" s="204" t="s">
        <v>1573</v>
      </c>
      <c r="C29" s="205" t="s">
        <v>1574</v>
      </c>
    </row>
    <row r="30">
      <c r="A30" s="203">
        <v>5.0</v>
      </c>
      <c r="B30" s="204" t="s">
        <v>1575</v>
      </c>
      <c r="C30" s="205" t="s">
        <v>1576</v>
      </c>
    </row>
    <row r="31">
      <c r="A31" s="203">
        <v>6.0</v>
      </c>
      <c r="B31" s="204" t="s">
        <v>1577</v>
      </c>
      <c r="C31" s="205" t="s">
        <v>1578</v>
      </c>
    </row>
    <row r="32">
      <c r="A32" s="203">
        <v>7.0</v>
      </c>
      <c r="B32" s="204" t="s">
        <v>1579</v>
      </c>
      <c r="C32" s="205" t="s">
        <v>1580</v>
      </c>
    </row>
    <row r="33">
      <c r="A33" s="203">
        <v>8.0</v>
      </c>
      <c r="B33" s="204" t="s">
        <v>1581</v>
      </c>
      <c r="C33" s="205" t="s">
        <v>1582</v>
      </c>
    </row>
    <row r="34">
      <c r="A34" s="203">
        <v>9.0</v>
      </c>
      <c r="B34" s="204" t="s">
        <v>1583</v>
      </c>
      <c r="C34" s="205" t="s">
        <v>1584</v>
      </c>
    </row>
    <row r="35">
      <c r="A35" s="203">
        <v>10.0</v>
      </c>
      <c r="B35" s="204" t="s">
        <v>1585</v>
      </c>
      <c r="C35" s="205" t="s">
        <v>1586</v>
      </c>
    </row>
    <row r="36">
      <c r="A36" s="206"/>
      <c r="B36" s="207" t="s">
        <v>1587</v>
      </c>
      <c r="C36" s="208"/>
    </row>
    <row r="37">
      <c r="A37" s="203">
        <v>1.0</v>
      </c>
      <c r="B37" s="204" t="s">
        <v>1588</v>
      </c>
      <c r="C37" s="209" t="s">
        <v>1589</v>
      </c>
    </row>
    <row r="38">
      <c r="A38" s="203">
        <v>2.0</v>
      </c>
      <c r="B38" s="204" t="s">
        <v>1590</v>
      </c>
      <c r="C38" s="209" t="s">
        <v>1591</v>
      </c>
    </row>
    <row r="39">
      <c r="A39" s="203">
        <v>3.0</v>
      </c>
      <c r="B39" s="204" t="s">
        <v>1592</v>
      </c>
      <c r="C39" s="209" t="s">
        <v>1593</v>
      </c>
    </row>
    <row r="40">
      <c r="A40" s="203">
        <v>4.0</v>
      </c>
      <c r="B40" s="204" t="s">
        <v>1594</v>
      </c>
      <c r="C40" s="209" t="s">
        <v>1595</v>
      </c>
    </row>
    <row r="41">
      <c r="A41" s="203">
        <v>5.0</v>
      </c>
      <c r="B41" s="204" t="s">
        <v>1596</v>
      </c>
      <c r="C41" s="209" t="s">
        <v>1597</v>
      </c>
    </row>
    <row r="42">
      <c r="A42" s="203">
        <v>6.0</v>
      </c>
      <c r="B42" s="204" t="s">
        <v>1598</v>
      </c>
      <c r="C42" s="209" t="s">
        <v>1599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86"/>
    <col customWidth="1" min="2" max="2" width="76.86"/>
    <col customWidth="1" min="4" max="4" width="15.86"/>
  </cols>
  <sheetData>
    <row r="1">
      <c r="A1" s="187"/>
      <c r="B1" s="187" t="s">
        <v>1600</v>
      </c>
      <c r="C1" s="188"/>
      <c r="D1" s="187"/>
    </row>
    <row r="2">
      <c r="A2" s="210"/>
      <c r="B2" s="210" t="s">
        <v>1601</v>
      </c>
      <c r="C2" s="188"/>
      <c r="D2" s="210"/>
    </row>
    <row r="3">
      <c r="A3" s="189"/>
      <c r="B3" s="189" t="s">
        <v>1525</v>
      </c>
      <c r="C3" s="188"/>
      <c r="D3" s="189"/>
    </row>
    <row r="4">
      <c r="A4" s="187"/>
      <c r="B4" s="187" t="s">
        <v>1602</v>
      </c>
      <c r="C4" s="188"/>
      <c r="D4" s="187"/>
    </row>
    <row r="5">
      <c r="A5" s="191" t="s">
        <v>1603</v>
      </c>
      <c r="B5" s="211" t="s">
        <v>1604</v>
      </c>
      <c r="C5" s="211" t="s">
        <v>1605</v>
      </c>
      <c r="D5" s="212" t="s">
        <v>1606</v>
      </c>
    </row>
    <row r="6">
      <c r="A6" s="213"/>
      <c r="B6" s="214"/>
      <c r="C6" s="214"/>
      <c r="D6" s="215" t="s">
        <v>1607</v>
      </c>
    </row>
    <row r="7">
      <c r="A7" s="216">
        <v>1.0</v>
      </c>
      <c r="B7" s="217">
        <v>2.0</v>
      </c>
      <c r="C7" s="217">
        <v>3.0</v>
      </c>
      <c r="D7" s="217">
        <v>4.0</v>
      </c>
    </row>
    <row r="8">
      <c r="A8" s="216">
        <v>5.0</v>
      </c>
      <c r="B8" s="218" t="s">
        <v>1608</v>
      </c>
      <c r="C8" s="219" t="s">
        <v>1609</v>
      </c>
      <c r="D8" s="217" t="s">
        <v>1610</v>
      </c>
    </row>
    <row r="9">
      <c r="A9" s="216">
        <v>6.0</v>
      </c>
      <c r="B9" s="218" t="s">
        <v>1611</v>
      </c>
      <c r="C9" s="219" t="s">
        <v>1612</v>
      </c>
      <c r="D9" s="217" t="s">
        <v>1610</v>
      </c>
    </row>
    <row r="10">
      <c r="A10" s="216">
        <v>7.0</v>
      </c>
      <c r="B10" s="218" t="s">
        <v>1613</v>
      </c>
      <c r="C10" s="219" t="s">
        <v>1614</v>
      </c>
      <c r="D10" s="217" t="s">
        <v>1610</v>
      </c>
    </row>
    <row r="11">
      <c r="A11" s="216">
        <v>8.0</v>
      </c>
      <c r="B11" s="218" t="s">
        <v>1615</v>
      </c>
      <c r="C11" s="219" t="s">
        <v>1616</v>
      </c>
      <c r="D11" s="217" t="s">
        <v>1610</v>
      </c>
    </row>
    <row r="12">
      <c r="A12" s="216">
        <v>9.0</v>
      </c>
      <c r="B12" s="218" t="s">
        <v>1617</v>
      </c>
      <c r="C12" s="219" t="s">
        <v>1618</v>
      </c>
      <c r="D12" s="217" t="s">
        <v>1610</v>
      </c>
    </row>
    <row r="13">
      <c r="A13" s="216">
        <v>10.0</v>
      </c>
      <c r="B13" s="218" t="s">
        <v>1619</v>
      </c>
      <c r="C13" s="219" t="s">
        <v>1620</v>
      </c>
      <c r="D13" s="217" t="s">
        <v>1610</v>
      </c>
    </row>
    <row r="14">
      <c r="A14" s="216">
        <v>13.0</v>
      </c>
      <c r="B14" s="218" t="s">
        <v>1621</v>
      </c>
      <c r="C14" s="219" t="s">
        <v>1622</v>
      </c>
      <c r="D14" s="217" t="s">
        <v>1610</v>
      </c>
    </row>
    <row r="15">
      <c r="A15" s="216">
        <v>14.0</v>
      </c>
      <c r="B15" s="218" t="s">
        <v>1623</v>
      </c>
      <c r="C15" s="219" t="s">
        <v>1624</v>
      </c>
      <c r="D15" s="217" t="s">
        <v>1610</v>
      </c>
    </row>
    <row r="16">
      <c r="A16" s="216">
        <v>15.0</v>
      </c>
      <c r="B16" s="218" t="s">
        <v>1625</v>
      </c>
      <c r="C16" s="219" t="s">
        <v>1626</v>
      </c>
      <c r="D16" s="217" t="s">
        <v>1610</v>
      </c>
    </row>
    <row r="17">
      <c r="A17" s="216">
        <v>16.0</v>
      </c>
      <c r="B17" s="218" t="s">
        <v>1627</v>
      </c>
      <c r="C17" s="219" t="s">
        <v>1628</v>
      </c>
      <c r="D17" s="217" t="s">
        <v>1610</v>
      </c>
    </row>
    <row r="18">
      <c r="A18" s="216">
        <v>17.0</v>
      </c>
      <c r="B18" s="218" t="s">
        <v>1629</v>
      </c>
      <c r="C18" s="219" t="s">
        <v>1630</v>
      </c>
      <c r="D18" s="217" t="s">
        <v>1610</v>
      </c>
    </row>
    <row r="19">
      <c r="A19" s="216">
        <v>18.0</v>
      </c>
      <c r="B19" s="218" t="s">
        <v>1631</v>
      </c>
      <c r="C19" s="219" t="s">
        <v>1632</v>
      </c>
      <c r="D19" s="217" t="s">
        <v>1610</v>
      </c>
    </row>
    <row r="20">
      <c r="A20" s="216">
        <v>19.0</v>
      </c>
      <c r="B20" s="218" t="s">
        <v>1633</v>
      </c>
      <c r="C20" s="219" t="s">
        <v>1634</v>
      </c>
      <c r="D20" s="217" t="s">
        <v>1610</v>
      </c>
    </row>
    <row r="21">
      <c r="A21" s="216">
        <v>20.0</v>
      </c>
      <c r="B21" s="218" t="s">
        <v>1635</v>
      </c>
      <c r="C21" s="219" t="s">
        <v>1636</v>
      </c>
      <c r="D21" s="217" t="s">
        <v>1610</v>
      </c>
    </row>
    <row r="22">
      <c r="A22" s="216">
        <v>21.0</v>
      </c>
      <c r="B22" s="218" t="s">
        <v>1637</v>
      </c>
      <c r="C22" s="219" t="s">
        <v>1638</v>
      </c>
      <c r="D22" s="217" t="s">
        <v>1610</v>
      </c>
    </row>
    <row r="23">
      <c r="A23" s="216">
        <v>22.0</v>
      </c>
      <c r="B23" s="218" t="s">
        <v>1639</v>
      </c>
      <c r="C23" s="219" t="s">
        <v>1640</v>
      </c>
      <c r="D23" s="217" t="s">
        <v>1610</v>
      </c>
    </row>
    <row r="24">
      <c r="A24" s="216">
        <v>23.0</v>
      </c>
      <c r="B24" s="218" t="s">
        <v>1641</v>
      </c>
      <c r="C24" s="219" t="s">
        <v>1642</v>
      </c>
      <c r="D24" s="217" t="s">
        <v>1610</v>
      </c>
    </row>
    <row r="25">
      <c r="A25" s="216">
        <v>24.0</v>
      </c>
      <c r="B25" s="218" t="s">
        <v>1643</v>
      </c>
      <c r="C25" s="219" t="s">
        <v>1644</v>
      </c>
      <c r="D25" s="217" t="s">
        <v>1610</v>
      </c>
    </row>
    <row r="26">
      <c r="A26" s="216">
        <v>25.0</v>
      </c>
      <c r="B26" s="218" t="s">
        <v>1645</v>
      </c>
      <c r="C26" s="219" t="s">
        <v>1646</v>
      </c>
      <c r="D26" s="217" t="s">
        <v>1610</v>
      </c>
    </row>
    <row r="27">
      <c r="A27" s="216">
        <v>26.0</v>
      </c>
      <c r="B27" s="218" t="s">
        <v>1647</v>
      </c>
      <c r="C27" s="219" t="s">
        <v>1648</v>
      </c>
      <c r="D27" s="217" t="s">
        <v>1610</v>
      </c>
    </row>
    <row r="28">
      <c r="A28" s="216">
        <v>27.0</v>
      </c>
      <c r="B28" s="218" t="s">
        <v>1649</v>
      </c>
      <c r="C28" s="219" t="s">
        <v>1650</v>
      </c>
      <c r="D28" s="217" t="s">
        <v>1610</v>
      </c>
    </row>
    <row r="29">
      <c r="A29" s="216">
        <v>28.0</v>
      </c>
      <c r="B29" s="218" t="s">
        <v>1651</v>
      </c>
      <c r="C29" s="219" t="s">
        <v>1652</v>
      </c>
      <c r="D29" s="217" t="s">
        <v>1610</v>
      </c>
    </row>
    <row r="30">
      <c r="A30" s="216">
        <v>29.0</v>
      </c>
      <c r="B30" s="218" t="s">
        <v>1653</v>
      </c>
      <c r="C30" s="219" t="s">
        <v>1654</v>
      </c>
      <c r="D30" s="217" t="s">
        <v>1610</v>
      </c>
    </row>
    <row r="31">
      <c r="A31" s="220">
        <v>30.0</v>
      </c>
      <c r="B31" s="221" t="s">
        <v>1655</v>
      </c>
      <c r="C31" s="222" t="s">
        <v>1656</v>
      </c>
      <c r="D31" s="223" t="s">
        <v>1610</v>
      </c>
    </row>
    <row r="32">
      <c r="A32" s="216">
        <v>31.0</v>
      </c>
      <c r="B32" s="218" t="s">
        <v>1657</v>
      </c>
      <c r="C32" s="219" t="s">
        <v>1658</v>
      </c>
      <c r="D32" s="217" t="s">
        <v>1610</v>
      </c>
    </row>
    <row r="33">
      <c r="A33" s="216">
        <v>32.0</v>
      </c>
      <c r="B33" s="218" t="s">
        <v>1659</v>
      </c>
      <c r="C33" s="219" t="s">
        <v>1660</v>
      </c>
      <c r="D33" s="217" t="s">
        <v>1610</v>
      </c>
    </row>
    <row r="34">
      <c r="A34" s="216">
        <v>33.0</v>
      </c>
      <c r="B34" s="218" t="s">
        <v>1661</v>
      </c>
      <c r="C34" s="219" t="s">
        <v>1662</v>
      </c>
      <c r="D34" s="217" t="s">
        <v>1610</v>
      </c>
    </row>
    <row r="35">
      <c r="A35" s="216">
        <v>34.0</v>
      </c>
      <c r="B35" s="218" t="s">
        <v>1663</v>
      </c>
      <c r="C35" s="219" t="s">
        <v>1664</v>
      </c>
      <c r="D35" s="217" t="s">
        <v>1610</v>
      </c>
    </row>
    <row r="36">
      <c r="A36" s="216">
        <v>35.0</v>
      </c>
      <c r="B36" s="218" t="s">
        <v>1665</v>
      </c>
      <c r="C36" s="219" t="s">
        <v>1666</v>
      </c>
      <c r="D36" s="217" t="s">
        <v>1610</v>
      </c>
    </row>
    <row r="37">
      <c r="A37" s="216">
        <v>36.0</v>
      </c>
      <c r="B37" s="218" t="s">
        <v>1667</v>
      </c>
      <c r="C37" s="219" t="s">
        <v>1668</v>
      </c>
      <c r="D37" s="217" t="s">
        <v>1610</v>
      </c>
    </row>
    <row r="38">
      <c r="A38" s="216">
        <v>37.0</v>
      </c>
      <c r="B38" s="218" t="s">
        <v>1669</v>
      </c>
      <c r="C38" s="219" t="s">
        <v>1670</v>
      </c>
      <c r="D38" s="217" t="s">
        <v>1610</v>
      </c>
    </row>
    <row r="39">
      <c r="A39" s="216">
        <v>38.0</v>
      </c>
      <c r="B39" s="218" t="s">
        <v>1671</v>
      </c>
      <c r="C39" s="219" t="s">
        <v>1672</v>
      </c>
      <c r="D39" s="217" t="s">
        <v>1610</v>
      </c>
    </row>
    <row r="40">
      <c r="A40" s="216">
        <v>39.0</v>
      </c>
      <c r="B40" s="218" t="s">
        <v>1673</v>
      </c>
      <c r="C40" s="219" t="s">
        <v>1674</v>
      </c>
      <c r="D40" s="217" t="s">
        <v>1610</v>
      </c>
    </row>
    <row r="41">
      <c r="A41" s="216">
        <v>40.0</v>
      </c>
      <c r="B41" s="218" t="s">
        <v>1675</v>
      </c>
      <c r="C41" s="219" t="s">
        <v>1676</v>
      </c>
      <c r="D41" s="217" t="s">
        <v>1610</v>
      </c>
    </row>
    <row r="42">
      <c r="A42" s="216">
        <v>41.0</v>
      </c>
      <c r="B42" s="218" t="s">
        <v>1677</v>
      </c>
      <c r="C42" s="219" t="s">
        <v>1678</v>
      </c>
      <c r="D42" s="217" t="s">
        <v>1610</v>
      </c>
    </row>
    <row r="43">
      <c r="A43" s="216">
        <v>42.0</v>
      </c>
      <c r="B43" s="218" t="s">
        <v>1679</v>
      </c>
      <c r="C43" s="219" t="s">
        <v>1680</v>
      </c>
      <c r="D43" s="217" t="s">
        <v>1610</v>
      </c>
    </row>
    <row r="44">
      <c r="A44" s="224"/>
      <c r="B44" s="218" t="s">
        <v>1681</v>
      </c>
      <c r="C44" s="225"/>
      <c r="D44" s="225"/>
    </row>
  </sheetData>
  <mergeCells count="3">
    <mergeCell ref="A5:A6"/>
    <mergeCell ref="B5:B6"/>
    <mergeCell ref="C5:C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2" width="7.0"/>
    <col customWidth="1" min="3" max="3" width="39.86"/>
    <col customWidth="1" min="4" max="4" width="14.86"/>
    <col customWidth="1" min="5" max="5" width="13.57"/>
    <col customWidth="1" min="6" max="6" width="9.14"/>
    <col customWidth="1" min="7" max="7" width="14.86"/>
    <col customWidth="1" min="8" max="15" width="9.43"/>
  </cols>
  <sheetData>
    <row r="1">
      <c r="A1" s="159" t="s">
        <v>1308</v>
      </c>
      <c r="C1" s="160" t="s">
        <v>1309</v>
      </c>
      <c r="D1" s="161" t="s">
        <v>1310</v>
      </c>
      <c r="E1" s="161" t="s">
        <v>40</v>
      </c>
      <c r="F1" s="161" t="s">
        <v>1311</v>
      </c>
      <c r="G1" s="162" t="s">
        <v>1312</v>
      </c>
    </row>
    <row r="2">
      <c r="A2" s="159" t="s">
        <v>1313</v>
      </c>
      <c r="B2" s="159" t="s">
        <v>1314</v>
      </c>
      <c r="D2" s="163"/>
      <c r="E2" s="163"/>
      <c r="F2" s="163"/>
      <c r="G2" s="162" t="s">
        <v>1315</v>
      </c>
      <c r="H2" s="162" t="s">
        <v>1316</v>
      </c>
      <c r="I2" s="162" t="s">
        <v>1317</v>
      </c>
      <c r="J2" s="162" t="s">
        <v>1318</v>
      </c>
      <c r="K2" s="162" t="s">
        <v>1319</v>
      </c>
      <c r="L2" s="162" t="s">
        <v>1320</v>
      </c>
      <c r="M2" s="162" t="s">
        <v>1321</v>
      </c>
      <c r="N2" s="162" t="s">
        <v>1322</v>
      </c>
      <c r="O2" s="162" t="s">
        <v>1323</v>
      </c>
    </row>
    <row r="3">
      <c r="A3" s="164"/>
      <c r="B3" s="164"/>
      <c r="C3" s="165" t="s">
        <v>1324</v>
      </c>
      <c r="D3" s="166"/>
      <c r="E3" s="166"/>
      <c r="F3" s="166"/>
      <c r="G3" s="167"/>
      <c r="H3" s="167"/>
      <c r="I3" s="167"/>
      <c r="J3" s="167"/>
      <c r="K3" s="167"/>
      <c r="L3" s="167"/>
      <c r="M3" s="167"/>
      <c r="N3" s="167"/>
      <c r="O3" s="167"/>
    </row>
    <row r="4">
      <c r="A4" s="159">
        <v>111.0</v>
      </c>
      <c r="B4" s="168"/>
      <c r="C4" s="169" t="s">
        <v>1325</v>
      </c>
      <c r="D4" s="170" t="s">
        <v>1326</v>
      </c>
      <c r="E4" s="170" t="s">
        <v>1327</v>
      </c>
      <c r="F4" s="171"/>
      <c r="G4" s="172"/>
      <c r="H4" s="172"/>
      <c r="I4" s="172"/>
      <c r="J4" s="172"/>
      <c r="K4" s="172"/>
      <c r="L4" s="172"/>
      <c r="M4" s="172"/>
      <c r="N4" s="172"/>
      <c r="O4" s="172"/>
    </row>
    <row r="5">
      <c r="A5" s="159">
        <v>112.0</v>
      </c>
      <c r="B5" s="168"/>
      <c r="C5" s="169" t="s">
        <v>1332</v>
      </c>
      <c r="D5" s="170" t="s">
        <v>1326</v>
      </c>
      <c r="E5" s="170" t="s">
        <v>1327</v>
      </c>
      <c r="F5" s="171"/>
      <c r="G5" s="172"/>
      <c r="H5" s="172"/>
      <c r="I5" s="172"/>
      <c r="J5" s="172"/>
      <c r="K5" s="175" t="s">
        <v>1333</v>
      </c>
      <c r="L5" s="172"/>
      <c r="M5" s="172"/>
      <c r="N5" s="172"/>
      <c r="O5" s="172"/>
    </row>
    <row r="6">
      <c r="A6" s="159">
        <v>113.0</v>
      </c>
      <c r="B6" s="168"/>
      <c r="C6" s="169" t="s">
        <v>1682</v>
      </c>
      <c r="D6" s="170" t="s">
        <v>1326</v>
      </c>
      <c r="E6" s="171"/>
      <c r="F6" s="171"/>
      <c r="G6" s="172"/>
      <c r="H6" s="172"/>
      <c r="I6" s="172"/>
      <c r="J6" s="172"/>
      <c r="K6" s="172"/>
      <c r="L6" s="172"/>
      <c r="M6" s="172"/>
      <c r="N6" s="172"/>
      <c r="O6" s="172"/>
    </row>
    <row r="7">
      <c r="A7" s="159">
        <v>121.0</v>
      </c>
      <c r="B7" s="168"/>
      <c r="C7" s="169" t="s">
        <v>1338</v>
      </c>
      <c r="D7" s="170" t="s">
        <v>1326</v>
      </c>
      <c r="E7" s="171"/>
      <c r="F7" s="171"/>
      <c r="G7" s="172"/>
      <c r="H7" s="172"/>
      <c r="I7" s="172"/>
      <c r="J7" s="172"/>
      <c r="K7" s="172"/>
      <c r="L7" s="172"/>
      <c r="M7" s="172"/>
      <c r="N7" s="172"/>
      <c r="O7" s="172"/>
    </row>
    <row r="8">
      <c r="A8" s="159">
        <v>128.0</v>
      </c>
      <c r="B8" s="168"/>
      <c r="C8" s="169" t="s">
        <v>1339</v>
      </c>
      <c r="D8" s="170" t="s">
        <v>1326</v>
      </c>
      <c r="E8" s="171"/>
      <c r="F8" s="171"/>
      <c r="G8" s="172"/>
      <c r="H8" s="172"/>
      <c r="I8" s="172"/>
      <c r="J8" s="172"/>
      <c r="K8" s="172"/>
      <c r="L8" s="172"/>
      <c r="M8" s="172"/>
      <c r="N8" s="172"/>
      <c r="O8" s="172"/>
    </row>
    <row r="9">
      <c r="A9" s="168"/>
      <c r="B9" s="182">
        <v>1281.0</v>
      </c>
      <c r="C9" s="181" t="s">
        <v>1341</v>
      </c>
      <c r="D9" s="170" t="s">
        <v>1326</v>
      </c>
      <c r="E9" s="171"/>
      <c r="F9" s="171"/>
      <c r="G9" s="172"/>
      <c r="H9" s="172"/>
      <c r="I9" s="172"/>
      <c r="J9" s="172"/>
      <c r="K9" s="172"/>
      <c r="L9" s="172"/>
      <c r="M9" s="172"/>
      <c r="N9" s="172"/>
      <c r="O9" s="172"/>
    </row>
    <row r="10">
      <c r="A10" s="168"/>
      <c r="B10" s="182">
        <v>1282.0</v>
      </c>
      <c r="C10" s="181" t="s">
        <v>1683</v>
      </c>
      <c r="D10" s="170" t="s">
        <v>1326</v>
      </c>
      <c r="E10" s="171"/>
      <c r="F10" s="171"/>
      <c r="G10" s="172"/>
      <c r="H10" s="172"/>
      <c r="I10" s="172"/>
      <c r="J10" s="172"/>
      <c r="K10" s="172"/>
      <c r="L10" s="172"/>
      <c r="M10" s="172"/>
      <c r="N10" s="172"/>
      <c r="O10" s="172"/>
    </row>
    <row r="11">
      <c r="A11" s="168"/>
      <c r="B11" s="182">
        <v>1283.0</v>
      </c>
      <c r="C11" s="181" t="s">
        <v>1684</v>
      </c>
      <c r="D11" s="170" t="s">
        <v>1326</v>
      </c>
      <c r="E11" s="171"/>
      <c r="F11" s="171"/>
      <c r="G11" s="172"/>
      <c r="H11" s="172"/>
      <c r="I11" s="172"/>
      <c r="J11" s="172"/>
      <c r="K11" s="172"/>
      <c r="L11" s="172"/>
      <c r="M11" s="172"/>
      <c r="N11" s="172"/>
      <c r="O11" s="172"/>
    </row>
    <row r="12">
      <c r="A12" s="168"/>
      <c r="B12" s="182">
        <v>1288.0</v>
      </c>
      <c r="C12" s="181" t="s">
        <v>1343</v>
      </c>
      <c r="D12" s="170" t="s">
        <v>1326</v>
      </c>
      <c r="E12" s="171"/>
      <c r="F12" s="171"/>
      <c r="G12" s="172"/>
      <c r="H12" s="172"/>
      <c r="I12" s="172"/>
      <c r="J12" s="172"/>
      <c r="K12" s="172"/>
      <c r="L12" s="172"/>
      <c r="M12" s="172"/>
      <c r="N12" s="172"/>
      <c r="O12" s="172"/>
    </row>
    <row r="13">
      <c r="A13" s="159">
        <v>131.0</v>
      </c>
      <c r="B13" s="168"/>
      <c r="C13" s="169" t="s">
        <v>1344</v>
      </c>
      <c r="D13" s="170" t="s">
        <v>1345</v>
      </c>
      <c r="E13" s="170" t="s">
        <v>1327</v>
      </c>
      <c r="F13" s="171"/>
      <c r="G13" s="175" t="s">
        <v>1346</v>
      </c>
      <c r="H13" s="172"/>
      <c r="I13" s="172"/>
      <c r="J13" s="172"/>
      <c r="K13" s="172"/>
      <c r="L13" s="172"/>
      <c r="M13" s="172"/>
      <c r="N13" s="172"/>
      <c r="O13" s="172"/>
    </row>
    <row r="14">
      <c r="A14" s="159">
        <v>133.0</v>
      </c>
      <c r="B14" s="168"/>
      <c r="C14" s="169" t="s">
        <v>1347</v>
      </c>
      <c r="D14" s="170" t="s">
        <v>1326</v>
      </c>
      <c r="E14" s="170" t="s">
        <v>1327</v>
      </c>
      <c r="F14" s="171"/>
      <c r="G14" s="172"/>
      <c r="H14" s="172"/>
      <c r="I14" s="172"/>
      <c r="J14" s="172"/>
      <c r="K14" s="172"/>
      <c r="L14" s="172"/>
      <c r="M14" s="172"/>
      <c r="N14" s="172"/>
      <c r="O14" s="172"/>
    </row>
    <row r="15">
      <c r="A15" s="168"/>
      <c r="B15" s="182">
        <v>1331.0</v>
      </c>
      <c r="C15" s="181" t="s">
        <v>1348</v>
      </c>
      <c r="D15" s="170" t="s">
        <v>1326</v>
      </c>
      <c r="E15" s="171"/>
      <c r="F15" s="171"/>
      <c r="G15" s="172"/>
      <c r="H15" s="172"/>
      <c r="I15" s="172"/>
      <c r="J15" s="172"/>
      <c r="K15" s="172"/>
      <c r="L15" s="172"/>
      <c r="M15" s="172"/>
      <c r="N15" s="172"/>
      <c r="O15" s="172"/>
    </row>
    <row r="16">
      <c r="A16" s="168"/>
      <c r="B16" s="182">
        <v>1332.0</v>
      </c>
      <c r="C16" s="181" t="s">
        <v>1349</v>
      </c>
      <c r="D16" s="170" t="s">
        <v>1326</v>
      </c>
      <c r="E16" s="171"/>
      <c r="F16" s="171"/>
      <c r="G16" s="172"/>
      <c r="H16" s="172"/>
      <c r="I16" s="172"/>
      <c r="J16" s="172"/>
      <c r="K16" s="172"/>
      <c r="L16" s="172"/>
      <c r="M16" s="172"/>
      <c r="N16" s="172"/>
      <c r="O16" s="172"/>
    </row>
    <row r="17">
      <c r="A17" s="159">
        <v>136.0</v>
      </c>
      <c r="B17" s="168"/>
      <c r="C17" s="169" t="s">
        <v>1350</v>
      </c>
      <c r="D17" s="170" t="s">
        <v>1326</v>
      </c>
      <c r="E17" s="171"/>
      <c r="F17" s="171"/>
      <c r="G17" s="172"/>
      <c r="H17" s="172"/>
      <c r="I17" s="172"/>
      <c r="J17" s="172"/>
      <c r="K17" s="172"/>
      <c r="L17" s="172"/>
      <c r="M17" s="172"/>
      <c r="N17" s="172"/>
      <c r="O17" s="172"/>
    </row>
    <row r="18">
      <c r="A18" s="168"/>
      <c r="B18" s="182">
        <v>1361.0</v>
      </c>
      <c r="C18" s="181" t="s">
        <v>1352</v>
      </c>
      <c r="D18" s="170" t="s">
        <v>1326</v>
      </c>
      <c r="E18" s="171"/>
      <c r="F18" s="171"/>
      <c r="G18" s="172"/>
      <c r="H18" s="172"/>
      <c r="I18" s="172"/>
      <c r="J18" s="172"/>
      <c r="K18" s="172"/>
      <c r="L18" s="172"/>
      <c r="M18" s="172"/>
      <c r="N18" s="172"/>
      <c r="O18" s="172"/>
    </row>
    <row r="19">
      <c r="A19" s="168"/>
      <c r="B19" s="182">
        <v>1362.0</v>
      </c>
      <c r="C19" s="181" t="s">
        <v>1685</v>
      </c>
      <c r="D19" s="170" t="s">
        <v>1326</v>
      </c>
      <c r="E19" s="171"/>
      <c r="F19" s="171"/>
      <c r="G19" s="172"/>
      <c r="H19" s="172"/>
      <c r="I19" s="172"/>
      <c r="J19" s="172"/>
      <c r="K19" s="172"/>
      <c r="L19" s="172"/>
      <c r="M19" s="172"/>
      <c r="N19" s="172"/>
      <c r="O19" s="172"/>
    </row>
    <row r="20">
      <c r="A20" s="168"/>
      <c r="B20" s="182">
        <v>1363.0</v>
      </c>
      <c r="C20" s="181" t="s">
        <v>1686</v>
      </c>
      <c r="D20" s="170" t="s">
        <v>1326</v>
      </c>
      <c r="E20" s="171"/>
      <c r="F20" s="171"/>
      <c r="G20" s="172"/>
      <c r="H20" s="172"/>
      <c r="I20" s="172"/>
      <c r="J20" s="172"/>
      <c r="K20" s="172"/>
      <c r="L20" s="172"/>
      <c r="M20" s="172"/>
      <c r="N20" s="172"/>
      <c r="O20" s="172"/>
    </row>
    <row r="21">
      <c r="A21" s="168"/>
      <c r="B21" s="182">
        <v>1368.0</v>
      </c>
      <c r="C21" s="181" t="s">
        <v>1354</v>
      </c>
      <c r="D21" s="170" t="s">
        <v>1326</v>
      </c>
      <c r="E21" s="171"/>
      <c r="F21" s="171"/>
      <c r="G21" s="172"/>
      <c r="H21" s="172"/>
      <c r="I21" s="172"/>
      <c r="J21" s="172"/>
      <c r="K21" s="172"/>
      <c r="L21" s="172"/>
      <c r="M21" s="172"/>
      <c r="N21" s="172"/>
      <c r="O21" s="172"/>
    </row>
    <row r="22">
      <c r="A22" s="159">
        <v>138.0</v>
      </c>
      <c r="B22" s="168"/>
      <c r="C22" s="169" t="s">
        <v>1355</v>
      </c>
      <c r="D22" s="170" t="s">
        <v>1326</v>
      </c>
      <c r="E22" s="170" t="s">
        <v>1327</v>
      </c>
      <c r="F22" s="171"/>
      <c r="G22" s="172"/>
      <c r="H22" s="172"/>
      <c r="I22" s="172"/>
      <c r="J22" s="172"/>
      <c r="K22" s="172"/>
      <c r="L22" s="172"/>
      <c r="M22" s="172"/>
      <c r="N22" s="172"/>
      <c r="O22" s="172"/>
    </row>
    <row r="23">
      <c r="A23" s="168"/>
      <c r="B23" s="182">
        <v>1381.0</v>
      </c>
      <c r="C23" s="181" t="s">
        <v>1357</v>
      </c>
      <c r="D23" s="170" t="s">
        <v>1326</v>
      </c>
      <c r="E23" s="170" t="s">
        <v>1327</v>
      </c>
      <c r="F23" s="171"/>
      <c r="G23" s="172"/>
      <c r="H23" s="172"/>
      <c r="I23" s="172"/>
      <c r="J23" s="172"/>
      <c r="K23" s="172"/>
      <c r="L23" s="172"/>
      <c r="M23" s="172"/>
      <c r="N23" s="172"/>
      <c r="O23" s="172"/>
    </row>
    <row r="24">
      <c r="A24" s="168"/>
      <c r="B24" s="182">
        <v>1383.0</v>
      </c>
      <c r="C24" s="181" t="s">
        <v>1687</v>
      </c>
      <c r="D24" s="170" t="s">
        <v>1326</v>
      </c>
      <c r="E24" s="170"/>
      <c r="F24" s="171"/>
      <c r="G24" s="172"/>
      <c r="H24" s="172"/>
      <c r="I24" s="172"/>
      <c r="J24" s="172"/>
      <c r="K24" s="172"/>
      <c r="L24" s="172"/>
      <c r="M24" s="172"/>
      <c r="N24" s="172"/>
      <c r="O24" s="172"/>
    </row>
    <row r="25">
      <c r="A25" s="168"/>
      <c r="B25" s="182">
        <v>1388.0</v>
      </c>
      <c r="C25" s="181" t="s">
        <v>1355</v>
      </c>
      <c r="D25" s="170" t="s">
        <v>1326</v>
      </c>
      <c r="E25" s="170" t="s">
        <v>1327</v>
      </c>
      <c r="F25" s="171"/>
      <c r="G25" s="172"/>
      <c r="H25" s="172"/>
      <c r="I25" s="172"/>
      <c r="J25" s="172"/>
      <c r="K25" s="172"/>
      <c r="L25" s="172"/>
      <c r="M25" s="172"/>
      <c r="N25" s="172"/>
      <c r="O25" s="172"/>
    </row>
    <row r="26">
      <c r="A26" s="159">
        <v>141.0</v>
      </c>
      <c r="B26" s="168"/>
      <c r="C26" s="169" t="s">
        <v>1361</v>
      </c>
      <c r="D26" s="170" t="s">
        <v>1326</v>
      </c>
      <c r="E26" s="170" t="s">
        <v>1327</v>
      </c>
      <c r="F26" s="171"/>
      <c r="G26" s="175" t="s">
        <v>1362</v>
      </c>
      <c r="H26" s="172"/>
      <c r="I26" s="172"/>
      <c r="J26" s="172"/>
      <c r="K26" s="172"/>
      <c r="L26" s="172"/>
      <c r="M26" s="172"/>
      <c r="N26" s="172"/>
      <c r="O26" s="172"/>
    </row>
    <row r="27">
      <c r="A27" s="159">
        <v>151.0</v>
      </c>
      <c r="B27" s="168"/>
      <c r="C27" s="169" t="s">
        <v>1363</v>
      </c>
      <c r="D27" s="170" t="s">
        <v>1326</v>
      </c>
      <c r="E27" s="171"/>
      <c r="F27" s="171"/>
      <c r="G27" s="172"/>
      <c r="H27" s="172"/>
      <c r="I27" s="172"/>
      <c r="J27" s="172"/>
      <c r="K27" s="172"/>
      <c r="L27" s="172"/>
      <c r="M27" s="172"/>
      <c r="N27" s="172"/>
      <c r="O27" s="172"/>
    </row>
    <row r="28">
      <c r="A28" s="159">
        <v>152.0</v>
      </c>
      <c r="B28" s="168"/>
      <c r="C28" s="169" t="s">
        <v>1364</v>
      </c>
      <c r="D28" s="170" t="s">
        <v>1326</v>
      </c>
      <c r="E28" s="171"/>
      <c r="F28" s="171"/>
      <c r="G28" s="172"/>
      <c r="H28" s="172"/>
      <c r="I28" s="172"/>
      <c r="J28" s="172"/>
      <c r="K28" s="172"/>
      <c r="L28" s="172"/>
      <c r="M28" s="172"/>
      <c r="N28" s="172"/>
      <c r="O28" s="172"/>
    </row>
    <row r="29">
      <c r="A29" s="159">
        <v>153.0</v>
      </c>
      <c r="B29" s="168"/>
      <c r="C29" s="169" t="s">
        <v>1365</v>
      </c>
      <c r="D29" s="170" t="s">
        <v>1326</v>
      </c>
      <c r="E29" s="171"/>
      <c r="F29" s="171"/>
      <c r="G29" s="172"/>
      <c r="H29" s="172"/>
      <c r="I29" s="172"/>
      <c r="J29" s="172"/>
      <c r="K29" s="172"/>
      <c r="L29" s="172"/>
      <c r="M29" s="172"/>
      <c r="N29" s="172"/>
      <c r="O29" s="172"/>
    </row>
    <row r="30">
      <c r="A30" s="159">
        <v>154.0</v>
      </c>
      <c r="B30" s="168"/>
      <c r="C30" s="169" t="s">
        <v>1366</v>
      </c>
      <c r="D30" s="170" t="s">
        <v>1326</v>
      </c>
      <c r="E30" s="170" t="s">
        <v>1327</v>
      </c>
      <c r="F30" s="171"/>
      <c r="G30" s="172"/>
      <c r="H30" s="172"/>
      <c r="I30" s="172"/>
      <c r="J30" s="172"/>
      <c r="K30" s="172"/>
      <c r="L30" s="172"/>
      <c r="M30" s="172"/>
      <c r="N30" s="172"/>
      <c r="O30" s="172"/>
    </row>
    <row r="31">
      <c r="A31" s="159">
        <v>155.0</v>
      </c>
      <c r="B31" s="168"/>
      <c r="C31" s="169" t="s">
        <v>1322</v>
      </c>
      <c r="D31" s="170" t="s">
        <v>1326</v>
      </c>
      <c r="E31" s="171"/>
      <c r="F31" s="171"/>
      <c r="G31" s="172"/>
      <c r="H31" s="172"/>
      <c r="I31" s="172"/>
      <c r="J31" s="172"/>
      <c r="K31" s="172"/>
      <c r="L31" s="172"/>
      <c r="M31" s="172"/>
      <c r="N31" s="172"/>
      <c r="O31" s="172"/>
    </row>
    <row r="32">
      <c r="A32" s="159">
        <v>156.0</v>
      </c>
      <c r="B32" s="168"/>
      <c r="C32" s="169" t="s">
        <v>1367</v>
      </c>
      <c r="D32" s="170" t="s">
        <v>1326</v>
      </c>
      <c r="E32" s="171"/>
      <c r="F32" s="171"/>
      <c r="G32" s="172"/>
      <c r="H32" s="172"/>
      <c r="I32" s="172"/>
      <c r="J32" s="172"/>
      <c r="K32" s="172"/>
      <c r="L32" s="172"/>
      <c r="M32" s="172"/>
      <c r="N32" s="172"/>
      <c r="O32" s="172"/>
    </row>
    <row r="33">
      <c r="A33" s="159">
        <v>157.0</v>
      </c>
      <c r="B33" s="168"/>
      <c r="C33" s="169" t="s">
        <v>1368</v>
      </c>
      <c r="D33" s="170" t="s">
        <v>1326</v>
      </c>
      <c r="E33" s="171"/>
      <c r="F33" s="171"/>
      <c r="G33" s="172"/>
      <c r="H33" s="172"/>
      <c r="I33" s="172"/>
      <c r="J33" s="172"/>
      <c r="K33" s="172"/>
      <c r="L33" s="172"/>
      <c r="M33" s="172"/>
      <c r="N33" s="172"/>
      <c r="O33" s="172"/>
    </row>
    <row r="34">
      <c r="A34" s="159">
        <v>158.0</v>
      </c>
      <c r="B34" s="168"/>
      <c r="C34" s="169" t="s">
        <v>1688</v>
      </c>
      <c r="D34" s="170" t="s">
        <v>1326</v>
      </c>
      <c r="E34" s="171"/>
      <c r="F34" s="171"/>
      <c r="G34" s="172"/>
      <c r="H34" s="172"/>
      <c r="I34" s="172"/>
      <c r="J34" s="172"/>
      <c r="K34" s="172"/>
      <c r="L34" s="172"/>
      <c r="M34" s="172"/>
      <c r="N34" s="172"/>
      <c r="O34" s="172"/>
    </row>
    <row r="35">
      <c r="A35" s="159">
        <v>171.0</v>
      </c>
      <c r="B35" s="168"/>
      <c r="C35" s="169" t="s">
        <v>1689</v>
      </c>
      <c r="D35" s="170" t="s">
        <v>1345</v>
      </c>
      <c r="E35" s="171"/>
      <c r="F35" s="171"/>
      <c r="G35" s="172"/>
      <c r="H35" s="172"/>
      <c r="I35" s="172"/>
      <c r="J35" s="172"/>
      <c r="K35" s="172"/>
      <c r="L35" s="172"/>
      <c r="M35" s="172"/>
      <c r="N35" s="172"/>
      <c r="O35" s="172"/>
    </row>
    <row r="36">
      <c r="A36" s="159">
        <v>211.0</v>
      </c>
      <c r="B36" s="168"/>
      <c r="C36" s="169" t="s">
        <v>1369</v>
      </c>
      <c r="D36" s="170" t="s">
        <v>1326</v>
      </c>
      <c r="E36" s="170"/>
      <c r="F36" s="171"/>
      <c r="G36" s="172"/>
      <c r="H36" s="172"/>
      <c r="I36" s="172"/>
      <c r="J36" s="172"/>
      <c r="K36" s="172"/>
      <c r="L36" s="172"/>
      <c r="M36" s="172"/>
      <c r="N36" s="172"/>
      <c r="O36" s="172"/>
    </row>
    <row r="37">
      <c r="A37" s="159">
        <v>212.0</v>
      </c>
      <c r="B37" s="168"/>
      <c r="C37" s="169" t="s">
        <v>1690</v>
      </c>
      <c r="D37" s="170" t="s">
        <v>1326</v>
      </c>
      <c r="E37" s="171"/>
      <c r="F37" s="171"/>
      <c r="G37" s="172"/>
      <c r="H37" s="172"/>
      <c r="I37" s="172"/>
      <c r="J37" s="172"/>
      <c r="K37" s="172"/>
      <c r="L37" s="172"/>
      <c r="M37" s="172"/>
      <c r="N37" s="172"/>
      <c r="O37" s="172"/>
    </row>
    <row r="38">
      <c r="A38" s="159">
        <v>213.0</v>
      </c>
      <c r="B38" s="168"/>
      <c r="C38" s="169" t="s">
        <v>1691</v>
      </c>
      <c r="D38" s="170" t="s">
        <v>1326</v>
      </c>
      <c r="E38" s="171"/>
      <c r="F38" s="171"/>
      <c r="G38" s="172"/>
      <c r="H38" s="172"/>
      <c r="I38" s="172"/>
      <c r="J38" s="172"/>
      <c r="K38" s="172"/>
      <c r="L38" s="172"/>
      <c r="M38" s="172"/>
      <c r="N38" s="172"/>
      <c r="O38" s="172"/>
    </row>
    <row r="39">
      <c r="A39" s="159">
        <v>214.0</v>
      </c>
      <c r="B39" s="168"/>
      <c r="C39" s="169" t="s">
        <v>1376</v>
      </c>
      <c r="D39" s="170" t="s">
        <v>1377</v>
      </c>
      <c r="E39" s="171"/>
      <c r="F39" s="171"/>
      <c r="G39" s="172"/>
      <c r="H39" s="172"/>
      <c r="I39" s="172"/>
      <c r="J39" s="172"/>
      <c r="K39" s="172"/>
      <c r="L39" s="172"/>
      <c r="M39" s="172"/>
      <c r="N39" s="172"/>
      <c r="O39" s="172"/>
    </row>
    <row r="40">
      <c r="A40" s="168"/>
      <c r="B40" s="182">
        <v>2141.0</v>
      </c>
      <c r="C40" s="181" t="s">
        <v>1379</v>
      </c>
      <c r="D40" s="170" t="s">
        <v>1377</v>
      </c>
      <c r="E40" s="171"/>
      <c r="F40" s="171"/>
      <c r="G40" s="172"/>
      <c r="H40" s="172"/>
      <c r="I40" s="172"/>
      <c r="J40" s="172"/>
      <c r="K40" s="172"/>
      <c r="L40" s="172"/>
      <c r="M40" s="172"/>
      <c r="N40" s="172"/>
      <c r="O40" s="172"/>
    </row>
    <row r="41">
      <c r="A41" s="168"/>
      <c r="B41" s="182">
        <v>2142.0</v>
      </c>
      <c r="C41" s="181" t="s">
        <v>1381</v>
      </c>
      <c r="D41" s="170" t="s">
        <v>1377</v>
      </c>
      <c r="E41" s="171"/>
      <c r="F41" s="171"/>
      <c r="G41" s="172"/>
      <c r="H41" s="172"/>
      <c r="I41" s="172"/>
      <c r="J41" s="172"/>
      <c r="K41" s="172"/>
      <c r="L41" s="172"/>
      <c r="M41" s="172"/>
      <c r="N41" s="172"/>
      <c r="O41" s="172"/>
    </row>
    <row r="42">
      <c r="A42" s="168"/>
      <c r="B42" s="182">
        <v>2143.0</v>
      </c>
      <c r="C42" s="181" t="s">
        <v>1383</v>
      </c>
      <c r="D42" s="170" t="s">
        <v>1377</v>
      </c>
      <c r="E42" s="171"/>
      <c r="F42" s="171"/>
      <c r="G42" s="172"/>
      <c r="H42" s="172"/>
      <c r="I42" s="172"/>
      <c r="J42" s="172"/>
      <c r="K42" s="172"/>
      <c r="L42" s="172"/>
      <c r="M42" s="172"/>
      <c r="N42" s="172"/>
      <c r="O42" s="172"/>
    </row>
    <row r="43">
      <c r="A43" s="168"/>
      <c r="B43" s="182">
        <v>2147.0</v>
      </c>
      <c r="C43" s="181" t="s">
        <v>1692</v>
      </c>
      <c r="D43" s="170" t="s">
        <v>1377</v>
      </c>
      <c r="E43" s="171"/>
      <c r="F43" s="171"/>
      <c r="G43" s="172"/>
      <c r="H43" s="172"/>
      <c r="I43" s="172"/>
      <c r="J43" s="172"/>
      <c r="K43" s="172"/>
      <c r="L43" s="172"/>
      <c r="M43" s="172"/>
      <c r="N43" s="172"/>
      <c r="O43" s="172"/>
    </row>
    <row r="44">
      <c r="A44" s="159">
        <v>215.0</v>
      </c>
      <c r="B44" s="168"/>
      <c r="C44" s="169" t="s">
        <v>1693</v>
      </c>
      <c r="D44" s="170" t="s">
        <v>1326</v>
      </c>
      <c r="E44" s="171"/>
      <c r="F44" s="171"/>
      <c r="G44" s="172"/>
      <c r="H44" s="172"/>
      <c r="I44" s="172"/>
      <c r="J44" s="172"/>
      <c r="K44" s="172"/>
      <c r="L44" s="172"/>
      <c r="M44" s="172"/>
      <c r="N44" s="172"/>
      <c r="O44" s="172"/>
    </row>
    <row r="45">
      <c r="A45" s="168"/>
      <c r="B45" s="182">
        <v>2151.0</v>
      </c>
      <c r="C45" s="181" t="s">
        <v>1694</v>
      </c>
      <c r="D45" s="170" t="s">
        <v>1326</v>
      </c>
      <c r="E45" s="171"/>
      <c r="F45" s="171"/>
      <c r="G45" s="172"/>
      <c r="H45" s="172"/>
      <c r="I45" s="172"/>
      <c r="J45" s="172"/>
      <c r="K45" s="172"/>
      <c r="L45" s="172"/>
      <c r="M45" s="172"/>
      <c r="N45" s="172"/>
      <c r="O45" s="172"/>
    </row>
    <row r="46">
      <c r="A46" s="168"/>
      <c r="B46" s="182">
        <v>21511.0</v>
      </c>
      <c r="C46" s="181" t="s">
        <v>1695</v>
      </c>
      <c r="D46" s="170" t="s">
        <v>1326</v>
      </c>
      <c r="E46" s="171"/>
      <c r="F46" s="171"/>
      <c r="G46" s="172"/>
      <c r="H46" s="172"/>
      <c r="I46" s="172"/>
      <c r="J46" s="172"/>
      <c r="K46" s="172"/>
      <c r="L46" s="172"/>
      <c r="M46" s="172"/>
      <c r="N46" s="172"/>
      <c r="O46" s="172"/>
    </row>
    <row r="47">
      <c r="A47" s="168"/>
      <c r="B47" s="182">
        <v>21512.0</v>
      </c>
      <c r="C47" s="181" t="s">
        <v>1696</v>
      </c>
      <c r="D47" s="170" t="s">
        <v>1326</v>
      </c>
      <c r="E47" s="171"/>
      <c r="F47" s="171"/>
      <c r="G47" s="172"/>
      <c r="H47" s="172"/>
      <c r="I47" s="172"/>
      <c r="J47" s="172"/>
      <c r="K47" s="172"/>
      <c r="L47" s="172"/>
      <c r="M47" s="172"/>
      <c r="N47" s="172"/>
      <c r="O47" s="172"/>
    </row>
    <row r="48">
      <c r="A48" s="168"/>
      <c r="B48" s="182">
        <v>215121.0</v>
      </c>
      <c r="C48" s="181" t="s">
        <v>1697</v>
      </c>
      <c r="D48" s="170" t="s">
        <v>1326</v>
      </c>
      <c r="E48" s="171"/>
      <c r="F48" s="171"/>
      <c r="G48" s="172"/>
      <c r="H48" s="172"/>
      <c r="I48" s="172"/>
      <c r="J48" s="172"/>
      <c r="K48" s="172"/>
      <c r="L48" s="172"/>
      <c r="M48" s="172"/>
      <c r="N48" s="172"/>
      <c r="O48" s="172"/>
    </row>
    <row r="49">
      <c r="A49" s="168"/>
      <c r="B49" s="182">
        <v>215122.0</v>
      </c>
      <c r="C49" s="181" t="s">
        <v>1698</v>
      </c>
      <c r="D49" s="170" t="s">
        <v>1326</v>
      </c>
      <c r="E49" s="171"/>
      <c r="F49" s="171"/>
      <c r="G49" s="172"/>
      <c r="H49" s="172"/>
      <c r="I49" s="172"/>
      <c r="J49" s="172"/>
      <c r="K49" s="172"/>
      <c r="L49" s="172"/>
      <c r="M49" s="172"/>
      <c r="N49" s="172"/>
      <c r="O49" s="172"/>
    </row>
    <row r="50">
      <c r="A50" s="168"/>
      <c r="B50" s="182">
        <v>2152.0</v>
      </c>
      <c r="C50" s="181" t="s">
        <v>1699</v>
      </c>
      <c r="D50" s="170" t="s">
        <v>1326</v>
      </c>
      <c r="E50" s="171"/>
      <c r="F50" s="171"/>
      <c r="G50" s="172"/>
      <c r="H50" s="172"/>
      <c r="I50" s="172"/>
      <c r="J50" s="172"/>
      <c r="K50" s="172"/>
      <c r="L50" s="172"/>
      <c r="M50" s="172"/>
      <c r="N50" s="172"/>
      <c r="O50" s="172"/>
    </row>
    <row r="51">
      <c r="A51" s="168"/>
      <c r="B51" s="182">
        <v>2153.0</v>
      </c>
      <c r="C51" s="181" t="s">
        <v>1700</v>
      </c>
      <c r="D51" s="170" t="s">
        <v>1326</v>
      </c>
      <c r="E51" s="171"/>
      <c r="F51" s="171"/>
      <c r="G51" s="172"/>
      <c r="H51" s="172"/>
      <c r="I51" s="172"/>
      <c r="J51" s="172"/>
      <c r="K51" s="172"/>
      <c r="L51" s="172"/>
      <c r="M51" s="172"/>
      <c r="N51" s="172"/>
      <c r="O51" s="172"/>
    </row>
    <row r="52">
      <c r="A52" s="159">
        <v>217.0</v>
      </c>
      <c r="B52" s="168"/>
      <c r="C52" s="169" t="s">
        <v>1386</v>
      </c>
      <c r="D52" s="170" t="s">
        <v>1326</v>
      </c>
      <c r="E52" s="171"/>
      <c r="F52" s="171"/>
      <c r="G52" s="172"/>
      <c r="H52" s="172"/>
      <c r="I52" s="172"/>
      <c r="J52" s="172"/>
      <c r="K52" s="172"/>
      <c r="L52" s="172"/>
      <c r="M52" s="172"/>
      <c r="N52" s="172"/>
      <c r="O52" s="172"/>
    </row>
    <row r="53">
      <c r="A53" s="159">
        <v>221.0</v>
      </c>
      <c r="B53" s="168"/>
      <c r="C53" s="169" t="s">
        <v>1701</v>
      </c>
      <c r="D53" s="170" t="s">
        <v>1326</v>
      </c>
      <c r="E53" s="171"/>
      <c r="F53" s="171"/>
      <c r="G53" s="172"/>
      <c r="H53" s="172"/>
      <c r="I53" s="172"/>
      <c r="J53" s="172"/>
      <c r="K53" s="172"/>
      <c r="L53" s="172"/>
      <c r="M53" s="172"/>
      <c r="N53" s="172"/>
      <c r="O53" s="172"/>
    </row>
    <row r="54">
      <c r="A54" s="159">
        <v>222.0</v>
      </c>
      <c r="B54" s="168"/>
      <c r="C54" s="169" t="s">
        <v>1390</v>
      </c>
      <c r="D54" s="170" t="s">
        <v>1326</v>
      </c>
      <c r="E54" s="171"/>
      <c r="F54" s="171"/>
      <c r="G54" s="172"/>
      <c r="H54" s="172"/>
      <c r="I54" s="172"/>
      <c r="J54" s="172"/>
      <c r="K54" s="172"/>
      <c r="L54" s="172"/>
      <c r="M54" s="172"/>
      <c r="N54" s="172"/>
      <c r="O54" s="172"/>
    </row>
    <row r="55">
      <c r="A55" s="159">
        <v>228.0</v>
      </c>
      <c r="B55" s="168"/>
      <c r="C55" s="169" t="s">
        <v>1392</v>
      </c>
      <c r="D55" s="170" t="s">
        <v>1326</v>
      </c>
      <c r="E55" s="171"/>
      <c r="F55" s="171"/>
      <c r="G55" s="172"/>
      <c r="H55" s="172"/>
      <c r="I55" s="172"/>
      <c r="J55" s="172"/>
      <c r="K55" s="172"/>
      <c r="L55" s="172"/>
      <c r="M55" s="172"/>
      <c r="N55" s="172"/>
      <c r="O55" s="172"/>
    </row>
    <row r="56">
      <c r="A56" s="168"/>
      <c r="B56" s="182">
        <v>2281.0</v>
      </c>
      <c r="C56" s="181" t="s">
        <v>1388</v>
      </c>
      <c r="D56" s="170" t="s">
        <v>1326</v>
      </c>
      <c r="E56" s="171"/>
      <c r="F56" s="171"/>
      <c r="G56" s="172"/>
      <c r="H56" s="172"/>
      <c r="I56" s="172"/>
      <c r="J56" s="172"/>
      <c r="K56" s="172"/>
      <c r="L56" s="172"/>
      <c r="M56" s="172"/>
      <c r="N56" s="172"/>
      <c r="O56" s="172"/>
    </row>
    <row r="57">
      <c r="A57" s="168"/>
      <c r="B57" s="182">
        <v>2288.0</v>
      </c>
      <c r="C57" s="181" t="s">
        <v>1392</v>
      </c>
      <c r="D57" s="170" t="s">
        <v>1326</v>
      </c>
      <c r="E57" s="171"/>
      <c r="F57" s="171"/>
      <c r="G57" s="172"/>
      <c r="H57" s="172"/>
      <c r="I57" s="172"/>
      <c r="J57" s="172"/>
      <c r="K57" s="172"/>
      <c r="L57" s="172"/>
      <c r="M57" s="172"/>
      <c r="N57" s="172"/>
      <c r="O57" s="172"/>
    </row>
    <row r="58">
      <c r="A58" s="159">
        <v>229.0</v>
      </c>
      <c r="B58" s="168"/>
      <c r="C58" s="169" t="s">
        <v>1393</v>
      </c>
      <c r="D58" s="170" t="s">
        <v>1377</v>
      </c>
      <c r="E58" s="171"/>
      <c r="F58" s="171"/>
      <c r="G58" s="172"/>
      <c r="H58" s="172"/>
      <c r="I58" s="172"/>
      <c r="J58" s="172"/>
      <c r="K58" s="172"/>
      <c r="L58" s="172"/>
      <c r="M58" s="172"/>
      <c r="N58" s="172"/>
      <c r="O58" s="172"/>
    </row>
    <row r="59">
      <c r="A59" s="168"/>
      <c r="B59" s="182">
        <v>2291.0</v>
      </c>
      <c r="C59" s="181" t="s">
        <v>1395</v>
      </c>
      <c r="D59" s="170" t="s">
        <v>1377</v>
      </c>
      <c r="E59" s="171"/>
      <c r="F59" s="171"/>
      <c r="G59" s="172"/>
      <c r="H59" s="172"/>
      <c r="I59" s="172"/>
      <c r="J59" s="172"/>
      <c r="K59" s="172"/>
      <c r="L59" s="172"/>
      <c r="M59" s="172"/>
      <c r="N59" s="172"/>
      <c r="O59" s="172"/>
    </row>
    <row r="60">
      <c r="A60" s="168"/>
      <c r="B60" s="182">
        <v>2292.0</v>
      </c>
      <c r="C60" s="181" t="s">
        <v>1397</v>
      </c>
      <c r="D60" s="170" t="s">
        <v>1377</v>
      </c>
      <c r="E60" s="171"/>
      <c r="F60" s="171"/>
      <c r="G60" s="172"/>
      <c r="H60" s="172"/>
      <c r="I60" s="172"/>
      <c r="J60" s="172"/>
      <c r="K60" s="172"/>
      <c r="L60" s="172"/>
      <c r="M60" s="172"/>
      <c r="N60" s="172"/>
      <c r="O60" s="172"/>
    </row>
    <row r="61">
      <c r="A61" s="168"/>
      <c r="B61" s="182">
        <v>2293.0</v>
      </c>
      <c r="C61" s="181" t="s">
        <v>1399</v>
      </c>
      <c r="D61" s="170" t="s">
        <v>1377</v>
      </c>
      <c r="E61" s="171"/>
      <c r="F61" s="171"/>
      <c r="G61" s="172"/>
      <c r="H61" s="172"/>
      <c r="I61" s="172"/>
      <c r="J61" s="172"/>
      <c r="K61" s="172"/>
      <c r="L61" s="172"/>
      <c r="M61" s="172"/>
      <c r="N61" s="172"/>
      <c r="O61" s="172"/>
    </row>
    <row r="62">
      <c r="A62" s="168"/>
      <c r="B62" s="182">
        <v>2294.0</v>
      </c>
      <c r="C62" s="181" t="s">
        <v>1401</v>
      </c>
      <c r="D62" s="170" t="s">
        <v>1377</v>
      </c>
      <c r="E62" s="171"/>
      <c r="F62" s="171"/>
      <c r="G62" s="172"/>
      <c r="H62" s="172"/>
      <c r="I62" s="172"/>
      <c r="J62" s="172"/>
      <c r="K62" s="172"/>
      <c r="L62" s="172"/>
      <c r="M62" s="172"/>
      <c r="N62" s="172"/>
      <c r="O62" s="172"/>
    </row>
    <row r="63">
      <c r="A63" s="168"/>
      <c r="B63" s="182">
        <v>2295.0</v>
      </c>
      <c r="C63" s="181" t="s">
        <v>1702</v>
      </c>
      <c r="D63" s="170" t="s">
        <v>1377</v>
      </c>
      <c r="E63" s="171"/>
      <c r="F63" s="171"/>
      <c r="G63" s="172"/>
      <c r="H63" s="172"/>
      <c r="I63" s="172"/>
      <c r="J63" s="172"/>
      <c r="K63" s="172"/>
      <c r="L63" s="172"/>
      <c r="M63" s="172"/>
      <c r="N63" s="172"/>
      <c r="O63" s="172"/>
    </row>
    <row r="64">
      <c r="A64" s="159">
        <v>241.0</v>
      </c>
      <c r="B64" s="168"/>
      <c r="C64" s="169" t="s">
        <v>1402</v>
      </c>
      <c r="D64" s="170" t="s">
        <v>1326</v>
      </c>
      <c r="E64" s="171"/>
      <c r="F64" s="171"/>
      <c r="G64" s="172"/>
      <c r="H64" s="172"/>
      <c r="I64" s="172"/>
      <c r="J64" s="172"/>
      <c r="K64" s="172"/>
      <c r="L64" s="172"/>
      <c r="M64" s="172"/>
      <c r="N64" s="172"/>
      <c r="O64" s="172"/>
    </row>
    <row r="65">
      <c r="A65" s="168"/>
      <c r="B65" s="182">
        <v>2411.0</v>
      </c>
      <c r="C65" s="181" t="s">
        <v>1404</v>
      </c>
      <c r="D65" s="170" t="s">
        <v>1326</v>
      </c>
      <c r="E65" s="171"/>
      <c r="F65" s="171"/>
      <c r="G65" s="172"/>
      <c r="H65" s="172"/>
      <c r="I65" s="172"/>
      <c r="J65" s="172"/>
      <c r="K65" s="172"/>
      <c r="L65" s="172"/>
      <c r="M65" s="172"/>
      <c r="N65" s="172"/>
      <c r="O65" s="172"/>
    </row>
    <row r="66">
      <c r="A66" s="168"/>
      <c r="B66" s="182">
        <v>2412.0</v>
      </c>
      <c r="C66" s="181" t="s">
        <v>1406</v>
      </c>
      <c r="D66" s="170" t="s">
        <v>1326</v>
      </c>
      <c r="E66" s="171"/>
      <c r="F66" s="171"/>
      <c r="G66" s="172"/>
      <c r="H66" s="172"/>
      <c r="I66" s="172"/>
      <c r="J66" s="172"/>
      <c r="K66" s="172"/>
      <c r="L66" s="172"/>
      <c r="M66" s="172"/>
      <c r="N66" s="172"/>
      <c r="O66" s="172"/>
    </row>
    <row r="67">
      <c r="A67" s="168"/>
      <c r="B67" s="182">
        <v>2413.0</v>
      </c>
      <c r="C67" s="181" t="s">
        <v>1703</v>
      </c>
      <c r="D67" s="170" t="s">
        <v>1326</v>
      </c>
      <c r="E67" s="171"/>
      <c r="F67" s="171"/>
      <c r="G67" s="172"/>
      <c r="H67" s="172"/>
      <c r="I67" s="172"/>
      <c r="J67" s="172"/>
      <c r="K67" s="172"/>
      <c r="L67" s="172"/>
      <c r="M67" s="172"/>
      <c r="N67" s="172"/>
      <c r="O67" s="172"/>
    </row>
    <row r="68">
      <c r="A68" s="168"/>
      <c r="B68" s="182">
        <v>2414.0</v>
      </c>
      <c r="C68" s="181" t="s">
        <v>1704</v>
      </c>
      <c r="D68" s="170" t="s">
        <v>1326</v>
      </c>
      <c r="E68" s="171"/>
      <c r="F68" s="171"/>
      <c r="G68" s="172"/>
      <c r="H68" s="172"/>
      <c r="I68" s="172"/>
      <c r="J68" s="172"/>
      <c r="K68" s="172"/>
      <c r="L68" s="172"/>
      <c r="M68" s="172"/>
      <c r="N68" s="172"/>
      <c r="O68" s="172"/>
    </row>
    <row r="69">
      <c r="A69" s="159">
        <v>242.0</v>
      </c>
      <c r="B69" s="168"/>
      <c r="C69" s="169" t="s">
        <v>1409</v>
      </c>
      <c r="D69" s="170" t="s">
        <v>1326</v>
      </c>
      <c r="E69" s="171"/>
      <c r="F69" s="171"/>
      <c r="G69" s="172"/>
      <c r="H69" s="172"/>
      <c r="I69" s="172"/>
      <c r="J69" s="172"/>
      <c r="K69" s="172"/>
      <c r="L69" s="172"/>
      <c r="M69" s="172"/>
      <c r="N69" s="172"/>
      <c r="O69" s="172"/>
    </row>
    <row r="70">
      <c r="A70" s="159">
        <v>243.0</v>
      </c>
      <c r="B70" s="168"/>
      <c r="C70" s="169" t="s">
        <v>1705</v>
      </c>
      <c r="D70" s="170" t="s">
        <v>1326</v>
      </c>
      <c r="E70" s="171"/>
      <c r="F70" s="171"/>
      <c r="G70" s="172"/>
      <c r="H70" s="172"/>
      <c r="I70" s="172"/>
      <c r="J70" s="172"/>
      <c r="K70" s="172"/>
      <c r="L70" s="172"/>
      <c r="M70" s="172"/>
      <c r="N70" s="172"/>
      <c r="O70" s="172"/>
    </row>
    <row r="71">
      <c r="A71" s="159">
        <v>244.0</v>
      </c>
      <c r="B71" s="168"/>
      <c r="C71" s="169" t="s">
        <v>1706</v>
      </c>
      <c r="D71" s="170" t="s">
        <v>1326</v>
      </c>
      <c r="E71" s="171"/>
      <c r="F71" s="171"/>
      <c r="G71" s="172"/>
      <c r="H71" s="172"/>
      <c r="I71" s="172"/>
      <c r="J71" s="172"/>
      <c r="K71" s="172"/>
      <c r="L71" s="172"/>
      <c r="M71" s="172"/>
      <c r="N71" s="172"/>
      <c r="O71" s="172"/>
    </row>
    <row r="72">
      <c r="A72" s="164"/>
      <c r="B72" s="164"/>
      <c r="C72" s="165" t="s">
        <v>1410</v>
      </c>
      <c r="D72" s="167"/>
      <c r="E72" s="167"/>
      <c r="F72" s="167"/>
      <c r="G72" s="167"/>
      <c r="H72" s="167"/>
      <c r="I72" s="167"/>
      <c r="J72" s="167"/>
      <c r="K72" s="167"/>
      <c r="L72" s="167"/>
      <c r="M72" s="167"/>
      <c r="N72" s="167"/>
      <c r="O72" s="167"/>
    </row>
    <row r="73">
      <c r="A73" s="159">
        <v>331.0</v>
      </c>
      <c r="B73" s="168"/>
      <c r="C73" s="169" t="s">
        <v>1411</v>
      </c>
      <c r="D73" s="170" t="s">
        <v>1345</v>
      </c>
      <c r="E73" s="170" t="s">
        <v>1327</v>
      </c>
      <c r="F73" s="171"/>
      <c r="G73" s="175" t="s">
        <v>1412</v>
      </c>
      <c r="H73" s="172"/>
      <c r="I73" s="172"/>
      <c r="J73" s="172"/>
      <c r="K73" s="172"/>
      <c r="L73" s="172"/>
      <c r="M73" s="172"/>
      <c r="N73" s="172"/>
      <c r="O73" s="172"/>
    </row>
    <row r="74">
      <c r="A74" s="159">
        <v>332.0</v>
      </c>
      <c r="B74" s="168"/>
      <c r="C74" s="169" t="s">
        <v>1707</v>
      </c>
      <c r="D74" s="170" t="s">
        <v>1377</v>
      </c>
      <c r="E74" s="171"/>
      <c r="F74" s="171"/>
      <c r="G74" s="172"/>
      <c r="H74" s="172"/>
      <c r="I74" s="172"/>
      <c r="J74" s="172"/>
      <c r="K74" s="172"/>
      <c r="L74" s="172"/>
      <c r="M74" s="172"/>
      <c r="N74" s="172"/>
      <c r="O74" s="172"/>
    </row>
    <row r="75">
      <c r="A75" s="159">
        <v>333.0</v>
      </c>
      <c r="B75" s="168"/>
      <c r="C75" s="169" t="s">
        <v>1413</v>
      </c>
      <c r="D75" s="170" t="s">
        <v>1345</v>
      </c>
      <c r="E75" s="170" t="s">
        <v>1327</v>
      </c>
      <c r="F75" s="171"/>
      <c r="G75" s="172"/>
      <c r="H75" s="172"/>
      <c r="I75" s="172"/>
      <c r="J75" s="172"/>
      <c r="K75" s="172"/>
      <c r="L75" s="172"/>
      <c r="M75" s="172"/>
      <c r="N75" s="172"/>
      <c r="O75" s="172"/>
    </row>
    <row r="76">
      <c r="A76" s="168"/>
      <c r="B76" s="182">
        <v>3331.0</v>
      </c>
      <c r="C76" s="181" t="s">
        <v>1414</v>
      </c>
      <c r="D76" s="170" t="s">
        <v>1345</v>
      </c>
      <c r="E76" s="170" t="s">
        <v>1327</v>
      </c>
      <c r="F76" s="171"/>
      <c r="G76" s="172"/>
      <c r="H76" s="172"/>
      <c r="I76" s="172"/>
      <c r="J76" s="172"/>
      <c r="K76" s="172"/>
      <c r="L76" s="172"/>
      <c r="M76" s="172"/>
      <c r="N76" s="172"/>
      <c r="O76" s="172"/>
    </row>
    <row r="77">
      <c r="A77" s="168"/>
      <c r="B77" s="182">
        <v>33311.0</v>
      </c>
      <c r="C77" s="181" t="s">
        <v>1416</v>
      </c>
      <c r="D77" s="170" t="s">
        <v>1345</v>
      </c>
      <c r="E77" s="171"/>
      <c r="F77" s="171"/>
      <c r="G77" s="172"/>
      <c r="H77" s="172"/>
      <c r="I77" s="172"/>
      <c r="J77" s="172"/>
      <c r="K77" s="172"/>
      <c r="L77" s="172"/>
      <c r="M77" s="172"/>
      <c r="N77" s="172"/>
      <c r="O77" s="172"/>
    </row>
    <row r="78">
      <c r="A78" s="168"/>
      <c r="B78" s="182">
        <v>33312.0</v>
      </c>
      <c r="C78" s="181" t="s">
        <v>1418</v>
      </c>
      <c r="D78" s="170" t="s">
        <v>1345</v>
      </c>
      <c r="E78" s="171"/>
      <c r="F78" s="171"/>
      <c r="G78" s="172"/>
      <c r="H78" s="172"/>
      <c r="I78" s="172"/>
      <c r="J78" s="172"/>
      <c r="K78" s="172"/>
      <c r="L78" s="172"/>
      <c r="M78" s="172"/>
      <c r="N78" s="172"/>
      <c r="O78" s="172"/>
    </row>
    <row r="79">
      <c r="A79" s="168"/>
      <c r="B79" s="182">
        <v>3332.0</v>
      </c>
      <c r="C79" s="181" t="s">
        <v>1420</v>
      </c>
      <c r="D79" s="170" t="s">
        <v>1345</v>
      </c>
      <c r="E79" s="171"/>
      <c r="F79" s="171"/>
      <c r="G79" s="172"/>
      <c r="H79" s="172"/>
      <c r="I79" s="172"/>
      <c r="J79" s="172"/>
      <c r="K79" s="172"/>
      <c r="L79" s="172"/>
      <c r="M79" s="172"/>
      <c r="N79" s="172"/>
      <c r="O79" s="172"/>
    </row>
    <row r="80">
      <c r="A80" s="168"/>
      <c r="B80" s="182">
        <v>3333.0</v>
      </c>
      <c r="C80" s="181" t="s">
        <v>1422</v>
      </c>
      <c r="D80" s="170" t="s">
        <v>1345</v>
      </c>
      <c r="E80" s="171"/>
      <c r="F80" s="171"/>
      <c r="G80" s="172"/>
      <c r="H80" s="172"/>
      <c r="I80" s="172"/>
      <c r="J80" s="172"/>
      <c r="K80" s="172"/>
      <c r="L80" s="172"/>
      <c r="M80" s="172"/>
      <c r="N80" s="172"/>
      <c r="O80" s="172"/>
    </row>
    <row r="81">
      <c r="A81" s="168"/>
      <c r="B81" s="182">
        <v>3334.0</v>
      </c>
      <c r="C81" s="181" t="s">
        <v>1424</v>
      </c>
      <c r="D81" s="170" t="s">
        <v>1345</v>
      </c>
      <c r="E81" s="170" t="s">
        <v>1327</v>
      </c>
      <c r="F81" s="171"/>
      <c r="G81" s="172"/>
      <c r="H81" s="172"/>
      <c r="I81" s="172"/>
      <c r="J81" s="172"/>
      <c r="K81" s="172"/>
      <c r="L81" s="172"/>
      <c r="M81" s="172"/>
      <c r="N81" s="172"/>
      <c r="O81" s="172"/>
    </row>
    <row r="82">
      <c r="A82" s="168"/>
      <c r="B82" s="182">
        <v>3335.0</v>
      </c>
      <c r="C82" s="181" t="s">
        <v>1426</v>
      </c>
      <c r="D82" s="170" t="s">
        <v>1345</v>
      </c>
      <c r="E82" s="170" t="s">
        <v>1327</v>
      </c>
      <c r="F82" s="171"/>
      <c r="G82" s="172"/>
      <c r="H82" s="172"/>
      <c r="I82" s="172"/>
      <c r="J82" s="172"/>
      <c r="K82" s="172"/>
      <c r="L82" s="172"/>
      <c r="M82" s="172"/>
      <c r="N82" s="172"/>
      <c r="O82" s="172"/>
    </row>
    <row r="83">
      <c r="A83" s="168"/>
      <c r="B83" s="182">
        <v>3336.0</v>
      </c>
      <c r="C83" s="181" t="s">
        <v>1428</v>
      </c>
      <c r="D83" s="170" t="s">
        <v>1345</v>
      </c>
      <c r="E83" s="171"/>
      <c r="F83" s="171"/>
      <c r="G83" s="172"/>
      <c r="H83" s="172"/>
      <c r="I83" s="172"/>
      <c r="J83" s="172"/>
      <c r="K83" s="172"/>
      <c r="L83" s="172"/>
      <c r="M83" s="172"/>
      <c r="N83" s="172"/>
      <c r="O83" s="172"/>
    </row>
    <row r="84">
      <c r="A84" s="168"/>
      <c r="B84" s="182">
        <v>3337.0</v>
      </c>
      <c r="C84" s="181" t="s">
        <v>1430</v>
      </c>
      <c r="D84" s="170" t="s">
        <v>1345</v>
      </c>
      <c r="E84" s="171"/>
      <c r="F84" s="171"/>
      <c r="G84" s="172"/>
      <c r="H84" s="172"/>
      <c r="I84" s="172"/>
      <c r="J84" s="172"/>
      <c r="K84" s="172"/>
      <c r="L84" s="172"/>
      <c r="M84" s="172"/>
      <c r="N84" s="172"/>
      <c r="O84" s="172"/>
    </row>
    <row r="85">
      <c r="A85" s="168"/>
      <c r="B85" s="182">
        <v>3338.0</v>
      </c>
      <c r="C85" s="181" t="s">
        <v>1432</v>
      </c>
      <c r="D85" s="170" t="s">
        <v>1345</v>
      </c>
      <c r="E85" s="170" t="s">
        <v>1327</v>
      </c>
      <c r="F85" s="171"/>
      <c r="G85" s="172"/>
      <c r="H85" s="172"/>
      <c r="I85" s="172"/>
      <c r="J85" s="172"/>
      <c r="K85" s="172"/>
      <c r="L85" s="172"/>
      <c r="M85" s="172"/>
      <c r="N85" s="172"/>
      <c r="O85" s="172"/>
    </row>
    <row r="86">
      <c r="A86" s="168"/>
      <c r="B86" s="182">
        <v>33381.0</v>
      </c>
      <c r="C86" s="181" t="s">
        <v>1434</v>
      </c>
      <c r="D86" s="170" t="s">
        <v>1345</v>
      </c>
      <c r="E86" s="171"/>
      <c r="F86" s="171"/>
      <c r="G86" s="172"/>
      <c r="H86" s="172"/>
      <c r="I86" s="172"/>
      <c r="J86" s="172"/>
      <c r="K86" s="172"/>
      <c r="L86" s="172"/>
      <c r="M86" s="172"/>
      <c r="N86" s="172"/>
      <c r="O86" s="172"/>
    </row>
    <row r="87">
      <c r="A87" s="168"/>
      <c r="B87" s="182">
        <v>33382.0</v>
      </c>
      <c r="C87" s="181" t="s">
        <v>1436</v>
      </c>
      <c r="D87" s="170" t="s">
        <v>1345</v>
      </c>
      <c r="E87" s="171"/>
      <c r="F87" s="171"/>
      <c r="G87" s="172"/>
      <c r="H87" s="172"/>
      <c r="I87" s="172"/>
      <c r="J87" s="172"/>
      <c r="K87" s="172"/>
      <c r="L87" s="172"/>
      <c r="M87" s="172"/>
      <c r="N87" s="172"/>
      <c r="O87" s="172"/>
    </row>
    <row r="88">
      <c r="A88" s="168"/>
      <c r="B88" s="182">
        <v>3339.0</v>
      </c>
      <c r="C88" s="181" t="s">
        <v>1438</v>
      </c>
      <c r="D88" s="170" t="s">
        <v>1345</v>
      </c>
      <c r="E88" s="170" t="s">
        <v>1327</v>
      </c>
      <c r="F88" s="171"/>
      <c r="G88" s="172"/>
      <c r="H88" s="172"/>
      <c r="I88" s="172"/>
      <c r="J88" s="172"/>
      <c r="K88" s="172"/>
      <c r="L88" s="172"/>
      <c r="M88" s="172"/>
      <c r="N88" s="172"/>
      <c r="O88" s="172"/>
    </row>
    <row r="89">
      <c r="A89" s="159">
        <v>334.0</v>
      </c>
      <c r="B89" s="168"/>
      <c r="C89" s="169" t="s">
        <v>1439</v>
      </c>
      <c r="D89" s="170" t="s">
        <v>1345</v>
      </c>
      <c r="E89" s="170" t="s">
        <v>1327</v>
      </c>
      <c r="F89" s="171"/>
      <c r="G89" s="175" t="s">
        <v>1362</v>
      </c>
      <c r="H89" s="172"/>
      <c r="I89" s="172"/>
      <c r="J89" s="172"/>
      <c r="K89" s="172"/>
      <c r="L89" s="172"/>
      <c r="M89" s="172"/>
      <c r="N89" s="172"/>
      <c r="O89" s="172"/>
    </row>
    <row r="90">
      <c r="A90" s="159">
        <v>335.0</v>
      </c>
      <c r="B90" s="168"/>
      <c r="C90" s="169" t="s">
        <v>1440</v>
      </c>
      <c r="D90" s="170" t="s">
        <v>1377</v>
      </c>
      <c r="E90" s="171"/>
      <c r="F90" s="171"/>
      <c r="G90" s="172"/>
      <c r="H90" s="172"/>
      <c r="I90" s="172"/>
      <c r="J90" s="172"/>
      <c r="K90" s="172"/>
      <c r="L90" s="172"/>
      <c r="M90" s="172"/>
      <c r="N90" s="172"/>
      <c r="O90" s="172"/>
    </row>
    <row r="91">
      <c r="A91" s="159">
        <v>336.0</v>
      </c>
      <c r="B91" s="168"/>
      <c r="C91" s="169" t="s">
        <v>1441</v>
      </c>
      <c r="D91" s="170" t="s">
        <v>1377</v>
      </c>
      <c r="E91" s="171"/>
      <c r="F91" s="171"/>
      <c r="G91" s="172"/>
      <c r="H91" s="172"/>
      <c r="I91" s="172"/>
      <c r="J91" s="172"/>
      <c r="K91" s="172"/>
      <c r="L91" s="172"/>
      <c r="M91" s="172"/>
      <c r="N91" s="172"/>
      <c r="O91" s="172"/>
    </row>
    <row r="92">
      <c r="A92" s="168"/>
      <c r="B92" s="182">
        <v>3361.0</v>
      </c>
      <c r="C92" s="181" t="s">
        <v>1443</v>
      </c>
      <c r="D92" s="170" t="s">
        <v>1377</v>
      </c>
      <c r="E92" s="171"/>
      <c r="F92" s="171"/>
      <c r="G92" s="172"/>
      <c r="H92" s="172"/>
      <c r="I92" s="172"/>
      <c r="J92" s="172"/>
      <c r="K92" s="172"/>
      <c r="L92" s="172"/>
      <c r="M92" s="172"/>
      <c r="N92" s="172"/>
      <c r="O92" s="172"/>
    </row>
    <row r="93">
      <c r="A93" s="168"/>
      <c r="B93" s="182">
        <v>3362.0</v>
      </c>
      <c r="C93" s="181" t="s">
        <v>1708</v>
      </c>
      <c r="D93" s="170" t="s">
        <v>1377</v>
      </c>
      <c r="E93" s="171"/>
      <c r="F93" s="171"/>
      <c r="G93" s="172"/>
      <c r="H93" s="172"/>
      <c r="I93" s="172"/>
      <c r="J93" s="172"/>
      <c r="K93" s="172"/>
      <c r="L93" s="172"/>
      <c r="M93" s="172"/>
      <c r="N93" s="172"/>
      <c r="O93" s="172"/>
    </row>
    <row r="94">
      <c r="A94" s="168"/>
      <c r="B94" s="182">
        <v>3363.0</v>
      </c>
      <c r="C94" s="181" t="s">
        <v>1709</v>
      </c>
      <c r="D94" s="170" t="s">
        <v>1377</v>
      </c>
      <c r="E94" s="171"/>
      <c r="F94" s="171"/>
      <c r="G94" s="172"/>
      <c r="H94" s="172"/>
      <c r="I94" s="172"/>
      <c r="J94" s="172"/>
      <c r="K94" s="172"/>
      <c r="L94" s="172"/>
      <c r="M94" s="172"/>
      <c r="N94" s="172"/>
      <c r="O94" s="172"/>
    </row>
    <row r="95">
      <c r="A95" s="168"/>
      <c r="B95" s="182">
        <v>3368.0</v>
      </c>
      <c r="C95" s="181" t="s">
        <v>1445</v>
      </c>
      <c r="D95" s="170" t="s">
        <v>1377</v>
      </c>
      <c r="E95" s="171"/>
      <c r="F95" s="171"/>
      <c r="G95" s="172"/>
      <c r="H95" s="172"/>
      <c r="I95" s="172"/>
      <c r="J95" s="172"/>
      <c r="K95" s="172"/>
      <c r="L95" s="172"/>
      <c r="M95" s="172"/>
      <c r="N95" s="172"/>
      <c r="O95" s="172"/>
    </row>
    <row r="96">
      <c r="A96" s="159">
        <v>337.0</v>
      </c>
      <c r="B96" s="168"/>
      <c r="C96" s="169" t="s">
        <v>1710</v>
      </c>
      <c r="D96" s="170" t="s">
        <v>1345</v>
      </c>
      <c r="E96" s="171"/>
      <c r="F96" s="171"/>
      <c r="G96" s="172"/>
      <c r="H96" s="172"/>
      <c r="I96" s="172"/>
      <c r="J96" s="172"/>
      <c r="K96" s="172"/>
      <c r="L96" s="172"/>
      <c r="M96" s="172"/>
      <c r="N96" s="172"/>
      <c r="O96" s="172"/>
    </row>
    <row r="97">
      <c r="A97" s="159">
        <v>338.0</v>
      </c>
      <c r="B97" s="168"/>
      <c r="C97" s="169" t="s">
        <v>1446</v>
      </c>
      <c r="D97" s="170" t="s">
        <v>1345</v>
      </c>
      <c r="E97" s="170" t="s">
        <v>1327</v>
      </c>
      <c r="F97" s="171"/>
      <c r="G97" s="172"/>
      <c r="H97" s="172"/>
      <c r="I97" s="172"/>
      <c r="J97" s="172"/>
      <c r="K97" s="172"/>
      <c r="L97" s="172"/>
      <c r="M97" s="172"/>
      <c r="N97" s="172"/>
      <c r="O97" s="172"/>
    </row>
    <row r="98">
      <c r="A98" s="168"/>
      <c r="B98" s="182">
        <v>3381.0</v>
      </c>
      <c r="C98" s="181" t="s">
        <v>1448</v>
      </c>
      <c r="D98" s="170" t="s">
        <v>1345</v>
      </c>
      <c r="E98" s="170" t="s">
        <v>1327</v>
      </c>
      <c r="F98" s="171"/>
      <c r="G98" s="172"/>
      <c r="H98" s="172"/>
      <c r="I98" s="172"/>
      <c r="J98" s="172"/>
      <c r="K98" s="172"/>
      <c r="L98" s="172"/>
      <c r="M98" s="172"/>
      <c r="N98" s="172"/>
      <c r="O98" s="172"/>
    </row>
    <row r="99">
      <c r="A99" s="168"/>
      <c r="B99" s="182">
        <v>3382.0</v>
      </c>
      <c r="C99" s="181" t="s">
        <v>1450</v>
      </c>
      <c r="D99" s="170" t="s">
        <v>1345</v>
      </c>
      <c r="E99" s="170" t="s">
        <v>1327</v>
      </c>
      <c r="F99" s="171"/>
      <c r="G99" s="172"/>
      <c r="H99" s="172"/>
      <c r="I99" s="172"/>
      <c r="J99" s="172"/>
      <c r="K99" s="172"/>
      <c r="L99" s="172"/>
      <c r="M99" s="172"/>
      <c r="N99" s="172"/>
      <c r="O99" s="172"/>
    </row>
    <row r="100">
      <c r="A100" s="168"/>
      <c r="B100" s="182">
        <v>3383.0</v>
      </c>
      <c r="C100" s="181" t="s">
        <v>1452</v>
      </c>
      <c r="D100" s="170" t="s">
        <v>1345</v>
      </c>
      <c r="E100" s="170" t="s">
        <v>1327</v>
      </c>
      <c r="F100" s="171"/>
      <c r="G100" s="172"/>
      <c r="H100" s="172"/>
      <c r="I100" s="172"/>
      <c r="J100" s="172"/>
      <c r="K100" s="172"/>
      <c r="L100" s="172"/>
      <c r="M100" s="172"/>
      <c r="N100" s="172"/>
      <c r="O100" s="172"/>
    </row>
    <row r="101">
      <c r="A101" s="168"/>
      <c r="B101" s="182">
        <v>3384.0</v>
      </c>
      <c r="C101" s="181" t="s">
        <v>1454</v>
      </c>
      <c r="D101" s="170" t="s">
        <v>1345</v>
      </c>
      <c r="E101" s="170" t="s">
        <v>1327</v>
      </c>
      <c r="F101" s="171"/>
      <c r="G101" s="172"/>
      <c r="H101" s="172"/>
      <c r="I101" s="172"/>
      <c r="J101" s="172"/>
      <c r="K101" s="172"/>
      <c r="L101" s="172"/>
      <c r="M101" s="172"/>
      <c r="N101" s="172"/>
      <c r="O101" s="172"/>
    </row>
    <row r="102">
      <c r="A102" s="168"/>
      <c r="B102" s="182">
        <v>3386.0</v>
      </c>
      <c r="C102" s="181" t="s">
        <v>1456</v>
      </c>
      <c r="D102" s="170" t="s">
        <v>1345</v>
      </c>
      <c r="E102" s="170" t="s">
        <v>1327</v>
      </c>
      <c r="F102" s="171"/>
      <c r="G102" s="172"/>
      <c r="H102" s="172"/>
      <c r="I102" s="172"/>
      <c r="J102" s="172"/>
      <c r="K102" s="172"/>
      <c r="L102" s="172"/>
      <c r="M102" s="172"/>
      <c r="N102" s="172"/>
      <c r="O102" s="172"/>
    </row>
    <row r="103">
      <c r="A103" s="168"/>
      <c r="B103" s="182">
        <v>3387.0</v>
      </c>
      <c r="C103" s="181" t="s">
        <v>1711</v>
      </c>
      <c r="D103" s="170" t="s">
        <v>1345</v>
      </c>
      <c r="E103" s="171"/>
      <c r="F103" s="171"/>
      <c r="G103" s="172"/>
      <c r="H103" s="172"/>
      <c r="I103" s="172"/>
      <c r="J103" s="172"/>
      <c r="K103" s="172"/>
      <c r="L103" s="172"/>
      <c r="M103" s="172"/>
      <c r="N103" s="172"/>
      <c r="O103" s="172"/>
    </row>
    <row r="104">
      <c r="A104" s="168"/>
      <c r="B104" s="182">
        <v>3388.0</v>
      </c>
      <c r="C104" s="181" t="s">
        <v>1446</v>
      </c>
      <c r="D104" s="170" t="s">
        <v>1345</v>
      </c>
      <c r="E104" s="170" t="s">
        <v>1327</v>
      </c>
      <c r="F104" s="171"/>
      <c r="G104" s="172"/>
      <c r="H104" s="172"/>
      <c r="I104" s="172"/>
      <c r="J104" s="172"/>
      <c r="K104" s="172"/>
      <c r="L104" s="172"/>
      <c r="M104" s="172"/>
      <c r="N104" s="172"/>
      <c r="O104" s="172"/>
    </row>
    <row r="105">
      <c r="A105" s="159">
        <v>341.0</v>
      </c>
      <c r="B105" s="168"/>
      <c r="C105" s="169" t="s">
        <v>1462</v>
      </c>
      <c r="D105" s="170" t="s">
        <v>1377</v>
      </c>
      <c r="E105" s="171"/>
      <c r="F105" s="171"/>
      <c r="G105" s="172"/>
      <c r="H105" s="172"/>
      <c r="I105" s="172"/>
      <c r="J105" s="172"/>
      <c r="K105" s="172"/>
      <c r="L105" s="172"/>
      <c r="M105" s="172"/>
      <c r="N105" s="172"/>
      <c r="O105" s="172"/>
    </row>
    <row r="106">
      <c r="A106" s="168"/>
      <c r="B106" s="182">
        <v>3411.0</v>
      </c>
      <c r="C106" s="181" t="s">
        <v>1463</v>
      </c>
      <c r="D106" s="170" t="s">
        <v>1377</v>
      </c>
      <c r="E106" s="171"/>
      <c r="F106" s="171"/>
      <c r="G106" s="172"/>
      <c r="H106" s="172"/>
      <c r="I106" s="172"/>
      <c r="J106" s="172"/>
      <c r="K106" s="172"/>
      <c r="L106" s="172"/>
      <c r="M106" s="172"/>
      <c r="N106" s="172"/>
      <c r="O106" s="172"/>
    </row>
    <row r="107">
      <c r="A107" s="168"/>
      <c r="B107" s="182">
        <v>3412.0</v>
      </c>
      <c r="C107" s="181" t="s">
        <v>1464</v>
      </c>
      <c r="D107" s="170" t="s">
        <v>1377</v>
      </c>
      <c r="E107" s="171"/>
      <c r="F107" s="171"/>
      <c r="G107" s="172"/>
      <c r="H107" s="172"/>
      <c r="I107" s="172"/>
      <c r="J107" s="172"/>
      <c r="K107" s="172"/>
      <c r="L107" s="172"/>
      <c r="M107" s="172"/>
      <c r="N107" s="172"/>
      <c r="O107" s="172"/>
    </row>
    <row r="108">
      <c r="A108" s="159">
        <v>343.0</v>
      </c>
      <c r="B108" s="168"/>
      <c r="C108" s="169" t="s">
        <v>1712</v>
      </c>
      <c r="D108" s="170" t="s">
        <v>1377</v>
      </c>
      <c r="E108" s="171"/>
      <c r="F108" s="171"/>
      <c r="G108" s="172"/>
      <c r="H108" s="172"/>
      <c r="I108" s="172"/>
      <c r="J108" s="172"/>
      <c r="K108" s="172"/>
      <c r="L108" s="172"/>
      <c r="M108" s="172"/>
      <c r="N108" s="172"/>
      <c r="O108" s="172"/>
    </row>
    <row r="109">
      <c r="A109" s="168"/>
      <c r="B109" s="182">
        <v>3431.0</v>
      </c>
      <c r="C109" s="181" t="s">
        <v>1713</v>
      </c>
      <c r="D109" s="170" t="s">
        <v>1377</v>
      </c>
      <c r="E109" s="171"/>
      <c r="F109" s="171"/>
      <c r="G109" s="172"/>
      <c r="H109" s="172"/>
      <c r="I109" s="172"/>
      <c r="J109" s="172"/>
      <c r="K109" s="172"/>
      <c r="L109" s="172"/>
      <c r="M109" s="172"/>
      <c r="N109" s="172"/>
      <c r="O109" s="172"/>
    </row>
    <row r="110">
      <c r="A110" s="168"/>
      <c r="B110" s="182">
        <v>3432.0</v>
      </c>
      <c r="C110" s="181" t="s">
        <v>1714</v>
      </c>
      <c r="D110" s="170" t="s">
        <v>1377</v>
      </c>
      <c r="E110" s="171"/>
      <c r="F110" s="171"/>
      <c r="G110" s="172"/>
      <c r="H110" s="172"/>
      <c r="I110" s="172"/>
      <c r="J110" s="172"/>
      <c r="K110" s="172"/>
      <c r="L110" s="172"/>
      <c r="M110" s="172"/>
      <c r="N110" s="172"/>
      <c r="O110" s="172"/>
    </row>
    <row r="111">
      <c r="A111" s="159">
        <v>344.0</v>
      </c>
      <c r="B111" s="168"/>
      <c r="C111" s="169" t="s">
        <v>1458</v>
      </c>
      <c r="D111" s="170" t="s">
        <v>1377</v>
      </c>
      <c r="E111" s="171"/>
      <c r="F111" s="171"/>
      <c r="G111" s="172"/>
      <c r="H111" s="172"/>
      <c r="I111" s="172"/>
      <c r="J111" s="172"/>
      <c r="K111" s="172"/>
      <c r="L111" s="172"/>
      <c r="M111" s="172"/>
      <c r="N111" s="172"/>
      <c r="O111" s="172"/>
    </row>
    <row r="112">
      <c r="A112" s="159">
        <v>347.0</v>
      </c>
      <c r="B112" s="168"/>
      <c r="C112" s="169" t="s">
        <v>1715</v>
      </c>
      <c r="D112" s="170" t="s">
        <v>1377</v>
      </c>
      <c r="E112" s="171"/>
      <c r="F112" s="171"/>
      <c r="G112" s="172"/>
      <c r="H112" s="172"/>
      <c r="I112" s="172"/>
      <c r="J112" s="172"/>
      <c r="K112" s="172"/>
      <c r="L112" s="172"/>
      <c r="M112" s="172"/>
      <c r="N112" s="172"/>
      <c r="O112" s="172"/>
    </row>
    <row r="113">
      <c r="A113" s="159">
        <v>352.0</v>
      </c>
      <c r="B113" s="168"/>
      <c r="C113" s="169" t="s">
        <v>1465</v>
      </c>
      <c r="D113" s="170" t="s">
        <v>1377</v>
      </c>
      <c r="E113" s="171"/>
      <c r="F113" s="171"/>
      <c r="G113" s="172"/>
      <c r="H113" s="172"/>
      <c r="I113" s="172"/>
      <c r="J113" s="172"/>
      <c r="K113" s="172"/>
      <c r="L113" s="172"/>
      <c r="M113" s="172"/>
      <c r="N113" s="172"/>
      <c r="O113" s="172"/>
    </row>
    <row r="114">
      <c r="A114" s="168"/>
      <c r="B114" s="182">
        <v>3521.0</v>
      </c>
      <c r="C114" s="181" t="s">
        <v>1716</v>
      </c>
      <c r="D114" s="170" t="s">
        <v>1377</v>
      </c>
      <c r="E114" s="171"/>
      <c r="F114" s="171"/>
      <c r="G114" s="172"/>
      <c r="H114" s="172"/>
      <c r="I114" s="172"/>
      <c r="J114" s="172"/>
      <c r="K114" s="172"/>
      <c r="L114" s="172"/>
      <c r="M114" s="172"/>
      <c r="N114" s="172"/>
      <c r="O114" s="172"/>
    </row>
    <row r="115">
      <c r="A115" s="168"/>
      <c r="B115" s="182">
        <v>3522.0</v>
      </c>
      <c r="C115" s="181" t="s">
        <v>1469</v>
      </c>
      <c r="D115" s="170" t="s">
        <v>1377</v>
      </c>
      <c r="E115" s="171"/>
      <c r="F115" s="171"/>
      <c r="G115" s="172"/>
      <c r="H115" s="172"/>
      <c r="I115" s="172"/>
      <c r="J115" s="172"/>
      <c r="K115" s="172"/>
      <c r="L115" s="172"/>
      <c r="M115" s="172"/>
      <c r="N115" s="172"/>
      <c r="O115" s="172"/>
    </row>
    <row r="116">
      <c r="A116" s="168"/>
      <c r="B116" s="182">
        <v>3523.0</v>
      </c>
      <c r="C116" s="181" t="s">
        <v>1717</v>
      </c>
      <c r="D116" s="170" t="s">
        <v>1377</v>
      </c>
      <c r="E116" s="171"/>
      <c r="F116" s="171"/>
      <c r="G116" s="172"/>
      <c r="H116" s="172"/>
      <c r="I116" s="172"/>
      <c r="J116" s="172"/>
      <c r="K116" s="172"/>
      <c r="L116" s="172"/>
      <c r="M116" s="172"/>
      <c r="N116" s="172"/>
      <c r="O116" s="172"/>
    </row>
    <row r="117">
      <c r="A117" s="168"/>
      <c r="B117" s="182">
        <v>3525.0</v>
      </c>
      <c r="C117" s="181" t="s">
        <v>1471</v>
      </c>
      <c r="D117" s="170" t="s">
        <v>1377</v>
      </c>
      <c r="E117" s="171"/>
      <c r="F117" s="171"/>
      <c r="G117" s="172"/>
      <c r="H117" s="172"/>
      <c r="I117" s="172"/>
      <c r="J117" s="172"/>
      <c r="K117" s="172"/>
      <c r="L117" s="172"/>
      <c r="M117" s="172"/>
      <c r="N117" s="172"/>
      <c r="O117" s="172"/>
    </row>
    <row r="118">
      <c r="A118" s="159">
        <v>353.0</v>
      </c>
      <c r="B118" s="168"/>
      <c r="C118" s="169" t="s">
        <v>1472</v>
      </c>
      <c r="D118" s="170" t="s">
        <v>1377</v>
      </c>
      <c r="E118" s="171"/>
      <c r="F118" s="171"/>
      <c r="G118" s="172"/>
      <c r="H118" s="172"/>
      <c r="I118" s="172"/>
      <c r="J118" s="172"/>
      <c r="K118" s="172"/>
      <c r="L118" s="172"/>
      <c r="M118" s="172"/>
      <c r="N118" s="172"/>
      <c r="O118" s="172"/>
    </row>
    <row r="119">
      <c r="A119" s="168"/>
      <c r="B119" s="182">
        <v>3531.0</v>
      </c>
      <c r="C119" s="181" t="s">
        <v>1473</v>
      </c>
      <c r="D119" s="170" t="s">
        <v>1377</v>
      </c>
      <c r="E119" s="171"/>
      <c r="F119" s="171"/>
      <c r="G119" s="172"/>
      <c r="H119" s="172"/>
      <c r="I119" s="172"/>
      <c r="J119" s="172"/>
      <c r="K119" s="172"/>
      <c r="L119" s="172"/>
      <c r="M119" s="172"/>
      <c r="N119" s="172"/>
      <c r="O119" s="172"/>
    </row>
    <row r="120">
      <c r="A120" s="168"/>
      <c r="B120" s="182">
        <v>3532.0</v>
      </c>
      <c r="C120" s="181" t="s">
        <v>1474</v>
      </c>
      <c r="D120" s="170" t="s">
        <v>1377</v>
      </c>
      <c r="E120" s="171"/>
      <c r="F120" s="171"/>
      <c r="G120" s="172"/>
      <c r="H120" s="172"/>
      <c r="I120" s="172"/>
      <c r="J120" s="172"/>
      <c r="K120" s="172"/>
      <c r="L120" s="172"/>
      <c r="M120" s="172"/>
      <c r="N120" s="172"/>
      <c r="O120" s="172"/>
    </row>
    <row r="121">
      <c r="A121" s="168"/>
      <c r="B121" s="182">
        <v>3533.0</v>
      </c>
      <c r="C121" s="181" t="s">
        <v>1475</v>
      </c>
      <c r="D121" s="170" t="s">
        <v>1377</v>
      </c>
      <c r="E121" s="171"/>
      <c r="F121" s="171"/>
      <c r="G121" s="172"/>
      <c r="H121" s="172"/>
      <c r="I121" s="172"/>
      <c r="J121" s="172"/>
      <c r="K121" s="172"/>
      <c r="L121" s="172"/>
      <c r="M121" s="172"/>
      <c r="N121" s="172"/>
      <c r="O121" s="172"/>
    </row>
    <row r="122">
      <c r="A122" s="168"/>
      <c r="B122" s="182">
        <v>3534.0</v>
      </c>
      <c r="C122" s="181" t="s">
        <v>1476</v>
      </c>
      <c r="D122" s="170" t="s">
        <v>1377</v>
      </c>
      <c r="E122" s="171"/>
      <c r="F122" s="171"/>
      <c r="G122" s="172"/>
      <c r="H122" s="172"/>
      <c r="I122" s="172"/>
      <c r="J122" s="172"/>
      <c r="K122" s="172"/>
      <c r="L122" s="172"/>
      <c r="M122" s="172"/>
      <c r="N122" s="172"/>
      <c r="O122" s="172"/>
    </row>
    <row r="123">
      <c r="A123" s="159">
        <v>356.0</v>
      </c>
      <c r="B123" s="168"/>
      <c r="C123" s="169" t="s">
        <v>1477</v>
      </c>
      <c r="D123" s="170" t="s">
        <v>1377</v>
      </c>
      <c r="E123" s="171"/>
      <c r="F123" s="171"/>
      <c r="G123" s="172"/>
      <c r="H123" s="172"/>
      <c r="I123" s="172"/>
      <c r="J123" s="172"/>
      <c r="K123" s="172"/>
      <c r="L123" s="172"/>
      <c r="M123" s="172"/>
      <c r="N123" s="172"/>
      <c r="O123" s="172"/>
    </row>
    <row r="124">
      <c r="A124" s="168"/>
      <c r="B124" s="182">
        <v>3561.0</v>
      </c>
      <c r="C124" s="181" t="s">
        <v>1477</v>
      </c>
      <c r="D124" s="170" t="s">
        <v>1377</v>
      </c>
      <c r="E124" s="171"/>
      <c r="F124" s="171"/>
      <c r="G124" s="172"/>
      <c r="H124" s="172"/>
      <c r="I124" s="172"/>
      <c r="J124" s="172"/>
      <c r="K124" s="172"/>
      <c r="L124" s="172"/>
      <c r="M124" s="172"/>
      <c r="N124" s="172"/>
      <c r="O124" s="172"/>
    </row>
    <row r="125">
      <c r="A125" s="168"/>
      <c r="B125" s="182">
        <v>3562.0</v>
      </c>
      <c r="C125" s="181" t="s">
        <v>1718</v>
      </c>
      <c r="D125" s="170" t="s">
        <v>1377</v>
      </c>
      <c r="E125" s="171"/>
      <c r="F125" s="171"/>
      <c r="G125" s="172"/>
      <c r="H125" s="172"/>
      <c r="I125" s="172"/>
      <c r="J125" s="172"/>
      <c r="K125" s="172"/>
      <c r="L125" s="172"/>
      <c r="M125" s="172"/>
      <c r="N125" s="172"/>
      <c r="O125" s="172"/>
    </row>
    <row r="126">
      <c r="A126" s="159">
        <v>357.0</v>
      </c>
      <c r="B126" s="168"/>
      <c r="C126" s="169" t="s">
        <v>1481</v>
      </c>
      <c r="D126" s="170" t="s">
        <v>1377</v>
      </c>
      <c r="E126" s="171"/>
      <c r="F126" s="171"/>
      <c r="G126" s="172"/>
      <c r="H126" s="172"/>
      <c r="I126" s="172"/>
      <c r="J126" s="172"/>
      <c r="K126" s="172"/>
      <c r="L126" s="172"/>
      <c r="M126" s="172"/>
      <c r="N126" s="172"/>
      <c r="O126" s="172"/>
    </row>
    <row r="127">
      <c r="A127" s="164"/>
      <c r="B127" s="164"/>
      <c r="C127" s="165" t="s">
        <v>1482</v>
      </c>
      <c r="D127" s="172"/>
      <c r="E127" s="172"/>
      <c r="F127" s="172"/>
      <c r="G127" s="172"/>
      <c r="H127" s="172"/>
      <c r="I127" s="172"/>
      <c r="J127" s="172"/>
      <c r="K127" s="172"/>
      <c r="L127" s="172"/>
      <c r="M127" s="172"/>
      <c r="N127" s="172"/>
      <c r="O127" s="172"/>
    </row>
    <row r="128">
      <c r="A128" s="159">
        <v>411.0</v>
      </c>
      <c r="B128" s="168"/>
      <c r="C128" s="169" t="s">
        <v>1483</v>
      </c>
      <c r="D128" s="170" t="s">
        <v>1377</v>
      </c>
      <c r="E128" s="170" t="s">
        <v>1327</v>
      </c>
      <c r="F128" s="171"/>
      <c r="G128" s="172"/>
      <c r="H128" s="172"/>
      <c r="I128" s="172"/>
      <c r="J128" s="172"/>
      <c r="K128" s="172"/>
      <c r="L128" s="172"/>
      <c r="M128" s="172"/>
      <c r="N128" s="172"/>
      <c r="O128" s="172"/>
    </row>
    <row r="129">
      <c r="A129" s="168"/>
      <c r="B129" s="182">
        <v>4111.0</v>
      </c>
      <c r="C129" s="181" t="s">
        <v>1485</v>
      </c>
      <c r="D129" s="170" t="s">
        <v>1377</v>
      </c>
      <c r="E129" s="170" t="s">
        <v>1327</v>
      </c>
      <c r="F129" s="171"/>
      <c r="G129" s="172"/>
      <c r="H129" s="172"/>
      <c r="I129" s="172"/>
      <c r="J129" s="172"/>
      <c r="K129" s="172"/>
      <c r="L129" s="172"/>
      <c r="M129" s="172"/>
      <c r="N129" s="172"/>
      <c r="O129" s="172"/>
    </row>
    <row r="130">
      <c r="A130" s="168"/>
      <c r="B130" s="182">
        <v>41111.0</v>
      </c>
      <c r="C130" s="181" t="s">
        <v>1719</v>
      </c>
      <c r="D130" s="170" t="s">
        <v>1377</v>
      </c>
      <c r="E130" s="171"/>
      <c r="F130" s="171"/>
      <c r="G130" s="172"/>
      <c r="H130" s="172"/>
      <c r="I130" s="172"/>
      <c r="J130" s="172"/>
      <c r="K130" s="172"/>
      <c r="L130" s="172"/>
      <c r="M130" s="172"/>
      <c r="N130" s="172"/>
      <c r="O130" s="172"/>
    </row>
    <row r="131">
      <c r="A131" s="168"/>
      <c r="B131" s="182">
        <v>41112.0</v>
      </c>
      <c r="C131" s="181" t="s">
        <v>1720</v>
      </c>
      <c r="D131" s="170" t="s">
        <v>1377</v>
      </c>
      <c r="E131" s="171"/>
      <c r="F131" s="171"/>
      <c r="G131" s="172"/>
      <c r="H131" s="172"/>
      <c r="I131" s="172"/>
      <c r="J131" s="172"/>
      <c r="K131" s="172"/>
      <c r="L131" s="172"/>
      <c r="M131" s="172"/>
      <c r="N131" s="172"/>
      <c r="O131" s="172"/>
    </row>
    <row r="132">
      <c r="A132" s="168"/>
      <c r="B132" s="182">
        <v>4112.0</v>
      </c>
      <c r="C132" s="181" t="s">
        <v>1721</v>
      </c>
      <c r="D132" s="170" t="s">
        <v>1377</v>
      </c>
      <c r="E132" s="171"/>
      <c r="F132" s="171"/>
      <c r="G132" s="172"/>
      <c r="H132" s="172"/>
      <c r="I132" s="172"/>
      <c r="J132" s="172"/>
      <c r="K132" s="172"/>
      <c r="L132" s="172"/>
      <c r="M132" s="172"/>
      <c r="N132" s="172"/>
      <c r="O132" s="172"/>
    </row>
    <row r="133">
      <c r="A133" s="168"/>
      <c r="B133" s="182">
        <v>4113.0</v>
      </c>
      <c r="C133" s="181" t="s">
        <v>1722</v>
      </c>
      <c r="D133" s="170" t="s">
        <v>1377</v>
      </c>
      <c r="E133" s="171"/>
      <c r="F133" s="171"/>
      <c r="G133" s="172"/>
      <c r="H133" s="172"/>
      <c r="I133" s="172"/>
      <c r="J133" s="172"/>
      <c r="K133" s="172"/>
      <c r="L133" s="172"/>
      <c r="M133" s="172"/>
      <c r="N133" s="172"/>
      <c r="O133" s="172"/>
    </row>
    <row r="134">
      <c r="A134" s="168"/>
      <c r="B134" s="182">
        <v>4118.0</v>
      </c>
      <c r="C134" s="181" t="s">
        <v>1489</v>
      </c>
      <c r="D134" s="170" t="s">
        <v>1377</v>
      </c>
      <c r="E134" s="171"/>
      <c r="F134" s="171"/>
      <c r="G134" s="172"/>
      <c r="H134" s="172"/>
      <c r="I134" s="172"/>
      <c r="J134" s="172"/>
      <c r="K134" s="172"/>
      <c r="L134" s="172"/>
      <c r="M134" s="172"/>
      <c r="N134" s="172"/>
      <c r="O134" s="172"/>
    </row>
    <row r="135">
      <c r="A135" s="159">
        <v>412.0</v>
      </c>
      <c r="B135" s="168"/>
      <c r="C135" s="169" t="s">
        <v>1723</v>
      </c>
      <c r="D135" s="170" t="s">
        <v>1345</v>
      </c>
      <c r="E135" s="171"/>
      <c r="F135" s="171"/>
      <c r="G135" s="172"/>
      <c r="H135" s="172"/>
      <c r="I135" s="172"/>
      <c r="J135" s="172"/>
      <c r="K135" s="172"/>
      <c r="L135" s="172"/>
      <c r="M135" s="172"/>
      <c r="N135" s="172"/>
      <c r="O135" s="172"/>
    </row>
    <row r="136">
      <c r="A136" s="159">
        <v>413.0</v>
      </c>
      <c r="B136" s="168"/>
      <c r="C136" s="169" t="s">
        <v>1490</v>
      </c>
      <c r="D136" s="170" t="s">
        <v>1345</v>
      </c>
      <c r="E136" s="171"/>
      <c r="F136" s="171"/>
      <c r="G136" s="172"/>
      <c r="H136" s="172"/>
      <c r="I136" s="172"/>
      <c r="J136" s="172"/>
      <c r="K136" s="172"/>
      <c r="L136" s="172"/>
      <c r="M136" s="172"/>
      <c r="N136" s="172"/>
      <c r="O136" s="172"/>
    </row>
    <row r="137">
      <c r="A137" s="159">
        <v>414.0</v>
      </c>
      <c r="B137" s="168"/>
      <c r="C137" s="169" t="s">
        <v>1724</v>
      </c>
      <c r="D137" s="170" t="s">
        <v>1377</v>
      </c>
      <c r="E137" s="171"/>
      <c r="F137" s="171"/>
      <c r="G137" s="172"/>
      <c r="H137" s="172"/>
      <c r="I137" s="172"/>
      <c r="J137" s="172"/>
      <c r="K137" s="172"/>
      <c r="L137" s="172"/>
      <c r="M137" s="172"/>
      <c r="N137" s="172"/>
      <c r="O137" s="172"/>
    </row>
    <row r="138">
      <c r="A138" s="159">
        <v>418.0</v>
      </c>
      <c r="B138" s="168"/>
      <c r="C138" s="169" t="s">
        <v>1491</v>
      </c>
      <c r="D138" s="170" t="s">
        <v>1377</v>
      </c>
      <c r="E138" s="171"/>
      <c r="F138" s="171"/>
      <c r="G138" s="172"/>
      <c r="H138" s="172"/>
      <c r="I138" s="172"/>
      <c r="J138" s="172"/>
      <c r="K138" s="172"/>
      <c r="L138" s="172"/>
      <c r="M138" s="172"/>
      <c r="N138" s="172"/>
      <c r="O138" s="172"/>
    </row>
    <row r="139">
      <c r="A139" s="159">
        <v>419.0</v>
      </c>
      <c r="B139" s="168"/>
      <c r="C139" s="169" t="s">
        <v>1492</v>
      </c>
      <c r="D139" s="170" t="s">
        <v>1326</v>
      </c>
      <c r="E139" s="171"/>
      <c r="F139" s="171"/>
      <c r="G139" s="172"/>
      <c r="H139" s="172"/>
      <c r="I139" s="172"/>
      <c r="J139" s="172"/>
      <c r="K139" s="172"/>
      <c r="L139" s="172"/>
      <c r="M139" s="172"/>
      <c r="N139" s="172"/>
      <c r="O139" s="172"/>
    </row>
    <row r="140">
      <c r="A140" s="159">
        <v>421.0</v>
      </c>
      <c r="B140" s="168"/>
      <c r="C140" s="169" t="s">
        <v>1493</v>
      </c>
      <c r="D140" s="170" t="s">
        <v>1345</v>
      </c>
      <c r="E140" s="170" t="s">
        <v>1327</v>
      </c>
      <c r="F140" s="171"/>
      <c r="G140" s="172"/>
      <c r="H140" s="172"/>
      <c r="I140" s="172"/>
      <c r="J140" s="172"/>
      <c r="K140" s="172"/>
      <c r="L140" s="172"/>
      <c r="M140" s="172"/>
      <c r="N140" s="172"/>
      <c r="O140" s="172"/>
    </row>
    <row r="141">
      <c r="A141" s="168"/>
      <c r="B141" s="182">
        <v>4211.0</v>
      </c>
      <c r="C141" s="181" t="s">
        <v>1494</v>
      </c>
      <c r="D141" s="170" t="s">
        <v>1345</v>
      </c>
      <c r="E141" s="171"/>
      <c r="F141" s="171"/>
      <c r="G141" s="172"/>
      <c r="H141" s="172"/>
      <c r="I141" s="172"/>
      <c r="J141" s="172"/>
      <c r="K141" s="172"/>
      <c r="L141" s="172"/>
      <c r="M141" s="172"/>
      <c r="N141" s="172"/>
      <c r="O141" s="172"/>
    </row>
    <row r="142">
      <c r="A142" s="168"/>
      <c r="B142" s="182">
        <v>4212.0</v>
      </c>
      <c r="C142" s="181" t="s">
        <v>1495</v>
      </c>
      <c r="D142" s="170" t="s">
        <v>1345</v>
      </c>
      <c r="E142" s="171"/>
      <c r="F142" s="171"/>
      <c r="G142" s="172"/>
      <c r="H142" s="172"/>
      <c r="I142" s="172"/>
      <c r="J142" s="172"/>
      <c r="K142" s="172"/>
      <c r="L142" s="172"/>
      <c r="M142" s="172"/>
      <c r="N142" s="172"/>
      <c r="O142" s="172"/>
    </row>
    <row r="143">
      <c r="A143" s="164"/>
      <c r="B143" s="164"/>
      <c r="C143" s="165" t="s">
        <v>1496</v>
      </c>
      <c r="D143" s="167"/>
      <c r="E143" s="167"/>
      <c r="F143" s="167"/>
      <c r="G143" s="167"/>
      <c r="H143" s="167"/>
      <c r="I143" s="167"/>
      <c r="J143" s="167"/>
      <c r="K143" s="167"/>
      <c r="L143" s="167"/>
      <c r="M143" s="167"/>
      <c r="N143" s="167"/>
      <c r="O143" s="167"/>
    </row>
    <row r="144">
      <c r="A144" s="159">
        <v>511.0</v>
      </c>
      <c r="B144" s="168"/>
      <c r="C144" s="169" t="s">
        <v>1497</v>
      </c>
      <c r="D144" s="170" t="s">
        <v>1498</v>
      </c>
      <c r="E144" s="170" t="s">
        <v>1327</v>
      </c>
      <c r="F144" s="171"/>
      <c r="G144" s="172"/>
      <c r="H144" s="172"/>
      <c r="I144" s="172"/>
      <c r="J144" s="172"/>
      <c r="K144" s="172"/>
      <c r="L144" s="172"/>
      <c r="M144" s="172"/>
      <c r="N144" s="172"/>
      <c r="O144" s="172"/>
    </row>
    <row r="145">
      <c r="A145" s="159">
        <v>515.0</v>
      </c>
      <c r="B145" s="168"/>
      <c r="C145" s="169" t="s">
        <v>1507</v>
      </c>
      <c r="D145" s="170" t="s">
        <v>1498</v>
      </c>
      <c r="E145" s="171"/>
      <c r="F145" s="171"/>
      <c r="G145" s="172"/>
      <c r="H145" s="172"/>
      <c r="I145" s="172"/>
      <c r="J145" s="172"/>
      <c r="K145" s="172"/>
      <c r="L145" s="172"/>
      <c r="M145" s="172"/>
      <c r="N145" s="172"/>
      <c r="O145" s="172"/>
    </row>
    <row r="146">
      <c r="A146" s="159">
        <v>521.0</v>
      </c>
      <c r="B146" s="168"/>
      <c r="C146" s="169" t="s">
        <v>1725</v>
      </c>
      <c r="D146" s="170" t="s">
        <v>1498</v>
      </c>
      <c r="E146" s="171"/>
      <c r="F146" s="171"/>
      <c r="G146" s="172"/>
      <c r="H146" s="172"/>
      <c r="I146" s="172"/>
      <c r="J146" s="172"/>
      <c r="K146" s="172"/>
      <c r="L146" s="172"/>
      <c r="M146" s="172"/>
      <c r="N146" s="172"/>
      <c r="O146" s="172"/>
    </row>
    <row r="147">
      <c r="A147" s="164"/>
      <c r="B147" s="164"/>
      <c r="C147" s="165" t="s">
        <v>1508</v>
      </c>
      <c r="D147" s="167"/>
      <c r="E147" s="167"/>
      <c r="F147" s="167"/>
      <c r="G147" s="167"/>
      <c r="H147" s="167"/>
      <c r="I147" s="167"/>
      <c r="J147" s="167"/>
      <c r="K147" s="167"/>
      <c r="L147" s="167"/>
      <c r="M147" s="167"/>
      <c r="N147" s="167"/>
      <c r="O147" s="167"/>
    </row>
    <row r="148">
      <c r="A148" s="159">
        <v>621.0</v>
      </c>
      <c r="B148" s="168"/>
      <c r="C148" s="169" t="s">
        <v>1726</v>
      </c>
      <c r="D148" s="170" t="s">
        <v>1498</v>
      </c>
      <c r="E148" s="171"/>
      <c r="F148" s="171"/>
      <c r="G148" s="172"/>
      <c r="H148" s="172"/>
      <c r="I148" s="172"/>
      <c r="J148" s="172"/>
      <c r="K148" s="172"/>
      <c r="L148" s="172"/>
      <c r="M148" s="172"/>
      <c r="N148" s="172"/>
      <c r="O148" s="172"/>
    </row>
    <row r="149">
      <c r="A149" s="159">
        <v>622.0</v>
      </c>
      <c r="B149" s="168"/>
      <c r="C149" s="169" t="s">
        <v>1727</v>
      </c>
      <c r="D149" s="170" t="s">
        <v>1498</v>
      </c>
      <c r="E149" s="171"/>
      <c r="F149" s="171"/>
      <c r="G149" s="172"/>
      <c r="H149" s="172"/>
      <c r="I149" s="172"/>
      <c r="J149" s="172"/>
      <c r="K149" s="172"/>
      <c r="L149" s="172"/>
      <c r="M149" s="172"/>
      <c r="N149" s="172"/>
      <c r="O149" s="172"/>
    </row>
    <row r="150">
      <c r="A150" s="159">
        <v>623.0</v>
      </c>
      <c r="B150" s="168"/>
      <c r="C150" s="169" t="s">
        <v>1728</v>
      </c>
      <c r="D150" s="170" t="s">
        <v>1498</v>
      </c>
      <c r="E150" s="171"/>
      <c r="F150" s="171"/>
      <c r="G150" s="172"/>
      <c r="H150" s="172"/>
      <c r="I150" s="172"/>
      <c r="J150" s="172"/>
      <c r="K150" s="172"/>
      <c r="L150" s="172"/>
      <c r="M150" s="172"/>
      <c r="N150" s="172"/>
      <c r="O150" s="172"/>
    </row>
    <row r="151">
      <c r="A151" s="168"/>
      <c r="B151" s="182">
        <v>6231.0</v>
      </c>
      <c r="C151" s="181" t="s">
        <v>1729</v>
      </c>
      <c r="D151" s="170" t="s">
        <v>1498</v>
      </c>
      <c r="E151" s="171"/>
      <c r="F151" s="171"/>
      <c r="G151" s="172"/>
      <c r="H151" s="172"/>
      <c r="I151" s="172"/>
      <c r="J151" s="172"/>
      <c r="K151" s="172"/>
      <c r="L151" s="172"/>
      <c r="M151" s="172"/>
      <c r="N151" s="172"/>
      <c r="O151" s="172"/>
    </row>
    <row r="152">
      <c r="A152" s="168"/>
      <c r="B152" s="182">
        <v>6232.0</v>
      </c>
      <c r="C152" s="181" t="s">
        <v>1730</v>
      </c>
      <c r="D152" s="170" t="s">
        <v>1498</v>
      </c>
      <c r="E152" s="171"/>
      <c r="F152" s="171"/>
      <c r="G152" s="172"/>
      <c r="H152" s="172"/>
      <c r="I152" s="172"/>
      <c r="J152" s="172"/>
      <c r="K152" s="172"/>
      <c r="L152" s="172"/>
      <c r="M152" s="172"/>
      <c r="N152" s="172"/>
      <c r="O152" s="172"/>
    </row>
    <row r="153">
      <c r="A153" s="168"/>
      <c r="B153" s="182">
        <v>6233.0</v>
      </c>
      <c r="C153" s="181" t="s">
        <v>1731</v>
      </c>
      <c r="D153" s="170" t="s">
        <v>1498</v>
      </c>
      <c r="E153" s="171"/>
      <c r="F153" s="171"/>
      <c r="G153" s="172"/>
      <c r="H153" s="172"/>
      <c r="I153" s="172"/>
      <c r="J153" s="172"/>
      <c r="K153" s="172"/>
      <c r="L153" s="172"/>
      <c r="M153" s="172"/>
      <c r="N153" s="172"/>
      <c r="O153" s="172"/>
    </row>
    <row r="154">
      <c r="A154" s="168"/>
      <c r="B154" s="182">
        <v>6234.0</v>
      </c>
      <c r="C154" s="181" t="s">
        <v>1732</v>
      </c>
      <c r="D154" s="170" t="s">
        <v>1498</v>
      </c>
      <c r="E154" s="171"/>
      <c r="F154" s="171"/>
      <c r="G154" s="172"/>
      <c r="H154" s="172"/>
      <c r="I154" s="172"/>
      <c r="J154" s="172"/>
      <c r="K154" s="172"/>
      <c r="L154" s="172"/>
      <c r="M154" s="172"/>
      <c r="N154" s="172"/>
      <c r="O154" s="172"/>
    </row>
    <row r="155">
      <c r="A155" s="168"/>
      <c r="B155" s="182">
        <v>6237.0</v>
      </c>
      <c r="C155" s="181" t="s">
        <v>1733</v>
      </c>
      <c r="D155" s="170" t="s">
        <v>1498</v>
      </c>
      <c r="E155" s="171"/>
      <c r="F155" s="171"/>
      <c r="G155" s="172"/>
      <c r="H155" s="172"/>
      <c r="I155" s="172"/>
      <c r="J155" s="172"/>
      <c r="K155" s="172"/>
      <c r="L155" s="172"/>
      <c r="M155" s="172"/>
      <c r="N155" s="172"/>
      <c r="O155" s="172"/>
    </row>
    <row r="156">
      <c r="A156" s="168"/>
      <c r="B156" s="182">
        <v>6238.0</v>
      </c>
      <c r="C156" s="181" t="s">
        <v>1734</v>
      </c>
      <c r="D156" s="170" t="s">
        <v>1498</v>
      </c>
      <c r="E156" s="171"/>
      <c r="F156" s="171"/>
      <c r="G156" s="172"/>
      <c r="H156" s="172"/>
      <c r="I156" s="172"/>
      <c r="J156" s="172"/>
      <c r="K156" s="172"/>
      <c r="L156" s="172"/>
      <c r="M156" s="172"/>
      <c r="N156" s="172"/>
      <c r="O156" s="172"/>
    </row>
    <row r="157">
      <c r="A157" s="159">
        <v>627.0</v>
      </c>
      <c r="B157" s="168"/>
      <c r="C157" s="169" t="s">
        <v>1735</v>
      </c>
      <c r="D157" s="170" t="s">
        <v>1498</v>
      </c>
      <c r="E157" s="171"/>
      <c r="F157" s="171"/>
      <c r="G157" s="172"/>
      <c r="H157" s="172"/>
      <c r="I157" s="172"/>
      <c r="J157" s="172"/>
      <c r="K157" s="172"/>
      <c r="L157" s="172"/>
      <c r="M157" s="172"/>
      <c r="N157" s="172"/>
      <c r="O157" s="172"/>
    </row>
    <row r="158">
      <c r="A158" s="168"/>
      <c r="B158" s="182">
        <v>6271.0</v>
      </c>
      <c r="C158" s="181" t="s">
        <v>1736</v>
      </c>
      <c r="D158" s="170" t="s">
        <v>1498</v>
      </c>
      <c r="E158" s="171"/>
      <c r="F158" s="171"/>
      <c r="G158" s="172"/>
      <c r="H158" s="172"/>
      <c r="I158" s="172"/>
      <c r="J158" s="172"/>
      <c r="K158" s="172"/>
      <c r="L158" s="172"/>
      <c r="M158" s="172"/>
      <c r="N158" s="172"/>
      <c r="O158" s="172"/>
    </row>
    <row r="159">
      <c r="A159" s="168"/>
      <c r="B159" s="182">
        <v>6272.0</v>
      </c>
      <c r="C159" s="181" t="s">
        <v>1730</v>
      </c>
      <c r="D159" s="170" t="s">
        <v>1498</v>
      </c>
      <c r="E159" s="171"/>
      <c r="F159" s="171"/>
      <c r="G159" s="172"/>
      <c r="H159" s="172"/>
      <c r="I159" s="172"/>
      <c r="J159" s="172"/>
      <c r="K159" s="172"/>
      <c r="L159" s="172"/>
      <c r="M159" s="172"/>
      <c r="N159" s="172"/>
      <c r="O159" s="172"/>
    </row>
    <row r="160">
      <c r="A160" s="168"/>
      <c r="B160" s="182">
        <v>6273.0</v>
      </c>
      <c r="C160" s="181" t="s">
        <v>1731</v>
      </c>
      <c r="D160" s="170" t="s">
        <v>1498</v>
      </c>
      <c r="E160" s="171"/>
      <c r="F160" s="171"/>
      <c r="G160" s="172"/>
      <c r="H160" s="172"/>
      <c r="I160" s="172"/>
      <c r="J160" s="172"/>
      <c r="K160" s="172"/>
      <c r="L160" s="172"/>
      <c r="M160" s="172"/>
      <c r="N160" s="172"/>
      <c r="O160" s="172"/>
    </row>
    <row r="161">
      <c r="A161" s="168"/>
      <c r="B161" s="182">
        <v>6274.0</v>
      </c>
      <c r="C161" s="181" t="s">
        <v>1737</v>
      </c>
      <c r="D161" s="170" t="s">
        <v>1498</v>
      </c>
      <c r="E161" s="171"/>
      <c r="F161" s="171"/>
      <c r="G161" s="172"/>
      <c r="H161" s="172"/>
      <c r="I161" s="172"/>
      <c r="J161" s="172"/>
      <c r="K161" s="172"/>
      <c r="L161" s="172"/>
      <c r="M161" s="172"/>
      <c r="N161" s="172"/>
      <c r="O161" s="172"/>
    </row>
    <row r="162">
      <c r="A162" s="168"/>
      <c r="B162" s="182">
        <v>6275.0</v>
      </c>
      <c r="C162" s="181" t="s">
        <v>1738</v>
      </c>
      <c r="D162" s="170" t="s">
        <v>1498</v>
      </c>
      <c r="E162" s="171"/>
      <c r="F162" s="171"/>
      <c r="G162" s="172"/>
      <c r="H162" s="172"/>
      <c r="I162" s="172"/>
      <c r="J162" s="172"/>
      <c r="K162" s="172"/>
      <c r="L162" s="172"/>
      <c r="M162" s="172"/>
      <c r="N162" s="172"/>
      <c r="O162" s="172"/>
    </row>
    <row r="163">
      <c r="A163" s="168"/>
      <c r="B163" s="182">
        <v>6277.0</v>
      </c>
      <c r="C163" s="181" t="s">
        <v>1733</v>
      </c>
      <c r="D163" s="170" t="s">
        <v>1498</v>
      </c>
      <c r="E163" s="171"/>
      <c r="F163" s="171"/>
      <c r="G163" s="172"/>
      <c r="H163" s="172"/>
      <c r="I163" s="172"/>
      <c r="J163" s="172"/>
      <c r="K163" s="172"/>
      <c r="L163" s="172"/>
      <c r="M163" s="172"/>
      <c r="N163" s="172"/>
      <c r="O163" s="172"/>
    </row>
    <row r="164">
      <c r="A164" s="168"/>
      <c r="B164" s="182">
        <v>6278.0</v>
      </c>
      <c r="C164" s="181" t="s">
        <v>1734</v>
      </c>
      <c r="D164" s="170" t="s">
        <v>1498</v>
      </c>
      <c r="E164" s="171"/>
      <c r="F164" s="171"/>
      <c r="G164" s="172"/>
      <c r="H164" s="172"/>
      <c r="I164" s="172"/>
      <c r="J164" s="172"/>
      <c r="K164" s="172"/>
      <c r="L164" s="172"/>
      <c r="M164" s="172"/>
      <c r="N164" s="172"/>
      <c r="O164" s="172"/>
    </row>
    <row r="165">
      <c r="A165" s="159">
        <v>632.0</v>
      </c>
      <c r="B165" s="168"/>
      <c r="C165" s="169" t="s">
        <v>1512</v>
      </c>
      <c r="D165" s="170" t="s">
        <v>1498</v>
      </c>
      <c r="E165" s="171"/>
      <c r="F165" s="171"/>
      <c r="G165" s="172"/>
      <c r="H165" s="172"/>
      <c r="I165" s="172"/>
      <c r="J165" s="172"/>
      <c r="K165" s="172"/>
      <c r="L165" s="172"/>
      <c r="M165" s="172"/>
      <c r="N165" s="172"/>
      <c r="O165" s="172"/>
    </row>
    <row r="166">
      <c r="A166" s="159">
        <v>635.0</v>
      </c>
      <c r="B166" s="168"/>
      <c r="C166" s="169" t="s">
        <v>1513</v>
      </c>
      <c r="D166" s="170" t="s">
        <v>1498</v>
      </c>
      <c r="E166" s="171"/>
      <c r="F166" s="171"/>
      <c r="G166" s="172"/>
      <c r="H166" s="172"/>
      <c r="I166" s="172"/>
      <c r="J166" s="172"/>
      <c r="K166" s="172"/>
      <c r="L166" s="172"/>
      <c r="M166" s="172"/>
      <c r="N166" s="172"/>
      <c r="O166" s="172"/>
    </row>
    <row r="167">
      <c r="A167" s="159">
        <v>641.0</v>
      </c>
      <c r="B167" s="168"/>
      <c r="C167" s="169" t="s">
        <v>1515</v>
      </c>
      <c r="D167" s="170" t="s">
        <v>1498</v>
      </c>
      <c r="E167" s="171"/>
      <c r="F167" s="171"/>
      <c r="G167" s="172"/>
      <c r="H167" s="172"/>
      <c r="I167" s="172"/>
      <c r="J167" s="172"/>
      <c r="K167" s="172"/>
      <c r="L167" s="172"/>
      <c r="M167" s="172"/>
      <c r="N167" s="172"/>
      <c r="O167" s="172"/>
    </row>
    <row r="168">
      <c r="A168" s="168"/>
      <c r="B168" s="182">
        <v>6411.0</v>
      </c>
      <c r="C168" s="181" t="s">
        <v>1739</v>
      </c>
      <c r="D168" s="170" t="s">
        <v>1498</v>
      </c>
      <c r="E168" s="171"/>
      <c r="F168" s="171"/>
      <c r="G168" s="172"/>
      <c r="H168" s="172"/>
      <c r="I168" s="172"/>
      <c r="J168" s="172"/>
      <c r="K168" s="172"/>
      <c r="L168" s="172"/>
      <c r="M168" s="172"/>
      <c r="N168" s="172"/>
      <c r="O168" s="172"/>
    </row>
    <row r="169">
      <c r="A169" s="168"/>
      <c r="B169" s="182">
        <v>6412.0</v>
      </c>
      <c r="C169" s="181" t="s">
        <v>1740</v>
      </c>
      <c r="D169" s="170" t="s">
        <v>1498</v>
      </c>
      <c r="E169" s="171"/>
      <c r="F169" s="171"/>
      <c r="G169" s="172"/>
      <c r="H169" s="172"/>
      <c r="I169" s="172"/>
      <c r="J169" s="172"/>
      <c r="K169" s="172"/>
      <c r="L169" s="172"/>
      <c r="M169" s="172"/>
      <c r="N169" s="172"/>
      <c r="O169" s="172"/>
    </row>
    <row r="170">
      <c r="A170" s="168"/>
      <c r="B170" s="182">
        <v>6413.0</v>
      </c>
      <c r="C170" s="181" t="s">
        <v>1741</v>
      </c>
      <c r="D170" s="170" t="s">
        <v>1498</v>
      </c>
      <c r="E170" s="171"/>
      <c r="F170" s="171"/>
      <c r="G170" s="172"/>
      <c r="H170" s="172"/>
      <c r="I170" s="172"/>
      <c r="J170" s="172"/>
      <c r="K170" s="172"/>
      <c r="L170" s="172"/>
      <c r="M170" s="172"/>
      <c r="N170" s="172"/>
      <c r="O170" s="172"/>
    </row>
    <row r="171">
      <c r="A171" s="168"/>
      <c r="B171" s="182">
        <v>6414.0</v>
      </c>
      <c r="C171" s="181" t="s">
        <v>1737</v>
      </c>
      <c r="D171" s="170" t="s">
        <v>1498</v>
      </c>
      <c r="E171" s="171"/>
      <c r="F171" s="171"/>
      <c r="G171" s="172"/>
      <c r="H171" s="172"/>
      <c r="I171" s="172"/>
      <c r="J171" s="172"/>
      <c r="K171" s="172"/>
      <c r="L171" s="172"/>
      <c r="M171" s="172"/>
      <c r="N171" s="172"/>
      <c r="O171" s="172"/>
    </row>
    <row r="172">
      <c r="A172" s="168"/>
      <c r="B172" s="182">
        <v>6415.0</v>
      </c>
      <c r="C172" s="181" t="s">
        <v>1738</v>
      </c>
      <c r="D172" s="170" t="s">
        <v>1498</v>
      </c>
      <c r="E172" s="171"/>
      <c r="F172" s="171"/>
      <c r="G172" s="172"/>
      <c r="H172" s="172"/>
      <c r="I172" s="172"/>
      <c r="J172" s="172"/>
      <c r="K172" s="172"/>
      <c r="L172" s="172"/>
      <c r="M172" s="172"/>
      <c r="N172" s="172"/>
      <c r="O172" s="172"/>
    </row>
    <row r="173">
      <c r="A173" s="168"/>
      <c r="B173" s="182">
        <v>6417.0</v>
      </c>
      <c r="C173" s="181" t="s">
        <v>1733</v>
      </c>
      <c r="D173" s="170" t="s">
        <v>1498</v>
      </c>
      <c r="E173" s="171"/>
      <c r="F173" s="171"/>
      <c r="G173" s="172"/>
      <c r="H173" s="172"/>
      <c r="I173" s="172"/>
      <c r="J173" s="172"/>
      <c r="K173" s="172"/>
      <c r="L173" s="172"/>
      <c r="M173" s="172"/>
      <c r="N173" s="172"/>
      <c r="O173" s="172"/>
    </row>
    <row r="174">
      <c r="A174" s="168"/>
      <c r="B174" s="182">
        <v>6418.0</v>
      </c>
      <c r="C174" s="181" t="s">
        <v>1734</v>
      </c>
      <c r="D174" s="170" t="s">
        <v>1498</v>
      </c>
      <c r="E174" s="171"/>
      <c r="F174" s="171"/>
      <c r="G174" s="172"/>
      <c r="H174" s="172"/>
      <c r="I174" s="172"/>
      <c r="J174" s="172"/>
      <c r="K174" s="172"/>
      <c r="L174" s="172"/>
      <c r="M174" s="172"/>
      <c r="N174" s="172"/>
      <c r="O174" s="172"/>
    </row>
    <row r="175">
      <c r="A175" s="159">
        <v>642.0</v>
      </c>
      <c r="B175" s="168"/>
      <c r="C175" s="169" t="s">
        <v>1514</v>
      </c>
      <c r="D175" s="170" t="s">
        <v>1498</v>
      </c>
      <c r="E175" s="171"/>
      <c r="F175" s="171"/>
      <c r="G175" s="172"/>
      <c r="H175" s="172"/>
      <c r="I175" s="172"/>
      <c r="J175" s="172"/>
      <c r="K175" s="172"/>
      <c r="L175" s="172"/>
      <c r="M175" s="172"/>
      <c r="N175" s="172"/>
      <c r="O175" s="172"/>
    </row>
    <row r="176">
      <c r="A176" s="168"/>
      <c r="B176" s="182">
        <v>6421.0</v>
      </c>
      <c r="C176" s="181" t="s">
        <v>1742</v>
      </c>
      <c r="D176" s="170" t="s">
        <v>1498</v>
      </c>
      <c r="E176" s="171"/>
      <c r="F176" s="171"/>
      <c r="G176" s="172"/>
      <c r="H176" s="172"/>
      <c r="I176" s="172"/>
      <c r="J176" s="172"/>
      <c r="K176" s="172"/>
      <c r="L176" s="172"/>
      <c r="M176" s="172"/>
      <c r="N176" s="172"/>
      <c r="O176" s="172"/>
    </row>
    <row r="177">
      <c r="A177" s="168"/>
      <c r="B177" s="182">
        <v>6422.0</v>
      </c>
      <c r="C177" s="181" t="s">
        <v>1743</v>
      </c>
      <c r="D177" s="170" t="s">
        <v>1498</v>
      </c>
      <c r="E177" s="171"/>
      <c r="F177" s="171"/>
      <c r="G177" s="172"/>
      <c r="H177" s="172"/>
      <c r="I177" s="172"/>
      <c r="J177" s="172"/>
      <c r="K177" s="172"/>
      <c r="L177" s="172"/>
      <c r="M177" s="172"/>
      <c r="N177" s="172"/>
      <c r="O177" s="172"/>
    </row>
    <row r="178">
      <c r="A178" s="168"/>
      <c r="B178" s="182">
        <v>6423.0</v>
      </c>
      <c r="C178" s="181" t="s">
        <v>1744</v>
      </c>
      <c r="D178" s="170" t="s">
        <v>1498</v>
      </c>
      <c r="E178" s="171"/>
      <c r="F178" s="171"/>
      <c r="G178" s="172"/>
      <c r="H178" s="172"/>
      <c r="I178" s="172"/>
      <c r="J178" s="172"/>
      <c r="K178" s="172"/>
      <c r="L178" s="172"/>
      <c r="M178" s="172"/>
      <c r="N178" s="172"/>
      <c r="O178" s="172"/>
    </row>
    <row r="179">
      <c r="A179" s="168"/>
      <c r="B179" s="182">
        <v>6424.0</v>
      </c>
      <c r="C179" s="181" t="s">
        <v>1737</v>
      </c>
      <c r="D179" s="170" t="s">
        <v>1498</v>
      </c>
      <c r="E179" s="171"/>
      <c r="F179" s="171"/>
      <c r="G179" s="172"/>
      <c r="H179" s="172"/>
      <c r="I179" s="172"/>
      <c r="J179" s="172"/>
      <c r="K179" s="172"/>
      <c r="L179" s="172"/>
      <c r="M179" s="172"/>
      <c r="N179" s="172"/>
      <c r="O179" s="172"/>
    </row>
    <row r="180">
      <c r="A180" s="168"/>
      <c r="B180" s="182">
        <v>6425.0</v>
      </c>
      <c r="C180" s="181" t="s">
        <v>1745</v>
      </c>
      <c r="D180" s="170" t="s">
        <v>1498</v>
      </c>
      <c r="E180" s="171"/>
      <c r="F180" s="171"/>
      <c r="G180" s="172"/>
      <c r="H180" s="172"/>
      <c r="I180" s="172"/>
      <c r="J180" s="172"/>
      <c r="K180" s="172"/>
      <c r="L180" s="172"/>
      <c r="M180" s="172"/>
      <c r="N180" s="172"/>
      <c r="O180" s="172"/>
    </row>
    <row r="181">
      <c r="A181" s="168"/>
      <c r="B181" s="182">
        <v>6426.0</v>
      </c>
      <c r="C181" s="181" t="s">
        <v>1746</v>
      </c>
      <c r="D181" s="170" t="s">
        <v>1498</v>
      </c>
      <c r="E181" s="171"/>
      <c r="F181" s="171"/>
      <c r="G181" s="172"/>
      <c r="H181" s="172"/>
      <c r="I181" s="172"/>
      <c r="J181" s="172"/>
      <c r="K181" s="172"/>
      <c r="L181" s="172"/>
      <c r="M181" s="172"/>
      <c r="N181" s="172"/>
      <c r="O181" s="172"/>
    </row>
    <row r="182">
      <c r="A182" s="168"/>
      <c r="B182" s="182">
        <v>6427.0</v>
      </c>
      <c r="C182" s="181" t="s">
        <v>1733</v>
      </c>
      <c r="D182" s="170" t="s">
        <v>1498</v>
      </c>
      <c r="E182" s="171"/>
      <c r="F182" s="171"/>
      <c r="G182" s="172"/>
      <c r="H182" s="172"/>
      <c r="I182" s="172"/>
      <c r="J182" s="172"/>
      <c r="K182" s="172"/>
      <c r="L182" s="172"/>
      <c r="M182" s="172"/>
      <c r="N182" s="172"/>
      <c r="O182" s="172"/>
    </row>
    <row r="183">
      <c r="A183" s="168"/>
      <c r="B183" s="182">
        <v>6428.0</v>
      </c>
      <c r="C183" s="181" t="s">
        <v>1734</v>
      </c>
      <c r="D183" s="170" t="s">
        <v>1498</v>
      </c>
      <c r="E183" s="171"/>
      <c r="F183" s="171"/>
      <c r="G183" s="172"/>
      <c r="H183" s="172"/>
      <c r="I183" s="172"/>
      <c r="J183" s="172"/>
      <c r="K183" s="172"/>
      <c r="L183" s="172"/>
      <c r="M183" s="172"/>
      <c r="N183" s="172"/>
      <c r="O183" s="172"/>
    </row>
    <row r="184">
      <c r="A184" s="164"/>
      <c r="B184" s="164"/>
      <c r="C184" s="165" t="s">
        <v>1516</v>
      </c>
      <c r="D184" s="167"/>
      <c r="E184" s="167"/>
      <c r="F184" s="167"/>
      <c r="G184" s="167"/>
      <c r="H184" s="167"/>
      <c r="I184" s="167"/>
      <c r="J184" s="167"/>
      <c r="K184" s="167"/>
      <c r="L184" s="167"/>
      <c r="M184" s="167"/>
      <c r="N184" s="167"/>
      <c r="O184" s="167"/>
    </row>
    <row r="185">
      <c r="A185" s="159">
        <v>711.0</v>
      </c>
      <c r="B185" s="168"/>
      <c r="C185" s="169" t="s">
        <v>1517</v>
      </c>
      <c r="D185" s="170" t="s">
        <v>1498</v>
      </c>
      <c r="E185" s="171"/>
      <c r="F185" s="171"/>
      <c r="G185" s="172"/>
      <c r="H185" s="172"/>
      <c r="I185" s="172"/>
      <c r="J185" s="172"/>
      <c r="K185" s="172"/>
      <c r="L185" s="172"/>
      <c r="M185" s="172"/>
      <c r="N185" s="172"/>
      <c r="O185" s="172"/>
    </row>
    <row r="186">
      <c r="A186" s="164"/>
      <c r="B186" s="164"/>
      <c r="C186" s="165" t="s">
        <v>1518</v>
      </c>
      <c r="D186" s="167"/>
      <c r="E186" s="167"/>
      <c r="F186" s="167"/>
      <c r="G186" s="167"/>
      <c r="H186" s="167"/>
      <c r="I186" s="167"/>
      <c r="J186" s="167"/>
      <c r="K186" s="167"/>
      <c r="L186" s="167"/>
      <c r="M186" s="167"/>
      <c r="N186" s="167"/>
      <c r="O186" s="167"/>
    </row>
    <row r="187">
      <c r="A187" s="159">
        <v>811.0</v>
      </c>
      <c r="B187" s="168"/>
      <c r="C187" s="169" t="s">
        <v>1519</v>
      </c>
      <c r="D187" s="170" t="s">
        <v>1498</v>
      </c>
      <c r="E187" s="171"/>
      <c r="F187" s="171"/>
      <c r="G187" s="172"/>
      <c r="H187" s="172"/>
      <c r="I187" s="172"/>
      <c r="J187" s="172"/>
      <c r="K187" s="172"/>
      <c r="L187" s="172"/>
      <c r="M187" s="172"/>
      <c r="N187" s="172"/>
      <c r="O187" s="172"/>
    </row>
    <row r="188">
      <c r="A188" s="159">
        <v>821.0</v>
      </c>
      <c r="B188" s="168"/>
      <c r="C188" s="169" t="s">
        <v>1520</v>
      </c>
      <c r="D188" s="170" t="s">
        <v>1498</v>
      </c>
      <c r="E188" s="171"/>
      <c r="F188" s="171"/>
      <c r="G188" s="172"/>
      <c r="H188" s="172"/>
      <c r="I188" s="172"/>
      <c r="J188" s="172"/>
      <c r="K188" s="172"/>
      <c r="L188" s="172"/>
      <c r="M188" s="172"/>
      <c r="N188" s="172"/>
      <c r="O188" s="172"/>
    </row>
    <row r="189">
      <c r="A189" s="168"/>
      <c r="B189" s="182">
        <v>8211.0</v>
      </c>
      <c r="C189" s="181" t="s">
        <v>1747</v>
      </c>
      <c r="D189" s="170" t="s">
        <v>1498</v>
      </c>
      <c r="E189" s="171"/>
      <c r="F189" s="171"/>
      <c r="G189" s="172"/>
      <c r="H189" s="172"/>
      <c r="I189" s="172"/>
      <c r="J189" s="172"/>
      <c r="K189" s="172"/>
      <c r="L189" s="172"/>
      <c r="M189" s="172"/>
      <c r="N189" s="172"/>
      <c r="O189" s="172"/>
    </row>
    <row r="190">
      <c r="A190" s="168"/>
      <c r="B190" s="182">
        <v>82111.0</v>
      </c>
      <c r="C190" s="181" t="s">
        <v>1748</v>
      </c>
      <c r="D190" s="170" t="s">
        <v>1498</v>
      </c>
      <c r="E190" s="171"/>
      <c r="F190" s="171"/>
      <c r="G190" s="172"/>
      <c r="H190" s="172"/>
      <c r="I190" s="172"/>
      <c r="J190" s="172"/>
      <c r="K190" s="172"/>
      <c r="L190" s="172"/>
      <c r="M190" s="172"/>
      <c r="N190" s="172"/>
      <c r="O190" s="172"/>
    </row>
    <row r="191">
      <c r="A191" s="168"/>
      <c r="B191" s="182">
        <v>82112.0</v>
      </c>
      <c r="C191" s="181" t="s">
        <v>1749</v>
      </c>
      <c r="D191" s="170" t="s">
        <v>1498</v>
      </c>
      <c r="E191" s="171"/>
      <c r="F191" s="171"/>
      <c r="G191" s="172"/>
      <c r="H191" s="172"/>
      <c r="I191" s="172"/>
      <c r="J191" s="172"/>
      <c r="K191" s="172"/>
      <c r="L191" s="172"/>
      <c r="M191" s="172"/>
      <c r="N191" s="172"/>
      <c r="O191" s="172"/>
    </row>
    <row r="192">
      <c r="A192" s="168"/>
      <c r="B192" s="182">
        <v>8212.0</v>
      </c>
      <c r="C192" s="181" t="s">
        <v>1750</v>
      </c>
      <c r="D192" s="170" t="s">
        <v>1498</v>
      </c>
      <c r="E192" s="171"/>
      <c r="F192" s="171"/>
      <c r="G192" s="172"/>
      <c r="H192" s="172"/>
      <c r="I192" s="172"/>
      <c r="J192" s="172"/>
      <c r="K192" s="172"/>
      <c r="L192" s="172"/>
      <c r="M192" s="172"/>
      <c r="N192" s="172"/>
      <c r="O192" s="172"/>
    </row>
    <row r="193">
      <c r="A193" s="164"/>
      <c r="B193" s="164"/>
      <c r="C193" s="165" t="s">
        <v>1521</v>
      </c>
      <c r="D193" s="167"/>
      <c r="E193" s="167"/>
      <c r="F193" s="167"/>
      <c r="G193" s="167"/>
      <c r="H193" s="167"/>
      <c r="I193" s="167"/>
      <c r="J193" s="167"/>
      <c r="K193" s="167"/>
      <c r="L193" s="167"/>
      <c r="M193" s="167"/>
      <c r="N193" s="167"/>
      <c r="O193" s="167"/>
    </row>
    <row r="194">
      <c r="A194" s="159">
        <v>911.0</v>
      </c>
      <c r="B194" s="168"/>
      <c r="C194" s="169" t="s">
        <v>1522</v>
      </c>
      <c r="D194" s="170" t="s">
        <v>1498</v>
      </c>
      <c r="E194" s="171"/>
      <c r="F194" s="171"/>
      <c r="G194" s="172"/>
      <c r="H194" s="172"/>
      <c r="I194" s="172"/>
      <c r="J194" s="172"/>
      <c r="K194" s="172"/>
      <c r="L194" s="172"/>
      <c r="M194" s="172"/>
      <c r="N194" s="172"/>
      <c r="O194" s="172"/>
    </row>
  </sheetData>
  <mergeCells count="3">
    <mergeCell ref="A1:B1"/>
    <mergeCell ref="C1:C2"/>
    <mergeCell ref="G1:O1"/>
  </mergeCells>
  <conditionalFormatting sqref="D1:D71 D73:D126 D128:D142 D144:D146 D148:D183 D185 D187:D192 D194">
    <cfRule type="containsText" dxfId="6" priority="1" operator="containsText" text="Nợ">
      <formula>NOT(ISERROR(SEARCH(("Nợ"),(D1))))</formula>
    </cfRule>
  </conditionalFormatting>
  <conditionalFormatting sqref="D1:D71 D73:D126 D128:D142 D144:D146 D148:D183 D185 D187:D192 D194">
    <cfRule type="containsText" dxfId="7" priority="2" operator="containsText" text="Dư Có">
      <formula>NOT(ISERROR(SEARCH(("Dư Có"),(D1))))</formula>
    </cfRule>
  </conditionalFormatting>
  <conditionalFormatting sqref="D1:D71 D73:D126 D128:D142 D144:D146 D148:D183 D185 D187:D192 D194">
    <cfRule type="containsText" dxfId="8" priority="3" operator="containsText" text="Lưỡng tính">
      <formula>NOT(ISERROR(SEARCH(("Lưỡng tính"),(D1))))</formula>
    </cfRule>
  </conditionalFormatting>
  <conditionalFormatting sqref="D1:D71 D73:D126 D128:D142 D144:D146 D148:D183 D185 D187:D192 D194">
    <cfRule type="containsText" dxfId="9" priority="4" operator="containsText" text="Không có số dư">
      <formula>NOT(ISERROR(SEARCH(("Không có số dư"),(D1))))</formula>
    </cfRule>
  </conditionalFormatting>
  <conditionalFormatting sqref="G4:G71 G73:G126 G128:G142 G144:G146 G148:G183 G185 G187:G192 G194">
    <cfRule type="containsText" dxfId="10" priority="5" operator="containsText" text="Khách hàng">
      <formula>NOT(ISERROR(SEARCH(("Khách hàng"),(G4))))</formula>
    </cfRule>
  </conditionalFormatting>
  <conditionalFormatting sqref="G4:G71 G73:G126 G128:G142 G144:G146 G148:G183 G185 G187:G192 G194">
    <cfRule type="containsText" dxfId="7" priority="6" operator="containsText" text="Nhà cung cấp">
      <formula>NOT(ISERROR(SEARCH(("Nhà cung cấp"),(G4))))</formula>
    </cfRule>
  </conditionalFormatting>
  <conditionalFormatting sqref="G4:G71 G73:G126 G128:G142 G144:G146 G148:G183 G185 G187:G192 G194">
    <cfRule type="containsText" dxfId="11" priority="7" operator="containsText" text="Nhân viên">
      <formula>NOT(ISERROR(SEARCH(("Nhân viên"),(G4))))</formula>
    </cfRule>
  </conditionalFormatting>
  <conditionalFormatting sqref="H1:O71 H73:O126 H128:O142 H144:O146 H148:O183 H185:O185 H187:O192 H194:O194">
    <cfRule type="containsText" dxfId="12" priority="8" operator="containsText" text="Bắt buộc">
      <formula>NOT(ISERROR(SEARCH(("Bắt buộc"),(H1))))</formula>
    </cfRule>
  </conditionalFormatting>
  <dataValidations>
    <dataValidation type="list" allowBlank="1" showErrorMessage="1" sqref="G4:G71 G73:G126 G128:G142 G144:G146 G148:G183 G185 G187:G192 G194">
      <formula1>"Khách hàng,Nhà cung cấp,Nhân viên"</formula1>
    </dataValidation>
    <dataValidation type="list" allowBlank="1" showErrorMessage="1" sqref="H4:O71 H73:O126 H128:O142 H144:O146 H148:O183 H185:O185 H187:O192 H194:O194">
      <formula1>"Bắt buộc,Chỉ cảnh báo"</formula1>
    </dataValidation>
    <dataValidation type="list" allowBlank="1" showErrorMessage="1" sqref="F4:F71 F73:F126 F128:F142 F144:F146 F148:F183 F185 F187:F192 F194">
      <formula1>"Xóa,Sửa,Nhân bản,Chuyển tài khoản hạch toán"</formula1>
    </dataValidation>
    <dataValidation type="list" allowBlank="1" showErrorMessage="1" sqref="D4:D71 D73:D126 D128:D142 D144:D146 D148:D183 D185 D187:D192 D194">
      <formula1>"Dư Nợ,Dư Có,Lưỡng tính,Không có số dư"</formula1>
    </dataValidation>
    <dataValidation type="list" allowBlank="1" showErrorMessage="1" sqref="E4:E71 E73:E126 E128:E142 E144:E146 E148:E183 E185 E187:E192 E194">
      <formula1>"Sử dụng,Ngừng sử dụng"</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9.0"/>
    <col customWidth="1" min="4" max="4" width="36.71"/>
    <col customWidth="1" min="5" max="5" width="7.71"/>
  </cols>
  <sheetData>
    <row r="1">
      <c r="A1" s="226" t="s">
        <v>1751</v>
      </c>
      <c r="B1" s="227"/>
      <c r="C1" s="228"/>
      <c r="D1" s="228"/>
      <c r="E1" s="228"/>
      <c r="F1" s="228"/>
      <c r="G1" s="228"/>
      <c r="H1" s="227" t="s">
        <v>1752</v>
      </c>
      <c r="I1" s="228"/>
    </row>
    <row r="2">
      <c r="A2" s="229"/>
      <c r="B2" s="228"/>
      <c r="C2" s="228"/>
      <c r="D2" s="228"/>
      <c r="E2" s="230" t="s">
        <v>1753</v>
      </c>
      <c r="F2" s="228"/>
      <c r="G2" s="228"/>
      <c r="H2" s="228"/>
      <c r="I2" s="228"/>
    </row>
    <row r="3">
      <c r="A3" s="231"/>
      <c r="B3" s="228"/>
      <c r="C3" s="228"/>
      <c r="D3" s="228"/>
      <c r="E3" s="231" t="s">
        <v>1754</v>
      </c>
      <c r="F3" s="228"/>
      <c r="G3" s="228"/>
      <c r="H3" s="228"/>
      <c r="I3" s="228"/>
    </row>
    <row r="4">
      <c r="A4" s="231"/>
      <c r="B4" s="228"/>
      <c r="C4" s="228"/>
      <c r="D4" s="228"/>
      <c r="E4" s="231" t="s">
        <v>1755</v>
      </c>
      <c r="F4" s="228"/>
      <c r="G4" s="228"/>
      <c r="H4" s="228"/>
      <c r="I4" s="228"/>
    </row>
    <row r="5">
      <c r="A5" s="232"/>
      <c r="B5" s="228"/>
      <c r="C5" s="228"/>
      <c r="D5" s="228"/>
      <c r="E5" s="232" t="s">
        <v>1756</v>
      </c>
      <c r="F5" s="228"/>
      <c r="G5" s="228"/>
      <c r="H5" s="228"/>
      <c r="I5" s="228"/>
    </row>
    <row r="6">
      <c r="A6" s="233" t="s">
        <v>1757</v>
      </c>
      <c r="B6" s="233" t="s">
        <v>1758</v>
      </c>
      <c r="C6" s="234"/>
      <c r="D6" s="233" t="s">
        <v>1759</v>
      </c>
      <c r="E6" s="233" t="s">
        <v>1760</v>
      </c>
      <c r="F6" s="233" t="s">
        <v>1761</v>
      </c>
      <c r="G6" s="234"/>
      <c r="H6" s="233" t="s">
        <v>1762</v>
      </c>
      <c r="I6" s="235"/>
    </row>
    <row r="7">
      <c r="A7" s="236"/>
      <c r="B7" s="233" t="s">
        <v>1763</v>
      </c>
      <c r="C7" s="233" t="s">
        <v>1764</v>
      </c>
      <c r="D7" s="236"/>
      <c r="E7" s="236"/>
      <c r="F7" s="233" t="s">
        <v>1765</v>
      </c>
      <c r="G7" s="233" t="s">
        <v>1766</v>
      </c>
      <c r="H7" s="233" t="s">
        <v>1765</v>
      </c>
      <c r="I7" s="237" t="s">
        <v>1766</v>
      </c>
    </row>
    <row r="8">
      <c r="A8" s="238" t="s">
        <v>1767</v>
      </c>
      <c r="B8" s="238" t="s">
        <v>1768</v>
      </c>
      <c r="C8" s="238" t="s">
        <v>1769</v>
      </c>
      <c r="D8" s="238" t="s">
        <v>1770</v>
      </c>
      <c r="E8" s="238" t="s">
        <v>1771</v>
      </c>
      <c r="F8" s="238">
        <v>1.0</v>
      </c>
      <c r="G8" s="238">
        <v>2.0</v>
      </c>
      <c r="H8" s="238">
        <v>3.0</v>
      </c>
      <c r="I8" s="239">
        <v>4.0</v>
      </c>
    </row>
    <row r="9">
      <c r="D9" s="240" t="s">
        <v>1772</v>
      </c>
      <c r="E9" s="241" t="s">
        <v>1610</v>
      </c>
      <c r="F9" s="241" t="s">
        <v>1610</v>
      </c>
      <c r="G9" s="241" t="s">
        <v>1610</v>
      </c>
      <c r="H9" s="242"/>
      <c r="I9" s="243"/>
    </row>
    <row r="10">
      <c r="A10" s="244"/>
      <c r="B10" s="244"/>
      <c r="C10" s="244"/>
      <c r="D10" s="245"/>
      <c r="E10" s="244"/>
      <c r="F10" s="244"/>
      <c r="G10" s="244"/>
      <c r="H10" s="244"/>
      <c r="I10" s="246"/>
    </row>
    <row r="11">
      <c r="A11" s="244"/>
      <c r="B11" s="244"/>
      <c r="C11" s="244"/>
      <c r="D11" s="245"/>
      <c r="E11" s="244"/>
      <c r="F11" s="244"/>
      <c r="G11" s="244"/>
      <c r="H11" s="244"/>
      <c r="I11" s="246"/>
    </row>
    <row r="12">
      <c r="A12" s="244"/>
      <c r="B12" s="244"/>
      <c r="C12" s="244"/>
      <c r="D12" s="247"/>
      <c r="E12" s="248"/>
      <c r="F12" s="248"/>
      <c r="G12" s="248"/>
      <c r="H12" s="248"/>
      <c r="I12" s="249"/>
    </row>
    <row r="13">
      <c r="A13" s="236"/>
      <c r="B13" s="236"/>
      <c r="C13" s="236"/>
      <c r="D13" s="250" t="s">
        <v>1773</v>
      </c>
      <c r="E13" s="251" t="s">
        <v>1610</v>
      </c>
      <c r="F13" s="252"/>
      <c r="G13" s="252"/>
      <c r="H13" s="251" t="s">
        <v>1610</v>
      </c>
      <c r="I13" s="253" t="s">
        <v>1610</v>
      </c>
    </row>
    <row r="14">
      <c r="A14" s="254"/>
      <c r="B14" s="254"/>
      <c r="C14" s="254"/>
      <c r="D14" s="240" t="s">
        <v>1774</v>
      </c>
      <c r="E14" s="241" t="s">
        <v>1610</v>
      </c>
      <c r="F14" s="241" t="s">
        <v>1610</v>
      </c>
      <c r="G14" s="241" t="s">
        <v>1610</v>
      </c>
      <c r="H14" s="242"/>
      <c r="I14" s="243"/>
    </row>
    <row r="15">
      <c r="A15" s="255" t="s">
        <v>1775</v>
      </c>
      <c r="B15" s="228"/>
      <c r="C15" s="228"/>
      <c r="D15" s="228"/>
      <c r="E15" s="228"/>
      <c r="F15" s="228"/>
      <c r="G15" s="228"/>
      <c r="H15" s="228"/>
      <c r="I15" s="228"/>
    </row>
    <row r="16">
      <c r="A16" s="255" t="s">
        <v>1776</v>
      </c>
      <c r="B16" s="228"/>
      <c r="C16" s="228"/>
      <c r="D16" s="228"/>
      <c r="E16" s="228"/>
      <c r="F16" s="228"/>
      <c r="G16" s="228"/>
      <c r="H16" s="228"/>
      <c r="I16" s="228"/>
    </row>
    <row r="17">
      <c r="A17" s="230"/>
      <c r="B17" s="230" t="s">
        <v>1777</v>
      </c>
      <c r="C17" s="232"/>
      <c r="D17" s="230"/>
      <c r="E17" s="230" t="s">
        <v>1778</v>
      </c>
      <c r="F17" s="256"/>
      <c r="G17" s="256"/>
      <c r="H17" s="232" t="s">
        <v>1779</v>
      </c>
      <c r="I17" s="256"/>
    </row>
    <row r="18">
      <c r="A18" s="230">
        <v>-1.0</v>
      </c>
      <c r="B18" s="230"/>
      <c r="C18" s="232"/>
      <c r="D18" s="230"/>
      <c r="E18" s="230"/>
      <c r="F18" s="256"/>
      <c r="G18" s="256"/>
      <c r="H18" s="232"/>
      <c r="I18" s="256"/>
    </row>
    <row r="19">
      <c r="A19" s="257" t="s">
        <v>1754</v>
      </c>
      <c r="B19" s="258"/>
      <c r="C19" s="259"/>
      <c r="D19" s="260" t="s">
        <v>1780</v>
      </c>
      <c r="E19" s="258"/>
      <c r="F19" s="261"/>
      <c r="G19" s="261"/>
      <c r="H19" s="259"/>
      <c r="I19" s="261"/>
    </row>
    <row r="20">
      <c r="A20" s="257" t="s">
        <v>1755</v>
      </c>
      <c r="B20" s="258"/>
      <c r="C20" s="259"/>
      <c r="D20" s="260" t="s">
        <v>1781</v>
      </c>
      <c r="E20" s="258"/>
      <c r="F20" s="261"/>
      <c r="G20" s="261"/>
      <c r="H20" s="259"/>
      <c r="I20" s="261"/>
    </row>
    <row r="21">
      <c r="A21" s="257" t="s">
        <v>1760</v>
      </c>
      <c r="B21" s="258"/>
      <c r="C21" s="259"/>
      <c r="D21" s="260" t="s">
        <v>1782</v>
      </c>
      <c r="E21" s="258"/>
      <c r="F21" s="261"/>
      <c r="G21" s="261"/>
      <c r="H21" s="259"/>
      <c r="I21" s="261"/>
    </row>
    <row r="22">
      <c r="A22" s="257" t="s">
        <v>1761</v>
      </c>
      <c r="B22" s="258"/>
      <c r="C22" s="259"/>
      <c r="D22" s="260" t="s">
        <v>1783</v>
      </c>
      <c r="E22" s="258"/>
      <c r="F22" s="261"/>
      <c r="G22" s="261"/>
      <c r="H22" s="259"/>
      <c r="I22" s="261"/>
    </row>
    <row r="23">
      <c r="A23" s="257" t="s">
        <v>1762</v>
      </c>
      <c r="B23" s="258"/>
      <c r="C23" s="259"/>
      <c r="D23" s="260"/>
      <c r="E23" s="258"/>
      <c r="F23" s="261"/>
      <c r="G23" s="261"/>
      <c r="H23" s="259"/>
      <c r="I23" s="261"/>
    </row>
    <row r="24">
      <c r="A24" s="257"/>
      <c r="B24" s="258"/>
      <c r="C24" s="259"/>
      <c r="D24" s="260"/>
      <c r="E24" s="258"/>
      <c r="F24" s="261"/>
      <c r="G24" s="261"/>
      <c r="H24" s="259"/>
      <c r="I24" s="261"/>
    </row>
    <row r="25">
      <c r="A25" s="257"/>
      <c r="B25" s="258"/>
      <c r="C25" s="259"/>
      <c r="D25" s="260"/>
      <c r="E25" s="258"/>
      <c r="F25" s="261"/>
      <c r="G25" s="261"/>
      <c r="H25" s="259"/>
      <c r="I25" s="261"/>
    </row>
    <row r="26">
      <c r="A26" s="257"/>
      <c r="B26" s="258"/>
      <c r="C26" s="259"/>
      <c r="D26" s="260"/>
      <c r="E26" s="258"/>
      <c r="F26" s="261"/>
      <c r="G26" s="261"/>
      <c r="H26" s="259"/>
      <c r="I26" s="261"/>
    </row>
    <row r="27">
      <c r="A27" s="257"/>
      <c r="B27" s="258"/>
      <c r="C27" s="259"/>
      <c r="D27" s="260"/>
      <c r="E27" s="258"/>
      <c r="F27" s="261"/>
      <c r="G27" s="261"/>
      <c r="H27" s="259"/>
      <c r="I27" s="261"/>
    </row>
  </sheetData>
  <mergeCells count="9">
    <mergeCell ref="B12:B14"/>
    <mergeCell ref="C12:C14"/>
    <mergeCell ref="A6:A7"/>
    <mergeCell ref="B6:C6"/>
    <mergeCell ref="D6:D7"/>
    <mergeCell ref="E6:E7"/>
    <mergeCell ref="F6:G6"/>
    <mergeCell ref="H6:I6"/>
    <mergeCell ref="A12:A1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9.0"/>
    <col customWidth="1" min="4" max="4" width="36.71"/>
    <col customWidth="1" min="5" max="5" width="7.71"/>
  </cols>
  <sheetData>
    <row r="1">
      <c r="A1" s="226" t="s">
        <v>1751</v>
      </c>
      <c r="B1" s="227"/>
      <c r="C1" s="228"/>
      <c r="D1" s="228"/>
      <c r="E1" s="228"/>
      <c r="F1" s="228"/>
      <c r="G1" s="228"/>
      <c r="H1" s="227"/>
      <c r="I1" s="228"/>
    </row>
    <row r="2">
      <c r="A2" s="229"/>
      <c r="B2" s="228"/>
      <c r="C2" s="228"/>
      <c r="D2" s="228"/>
      <c r="E2" s="230" t="s">
        <v>1784</v>
      </c>
      <c r="F2" s="228"/>
      <c r="G2" s="228"/>
      <c r="H2" s="228"/>
      <c r="I2" s="228"/>
    </row>
    <row r="3">
      <c r="A3" s="231"/>
      <c r="B3" s="228"/>
      <c r="C3" s="228"/>
      <c r="D3" s="228"/>
      <c r="E3" s="231" t="s">
        <v>1754</v>
      </c>
      <c r="F3" s="228"/>
      <c r="G3" s="228"/>
      <c r="H3" s="228"/>
      <c r="I3" s="228"/>
    </row>
    <row r="4">
      <c r="A4" s="231"/>
      <c r="B4" s="228"/>
      <c r="C4" s="228"/>
      <c r="D4" s="228"/>
      <c r="E4" s="231" t="s">
        <v>1755</v>
      </c>
      <c r="F4" s="228"/>
      <c r="G4" s="228"/>
      <c r="H4" s="228"/>
      <c r="I4" s="228"/>
    </row>
    <row r="5">
      <c r="A5" s="232"/>
      <c r="B5" s="228"/>
      <c r="C5" s="228"/>
      <c r="D5" s="228"/>
      <c r="E5" s="232" t="s">
        <v>1756</v>
      </c>
      <c r="F5" s="228"/>
      <c r="G5" s="228"/>
      <c r="H5" s="228"/>
      <c r="I5" s="228"/>
    </row>
    <row r="6">
      <c r="A6" s="233" t="s">
        <v>1757</v>
      </c>
      <c r="B6" s="233" t="s">
        <v>1758</v>
      </c>
      <c r="C6" s="234"/>
      <c r="D6" s="233" t="s">
        <v>1759</v>
      </c>
      <c r="E6" s="233" t="s">
        <v>1760</v>
      </c>
      <c r="F6" s="233" t="s">
        <v>1761</v>
      </c>
      <c r="G6" s="234"/>
      <c r="H6" s="233" t="s">
        <v>1762</v>
      </c>
      <c r="I6" s="235"/>
    </row>
    <row r="7">
      <c r="A7" s="236"/>
      <c r="B7" s="233" t="s">
        <v>1763</v>
      </c>
      <c r="C7" s="233" t="s">
        <v>1764</v>
      </c>
      <c r="D7" s="236"/>
      <c r="E7" s="236"/>
      <c r="F7" s="233" t="s">
        <v>1785</v>
      </c>
      <c r="G7" s="233" t="s">
        <v>1786</v>
      </c>
      <c r="H7" s="233" t="s">
        <v>1785</v>
      </c>
      <c r="I7" s="233" t="s">
        <v>1786</v>
      </c>
    </row>
    <row r="8">
      <c r="A8" s="238" t="s">
        <v>1767</v>
      </c>
      <c r="B8" s="238" t="s">
        <v>1768</v>
      </c>
      <c r="C8" s="238" t="s">
        <v>1769</v>
      </c>
      <c r="D8" s="238" t="s">
        <v>1770</v>
      </c>
      <c r="E8" s="238" t="s">
        <v>1771</v>
      </c>
      <c r="F8" s="238">
        <v>1.0</v>
      </c>
      <c r="G8" s="238">
        <v>2.0</v>
      </c>
      <c r="H8" s="238">
        <v>3.0</v>
      </c>
      <c r="I8" s="239">
        <v>4.0</v>
      </c>
    </row>
    <row r="9">
      <c r="D9" s="240" t="s">
        <v>1772</v>
      </c>
      <c r="E9" s="241" t="s">
        <v>1610</v>
      </c>
      <c r="F9" s="241" t="s">
        <v>1610</v>
      </c>
      <c r="G9" s="241" t="s">
        <v>1610</v>
      </c>
      <c r="H9" s="242"/>
      <c r="I9" s="243"/>
    </row>
    <row r="10">
      <c r="A10" s="244"/>
      <c r="B10" s="244"/>
      <c r="C10" s="244"/>
      <c r="D10" s="245"/>
      <c r="E10" s="244"/>
      <c r="F10" s="244"/>
      <c r="G10" s="244"/>
      <c r="H10" s="244"/>
      <c r="I10" s="246"/>
    </row>
    <row r="11">
      <c r="A11" s="244"/>
      <c r="B11" s="244"/>
      <c r="C11" s="244"/>
      <c r="D11" s="245"/>
      <c r="E11" s="244"/>
      <c r="F11" s="244"/>
      <c r="G11" s="244"/>
      <c r="H11" s="244"/>
      <c r="I11" s="246"/>
    </row>
    <row r="12">
      <c r="A12" s="244"/>
      <c r="B12" s="244"/>
      <c r="C12" s="244"/>
      <c r="D12" s="245"/>
      <c r="E12" s="244"/>
      <c r="F12" s="244"/>
      <c r="G12" s="244"/>
      <c r="H12" s="244"/>
      <c r="I12" s="246"/>
    </row>
    <row r="13">
      <c r="A13" s="244"/>
      <c r="B13" s="244"/>
      <c r="C13" s="244"/>
      <c r="D13" s="247"/>
      <c r="E13" s="248"/>
      <c r="F13" s="248"/>
      <c r="G13" s="248"/>
      <c r="H13" s="248"/>
      <c r="I13" s="249"/>
    </row>
    <row r="14">
      <c r="A14" s="236"/>
      <c r="B14" s="236"/>
      <c r="C14" s="236"/>
      <c r="D14" s="250" t="s">
        <v>1773</v>
      </c>
      <c r="E14" s="251" t="s">
        <v>1610</v>
      </c>
      <c r="F14" s="252"/>
      <c r="G14" s="252"/>
      <c r="H14" s="251" t="s">
        <v>1610</v>
      </c>
      <c r="I14" s="253" t="s">
        <v>1610</v>
      </c>
    </row>
    <row r="15">
      <c r="A15" s="254"/>
      <c r="B15" s="254"/>
      <c r="C15" s="254"/>
      <c r="D15" s="240" t="s">
        <v>1774</v>
      </c>
      <c r="E15" s="241" t="s">
        <v>1610</v>
      </c>
      <c r="F15" s="241" t="s">
        <v>1610</v>
      </c>
      <c r="G15" s="241" t="s">
        <v>1610</v>
      </c>
      <c r="H15" s="242"/>
      <c r="I15" s="243"/>
    </row>
    <row r="16">
      <c r="A16" s="255" t="s">
        <v>1775</v>
      </c>
      <c r="B16" s="228"/>
      <c r="C16" s="228"/>
      <c r="D16" s="228"/>
      <c r="E16" s="228"/>
      <c r="F16" s="228"/>
      <c r="G16" s="228"/>
      <c r="H16" s="228"/>
      <c r="I16" s="228"/>
    </row>
    <row r="17">
      <c r="A17" s="255" t="s">
        <v>1776</v>
      </c>
      <c r="B17" s="228"/>
      <c r="C17" s="228"/>
      <c r="D17" s="228"/>
      <c r="E17" s="228"/>
      <c r="F17" s="228"/>
      <c r="G17" s="228"/>
      <c r="H17" s="228"/>
      <c r="I17" s="228"/>
    </row>
    <row r="18">
      <c r="A18" s="230"/>
      <c r="B18" s="230" t="s">
        <v>1777</v>
      </c>
      <c r="C18" s="232"/>
      <c r="D18" s="230"/>
      <c r="E18" s="230" t="s">
        <v>1778</v>
      </c>
      <c r="F18" s="256"/>
      <c r="G18" s="256"/>
      <c r="H18" s="232" t="s">
        <v>1779</v>
      </c>
      <c r="I18" s="256"/>
    </row>
    <row r="19">
      <c r="A19" s="230">
        <v>-1.0</v>
      </c>
      <c r="B19" s="230"/>
      <c r="C19" s="232"/>
      <c r="D19" s="230"/>
      <c r="E19" s="230"/>
      <c r="F19" s="256"/>
      <c r="G19" s="256"/>
      <c r="H19" s="232"/>
      <c r="I19" s="256"/>
    </row>
    <row r="20">
      <c r="A20" s="257" t="s">
        <v>1754</v>
      </c>
      <c r="B20" s="258"/>
      <c r="C20" s="259"/>
      <c r="D20" s="260" t="s">
        <v>1787</v>
      </c>
      <c r="E20" s="258"/>
      <c r="F20" s="261"/>
      <c r="G20" s="261"/>
      <c r="H20" s="259"/>
      <c r="I20" s="261"/>
    </row>
    <row r="21">
      <c r="A21" s="257" t="s">
        <v>1755</v>
      </c>
      <c r="B21" s="258"/>
      <c r="C21" s="259"/>
      <c r="D21" s="260" t="s">
        <v>1788</v>
      </c>
      <c r="E21" s="258"/>
      <c r="F21" s="261"/>
      <c r="G21" s="261"/>
      <c r="H21" s="259"/>
      <c r="I21" s="261"/>
    </row>
    <row r="22">
      <c r="A22" s="257" t="s">
        <v>1760</v>
      </c>
      <c r="B22" s="258"/>
      <c r="C22" s="259"/>
      <c r="D22" s="260" t="s">
        <v>1782</v>
      </c>
      <c r="E22" s="258"/>
      <c r="F22" s="261"/>
      <c r="G22" s="261"/>
      <c r="H22" s="259"/>
      <c r="I22" s="261"/>
    </row>
    <row r="23">
      <c r="A23" s="257" t="s">
        <v>1761</v>
      </c>
      <c r="B23" s="258"/>
      <c r="C23" s="259"/>
      <c r="D23" s="260" t="s">
        <v>1783</v>
      </c>
      <c r="E23" s="258"/>
      <c r="F23" s="261"/>
      <c r="G23" s="261"/>
      <c r="H23" s="259"/>
      <c r="I23" s="261"/>
    </row>
    <row r="24">
      <c r="A24" s="257" t="s">
        <v>1762</v>
      </c>
      <c r="B24" s="258"/>
      <c r="C24" s="259"/>
      <c r="D24" s="260"/>
      <c r="E24" s="258"/>
      <c r="F24" s="261"/>
      <c r="G24" s="261"/>
      <c r="H24" s="259"/>
      <c r="I24" s="261"/>
    </row>
    <row r="25">
      <c r="A25" s="257" t="s">
        <v>1785</v>
      </c>
      <c r="B25" s="260" t="s">
        <v>1789</v>
      </c>
      <c r="C25" s="259"/>
      <c r="D25" s="260"/>
      <c r="E25" s="258"/>
      <c r="F25" s="261"/>
      <c r="G25" s="261"/>
      <c r="H25" s="259"/>
      <c r="I25" s="261"/>
    </row>
    <row r="26">
      <c r="A26" s="257" t="s">
        <v>1786</v>
      </c>
      <c r="B26" s="260" t="s">
        <v>1790</v>
      </c>
      <c r="C26" s="259"/>
      <c r="D26" s="260"/>
      <c r="E26" s="258"/>
      <c r="F26" s="261"/>
      <c r="G26" s="261"/>
      <c r="H26" s="259"/>
      <c r="I26" s="261"/>
    </row>
    <row r="27">
      <c r="A27" s="257"/>
      <c r="B27" s="258"/>
      <c r="C27" s="259"/>
      <c r="D27" s="260"/>
      <c r="E27" s="258"/>
      <c r="F27" s="261"/>
      <c r="G27" s="261"/>
      <c r="H27" s="259"/>
      <c r="I27" s="261"/>
    </row>
    <row r="28">
      <c r="A28" s="257"/>
      <c r="B28" s="258"/>
      <c r="C28" s="259"/>
      <c r="D28" s="260"/>
      <c r="E28" s="258"/>
      <c r="F28" s="261"/>
      <c r="G28" s="261"/>
      <c r="H28" s="259"/>
      <c r="I28" s="261"/>
    </row>
  </sheetData>
  <mergeCells count="9">
    <mergeCell ref="B13:B15"/>
    <mergeCell ref="C13:C15"/>
    <mergeCell ref="A6:A7"/>
    <mergeCell ref="B6:C6"/>
    <mergeCell ref="D6:D7"/>
    <mergeCell ref="E6:E7"/>
    <mergeCell ref="F6:G6"/>
    <mergeCell ref="H6:I6"/>
    <mergeCell ref="A13:A1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4.43" defaultRowHeight="15.0" outlineLevelCol="1"/>
  <cols>
    <col customWidth="1" hidden="1" min="1" max="1" width="7.86"/>
    <col collapsed="1" customWidth="1" min="3" max="3" width="49.71"/>
    <col hidden="1" min="4" max="5" width="14.43" outlineLevel="1"/>
    <col customWidth="1" hidden="1" min="12" max="12" width="8.71"/>
  </cols>
  <sheetData>
    <row r="1">
      <c r="A1" s="262" t="str">
        <f>NAME</f>
        <v>#NAME?</v>
      </c>
      <c r="B1" s="263"/>
      <c r="C1" s="264"/>
      <c r="D1" s="264"/>
      <c r="E1" s="264"/>
      <c r="F1" s="265"/>
      <c r="G1" s="265"/>
      <c r="H1" s="265"/>
      <c r="I1" s="265"/>
      <c r="J1" s="265"/>
      <c r="K1" s="265"/>
      <c r="L1" s="264"/>
    </row>
    <row r="2">
      <c r="A2" s="263"/>
      <c r="B2" s="263"/>
      <c r="C2" s="264"/>
      <c r="D2" s="264"/>
      <c r="E2" s="264"/>
      <c r="F2" s="264"/>
      <c r="G2" s="266" t="s">
        <v>1791</v>
      </c>
      <c r="H2" s="264"/>
      <c r="I2" s="264"/>
      <c r="J2" s="264"/>
      <c r="K2" s="264"/>
      <c r="L2" s="264"/>
    </row>
    <row r="3">
      <c r="A3" s="267"/>
      <c r="B3" s="267"/>
      <c r="C3" s="268"/>
      <c r="D3" s="269"/>
      <c r="E3" s="269"/>
      <c r="F3" s="231" t="s">
        <v>1754</v>
      </c>
      <c r="G3" s="270"/>
      <c r="H3" s="271"/>
      <c r="I3" s="271"/>
      <c r="J3" s="268"/>
      <c r="K3" s="268"/>
      <c r="L3" s="268"/>
    </row>
    <row r="4">
      <c r="A4" s="272"/>
      <c r="B4" s="272"/>
      <c r="C4" s="273"/>
      <c r="D4" s="274" t="s">
        <v>1792</v>
      </c>
      <c r="E4" s="275"/>
      <c r="F4" s="231" t="s">
        <v>1755</v>
      </c>
      <c r="G4" s="276"/>
      <c r="H4" s="277" t="str">
        <f>CDPS!K4</f>
        <v/>
      </c>
      <c r="I4" s="275"/>
      <c r="J4" s="273"/>
      <c r="K4" s="273"/>
      <c r="L4" s="273"/>
    </row>
    <row r="5">
      <c r="A5" s="278" t="s">
        <v>1793</v>
      </c>
      <c r="B5" s="279" t="s">
        <v>1794</v>
      </c>
      <c r="C5" s="280" t="s">
        <v>1795</v>
      </c>
      <c r="D5" s="281" t="s">
        <v>1796</v>
      </c>
      <c r="E5" s="3"/>
      <c r="F5" s="282" t="s">
        <v>102</v>
      </c>
      <c r="G5" s="3"/>
      <c r="H5" s="282" t="s">
        <v>1797</v>
      </c>
      <c r="I5" s="3"/>
      <c r="J5" s="282" t="s">
        <v>1798</v>
      </c>
      <c r="K5" s="3"/>
      <c r="L5" s="283" t="s">
        <v>1799</v>
      </c>
    </row>
    <row r="6">
      <c r="A6" s="284" t="s">
        <v>1800</v>
      </c>
      <c r="B6" s="285"/>
      <c r="C6" s="286"/>
      <c r="D6" s="287" t="s">
        <v>1765</v>
      </c>
      <c r="E6" s="287" t="s">
        <v>1766</v>
      </c>
      <c r="F6" s="288" t="s">
        <v>1785</v>
      </c>
      <c r="G6" s="288" t="s">
        <v>1786</v>
      </c>
      <c r="H6" s="288" t="s">
        <v>1785</v>
      </c>
      <c r="I6" s="288" t="s">
        <v>1786</v>
      </c>
      <c r="J6" s="288" t="s">
        <v>1785</v>
      </c>
      <c r="K6" s="288" t="s">
        <v>1786</v>
      </c>
      <c r="L6" s="288" t="s">
        <v>1801</v>
      </c>
    </row>
    <row r="7">
      <c r="A7" s="285"/>
      <c r="B7" s="289"/>
      <c r="C7" s="290"/>
      <c r="D7" s="290"/>
      <c r="E7" s="290"/>
      <c r="F7" s="291">
        <f t="shared" ref="F7:K7" si="1">SUMIF($L$8:$L$113,"SUM",F$8:F$113)</f>
        <v>0</v>
      </c>
      <c r="G7" s="291">
        <f t="shared" si="1"/>
        <v>0</v>
      </c>
      <c r="H7" s="291">
        <f t="shared" si="1"/>
        <v>0</v>
      </c>
      <c r="I7" s="291">
        <f t="shared" si="1"/>
        <v>0</v>
      </c>
      <c r="J7" s="291">
        <f t="shared" si="1"/>
        <v>0</v>
      </c>
      <c r="K7" s="291">
        <f t="shared" si="1"/>
        <v>0</v>
      </c>
      <c r="L7" s="292" t="str">
        <f>IF(SUM(J7:K7)&gt;0,"X","")</f>
        <v/>
      </c>
    </row>
    <row r="8">
      <c r="A8" s="293"/>
      <c r="B8" s="294" t="s">
        <v>1802</v>
      </c>
      <c r="C8" s="295" t="s">
        <v>1803</v>
      </c>
      <c r="D8" s="296"/>
      <c r="E8" s="296"/>
      <c r="F8" s="297">
        <f t="shared" ref="F8:K8" si="2">SUMIF($A:$A,$B8,F:F)</f>
        <v>0</v>
      </c>
      <c r="G8" s="297">
        <f t="shared" si="2"/>
        <v>0</v>
      </c>
      <c r="H8" s="297">
        <f t="shared" si="2"/>
        <v>0</v>
      </c>
      <c r="I8" s="297">
        <f t="shared" si="2"/>
        <v>0</v>
      </c>
      <c r="J8" s="297">
        <f t="shared" si="2"/>
        <v>0</v>
      </c>
      <c r="K8" s="297">
        <f t="shared" si="2"/>
        <v>0</v>
      </c>
      <c r="L8" s="298" t="s">
        <v>1804</v>
      </c>
    </row>
    <row r="9">
      <c r="A9" s="299" t="s">
        <v>1802</v>
      </c>
      <c r="B9" s="300" t="s">
        <v>1805</v>
      </c>
      <c r="C9" s="301"/>
      <c r="D9" s="302"/>
      <c r="E9" s="302"/>
      <c r="F9" s="302" t="str">
        <f>if($D9+SUMIFS(AC_SOTIEN,AC_TKNO,$A9,AC_PHAITHU,$B9,AC_NGAY,"&lt;"&amp;$F$4)-($E9+SUMIFS(AC_SOTIEN,AC_TKCO,$A9,AC_PHAITRA,$B9,AC_NGAY,"&lt;"&amp;$F$4))&gt;0,$D9+SUMIFS(AC_SOTIEN,AC_TKNO,$A9,AC_PHAITHU,$B9,AC_NGAY,"&lt;"&amp;$F$4)-($E9+SUMIFS(AC_SOTIEN,AC_TKCO,$A9,AC_PHAITRA,$B9,AC_NGAY,"&lt;"&amp;$F$4)),"")</f>
        <v/>
      </c>
      <c r="G9" s="302" t="str">
        <f>IF($E9+SUMIFS(AC_SOTIEN,AC_TKCO,$A9,AC_PHAITRA,$B9, AC_NGAY,"&lt;"&amp;$F$4)-($D9+SUMIFS(AC_SOTIEN,AC_TKNO,$A9,AC_PHAITHU,$B9,AC_NGAY,"&lt;"&amp;$F$4))&gt;0,$E9+SUMIFS(AC_SOTIEN,AC_TKCO,$A9,AC_PHAITRA,$B9,AC_NGAY,"&lt;"&amp;$F$4)-($D9+SUMIFS(AC_SOTIEN,AC_TKNO,$A9,AC_PHAITHU,$B9,AC_NGAY,"&lt;"&amp;$F$4)),"")</f>
        <v/>
      </c>
      <c r="H9" s="303">
        <f>SUMIFS(AC_SOTIEN,AC_TKNO,$A9 ,AC_PHAITHU,$B9,AC_NGAY,"&gt;="&amp;$F$4,AC_NGAY,"&lt;="&amp;$H$4)</f>
        <v>0</v>
      </c>
      <c r="I9" s="303">
        <f>SUMIFS(AC_SOTIEN,AC_TKCO,$A9,AC_PHAITRA, $B9,AC_NGAY,"&gt;="&amp;$F$4,AC_NGAY,"&lt;="&amp;$H$4)</f>
        <v>0</v>
      </c>
      <c r="J9" s="303">
        <f t="shared" ref="J9:J17" si="3">IF(F9+H9-G9-I9&gt;=0,F9+H9-G9-I9,0)</f>
        <v>0</v>
      </c>
      <c r="K9" s="303">
        <f t="shared" ref="K9:K17" si="4">IF(G9+I9-H9-F9&gt;=0,G9+I9-H9-F9,0)</f>
        <v>0</v>
      </c>
      <c r="L9" s="286" t="str">
        <f t="shared" ref="L9:L17" si="5">IF(SUM(J9:K9)&gt;0,"X","")</f>
        <v/>
      </c>
    </row>
    <row r="10">
      <c r="A10" s="299" t="s">
        <v>1802</v>
      </c>
      <c r="B10" s="304"/>
      <c r="C10" s="301"/>
      <c r="D10" s="305"/>
      <c r="E10" s="302"/>
      <c r="F10" s="302" t="str">
        <f>if($D10+SUMIFS(AC_SOTIEN,AC_TKNO,$A10,AC_PHAITHU,$B10,AC_NGAY,"&lt;"&amp;$F$4)-($E10+SUMIFS(AC_SOTIEN,AC_TKCO,$A10,AC_PHAITRA,$B10,AC_NGAY,"&lt;"&amp;$F$4))&gt;0,$D10+SUMIFS(AC_SOTIEN,AC_TKNO,$A10,AC_PHAITHU,$B10,AC_NGAY,"&lt;"&amp;$F$4)-($E10+SUMIFS(AC_SOTIEN,AC_TKCO,$A10,AC_PHAITRA,$B10,AC_NGAY,"&lt;"&amp;$F$4)),"")</f>
        <v/>
      </c>
      <c r="G10" s="302" t="str">
        <f>IF($E10+SUMIFS(AC_SOTIEN,AC_TKCO,$A10,AC_PHAITRA,$B10, AC_NGAY,"&lt;"&amp;$F$4)-($D10+SUMIFS(AC_SOTIEN,AC_TKNO,$A10,AC_PHAITHU,$B10,AC_NGAY,"&lt;"&amp;$F$4))&gt;0,$E10+SUMIFS(AC_SOTIEN,AC_TKCO,$A10,AC_PHAITRA,$B10,AC_NGAY,"&lt;"&amp;$F$4)-($D10+SUMIFS(AC_SOTIEN,AC_TKNO,$A10,AC_PHAITHU,$B10,AC_NGAY,"&lt;"&amp;$F$4)),"")</f>
        <v/>
      </c>
      <c r="H10" s="303">
        <f>SUMIFS(AC_SOTIEN,AC_TKNO,$A10 ,AC_PHAITHU,$B10,AC_NGAY,"&gt;="&amp;$F$4,AC_NGAY,"&lt;="&amp;$H$4)</f>
        <v>0</v>
      </c>
      <c r="I10" s="303">
        <f>SUMIFS(AC_SOTIEN,AC_TKCO,$A10,AC_PHAITRA, $B10,AC_NGAY,"&gt;="&amp;$F$4,AC_NGAY,"&lt;="&amp;$H$4)</f>
        <v>0</v>
      </c>
      <c r="J10" s="303">
        <f t="shared" si="3"/>
        <v>0</v>
      </c>
      <c r="K10" s="303">
        <f t="shared" si="4"/>
        <v>0</v>
      </c>
      <c r="L10" s="306" t="str">
        <f t="shared" si="5"/>
        <v/>
      </c>
    </row>
    <row r="11">
      <c r="A11" s="299" t="s">
        <v>1802</v>
      </c>
      <c r="B11" s="304"/>
      <c r="C11" s="301"/>
      <c r="D11" s="302"/>
      <c r="E11" s="302"/>
      <c r="F11" s="302" t="str">
        <f>if($D11+SUMIFS(AC_SOTIEN,AC_TKNO,$A11,AC_PHAITHU,$B11,AC_NGAY,"&lt;"&amp;$F$4)-($E11+SUMIFS(AC_SOTIEN,AC_TKCO,$A11,AC_PHAITRA,$B11,AC_NGAY,"&lt;"&amp;$F$4))&gt;0,$D11+SUMIFS(AC_SOTIEN,AC_TKNO,$A11,AC_PHAITHU,$B11,AC_NGAY,"&lt;"&amp;$F$4)-($E11+SUMIFS(AC_SOTIEN,AC_TKCO,$A11,AC_PHAITRA,$B11,AC_NGAY,"&lt;"&amp;$F$4)),"")</f>
        <v/>
      </c>
      <c r="G11" s="302" t="str">
        <f>IF($E11+SUMIFS(AC_SOTIEN,AC_TKCO,$A11,AC_PHAITRA,$B11, AC_NGAY,"&lt;"&amp;$F$4)-($D11+SUMIFS(AC_SOTIEN,AC_TKNO,$A11,AC_PHAITHU,$B11,AC_NGAY,"&lt;"&amp;$F$4))&gt;0,$E11+SUMIFS(AC_SOTIEN,AC_TKCO,$A11,AC_PHAITRA,$B11,AC_NGAY,"&lt;"&amp;$F$4)-($D11+SUMIFS(AC_SOTIEN,AC_TKNO,$A11,AC_PHAITHU,$B11,AC_NGAY,"&lt;"&amp;$F$4)),"")</f>
        <v/>
      </c>
      <c r="H11" s="303">
        <f>SUMIFS(AC_SOTIEN,AC_TKNO,$A11 ,AC_PHAITHU,$B11,AC_NGAY,"&gt;="&amp;$F$4,AC_NGAY,"&lt;="&amp;$H$4)</f>
        <v>0</v>
      </c>
      <c r="I11" s="303">
        <f>SUMIFS(AC_SOTIEN,AC_TKCO,$A11,AC_PHAITRA, $B11,AC_NGAY,"&gt;="&amp;$F$4,AC_NGAY,"&lt;="&amp;$H$4)</f>
        <v>0</v>
      </c>
      <c r="J11" s="303">
        <f t="shared" si="3"/>
        <v>0</v>
      </c>
      <c r="K11" s="303">
        <f t="shared" si="4"/>
        <v>0</v>
      </c>
      <c r="L11" s="306" t="str">
        <f t="shared" si="5"/>
        <v/>
      </c>
    </row>
    <row r="12">
      <c r="A12" s="299" t="s">
        <v>1802</v>
      </c>
      <c r="B12" s="304"/>
      <c r="C12" s="301"/>
      <c r="D12" s="302"/>
      <c r="E12" s="302"/>
      <c r="F12" s="302" t="str">
        <f>if($D12+SUMIFS(AC_SOTIEN,AC_TKNO,$A12,AC_PHAITHU,$B12,AC_NGAY,"&lt;"&amp;$F$4)-($E12+SUMIFS(AC_SOTIEN,AC_TKCO,$A12,AC_PHAITRA,$B12,AC_NGAY,"&lt;"&amp;$F$4))&gt;0,$D12+SUMIFS(AC_SOTIEN,AC_TKNO,$A12,AC_PHAITHU,$B12,AC_NGAY,"&lt;"&amp;$F$4)-($E12+SUMIFS(AC_SOTIEN,AC_TKCO,$A12,AC_PHAITRA,$B12,AC_NGAY,"&lt;"&amp;$F$4)),"")</f>
        <v/>
      </c>
      <c r="G12" s="302" t="str">
        <f>IF($E12+SUMIFS(AC_SOTIEN,AC_TKCO,$A12,AC_PHAITRA,$B12, AC_NGAY,"&lt;"&amp;$F$4)-($D12+SUMIFS(AC_SOTIEN,AC_TKNO,$A12,AC_PHAITHU,$B12,AC_NGAY,"&lt;"&amp;$F$4))&gt;0,$E12+SUMIFS(AC_SOTIEN,AC_TKCO,$A12,AC_PHAITRA,$B12,AC_NGAY,"&lt;"&amp;$F$4)-($D12+SUMIFS(AC_SOTIEN,AC_TKNO,$A12,AC_PHAITHU,$B12,AC_NGAY,"&lt;"&amp;$F$4)),"")</f>
        <v/>
      </c>
      <c r="H12" s="303">
        <f>SUMIFS(AC_SOTIEN,AC_TKNO,$A12 ,AC_PHAITHU,$B12,AC_NGAY,"&gt;="&amp;$F$4,AC_NGAY,"&lt;="&amp;$H$4)</f>
        <v>0</v>
      </c>
      <c r="I12" s="303">
        <f>SUMIFS(AC_SOTIEN,AC_TKCO,$A12,AC_PHAITRA, $B12,AC_NGAY,"&gt;="&amp;$F$4,AC_NGAY,"&lt;="&amp;$H$4)</f>
        <v>0</v>
      </c>
      <c r="J12" s="303">
        <f t="shared" si="3"/>
        <v>0</v>
      </c>
      <c r="K12" s="303">
        <f t="shared" si="4"/>
        <v>0</v>
      </c>
      <c r="L12" s="306" t="str">
        <f t="shared" si="5"/>
        <v/>
      </c>
    </row>
    <row r="13">
      <c r="A13" s="299" t="s">
        <v>1802</v>
      </c>
      <c r="B13" s="304"/>
      <c r="C13" s="301"/>
      <c r="D13" s="302"/>
      <c r="E13" s="302"/>
      <c r="F13" s="302" t="str">
        <f>if($D13+SUMIFS(AC_SOTIEN,AC_TKNO,$A13,AC_PHAITHU,$B13,AC_NGAY,"&lt;"&amp;$F$4)-($E13+SUMIFS(AC_SOTIEN,AC_TKCO,$A13,AC_PHAITRA,$B13,AC_NGAY,"&lt;"&amp;$F$4))&gt;0,$D13+SUMIFS(AC_SOTIEN,AC_TKNO,$A13,AC_PHAITHU,$B13,AC_NGAY,"&lt;"&amp;$F$4)-($E13+SUMIFS(AC_SOTIEN,AC_TKCO,$A13,AC_PHAITRA,$B13,AC_NGAY,"&lt;"&amp;$F$4)),"")</f>
        <v/>
      </c>
      <c r="G13" s="302" t="str">
        <f>IF($E13+SUMIFS(AC_SOTIEN,AC_TKCO,$A13,AC_PHAITRA,$B13, AC_NGAY,"&lt;"&amp;$F$4)-($D13+SUMIFS(AC_SOTIEN,AC_TKNO,$A13,AC_PHAITHU,$B13,AC_NGAY,"&lt;"&amp;$F$4))&gt;0,$E13+SUMIFS(AC_SOTIEN,AC_TKCO,$A13,AC_PHAITRA,$B13,AC_NGAY,"&lt;"&amp;$F$4)-($D13+SUMIFS(AC_SOTIEN,AC_TKNO,$A13,AC_PHAITHU,$B13,AC_NGAY,"&lt;"&amp;$F$4)),"")</f>
        <v/>
      </c>
      <c r="H13" s="303">
        <f>SUMIFS(AC_SOTIEN,AC_TKNO,$A13 ,AC_PHAITHU,$B13,AC_NGAY,"&gt;="&amp;$F$4,AC_NGAY,"&lt;="&amp;$H$4)</f>
        <v>0</v>
      </c>
      <c r="I13" s="303">
        <f>SUMIFS(AC_SOTIEN,AC_TKCO,$A13,AC_PHAITRA, $B13,AC_NGAY,"&gt;="&amp;$F$4,AC_NGAY,"&lt;="&amp;$H$4)</f>
        <v>0</v>
      </c>
      <c r="J13" s="303">
        <f t="shared" si="3"/>
        <v>0</v>
      </c>
      <c r="K13" s="303">
        <f t="shared" si="4"/>
        <v>0</v>
      </c>
      <c r="L13" s="306" t="str">
        <f t="shared" si="5"/>
        <v/>
      </c>
    </row>
    <row r="14">
      <c r="A14" s="299" t="s">
        <v>1802</v>
      </c>
      <c r="B14" s="304"/>
      <c r="C14" s="307"/>
      <c r="D14" s="308"/>
      <c r="E14" s="308"/>
      <c r="F14" s="302" t="str">
        <f>if($D14+SUMIFS(AC_SOTIEN,AC_TKNO,$A14,AC_PHAITHU,$B14,AC_NGAY,"&lt;"&amp;$F$4)-($E14+SUMIFS(AC_SOTIEN,AC_TKCO,$A14,AC_PHAITRA,$B14,AC_NGAY,"&lt;"&amp;$F$4))&gt;0,$D14+SUMIFS(AC_SOTIEN,AC_TKNO,$A14,AC_PHAITHU,$B14,AC_NGAY,"&lt;"&amp;$F$4)-($E14+SUMIFS(AC_SOTIEN,AC_TKCO,$A14,AC_PHAITRA,$B14,AC_NGAY,"&lt;"&amp;$F$4)),"")</f>
        <v/>
      </c>
      <c r="G14" s="302" t="str">
        <f>IF($E14+SUMIFS(AC_SOTIEN,AC_TKCO,$A14,AC_PHAITRA,$B14, AC_NGAY,"&lt;"&amp;$F$4)-($D14+SUMIFS(AC_SOTIEN,AC_TKNO,$A14,AC_PHAITHU,$B14,AC_NGAY,"&lt;"&amp;$F$4))&gt;0,$E14+SUMIFS(AC_SOTIEN,AC_TKCO,$A14,AC_PHAITRA,$B14,AC_NGAY,"&lt;"&amp;$F$4)-($D14+SUMIFS(AC_SOTIEN,AC_TKNO,$A14,AC_PHAITHU,$B14,AC_NGAY,"&lt;"&amp;$F$4)),"")</f>
        <v/>
      </c>
      <c r="H14" s="303">
        <f>SUMIFS(AC_SOTIEN,AC_TKNO,$A14 ,AC_PHAITHU,$B14,AC_NGAY,"&gt;="&amp;$F$4,AC_NGAY,"&lt;="&amp;$H$4)</f>
        <v>0</v>
      </c>
      <c r="I14" s="303">
        <f>SUMIFS(AC_SOTIEN,AC_TKCO,$A14,AC_PHAITRA, $B14,AC_NGAY,"&gt;="&amp;$F$4,AC_NGAY,"&lt;="&amp;$H$4)</f>
        <v>0</v>
      </c>
      <c r="J14" s="303">
        <f t="shared" si="3"/>
        <v>0</v>
      </c>
      <c r="K14" s="309">
        <f t="shared" si="4"/>
        <v>0</v>
      </c>
      <c r="L14" s="292" t="str">
        <f t="shared" si="5"/>
        <v/>
      </c>
    </row>
    <row r="15">
      <c r="A15" s="299" t="s">
        <v>1802</v>
      </c>
      <c r="B15" s="304"/>
      <c r="C15" s="301"/>
      <c r="D15" s="302"/>
      <c r="E15" s="302"/>
      <c r="F15" s="302" t="str">
        <f>if($D15+SUMIFS(AC_SOTIEN,AC_TKNO,$A15,AC_PHAITHU,$B15,AC_NGAY,"&lt;"&amp;$F$4)-($E15+SUMIFS(AC_SOTIEN,AC_TKCO,$A15,AC_PHAITRA,$B15,AC_NGAY,"&lt;"&amp;$F$4))&gt;0,$D15+SUMIFS(AC_SOTIEN,AC_TKNO,$A15,AC_PHAITHU,$B15,AC_NGAY,"&lt;"&amp;$F$4)-($E15+SUMIFS(AC_SOTIEN,AC_TKCO,$A15,AC_PHAITRA,$B15,AC_NGAY,"&lt;"&amp;$F$4)),"")</f>
        <v/>
      </c>
      <c r="G15" s="302" t="str">
        <f>IF($E15+SUMIFS(AC_SOTIEN,AC_TKCO,$A15,AC_PHAITRA,$B15, AC_NGAY,"&lt;"&amp;$F$4)-($D15+SUMIFS(AC_SOTIEN,AC_TKNO,$A15,AC_PHAITHU,$B15,AC_NGAY,"&lt;"&amp;$F$4))&gt;0,$E15+SUMIFS(AC_SOTIEN,AC_TKCO,$A15,AC_PHAITRA,$B15,AC_NGAY,"&lt;"&amp;$F$4)-($D15+SUMIFS(AC_SOTIEN,AC_TKNO,$A15,AC_PHAITHU,$B15,AC_NGAY,"&lt;"&amp;$F$4)),"")</f>
        <v/>
      </c>
      <c r="H15" s="303">
        <f>SUMIFS(AC_SOTIEN,AC_TKNO,$A15 ,AC_PHAITHU,$B15,AC_NGAY,"&gt;="&amp;$F$4,AC_NGAY,"&lt;="&amp;$H$4)</f>
        <v>0</v>
      </c>
      <c r="I15" s="303">
        <f>SUMIFS(AC_SOTIEN,AC_TKCO,$A15,AC_PHAITRA, $B15,AC_NGAY,"&gt;="&amp;$F$4,AC_NGAY,"&lt;="&amp;$H$4)</f>
        <v>0</v>
      </c>
      <c r="J15" s="303">
        <f t="shared" si="3"/>
        <v>0</v>
      </c>
      <c r="K15" s="303">
        <f t="shared" si="4"/>
        <v>0</v>
      </c>
      <c r="L15" s="306" t="str">
        <f t="shared" si="5"/>
        <v/>
      </c>
    </row>
    <row r="16">
      <c r="A16" s="299" t="s">
        <v>1802</v>
      </c>
      <c r="B16" s="310"/>
      <c r="C16" s="307"/>
      <c r="D16" s="302"/>
      <c r="E16" s="302"/>
      <c r="F16" s="302" t="str">
        <f>if($D16+SUMIFS(AC_SOTIEN,AC_TKNO,$A16,AC_PHAITHU,$B16,AC_NGAY,"&lt;"&amp;$F$4)-($E16+SUMIFS(AC_SOTIEN,AC_TKCO,$A16,AC_PHAITRA,$B16,AC_NGAY,"&lt;"&amp;$F$4))&gt;0,$D16+SUMIFS(AC_SOTIEN,AC_TKNO,$A16,AC_PHAITHU,$B16,AC_NGAY,"&lt;"&amp;$F$4)-($E16+SUMIFS(AC_SOTIEN,AC_TKCO,$A16,AC_PHAITRA,$B16,AC_NGAY,"&lt;"&amp;$F$4)),"")</f>
        <v/>
      </c>
      <c r="G16" s="302" t="str">
        <f>IF($E16+SUMIFS(AC_SOTIEN,AC_TKCO,$A16,AC_PHAITRA,$B16, AC_NGAY,"&lt;"&amp;$F$4)-($D16+SUMIFS(AC_SOTIEN,AC_TKNO,$A16,AC_PHAITHU,$B16,AC_NGAY,"&lt;"&amp;$F$4))&gt;0,$E16+SUMIFS(AC_SOTIEN,AC_TKCO,$A16,AC_PHAITRA,$B16,AC_NGAY,"&lt;"&amp;$F$4)-($D16+SUMIFS(AC_SOTIEN,AC_TKNO,$A16,AC_PHAITHU,$B16,AC_NGAY,"&lt;"&amp;$F$4)),"")</f>
        <v/>
      </c>
      <c r="H16" s="303">
        <f>SUMIFS(AC_SOTIEN,AC_TKNO,$A16 ,AC_PHAITHU,$B16,AC_NGAY,"&gt;="&amp;$F$4,AC_NGAY,"&lt;="&amp;$H$4)</f>
        <v>0</v>
      </c>
      <c r="I16" s="303">
        <f>SUMIFS(AC_SOTIEN,AC_TKCO,$A16,AC_PHAITRA, $B16,AC_NGAY,"&gt;="&amp;$F$4,AC_NGAY,"&lt;="&amp;$H$4)</f>
        <v>0</v>
      </c>
      <c r="J16" s="303">
        <f t="shared" si="3"/>
        <v>0</v>
      </c>
      <c r="K16" s="303">
        <f t="shared" si="4"/>
        <v>0</v>
      </c>
      <c r="L16" s="306" t="str">
        <f t="shared" si="5"/>
        <v/>
      </c>
    </row>
    <row r="17">
      <c r="A17" s="299" t="s">
        <v>1802</v>
      </c>
      <c r="B17" s="310"/>
      <c r="C17" s="307"/>
      <c r="D17" s="302"/>
      <c r="E17" s="302"/>
      <c r="F17" s="302" t="str">
        <f>if($D17+SUMIFS(AC_SOTIEN,AC_TKNO,$A17,AC_PHAITHU,$B17,AC_NGAY,"&lt;"&amp;$F$4)-($E17+SUMIFS(AC_SOTIEN,AC_TKCO,$A17,AC_PHAITRA,$B17,AC_NGAY,"&lt;"&amp;$F$4))&gt;0,$D17+SUMIFS(AC_SOTIEN,AC_TKNO,$A17,AC_PHAITHU,$B17,AC_NGAY,"&lt;"&amp;$F$4)-($E17+SUMIFS(AC_SOTIEN,AC_TKCO,$A17,AC_PHAITRA,$B17,AC_NGAY,"&lt;"&amp;$F$4)),"")</f>
        <v/>
      </c>
      <c r="G17" s="302" t="str">
        <f>IF($E17+SUMIFS(AC_SOTIEN,AC_TKCO,$A17,AC_PHAITRA,$B17, AC_NGAY,"&lt;"&amp;$F$4)-($D17+SUMIFS(AC_SOTIEN,AC_TKNO,$A17,AC_PHAITHU,$B17,AC_NGAY,"&lt;"&amp;$F$4))&gt;0,$E17+SUMIFS(AC_SOTIEN,AC_TKCO,$A17,AC_PHAITRA,$B17,AC_NGAY,"&lt;"&amp;$F$4)-($D17+SUMIFS(AC_SOTIEN,AC_TKNO,$A17,AC_PHAITHU,$B17,AC_NGAY,"&lt;"&amp;$F$4)),"")</f>
        <v/>
      </c>
      <c r="H17" s="303">
        <f>SUMIFS(AC_SOTIEN,AC_TKNO,$A17 ,AC_PHAITHU,$B17,AC_NGAY,"&gt;="&amp;$F$4,AC_NGAY,"&lt;="&amp;$H$4)</f>
        <v>0</v>
      </c>
      <c r="I17" s="303">
        <f>SUMIFS(AC_SOTIEN,AC_TKCO,$A17,AC_PHAITRA, $B17,AC_NGAY,"&gt;="&amp;$F$4,AC_NGAY,"&lt;="&amp;$H$4)</f>
        <v>0</v>
      </c>
      <c r="J17" s="303">
        <f t="shared" si="3"/>
        <v>0</v>
      </c>
      <c r="K17" s="303">
        <f t="shared" si="4"/>
        <v>0</v>
      </c>
      <c r="L17" s="286" t="str">
        <f t="shared" si="5"/>
        <v/>
      </c>
    </row>
    <row r="18">
      <c r="A18" s="293"/>
      <c r="B18" s="294" t="s">
        <v>1806</v>
      </c>
      <c r="C18" s="295" t="s">
        <v>1807</v>
      </c>
      <c r="D18" s="296"/>
      <c r="E18" s="296"/>
      <c r="F18" s="297">
        <f t="shared" ref="F18:K18" si="6">SUMIF($A:$A,$B18,F:F)</f>
        <v>0</v>
      </c>
      <c r="G18" s="297">
        <f t="shared" si="6"/>
        <v>0</v>
      </c>
      <c r="H18" s="297">
        <f t="shared" si="6"/>
        <v>0</v>
      </c>
      <c r="I18" s="297">
        <f t="shared" si="6"/>
        <v>0</v>
      </c>
      <c r="J18" s="297">
        <f t="shared" si="6"/>
        <v>0</v>
      </c>
      <c r="K18" s="297">
        <f t="shared" si="6"/>
        <v>0</v>
      </c>
      <c r="L18" s="298" t="s">
        <v>1804</v>
      </c>
    </row>
    <row r="19">
      <c r="A19" s="310" t="s">
        <v>1806</v>
      </c>
      <c r="B19" s="310"/>
      <c r="C19" s="307"/>
      <c r="D19" s="302"/>
      <c r="E19" s="302"/>
      <c r="F19" s="302" t="str">
        <f>if($D19+SUMIFS(AC_SOTIEN,AC_TKNO,$A19,AC_PHAITHU,$B19,AC_NGAY,"&lt;"&amp;$F$4)-($E19+SUMIFS(AC_SOTIEN,AC_TKCO,$A19,AC_PHAITRA,$B19,AC_NGAY,"&lt;"&amp;$F$4))&gt;0,$D19+SUMIFS(AC_SOTIEN,AC_TKNO,$A19,AC_PHAITHU,$B19,AC_NGAY,"&lt;"&amp;$F$4)-($E19+SUMIFS(AC_SOTIEN,AC_TKCO,$A19,AC_PHAITRA,$B19,AC_NGAY,"&lt;"&amp;$F$4)),"")</f>
        <v/>
      </c>
      <c r="G19" s="302" t="str">
        <f>IF($E19+SUMIFS(AC_SOTIEN,AC_TKCO,$A19,AC_PHAITRA,$B19, AC_NGAY,"&lt;"&amp;$F$4)-($D19+SUMIFS(AC_SOTIEN,AC_TKNO,$A19,AC_PHAITHU,$B19,AC_NGAY,"&lt;"&amp;$F$4))&gt;0,$E19+SUMIFS(AC_SOTIEN,AC_TKCO,$A19,AC_PHAITRA,$B19,AC_NGAY,"&lt;"&amp;$F$4)-($D19+SUMIFS(AC_SOTIEN,AC_TKNO,$A19,AC_PHAITHU,$B19,AC_NGAY,"&lt;"&amp;$F$4)),"")</f>
        <v/>
      </c>
      <c r="H19" s="303">
        <f>SUMIFS(AC_SOTIEN,AC_TKNO,$A19 ,AC_PHAITHU,$B19,AC_NGAY,"&gt;="&amp;$F$4,AC_NGAY,"&lt;="&amp;$H$4)</f>
        <v>0</v>
      </c>
      <c r="I19" s="303">
        <f>SUMIFS(AC_SOTIEN,AC_TKCO,$A19,AC_PHAITRA, $B19,AC_NGAY,"&gt;="&amp;$F$4,AC_NGAY,"&lt;="&amp;$H$4)</f>
        <v>0</v>
      </c>
      <c r="J19" s="303">
        <f t="shared" ref="J19:J21" si="7">IF(F19+H19-G19-I19&gt;=0,F19+H19-G19-I19,0)</f>
        <v>0</v>
      </c>
      <c r="K19" s="303">
        <f t="shared" ref="K19:K21" si="8">IF(G19+I19-H19-F19&gt;=0,G19+I19-H19-F19,0)</f>
        <v>0</v>
      </c>
      <c r="L19" s="286" t="str">
        <f t="shared" ref="L19:L21" si="9">IF(SUM(J19:K19)&gt;0,"X","")</f>
        <v/>
      </c>
    </row>
    <row r="20">
      <c r="A20" s="310" t="s">
        <v>1806</v>
      </c>
      <c r="B20" s="310"/>
      <c r="C20" s="307"/>
      <c r="D20" s="302"/>
      <c r="E20" s="302"/>
      <c r="F20" s="302" t="str">
        <f>if($D20+SUMIFS(AC_SOTIEN,AC_TKNO,$A20,AC_PHAITHU,$B20,AC_NGAY,"&lt;"&amp;$F$4)-($E20+SUMIFS(AC_SOTIEN,AC_TKCO,$A20,AC_PHAITRA,$B20,AC_NGAY,"&lt;"&amp;$F$4))&gt;0,$D20+SUMIFS(AC_SOTIEN,AC_TKNO,$A20,AC_PHAITHU,$B20,AC_NGAY,"&lt;"&amp;$F$4)-($E20+SUMIFS(AC_SOTIEN,AC_TKCO,$A20,AC_PHAITRA,$B20,AC_NGAY,"&lt;"&amp;$F$4)),"")</f>
        <v/>
      </c>
      <c r="G20" s="302" t="str">
        <f>IF($E20+SUMIFS(AC_SOTIEN,AC_TKCO,$A20,AC_PHAITRA,$B20, AC_NGAY,"&lt;"&amp;$F$4)-($D20+SUMIFS(AC_SOTIEN,AC_TKNO,$A20,AC_PHAITHU,$B20,AC_NGAY,"&lt;"&amp;$F$4))&gt;0,$E20+SUMIFS(AC_SOTIEN,AC_TKCO,$A20,AC_PHAITRA,$B20,AC_NGAY,"&lt;"&amp;$F$4)-($D20+SUMIFS(AC_SOTIEN,AC_TKNO,$A20,AC_PHAITHU,$B20,AC_NGAY,"&lt;"&amp;$F$4)),"")</f>
        <v/>
      </c>
      <c r="H20" s="303">
        <f>SUMIFS(AC_SOTIEN,AC_TKNO,$A20 ,AC_PHAITHU,$B20,AC_NGAY,"&gt;="&amp;$F$4,AC_NGAY,"&lt;="&amp;$H$4)</f>
        <v>0</v>
      </c>
      <c r="I20" s="303">
        <f>SUMIFS(AC_SOTIEN,AC_TKCO,$A20,AC_PHAITRA, $B20,AC_NGAY,"&gt;="&amp;$F$4,AC_NGAY,"&lt;="&amp;$H$4)</f>
        <v>0</v>
      </c>
      <c r="J20" s="303">
        <f t="shared" si="7"/>
        <v>0</v>
      </c>
      <c r="K20" s="303">
        <f t="shared" si="8"/>
        <v>0</v>
      </c>
      <c r="L20" s="306" t="str">
        <f t="shared" si="9"/>
        <v/>
      </c>
    </row>
    <row r="21">
      <c r="A21" s="311" t="s">
        <v>1806</v>
      </c>
      <c r="B21" s="311"/>
      <c r="C21" s="301"/>
      <c r="D21" s="312"/>
      <c r="E21" s="308"/>
      <c r="F21" s="302" t="str">
        <f>if($D21+SUMIFS(AC_SOTIEN,AC_TKNO,$A21,AC_PHAITHU,$B21,AC_NGAY,"&lt;"&amp;$F$4)-($E21+SUMIFS(AC_SOTIEN,AC_TKCO,$A21,AC_PHAITRA,$B21,AC_NGAY,"&lt;"&amp;$F$4))&gt;0,$D21+SUMIFS(AC_SOTIEN,AC_TKNO,$A21,AC_PHAITHU,$B21,AC_NGAY,"&lt;"&amp;$F$4)-($E21+SUMIFS(AC_SOTIEN,AC_TKCO,$A21,AC_PHAITRA,$B21,AC_NGAY,"&lt;"&amp;$F$4)),"")</f>
        <v/>
      </c>
      <c r="G21" s="302" t="str">
        <f>IF($E21+SUMIFS(AC_SOTIEN,AC_TKCO,$A21,AC_PHAITRA,$B21, AC_NGAY,"&lt;"&amp;$F$4)-($D21+SUMIFS(AC_SOTIEN,AC_TKNO,$A21,AC_PHAITHU,$B21,AC_NGAY,"&lt;"&amp;$F$4))&gt;0,$E21+SUMIFS(AC_SOTIEN,AC_TKCO,$A21,AC_PHAITRA,$B21,AC_NGAY,"&lt;"&amp;$F$4)-($D21+SUMIFS(AC_SOTIEN,AC_TKNO,$A21,AC_PHAITHU,$B21,AC_NGAY,"&lt;"&amp;$F$4)),"")</f>
        <v/>
      </c>
      <c r="H21" s="303">
        <f>SUMIFS(AC_SOTIEN,AC_TKNO,$A21 ,AC_PHAITHU,$B21,AC_NGAY,"&gt;="&amp;$F$4,AC_NGAY,"&lt;="&amp;$H$4)</f>
        <v>0</v>
      </c>
      <c r="I21" s="303">
        <f>SUMIFS(AC_SOTIEN,AC_TKCO,$A21,AC_PHAITRA, $B21,AC_NGAY,"&gt;="&amp;$F$4,AC_NGAY,"&lt;="&amp;$H$4)</f>
        <v>0</v>
      </c>
      <c r="J21" s="303">
        <f t="shared" si="7"/>
        <v>0</v>
      </c>
      <c r="K21" s="309">
        <f t="shared" si="8"/>
        <v>0</v>
      </c>
      <c r="L21" s="290" t="str">
        <f t="shared" si="9"/>
        <v/>
      </c>
    </row>
    <row r="22">
      <c r="A22" s="293"/>
      <c r="B22" s="294" t="s">
        <v>1808</v>
      </c>
      <c r="C22" s="295" t="s">
        <v>1809</v>
      </c>
      <c r="D22" s="296"/>
      <c r="E22" s="296"/>
      <c r="F22" s="297">
        <f t="shared" ref="F22:K22" si="10">SUMIF($A:$A,$B22,F:F)</f>
        <v>0</v>
      </c>
      <c r="G22" s="297">
        <f t="shared" si="10"/>
        <v>0</v>
      </c>
      <c r="H22" s="297">
        <f t="shared" si="10"/>
        <v>0</v>
      </c>
      <c r="I22" s="297">
        <f t="shared" si="10"/>
        <v>0</v>
      </c>
      <c r="J22" s="297">
        <f t="shared" si="10"/>
        <v>0</v>
      </c>
      <c r="K22" s="297">
        <f t="shared" si="10"/>
        <v>0</v>
      </c>
      <c r="L22" s="298" t="s">
        <v>1804</v>
      </c>
    </row>
    <row r="23">
      <c r="A23" s="311" t="s">
        <v>1808</v>
      </c>
      <c r="B23" s="311"/>
      <c r="C23" s="301"/>
      <c r="D23" s="302"/>
      <c r="E23" s="302"/>
      <c r="F23" s="302" t="str">
        <f>if($D23+SUMIFS(AC_SOTIEN,AC_TKNO,$A23,AC_PHAITHU,$B23,AC_NGAY,"&lt;"&amp;$F$4)-($E23+SUMIFS(AC_SOTIEN,AC_TKCO,$A23,AC_PHAITRA,$B23,AC_NGAY,"&lt;"&amp;$F$4))&gt;0,$D23+SUMIFS(AC_SOTIEN,AC_TKNO,$A23,AC_PHAITHU,$B23,AC_NGAY,"&lt;"&amp;$F$4)-($E23+SUMIFS(AC_SOTIEN,AC_TKCO,$A23,AC_PHAITRA,$B23,AC_NGAY,"&lt;"&amp;$F$4)),"")</f>
        <v/>
      </c>
      <c r="G23" s="302" t="str">
        <f>IF($E23+SUMIFS(AC_SOTIEN,AC_TKCO,$A23,AC_PHAITRA,$B23, AC_NGAY,"&lt;"&amp;$F$4)-($D23+SUMIFS(AC_SOTIEN,AC_TKNO,$A23,AC_PHAITHU,$B23,AC_NGAY,"&lt;"&amp;$F$4))&gt;0,$E23+SUMIFS(AC_SOTIEN,AC_TKCO,$A23,AC_PHAITRA,$B23,AC_NGAY,"&lt;"&amp;$F$4)-($D23+SUMIFS(AC_SOTIEN,AC_TKNO,$A23,AC_PHAITHU,$B23,AC_NGAY,"&lt;"&amp;$F$4)),"")</f>
        <v/>
      </c>
      <c r="H23" s="303">
        <f>SUMIFS(AC_SOTIEN,AC_TKNO,$A23 ,AC_PHAITHU,$B23,AC_NGAY,"&gt;="&amp;$F$4,AC_NGAY,"&lt;="&amp;$H$4)</f>
        <v>0</v>
      </c>
      <c r="I23" s="303">
        <f>SUMIFS(AC_SOTIEN,AC_TKCO,$A23,AC_PHAITRA, $B23,AC_NGAY,"&gt;="&amp;$F$4,AC_NGAY,"&lt;="&amp;$H$4)</f>
        <v>0</v>
      </c>
      <c r="J23" s="303">
        <f t="shared" ref="J23:J33" si="11">IF(F23+H23-G23-I23&gt;=0,F23+H23-G23-I23,0)</f>
        <v>0</v>
      </c>
      <c r="K23" s="303">
        <f t="shared" ref="K23:K33" si="12">IF(G23+I23-H23-F23&gt;=0,G23+I23-H23-F23,0)</f>
        <v>0</v>
      </c>
      <c r="L23" s="286" t="str">
        <f t="shared" ref="L23:L33" si="13">IF(SUM(J23:K23)&gt;0,"X","")</f>
        <v/>
      </c>
    </row>
    <row r="24">
      <c r="A24" s="310" t="s">
        <v>1808</v>
      </c>
      <c r="B24" s="304"/>
      <c r="C24" s="307"/>
      <c r="D24" s="312"/>
      <c r="E24" s="308"/>
      <c r="F24" s="302" t="str">
        <f>if($D24+SUMIFS(AC_SOTIEN,AC_TKNO,$A24,AC_PHAITHU,$B24,AC_NGAY,"&lt;"&amp;$F$4)-($E24+SUMIFS(AC_SOTIEN,AC_TKCO,$A24,AC_PHAITRA,$B24,AC_NGAY,"&lt;"&amp;$F$4))&gt;0,$D24+SUMIFS(AC_SOTIEN,AC_TKNO,$A24,AC_PHAITHU,$B24,AC_NGAY,"&lt;"&amp;$F$4)-($E24+SUMIFS(AC_SOTIEN,AC_TKCO,$A24,AC_PHAITRA,$B24,AC_NGAY,"&lt;"&amp;$F$4)),"")</f>
        <v/>
      </c>
      <c r="G24" s="302" t="str">
        <f>IF($E24+SUMIFS(AC_SOTIEN,AC_TKCO,$A24,AC_PHAITRA,$B24, AC_NGAY,"&lt;"&amp;$F$4)-($D24+SUMIFS(AC_SOTIEN,AC_TKNO,$A24,AC_PHAITHU,$B24,AC_NGAY,"&lt;"&amp;$F$4))&gt;0,$E24+SUMIFS(AC_SOTIEN,AC_TKCO,$A24,AC_PHAITRA,$B24,AC_NGAY,"&lt;"&amp;$F$4)-($D24+SUMIFS(AC_SOTIEN,AC_TKNO,$A24,AC_PHAITHU,$B24,AC_NGAY,"&lt;"&amp;$F$4)),"")</f>
        <v/>
      </c>
      <c r="H24" s="303">
        <f>SUMIFS(AC_SOTIEN,AC_TKNO,$A24 ,AC_PHAITHU,$B24,AC_NGAY,"&gt;="&amp;$F$4,AC_NGAY,"&lt;="&amp;$H$4)</f>
        <v>0</v>
      </c>
      <c r="I24" s="303">
        <f>SUMIFS(AC_SOTIEN,AC_TKCO,$A24,AC_PHAITRA, $B24,AC_NGAY,"&gt;="&amp;$F$4,AC_NGAY,"&lt;="&amp;$H$4)</f>
        <v>0</v>
      </c>
      <c r="J24" s="303">
        <f t="shared" si="11"/>
        <v>0</v>
      </c>
      <c r="K24" s="309">
        <f t="shared" si="12"/>
        <v>0</v>
      </c>
      <c r="L24" s="292" t="str">
        <f t="shared" si="13"/>
        <v/>
      </c>
    </row>
    <row r="25">
      <c r="A25" s="310" t="s">
        <v>1808</v>
      </c>
      <c r="B25" s="304"/>
      <c r="C25" s="301"/>
      <c r="D25" s="302"/>
      <c r="E25" s="305"/>
      <c r="F25" s="302" t="str">
        <f>if($D25+SUMIFS(AC_SOTIEN,AC_TKNO,$A25,AC_PHAITHU,$B25,AC_NGAY,"&lt;"&amp;$F$4)-($E25+SUMIFS(AC_SOTIEN,AC_TKCO,$A25,AC_PHAITRA,$B25,AC_NGAY,"&lt;"&amp;$F$4))&gt;0,$D25+SUMIFS(AC_SOTIEN,AC_TKNO,$A25,AC_PHAITHU,$B25,AC_NGAY,"&lt;"&amp;$F$4)-($E25+SUMIFS(AC_SOTIEN,AC_TKCO,$A25,AC_PHAITRA,$B25,AC_NGAY,"&lt;"&amp;$F$4)),"")</f>
        <v/>
      </c>
      <c r="G25" s="302" t="str">
        <f>IF($E25+SUMIFS(AC_SOTIEN,AC_TKCO,$A25,AC_PHAITRA,$B25, AC_NGAY,"&lt;"&amp;$F$4)-($D25+SUMIFS(AC_SOTIEN,AC_TKNO,$A25,AC_PHAITHU,$B25,AC_NGAY,"&lt;"&amp;$F$4))&gt;0,$E25+SUMIFS(AC_SOTIEN,AC_TKCO,$A25,AC_PHAITRA,$B25,AC_NGAY,"&lt;"&amp;$F$4)-($D25+SUMIFS(AC_SOTIEN,AC_TKNO,$A25,AC_PHAITHU,$B25,AC_NGAY,"&lt;"&amp;$F$4)),"")</f>
        <v/>
      </c>
      <c r="H25" s="303">
        <f>SUMIFS(AC_SOTIEN,AC_TKNO,$A25 ,AC_PHAITHU,$B25,AC_NGAY,"&gt;="&amp;$F$4,AC_NGAY,"&lt;="&amp;$H$4)</f>
        <v>0</v>
      </c>
      <c r="I25" s="303">
        <f>SUMIFS(AC_SOTIEN,AC_TKCO,$A25,AC_PHAITRA, $B25,AC_NGAY,"&gt;="&amp;$F$4,AC_NGAY,"&lt;="&amp;$H$4)</f>
        <v>0</v>
      </c>
      <c r="J25" s="303">
        <f t="shared" si="11"/>
        <v>0</v>
      </c>
      <c r="K25" s="303">
        <f t="shared" si="12"/>
        <v>0</v>
      </c>
      <c r="L25" s="306" t="str">
        <f t="shared" si="13"/>
        <v/>
      </c>
    </row>
    <row r="26">
      <c r="A26" s="310" t="s">
        <v>1808</v>
      </c>
      <c r="B26" s="304"/>
      <c r="C26" s="307"/>
      <c r="D26" s="308"/>
      <c r="E26" s="308"/>
      <c r="F26" s="302" t="str">
        <f>if($D26+SUMIFS(AC_SOTIEN,AC_TKNO,$A26,AC_PHAITHU,$B26,AC_NGAY,"&lt;"&amp;$F$4)-($E26+SUMIFS(AC_SOTIEN,AC_TKCO,$A26,AC_PHAITRA,$B26,AC_NGAY,"&lt;"&amp;$F$4))&gt;0,$D26+SUMIFS(AC_SOTIEN,AC_TKNO,$A26,AC_PHAITHU,$B26,AC_NGAY,"&lt;"&amp;$F$4)-($E26+SUMIFS(AC_SOTIEN,AC_TKCO,$A26,AC_PHAITRA,$B26,AC_NGAY,"&lt;"&amp;$F$4)),"")</f>
        <v/>
      </c>
      <c r="G26" s="302" t="str">
        <f>IF($E26+SUMIFS(AC_SOTIEN,AC_TKCO,$A26,AC_PHAITRA,$B26, AC_NGAY,"&lt;"&amp;$F$4)-($D26+SUMIFS(AC_SOTIEN,AC_TKNO,$A26,AC_PHAITHU,$B26,AC_NGAY,"&lt;"&amp;$F$4))&gt;0,$E26+SUMIFS(AC_SOTIEN,AC_TKCO,$A26,AC_PHAITRA,$B26,AC_NGAY,"&lt;"&amp;$F$4)-($D26+SUMIFS(AC_SOTIEN,AC_TKNO,$A26,AC_PHAITHU,$B26,AC_NGAY,"&lt;"&amp;$F$4)),"")</f>
        <v/>
      </c>
      <c r="H26" s="303">
        <f>SUMIFS(AC_SOTIEN,AC_TKNO,$A26 ,AC_PHAITHU,$B26,AC_NGAY,"&gt;="&amp;$F$4,AC_NGAY,"&lt;="&amp;$H$4)</f>
        <v>0</v>
      </c>
      <c r="I26" s="303">
        <f>SUMIFS(AC_SOTIEN,AC_TKCO,$A26,AC_PHAITRA, $B26,AC_NGAY,"&gt;="&amp;$F$4,AC_NGAY,"&lt;="&amp;$H$4)</f>
        <v>0</v>
      </c>
      <c r="J26" s="303">
        <f t="shared" si="11"/>
        <v>0</v>
      </c>
      <c r="K26" s="309">
        <f t="shared" si="12"/>
        <v>0</v>
      </c>
      <c r="L26" s="292" t="str">
        <f t="shared" si="13"/>
        <v/>
      </c>
    </row>
    <row r="27">
      <c r="A27" s="310" t="s">
        <v>1808</v>
      </c>
      <c r="B27" s="304"/>
      <c r="C27" s="301"/>
      <c r="D27" s="302"/>
      <c r="E27" s="305"/>
      <c r="F27" s="302" t="str">
        <f>if($D27+SUMIFS(AC_SOTIEN,AC_TKNO,$A27,AC_PHAITHU,$B27,AC_NGAY,"&lt;"&amp;$F$4)-($E27+SUMIFS(AC_SOTIEN,AC_TKCO,$A27,AC_PHAITRA,$B27,AC_NGAY,"&lt;"&amp;$F$4))&gt;0,$D27+SUMIFS(AC_SOTIEN,AC_TKNO,$A27,AC_PHAITHU,$B27,AC_NGAY,"&lt;"&amp;$F$4)-($E27+SUMIFS(AC_SOTIEN,AC_TKCO,$A27,AC_PHAITRA,$B27,AC_NGAY,"&lt;"&amp;$F$4)),"")</f>
        <v/>
      </c>
      <c r="G27" s="302" t="str">
        <f>IF($E27+SUMIFS(AC_SOTIEN,AC_TKCO,$A27,AC_PHAITRA,$B27, AC_NGAY,"&lt;"&amp;$F$4)-($D27+SUMIFS(AC_SOTIEN,AC_TKNO,$A27,AC_PHAITHU,$B27,AC_NGAY,"&lt;"&amp;$F$4))&gt;0,$E27+SUMIFS(AC_SOTIEN,AC_TKCO,$A27,AC_PHAITRA,$B27,AC_NGAY,"&lt;"&amp;$F$4)-($D27+SUMIFS(AC_SOTIEN,AC_TKNO,$A27,AC_PHAITHU,$B27,AC_NGAY,"&lt;"&amp;$F$4)),"")</f>
        <v/>
      </c>
      <c r="H27" s="303">
        <f>SUMIFS(AC_SOTIEN,AC_TKNO,$A27 ,AC_PHAITHU,$B27,AC_NGAY,"&gt;="&amp;$F$4,AC_NGAY,"&lt;="&amp;$H$4)</f>
        <v>0</v>
      </c>
      <c r="I27" s="303">
        <f>SUMIFS(AC_SOTIEN,AC_TKCO,$A27,AC_PHAITRA, $B27,AC_NGAY,"&gt;="&amp;$F$4,AC_NGAY,"&lt;="&amp;$H$4)</f>
        <v>0</v>
      </c>
      <c r="J27" s="303">
        <f t="shared" si="11"/>
        <v>0</v>
      </c>
      <c r="K27" s="303">
        <f t="shared" si="12"/>
        <v>0</v>
      </c>
      <c r="L27" s="306" t="str">
        <f t="shared" si="13"/>
        <v/>
      </c>
    </row>
    <row r="28">
      <c r="A28" s="310" t="s">
        <v>1808</v>
      </c>
      <c r="B28" s="304"/>
      <c r="C28" s="307"/>
      <c r="D28" s="308"/>
      <c r="E28" s="308"/>
      <c r="F28" s="302" t="str">
        <f>if($D28+SUMIFS(AC_SOTIEN,AC_TKNO,$A28,AC_PHAITHU,$B28,AC_NGAY,"&lt;"&amp;$F$4)-($E28+SUMIFS(AC_SOTIEN,AC_TKCO,$A28,AC_PHAITRA,$B28,AC_NGAY,"&lt;"&amp;$F$4))&gt;0,$D28+SUMIFS(AC_SOTIEN,AC_TKNO,$A28,AC_PHAITHU,$B28,AC_NGAY,"&lt;"&amp;$F$4)-($E28+SUMIFS(AC_SOTIEN,AC_TKCO,$A28,AC_PHAITRA,$B28,AC_NGAY,"&lt;"&amp;$F$4)),"")</f>
        <v/>
      </c>
      <c r="G28" s="302" t="str">
        <f>IF($E28+SUMIFS(AC_SOTIEN,AC_TKCO,$A28,AC_PHAITRA,$B28, AC_NGAY,"&lt;"&amp;$F$4)-($D28+SUMIFS(AC_SOTIEN,AC_TKNO,$A28,AC_PHAITHU,$B28,AC_NGAY,"&lt;"&amp;$F$4))&gt;0,$E28+SUMIFS(AC_SOTIEN,AC_TKCO,$A28,AC_PHAITRA,$B28,AC_NGAY,"&lt;"&amp;$F$4)-($D28+SUMIFS(AC_SOTIEN,AC_TKNO,$A28,AC_PHAITHU,$B28,AC_NGAY,"&lt;"&amp;$F$4)),"")</f>
        <v/>
      </c>
      <c r="H28" s="303">
        <f>SUMIFS(AC_SOTIEN,AC_TKNO,$A28 ,AC_PHAITHU,$B28,AC_NGAY,"&gt;="&amp;$F$4,AC_NGAY,"&lt;="&amp;$H$4)</f>
        <v>0</v>
      </c>
      <c r="I28" s="303">
        <f>SUMIFS(AC_SOTIEN,AC_TKCO,$A28,AC_PHAITRA, $B28,AC_NGAY,"&gt;="&amp;$F$4,AC_NGAY,"&lt;="&amp;$H$4)</f>
        <v>0</v>
      </c>
      <c r="J28" s="303">
        <f t="shared" si="11"/>
        <v>0</v>
      </c>
      <c r="K28" s="309">
        <f t="shared" si="12"/>
        <v>0</v>
      </c>
      <c r="L28" s="292" t="str">
        <f t="shared" si="13"/>
        <v/>
      </c>
    </row>
    <row r="29">
      <c r="A29" s="310" t="s">
        <v>1808</v>
      </c>
      <c r="B29" s="304"/>
      <c r="C29" s="301"/>
      <c r="D29" s="302"/>
      <c r="E29" s="302"/>
      <c r="F29" s="302" t="str">
        <f>if($D29+SUMIFS(AC_SOTIEN,AC_TKNO,$A29,AC_PHAITHU,$B29,AC_NGAY,"&lt;"&amp;$F$4)-($E29+SUMIFS(AC_SOTIEN,AC_TKCO,$A29,AC_PHAITRA,$B29,AC_NGAY,"&lt;"&amp;$F$4))&gt;0,$D29+SUMIFS(AC_SOTIEN,AC_TKNO,$A29,AC_PHAITHU,$B29,AC_NGAY,"&lt;"&amp;$F$4)-($E29+SUMIFS(AC_SOTIEN,AC_TKCO,$A29,AC_PHAITRA,$B29,AC_NGAY,"&lt;"&amp;$F$4)),"")</f>
        <v/>
      </c>
      <c r="G29" s="302" t="str">
        <f>IF($E29+SUMIFS(AC_SOTIEN,AC_TKCO,$A29,AC_PHAITRA,$B29, AC_NGAY,"&lt;"&amp;$F$4)-($D29+SUMIFS(AC_SOTIEN,AC_TKNO,$A29,AC_PHAITHU,$B29,AC_NGAY,"&lt;"&amp;$F$4))&gt;0,$E29+SUMIFS(AC_SOTIEN,AC_TKCO,$A29,AC_PHAITRA,$B29,AC_NGAY,"&lt;"&amp;$F$4)-($D29+SUMIFS(AC_SOTIEN,AC_TKNO,$A29,AC_PHAITHU,$B29,AC_NGAY,"&lt;"&amp;$F$4)),"")</f>
        <v/>
      </c>
      <c r="H29" s="303">
        <f>SUMIFS(AC_SOTIEN,AC_TKNO,$A29 ,AC_PHAITHU,$B29,AC_NGAY,"&gt;="&amp;$F$4,AC_NGAY,"&lt;="&amp;$H$4)</f>
        <v>0</v>
      </c>
      <c r="I29" s="303">
        <f>SUMIFS(AC_SOTIEN,AC_TKCO,$A29,AC_PHAITRA, $B29,AC_NGAY,"&gt;="&amp;$F$4,AC_NGAY,"&lt;="&amp;$H$4)</f>
        <v>0</v>
      </c>
      <c r="J29" s="303">
        <f t="shared" si="11"/>
        <v>0</v>
      </c>
      <c r="K29" s="303">
        <f t="shared" si="12"/>
        <v>0</v>
      </c>
      <c r="L29" s="306" t="str">
        <f t="shared" si="13"/>
        <v/>
      </c>
    </row>
    <row r="30">
      <c r="A30" s="310" t="s">
        <v>1808</v>
      </c>
      <c r="B30" s="304"/>
      <c r="C30" s="307"/>
      <c r="D30" s="308"/>
      <c r="E30" s="312"/>
      <c r="F30" s="302" t="str">
        <f>if($D30+SUMIFS(AC_SOTIEN,AC_TKNO,$A30,AC_PHAITHU,$B30,AC_NGAY,"&lt;"&amp;$F$4)-($E30+SUMIFS(AC_SOTIEN,AC_TKCO,$A30,AC_PHAITRA,$B30,AC_NGAY,"&lt;"&amp;$F$4))&gt;0,$D30+SUMIFS(AC_SOTIEN,AC_TKNO,$A30,AC_PHAITHU,$B30,AC_NGAY,"&lt;"&amp;$F$4)-($E30+SUMIFS(AC_SOTIEN,AC_TKCO,$A30,AC_PHAITRA,$B30,AC_NGAY,"&lt;"&amp;$F$4)),"")</f>
        <v/>
      </c>
      <c r="G30" s="302" t="str">
        <f>IF($E30+SUMIFS(AC_SOTIEN,AC_TKCO,$A30,AC_PHAITRA,$B30, AC_NGAY,"&lt;"&amp;$F$4)-($D30+SUMIFS(AC_SOTIEN,AC_TKNO,$A30,AC_PHAITHU,$B30,AC_NGAY,"&lt;"&amp;$F$4))&gt;0,$E30+SUMIFS(AC_SOTIEN,AC_TKCO,$A30,AC_PHAITRA,$B30,AC_NGAY,"&lt;"&amp;$F$4)-($D30+SUMIFS(AC_SOTIEN,AC_TKNO,$A30,AC_PHAITHU,$B30,AC_NGAY,"&lt;"&amp;$F$4)),"")</f>
        <v/>
      </c>
      <c r="H30" s="303">
        <f>SUMIFS(AC_SOTIEN,AC_TKNO,$A30 ,AC_PHAITHU,$B30,AC_NGAY,"&gt;="&amp;$F$4,AC_NGAY,"&lt;="&amp;$H$4)</f>
        <v>0</v>
      </c>
      <c r="I30" s="303">
        <f>SUMIFS(AC_SOTIEN,AC_TKCO,$A30,AC_PHAITRA, $B30,AC_NGAY,"&gt;="&amp;$F$4,AC_NGAY,"&lt;="&amp;$H$4)</f>
        <v>0</v>
      </c>
      <c r="J30" s="303">
        <f t="shared" si="11"/>
        <v>0</v>
      </c>
      <c r="K30" s="309">
        <f t="shared" si="12"/>
        <v>0</v>
      </c>
      <c r="L30" s="292" t="str">
        <f t="shared" si="13"/>
        <v/>
      </c>
    </row>
    <row r="31">
      <c r="A31" s="310" t="s">
        <v>1808</v>
      </c>
      <c r="B31" s="304"/>
      <c r="C31" s="301"/>
      <c r="D31" s="302"/>
      <c r="E31" s="305"/>
      <c r="F31" s="302" t="str">
        <f>if($D31+SUMIFS(AC_SOTIEN,AC_TKNO,$A31,AC_PHAITHU,$B31,AC_NGAY,"&lt;"&amp;$F$4)-($E31+SUMIFS(AC_SOTIEN,AC_TKCO,$A31,AC_PHAITRA,$B31,AC_NGAY,"&lt;"&amp;$F$4))&gt;0,$D31+SUMIFS(AC_SOTIEN,AC_TKNO,$A31,AC_PHAITHU,$B31,AC_NGAY,"&lt;"&amp;$F$4)-($E31+SUMIFS(AC_SOTIEN,AC_TKCO,$A31,AC_PHAITRA,$B31,AC_NGAY,"&lt;"&amp;$F$4)),"")</f>
        <v/>
      </c>
      <c r="G31" s="302" t="str">
        <f>IF($E31+SUMIFS(AC_SOTIEN,AC_TKCO,$A31,AC_PHAITRA,$B31, AC_NGAY,"&lt;"&amp;$F$4)-($D31+SUMIFS(AC_SOTIEN,AC_TKNO,$A31,AC_PHAITHU,$B31,AC_NGAY,"&lt;"&amp;$F$4))&gt;0,$E31+SUMIFS(AC_SOTIEN,AC_TKCO,$A31,AC_PHAITRA,$B31,AC_NGAY,"&lt;"&amp;$F$4)-($D31+SUMIFS(AC_SOTIEN,AC_TKNO,$A31,AC_PHAITHU,$B31,AC_NGAY,"&lt;"&amp;$F$4)),"")</f>
        <v/>
      </c>
      <c r="H31" s="303">
        <f>SUMIFS(AC_SOTIEN,AC_TKNO,$A31 ,AC_PHAITHU,$B31,AC_NGAY,"&gt;="&amp;$F$4,AC_NGAY,"&lt;="&amp;$H$4)</f>
        <v>0</v>
      </c>
      <c r="I31" s="303">
        <f>SUMIFS(AC_SOTIEN,AC_TKCO,$A31,AC_PHAITRA, $B31,AC_NGAY,"&gt;="&amp;$F$4,AC_NGAY,"&lt;="&amp;$H$4)</f>
        <v>0</v>
      </c>
      <c r="J31" s="303">
        <f t="shared" si="11"/>
        <v>0</v>
      </c>
      <c r="K31" s="303">
        <f t="shared" si="12"/>
        <v>0</v>
      </c>
      <c r="L31" s="306" t="str">
        <f t="shared" si="13"/>
        <v/>
      </c>
    </row>
    <row r="32">
      <c r="A32" s="310" t="s">
        <v>1808</v>
      </c>
      <c r="B32" s="310"/>
      <c r="C32" s="307"/>
      <c r="D32" s="302"/>
      <c r="E32" s="302"/>
      <c r="F32" s="302" t="str">
        <f>if($D32+SUMIFS(AC_SOTIEN,AC_TKNO,$A32,AC_PHAITHU,$B32,AC_NGAY,"&lt;"&amp;$F$4)-($E32+SUMIFS(AC_SOTIEN,AC_TKCO,$A32,AC_PHAITRA,$B32,AC_NGAY,"&lt;"&amp;$F$4))&gt;0,$D32+SUMIFS(AC_SOTIEN,AC_TKNO,$A32,AC_PHAITHU,$B32,AC_NGAY,"&lt;"&amp;$F$4)-($E32+SUMIFS(AC_SOTIEN,AC_TKCO,$A32,AC_PHAITRA,$B32,AC_NGAY,"&lt;"&amp;$F$4)),"")</f>
        <v/>
      </c>
      <c r="G32" s="302" t="str">
        <f>IF($E32+SUMIFS(AC_SOTIEN,AC_TKCO,$A32,AC_PHAITRA,$B32, AC_NGAY,"&lt;"&amp;$F$4)-($D32+SUMIFS(AC_SOTIEN,AC_TKNO,$A32,AC_PHAITHU,$B32,AC_NGAY,"&lt;"&amp;$F$4))&gt;0,$E32+SUMIFS(AC_SOTIEN,AC_TKCO,$A32,AC_PHAITRA,$B32,AC_NGAY,"&lt;"&amp;$F$4)-($D32+SUMIFS(AC_SOTIEN,AC_TKNO,$A32,AC_PHAITHU,$B32,AC_NGAY,"&lt;"&amp;$F$4)),"")</f>
        <v/>
      </c>
      <c r="H32" s="303">
        <f>SUMIFS(AC_SOTIEN,AC_TKNO,$A32 ,AC_PHAITHU,$B32,AC_NGAY,"&gt;="&amp;$F$4,AC_NGAY,"&lt;="&amp;$H$4)</f>
        <v>0</v>
      </c>
      <c r="I32" s="303">
        <f>SUMIFS(AC_SOTIEN,AC_TKCO,$A32,AC_PHAITRA, $B32,AC_NGAY,"&gt;="&amp;$F$4,AC_NGAY,"&lt;="&amp;$H$4)</f>
        <v>0</v>
      </c>
      <c r="J32" s="303">
        <f t="shared" si="11"/>
        <v>0</v>
      </c>
      <c r="K32" s="303">
        <f t="shared" si="12"/>
        <v>0</v>
      </c>
      <c r="L32" s="306" t="str">
        <f t="shared" si="13"/>
        <v/>
      </c>
    </row>
    <row r="33">
      <c r="A33" s="310" t="s">
        <v>1808</v>
      </c>
      <c r="B33" s="310"/>
      <c r="C33" s="307"/>
      <c r="D33" s="302"/>
      <c r="E33" s="302"/>
      <c r="F33" s="302" t="str">
        <f>if($D33+SUMIFS(AC_SOTIEN,AC_TKNO,$A33,AC_PHAITHU,$B33,AC_NGAY,"&lt;"&amp;$F$4)-($E33+SUMIFS(AC_SOTIEN,AC_TKCO,$A33,AC_PHAITRA,$B33,AC_NGAY,"&lt;"&amp;$F$4))&gt;0,$D33+SUMIFS(AC_SOTIEN,AC_TKNO,$A33,AC_PHAITHU,$B33,AC_NGAY,"&lt;"&amp;$F$4)-($E33+SUMIFS(AC_SOTIEN,AC_TKCO,$A33,AC_PHAITRA,$B33,AC_NGAY,"&lt;"&amp;$F$4)),"")</f>
        <v/>
      </c>
      <c r="G33" s="302" t="str">
        <f>IF($E33+SUMIFS(AC_SOTIEN,AC_TKCO,$A33,AC_PHAITRA,$B33, AC_NGAY,"&lt;"&amp;$F$4)-($D33+SUMIFS(AC_SOTIEN,AC_TKNO,$A33,AC_PHAITHU,$B33,AC_NGAY,"&lt;"&amp;$F$4))&gt;0,$E33+SUMIFS(AC_SOTIEN,AC_TKCO,$A33,AC_PHAITRA,$B33,AC_NGAY,"&lt;"&amp;$F$4)-($D33+SUMIFS(AC_SOTIEN,AC_TKNO,$A33,AC_PHAITHU,$B33,AC_NGAY,"&lt;"&amp;$F$4)),"")</f>
        <v/>
      </c>
      <c r="H33" s="303">
        <f>SUMIFS(AC_SOTIEN,AC_TKNO,$A33 ,AC_PHAITHU,$B33,AC_NGAY,"&gt;="&amp;$F$4,AC_NGAY,"&lt;="&amp;$H$4)</f>
        <v>0</v>
      </c>
      <c r="I33" s="303">
        <f>SUMIFS(AC_SOTIEN,AC_TKCO,$A33,AC_PHAITRA, $B33,AC_NGAY,"&gt;="&amp;$F$4,AC_NGAY,"&lt;="&amp;$H$4)</f>
        <v>0</v>
      </c>
      <c r="J33" s="303">
        <f t="shared" si="11"/>
        <v>0</v>
      </c>
      <c r="K33" s="303">
        <f t="shared" si="12"/>
        <v>0</v>
      </c>
      <c r="L33" s="306" t="str">
        <f t="shared" si="13"/>
        <v/>
      </c>
    </row>
    <row r="34">
      <c r="A34" s="293"/>
      <c r="B34" s="294" t="s">
        <v>1810</v>
      </c>
      <c r="C34" s="295" t="s">
        <v>1811</v>
      </c>
      <c r="D34" s="296"/>
      <c r="E34" s="296"/>
      <c r="F34" s="297">
        <f t="shared" ref="F34:K34" si="14">SUMIF($A:$A,$B34,F:F)</f>
        <v>0</v>
      </c>
      <c r="G34" s="297">
        <f t="shared" si="14"/>
        <v>0</v>
      </c>
      <c r="H34" s="297">
        <f t="shared" si="14"/>
        <v>0</v>
      </c>
      <c r="I34" s="297">
        <f t="shared" si="14"/>
        <v>0</v>
      </c>
      <c r="J34" s="297">
        <f t="shared" si="14"/>
        <v>0</v>
      </c>
      <c r="K34" s="297">
        <f t="shared" si="14"/>
        <v>0</v>
      </c>
      <c r="L34" s="298" t="s">
        <v>1804</v>
      </c>
    </row>
    <row r="35">
      <c r="A35" s="310" t="s">
        <v>1810</v>
      </c>
      <c r="B35" s="304"/>
      <c r="C35" s="313" t="s">
        <v>1812</v>
      </c>
      <c r="D35" s="308"/>
      <c r="E35" s="312"/>
      <c r="F35" s="302" t="str">
        <f>if($D35+SUMIFS(AC_SOTIEN,AC_TKNO,$A35,AC_PHAITHU,$B35,AC_NGAY,"&lt;"&amp;$F$4)-($E35+SUMIFS(AC_SOTIEN,AC_TKCO,$A35,AC_PHAITRA,$B35,AC_NGAY,"&lt;"&amp;$F$4))&gt;0,$D35+SUMIFS(AC_SOTIEN,AC_TKNO,$A35,AC_PHAITHU,$B35,AC_NGAY,"&lt;"&amp;$F$4)-($E35+SUMIFS(AC_SOTIEN,AC_TKCO,$A35,AC_PHAITRA,$B35,AC_NGAY,"&lt;"&amp;$F$4)),"")</f>
        <v/>
      </c>
      <c r="G35" s="302" t="str">
        <f>IF($E35+SUMIFS(AC_SOTIEN,AC_TKCO,$A35,AC_PHAITRA,$B35, AC_NGAY,"&lt;"&amp;$F$4)-($D35+SUMIFS(AC_SOTIEN,AC_TKNO,$A35,AC_PHAITHU,$B35,AC_NGAY,"&lt;"&amp;$F$4))&gt;0,$E35+SUMIFS(AC_SOTIEN,AC_TKCO,$A35,AC_PHAITRA,$B35,AC_NGAY,"&lt;"&amp;$F$4)-($D35+SUMIFS(AC_SOTIEN,AC_TKNO,$A35,AC_PHAITHU,$B35,AC_NGAY,"&lt;"&amp;$F$4)),"")</f>
        <v/>
      </c>
      <c r="H35" s="303">
        <f>SUMIFS(AC_SOTIEN,AC_TKNO,$A35 ,AC_PHAITHU,$B35,AC_NGAY,"&gt;="&amp;$F$4,AC_NGAY,"&lt;="&amp;$H$4)</f>
        <v>0</v>
      </c>
      <c r="I35" s="303">
        <f>SUMIFS(AC_SOTIEN,AC_TKCO,$A35,AC_PHAITRA, $B35,AC_NGAY,"&gt;="&amp;$F$4,AC_NGAY,"&lt;="&amp;$H$4)</f>
        <v>0</v>
      </c>
      <c r="J35" s="303">
        <f t="shared" ref="J35:J99" si="15">IF(F35+H35-G35-I35&gt;=0,F35+H35-G35-I35,0)</f>
        <v>0</v>
      </c>
      <c r="K35" s="309">
        <f t="shared" ref="K35:K99" si="16">IF(G35+I35-H35-F35&gt;=0,G35+I35-H35-F35,0)</f>
        <v>0</v>
      </c>
      <c r="L35" s="292" t="str">
        <f t="shared" ref="L35:L99" si="17">IF(SUM(J35:K35)&gt;0,"X","")</f>
        <v/>
      </c>
    </row>
    <row r="36">
      <c r="A36" s="310" t="s">
        <v>1810</v>
      </c>
      <c r="B36" s="304"/>
      <c r="C36" s="314" t="s">
        <v>1813</v>
      </c>
      <c r="D36" s="302"/>
      <c r="E36" s="302"/>
      <c r="F36" s="302" t="str">
        <f>if($D36+SUMIFS(AC_SOTIEN,AC_TKNO,$A36,AC_PHAITHU,$B36,AC_NGAY,"&lt;"&amp;$F$4)-($E36+SUMIFS(AC_SOTIEN,AC_TKCO,$A36,AC_PHAITRA,$B36,AC_NGAY,"&lt;"&amp;$F$4))&gt;0,$D36+SUMIFS(AC_SOTIEN,AC_TKNO,$A36,AC_PHAITHU,$B36,AC_NGAY,"&lt;"&amp;$F$4)-($E36+SUMIFS(AC_SOTIEN,AC_TKCO,$A36,AC_PHAITRA,$B36,AC_NGAY,"&lt;"&amp;$F$4)),"")</f>
        <v/>
      </c>
      <c r="G36" s="302" t="str">
        <f>IF($E36+SUMIFS(AC_SOTIEN,AC_TKCO,$A36,AC_PHAITRA,$B36, AC_NGAY,"&lt;"&amp;$F$4)-($D36+SUMIFS(AC_SOTIEN,AC_TKNO,$A36,AC_PHAITHU,$B36,AC_NGAY,"&lt;"&amp;$F$4))&gt;0,$E36+SUMIFS(AC_SOTIEN,AC_TKCO,$A36,AC_PHAITRA,$B36,AC_NGAY,"&lt;"&amp;$F$4)-($D36+SUMIFS(AC_SOTIEN,AC_TKNO,$A36,AC_PHAITHU,$B36,AC_NGAY,"&lt;"&amp;$F$4)),"")</f>
        <v/>
      </c>
      <c r="H36" s="303">
        <f>SUMIFS(AC_SOTIEN,AC_TKNO,$A36 ,AC_PHAITHU,$B36,AC_NGAY,"&gt;="&amp;$F$4,AC_NGAY,"&lt;="&amp;$H$4)</f>
        <v>0</v>
      </c>
      <c r="I36" s="303">
        <f>SUMIFS(AC_SOTIEN,AC_TKCO,$A36,AC_PHAITRA, $B36,AC_NGAY,"&gt;="&amp;$F$4,AC_NGAY,"&lt;="&amp;$H$4)</f>
        <v>0</v>
      </c>
      <c r="J36" s="303">
        <f t="shared" si="15"/>
        <v>0</v>
      </c>
      <c r="K36" s="303">
        <f t="shared" si="16"/>
        <v>0</v>
      </c>
      <c r="L36" s="306" t="str">
        <f t="shared" si="17"/>
        <v/>
      </c>
    </row>
    <row r="37">
      <c r="A37" s="310" t="s">
        <v>1810</v>
      </c>
      <c r="B37" s="304"/>
      <c r="C37" s="307"/>
      <c r="D37" s="308"/>
      <c r="E37" s="312"/>
      <c r="F37" s="302" t="str">
        <f>if($D37+SUMIFS(AC_SOTIEN,AC_TKNO,$A37,AC_PHAITHU,$B37,AC_NGAY,"&lt;"&amp;$F$4)-($E37+SUMIFS(AC_SOTIEN,AC_TKCO,$A37,AC_PHAITRA,$B37,AC_NGAY,"&lt;"&amp;$F$4))&gt;0,$D37+SUMIFS(AC_SOTIEN,AC_TKNO,$A37,AC_PHAITHU,$B37,AC_NGAY,"&lt;"&amp;$F$4)-($E37+SUMIFS(AC_SOTIEN,AC_TKCO,$A37,AC_PHAITRA,$B37,AC_NGAY,"&lt;"&amp;$F$4)),"")</f>
        <v/>
      </c>
      <c r="G37" s="302" t="str">
        <f>IF($E37+SUMIFS(AC_SOTIEN,AC_TKCO,$A37,AC_PHAITRA,$B37, AC_NGAY,"&lt;"&amp;$F$4)-($D37+SUMIFS(AC_SOTIEN,AC_TKNO,$A37,AC_PHAITHU,$B37,AC_NGAY,"&lt;"&amp;$F$4))&gt;0,$E37+SUMIFS(AC_SOTIEN,AC_TKCO,$A37,AC_PHAITRA,$B37,AC_NGAY,"&lt;"&amp;$F$4)-($D37+SUMIFS(AC_SOTIEN,AC_TKNO,$A37,AC_PHAITHU,$B37,AC_NGAY,"&lt;"&amp;$F$4)),"")</f>
        <v/>
      </c>
      <c r="H37" s="303">
        <f>SUMIFS(AC_SOTIEN,AC_TKNO,$A37 ,AC_PHAITHU,$B37,AC_NGAY,"&gt;="&amp;$F$4,AC_NGAY,"&lt;="&amp;$H$4)</f>
        <v>0</v>
      </c>
      <c r="I37" s="303">
        <f>SUMIFS(AC_SOTIEN,AC_TKCO,$A37,AC_PHAITRA, $B37,AC_NGAY,"&gt;="&amp;$F$4,AC_NGAY,"&lt;="&amp;$H$4)</f>
        <v>0</v>
      </c>
      <c r="J37" s="303">
        <f t="shared" si="15"/>
        <v>0</v>
      </c>
      <c r="K37" s="309">
        <f t="shared" si="16"/>
        <v>0</v>
      </c>
      <c r="L37" s="292" t="str">
        <f t="shared" si="17"/>
        <v/>
      </c>
    </row>
    <row r="38">
      <c r="A38" s="310" t="s">
        <v>1810</v>
      </c>
      <c r="B38" s="310"/>
      <c r="C38" s="301"/>
      <c r="D38" s="302"/>
      <c r="E38" s="302"/>
      <c r="F38" s="302" t="str">
        <f>if($D38+SUMIFS(AC_SOTIEN,AC_TKNO,$A38,AC_PHAITHU,$B38,AC_NGAY,"&lt;"&amp;$F$4)-($E38+SUMIFS(AC_SOTIEN,AC_TKCO,$A38,AC_PHAITRA,$B38,AC_NGAY,"&lt;"&amp;$F$4))&gt;0,$D38+SUMIFS(AC_SOTIEN,AC_TKNO,$A38,AC_PHAITHU,$B38,AC_NGAY,"&lt;"&amp;$F$4)-($E38+SUMIFS(AC_SOTIEN,AC_TKCO,$A38,AC_PHAITRA,$B38,AC_NGAY,"&lt;"&amp;$F$4)),"")</f>
        <v/>
      </c>
      <c r="G38" s="302" t="str">
        <f>IF($E38+SUMIFS(AC_SOTIEN,AC_TKCO,$A38,AC_PHAITRA,$B38, AC_NGAY,"&lt;"&amp;$F$4)-($D38+SUMIFS(AC_SOTIEN,AC_TKNO,$A38,AC_PHAITHU,$B38,AC_NGAY,"&lt;"&amp;$F$4))&gt;0,$E38+SUMIFS(AC_SOTIEN,AC_TKCO,$A38,AC_PHAITRA,$B38,AC_NGAY,"&lt;"&amp;$F$4)-($D38+SUMIFS(AC_SOTIEN,AC_TKNO,$A38,AC_PHAITHU,$B38,AC_NGAY,"&lt;"&amp;$F$4)),"")</f>
        <v/>
      </c>
      <c r="H38" s="303">
        <f>SUMIFS(AC_SOTIEN,AC_TKNO,$A38 ,AC_PHAITHU,$B38,AC_NGAY,"&gt;="&amp;$F$4,AC_NGAY,"&lt;="&amp;$H$4)</f>
        <v>0</v>
      </c>
      <c r="I38" s="303">
        <f>SUMIFS(AC_SOTIEN,AC_TKCO,$A38,AC_PHAITRA, $B38,AC_NGAY,"&gt;="&amp;$F$4,AC_NGAY,"&lt;="&amp;$H$4)</f>
        <v>0</v>
      </c>
      <c r="J38" s="303">
        <f t="shared" si="15"/>
        <v>0</v>
      </c>
      <c r="K38" s="303">
        <f t="shared" si="16"/>
        <v>0</v>
      </c>
      <c r="L38" s="306" t="str">
        <f t="shared" si="17"/>
        <v/>
      </c>
    </row>
    <row r="39">
      <c r="A39" s="310" t="s">
        <v>1810</v>
      </c>
      <c r="B39" s="304"/>
      <c r="C39" s="307"/>
      <c r="D39" s="308"/>
      <c r="E39" s="312"/>
      <c r="F39" s="302" t="str">
        <f>if($D39+SUMIFS(AC_SOTIEN,AC_TKNO,$A39,AC_PHAITHU,$B39,AC_NGAY,"&lt;"&amp;$F$4)-($E39+SUMIFS(AC_SOTIEN,AC_TKCO,$A39,AC_PHAITRA,$B39,AC_NGAY,"&lt;"&amp;$F$4))&gt;0,$D39+SUMIFS(AC_SOTIEN,AC_TKNO,$A39,AC_PHAITHU,$B39,AC_NGAY,"&lt;"&amp;$F$4)-($E39+SUMIFS(AC_SOTIEN,AC_TKCO,$A39,AC_PHAITRA,$B39,AC_NGAY,"&lt;"&amp;$F$4)),"")</f>
        <v/>
      </c>
      <c r="G39" s="302" t="str">
        <f>IF($E39+SUMIFS(AC_SOTIEN,AC_TKCO,$A39,AC_PHAITRA,$B39, AC_NGAY,"&lt;"&amp;$F$4)-($D39+SUMIFS(AC_SOTIEN,AC_TKNO,$A39,AC_PHAITHU,$B39,AC_NGAY,"&lt;"&amp;$F$4))&gt;0,$E39+SUMIFS(AC_SOTIEN,AC_TKCO,$A39,AC_PHAITRA,$B39,AC_NGAY,"&lt;"&amp;$F$4)-($D39+SUMIFS(AC_SOTIEN,AC_TKNO,$A39,AC_PHAITHU,$B39,AC_NGAY,"&lt;"&amp;$F$4)),"")</f>
        <v/>
      </c>
      <c r="H39" s="303">
        <f>SUMIFS(AC_SOTIEN,AC_TKNO,$A39 ,AC_PHAITHU,$B39,AC_NGAY,"&gt;="&amp;$F$4,AC_NGAY,"&lt;="&amp;$H$4)</f>
        <v>0</v>
      </c>
      <c r="I39" s="303">
        <f>SUMIFS(AC_SOTIEN,AC_TKCO,$A39,AC_PHAITRA, $B39,AC_NGAY,"&gt;="&amp;$F$4,AC_NGAY,"&lt;="&amp;$H$4)</f>
        <v>0</v>
      </c>
      <c r="J39" s="303">
        <f t="shared" si="15"/>
        <v>0</v>
      </c>
      <c r="K39" s="309">
        <f t="shared" si="16"/>
        <v>0</v>
      </c>
      <c r="L39" s="292" t="str">
        <f t="shared" si="17"/>
        <v/>
      </c>
    </row>
    <row r="40">
      <c r="A40" s="311" t="s">
        <v>1810</v>
      </c>
      <c r="B40" s="304"/>
      <c r="C40" s="301"/>
      <c r="D40" s="302"/>
      <c r="E40" s="302"/>
      <c r="F40" s="302" t="str">
        <f>if($D40+SUMIFS(AC_SOTIEN,AC_TKNO,$A40,AC_PHAITHU,$B40,AC_NGAY,"&lt;"&amp;$F$4)-($E40+SUMIFS(AC_SOTIEN,AC_TKCO,$A40,AC_PHAITRA,$B40,AC_NGAY,"&lt;"&amp;$F$4))&gt;0,$D40+SUMIFS(AC_SOTIEN,AC_TKNO,$A40,AC_PHAITHU,$B40,AC_NGAY,"&lt;"&amp;$F$4)-($E40+SUMIFS(AC_SOTIEN,AC_TKCO,$A40,AC_PHAITRA,$B40,AC_NGAY,"&lt;"&amp;$F$4)),"")</f>
        <v/>
      </c>
      <c r="G40" s="302" t="str">
        <f>IF($E40+SUMIFS(AC_SOTIEN,AC_TKCO,$A40,AC_PHAITRA,$B40, AC_NGAY,"&lt;"&amp;$F$4)-($D40+SUMIFS(AC_SOTIEN,AC_TKNO,$A40,AC_PHAITHU,$B40,AC_NGAY,"&lt;"&amp;$F$4))&gt;0,$E40+SUMIFS(AC_SOTIEN,AC_TKCO,$A40,AC_PHAITRA,$B40,AC_NGAY,"&lt;"&amp;$F$4)-($D40+SUMIFS(AC_SOTIEN,AC_TKNO,$A40,AC_PHAITHU,$B40,AC_NGAY,"&lt;"&amp;$F$4)),"")</f>
        <v/>
      </c>
      <c r="H40" s="303">
        <f>SUMIFS(AC_SOTIEN,AC_TKNO,$A40 ,AC_PHAITHU,$B40,AC_NGAY,"&gt;="&amp;$F$4,AC_NGAY,"&lt;="&amp;$H$4)</f>
        <v>0</v>
      </c>
      <c r="I40" s="303">
        <f>SUMIFS(AC_SOTIEN,AC_TKCO,$A40,AC_PHAITRA, $B40,AC_NGAY,"&gt;="&amp;$F$4,AC_NGAY,"&lt;="&amp;$H$4)</f>
        <v>0</v>
      </c>
      <c r="J40" s="303">
        <f t="shared" si="15"/>
        <v>0</v>
      </c>
      <c r="K40" s="303">
        <f t="shared" si="16"/>
        <v>0</v>
      </c>
      <c r="L40" s="306" t="str">
        <f t="shared" si="17"/>
        <v/>
      </c>
    </row>
    <row r="41">
      <c r="A41" s="310" t="s">
        <v>1810</v>
      </c>
      <c r="B41" s="310"/>
      <c r="C41" s="307"/>
      <c r="D41" s="312"/>
      <c r="E41" s="308"/>
      <c r="F41" s="302" t="str">
        <f>if($D41+SUMIFS(AC_SOTIEN,AC_TKNO,$A41,AC_PHAITHU,$B41,AC_NGAY,"&lt;"&amp;$F$4)-($E41+SUMIFS(AC_SOTIEN,AC_TKCO,$A41,AC_PHAITRA,$B41,AC_NGAY,"&lt;"&amp;$F$4))&gt;0,$D41+SUMIFS(AC_SOTIEN,AC_TKNO,$A41,AC_PHAITHU,$B41,AC_NGAY,"&lt;"&amp;$F$4)-($E41+SUMIFS(AC_SOTIEN,AC_TKCO,$A41,AC_PHAITRA,$B41,AC_NGAY,"&lt;"&amp;$F$4)),"")</f>
        <v/>
      </c>
      <c r="G41" s="302" t="str">
        <f>IF($E41+SUMIFS(AC_SOTIEN,AC_TKCO,$A41,AC_PHAITRA,$B41, AC_NGAY,"&lt;"&amp;$F$4)-($D41+SUMIFS(AC_SOTIEN,AC_TKNO,$A41,AC_PHAITHU,$B41,AC_NGAY,"&lt;"&amp;$F$4))&gt;0,$E41+SUMIFS(AC_SOTIEN,AC_TKCO,$A41,AC_PHAITRA,$B41,AC_NGAY,"&lt;"&amp;$F$4)-($D41+SUMIFS(AC_SOTIEN,AC_TKNO,$A41,AC_PHAITHU,$B41,AC_NGAY,"&lt;"&amp;$F$4)),"")</f>
        <v/>
      </c>
      <c r="H41" s="303">
        <f>SUMIFS(AC_SOTIEN,AC_TKNO,$A41 ,AC_PHAITHU,$B41,AC_NGAY,"&gt;="&amp;$F$4,AC_NGAY,"&lt;="&amp;$H$4)</f>
        <v>0</v>
      </c>
      <c r="I41" s="303">
        <f>SUMIFS(AC_SOTIEN,AC_TKCO,$A41,AC_PHAITRA, $B41,AC_NGAY,"&gt;="&amp;$F$4,AC_NGAY,"&lt;="&amp;$H$4)</f>
        <v>0</v>
      </c>
      <c r="J41" s="303">
        <f t="shared" si="15"/>
        <v>0</v>
      </c>
      <c r="K41" s="309">
        <f t="shared" si="16"/>
        <v>0</v>
      </c>
      <c r="L41" s="292" t="str">
        <f t="shared" si="17"/>
        <v/>
      </c>
    </row>
    <row r="42">
      <c r="A42" s="311" t="s">
        <v>1810</v>
      </c>
      <c r="B42" s="304"/>
      <c r="C42" s="301"/>
      <c r="D42" s="302"/>
      <c r="E42" s="302"/>
      <c r="F42" s="302" t="str">
        <f>if($D42+SUMIFS(AC_SOTIEN,AC_TKNO,$A42,AC_PHAITHU,$B42,AC_NGAY,"&lt;"&amp;$F$4)-($E42+SUMIFS(AC_SOTIEN,AC_TKCO,$A42,AC_PHAITRA,$B42,AC_NGAY,"&lt;"&amp;$F$4))&gt;0,$D42+SUMIFS(AC_SOTIEN,AC_TKNO,$A42,AC_PHAITHU,$B42,AC_NGAY,"&lt;"&amp;$F$4)-($E42+SUMIFS(AC_SOTIEN,AC_TKCO,$A42,AC_PHAITRA,$B42,AC_NGAY,"&lt;"&amp;$F$4)),"")</f>
        <v/>
      </c>
      <c r="G42" s="302" t="str">
        <f>IF($E42+SUMIFS(AC_SOTIEN,AC_TKCO,$A42,AC_PHAITRA,$B42, AC_NGAY,"&lt;"&amp;$F$4)-($D42+SUMIFS(AC_SOTIEN,AC_TKNO,$A42,AC_PHAITHU,$B42,AC_NGAY,"&lt;"&amp;$F$4))&gt;0,$E42+SUMIFS(AC_SOTIEN,AC_TKCO,$A42,AC_PHAITRA,$B42,AC_NGAY,"&lt;"&amp;$F$4)-($D42+SUMIFS(AC_SOTIEN,AC_TKNO,$A42,AC_PHAITHU,$B42,AC_NGAY,"&lt;"&amp;$F$4)),"")</f>
        <v/>
      </c>
      <c r="H42" s="303">
        <f>SUMIFS(AC_SOTIEN,AC_TKNO,$A42 ,AC_PHAITHU,$B42,AC_NGAY,"&gt;="&amp;$F$4,AC_NGAY,"&lt;="&amp;$H$4)</f>
        <v>0</v>
      </c>
      <c r="I42" s="303">
        <f>SUMIFS(AC_SOTIEN,AC_TKCO,$A42,AC_PHAITRA, $B42,AC_NGAY,"&gt;="&amp;$F$4,AC_NGAY,"&lt;="&amp;$H$4)</f>
        <v>0</v>
      </c>
      <c r="J42" s="303">
        <f t="shared" si="15"/>
        <v>0</v>
      </c>
      <c r="K42" s="303">
        <f t="shared" si="16"/>
        <v>0</v>
      </c>
      <c r="L42" s="306" t="str">
        <f t="shared" si="17"/>
        <v/>
      </c>
    </row>
    <row r="43">
      <c r="A43" s="310" t="s">
        <v>1810</v>
      </c>
      <c r="B43" s="310"/>
      <c r="C43" s="307"/>
      <c r="D43" s="308"/>
      <c r="E43" s="308"/>
      <c r="F43" s="302" t="str">
        <f>if($D43+SUMIFS(AC_SOTIEN,AC_TKNO,$A43,AC_PHAITHU,$B43,AC_NGAY,"&lt;"&amp;$F$4)-($E43+SUMIFS(AC_SOTIEN,AC_TKCO,$A43,AC_PHAITRA,$B43,AC_NGAY,"&lt;"&amp;$F$4))&gt;0,$D43+SUMIFS(AC_SOTIEN,AC_TKNO,$A43,AC_PHAITHU,$B43,AC_NGAY,"&lt;"&amp;$F$4)-($E43+SUMIFS(AC_SOTIEN,AC_TKCO,$A43,AC_PHAITRA,$B43,AC_NGAY,"&lt;"&amp;$F$4)),"")</f>
        <v/>
      </c>
      <c r="G43" s="302" t="str">
        <f>IF($E43+SUMIFS(AC_SOTIEN,AC_TKCO,$A43,AC_PHAITRA,$B43, AC_NGAY,"&lt;"&amp;$F$4)-($D43+SUMIFS(AC_SOTIEN,AC_TKNO,$A43,AC_PHAITHU,$B43,AC_NGAY,"&lt;"&amp;$F$4))&gt;0,$E43+SUMIFS(AC_SOTIEN,AC_TKCO,$A43,AC_PHAITRA,$B43,AC_NGAY,"&lt;"&amp;$F$4)-($D43+SUMIFS(AC_SOTIEN,AC_TKNO,$A43,AC_PHAITHU,$B43,AC_NGAY,"&lt;"&amp;$F$4)),"")</f>
        <v/>
      </c>
      <c r="H43" s="303">
        <f>SUMIFS(AC_SOTIEN,AC_TKNO,$A43 ,AC_PHAITHU,$B43,AC_NGAY,"&gt;="&amp;$F$4,AC_NGAY,"&lt;="&amp;$H$4)</f>
        <v>0</v>
      </c>
      <c r="I43" s="303">
        <f>SUMIFS(AC_SOTIEN,AC_TKCO,$A43,AC_PHAITRA, $B43,AC_NGAY,"&gt;="&amp;$F$4,AC_NGAY,"&lt;="&amp;$H$4)</f>
        <v>0</v>
      </c>
      <c r="J43" s="303">
        <f t="shared" si="15"/>
        <v>0</v>
      </c>
      <c r="K43" s="309">
        <f t="shared" si="16"/>
        <v>0</v>
      </c>
      <c r="L43" s="292" t="str">
        <f t="shared" si="17"/>
        <v/>
      </c>
    </row>
    <row r="44">
      <c r="A44" s="311" t="s">
        <v>1810</v>
      </c>
      <c r="B44" s="304"/>
      <c r="C44" s="301"/>
      <c r="D44" s="302"/>
      <c r="E44" s="302"/>
      <c r="F44" s="302" t="str">
        <f>if($D44+SUMIFS(AC_SOTIEN,AC_TKNO,$A44,AC_PHAITHU,$B44,AC_NGAY,"&lt;"&amp;$F$4)-($E44+SUMIFS(AC_SOTIEN,AC_TKCO,$A44,AC_PHAITRA,$B44,AC_NGAY,"&lt;"&amp;$F$4))&gt;0,$D44+SUMIFS(AC_SOTIEN,AC_TKNO,$A44,AC_PHAITHU,$B44,AC_NGAY,"&lt;"&amp;$F$4)-($E44+SUMIFS(AC_SOTIEN,AC_TKCO,$A44,AC_PHAITRA,$B44,AC_NGAY,"&lt;"&amp;$F$4)),"")</f>
        <v/>
      </c>
      <c r="G44" s="302" t="str">
        <f>IF($E44+SUMIFS(AC_SOTIEN,AC_TKCO,$A44,AC_PHAITRA,$B44, AC_NGAY,"&lt;"&amp;$F$4)-($D44+SUMIFS(AC_SOTIEN,AC_TKNO,$A44,AC_PHAITHU,$B44,AC_NGAY,"&lt;"&amp;$F$4))&gt;0,$E44+SUMIFS(AC_SOTIEN,AC_TKCO,$A44,AC_PHAITRA,$B44,AC_NGAY,"&lt;"&amp;$F$4)-($D44+SUMIFS(AC_SOTIEN,AC_TKNO,$A44,AC_PHAITHU,$B44,AC_NGAY,"&lt;"&amp;$F$4)),"")</f>
        <v/>
      </c>
      <c r="H44" s="303">
        <f>SUMIFS(AC_SOTIEN,AC_TKNO,$A44 ,AC_PHAITHU,$B44,AC_NGAY,"&gt;="&amp;$F$4,AC_NGAY,"&lt;="&amp;$H$4)</f>
        <v>0</v>
      </c>
      <c r="I44" s="303">
        <f>SUMIFS(AC_SOTIEN,AC_TKCO,$A44,AC_PHAITRA, $B44,AC_NGAY,"&gt;="&amp;$F$4,AC_NGAY,"&lt;="&amp;$H$4)</f>
        <v>0</v>
      </c>
      <c r="J44" s="303">
        <f t="shared" si="15"/>
        <v>0</v>
      </c>
      <c r="K44" s="303">
        <f t="shared" si="16"/>
        <v>0</v>
      </c>
      <c r="L44" s="306" t="str">
        <f t="shared" si="17"/>
        <v/>
      </c>
    </row>
    <row r="45">
      <c r="A45" s="310" t="s">
        <v>1810</v>
      </c>
      <c r="B45" s="304"/>
      <c r="C45" s="307"/>
      <c r="D45" s="308"/>
      <c r="E45" s="308"/>
      <c r="F45" s="302" t="str">
        <f>if($D45+SUMIFS(AC_SOTIEN,AC_TKNO,$A45,AC_PHAITHU,$B45,AC_NGAY,"&lt;"&amp;$F$4)-($E45+SUMIFS(AC_SOTIEN,AC_TKCO,$A45,AC_PHAITRA,$B45,AC_NGAY,"&lt;"&amp;$F$4))&gt;0,$D45+SUMIFS(AC_SOTIEN,AC_TKNO,$A45,AC_PHAITHU,$B45,AC_NGAY,"&lt;"&amp;$F$4)-($E45+SUMIFS(AC_SOTIEN,AC_TKCO,$A45,AC_PHAITRA,$B45,AC_NGAY,"&lt;"&amp;$F$4)),"")</f>
        <v/>
      </c>
      <c r="G45" s="302" t="str">
        <f>IF($E45+SUMIFS(AC_SOTIEN,AC_TKCO,$A45,AC_PHAITRA,$B45, AC_NGAY,"&lt;"&amp;$F$4)-($D45+SUMIFS(AC_SOTIEN,AC_TKNO,$A45,AC_PHAITHU,$B45,AC_NGAY,"&lt;"&amp;$F$4))&gt;0,$E45+SUMIFS(AC_SOTIEN,AC_TKCO,$A45,AC_PHAITRA,$B45,AC_NGAY,"&lt;"&amp;$F$4)-($D45+SUMIFS(AC_SOTIEN,AC_TKNO,$A45,AC_PHAITHU,$B45,AC_NGAY,"&lt;"&amp;$F$4)),"")</f>
        <v/>
      </c>
      <c r="H45" s="303">
        <f>SUMIFS(AC_SOTIEN,AC_TKNO,$A45 ,AC_PHAITHU,$B45,AC_NGAY,"&gt;="&amp;$F$4,AC_NGAY,"&lt;="&amp;$H$4)</f>
        <v>0</v>
      </c>
      <c r="I45" s="303">
        <f>SUMIFS(AC_SOTIEN,AC_TKCO,$A45,AC_PHAITRA, $B45,AC_NGAY,"&gt;="&amp;$F$4,AC_NGAY,"&lt;="&amp;$H$4)</f>
        <v>0</v>
      </c>
      <c r="J45" s="303">
        <f t="shared" si="15"/>
        <v>0</v>
      </c>
      <c r="K45" s="309">
        <f t="shared" si="16"/>
        <v>0</v>
      </c>
      <c r="L45" s="292" t="str">
        <f t="shared" si="17"/>
        <v/>
      </c>
    </row>
    <row r="46">
      <c r="A46" s="311" t="s">
        <v>1810</v>
      </c>
      <c r="B46" s="304"/>
      <c r="C46" s="301"/>
      <c r="D46" s="302"/>
      <c r="E46" s="302"/>
      <c r="F46" s="302" t="str">
        <f>if($D46+SUMIFS(AC_SOTIEN,AC_TKNO,$A46,AC_PHAITHU,$B46,AC_NGAY,"&lt;"&amp;$F$4)-($E46+SUMIFS(AC_SOTIEN,AC_TKCO,$A46,AC_PHAITRA,$B46,AC_NGAY,"&lt;"&amp;$F$4))&gt;0,$D46+SUMIFS(AC_SOTIEN,AC_TKNO,$A46,AC_PHAITHU,$B46,AC_NGAY,"&lt;"&amp;$F$4)-($E46+SUMIFS(AC_SOTIEN,AC_TKCO,$A46,AC_PHAITRA,$B46,AC_NGAY,"&lt;"&amp;$F$4)),"")</f>
        <v/>
      </c>
      <c r="G46" s="302" t="str">
        <f>IF($E46+SUMIFS(AC_SOTIEN,AC_TKCO,$A46,AC_PHAITRA,$B46, AC_NGAY,"&lt;"&amp;$F$4)-($D46+SUMIFS(AC_SOTIEN,AC_TKNO,$A46,AC_PHAITHU,$B46,AC_NGAY,"&lt;"&amp;$F$4))&gt;0,$E46+SUMIFS(AC_SOTIEN,AC_TKCO,$A46,AC_PHAITRA,$B46,AC_NGAY,"&lt;"&amp;$F$4)-($D46+SUMIFS(AC_SOTIEN,AC_TKNO,$A46,AC_PHAITHU,$B46,AC_NGAY,"&lt;"&amp;$F$4)),"")</f>
        <v/>
      </c>
      <c r="H46" s="303">
        <f>SUMIFS(AC_SOTIEN,AC_TKNO,$A46 ,AC_PHAITHU,$B46,AC_NGAY,"&gt;="&amp;$F$4,AC_NGAY,"&lt;="&amp;$H$4)</f>
        <v>0</v>
      </c>
      <c r="I46" s="303">
        <f>SUMIFS(AC_SOTIEN,AC_TKCO,$A46,AC_PHAITRA, $B46,AC_NGAY,"&gt;="&amp;$F$4,AC_NGAY,"&lt;="&amp;$H$4)</f>
        <v>0</v>
      </c>
      <c r="J46" s="303">
        <f t="shared" si="15"/>
        <v>0</v>
      </c>
      <c r="K46" s="303">
        <f t="shared" si="16"/>
        <v>0</v>
      </c>
      <c r="L46" s="306" t="str">
        <f t="shared" si="17"/>
        <v/>
      </c>
    </row>
    <row r="47">
      <c r="A47" s="310" t="s">
        <v>1810</v>
      </c>
      <c r="B47" s="304"/>
      <c r="C47" s="307"/>
      <c r="D47" s="308"/>
      <c r="E47" s="308"/>
      <c r="F47" s="302" t="str">
        <f>if($D47+SUMIFS(AC_SOTIEN,AC_TKNO,$A47,AC_PHAITHU,$B47,AC_NGAY,"&lt;"&amp;$F$4)-($E47+SUMIFS(AC_SOTIEN,AC_TKCO,$A47,AC_PHAITRA,$B47,AC_NGAY,"&lt;"&amp;$F$4))&gt;0,$D47+SUMIFS(AC_SOTIEN,AC_TKNO,$A47,AC_PHAITHU,$B47,AC_NGAY,"&lt;"&amp;$F$4)-($E47+SUMIFS(AC_SOTIEN,AC_TKCO,$A47,AC_PHAITRA,$B47,AC_NGAY,"&lt;"&amp;$F$4)),"")</f>
        <v/>
      </c>
      <c r="G47" s="302" t="str">
        <f>IF($E47+SUMIFS(AC_SOTIEN,AC_TKCO,$A47,AC_PHAITRA,$B47, AC_NGAY,"&lt;"&amp;$F$4)-($D47+SUMIFS(AC_SOTIEN,AC_TKNO,$A47,AC_PHAITHU,$B47,AC_NGAY,"&lt;"&amp;$F$4))&gt;0,$E47+SUMIFS(AC_SOTIEN,AC_TKCO,$A47,AC_PHAITRA,$B47,AC_NGAY,"&lt;"&amp;$F$4)-($D47+SUMIFS(AC_SOTIEN,AC_TKNO,$A47,AC_PHAITHU,$B47,AC_NGAY,"&lt;"&amp;$F$4)),"")</f>
        <v/>
      </c>
      <c r="H47" s="303">
        <f>SUMIFS(AC_SOTIEN,AC_TKNO,$A47 ,AC_PHAITHU,$B47,AC_NGAY,"&gt;="&amp;$F$4,AC_NGAY,"&lt;="&amp;$H$4)</f>
        <v>0</v>
      </c>
      <c r="I47" s="303">
        <f>SUMIFS(AC_SOTIEN,AC_TKCO,$A47,AC_PHAITRA, $B47,AC_NGAY,"&gt;="&amp;$F$4,AC_NGAY,"&lt;="&amp;$H$4)</f>
        <v>0</v>
      </c>
      <c r="J47" s="303">
        <f t="shared" si="15"/>
        <v>0</v>
      </c>
      <c r="K47" s="309">
        <f t="shared" si="16"/>
        <v>0</v>
      </c>
      <c r="L47" s="292" t="str">
        <f t="shared" si="17"/>
        <v/>
      </c>
    </row>
    <row r="48">
      <c r="A48" s="311" t="s">
        <v>1810</v>
      </c>
      <c r="B48" s="304"/>
      <c r="C48" s="301"/>
      <c r="D48" s="302"/>
      <c r="E48" s="302"/>
      <c r="F48" s="302" t="str">
        <f>if($D48+SUMIFS(AC_SOTIEN,AC_TKNO,$A48,AC_PHAITHU,$B48,AC_NGAY,"&lt;"&amp;$F$4)-($E48+SUMIFS(AC_SOTIEN,AC_TKCO,$A48,AC_PHAITRA,$B48,AC_NGAY,"&lt;"&amp;$F$4))&gt;0,$D48+SUMIFS(AC_SOTIEN,AC_TKNO,$A48,AC_PHAITHU,$B48,AC_NGAY,"&lt;"&amp;$F$4)-($E48+SUMIFS(AC_SOTIEN,AC_TKCO,$A48,AC_PHAITRA,$B48,AC_NGAY,"&lt;"&amp;$F$4)),"")</f>
        <v/>
      </c>
      <c r="G48" s="302" t="str">
        <f>IF($E48+SUMIFS(AC_SOTIEN,AC_TKCO,$A48,AC_PHAITRA,$B48, AC_NGAY,"&lt;"&amp;$F$4)-($D48+SUMIFS(AC_SOTIEN,AC_TKNO,$A48,AC_PHAITHU,$B48,AC_NGAY,"&lt;"&amp;$F$4))&gt;0,$E48+SUMIFS(AC_SOTIEN,AC_TKCO,$A48,AC_PHAITRA,$B48,AC_NGAY,"&lt;"&amp;$F$4)-($D48+SUMIFS(AC_SOTIEN,AC_TKNO,$A48,AC_PHAITHU,$B48,AC_NGAY,"&lt;"&amp;$F$4)),"")</f>
        <v/>
      </c>
      <c r="H48" s="303">
        <f>SUMIFS(AC_SOTIEN,AC_TKNO,$A48 ,AC_PHAITHU,$B48,AC_NGAY,"&gt;="&amp;$F$4,AC_NGAY,"&lt;="&amp;$H$4)</f>
        <v>0</v>
      </c>
      <c r="I48" s="303">
        <f>SUMIFS(AC_SOTIEN,AC_TKCO,$A48,AC_PHAITRA, $B48,AC_NGAY,"&gt;="&amp;$F$4,AC_NGAY,"&lt;="&amp;$H$4)</f>
        <v>0</v>
      </c>
      <c r="J48" s="303">
        <f t="shared" si="15"/>
        <v>0</v>
      </c>
      <c r="K48" s="303">
        <f t="shared" si="16"/>
        <v>0</v>
      </c>
      <c r="L48" s="306" t="str">
        <f t="shared" si="17"/>
        <v/>
      </c>
    </row>
    <row r="49">
      <c r="A49" s="310" t="s">
        <v>1810</v>
      </c>
      <c r="B49" s="304"/>
      <c r="C49" s="307"/>
      <c r="D49" s="308"/>
      <c r="E49" s="308"/>
      <c r="F49" s="302" t="str">
        <f>if($D49+SUMIFS(AC_SOTIEN,AC_TKNO,$A49,AC_PHAITHU,$B49,AC_NGAY,"&lt;"&amp;$F$4)-($E49+SUMIFS(AC_SOTIEN,AC_TKCO,$A49,AC_PHAITRA,$B49,AC_NGAY,"&lt;"&amp;$F$4))&gt;0,$D49+SUMIFS(AC_SOTIEN,AC_TKNO,$A49,AC_PHAITHU,$B49,AC_NGAY,"&lt;"&amp;$F$4)-($E49+SUMIFS(AC_SOTIEN,AC_TKCO,$A49,AC_PHAITRA,$B49,AC_NGAY,"&lt;"&amp;$F$4)),"")</f>
        <v/>
      </c>
      <c r="G49" s="302" t="str">
        <f>IF($E49+SUMIFS(AC_SOTIEN,AC_TKCO,$A49,AC_PHAITRA,$B49, AC_NGAY,"&lt;"&amp;$F$4)-($D49+SUMIFS(AC_SOTIEN,AC_TKNO,$A49,AC_PHAITHU,$B49,AC_NGAY,"&lt;"&amp;$F$4))&gt;0,$E49+SUMIFS(AC_SOTIEN,AC_TKCO,$A49,AC_PHAITRA,$B49,AC_NGAY,"&lt;"&amp;$F$4)-($D49+SUMIFS(AC_SOTIEN,AC_TKNO,$A49,AC_PHAITHU,$B49,AC_NGAY,"&lt;"&amp;$F$4)),"")</f>
        <v/>
      </c>
      <c r="H49" s="303">
        <f>SUMIFS(AC_SOTIEN,AC_TKNO,$A49 ,AC_PHAITHU,$B49,AC_NGAY,"&gt;="&amp;$F$4,AC_NGAY,"&lt;="&amp;$H$4)</f>
        <v>0</v>
      </c>
      <c r="I49" s="303">
        <f>SUMIFS(AC_SOTIEN,AC_TKCO,$A49,AC_PHAITRA, $B49,AC_NGAY,"&gt;="&amp;$F$4,AC_NGAY,"&lt;="&amp;$H$4)</f>
        <v>0</v>
      </c>
      <c r="J49" s="303">
        <f t="shared" si="15"/>
        <v>0</v>
      </c>
      <c r="K49" s="309">
        <f t="shared" si="16"/>
        <v>0</v>
      </c>
      <c r="L49" s="292" t="str">
        <f t="shared" si="17"/>
        <v/>
      </c>
    </row>
    <row r="50">
      <c r="A50" s="311" t="s">
        <v>1810</v>
      </c>
      <c r="B50" s="304"/>
      <c r="C50" s="301"/>
      <c r="D50" s="302"/>
      <c r="E50" s="302"/>
      <c r="F50" s="302" t="str">
        <f>if($D50+SUMIFS(AC_SOTIEN,AC_TKNO,$A50,AC_PHAITHU,$B50,AC_NGAY,"&lt;"&amp;$F$4)-($E50+SUMIFS(AC_SOTIEN,AC_TKCO,$A50,AC_PHAITRA,$B50,AC_NGAY,"&lt;"&amp;$F$4))&gt;0,$D50+SUMIFS(AC_SOTIEN,AC_TKNO,$A50,AC_PHAITHU,$B50,AC_NGAY,"&lt;"&amp;$F$4)-($E50+SUMIFS(AC_SOTIEN,AC_TKCO,$A50,AC_PHAITRA,$B50,AC_NGAY,"&lt;"&amp;$F$4)),"")</f>
        <v/>
      </c>
      <c r="G50" s="302" t="str">
        <f>IF($E50+SUMIFS(AC_SOTIEN,AC_TKCO,$A50,AC_PHAITRA,$B50, AC_NGAY,"&lt;"&amp;$F$4)-($D50+SUMIFS(AC_SOTIEN,AC_TKNO,$A50,AC_PHAITHU,$B50,AC_NGAY,"&lt;"&amp;$F$4))&gt;0,$E50+SUMIFS(AC_SOTIEN,AC_TKCO,$A50,AC_PHAITRA,$B50,AC_NGAY,"&lt;"&amp;$F$4)-($D50+SUMIFS(AC_SOTIEN,AC_TKNO,$A50,AC_PHAITHU,$B50,AC_NGAY,"&lt;"&amp;$F$4)),"")</f>
        <v/>
      </c>
      <c r="H50" s="303">
        <f>SUMIFS(AC_SOTIEN,AC_TKNO,$A50 ,AC_PHAITHU,$B50,AC_NGAY,"&gt;="&amp;$F$4,AC_NGAY,"&lt;="&amp;$H$4)</f>
        <v>0</v>
      </c>
      <c r="I50" s="303">
        <f>SUMIFS(AC_SOTIEN,AC_TKCO,$A50,AC_PHAITRA, $B50,AC_NGAY,"&gt;="&amp;$F$4,AC_NGAY,"&lt;="&amp;$H$4)</f>
        <v>0</v>
      </c>
      <c r="J50" s="303">
        <f t="shared" si="15"/>
        <v>0</v>
      </c>
      <c r="K50" s="303">
        <f t="shared" si="16"/>
        <v>0</v>
      </c>
      <c r="L50" s="306" t="str">
        <f t="shared" si="17"/>
        <v/>
      </c>
    </row>
    <row r="51">
      <c r="A51" s="310" t="s">
        <v>1810</v>
      </c>
      <c r="B51" s="304"/>
      <c r="C51" s="307"/>
      <c r="D51" s="308"/>
      <c r="E51" s="308"/>
      <c r="F51" s="302" t="str">
        <f>if($D51+SUMIFS(AC_SOTIEN,AC_TKNO,$A51,AC_PHAITHU,$B51,AC_NGAY,"&lt;"&amp;$F$4)-($E51+SUMIFS(AC_SOTIEN,AC_TKCO,$A51,AC_PHAITRA,$B51,AC_NGAY,"&lt;"&amp;$F$4))&gt;0,$D51+SUMIFS(AC_SOTIEN,AC_TKNO,$A51,AC_PHAITHU,$B51,AC_NGAY,"&lt;"&amp;$F$4)-($E51+SUMIFS(AC_SOTIEN,AC_TKCO,$A51,AC_PHAITRA,$B51,AC_NGAY,"&lt;"&amp;$F$4)),"")</f>
        <v/>
      </c>
      <c r="G51" s="302" t="str">
        <f>IF($E51+SUMIFS(AC_SOTIEN,AC_TKCO,$A51,AC_PHAITRA,$B51, AC_NGAY,"&lt;"&amp;$F$4)-($D51+SUMIFS(AC_SOTIEN,AC_TKNO,$A51,AC_PHAITHU,$B51,AC_NGAY,"&lt;"&amp;$F$4))&gt;0,$E51+SUMIFS(AC_SOTIEN,AC_TKCO,$A51,AC_PHAITRA,$B51,AC_NGAY,"&lt;"&amp;$F$4)-($D51+SUMIFS(AC_SOTIEN,AC_TKNO,$A51,AC_PHAITHU,$B51,AC_NGAY,"&lt;"&amp;$F$4)),"")</f>
        <v/>
      </c>
      <c r="H51" s="303">
        <f>SUMIFS(AC_SOTIEN,AC_TKNO,$A51 ,AC_PHAITHU,$B51,AC_NGAY,"&gt;="&amp;$F$4,AC_NGAY,"&lt;="&amp;$H$4)</f>
        <v>0</v>
      </c>
      <c r="I51" s="303">
        <f>SUMIFS(AC_SOTIEN,AC_TKCO,$A51,AC_PHAITRA, $B51,AC_NGAY,"&gt;="&amp;$F$4,AC_NGAY,"&lt;="&amp;$H$4)</f>
        <v>0</v>
      </c>
      <c r="J51" s="303">
        <f t="shared" si="15"/>
        <v>0</v>
      </c>
      <c r="K51" s="309">
        <f t="shared" si="16"/>
        <v>0</v>
      </c>
      <c r="L51" s="292" t="str">
        <f t="shared" si="17"/>
        <v/>
      </c>
    </row>
    <row r="52">
      <c r="A52" s="311" t="s">
        <v>1810</v>
      </c>
      <c r="B52" s="304"/>
      <c r="C52" s="301"/>
      <c r="D52" s="302"/>
      <c r="E52" s="302"/>
      <c r="F52" s="302" t="str">
        <f>if($D52+SUMIFS(AC_SOTIEN,AC_TKNO,$A52,AC_PHAITHU,$B52,AC_NGAY,"&lt;"&amp;$F$4)-($E52+SUMIFS(AC_SOTIEN,AC_TKCO,$A52,AC_PHAITRA,$B52,AC_NGAY,"&lt;"&amp;$F$4))&gt;0,$D52+SUMIFS(AC_SOTIEN,AC_TKNO,$A52,AC_PHAITHU,$B52,AC_NGAY,"&lt;"&amp;$F$4)-($E52+SUMIFS(AC_SOTIEN,AC_TKCO,$A52,AC_PHAITRA,$B52,AC_NGAY,"&lt;"&amp;$F$4)),"")</f>
        <v/>
      </c>
      <c r="G52" s="302" t="str">
        <f>IF($E52+SUMIFS(AC_SOTIEN,AC_TKCO,$A52,AC_PHAITRA,$B52, AC_NGAY,"&lt;"&amp;$F$4)-($D52+SUMIFS(AC_SOTIEN,AC_TKNO,$A52,AC_PHAITHU,$B52,AC_NGAY,"&lt;"&amp;$F$4))&gt;0,$E52+SUMIFS(AC_SOTIEN,AC_TKCO,$A52,AC_PHAITRA,$B52,AC_NGAY,"&lt;"&amp;$F$4)-($D52+SUMIFS(AC_SOTIEN,AC_TKNO,$A52,AC_PHAITHU,$B52,AC_NGAY,"&lt;"&amp;$F$4)),"")</f>
        <v/>
      </c>
      <c r="H52" s="303">
        <f>SUMIFS(AC_SOTIEN,AC_TKNO,$A52 ,AC_PHAITHU,$B52,AC_NGAY,"&gt;="&amp;$F$4,AC_NGAY,"&lt;="&amp;$H$4)</f>
        <v>0</v>
      </c>
      <c r="I52" s="303">
        <f>SUMIFS(AC_SOTIEN,AC_TKCO,$A52,AC_PHAITRA, $B52,AC_NGAY,"&gt;="&amp;$F$4,AC_NGAY,"&lt;="&amp;$H$4)</f>
        <v>0</v>
      </c>
      <c r="J52" s="303">
        <f t="shared" si="15"/>
        <v>0</v>
      </c>
      <c r="K52" s="303">
        <f t="shared" si="16"/>
        <v>0</v>
      </c>
      <c r="L52" s="306" t="str">
        <f t="shared" si="17"/>
        <v/>
      </c>
    </row>
    <row r="53">
      <c r="A53" s="310" t="s">
        <v>1810</v>
      </c>
      <c r="B53" s="304"/>
      <c r="C53" s="307"/>
      <c r="D53" s="308"/>
      <c r="E53" s="308"/>
      <c r="F53" s="302" t="str">
        <f>if($D53+SUMIFS(AC_SOTIEN,AC_TKNO,$A53,AC_PHAITHU,$B53,AC_NGAY,"&lt;"&amp;$F$4)-($E53+SUMIFS(AC_SOTIEN,AC_TKCO,$A53,AC_PHAITRA,$B53,AC_NGAY,"&lt;"&amp;$F$4))&gt;0,$D53+SUMIFS(AC_SOTIEN,AC_TKNO,$A53,AC_PHAITHU,$B53,AC_NGAY,"&lt;"&amp;$F$4)-($E53+SUMIFS(AC_SOTIEN,AC_TKCO,$A53,AC_PHAITRA,$B53,AC_NGAY,"&lt;"&amp;$F$4)),"")</f>
        <v/>
      </c>
      <c r="G53" s="302" t="str">
        <f>IF($E53+SUMIFS(AC_SOTIEN,AC_TKCO,$A53,AC_PHAITRA,$B53, AC_NGAY,"&lt;"&amp;$F$4)-($D53+SUMIFS(AC_SOTIEN,AC_TKNO,$A53,AC_PHAITHU,$B53,AC_NGAY,"&lt;"&amp;$F$4))&gt;0,$E53+SUMIFS(AC_SOTIEN,AC_TKCO,$A53,AC_PHAITRA,$B53,AC_NGAY,"&lt;"&amp;$F$4)-($D53+SUMIFS(AC_SOTIEN,AC_TKNO,$A53,AC_PHAITHU,$B53,AC_NGAY,"&lt;"&amp;$F$4)),"")</f>
        <v/>
      </c>
      <c r="H53" s="303">
        <f>SUMIFS(AC_SOTIEN,AC_TKNO,$A53 ,AC_PHAITHU,$B53,AC_NGAY,"&gt;="&amp;$F$4,AC_NGAY,"&lt;="&amp;$H$4)</f>
        <v>0</v>
      </c>
      <c r="I53" s="303">
        <f>SUMIFS(AC_SOTIEN,AC_TKCO,$A53,AC_PHAITRA, $B53,AC_NGAY,"&gt;="&amp;$F$4,AC_NGAY,"&lt;="&amp;$H$4)</f>
        <v>0</v>
      </c>
      <c r="J53" s="303">
        <f t="shared" si="15"/>
        <v>0</v>
      </c>
      <c r="K53" s="309">
        <f t="shared" si="16"/>
        <v>0</v>
      </c>
      <c r="L53" s="292" t="str">
        <f t="shared" si="17"/>
        <v/>
      </c>
    </row>
    <row r="54">
      <c r="A54" s="311" t="s">
        <v>1810</v>
      </c>
      <c r="B54" s="304"/>
      <c r="C54" s="301"/>
      <c r="D54" s="302"/>
      <c r="E54" s="302"/>
      <c r="F54" s="302" t="str">
        <f>if($D54+SUMIFS(AC_SOTIEN,AC_TKNO,$A54,AC_PHAITHU,$B54,AC_NGAY,"&lt;"&amp;$F$4)-($E54+SUMIFS(AC_SOTIEN,AC_TKCO,$A54,AC_PHAITRA,$B54,AC_NGAY,"&lt;"&amp;$F$4))&gt;0,$D54+SUMIFS(AC_SOTIEN,AC_TKNO,$A54,AC_PHAITHU,$B54,AC_NGAY,"&lt;"&amp;$F$4)-($E54+SUMIFS(AC_SOTIEN,AC_TKCO,$A54,AC_PHAITRA,$B54,AC_NGAY,"&lt;"&amp;$F$4)),"")</f>
        <v/>
      </c>
      <c r="G54" s="302" t="str">
        <f>IF($E54+SUMIFS(AC_SOTIEN,AC_TKCO,$A54,AC_PHAITRA,$B54, AC_NGAY,"&lt;"&amp;$F$4)-($D54+SUMIFS(AC_SOTIEN,AC_TKNO,$A54,AC_PHAITHU,$B54,AC_NGAY,"&lt;"&amp;$F$4))&gt;0,$E54+SUMIFS(AC_SOTIEN,AC_TKCO,$A54,AC_PHAITRA,$B54,AC_NGAY,"&lt;"&amp;$F$4)-($D54+SUMIFS(AC_SOTIEN,AC_TKNO,$A54,AC_PHAITHU,$B54,AC_NGAY,"&lt;"&amp;$F$4)),"")</f>
        <v/>
      </c>
      <c r="H54" s="303">
        <f>SUMIFS(AC_SOTIEN,AC_TKNO,$A54 ,AC_PHAITHU,$B54,AC_NGAY,"&gt;="&amp;$F$4,AC_NGAY,"&lt;="&amp;$H$4)</f>
        <v>0</v>
      </c>
      <c r="I54" s="303">
        <f>SUMIFS(AC_SOTIEN,AC_TKCO,$A54,AC_PHAITRA, $B54,AC_NGAY,"&gt;="&amp;$F$4,AC_NGAY,"&lt;="&amp;$H$4)</f>
        <v>0</v>
      </c>
      <c r="J54" s="303">
        <f t="shared" si="15"/>
        <v>0</v>
      </c>
      <c r="K54" s="303">
        <f t="shared" si="16"/>
        <v>0</v>
      </c>
      <c r="L54" s="306" t="str">
        <f t="shared" si="17"/>
        <v/>
      </c>
    </row>
    <row r="55">
      <c r="A55" s="310" t="s">
        <v>1810</v>
      </c>
      <c r="B55" s="304"/>
      <c r="C55" s="307"/>
      <c r="D55" s="308"/>
      <c r="E55" s="308"/>
      <c r="F55" s="302" t="str">
        <f>if($D55+SUMIFS(AC_SOTIEN,AC_TKNO,$A55,AC_PHAITHU,$B55,AC_NGAY,"&lt;"&amp;$F$4)-($E55+SUMIFS(AC_SOTIEN,AC_TKCO,$A55,AC_PHAITRA,$B55,AC_NGAY,"&lt;"&amp;$F$4))&gt;0,$D55+SUMIFS(AC_SOTIEN,AC_TKNO,$A55,AC_PHAITHU,$B55,AC_NGAY,"&lt;"&amp;$F$4)-($E55+SUMIFS(AC_SOTIEN,AC_TKCO,$A55,AC_PHAITRA,$B55,AC_NGAY,"&lt;"&amp;$F$4)),"")</f>
        <v/>
      </c>
      <c r="G55" s="302" t="str">
        <f>IF($E55+SUMIFS(AC_SOTIEN,AC_TKCO,$A55,AC_PHAITRA,$B55, AC_NGAY,"&lt;"&amp;$F$4)-($D55+SUMIFS(AC_SOTIEN,AC_TKNO,$A55,AC_PHAITHU,$B55,AC_NGAY,"&lt;"&amp;$F$4))&gt;0,$E55+SUMIFS(AC_SOTIEN,AC_TKCO,$A55,AC_PHAITRA,$B55,AC_NGAY,"&lt;"&amp;$F$4)-($D55+SUMIFS(AC_SOTIEN,AC_TKNO,$A55,AC_PHAITHU,$B55,AC_NGAY,"&lt;"&amp;$F$4)),"")</f>
        <v/>
      </c>
      <c r="H55" s="303">
        <f>SUMIFS(AC_SOTIEN,AC_TKNO,$A55 ,AC_PHAITHU,$B55,AC_NGAY,"&gt;="&amp;$F$4,AC_NGAY,"&lt;="&amp;$H$4)</f>
        <v>0</v>
      </c>
      <c r="I55" s="303">
        <f>SUMIFS(AC_SOTIEN,AC_TKCO,$A55,AC_PHAITRA, $B55,AC_NGAY,"&gt;="&amp;$F$4,AC_NGAY,"&lt;="&amp;$H$4)</f>
        <v>0</v>
      </c>
      <c r="J55" s="303">
        <f t="shared" si="15"/>
        <v>0</v>
      </c>
      <c r="K55" s="309">
        <f t="shared" si="16"/>
        <v>0</v>
      </c>
      <c r="L55" s="292" t="str">
        <f t="shared" si="17"/>
        <v/>
      </c>
    </row>
    <row r="56">
      <c r="A56" s="311" t="s">
        <v>1810</v>
      </c>
      <c r="B56" s="304"/>
      <c r="C56" s="301"/>
      <c r="D56" s="302"/>
      <c r="E56" s="302"/>
      <c r="F56" s="302" t="str">
        <f>if($D56+SUMIFS(AC_SOTIEN,AC_TKNO,$A56,AC_PHAITHU,$B56,AC_NGAY,"&lt;"&amp;$F$4)-($E56+SUMIFS(AC_SOTIEN,AC_TKCO,$A56,AC_PHAITRA,$B56,AC_NGAY,"&lt;"&amp;$F$4))&gt;0,$D56+SUMIFS(AC_SOTIEN,AC_TKNO,$A56,AC_PHAITHU,$B56,AC_NGAY,"&lt;"&amp;$F$4)-($E56+SUMIFS(AC_SOTIEN,AC_TKCO,$A56,AC_PHAITRA,$B56,AC_NGAY,"&lt;"&amp;$F$4)),"")</f>
        <v/>
      </c>
      <c r="G56" s="302" t="str">
        <f>IF($E56+SUMIFS(AC_SOTIEN,AC_TKCO,$A56,AC_PHAITRA,$B56, AC_NGAY,"&lt;"&amp;$F$4)-($D56+SUMIFS(AC_SOTIEN,AC_TKNO,$A56,AC_PHAITHU,$B56,AC_NGAY,"&lt;"&amp;$F$4))&gt;0,$E56+SUMIFS(AC_SOTIEN,AC_TKCO,$A56,AC_PHAITRA,$B56,AC_NGAY,"&lt;"&amp;$F$4)-($D56+SUMIFS(AC_SOTIEN,AC_TKNO,$A56,AC_PHAITHU,$B56,AC_NGAY,"&lt;"&amp;$F$4)),"")</f>
        <v/>
      </c>
      <c r="H56" s="303">
        <f>SUMIFS(AC_SOTIEN,AC_TKNO,$A56 ,AC_PHAITHU,$B56,AC_NGAY,"&gt;="&amp;$F$4,AC_NGAY,"&lt;="&amp;$H$4)</f>
        <v>0</v>
      </c>
      <c r="I56" s="303">
        <f>SUMIFS(AC_SOTIEN,AC_TKCO,$A56,AC_PHAITRA, $B56,AC_NGAY,"&gt;="&amp;$F$4,AC_NGAY,"&lt;="&amp;$H$4)</f>
        <v>0</v>
      </c>
      <c r="J56" s="303">
        <f t="shared" si="15"/>
        <v>0</v>
      </c>
      <c r="K56" s="303">
        <f t="shared" si="16"/>
        <v>0</v>
      </c>
      <c r="L56" s="306" t="str">
        <f t="shared" si="17"/>
        <v/>
      </c>
    </row>
    <row r="57">
      <c r="A57" s="310" t="s">
        <v>1810</v>
      </c>
      <c r="B57" s="304"/>
      <c r="C57" s="307"/>
      <c r="D57" s="308"/>
      <c r="E57" s="308"/>
      <c r="F57" s="302" t="str">
        <f>if($D57+SUMIFS(AC_SOTIEN,AC_TKNO,$A57,AC_PHAITHU,$B57,AC_NGAY,"&lt;"&amp;$F$4)-($E57+SUMIFS(AC_SOTIEN,AC_TKCO,$A57,AC_PHAITRA,$B57,AC_NGAY,"&lt;"&amp;$F$4))&gt;0,$D57+SUMIFS(AC_SOTIEN,AC_TKNO,$A57,AC_PHAITHU,$B57,AC_NGAY,"&lt;"&amp;$F$4)-($E57+SUMIFS(AC_SOTIEN,AC_TKCO,$A57,AC_PHAITRA,$B57,AC_NGAY,"&lt;"&amp;$F$4)),"")</f>
        <v/>
      </c>
      <c r="G57" s="302" t="str">
        <f>IF($E57+SUMIFS(AC_SOTIEN,AC_TKCO,$A57,AC_PHAITRA,$B57, AC_NGAY,"&lt;"&amp;$F$4)-($D57+SUMIFS(AC_SOTIEN,AC_TKNO,$A57,AC_PHAITHU,$B57,AC_NGAY,"&lt;"&amp;$F$4))&gt;0,$E57+SUMIFS(AC_SOTIEN,AC_TKCO,$A57,AC_PHAITRA,$B57,AC_NGAY,"&lt;"&amp;$F$4)-($D57+SUMIFS(AC_SOTIEN,AC_TKNO,$A57,AC_PHAITHU,$B57,AC_NGAY,"&lt;"&amp;$F$4)),"")</f>
        <v/>
      </c>
      <c r="H57" s="303">
        <f>SUMIFS(AC_SOTIEN,AC_TKNO,$A57 ,AC_PHAITHU,$B57,AC_NGAY,"&gt;="&amp;$F$4,AC_NGAY,"&lt;="&amp;$H$4)</f>
        <v>0</v>
      </c>
      <c r="I57" s="303">
        <f>SUMIFS(AC_SOTIEN,AC_TKCO,$A57,AC_PHAITRA, $B57,AC_NGAY,"&gt;="&amp;$F$4,AC_NGAY,"&lt;="&amp;$H$4)</f>
        <v>0</v>
      </c>
      <c r="J57" s="303">
        <f t="shared" si="15"/>
        <v>0</v>
      </c>
      <c r="K57" s="309">
        <f t="shared" si="16"/>
        <v>0</v>
      </c>
      <c r="L57" s="292" t="str">
        <f t="shared" si="17"/>
        <v/>
      </c>
    </row>
    <row r="58">
      <c r="A58" s="311" t="s">
        <v>1810</v>
      </c>
      <c r="B58" s="304"/>
      <c r="C58" s="301"/>
      <c r="D58" s="302"/>
      <c r="E58" s="302"/>
      <c r="F58" s="302" t="str">
        <f>if($D58+SUMIFS(AC_SOTIEN,AC_TKNO,$A58,AC_PHAITHU,$B58,AC_NGAY,"&lt;"&amp;$F$4)-($E58+SUMIFS(AC_SOTIEN,AC_TKCO,$A58,AC_PHAITRA,$B58,AC_NGAY,"&lt;"&amp;$F$4))&gt;0,$D58+SUMIFS(AC_SOTIEN,AC_TKNO,$A58,AC_PHAITHU,$B58,AC_NGAY,"&lt;"&amp;$F$4)-($E58+SUMIFS(AC_SOTIEN,AC_TKCO,$A58,AC_PHAITRA,$B58,AC_NGAY,"&lt;"&amp;$F$4)),"")</f>
        <v/>
      </c>
      <c r="G58" s="302" t="str">
        <f>IF($E58+SUMIFS(AC_SOTIEN,AC_TKCO,$A58,AC_PHAITRA,$B58, AC_NGAY,"&lt;"&amp;$F$4)-($D58+SUMIFS(AC_SOTIEN,AC_TKNO,$A58,AC_PHAITHU,$B58,AC_NGAY,"&lt;"&amp;$F$4))&gt;0,$E58+SUMIFS(AC_SOTIEN,AC_TKCO,$A58,AC_PHAITRA,$B58,AC_NGAY,"&lt;"&amp;$F$4)-($D58+SUMIFS(AC_SOTIEN,AC_TKNO,$A58,AC_PHAITHU,$B58,AC_NGAY,"&lt;"&amp;$F$4)),"")</f>
        <v/>
      </c>
      <c r="H58" s="303">
        <f>SUMIFS(AC_SOTIEN,AC_TKNO,$A58 ,AC_PHAITHU,$B58,AC_NGAY,"&gt;="&amp;$F$4,AC_NGAY,"&lt;="&amp;$H$4)</f>
        <v>0</v>
      </c>
      <c r="I58" s="303">
        <f>SUMIFS(AC_SOTIEN,AC_TKCO,$A58,AC_PHAITRA, $B58,AC_NGAY,"&gt;="&amp;$F$4,AC_NGAY,"&lt;="&amp;$H$4)</f>
        <v>0</v>
      </c>
      <c r="J58" s="303">
        <f t="shared" si="15"/>
        <v>0</v>
      </c>
      <c r="K58" s="303">
        <f t="shared" si="16"/>
        <v>0</v>
      </c>
      <c r="L58" s="306" t="str">
        <f t="shared" si="17"/>
        <v/>
      </c>
    </row>
    <row r="59">
      <c r="A59" s="310" t="s">
        <v>1810</v>
      </c>
      <c r="B59" s="304"/>
      <c r="C59" s="307"/>
      <c r="D59" s="308"/>
      <c r="E59" s="308"/>
      <c r="F59" s="302" t="str">
        <f>if($D59+SUMIFS(AC_SOTIEN,AC_TKNO,$A59,AC_PHAITHU,$B59,AC_NGAY,"&lt;"&amp;$F$4)-($E59+SUMIFS(AC_SOTIEN,AC_TKCO,$A59,AC_PHAITRA,$B59,AC_NGAY,"&lt;"&amp;$F$4))&gt;0,$D59+SUMIFS(AC_SOTIEN,AC_TKNO,$A59,AC_PHAITHU,$B59,AC_NGAY,"&lt;"&amp;$F$4)-($E59+SUMIFS(AC_SOTIEN,AC_TKCO,$A59,AC_PHAITRA,$B59,AC_NGAY,"&lt;"&amp;$F$4)),"")</f>
        <v/>
      </c>
      <c r="G59" s="302" t="str">
        <f>IF($E59+SUMIFS(AC_SOTIEN,AC_TKCO,$A59,AC_PHAITRA,$B59, AC_NGAY,"&lt;"&amp;$F$4)-($D59+SUMIFS(AC_SOTIEN,AC_TKNO,$A59,AC_PHAITHU,$B59,AC_NGAY,"&lt;"&amp;$F$4))&gt;0,$E59+SUMIFS(AC_SOTIEN,AC_TKCO,$A59,AC_PHAITRA,$B59,AC_NGAY,"&lt;"&amp;$F$4)-($D59+SUMIFS(AC_SOTIEN,AC_TKNO,$A59,AC_PHAITHU,$B59,AC_NGAY,"&lt;"&amp;$F$4)),"")</f>
        <v/>
      </c>
      <c r="H59" s="303">
        <f>SUMIFS(AC_SOTIEN,AC_TKNO,$A59 ,AC_PHAITHU,$B59,AC_NGAY,"&gt;="&amp;$F$4,AC_NGAY,"&lt;="&amp;$H$4)</f>
        <v>0</v>
      </c>
      <c r="I59" s="303">
        <f>SUMIFS(AC_SOTIEN,AC_TKCO,$A59,AC_PHAITRA, $B59,AC_NGAY,"&gt;="&amp;$F$4,AC_NGAY,"&lt;="&amp;$H$4)</f>
        <v>0</v>
      </c>
      <c r="J59" s="303">
        <f t="shared" si="15"/>
        <v>0</v>
      </c>
      <c r="K59" s="309">
        <f t="shared" si="16"/>
        <v>0</v>
      </c>
      <c r="L59" s="292" t="str">
        <f t="shared" si="17"/>
        <v/>
      </c>
    </row>
    <row r="60">
      <c r="A60" s="311" t="s">
        <v>1810</v>
      </c>
      <c r="B60" s="304"/>
      <c r="C60" s="301"/>
      <c r="D60" s="302"/>
      <c r="E60" s="302"/>
      <c r="F60" s="302" t="str">
        <f>if($D60+SUMIFS(AC_SOTIEN,AC_TKNO,$A60,AC_PHAITHU,$B60,AC_NGAY,"&lt;"&amp;$F$4)-($E60+SUMIFS(AC_SOTIEN,AC_TKCO,$A60,AC_PHAITRA,$B60,AC_NGAY,"&lt;"&amp;$F$4))&gt;0,$D60+SUMIFS(AC_SOTIEN,AC_TKNO,$A60,AC_PHAITHU,$B60,AC_NGAY,"&lt;"&amp;$F$4)-($E60+SUMIFS(AC_SOTIEN,AC_TKCO,$A60,AC_PHAITRA,$B60,AC_NGAY,"&lt;"&amp;$F$4)),"")</f>
        <v/>
      </c>
      <c r="G60" s="302" t="str">
        <f>IF($E60+SUMIFS(AC_SOTIEN,AC_TKCO,$A60,AC_PHAITRA,$B60, AC_NGAY,"&lt;"&amp;$F$4)-($D60+SUMIFS(AC_SOTIEN,AC_TKNO,$A60,AC_PHAITHU,$B60,AC_NGAY,"&lt;"&amp;$F$4))&gt;0,$E60+SUMIFS(AC_SOTIEN,AC_TKCO,$A60,AC_PHAITRA,$B60,AC_NGAY,"&lt;"&amp;$F$4)-($D60+SUMIFS(AC_SOTIEN,AC_TKNO,$A60,AC_PHAITHU,$B60,AC_NGAY,"&lt;"&amp;$F$4)),"")</f>
        <v/>
      </c>
      <c r="H60" s="303">
        <f>SUMIFS(AC_SOTIEN,AC_TKNO,$A60 ,AC_PHAITHU,$B60,AC_NGAY,"&gt;="&amp;$F$4,AC_NGAY,"&lt;="&amp;$H$4)</f>
        <v>0</v>
      </c>
      <c r="I60" s="303">
        <f>SUMIFS(AC_SOTIEN,AC_TKCO,$A60,AC_PHAITRA, $B60,AC_NGAY,"&gt;="&amp;$F$4,AC_NGAY,"&lt;="&amp;$H$4)</f>
        <v>0</v>
      </c>
      <c r="J60" s="303">
        <f t="shared" si="15"/>
        <v>0</v>
      </c>
      <c r="K60" s="303">
        <f t="shared" si="16"/>
        <v>0</v>
      </c>
      <c r="L60" s="306" t="str">
        <f t="shared" si="17"/>
        <v/>
      </c>
    </row>
    <row r="61">
      <c r="A61" s="310" t="s">
        <v>1810</v>
      </c>
      <c r="B61" s="304"/>
      <c r="C61" s="307"/>
      <c r="D61" s="308"/>
      <c r="E61" s="308"/>
      <c r="F61" s="302" t="str">
        <f>if($D61+SUMIFS(AC_SOTIEN,AC_TKNO,$A61,AC_PHAITHU,$B61,AC_NGAY,"&lt;"&amp;$F$4)-($E61+SUMIFS(AC_SOTIEN,AC_TKCO,$A61,AC_PHAITRA,$B61,AC_NGAY,"&lt;"&amp;$F$4))&gt;0,$D61+SUMIFS(AC_SOTIEN,AC_TKNO,$A61,AC_PHAITHU,$B61,AC_NGAY,"&lt;"&amp;$F$4)-($E61+SUMIFS(AC_SOTIEN,AC_TKCO,$A61,AC_PHAITRA,$B61,AC_NGAY,"&lt;"&amp;$F$4)),"")</f>
        <v/>
      </c>
      <c r="G61" s="302" t="str">
        <f>IF($E61+SUMIFS(AC_SOTIEN,AC_TKCO,$A61,AC_PHAITRA,$B61, AC_NGAY,"&lt;"&amp;$F$4)-($D61+SUMIFS(AC_SOTIEN,AC_TKNO,$A61,AC_PHAITHU,$B61,AC_NGAY,"&lt;"&amp;$F$4))&gt;0,$E61+SUMIFS(AC_SOTIEN,AC_TKCO,$A61,AC_PHAITRA,$B61,AC_NGAY,"&lt;"&amp;$F$4)-($D61+SUMIFS(AC_SOTIEN,AC_TKNO,$A61,AC_PHAITHU,$B61,AC_NGAY,"&lt;"&amp;$F$4)),"")</f>
        <v/>
      </c>
      <c r="H61" s="303">
        <f>SUMIFS(AC_SOTIEN,AC_TKNO,$A61 ,AC_PHAITHU,$B61,AC_NGAY,"&gt;="&amp;$F$4,AC_NGAY,"&lt;="&amp;$H$4)</f>
        <v>0</v>
      </c>
      <c r="I61" s="303">
        <f>SUMIFS(AC_SOTIEN,AC_TKCO,$A61,AC_PHAITRA, $B61,AC_NGAY,"&gt;="&amp;$F$4,AC_NGAY,"&lt;="&amp;$H$4)</f>
        <v>0</v>
      </c>
      <c r="J61" s="303">
        <f t="shared" si="15"/>
        <v>0</v>
      </c>
      <c r="K61" s="309">
        <f t="shared" si="16"/>
        <v>0</v>
      </c>
      <c r="L61" s="292" t="str">
        <f t="shared" si="17"/>
        <v/>
      </c>
    </row>
    <row r="62">
      <c r="A62" s="311" t="s">
        <v>1810</v>
      </c>
      <c r="B62" s="304"/>
      <c r="C62" s="301"/>
      <c r="D62" s="302"/>
      <c r="E62" s="302"/>
      <c r="F62" s="302" t="str">
        <f>if($D62+SUMIFS(AC_SOTIEN,AC_TKNO,$A62,AC_PHAITHU,$B62,AC_NGAY,"&lt;"&amp;$F$4)-($E62+SUMIFS(AC_SOTIEN,AC_TKCO,$A62,AC_PHAITRA,$B62,AC_NGAY,"&lt;"&amp;$F$4))&gt;0,$D62+SUMIFS(AC_SOTIEN,AC_TKNO,$A62,AC_PHAITHU,$B62,AC_NGAY,"&lt;"&amp;$F$4)-($E62+SUMIFS(AC_SOTIEN,AC_TKCO,$A62,AC_PHAITRA,$B62,AC_NGAY,"&lt;"&amp;$F$4)),"")</f>
        <v/>
      </c>
      <c r="G62" s="302" t="str">
        <f>IF($E62+SUMIFS(AC_SOTIEN,AC_TKCO,$A62,AC_PHAITRA,$B62, AC_NGAY,"&lt;"&amp;$F$4)-($D62+SUMIFS(AC_SOTIEN,AC_TKNO,$A62,AC_PHAITHU,$B62,AC_NGAY,"&lt;"&amp;$F$4))&gt;0,$E62+SUMIFS(AC_SOTIEN,AC_TKCO,$A62,AC_PHAITRA,$B62,AC_NGAY,"&lt;"&amp;$F$4)-($D62+SUMIFS(AC_SOTIEN,AC_TKNO,$A62,AC_PHAITHU,$B62,AC_NGAY,"&lt;"&amp;$F$4)),"")</f>
        <v/>
      </c>
      <c r="H62" s="303">
        <f>SUMIFS(AC_SOTIEN,AC_TKNO,$A62 ,AC_PHAITHU,$B62,AC_NGAY,"&gt;="&amp;$F$4,AC_NGAY,"&lt;="&amp;$H$4)</f>
        <v>0</v>
      </c>
      <c r="I62" s="303">
        <f>SUMIFS(AC_SOTIEN,AC_TKCO,$A62,AC_PHAITRA, $B62,AC_NGAY,"&gt;="&amp;$F$4,AC_NGAY,"&lt;="&amp;$H$4)</f>
        <v>0</v>
      </c>
      <c r="J62" s="303">
        <f t="shared" si="15"/>
        <v>0</v>
      </c>
      <c r="K62" s="303">
        <f t="shared" si="16"/>
        <v>0</v>
      </c>
      <c r="L62" s="306" t="str">
        <f t="shared" si="17"/>
        <v/>
      </c>
    </row>
    <row r="63">
      <c r="A63" s="310" t="s">
        <v>1810</v>
      </c>
      <c r="B63" s="304"/>
      <c r="C63" s="307"/>
      <c r="D63" s="308"/>
      <c r="E63" s="308"/>
      <c r="F63" s="302" t="str">
        <f>if($D63+SUMIFS(AC_SOTIEN,AC_TKNO,$A63,AC_PHAITHU,$B63,AC_NGAY,"&lt;"&amp;$F$4)-($E63+SUMIFS(AC_SOTIEN,AC_TKCO,$A63,AC_PHAITRA,$B63,AC_NGAY,"&lt;"&amp;$F$4))&gt;0,$D63+SUMIFS(AC_SOTIEN,AC_TKNO,$A63,AC_PHAITHU,$B63,AC_NGAY,"&lt;"&amp;$F$4)-($E63+SUMIFS(AC_SOTIEN,AC_TKCO,$A63,AC_PHAITRA,$B63,AC_NGAY,"&lt;"&amp;$F$4)),"")</f>
        <v/>
      </c>
      <c r="G63" s="302" t="str">
        <f>IF($E63+SUMIFS(AC_SOTIEN,AC_TKCO,$A63,AC_PHAITRA,$B63, AC_NGAY,"&lt;"&amp;$F$4)-($D63+SUMIFS(AC_SOTIEN,AC_TKNO,$A63,AC_PHAITHU,$B63,AC_NGAY,"&lt;"&amp;$F$4))&gt;0,$E63+SUMIFS(AC_SOTIEN,AC_TKCO,$A63,AC_PHAITRA,$B63,AC_NGAY,"&lt;"&amp;$F$4)-($D63+SUMIFS(AC_SOTIEN,AC_TKNO,$A63,AC_PHAITHU,$B63,AC_NGAY,"&lt;"&amp;$F$4)),"")</f>
        <v/>
      </c>
      <c r="H63" s="303">
        <f>SUMIFS(AC_SOTIEN,AC_TKNO,$A63 ,AC_PHAITHU,$B63,AC_NGAY,"&gt;="&amp;$F$4,AC_NGAY,"&lt;="&amp;$H$4)</f>
        <v>0</v>
      </c>
      <c r="I63" s="303">
        <f>SUMIFS(AC_SOTIEN,AC_TKCO,$A63,AC_PHAITRA, $B63,AC_NGAY,"&gt;="&amp;$F$4,AC_NGAY,"&lt;="&amp;$H$4)</f>
        <v>0</v>
      </c>
      <c r="J63" s="303">
        <f t="shared" si="15"/>
        <v>0</v>
      </c>
      <c r="K63" s="309">
        <f t="shared" si="16"/>
        <v>0</v>
      </c>
      <c r="L63" s="292" t="str">
        <f t="shared" si="17"/>
        <v/>
      </c>
    </row>
    <row r="64">
      <c r="A64" s="311" t="s">
        <v>1810</v>
      </c>
      <c r="B64" s="304"/>
      <c r="C64" s="301"/>
      <c r="D64" s="302"/>
      <c r="E64" s="302"/>
      <c r="F64" s="302" t="str">
        <f>if($D64+SUMIFS(AC_SOTIEN,AC_TKNO,$A64,AC_PHAITHU,$B64,AC_NGAY,"&lt;"&amp;$F$4)-($E64+SUMIFS(AC_SOTIEN,AC_TKCO,$A64,AC_PHAITRA,$B64,AC_NGAY,"&lt;"&amp;$F$4))&gt;0,$D64+SUMIFS(AC_SOTIEN,AC_TKNO,$A64,AC_PHAITHU,$B64,AC_NGAY,"&lt;"&amp;$F$4)-($E64+SUMIFS(AC_SOTIEN,AC_TKCO,$A64,AC_PHAITRA,$B64,AC_NGAY,"&lt;"&amp;$F$4)),"")</f>
        <v/>
      </c>
      <c r="G64" s="302" t="str">
        <f>IF($E64+SUMIFS(AC_SOTIEN,AC_TKCO,$A64,AC_PHAITRA,$B64, AC_NGAY,"&lt;"&amp;$F$4)-($D64+SUMIFS(AC_SOTIEN,AC_TKNO,$A64,AC_PHAITHU,$B64,AC_NGAY,"&lt;"&amp;$F$4))&gt;0,$E64+SUMIFS(AC_SOTIEN,AC_TKCO,$A64,AC_PHAITRA,$B64,AC_NGAY,"&lt;"&amp;$F$4)-($D64+SUMIFS(AC_SOTIEN,AC_TKNO,$A64,AC_PHAITHU,$B64,AC_NGAY,"&lt;"&amp;$F$4)),"")</f>
        <v/>
      </c>
      <c r="H64" s="303">
        <f>SUMIFS(AC_SOTIEN,AC_TKNO,$A64 ,AC_PHAITHU,$B64,AC_NGAY,"&gt;="&amp;$F$4,AC_NGAY,"&lt;="&amp;$H$4)</f>
        <v>0</v>
      </c>
      <c r="I64" s="303">
        <f>SUMIFS(AC_SOTIEN,AC_TKCO,$A64,AC_PHAITRA, $B64,AC_NGAY,"&gt;="&amp;$F$4,AC_NGAY,"&lt;="&amp;$H$4)</f>
        <v>0</v>
      </c>
      <c r="J64" s="303">
        <f t="shared" si="15"/>
        <v>0</v>
      </c>
      <c r="K64" s="303">
        <f t="shared" si="16"/>
        <v>0</v>
      </c>
      <c r="L64" s="306" t="str">
        <f t="shared" si="17"/>
        <v/>
      </c>
    </row>
    <row r="65">
      <c r="A65" s="310" t="s">
        <v>1810</v>
      </c>
      <c r="B65" s="304"/>
      <c r="C65" s="307"/>
      <c r="D65" s="308"/>
      <c r="E65" s="308"/>
      <c r="F65" s="302" t="str">
        <f>if($D65+SUMIFS(AC_SOTIEN,AC_TKNO,$A65,AC_PHAITHU,$B65,AC_NGAY,"&lt;"&amp;$F$4)-($E65+SUMIFS(AC_SOTIEN,AC_TKCO,$A65,AC_PHAITRA,$B65,AC_NGAY,"&lt;"&amp;$F$4))&gt;0,$D65+SUMIFS(AC_SOTIEN,AC_TKNO,$A65,AC_PHAITHU,$B65,AC_NGAY,"&lt;"&amp;$F$4)-($E65+SUMIFS(AC_SOTIEN,AC_TKCO,$A65,AC_PHAITRA,$B65,AC_NGAY,"&lt;"&amp;$F$4)),"")</f>
        <v/>
      </c>
      <c r="G65" s="302" t="str">
        <f>IF($E65+SUMIFS(AC_SOTIEN,AC_TKCO,$A65,AC_PHAITRA,$B65, AC_NGAY,"&lt;"&amp;$F$4)-($D65+SUMIFS(AC_SOTIEN,AC_TKNO,$A65,AC_PHAITHU,$B65,AC_NGAY,"&lt;"&amp;$F$4))&gt;0,$E65+SUMIFS(AC_SOTIEN,AC_TKCO,$A65,AC_PHAITRA,$B65,AC_NGAY,"&lt;"&amp;$F$4)-($D65+SUMIFS(AC_SOTIEN,AC_TKNO,$A65,AC_PHAITHU,$B65,AC_NGAY,"&lt;"&amp;$F$4)),"")</f>
        <v/>
      </c>
      <c r="H65" s="303">
        <f>SUMIFS(AC_SOTIEN,AC_TKNO,$A65 ,AC_PHAITHU,$B65,AC_NGAY,"&gt;="&amp;$F$4,AC_NGAY,"&lt;="&amp;$H$4)</f>
        <v>0</v>
      </c>
      <c r="I65" s="303">
        <f>SUMIFS(AC_SOTIEN,AC_TKCO,$A65,AC_PHAITRA, $B65,AC_NGAY,"&gt;="&amp;$F$4,AC_NGAY,"&lt;="&amp;$H$4)</f>
        <v>0</v>
      </c>
      <c r="J65" s="303">
        <f t="shared" si="15"/>
        <v>0</v>
      </c>
      <c r="K65" s="309">
        <f t="shared" si="16"/>
        <v>0</v>
      </c>
      <c r="L65" s="292" t="str">
        <f t="shared" si="17"/>
        <v/>
      </c>
    </row>
    <row r="66">
      <c r="A66" s="311" t="s">
        <v>1810</v>
      </c>
      <c r="B66" s="304"/>
      <c r="C66" s="301"/>
      <c r="D66" s="302"/>
      <c r="E66" s="302"/>
      <c r="F66" s="302" t="str">
        <f>if($D66+SUMIFS(AC_SOTIEN,AC_TKNO,$A66,AC_PHAITHU,$B66,AC_NGAY,"&lt;"&amp;$F$4)-($E66+SUMIFS(AC_SOTIEN,AC_TKCO,$A66,AC_PHAITRA,$B66,AC_NGAY,"&lt;"&amp;$F$4))&gt;0,$D66+SUMIFS(AC_SOTIEN,AC_TKNO,$A66,AC_PHAITHU,$B66,AC_NGAY,"&lt;"&amp;$F$4)-($E66+SUMIFS(AC_SOTIEN,AC_TKCO,$A66,AC_PHAITRA,$B66,AC_NGAY,"&lt;"&amp;$F$4)),"")</f>
        <v/>
      </c>
      <c r="G66" s="302" t="str">
        <f>IF($E66+SUMIFS(AC_SOTIEN,AC_TKCO,$A66,AC_PHAITRA,$B66, AC_NGAY,"&lt;"&amp;$F$4)-($D66+SUMIFS(AC_SOTIEN,AC_TKNO,$A66,AC_PHAITHU,$B66,AC_NGAY,"&lt;"&amp;$F$4))&gt;0,$E66+SUMIFS(AC_SOTIEN,AC_TKCO,$A66,AC_PHAITRA,$B66,AC_NGAY,"&lt;"&amp;$F$4)-($D66+SUMIFS(AC_SOTIEN,AC_TKNO,$A66,AC_PHAITHU,$B66,AC_NGAY,"&lt;"&amp;$F$4)),"")</f>
        <v/>
      </c>
      <c r="H66" s="303">
        <f>SUMIFS(AC_SOTIEN,AC_TKNO,$A66 ,AC_PHAITHU,$B66,AC_NGAY,"&gt;="&amp;$F$4,AC_NGAY,"&lt;="&amp;$H$4)</f>
        <v>0</v>
      </c>
      <c r="I66" s="303">
        <f>SUMIFS(AC_SOTIEN,AC_TKCO,$A66,AC_PHAITRA, $B66,AC_NGAY,"&gt;="&amp;$F$4,AC_NGAY,"&lt;="&amp;$H$4)</f>
        <v>0</v>
      </c>
      <c r="J66" s="303">
        <f t="shared" si="15"/>
        <v>0</v>
      </c>
      <c r="K66" s="303">
        <f t="shared" si="16"/>
        <v>0</v>
      </c>
      <c r="L66" s="306" t="str">
        <f t="shared" si="17"/>
        <v/>
      </c>
    </row>
    <row r="67">
      <c r="A67" s="310" t="s">
        <v>1810</v>
      </c>
      <c r="B67" s="304"/>
      <c r="C67" s="307"/>
      <c r="D67" s="308"/>
      <c r="E67" s="312"/>
      <c r="F67" s="302" t="str">
        <f>if($D67+SUMIFS(AC_SOTIEN,AC_TKNO,$A67,AC_PHAITHU,$B67,AC_NGAY,"&lt;"&amp;$F$4)-($E67+SUMIFS(AC_SOTIEN,AC_TKCO,$A67,AC_PHAITRA,$B67,AC_NGAY,"&lt;"&amp;$F$4))&gt;0,$D67+SUMIFS(AC_SOTIEN,AC_TKNO,$A67,AC_PHAITHU,$B67,AC_NGAY,"&lt;"&amp;$F$4)-($E67+SUMIFS(AC_SOTIEN,AC_TKCO,$A67,AC_PHAITRA,$B67,AC_NGAY,"&lt;"&amp;$F$4)),"")</f>
        <v/>
      </c>
      <c r="G67" s="302" t="str">
        <f>IF($E67+SUMIFS(AC_SOTIEN,AC_TKCO,$A67,AC_PHAITRA,$B67, AC_NGAY,"&lt;"&amp;$F$4)-($D67+SUMIFS(AC_SOTIEN,AC_TKNO,$A67,AC_PHAITHU,$B67,AC_NGAY,"&lt;"&amp;$F$4))&gt;0,$E67+SUMIFS(AC_SOTIEN,AC_TKCO,$A67,AC_PHAITRA,$B67,AC_NGAY,"&lt;"&amp;$F$4)-($D67+SUMIFS(AC_SOTIEN,AC_TKNO,$A67,AC_PHAITHU,$B67,AC_NGAY,"&lt;"&amp;$F$4)),"")</f>
        <v/>
      </c>
      <c r="H67" s="303">
        <f>SUMIFS(AC_SOTIEN,AC_TKNO,$A67 ,AC_PHAITHU,$B67,AC_NGAY,"&gt;="&amp;$F$4,AC_NGAY,"&lt;="&amp;$H$4)</f>
        <v>0</v>
      </c>
      <c r="I67" s="303">
        <f>SUMIFS(AC_SOTIEN,AC_TKCO,$A67,AC_PHAITRA, $B67,AC_NGAY,"&gt;="&amp;$F$4,AC_NGAY,"&lt;="&amp;$H$4)</f>
        <v>0</v>
      </c>
      <c r="J67" s="303">
        <f t="shared" si="15"/>
        <v>0</v>
      </c>
      <c r="K67" s="309">
        <f t="shared" si="16"/>
        <v>0</v>
      </c>
      <c r="L67" s="292" t="str">
        <f t="shared" si="17"/>
        <v/>
      </c>
    </row>
    <row r="68">
      <c r="A68" s="311" t="s">
        <v>1810</v>
      </c>
      <c r="B68" s="304"/>
      <c r="C68" s="301"/>
      <c r="D68" s="302"/>
      <c r="E68" s="302"/>
      <c r="F68" s="302" t="str">
        <f>if($D68+SUMIFS(AC_SOTIEN,AC_TKNO,$A68,AC_PHAITHU,$B68,AC_NGAY,"&lt;"&amp;$F$4)-($E68+SUMIFS(AC_SOTIEN,AC_TKCO,$A68,AC_PHAITRA,$B68,AC_NGAY,"&lt;"&amp;$F$4))&gt;0,$D68+SUMIFS(AC_SOTIEN,AC_TKNO,$A68,AC_PHAITHU,$B68,AC_NGAY,"&lt;"&amp;$F$4)-($E68+SUMIFS(AC_SOTIEN,AC_TKCO,$A68,AC_PHAITRA,$B68,AC_NGAY,"&lt;"&amp;$F$4)),"")</f>
        <v/>
      </c>
      <c r="G68" s="302" t="str">
        <f>IF($E68+SUMIFS(AC_SOTIEN,AC_TKCO,$A68,AC_PHAITRA,$B68, AC_NGAY,"&lt;"&amp;$F$4)-($D68+SUMIFS(AC_SOTIEN,AC_TKNO,$A68,AC_PHAITHU,$B68,AC_NGAY,"&lt;"&amp;$F$4))&gt;0,$E68+SUMIFS(AC_SOTIEN,AC_TKCO,$A68,AC_PHAITRA,$B68,AC_NGAY,"&lt;"&amp;$F$4)-($D68+SUMIFS(AC_SOTIEN,AC_TKNO,$A68,AC_PHAITHU,$B68,AC_NGAY,"&lt;"&amp;$F$4)),"")</f>
        <v/>
      </c>
      <c r="H68" s="303">
        <f>SUMIFS(AC_SOTIEN,AC_TKNO,$A68 ,AC_PHAITHU,$B68,AC_NGAY,"&gt;="&amp;$F$4,AC_NGAY,"&lt;="&amp;$H$4)</f>
        <v>0</v>
      </c>
      <c r="I68" s="303">
        <f>SUMIFS(AC_SOTIEN,AC_TKCO,$A68,AC_PHAITRA, $B68,AC_NGAY,"&gt;="&amp;$F$4,AC_NGAY,"&lt;="&amp;$H$4)</f>
        <v>0</v>
      </c>
      <c r="J68" s="303">
        <f t="shared" si="15"/>
        <v>0</v>
      </c>
      <c r="K68" s="303">
        <f t="shared" si="16"/>
        <v>0</v>
      </c>
      <c r="L68" s="306" t="str">
        <f t="shared" si="17"/>
        <v/>
      </c>
    </row>
    <row r="69">
      <c r="A69" s="310" t="s">
        <v>1810</v>
      </c>
      <c r="B69" s="304"/>
      <c r="C69" s="307"/>
      <c r="D69" s="308"/>
      <c r="E69" s="308"/>
      <c r="F69" s="302" t="str">
        <f>if($D69+SUMIFS(AC_SOTIEN,AC_TKNO,$A69,AC_PHAITHU,$B69,AC_NGAY,"&lt;"&amp;$F$4)-($E69+SUMIFS(AC_SOTIEN,AC_TKCO,$A69,AC_PHAITRA,$B69,AC_NGAY,"&lt;"&amp;$F$4))&gt;0,$D69+SUMIFS(AC_SOTIEN,AC_TKNO,$A69,AC_PHAITHU,$B69,AC_NGAY,"&lt;"&amp;$F$4)-($E69+SUMIFS(AC_SOTIEN,AC_TKCO,$A69,AC_PHAITRA,$B69,AC_NGAY,"&lt;"&amp;$F$4)),"")</f>
        <v/>
      </c>
      <c r="G69" s="302" t="str">
        <f>IF($E69+SUMIFS(AC_SOTIEN,AC_TKCO,$A69,AC_PHAITRA,$B69, AC_NGAY,"&lt;"&amp;$F$4)-($D69+SUMIFS(AC_SOTIEN,AC_TKNO,$A69,AC_PHAITHU,$B69,AC_NGAY,"&lt;"&amp;$F$4))&gt;0,$E69+SUMIFS(AC_SOTIEN,AC_TKCO,$A69,AC_PHAITRA,$B69,AC_NGAY,"&lt;"&amp;$F$4)-($D69+SUMIFS(AC_SOTIEN,AC_TKNO,$A69,AC_PHAITHU,$B69,AC_NGAY,"&lt;"&amp;$F$4)),"")</f>
        <v/>
      </c>
      <c r="H69" s="303">
        <f>SUMIFS(AC_SOTIEN,AC_TKNO,$A69 ,AC_PHAITHU,$B69,AC_NGAY,"&gt;="&amp;$F$4,AC_NGAY,"&lt;="&amp;$H$4)</f>
        <v>0</v>
      </c>
      <c r="I69" s="303">
        <f>SUMIFS(AC_SOTIEN,AC_TKCO,$A69,AC_PHAITRA, $B69,AC_NGAY,"&gt;="&amp;$F$4,AC_NGAY,"&lt;="&amp;$H$4)</f>
        <v>0</v>
      </c>
      <c r="J69" s="303">
        <f t="shared" si="15"/>
        <v>0</v>
      </c>
      <c r="K69" s="309">
        <f t="shared" si="16"/>
        <v>0</v>
      </c>
      <c r="L69" s="292" t="str">
        <f t="shared" si="17"/>
        <v/>
      </c>
    </row>
    <row r="70">
      <c r="A70" s="311" t="s">
        <v>1810</v>
      </c>
      <c r="B70" s="304"/>
      <c r="C70" s="301"/>
      <c r="D70" s="302"/>
      <c r="E70" s="302"/>
      <c r="F70" s="302" t="str">
        <f>if($D70+SUMIFS(AC_SOTIEN,AC_TKNO,$A70,AC_PHAITHU,$B70,AC_NGAY,"&lt;"&amp;$F$4)-($E70+SUMIFS(AC_SOTIEN,AC_TKCO,$A70,AC_PHAITRA,$B70,AC_NGAY,"&lt;"&amp;$F$4))&gt;0,$D70+SUMIFS(AC_SOTIEN,AC_TKNO,$A70,AC_PHAITHU,$B70,AC_NGAY,"&lt;"&amp;$F$4)-($E70+SUMIFS(AC_SOTIEN,AC_TKCO,$A70,AC_PHAITRA,$B70,AC_NGAY,"&lt;"&amp;$F$4)),"")</f>
        <v/>
      </c>
      <c r="G70" s="302" t="str">
        <f>IF($E70+SUMIFS(AC_SOTIEN,AC_TKCO,$A70,AC_PHAITRA,$B70, AC_NGAY,"&lt;"&amp;$F$4)-($D70+SUMIFS(AC_SOTIEN,AC_TKNO,$A70,AC_PHAITHU,$B70,AC_NGAY,"&lt;"&amp;$F$4))&gt;0,$E70+SUMIFS(AC_SOTIEN,AC_TKCO,$A70,AC_PHAITRA,$B70,AC_NGAY,"&lt;"&amp;$F$4)-($D70+SUMIFS(AC_SOTIEN,AC_TKNO,$A70,AC_PHAITHU,$B70,AC_NGAY,"&lt;"&amp;$F$4)),"")</f>
        <v/>
      </c>
      <c r="H70" s="303">
        <f>SUMIFS(AC_SOTIEN,AC_TKNO,$A70 ,AC_PHAITHU,$B70,AC_NGAY,"&gt;="&amp;$F$4,AC_NGAY,"&lt;="&amp;$H$4)</f>
        <v>0</v>
      </c>
      <c r="I70" s="303">
        <f>SUMIFS(AC_SOTIEN,AC_TKCO,$A70,AC_PHAITRA, $B70,AC_NGAY,"&gt;="&amp;$F$4,AC_NGAY,"&lt;="&amp;$H$4)</f>
        <v>0</v>
      </c>
      <c r="J70" s="303">
        <f t="shared" si="15"/>
        <v>0</v>
      </c>
      <c r="K70" s="303">
        <f t="shared" si="16"/>
        <v>0</v>
      </c>
      <c r="L70" s="306" t="str">
        <f t="shared" si="17"/>
        <v/>
      </c>
    </row>
    <row r="71">
      <c r="A71" s="310" t="s">
        <v>1810</v>
      </c>
      <c r="B71" s="304"/>
      <c r="C71" s="307"/>
      <c r="D71" s="308"/>
      <c r="E71" s="308"/>
      <c r="F71" s="302" t="str">
        <f>if($D71+SUMIFS(AC_SOTIEN,AC_TKNO,$A71,AC_PHAITHU,$B71,AC_NGAY,"&lt;"&amp;$F$4)-($E71+SUMIFS(AC_SOTIEN,AC_TKCO,$A71,AC_PHAITRA,$B71,AC_NGAY,"&lt;"&amp;$F$4))&gt;0,$D71+SUMIFS(AC_SOTIEN,AC_TKNO,$A71,AC_PHAITHU,$B71,AC_NGAY,"&lt;"&amp;$F$4)-($E71+SUMIFS(AC_SOTIEN,AC_TKCO,$A71,AC_PHAITRA,$B71,AC_NGAY,"&lt;"&amp;$F$4)),"")</f>
        <v/>
      </c>
      <c r="G71" s="302" t="str">
        <f>IF($E71+SUMIFS(AC_SOTIEN,AC_TKCO,$A71,AC_PHAITRA,$B71, AC_NGAY,"&lt;"&amp;$F$4)-($D71+SUMIFS(AC_SOTIEN,AC_TKNO,$A71,AC_PHAITHU,$B71,AC_NGAY,"&lt;"&amp;$F$4))&gt;0,$E71+SUMIFS(AC_SOTIEN,AC_TKCO,$A71,AC_PHAITRA,$B71,AC_NGAY,"&lt;"&amp;$F$4)-($D71+SUMIFS(AC_SOTIEN,AC_TKNO,$A71,AC_PHAITHU,$B71,AC_NGAY,"&lt;"&amp;$F$4)),"")</f>
        <v/>
      </c>
      <c r="H71" s="303">
        <f>SUMIFS(AC_SOTIEN,AC_TKNO,$A71 ,AC_PHAITHU,$B71,AC_NGAY,"&gt;="&amp;$F$4,AC_NGAY,"&lt;="&amp;$H$4)</f>
        <v>0</v>
      </c>
      <c r="I71" s="303">
        <f>SUMIFS(AC_SOTIEN,AC_TKCO,$A71,AC_PHAITRA, $B71,AC_NGAY,"&gt;="&amp;$F$4,AC_NGAY,"&lt;="&amp;$H$4)</f>
        <v>0</v>
      </c>
      <c r="J71" s="303">
        <f t="shared" si="15"/>
        <v>0</v>
      </c>
      <c r="K71" s="309">
        <f t="shared" si="16"/>
        <v>0</v>
      </c>
      <c r="L71" s="292" t="str">
        <f t="shared" si="17"/>
        <v/>
      </c>
    </row>
    <row r="72">
      <c r="A72" s="311" t="s">
        <v>1810</v>
      </c>
      <c r="B72" s="304"/>
      <c r="C72" s="301"/>
      <c r="D72" s="302"/>
      <c r="E72" s="302"/>
      <c r="F72" s="302" t="str">
        <f>if($D72+SUMIFS(AC_SOTIEN,AC_TKNO,$A72,AC_PHAITHU,$B72,AC_NGAY,"&lt;"&amp;$F$4)-($E72+SUMIFS(AC_SOTIEN,AC_TKCO,$A72,AC_PHAITRA,$B72,AC_NGAY,"&lt;"&amp;$F$4))&gt;0,$D72+SUMIFS(AC_SOTIEN,AC_TKNO,$A72,AC_PHAITHU,$B72,AC_NGAY,"&lt;"&amp;$F$4)-($E72+SUMIFS(AC_SOTIEN,AC_TKCO,$A72,AC_PHAITRA,$B72,AC_NGAY,"&lt;"&amp;$F$4)),"")</f>
        <v/>
      </c>
      <c r="G72" s="302" t="str">
        <f>IF($E72+SUMIFS(AC_SOTIEN,AC_TKCO,$A72,AC_PHAITRA,$B72, AC_NGAY,"&lt;"&amp;$F$4)-($D72+SUMIFS(AC_SOTIEN,AC_TKNO,$A72,AC_PHAITHU,$B72,AC_NGAY,"&lt;"&amp;$F$4))&gt;0,$E72+SUMIFS(AC_SOTIEN,AC_TKCO,$A72,AC_PHAITRA,$B72,AC_NGAY,"&lt;"&amp;$F$4)-($D72+SUMIFS(AC_SOTIEN,AC_TKNO,$A72,AC_PHAITHU,$B72,AC_NGAY,"&lt;"&amp;$F$4)),"")</f>
        <v/>
      </c>
      <c r="H72" s="303">
        <f>SUMIFS(AC_SOTIEN,AC_TKNO,$A72 ,AC_PHAITHU,$B72,AC_NGAY,"&gt;="&amp;$F$4,AC_NGAY,"&lt;="&amp;$H$4)</f>
        <v>0</v>
      </c>
      <c r="I72" s="303">
        <f>SUMIFS(AC_SOTIEN,AC_TKCO,$A72,AC_PHAITRA, $B72,AC_NGAY,"&gt;="&amp;$F$4,AC_NGAY,"&lt;="&amp;$H$4)</f>
        <v>0</v>
      </c>
      <c r="J72" s="303">
        <f t="shared" si="15"/>
        <v>0</v>
      </c>
      <c r="K72" s="303">
        <f t="shared" si="16"/>
        <v>0</v>
      </c>
      <c r="L72" s="306" t="str">
        <f t="shared" si="17"/>
        <v/>
      </c>
    </row>
    <row r="73">
      <c r="A73" s="310" t="s">
        <v>1810</v>
      </c>
      <c r="B73" s="304"/>
      <c r="C73" s="307"/>
      <c r="D73" s="308"/>
      <c r="E73" s="308"/>
      <c r="F73" s="302" t="str">
        <f>if($D73+SUMIFS(AC_SOTIEN,AC_TKNO,$A73,AC_PHAITHU,$B73,AC_NGAY,"&lt;"&amp;$F$4)-($E73+SUMIFS(AC_SOTIEN,AC_TKCO,$A73,AC_PHAITRA,$B73,AC_NGAY,"&lt;"&amp;$F$4))&gt;0,$D73+SUMIFS(AC_SOTIEN,AC_TKNO,$A73,AC_PHAITHU,$B73,AC_NGAY,"&lt;"&amp;$F$4)-($E73+SUMIFS(AC_SOTIEN,AC_TKCO,$A73,AC_PHAITRA,$B73,AC_NGAY,"&lt;"&amp;$F$4)),"")</f>
        <v/>
      </c>
      <c r="G73" s="302" t="str">
        <f>IF($E73+SUMIFS(AC_SOTIEN,AC_TKCO,$A73,AC_PHAITRA,$B73, AC_NGAY,"&lt;"&amp;$F$4)-($D73+SUMIFS(AC_SOTIEN,AC_TKNO,$A73,AC_PHAITHU,$B73,AC_NGAY,"&lt;"&amp;$F$4))&gt;0,$E73+SUMIFS(AC_SOTIEN,AC_TKCO,$A73,AC_PHAITRA,$B73,AC_NGAY,"&lt;"&amp;$F$4)-($D73+SUMIFS(AC_SOTIEN,AC_TKNO,$A73,AC_PHAITHU,$B73,AC_NGAY,"&lt;"&amp;$F$4)),"")</f>
        <v/>
      </c>
      <c r="H73" s="303">
        <f>SUMIFS(AC_SOTIEN,AC_TKNO,$A73 ,AC_PHAITHU,$B73,AC_NGAY,"&gt;="&amp;$F$4,AC_NGAY,"&lt;="&amp;$H$4)</f>
        <v>0</v>
      </c>
      <c r="I73" s="303">
        <f>SUMIFS(AC_SOTIEN,AC_TKCO,$A73,AC_PHAITRA, $B73,AC_NGAY,"&gt;="&amp;$F$4,AC_NGAY,"&lt;="&amp;$H$4)</f>
        <v>0</v>
      </c>
      <c r="J73" s="303">
        <f t="shared" si="15"/>
        <v>0</v>
      </c>
      <c r="K73" s="309">
        <f t="shared" si="16"/>
        <v>0</v>
      </c>
      <c r="L73" s="292" t="str">
        <f t="shared" si="17"/>
        <v/>
      </c>
    </row>
    <row r="74">
      <c r="A74" s="311" t="s">
        <v>1810</v>
      </c>
      <c r="B74" s="304"/>
      <c r="C74" s="301"/>
      <c r="D74" s="302"/>
      <c r="E74" s="302"/>
      <c r="F74" s="302" t="str">
        <f>if($D74+SUMIFS(AC_SOTIEN,AC_TKNO,$A74,AC_PHAITHU,$B74,AC_NGAY,"&lt;"&amp;$F$4)-($E74+SUMIFS(AC_SOTIEN,AC_TKCO,$A74,AC_PHAITRA,$B74,AC_NGAY,"&lt;"&amp;$F$4))&gt;0,$D74+SUMIFS(AC_SOTIEN,AC_TKNO,$A74,AC_PHAITHU,$B74,AC_NGAY,"&lt;"&amp;$F$4)-($E74+SUMIFS(AC_SOTIEN,AC_TKCO,$A74,AC_PHAITRA,$B74,AC_NGAY,"&lt;"&amp;$F$4)),"")</f>
        <v/>
      </c>
      <c r="G74" s="302" t="str">
        <f>IF($E74+SUMIFS(AC_SOTIEN,AC_TKCO,$A74,AC_PHAITRA,$B74, AC_NGAY,"&lt;"&amp;$F$4)-($D74+SUMIFS(AC_SOTIEN,AC_TKNO,$A74,AC_PHAITHU,$B74,AC_NGAY,"&lt;"&amp;$F$4))&gt;0,$E74+SUMIFS(AC_SOTIEN,AC_TKCO,$A74,AC_PHAITRA,$B74,AC_NGAY,"&lt;"&amp;$F$4)-($D74+SUMIFS(AC_SOTIEN,AC_TKNO,$A74,AC_PHAITHU,$B74,AC_NGAY,"&lt;"&amp;$F$4)),"")</f>
        <v/>
      </c>
      <c r="H74" s="303">
        <f>SUMIFS(AC_SOTIEN,AC_TKNO,$A74 ,AC_PHAITHU,$B74,AC_NGAY,"&gt;="&amp;$F$4,AC_NGAY,"&lt;="&amp;$H$4)</f>
        <v>0</v>
      </c>
      <c r="I74" s="303">
        <f>SUMIFS(AC_SOTIEN,AC_TKCO,$A74,AC_PHAITRA, $B74,AC_NGAY,"&gt;="&amp;$F$4,AC_NGAY,"&lt;="&amp;$H$4)</f>
        <v>0</v>
      </c>
      <c r="J74" s="303">
        <f t="shared" si="15"/>
        <v>0</v>
      </c>
      <c r="K74" s="303">
        <f t="shared" si="16"/>
        <v>0</v>
      </c>
      <c r="L74" s="306" t="str">
        <f t="shared" si="17"/>
        <v/>
      </c>
    </row>
    <row r="75">
      <c r="A75" s="310" t="s">
        <v>1810</v>
      </c>
      <c r="B75" s="304"/>
      <c r="C75" s="307"/>
      <c r="D75" s="308"/>
      <c r="E75" s="308"/>
      <c r="F75" s="302" t="str">
        <f>if($D75+SUMIFS(AC_SOTIEN,AC_TKNO,$A75,AC_PHAITHU,$B75,AC_NGAY,"&lt;"&amp;$F$4)-($E75+SUMIFS(AC_SOTIEN,AC_TKCO,$A75,AC_PHAITRA,$B75,AC_NGAY,"&lt;"&amp;$F$4))&gt;0,$D75+SUMIFS(AC_SOTIEN,AC_TKNO,$A75,AC_PHAITHU,$B75,AC_NGAY,"&lt;"&amp;$F$4)-($E75+SUMIFS(AC_SOTIEN,AC_TKCO,$A75,AC_PHAITRA,$B75,AC_NGAY,"&lt;"&amp;$F$4)),"")</f>
        <v/>
      </c>
      <c r="G75" s="302" t="str">
        <f>IF($E75+SUMIFS(AC_SOTIEN,AC_TKCO,$A75,AC_PHAITRA,$B75, AC_NGAY,"&lt;"&amp;$F$4)-($D75+SUMIFS(AC_SOTIEN,AC_TKNO,$A75,AC_PHAITHU,$B75,AC_NGAY,"&lt;"&amp;$F$4))&gt;0,$E75+SUMIFS(AC_SOTIEN,AC_TKCO,$A75,AC_PHAITRA,$B75,AC_NGAY,"&lt;"&amp;$F$4)-($D75+SUMIFS(AC_SOTIEN,AC_TKNO,$A75,AC_PHAITHU,$B75,AC_NGAY,"&lt;"&amp;$F$4)),"")</f>
        <v/>
      </c>
      <c r="H75" s="303">
        <f>SUMIFS(AC_SOTIEN,AC_TKNO,$A75 ,AC_PHAITHU,$B75,AC_NGAY,"&gt;="&amp;$F$4,AC_NGAY,"&lt;="&amp;$H$4)</f>
        <v>0</v>
      </c>
      <c r="I75" s="303">
        <f>SUMIFS(AC_SOTIEN,AC_TKCO,$A75,AC_PHAITRA, $B75,AC_NGAY,"&gt;="&amp;$F$4,AC_NGAY,"&lt;="&amp;$H$4)</f>
        <v>0</v>
      </c>
      <c r="J75" s="303">
        <f t="shared" si="15"/>
        <v>0</v>
      </c>
      <c r="K75" s="309">
        <f t="shared" si="16"/>
        <v>0</v>
      </c>
      <c r="L75" s="292" t="str">
        <f t="shared" si="17"/>
        <v/>
      </c>
    </row>
    <row r="76">
      <c r="A76" s="311" t="s">
        <v>1810</v>
      </c>
      <c r="B76" s="304"/>
      <c r="C76" s="301"/>
      <c r="D76" s="302"/>
      <c r="E76" s="302"/>
      <c r="F76" s="302" t="str">
        <f>if($D76+SUMIFS(AC_SOTIEN,AC_TKNO,$A76,AC_PHAITHU,$B76,AC_NGAY,"&lt;"&amp;$F$4)-($E76+SUMIFS(AC_SOTIEN,AC_TKCO,$A76,AC_PHAITRA,$B76,AC_NGAY,"&lt;"&amp;$F$4))&gt;0,$D76+SUMIFS(AC_SOTIEN,AC_TKNO,$A76,AC_PHAITHU,$B76,AC_NGAY,"&lt;"&amp;$F$4)-($E76+SUMIFS(AC_SOTIEN,AC_TKCO,$A76,AC_PHAITRA,$B76,AC_NGAY,"&lt;"&amp;$F$4)),"")</f>
        <v/>
      </c>
      <c r="G76" s="302" t="str">
        <f>IF($E76+SUMIFS(AC_SOTIEN,AC_TKCO,$A76,AC_PHAITRA,$B76, AC_NGAY,"&lt;"&amp;$F$4)-($D76+SUMIFS(AC_SOTIEN,AC_TKNO,$A76,AC_PHAITHU,$B76,AC_NGAY,"&lt;"&amp;$F$4))&gt;0,$E76+SUMIFS(AC_SOTIEN,AC_TKCO,$A76,AC_PHAITRA,$B76,AC_NGAY,"&lt;"&amp;$F$4)-($D76+SUMIFS(AC_SOTIEN,AC_TKNO,$A76,AC_PHAITHU,$B76,AC_NGAY,"&lt;"&amp;$F$4)),"")</f>
        <v/>
      </c>
      <c r="H76" s="303">
        <f>SUMIFS(AC_SOTIEN,AC_TKNO,$A76 ,AC_PHAITHU,$B76,AC_NGAY,"&gt;="&amp;$F$4,AC_NGAY,"&lt;="&amp;$H$4)</f>
        <v>0</v>
      </c>
      <c r="I76" s="303">
        <f>SUMIFS(AC_SOTIEN,AC_TKCO,$A76,AC_PHAITRA, $B76,AC_NGAY,"&gt;="&amp;$F$4,AC_NGAY,"&lt;="&amp;$H$4)</f>
        <v>0</v>
      </c>
      <c r="J76" s="303">
        <f t="shared" si="15"/>
        <v>0</v>
      </c>
      <c r="K76" s="303">
        <f t="shared" si="16"/>
        <v>0</v>
      </c>
      <c r="L76" s="306" t="str">
        <f t="shared" si="17"/>
        <v/>
      </c>
    </row>
    <row r="77">
      <c r="A77" s="310" t="s">
        <v>1810</v>
      </c>
      <c r="B77" s="310"/>
      <c r="C77" s="307"/>
      <c r="D77" s="308"/>
      <c r="E77" s="312"/>
      <c r="F77" s="302" t="str">
        <f>if($D77+SUMIFS(AC_SOTIEN,AC_TKNO,$A77,AC_PHAITHU,$B77,AC_NGAY,"&lt;"&amp;$F$4)-($E77+SUMIFS(AC_SOTIEN,AC_TKCO,$A77,AC_PHAITRA,$B77,AC_NGAY,"&lt;"&amp;$F$4))&gt;0,$D77+SUMIFS(AC_SOTIEN,AC_TKNO,$A77,AC_PHAITHU,$B77,AC_NGAY,"&lt;"&amp;$F$4)-($E77+SUMIFS(AC_SOTIEN,AC_TKCO,$A77,AC_PHAITRA,$B77,AC_NGAY,"&lt;"&amp;$F$4)),"")</f>
        <v/>
      </c>
      <c r="G77" s="302" t="str">
        <f>IF($E77+SUMIFS(AC_SOTIEN,AC_TKCO,$A77,AC_PHAITRA,$B77, AC_NGAY,"&lt;"&amp;$F$4)-($D77+SUMIFS(AC_SOTIEN,AC_TKNO,$A77,AC_PHAITHU,$B77,AC_NGAY,"&lt;"&amp;$F$4))&gt;0,$E77+SUMIFS(AC_SOTIEN,AC_TKCO,$A77,AC_PHAITRA,$B77,AC_NGAY,"&lt;"&amp;$F$4)-($D77+SUMIFS(AC_SOTIEN,AC_TKNO,$A77,AC_PHAITHU,$B77,AC_NGAY,"&lt;"&amp;$F$4)),"")</f>
        <v/>
      </c>
      <c r="H77" s="303">
        <f>SUMIFS(AC_SOTIEN,AC_TKNO,$A77 ,AC_PHAITHU,$B77,AC_NGAY,"&gt;="&amp;$F$4,AC_NGAY,"&lt;="&amp;$H$4)</f>
        <v>0</v>
      </c>
      <c r="I77" s="303">
        <f>SUMIFS(AC_SOTIEN,AC_TKCO,$A77,AC_PHAITRA, $B77,AC_NGAY,"&gt;="&amp;$F$4,AC_NGAY,"&lt;="&amp;$H$4)</f>
        <v>0</v>
      </c>
      <c r="J77" s="303">
        <f t="shared" si="15"/>
        <v>0</v>
      </c>
      <c r="K77" s="309">
        <f t="shared" si="16"/>
        <v>0</v>
      </c>
      <c r="L77" s="292" t="str">
        <f t="shared" si="17"/>
        <v/>
      </c>
    </row>
    <row r="78">
      <c r="A78" s="310" t="s">
        <v>1810</v>
      </c>
      <c r="B78" s="310"/>
      <c r="C78" s="307"/>
      <c r="D78" s="302"/>
      <c r="E78" s="302"/>
      <c r="F78" s="302" t="str">
        <f>if($D78+SUMIFS(AC_SOTIEN,AC_TKNO,$A78,AC_PHAITHU,$B78,AC_NGAY,"&lt;"&amp;$F$4)-($E78+SUMIFS(AC_SOTIEN,AC_TKCO,$A78,AC_PHAITRA,$B78,AC_NGAY,"&lt;"&amp;$F$4))&gt;0,$D78+SUMIFS(AC_SOTIEN,AC_TKNO,$A78,AC_PHAITHU,$B78,AC_NGAY,"&lt;"&amp;$F$4)-($E78+SUMIFS(AC_SOTIEN,AC_TKCO,$A78,AC_PHAITRA,$B78,AC_NGAY,"&lt;"&amp;$F$4)),"")</f>
        <v/>
      </c>
      <c r="G78" s="302" t="str">
        <f>IF($E78+SUMIFS(AC_SOTIEN,AC_TKCO,$A78,AC_PHAITRA,$B78, AC_NGAY,"&lt;"&amp;$F$4)-($D78+SUMIFS(AC_SOTIEN,AC_TKNO,$A78,AC_PHAITHU,$B78,AC_NGAY,"&lt;"&amp;$F$4))&gt;0,$E78+SUMIFS(AC_SOTIEN,AC_TKCO,$A78,AC_PHAITRA,$B78,AC_NGAY,"&lt;"&amp;$F$4)-($D78+SUMIFS(AC_SOTIEN,AC_TKNO,$A78,AC_PHAITHU,$B78,AC_NGAY,"&lt;"&amp;$F$4)),"")</f>
        <v/>
      </c>
      <c r="H78" s="303">
        <f>SUMIFS(AC_SOTIEN,AC_TKNO,$A78 ,AC_PHAITHU,$B78,AC_NGAY,"&gt;="&amp;$F$4,AC_NGAY,"&lt;="&amp;$H$4)</f>
        <v>0</v>
      </c>
      <c r="I78" s="303">
        <f>SUMIFS(AC_SOTIEN,AC_TKCO,$A78,AC_PHAITRA, $B78,AC_NGAY,"&gt;="&amp;$F$4,AC_NGAY,"&lt;="&amp;$H$4)</f>
        <v>0</v>
      </c>
      <c r="J78" s="303">
        <f t="shared" si="15"/>
        <v>0</v>
      </c>
      <c r="K78" s="303">
        <f t="shared" si="16"/>
        <v>0</v>
      </c>
      <c r="L78" s="306" t="str">
        <f t="shared" si="17"/>
        <v/>
      </c>
    </row>
    <row r="79">
      <c r="A79" s="311" t="s">
        <v>1810</v>
      </c>
      <c r="B79" s="311"/>
      <c r="C79" s="301"/>
      <c r="D79" s="308"/>
      <c r="E79" s="308"/>
      <c r="F79" s="302" t="str">
        <f>if($D79+SUMIFS(AC_SOTIEN,AC_TKNO,$A79,AC_PHAITHU,$B79,AC_NGAY,"&lt;"&amp;$F$4)-($E79+SUMIFS(AC_SOTIEN,AC_TKCO,$A79,AC_PHAITRA,$B79,AC_NGAY,"&lt;"&amp;$F$4))&gt;0,$D79+SUMIFS(AC_SOTIEN,AC_TKNO,$A79,AC_PHAITHU,$B79,AC_NGAY,"&lt;"&amp;$F$4)-($E79+SUMIFS(AC_SOTIEN,AC_TKCO,$A79,AC_PHAITRA,$B79,AC_NGAY,"&lt;"&amp;$F$4)),"")</f>
        <v/>
      </c>
      <c r="G79" s="302" t="str">
        <f>IF($E79+SUMIFS(AC_SOTIEN,AC_TKCO,$A79,AC_PHAITRA,$B79, AC_NGAY,"&lt;"&amp;$F$4)-($D79+SUMIFS(AC_SOTIEN,AC_TKNO,$A79,AC_PHAITHU,$B79,AC_NGAY,"&lt;"&amp;$F$4))&gt;0,$E79+SUMIFS(AC_SOTIEN,AC_TKCO,$A79,AC_PHAITRA,$B79,AC_NGAY,"&lt;"&amp;$F$4)-($D79+SUMIFS(AC_SOTIEN,AC_TKNO,$A79,AC_PHAITHU,$B79,AC_NGAY,"&lt;"&amp;$F$4)),"")</f>
        <v/>
      </c>
      <c r="H79" s="303">
        <f>SUMIFS(AC_SOTIEN,AC_TKNO,$A79 ,AC_PHAITHU,$B79,AC_NGAY,"&gt;="&amp;$F$4,AC_NGAY,"&lt;="&amp;$H$4)</f>
        <v>0</v>
      </c>
      <c r="I79" s="303">
        <f>SUMIFS(AC_SOTIEN,AC_TKCO,$A79,AC_PHAITRA, $B79,AC_NGAY,"&gt;="&amp;$F$4,AC_NGAY,"&lt;="&amp;$H$4)</f>
        <v>0</v>
      </c>
      <c r="J79" s="303">
        <f t="shared" si="15"/>
        <v>0</v>
      </c>
      <c r="K79" s="309">
        <f t="shared" si="16"/>
        <v>0</v>
      </c>
      <c r="L79" s="292" t="str">
        <f t="shared" si="17"/>
        <v/>
      </c>
    </row>
    <row r="80">
      <c r="A80" s="311" t="s">
        <v>1810</v>
      </c>
      <c r="B80" s="311"/>
      <c r="C80" s="301"/>
      <c r="D80" s="308"/>
      <c r="E80" s="308"/>
      <c r="F80" s="302" t="str">
        <f>if($D80+SUMIFS(AC_SOTIEN,AC_TKNO,$A80,AC_PHAITHU,$B80,AC_NGAY,"&lt;"&amp;$F$4)-($E80+SUMIFS(AC_SOTIEN,AC_TKCO,$A80,AC_PHAITRA,$B80,AC_NGAY,"&lt;"&amp;$F$4))&gt;0,$D80+SUMIFS(AC_SOTIEN,AC_TKNO,$A80,AC_PHAITHU,$B80,AC_NGAY,"&lt;"&amp;$F$4)-($E80+SUMIFS(AC_SOTIEN,AC_TKCO,$A80,AC_PHAITRA,$B80,AC_NGAY,"&lt;"&amp;$F$4)),"")</f>
        <v/>
      </c>
      <c r="G80" s="302" t="str">
        <f>IF($E80+SUMIFS(AC_SOTIEN,AC_TKCO,$A80,AC_PHAITRA,$B80, AC_NGAY,"&lt;"&amp;$F$4)-($D80+SUMIFS(AC_SOTIEN,AC_TKNO,$A80,AC_PHAITHU,$B80,AC_NGAY,"&lt;"&amp;$F$4))&gt;0,$E80+SUMIFS(AC_SOTIEN,AC_TKCO,$A80,AC_PHAITRA,$B80,AC_NGAY,"&lt;"&amp;$F$4)-($D80+SUMIFS(AC_SOTIEN,AC_TKNO,$A80,AC_PHAITHU,$B80,AC_NGAY,"&lt;"&amp;$F$4)),"")</f>
        <v/>
      </c>
      <c r="H80" s="303">
        <f>SUMIFS(AC_SOTIEN,AC_TKNO,$A80 ,AC_PHAITHU,$B80,AC_NGAY,"&gt;="&amp;$F$4,AC_NGAY,"&lt;="&amp;$H$4)</f>
        <v>0</v>
      </c>
      <c r="I80" s="303">
        <f>SUMIFS(AC_SOTIEN,AC_TKCO,$A80,AC_PHAITRA, $B80,AC_NGAY,"&gt;="&amp;$F$4,AC_NGAY,"&lt;="&amp;$H$4)</f>
        <v>0</v>
      </c>
      <c r="J80" s="303">
        <f t="shared" si="15"/>
        <v>0</v>
      </c>
      <c r="K80" s="309">
        <f t="shared" si="16"/>
        <v>0</v>
      </c>
      <c r="L80" s="292" t="str">
        <f t="shared" si="17"/>
        <v/>
      </c>
    </row>
    <row r="81">
      <c r="A81" s="310" t="s">
        <v>1810</v>
      </c>
      <c r="B81" s="310"/>
      <c r="C81" s="307"/>
      <c r="D81" s="302"/>
      <c r="E81" s="302"/>
      <c r="F81" s="302" t="str">
        <f>if($D81+SUMIFS(AC_SOTIEN,AC_TKNO,$A81,AC_PHAITHU,$B81,AC_NGAY,"&lt;"&amp;$F$4)-($E81+SUMIFS(AC_SOTIEN,AC_TKCO,$A81,AC_PHAITRA,$B81,AC_NGAY,"&lt;"&amp;$F$4))&gt;0,$D81+SUMIFS(AC_SOTIEN,AC_TKNO,$A81,AC_PHAITHU,$B81,AC_NGAY,"&lt;"&amp;$F$4)-($E81+SUMIFS(AC_SOTIEN,AC_TKCO,$A81,AC_PHAITRA,$B81,AC_NGAY,"&lt;"&amp;$F$4)),"")</f>
        <v/>
      </c>
      <c r="G81" s="302" t="str">
        <f>IF($E81+SUMIFS(AC_SOTIEN,AC_TKCO,$A81,AC_PHAITRA,$B81, AC_NGAY,"&lt;"&amp;$F$4)-($D81+SUMIFS(AC_SOTIEN,AC_TKNO,$A81,AC_PHAITHU,$B81,AC_NGAY,"&lt;"&amp;$F$4))&gt;0,$E81+SUMIFS(AC_SOTIEN,AC_TKCO,$A81,AC_PHAITRA,$B81,AC_NGAY,"&lt;"&amp;$F$4)-($D81+SUMIFS(AC_SOTIEN,AC_TKNO,$A81,AC_PHAITHU,$B81,AC_NGAY,"&lt;"&amp;$F$4)),"")</f>
        <v/>
      </c>
      <c r="H81" s="303">
        <f>SUMIFS(AC_SOTIEN,AC_TKNO,$A81 ,AC_PHAITHU,$B81,AC_NGAY,"&gt;="&amp;$F$4,AC_NGAY,"&lt;="&amp;$H$4)</f>
        <v>0</v>
      </c>
      <c r="I81" s="303">
        <f>SUMIFS(AC_SOTIEN,AC_TKCO,$A81,AC_PHAITRA, $B81,AC_NGAY,"&gt;="&amp;$F$4,AC_NGAY,"&lt;="&amp;$H$4)</f>
        <v>0</v>
      </c>
      <c r="J81" s="303">
        <f t="shared" si="15"/>
        <v>0</v>
      </c>
      <c r="K81" s="303">
        <f t="shared" si="16"/>
        <v>0</v>
      </c>
      <c r="L81" s="306" t="str">
        <f t="shared" si="17"/>
        <v/>
      </c>
    </row>
    <row r="82">
      <c r="A82" s="311" t="s">
        <v>1810</v>
      </c>
      <c r="B82" s="311"/>
      <c r="C82" s="301"/>
      <c r="D82" s="308"/>
      <c r="E82" s="308"/>
      <c r="F82" s="302" t="str">
        <f>if($D82+SUMIFS(AC_SOTIEN,AC_TKNO,$A82,AC_PHAITHU,$B82,AC_NGAY,"&lt;"&amp;$F$4)-($E82+SUMIFS(AC_SOTIEN,AC_TKCO,$A82,AC_PHAITRA,$B82,AC_NGAY,"&lt;"&amp;$F$4))&gt;0,$D82+SUMIFS(AC_SOTIEN,AC_TKNO,$A82,AC_PHAITHU,$B82,AC_NGAY,"&lt;"&amp;$F$4)-($E82+SUMIFS(AC_SOTIEN,AC_TKCO,$A82,AC_PHAITRA,$B82,AC_NGAY,"&lt;"&amp;$F$4)),"")</f>
        <v/>
      </c>
      <c r="G82" s="302" t="str">
        <f>IF($E82+SUMIFS(AC_SOTIEN,AC_TKCO,$A82,AC_PHAITRA,$B82, AC_NGAY,"&lt;"&amp;$F$4)-($D82+SUMIFS(AC_SOTIEN,AC_TKNO,$A82,AC_PHAITHU,$B82,AC_NGAY,"&lt;"&amp;$F$4))&gt;0,$E82+SUMIFS(AC_SOTIEN,AC_TKCO,$A82,AC_PHAITRA,$B82,AC_NGAY,"&lt;"&amp;$F$4)-($D82+SUMIFS(AC_SOTIEN,AC_TKNO,$A82,AC_PHAITHU,$B82,AC_NGAY,"&lt;"&amp;$F$4)),"")</f>
        <v/>
      </c>
      <c r="H82" s="303">
        <f>SUMIFS(AC_SOTIEN,AC_TKNO,$A82 ,AC_PHAITHU,$B82,AC_NGAY,"&gt;="&amp;$F$4,AC_NGAY,"&lt;="&amp;$H$4)</f>
        <v>0</v>
      </c>
      <c r="I82" s="303">
        <f>SUMIFS(AC_SOTIEN,AC_TKCO,$A82,AC_PHAITRA, $B82,AC_NGAY,"&gt;="&amp;$F$4,AC_NGAY,"&lt;="&amp;$H$4)</f>
        <v>0</v>
      </c>
      <c r="J82" s="303">
        <f t="shared" si="15"/>
        <v>0</v>
      </c>
      <c r="K82" s="309">
        <f t="shared" si="16"/>
        <v>0</v>
      </c>
      <c r="L82" s="292" t="str">
        <f t="shared" si="17"/>
        <v/>
      </c>
    </row>
    <row r="83">
      <c r="A83" s="310" t="s">
        <v>1810</v>
      </c>
      <c r="B83" s="310"/>
      <c r="C83" s="307"/>
      <c r="D83" s="302"/>
      <c r="E83" s="302"/>
      <c r="F83" s="302" t="str">
        <f>if($D83+SUMIFS(AC_SOTIEN,AC_TKNO,$A83,AC_PHAITHU,$B83,AC_NGAY,"&lt;"&amp;$F$4)-($E83+SUMIFS(AC_SOTIEN,AC_TKCO,$A83,AC_PHAITRA,$B83,AC_NGAY,"&lt;"&amp;$F$4))&gt;0,$D83+SUMIFS(AC_SOTIEN,AC_TKNO,$A83,AC_PHAITHU,$B83,AC_NGAY,"&lt;"&amp;$F$4)-($E83+SUMIFS(AC_SOTIEN,AC_TKCO,$A83,AC_PHAITRA,$B83,AC_NGAY,"&lt;"&amp;$F$4)),"")</f>
        <v/>
      </c>
      <c r="G83" s="302" t="str">
        <f>IF($E83+SUMIFS(AC_SOTIEN,AC_TKCO,$A83,AC_PHAITRA,$B83, AC_NGAY,"&lt;"&amp;$F$4)-($D83+SUMIFS(AC_SOTIEN,AC_TKNO,$A83,AC_PHAITHU,$B83,AC_NGAY,"&lt;"&amp;$F$4))&gt;0,$E83+SUMIFS(AC_SOTIEN,AC_TKCO,$A83,AC_PHAITRA,$B83,AC_NGAY,"&lt;"&amp;$F$4)-($D83+SUMIFS(AC_SOTIEN,AC_TKNO,$A83,AC_PHAITHU,$B83,AC_NGAY,"&lt;"&amp;$F$4)),"")</f>
        <v/>
      </c>
      <c r="H83" s="303">
        <f>SUMIFS(AC_SOTIEN,AC_TKNO,$A83 ,AC_PHAITHU,$B83,AC_NGAY,"&gt;="&amp;$F$4,AC_NGAY,"&lt;="&amp;$H$4)</f>
        <v>0</v>
      </c>
      <c r="I83" s="303">
        <f>SUMIFS(AC_SOTIEN,AC_TKCO,$A83,AC_PHAITRA, $B83,AC_NGAY,"&gt;="&amp;$F$4,AC_NGAY,"&lt;="&amp;$H$4)</f>
        <v>0</v>
      </c>
      <c r="J83" s="303">
        <f t="shared" si="15"/>
        <v>0</v>
      </c>
      <c r="K83" s="303">
        <f t="shared" si="16"/>
        <v>0</v>
      </c>
      <c r="L83" s="306" t="str">
        <f t="shared" si="17"/>
        <v/>
      </c>
    </row>
    <row r="84">
      <c r="A84" s="311" t="s">
        <v>1810</v>
      </c>
      <c r="B84" s="311"/>
      <c r="C84" s="301"/>
      <c r="D84" s="308"/>
      <c r="E84" s="308"/>
      <c r="F84" s="302" t="str">
        <f>if($D84+SUMIFS(AC_SOTIEN,AC_TKNO,$A84,AC_PHAITHU,$B84,AC_NGAY,"&lt;"&amp;$F$4)-($E84+SUMIFS(AC_SOTIEN,AC_TKCO,$A84,AC_PHAITRA,$B84,AC_NGAY,"&lt;"&amp;$F$4))&gt;0,$D84+SUMIFS(AC_SOTIEN,AC_TKNO,$A84,AC_PHAITHU,$B84,AC_NGAY,"&lt;"&amp;$F$4)-($E84+SUMIFS(AC_SOTIEN,AC_TKCO,$A84,AC_PHAITRA,$B84,AC_NGAY,"&lt;"&amp;$F$4)),"")</f>
        <v/>
      </c>
      <c r="G84" s="302" t="str">
        <f>IF($E84+SUMIFS(AC_SOTIEN,AC_TKCO,$A84,AC_PHAITRA,$B84, AC_NGAY,"&lt;"&amp;$F$4)-($D84+SUMIFS(AC_SOTIEN,AC_TKNO,$A84,AC_PHAITHU,$B84,AC_NGAY,"&lt;"&amp;$F$4))&gt;0,$E84+SUMIFS(AC_SOTIEN,AC_TKCO,$A84,AC_PHAITRA,$B84,AC_NGAY,"&lt;"&amp;$F$4)-($D84+SUMIFS(AC_SOTIEN,AC_TKNO,$A84,AC_PHAITHU,$B84,AC_NGAY,"&lt;"&amp;$F$4)),"")</f>
        <v/>
      </c>
      <c r="H84" s="303">
        <f>SUMIFS(AC_SOTIEN,AC_TKNO,$A84 ,AC_PHAITHU,$B84,AC_NGAY,"&gt;="&amp;$F$4,AC_NGAY,"&lt;="&amp;$H$4)</f>
        <v>0</v>
      </c>
      <c r="I84" s="303">
        <f>SUMIFS(AC_SOTIEN,AC_TKCO,$A84,AC_PHAITRA, $B84,AC_NGAY,"&gt;="&amp;$F$4,AC_NGAY,"&lt;="&amp;$H$4)</f>
        <v>0</v>
      </c>
      <c r="J84" s="303">
        <f t="shared" si="15"/>
        <v>0</v>
      </c>
      <c r="K84" s="309">
        <f t="shared" si="16"/>
        <v>0</v>
      </c>
      <c r="L84" s="292" t="str">
        <f t="shared" si="17"/>
        <v/>
      </c>
    </row>
    <row r="85">
      <c r="A85" s="311" t="s">
        <v>1810</v>
      </c>
      <c r="B85" s="311"/>
      <c r="C85" s="301"/>
      <c r="D85" s="308"/>
      <c r="E85" s="308"/>
      <c r="F85" s="302" t="str">
        <f>if($D85+SUMIFS(AC_SOTIEN,AC_TKNO,$A85,AC_PHAITHU,$B85,AC_NGAY,"&lt;"&amp;$F$4)-($E85+SUMIFS(AC_SOTIEN,AC_TKCO,$A85,AC_PHAITRA,$B85,AC_NGAY,"&lt;"&amp;$F$4))&gt;0,$D85+SUMIFS(AC_SOTIEN,AC_TKNO,$A85,AC_PHAITHU,$B85,AC_NGAY,"&lt;"&amp;$F$4)-($E85+SUMIFS(AC_SOTIEN,AC_TKCO,$A85,AC_PHAITRA,$B85,AC_NGAY,"&lt;"&amp;$F$4)),"")</f>
        <v/>
      </c>
      <c r="G85" s="302" t="str">
        <f>IF($E85+SUMIFS(AC_SOTIEN,AC_TKCO,$A85,AC_PHAITRA,$B85, AC_NGAY,"&lt;"&amp;$F$4)-($D85+SUMIFS(AC_SOTIEN,AC_TKNO,$A85,AC_PHAITHU,$B85,AC_NGAY,"&lt;"&amp;$F$4))&gt;0,$E85+SUMIFS(AC_SOTIEN,AC_TKCO,$A85,AC_PHAITRA,$B85,AC_NGAY,"&lt;"&amp;$F$4)-($D85+SUMIFS(AC_SOTIEN,AC_TKNO,$A85,AC_PHAITHU,$B85,AC_NGAY,"&lt;"&amp;$F$4)),"")</f>
        <v/>
      </c>
      <c r="H85" s="303">
        <f>SUMIFS(AC_SOTIEN,AC_TKNO,$A85 ,AC_PHAITHU,$B85,AC_NGAY,"&gt;="&amp;$F$4,AC_NGAY,"&lt;="&amp;$H$4)</f>
        <v>0</v>
      </c>
      <c r="I85" s="303">
        <f>SUMIFS(AC_SOTIEN,AC_TKCO,$A85,AC_PHAITRA, $B85,AC_NGAY,"&gt;="&amp;$F$4,AC_NGAY,"&lt;="&amp;$H$4)</f>
        <v>0</v>
      </c>
      <c r="J85" s="303">
        <f t="shared" si="15"/>
        <v>0</v>
      </c>
      <c r="K85" s="309">
        <f t="shared" si="16"/>
        <v>0</v>
      </c>
      <c r="L85" s="292" t="str">
        <f t="shared" si="17"/>
        <v/>
      </c>
    </row>
    <row r="86">
      <c r="A86" s="310" t="s">
        <v>1810</v>
      </c>
      <c r="B86" s="310"/>
      <c r="C86" s="307"/>
      <c r="D86" s="302"/>
      <c r="E86" s="302"/>
      <c r="F86" s="302" t="str">
        <f>if($D86+SUMIFS(AC_SOTIEN,AC_TKNO,$A86,AC_PHAITHU,$B86,AC_NGAY,"&lt;"&amp;$F$4)-($E86+SUMIFS(AC_SOTIEN,AC_TKCO,$A86,AC_PHAITRA,$B86,AC_NGAY,"&lt;"&amp;$F$4))&gt;0,$D86+SUMIFS(AC_SOTIEN,AC_TKNO,$A86,AC_PHAITHU,$B86,AC_NGAY,"&lt;"&amp;$F$4)-($E86+SUMIFS(AC_SOTIEN,AC_TKCO,$A86,AC_PHAITRA,$B86,AC_NGAY,"&lt;"&amp;$F$4)),"")</f>
        <v/>
      </c>
      <c r="G86" s="302" t="str">
        <f>IF($E86+SUMIFS(AC_SOTIEN,AC_TKCO,$A86,AC_PHAITRA,$B86, AC_NGAY,"&lt;"&amp;$F$4)-($D86+SUMIFS(AC_SOTIEN,AC_TKNO,$A86,AC_PHAITHU,$B86,AC_NGAY,"&lt;"&amp;$F$4))&gt;0,$E86+SUMIFS(AC_SOTIEN,AC_TKCO,$A86,AC_PHAITRA,$B86,AC_NGAY,"&lt;"&amp;$F$4)-($D86+SUMIFS(AC_SOTIEN,AC_TKNO,$A86,AC_PHAITHU,$B86,AC_NGAY,"&lt;"&amp;$F$4)),"")</f>
        <v/>
      </c>
      <c r="H86" s="303">
        <f>SUMIFS(AC_SOTIEN,AC_TKNO,$A86 ,AC_PHAITHU,$B86,AC_NGAY,"&gt;="&amp;$F$4,AC_NGAY,"&lt;="&amp;$H$4)</f>
        <v>0</v>
      </c>
      <c r="I86" s="303">
        <f>SUMIFS(AC_SOTIEN,AC_TKCO,$A86,AC_PHAITRA, $B86,AC_NGAY,"&gt;="&amp;$F$4,AC_NGAY,"&lt;="&amp;$H$4)</f>
        <v>0</v>
      </c>
      <c r="J86" s="303">
        <f t="shared" si="15"/>
        <v>0</v>
      </c>
      <c r="K86" s="303">
        <f t="shared" si="16"/>
        <v>0</v>
      </c>
      <c r="L86" s="306" t="str">
        <f t="shared" si="17"/>
        <v/>
      </c>
    </row>
    <row r="87">
      <c r="A87" s="311" t="s">
        <v>1810</v>
      </c>
      <c r="B87" s="311"/>
      <c r="C87" s="301"/>
      <c r="D87" s="308"/>
      <c r="E87" s="312"/>
      <c r="F87" s="302" t="str">
        <f>if($D87+SUMIFS(AC_SOTIEN,AC_TKNO,$A87,AC_PHAITHU,$B87,AC_NGAY,"&lt;"&amp;$F$4)-($E87+SUMIFS(AC_SOTIEN,AC_TKCO,$A87,AC_PHAITRA,$B87,AC_NGAY,"&lt;"&amp;$F$4))&gt;0,$D87+SUMIFS(AC_SOTIEN,AC_TKNO,$A87,AC_PHAITHU,$B87,AC_NGAY,"&lt;"&amp;$F$4)-($E87+SUMIFS(AC_SOTIEN,AC_TKCO,$A87,AC_PHAITRA,$B87,AC_NGAY,"&lt;"&amp;$F$4)),"")</f>
        <v/>
      </c>
      <c r="G87" s="302" t="str">
        <f>IF($E87+SUMIFS(AC_SOTIEN,AC_TKCO,$A87,AC_PHAITRA,$B87, AC_NGAY,"&lt;"&amp;$F$4)-($D87+SUMIFS(AC_SOTIEN,AC_TKNO,$A87,AC_PHAITHU,$B87,AC_NGAY,"&lt;"&amp;$F$4))&gt;0,$E87+SUMIFS(AC_SOTIEN,AC_TKCO,$A87,AC_PHAITRA,$B87,AC_NGAY,"&lt;"&amp;$F$4)-($D87+SUMIFS(AC_SOTIEN,AC_TKNO,$A87,AC_PHAITHU,$B87,AC_NGAY,"&lt;"&amp;$F$4)),"")</f>
        <v/>
      </c>
      <c r="H87" s="303">
        <f>SUMIFS(AC_SOTIEN,AC_TKNO,$A87 ,AC_PHAITHU,$B87,AC_NGAY,"&gt;="&amp;$F$4,AC_NGAY,"&lt;="&amp;$H$4)</f>
        <v>0</v>
      </c>
      <c r="I87" s="303">
        <f>SUMIFS(AC_SOTIEN,AC_TKCO,$A87,AC_PHAITRA, $B87,AC_NGAY,"&gt;="&amp;$F$4,AC_NGAY,"&lt;="&amp;$H$4)</f>
        <v>0</v>
      </c>
      <c r="J87" s="303">
        <f t="shared" si="15"/>
        <v>0</v>
      </c>
      <c r="K87" s="309">
        <f t="shared" si="16"/>
        <v>0</v>
      </c>
      <c r="L87" s="292" t="str">
        <f t="shared" si="17"/>
        <v/>
      </c>
    </row>
    <row r="88">
      <c r="A88" s="310" t="s">
        <v>1810</v>
      </c>
      <c r="B88" s="310"/>
      <c r="C88" s="307"/>
      <c r="D88" s="302"/>
      <c r="E88" s="302"/>
      <c r="F88" s="302" t="str">
        <f>if($D88+SUMIFS(AC_SOTIEN,AC_TKNO,$A88,AC_PHAITHU,$B88,AC_NGAY,"&lt;"&amp;$F$4)-($E88+SUMIFS(AC_SOTIEN,AC_TKCO,$A88,AC_PHAITRA,$B88,AC_NGAY,"&lt;"&amp;$F$4))&gt;0,$D88+SUMIFS(AC_SOTIEN,AC_TKNO,$A88,AC_PHAITHU,$B88,AC_NGAY,"&lt;"&amp;$F$4)-($E88+SUMIFS(AC_SOTIEN,AC_TKCO,$A88,AC_PHAITRA,$B88,AC_NGAY,"&lt;"&amp;$F$4)),"")</f>
        <v/>
      </c>
      <c r="G88" s="302" t="str">
        <f>IF($E88+SUMIFS(AC_SOTIEN,AC_TKCO,$A88,AC_PHAITRA,$B88, AC_NGAY,"&lt;"&amp;$F$4)-($D88+SUMIFS(AC_SOTIEN,AC_TKNO,$A88,AC_PHAITHU,$B88,AC_NGAY,"&lt;"&amp;$F$4))&gt;0,$E88+SUMIFS(AC_SOTIEN,AC_TKCO,$A88,AC_PHAITRA,$B88,AC_NGAY,"&lt;"&amp;$F$4)-($D88+SUMIFS(AC_SOTIEN,AC_TKNO,$A88,AC_PHAITHU,$B88,AC_NGAY,"&lt;"&amp;$F$4)),"")</f>
        <v/>
      </c>
      <c r="H88" s="303">
        <f>SUMIFS(AC_SOTIEN,AC_TKNO,$A88 ,AC_PHAITHU,$B88,AC_NGAY,"&gt;="&amp;$F$4,AC_NGAY,"&lt;="&amp;$H$4)</f>
        <v>0</v>
      </c>
      <c r="I88" s="303">
        <f>SUMIFS(AC_SOTIEN,AC_TKCO,$A88,AC_PHAITRA, $B88,AC_NGAY,"&gt;="&amp;$F$4,AC_NGAY,"&lt;="&amp;$H$4)</f>
        <v>0</v>
      </c>
      <c r="J88" s="303">
        <f t="shared" si="15"/>
        <v>0</v>
      </c>
      <c r="K88" s="303">
        <f t="shared" si="16"/>
        <v>0</v>
      </c>
      <c r="L88" s="306" t="str">
        <f t="shared" si="17"/>
        <v/>
      </c>
    </row>
    <row r="89">
      <c r="A89" s="310" t="s">
        <v>1810</v>
      </c>
      <c r="B89" s="310"/>
      <c r="C89" s="307"/>
      <c r="D89" s="302"/>
      <c r="E89" s="302"/>
      <c r="F89" s="302" t="str">
        <f>if($D89+SUMIFS(AC_SOTIEN,AC_TKNO,$A89,AC_PHAITHU,$B89,AC_NGAY,"&lt;"&amp;$F$4)-($E89+SUMIFS(AC_SOTIEN,AC_TKCO,$A89,AC_PHAITRA,$B89,AC_NGAY,"&lt;"&amp;$F$4))&gt;0,$D89+SUMIFS(AC_SOTIEN,AC_TKNO,$A89,AC_PHAITHU,$B89,AC_NGAY,"&lt;"&amp;$F$4)-($E89+SUMIFS(AC_SOTIEN,AC_TKCO,$A89,AC_PHAITRA,$B89,AC_NGAY,"&lt;"&amp;$F$4)),"")</f>
        <v/>
      </c>
      <c r="G89" s="302" t="str">
        <f>IF($E89+SUMIFS(AC_SOTIEN,AC_TKCO,$A89,AC_PHAITRA,$B89, AC_NGAY,"&lt;"&amp;$F$4)-($D89+SUMIFS(AC_SOTIEN,AC_TKNO,$A89,AC_PHAITHU,$B89,AC_NGAY,"&lt;"&amp;$F$4))&gt;0,$E89+SUMIFS(AC_SOTIEN,AC_TKCO,$A89,AC_PHAITRA,$B89,AC_NGAY,"&lt;"&amp;$F$4)-($D89+SUMIFS(AC_SOTIEN,AC_TKNO,$A89,AC_PHAITHU,$B89,AC_NGAY,"&lt;"&amp;$F$4)),"")</f>
        <v/>
      </c>
      <c r="H89" s="303">
        <f>SUMIFS(AC_SOTIEN,AC_TKNO,$A89 ,AC_PHAITHU,$B89,AC_NGAY,"&gt;="&amp;$F$4,AC_NGAY,"&lt;="&amp;$H$4)</f>
        <v>0</v>
      </c>
      <c r="I89" s="303">
        <f>SUMIFS(AC_SOTIEN,AC_TKCO,$A89,AC_PHAITRA, $B89,AC_NGAY,"&gt;="&amp;$F$4,AC_NGAY,"&lt;="&amp;$H$4)</f>
        <v>0</v>
      </c>
      <c r="J89" s="303">
        <f t="shared" si="15"/>
        <v>0</v>
      </c>
      <c r="K89" s="303">
        <f t="shared" si="16"/>
        <v>0</v>
      </c>
      <c r="L89" s="306" t="str">
        <f t="shared" si="17"/>
        <v/>
      </c>
    </row>
    <row r="90">
      <c r="A90" s="311" t="s">
        <v>1810</v>
      </c>
      <c r="B90" s="311"/>
      <c r="C90" s="301"/>
      <c r="D90" s="308"/>
      <c r="E90" s="308"/>
      <c r="F90" s="302" t="str">
        <f>if($D90+SUMIFS(AC_SOTIEN,AC_TKNO,$A90,AC_PHAITHU,$B90,AC_NGAY,"&lt;"&amp;$F$4)-($E90+SUMIFS(AC_SOTIEN,AC_TKCO,$A90,AC_PHAITRA,$B90,AC_NGAY,"&lt;"&amp;$F$4))&gt;0,$D90+SUMIFS(AC_SOTIEN,AC_TKNO,$A90,AC_PHAITHU,$B90,AC_NGAY,"&lt;"&amp;$F$4)-($E90+SUMIFS(AC_SOTIEN,AC_TKCO,$A90,AC_PHAITRA,$B90,AC_NGAY,"&lt;"&amp;$F$4)),"")</f>
        <v/>
      </c>
      <c r="G90" s="302" t="str">
        <f>IF($E90+SUMIFS(AC_SOTIEN,AC_TKCO,$A90,AC_PHAITRA,$B90, AC_NGAY,"&lt;"&amp;$F$4)-($D90+SUMIFS(AC_SOTIEN,AC_TKNO,$A90,AC_PHAITHU,$B90,AC_NGAY,"&lt;"&amp;$F$4))&gt;0,$E90+SUMIFS(AC_SOTIEN,AC_TKCO,$A90,AC_PHAITRA,$B90,AC_NGAY,"&lt;"&amp;$F$4)-($D90+SUMIFS(AC_SOTIEN,AC_TKNO,$A90,AC_PHAITHU,$B90,AC_NGAY,"&lt;"&amp;$F$4)),"")</f>
        <v/>
      </c>
      <c r="H90" s="303">
        <f>SUMIFS(AC_SOTIEN,AC_TKNO,$A90 ,AC_PHAITHU,$B90,AC_NGAY,"&gt;="&amp;$F$4,AC_NGAY,"&lt;="&amp;$H$4)</f>
        <v>0</v>
      </c>
      <c r="I90" s="303">
        <f>SUMIFS(AC_SOTIEN,AC_TKCO,$A90,AC_PHAITRA, $B90,AC_NGAY,"&gt;="&amp;$F$4,AC_NGAY,"&lt;="&amp;$H$4)</f>
        <v>0</v>
      </c>
      <c r="J90" s="303">
        <f t="shared" si="15"/>
        <v>0</v>
      </c>
      <c r="K90" s="309">
        <f t="shared" si="16"/>
        <v>0</v>
      </c>
      <c r="L90" s="292" t="str">
        <f t="shared" si="17"/>
        <v/>
      </c>
    </row>
    <row r="91">
      <c r="A91" s="310" t="s">
        <v>1810</v>
      </c>
      <c r="B91" s="310"/>
      <c r="C91" s="307"/>
      <c r="D91" s="302"/>
      <c r="E91" s="302"/>
      <c r="F91" s="302" t="str">
        <f>if($D91+SUMIFS(AC_SOTIEN,AC_TKNO,$A91,AC_PHAITHU,$B91,AC_NGAY,"&lt;"&amp;$F$4)-($E91+SUMIFS(AC_SOTIEN,AC_TKCO,$A91,AC_PHAITRA,$B91,AC_NGAY,"&lt;"&amp;$F$4))&gt;0,$D91+SUMIFS(AC_SOTIEN,AC_TKNO,$A91,AC_PHAITHU,$B91,AC_NGAY,"&lt;"&amp;$F$4)-($E91+SUMIFS(AC_SOTIEN,AC_TKCO,$A91,AC_PHAITRA,$B91,AC_NGAY,"&lt;"&amp;$F$4)),"")</f>
        <v/>
      </c>
      <c r="G91" s="302" t="str">
        <f>IF($E91+SUMIFS(AC_SOTIEN,AC_TKCO,$A91,AC_PHAITRA,$B91, AC_NGAY,"&lt;"&amp;$F$4)-($D91+SUMIFS(AC_SOTIEN,AC_TKNO,$A91,AC_PHAITHU,$B91,AC_NGAY,"&lt;"&amp;$F$4))&gt;0,$E91+SUMIFS(AC_SOTIEN,AC_TKCO,$A91,AC_PHAITRA,$B91,AC_NGAY,"&lt;"&amp;$F$4)-($D91+SUMIFS(AC_SOTIEN,AC_TKNO,$A91,AC_PHAITHU,$B91,AC_NGAY,"&lt;"&amp;$F$4)),"")</f>
        <v/>
      </c>
      <c r="H91" s="303">
        <f>SUMIFS(AC_SOTIEN,AC_TKNO,$A91 ,AC_PHAITHU,$B91,AC_NGAY,"&gt;="&amp;$F$4,AC_NGAY,"&lt;="&amp;$H$4)</f>
        <v>0</v>
      </c>
      <c r="I91" s="303">
        <f>SUMIFS(AC_SOTIEN,AC_TKCO,$A91,AC_PHAITRA, $B91,AC_NGAY,"&gt;="&amp;$F$4,AC_NGAY,"&lt;="&amp;$H$4)</f>
        <v>0</v>
      </c>
      <c r="J91" s="303">
        <f t="shared" si="15"/>
        <v>0</v>
      </c>
      <c r="K91" s="303">
        <f t="shared" si="16"/>
        <v>0</v>
      </c>
      <c r="L91" s="306" t="str">
        <f t="shared" si="17"/>
        <v/>
      </c>
    </row>
    <row r="92">
      <c r="A92" s="311" t="s">
        <v>1810</v>
      </c>
      <c r="B92" s="311"/>
      <c r="C92" s="301"/>
      <c r="D92" s="308"/>
      <c r="E92" s="308"/>
      <c r="F92" s="302" t="str">
        <f>if($D92+SUMIFS(AC_SOTIEN,AC_TKNO,$A92,AC_PHAITHU,$B92,AC_NGAY,"&lt;"&amp;$F$4)-($E92+SUMIFS(AC_SOTIEN,AC_TKCO,$A92,AC_PHAITRA,$B92,AC_NGAY,"&lt;"&amp;$F$4))&gt;0,$D92+SUMIFS(AC_SOTIEN,AC_TKNO,$A92,AC_PHAITHU,$B92,AC_NGAY,"&lt;"&amp;$F$4)-($E92+SUMIFS(AC_SOTIEN,AC_TKCO,$A92,AC_PHAITRA,$B92,AC_NGAY,"&lt;"&amp;$F$4)),"")</f>
        <v/>
      </c>
      <c r="G92" s="302" t="str">
        <f>IF($E92+SUMIFS(AC_SOTIEN,AC_TKCO,$A92,AC_PHAITRA,$B92, AC_NGAY,"&lt;"&amp;$F$4)-($D92+SUMIFS(AC_SOTIEN,AC_TKNO,$A92,AC_PHAITHU,$B92,AC_NGAY,"&lt;"&amp;$F$4))&gt;0,$E92+SUMIFS(AC_SOTIEN,AC_TKCO,$A92,AC_PHAITRA,$B92,AC_NGAY,"&lt;"&amp;$F$4)-($D92+SUMIFS(AC_SOTIEN,AC_TKNO,$A92,AC_PHAITHU,$B92,AC_NGAY,"&lt;"&amp;$F$4)),"")</f>
        <v/>
      </c>
      <c r="H92" s="303">
        <f>SUMIFS(AC_SOTIEN,AC_TKNO,$A92 ,AC_PHAITHU,$B92,AC_NGAY,"&gt;="&amp;$F$4,AC_NGAY,"&lt;="&amp;$H$4)</f>
        <v>0</v>
      </c>
      <c r="I92" s="303">
        <f>SUMIFS(AC_SOTIEN,AC_TKCO,$A92,AC_PHAITRA, $B92,AC_NGAY,"&gt;="&amp;$F$4,AC_NGAY,"&lt;="&amp;$H$4)</f>
        <v>0</v>
      </c>
      <c r="J92" s="303">
        <f t="shared" si="15"/>
        <v>0</v>
      </c>
      <c r="K92" s="309">
        <f t="shared" si="16"/>
        <v>0</v>
      </c>
      <c r="L92" s="292" t="str">
        <f t="shared" si="17"/>
        <v/>
      </c>
    </row>
    <row r="93">
      <c r="A93" s="310" t="s">
        <v>1810</v>
      </c>
      <c r="B93" s="310"/>
      <c r="C93" s="307"/>
      <c r="D93" s="302"/>
      <c r="E93" s="302"/>
      <c r="F93" s="302" t="str">
        <f>if($D93+SUMIFS(AC_SOTIEN,AC_TKNO,$A93,AC_PHAITHU,$B93,AC_NGAY,"&lt;"&amp;$F$4)-($E93+SUMIFS(AC_SOTIEN,AC_TKCO,$A93,AC_PHAITRA,$B93,AC_NGAY,"&lt;"&amp;$F$4))&gt;0,$D93+SUMIFS(AC_SOTIEN,AC_TKNO,$A93,AC_PHAITHU,$B93,AC_NGAY,"&lt;"&amp;$F$4)-($E93+SUMIFS(AC_SOTIEN,AC_TKCO,$A93,AC_PHAITRA,$B93,AC_NGAY,"&lt;"&amp;$F$4)),"")</f>
        <v/>
      </c>
      <c r="G93" s="302" t="str">
        <f>IF($E93+SUMIFS(AC_SOTIEN,AC_TKCO,$A93,AC_PHAITRA,$B93, AC_NGAY,"&lt;"&amp;$F$4)-($D93+SUMIFS(AC_SOTIEN,AC_TKNO,$A93,AC_PHAITHU,$B93,AC_NGAY,"&lt;"&amp;$F$4))&gt;0,$E93+SUMIFS(AC_SOTIEN,AC_TKCO,$A93,AC_PHAITRA,$B93,AC_NGAY,"&lt;"&amp;$F$4)-($D93+SUMIFS(AC_SOTIEN,AC_TKNO,$A93,AC_PHAITHU,$B93,AC_NGAY,"&lt;"&amp;$F$4)),"")</f>
        <v/>
      </c>
      <c r="H93" s="303">
        <f>SUMIFS(AC_SOTIEN,AC_TKNO,$A93 ,AC_PHAITHU,$B93,AC_NGAY,"&gt;="&amp;$F$4,AC_NGAY,"&lt;="&amp;$H$4)</f>
        <v>0</v>
      </c>
      <c r="I93" s="303">
        <f>SUMIFS(AC_SOTIEN,AC_TKCO,$A93,AC_PHAITRA, $B93,AC_NGAY,"&gt;="&amp;$F$4,AC_NGAY,"&lt;="&amp;$H$4)</f>
        <v>0</v>
      </c>
      <c r="J93" s="303">
        <f t="shared" si="15"/>
        <v>0</v>
      </c>
      <c r="K93" s="303">
        <f t="shared" si="16"/>
        <v>0</v>
      </c>
      <c r="L93" s="306" t="str">
        <f t="shared" si="17"/>
        <v/>
      </c>
    </row>
    <row r="94">
      <c r="A94" s="311" t="s">
        <v>1810</v>
      </c>
      <c r="B94" s="311"/>
      <c r="C94" s="301"/>
      <c r="D94" s="308"/>
      <c r="E94" s="308"/>
      <c r="F94" s="302" t="str">
        <f>if($D94+SUMIFS(AC_SOTIEN,AC_TKNO,$A94,AC_PHAITHU,$B94,AC_NGAY,"&lt;"&amp;$F$4)-($E94+SUMIFS(AC_SOTIEN,AC_TKCO,$A94,AC_PHAITRA,$B94,AC_NGAY,"&lt;"&amp;$F$4))&gt;0,$D94+SUMIFS(AC_SOTIEN,AC_TKNO,$A94,AC_PHAITHU,$B94,AC_NGAY,"&lt;"&amp;$F$4)-($E94+SUMIFS(AC_SOTIEN,AC_TKCO,$A94,AC_PHAITRA,$B94,AC_NGAY,"&lt;"&amp;$F$4)),"")</f>
        <v/>
      </c>
      <c r="G94" s="302" t="str">
        <f>IF($E94+SUMIFS(AC_SOTIEN,AC_TKCO,$A94,AC_PHAITRA,$B94, AC_NGAY,"&lt;"&amp;$F$4)-($D94+SUMIFS(AC_SOTIEN,AC_TKNO,$A94,AC_PHAITHU,$B94,AC_NGAY,"&lt;"&amp;$F$4))&gt;0,$E94+SUMIFS(AC_SOTIEN,AC_TKCO,$A94,AC_PHAITRA,$B94,AC_NGAY,"&lt;"&amp;$F$4)-($D94+SUMIFS(AC_SOTIEN,AC_TKNO,$A94,AC_PHAITHU,$B94,AC_NGAY,"&lt;"&amp;$F$4)),"")</f>
        <v/>
      </c>
      <c r="H94" s="303">
        <f>SUMIFS(AC_SOTIEN,AC_TKNO,$A94 ,AC_PHAITHU,$B94,AC_NGAY,"&gt;="&amp;$F$4,AC_NGAY,"&lt;="&amp;$H$4)</f>
        <v>0</v>
      </c>
      <c r="I94" s="303">
        <f>SUMIFS(AC_SOTIEN,AC_TKCO,$A94,AC_PHAITRA, $B94,AC_NGAY,"&gt;="&amp;$F$4,AC_NGAY,"&lt;="&amp;$H$4)</f>
        <v>0</v>
      </c>
      <c r="J94" s="303">
        <f t="shared" si="15"/>
        <v>0</v>
      </c>
      <c r="K94" s="309">
        <f t="shared" si="16"/>
        <v>0</v>
      </c>
      <c r="L94" s="292" t="str">
        <f t="shared" si="17"/>
        <v/>
      </c>
    </row>
    <row r="95">
      <c r="A95" s="311" t="s">
        <v>1810</v>
      </c>
      <c r="B95" s="311"/>
      <c r="C95" s="301"/>
      <c r="D95" s="308"/>
      <c r="E95" s="308"/>
      <c r="F95" s="302" t="str">
        <f>if($D95+SUMIFS(AC_SOTIEN,AC_TKNO,$A95,AC_PHAITHU,$B95,AC_NGAY,"&lt;"&amp;$F$4)-($E95+SUMIFS(AC_SOTIEN,AC_TKCO,$A95,AC_PHAITRA,$B95,AC_NGAY,"&lt;"&amp;$F$4))&gt;0,$D95+SUMIFS(AC_SOTIEN,AC_TKNO,$A95,AC_PHAITHU,$B95,AC_NGAY,"&lt;"&amp;$F$4)-($E95+SUMIFS(AC_SOTIEN,AC_TKCO,$A95,AC_PHAITRA,$B95,AC_NGAY,"&lt;"&amp;$F$4)),"")</f>
        <v/>
      </c>
      <c r="G95" s="302" t="str">
        <f>IF($E95+SUMIFS(AC_SOTIEN,AC_TKCO,$A95,AC_PHAITRA,$B95, AC_NGAY,"&lt;"&amp;$F$4)-($D95+SUMIFS(AC_SOTIEN,AC_TKNO,$A95,AC_PHAITHU,$B95,AC_NGAY,"&lt;"&amp;$F$4))&gt;0,$E95+SUMIFS(AC_SOTIEN,AC_TKCO,$A95,AC_PHAITRA,$B95,AC_NGAY,"&lt;"&amp;$F$4)-($D95+SUMIFS(AC_SOTIEN,AC_TKNO,$A95,AC_PHAITHU,$B95,AC_NGAY,"&lt;"&amp;$F$4)),"")</f>
        <v/>
      </c>
      <c r="H95" s="303">
        <f>SUMIFS(AC_SOTIEN,AC_TKNO,$A95 ,AC_PHAITHU,$B95,AC_NGAY,"&gt;="&amp;$F$4,AC_NGAY,"&lt;="&amp;$H$4)</f>
        <v>0</v>
      </c>
      <c r="I95" s="303">
        <f>SUMIFS(AC_SOTIEN,AC_TKCO,$A95,AC_PHAITRA, $B95,AC_NGAY,"&gt;="&amp;$F$4,AC_NGAY,"&lt;="&amp;$H$4)</f>
        <v>0</v>
      </c>
      <c r="J95" s="303">
        <f t="shared" si="15"/>
        <v>0</v>
      </c>
      <c r="K95" s="309">
        <f t="shared" si="16"/>
        <v>0</v>
      </c>
      <c r="L95" s="292" t="str">
        <f t="shared" si="17"/>
        <v/>
      </c>
    </row>
    <row r="96">
      <c r="A96" s="311" t="s">
        <v>1810</v>
      </c>
      <c r="B96" s="311"/>
      <c r="C96" s="301"/>
      <c r="D96" s="308"/>
      <c r="E96" s="308"/>
      <c r="F96" s="302" t="str">
        <f>if($D96+SUMIFS(AC_SOTIEN,AC_TKNO,$A96,AC_PHAITHU,$B96,AC_NGAY,"&lt;"&amp;$F$4)-($E96+SUMIFS(AC_SOTIEN,AC_TKCO,$A96,AC_PHAITRA,$B96,AC_NGAY,"&lt;"&amp;$F$4))&gt;0,$D96+SUMIFS(AC_SOTIEN,AC_TKNO,$A96,AC_PHAITHU,$B96,AC_NGAY,"&lt;"&amp;$F$4)-($E96+SUMIFS(AC_SOTIEN,AC_TKCO,$A96,AC_PHAITRA,$B96,AC_NGAY,"&lt;"&amp;$F$4)),"")</f>
        <v/>
      </c>
      <c r="G96" s="302" t="str">
        <f>IF($E96+SUMIFS(AC_SOTIEN,AC_TKCO,$A96,AC_PHAITRA,$B96, AC_NGAY,"&lt;"&amp;$F$4)-($D96+SUMIFS(AC_SOTIEN,AC_TKNO,$A96,AC_PHAITHU,$B96,AC_NGAY,"&lt;"&amp;$F$4))&gt;0,$E96+SUMIFS(AC_SOTIEN,AC_TKCO,$A96,AC_PHAITRA,$B96,AC_NGAY,"&lt;"&amp;$F$4)-($D96+SUMIFS(AC_SOTIEN,AC_TKNO,$A96,AC_PHAITHU,$B96,AC_NGAY,"&lt;"&amp;$F$4)),"")</f>
        <v/>
      </c>
      <c r="H96" s="303">
        <f>SUMIFS(AC_SOTIEN,AC_TKNO,$A96 ,AC_PHAITHU,$B96,AC_NGAY,"&gt;="&amp;$F$4,AC_NGAY,"&lt;="&amp;$H$4)</f>
        <v>0</v>
      </c>
      <c r="I96" s="303">
        <f>SUMIFS(AC_SOTIEN,AC_TKCO,$A96,AC_PHAITRA, $B96,AC_NGAY,"&gt;="&amp;$F$4,AC_NGAY,"&lt;="&amp;$H$4)</f>
        <v>0</v>
      </c>
      <c r="J96" s="303">
        <f t="shared" si="15"/>
        <v>0</v>
      </c>
      <c r="K96" s="309">
        <f t="shared" si="16"/>
        <v>0</v>
      </c>
      <c r="L96" s="292" t="str">
        <f t="shared" si="17"/>
        <v/>
      </c>
    </row>
    <row r="97">
      <c r="A97" s="311" t="s">
        <v>1810</v>
      </c>
      <c r="B97" s="311"/>
      <c r="C97" s="301"/>
      <c r="D97" s="308"/>
      <c r="E97" s="308"/>
      <c r="F97" s="302" t="str">
        <f>if($D97+SUMIFS(AC_SOTIEN,AC_TKNO,$A97,AC_PHAITHU,$B97,AC_NGAY,"&lt;"&amp;$F$4)-($E97+SUMIFS(AC_SOTIEN,AC_TKCO,$A97,AC_PHAITRA,$B97,AC_NGAY,"&lt;"&amp;$F$4))&gt;0,$D97+SUMIFS(AC_SOTIEN,AC_TKNO,$A97,AC_PHAITHU,$B97,AC_NGAY,"&lt;"&amp;$F$4)-($E97+SUMIFS(AC_SOTIEN,AC_TKCO,$A97,AC_PHAITRA,$B97,AC_NGAY,"&lt;"&amp;$F$4)),"")</f>
        <v/>
      </c>
      <c r="G97" s="302" t="str">
        <f>IF($E97+SUMIFS(AC_SOTIEN,AC_TKCO,$A97,AC_PHAITRA,$B97, AC_NGAY,"&lt;"&amp;$F$4)-($D97+SUMIFS(AC_SOTIEN,AC_TKNO,$A97,AC_PHAITHU,$B97,AC_NGAY,"&lt;"&amp;$F$4))&gt;0,$E97+SUMIFS(AC_SOTIEN,AC_TKCO,$A97,AC_PHAITRA,$B97,AC_NGAY,"&lt;"&amp;$F$4)-($D97+SUMIFS(AC_SOTIEN,AC_TKNO,$A97,AC_PHAITHU,$B97,AC_NGAY,"&lt;"&amp;$F$4)),"")</f>
        <v/>
      </c>
      <c r="H97" s="303">
        <f>SUMIFS(AC_SOTIEN,AC_TKNO,$A97 ,AC_PHAITHU,$B97,AC_NGAY,"&gt;="&amp;$F$4,AC_NGAY,"&lt;="&amp;$H$4)</f>
        <v>0</v>
      </c>
      <c r="I97" s="303">
        <f>SUMIFS(AC_SOTIEN,AC_TKCO,$A97,AC_PHAITRA, $B97,AC_NGAY,"&gt;="&amp;$F$4,AC_NGAY,"&lt;="&amp;$H$4)</f>
        <v>0</v>
      </c>
      <c r="J97" s="303">
        <f t="shared" si="15"/>
        <v>0</v>
      </c>
      <c r="K97" s="309">
        <f t="shared" si="16"/>
        <v>0</v>
      </c>
      <c r="L97" s="292" t="str">
        <f t="shared" si="17"/>
        <v/>
      </c>
    </row>
    <row r="98">
      <c r="A98" s="310" t="s">
        <v>1810</v>
      </c>
      <c r="B98" s="310"/>
      <c r="C98" s="307"/>
      <c r="D98" s="302"/>
      <c r="E98" s="302"/>
      <c r="F98" s="302" t="str">
        <f>if($D98+SUMIFS(AC_SOTIEN,AC_TKNO,$A98,AC_PHAITHU,$B98,AC_NGAY,"&lt;"&amp;$F$4)-($E98+SUMIFS(AC_SOTIEN,AC_TKCO,$A98,AC_PHAITRA,$B98,AC_NGAY,"&lt;"&amp;$F$4))&gt;0,$D98+SUMIFS(AC_SOTIEN,AC_TKNO,$A98,AC_PHAITHU,$B98,AC_NGAY,"&lt;"&amp;$F$4)-($E98+SUMIFS(AC_SOTIEN,AC_TKCO,$A98,AC_PHAITRA,$B98,AC_NGAY,"&lt;"&amp;$F$4)),"")</f>
        <v/>
      </c>
      <c r="G98" s="302" t="str">
        <f>IF($E98+SUMIFS(AC_SOTIEN,AC_TKCO,$A98,AC_PHAITRA,$B98, AC_NGAY,"&lt;"&amp;$F$4)-($D98+SUMIFS(AC_SOTIEN,AC_TKNO,$A98,AC_PHAITHU,$B98,AC_NGAY,"&lt;"&amp;$F$4))&gt;0,$E98+SUMIFS(AC_SOTIEN,AC_TKCO,$A98,AC_PHAITRA,$B98,AC_NGAY,"&lt;"&amp;$F$4)-($D98+SUMIFS(AC_SOTIEN,AC_TKNO,$A98,AC_PHAITHU,$B98,AC_NGAY,"&lt;"&amp;$F$4)),"")</f>
        <v/>
      </c>
      <c r="H98" s="303">
        <f>SUMIFS(AC_SOTIEN,AC_TKNO,$A98 ,AC_PHAITHU,$B98,AC_NGAY,"&gt;="&amp;$F$4,AC_NGAY,"&lt;="&amp;$H$4)</f>
        <v>0</v>
      </c>
      <c r="I98" s="303">
        <f>SUMIFS(AC_SOTIEN,AC_TKCO,$A98,AC_PHAITRA, $B98,AC_NGAY,"&gt;="&amp;$F$4,AC_NGAY,"&lt;="&amp;$H$4)</f>
        <v>0</v>
      </c>
      <c r="J98" s="303">
        <f t="shared" si="15"/>
        <v>0</v>
      </c>
      <c r="K98" s="303">
        <f t="shared" si="16"/>
        <v>0</v>
      </c>
      <c r="L98" s="306" t="str">
        <f t="shared" si="17"/>
        <v/>
      </c>
    </row>
    <row r="99">
      <c r="A99" s="311" t="s">
        <v>1810</v>
      </c>
      <c r="B99" s="311"/>
      <c r="C99" s="301"/>
      <c r="D99" s="308"/>
      <c r="E99" s="308"/>
      <c r="F99" s="302" t="str">
        <f>if($D99+SUMIFS(AC_SOTIEN,AC_TKNO,$A99,AC_PHAITHU,$B99,AC_NGAY,"&lt;"&amp;$F$4)-($E99+SUMIFS(AC_SOTIEN,AC_TKCO,$A99,AC_PHAITRA,$B99,AC_NGAY,"&lt;"&amp;$F$4))&gt;0,$D99+SUMIFS(AC_SOTIEN,AC_TKNO,$A99,AC_PHAITHU,$B99,AC_NGAY,"&lt;"&amp;$F$4)-($E99+SUMIFS(AC_SOTIEN,AC_TKCO,$A99,AC_PHAITRA,$B99,AC_NGAY,"&lt;"&amp;$F$4)),"")</f>
        <v/>
      </c>
      <c r="G99" s="302" t="str">
        <f>IF($E99+SUMIFS(AC_SOTIEN,AC_TKCO,$A99,AC_PHAITRA,$B99, AC_NGAY,"&lt;"&amp;$F$4)-($D99+SUMIFS(AC_SOTIEN,AC_TKNO,$A99,AC_PHAITHU,$B99,AC_NGAY,"&lt;"&amp;$F$4))&gt;0,$E99+SUMIFS(AC_SOTIEN,AC_TKCO,$A99,AC_PHAITRA,$B99,AC_NGAY,"&lt;"&amp;$F$4)-($D99+SUMIFS(AC_SOTIEN,AC_TKNO,$A99,AC_PHAITHU,$B99,AC_NGAY,"&lt;"&amp;$F$4)),"")</f>
        <v/>
      </c>
      <c r="H99" s="303">
        <f>SUMIFS(AC_SOTIEN,AC_TKNO,$A99 ,AC_PHAITHU,$B99,AC_NGAY,"&gt;="&amp;$F$4,AC_NGAY,"&lt;="&amp;$H$4)</f>
        <v>0</v>
      </c>
      <c r="I99" s="303">
        <f>SUMIFS(AC_SOTIEN,AC_TKCO,$A99,AC_PHAITRA, $B99,AC_NGAY,"&gt;="&amp;$F$4,AC_NGAY,"&lt;="&amp;$H$4)</f>
        <v>0</v>
      </c>
      <c r="J99" s="303">
        <f t="shared" si="15"/>
        <v>0</v>
      </c>
      <c r="K99" s="309">
        <f t="shared" si="16"/>
        <v>0</v>
      </c>
      <c r="L99" s="292" t="str">
        <f t="shared" si="17"/>
        <v/>
      </c>
    </row>
    <row r="100">
      <c r="A100" s="293"/>
      <c r="B100" s="294" t="s">
        <v>1451</v>
      </c>
      <c r="C100" s="295" t="s">
        <v>1814</v>
      </c>
      <c r="D100" s="296"/>
      <c r="E100" s="296"/>
      <c r="F100" s="297">
        <f t="shared" ref="F100:K100" si="18">SUMIF($A:$A,$B100,F:F)</f>
        <v>0</v>
      </c>
      <c r="G100" s="297">
        <f t="shared" si="18"/>
        <v>0</v>
      </c>
      <c r="H100" s="297">
        <f t="shared" si="18"/>
        <v>0</v>
      </c>
      <c r="I100" s="297">
        <f t="shared" si="18"/>
        <v>0</v>
      </c>
      <c r="J100" s="297">
        <f t="shared" si="18"/>
        <v>0</v>
      </c>
      <c r="K100" s="297">
        <f t="shared" si="18"/>
        <v>0</v>
      </c>
      <c r="L100" s="298" t="s">
        <v>1804</v>
      </c>
    </row>
    <row r="101">
      <c r="A101" s="310" t="s">
        <v>1451</v>
      </c>
      <c r="B101" s="310" t="s">
        <v>1273</v>
      </c>
      <c r="C101" s="307" t="s">
        <v>1452</v>
      </c>
      <c r="D101" s="302"/>
      <c r="E101" s="302"/>
      <c r="F101" s="302" t="str">
        <f>if($D101+SUMIFS(AC_SOTIEN,AC_TKNO,$A101,AC_PHAITHU,$B101,AC_NGAY,"&lt;"&amp;$F$4)-($E101+SUMIFS(AC_SOTIEN,AC_TKCO,$A101,AC_PHAITRA,$B101,AC_NGAY,"&lt;"&amp;$F$4))&gt;0,$D101+SUMIFS(AC_SOTIEN,AC_TKNO,$A101,AC_PHAITHU,$B101,AC_NGAY,"&lt;"&amp;$F$4)-($E101+SUMIFS(AC_SOTIEN,AC_TKCO,$A101,AC_PHAITRA,$B101,AC_NGAY,"&lt;"&amp;$F$4)),"")</f>
        <v/>
      </c>
      <c r="G101" s="302" t="str">
        <f>IF($E101+SUMIFS(AC_SOTIEN,AC_TKCO,$A101,AC_PHAITRA,$B101, AC_NGAY,"&lt;"&amp;$F$4)-($D101+SUMIFS(AC_SOTIEN,AC_TKNO,$A101,AC_PHAITHU,$B101,AC_NGAY,"&lt;"&amp;$F$4))&gt;0,$E101+SUMIFS(AC_SOTIEN,AC_TKCO,$A101,AC_PHAITRA,$B101,AC_NGAY,"&lt;"&amp;$F$4)-($D101+SUMIFS(AC_SOTIEN,AC_TKNO,$A101,AC_PHAITHU,$B101,AC_NGAY,"&lt;"&amp;$F$4)),"")</f>
        <v/>
      </c>
      <c r="H101" s="303">
        <f>SUMIFS(AC_SOTIEN,AC_TKNO,$A101 ,AC_PHAITHU,$B101,AC_NGAY,"&gt;="&amp;$F$4,AC_NGAY,"&lt;="&amp;$H$4)</f>
        <v>0</v>
      </c>
      <c r="I101" s="303">
        <f>SUMIFS(AC_SOTIEN,AC_TKCO,$A101,AC_PHAITRA, $B101,AC_NGAY,"&gt;="&amp;$F$4,AC_NGAY,"&lt;="&amp;$H$4)</f>
        <v>0</v>
      </c>
      <c r="J101" s="303">
        <f>IF(F101+H101-G101-I101&gt;=0,F101+H101-G101-I101,0)</f>
        <v>0</v>
      </c>
      <c r="K101" s="303">
        <f>IF(G101+I101-H101-F101&gt;=0,G101+I101-H101-F101,0)</f>
        <v>0</v>
      </c>
      <c r="L101" s="306" t="str">
        <f>IF(SUM(J101:K101)&gt;0,"X","")</f>
        <v/>
      </c>
    </row>
    <row r="102">
      <c r="A102" s="293"/>
      <c r="B102" s="294" t="s">
        <v>1453</v>
      </c>
      <c r="C102" s="295" t="s">
        <v>1815</v>
      </c>
      <c r="D102" s="296"/>
      <c r="E102" s="296"/>
      <c r="F102" s="297">
        <f t="shared" ref="F102:K102" si="19">SUMIF($A:$A,$B102,F:F)</f>
        <v>0</v>
      </c>
      <c r="G102" s="297">
        <f t="shared" si="19"/>
        <v>0</v>
      </c>
      <c r="H102" s="297">
        <f t="shared" si="19"/>
        <v>0</v>
      </c>
      <c r="I102" s="297">
        <f t="shared" si="19"/>
        <v>0</v>
      </c>
      <c r="J102" s="297">
        <f t="shared" si="19"/>
        <v>0</v>
      </c>
      <c r="K102" s="297">
        <f t="shared" si="19"/>
        <v>0</v>
      </c>
      <c r="L102" s="298" t="s">
        <v>1804</v>
      </c>
    </row>
    <row r="103">
      <c r="A103" s="311" t="s">
        <v>1453</v>
      </c>
      <c r="B103" s="311" t="s">
        <v>1816</v>
      </c>
      <c r="C103" s="301" t="s">
        <v>1454</v>
      </c>
      <c r="D103" s="308"/>
      <c r="E103" s="308"/>
      <c r="F103" s="302" t="str">
        <f>if($D103+SUMIFS(AC_SOTIEN,AC_TKNO,$A103,AC_PHAITHU,$B103,AC_NGAY,"&lt;"&amp;$F$4)-($E103+SUMIFS(AC_SOTIEN,AC_TKCO,$A103,AC_PHAITRA,$B103,AC_NGAY,"&lt;"&amp;$F$4))&gt;0,$D103+SUMIFS(AC_SOTIEN,AC_TKNO,$A103,AC_PHAITHU,$B103,AC_NGAY,"&lt;"&amp;$F$4)-($E103+SUMIFS(AC_SOTIEN,AC_TKCO,$A103,AC_PHAITRA,$B103,AC_NGAY,"&lt;"&amp;$F$4)),"")</f>
        <v/>
      </c>
      <c r="G103" s="302" t="str">
        <f>IF($E103+SUMIFS(AC_SOTIEN,AC_TKCO,$A103,AC_PHAITRA,$B103, AC_NGAY,"&lt;"&amp;$F$4)-($D103+SUMIFS(AC_SOTIEN,AC_TKNO,$A103,AC_PHAITHU,$B103,AC_NGAY,"&lt;"&amp;$F$4))&gt;0,$E103+SUMIFS(AC_SOTIEN,AC_TKCO,$A103,AC_PHAITRA,$B103,AC_NGAY,"&lt;"&amp;$F$4)-($D103+SUMIFS(AC_SOTIEN,AC_TKNO,$A103,AC_PHAITHU,$B103,AC_NGAY,"&lt;"&amp;$F$4)),"")</f>
        <v/>
      </c>
      <c r="H103" s="303">
        <f>SUMIFS(AC_SOTIEN,AC_TKNO,$A103 ,AC_PHAITHU,$B103,AC_NGAY,"&gt;="&amp;$F$4,AC_NGAY,"&lt;="&amp;$H$4)</f>
        <v>0</v>
      </c>
      <c r="I103" s="303">
        <f>SUMIFS(AC_SOTIEN,AC_TKCO,$A103,AC_PHAITRA, $B103,AC_NGAY,"&gt;="&amp;$F$4,AC_NGAY,"&lt;="&amp;$H$4)</f>
        <v>0</v>
      </c>
      <c r="J103" s="303">
        <f>IF(F103+H103-G103-I103&gt;=0,F103+H103-G103-I103,0)</f>
        <v>0</v>
      </c>
      <c r="K103" s="309">
        <f>IF(G103+I103-H103-F103&gt;=0,G103+I103-H103-F103,0)</f>
        <v>0</v>
      </c>
      <c r="L103" s="292" t="str">
        <f>IF(SUM(J103:K103)&gt;0,"X","")</f>
        <v/>
      </c>
    </row>
    <row r="104">
      <c r="A104" s="293"/>
      <c r="B104" s="294" t="s">
        <v>1457</v>
      </c>
      <c r="C104" s="295" t="s">
        <v>1817</v>
      </c>
      <c r="D104" s="296"/>
      <c r="E104" s="296"/>
      <c r="F104" s="297">
        <f t="shared" ref="F104:K104" si="20">SUMIF($A:$A,$B104,F:F)</f>
        <v>0</v>
      </c>
      <c r="G104" s="297">
        <f t="shared" si="20"/>
        <v>0</v>
      </c>
      <c r="H104" s="297">
        <f t="shared" si="20"/>
        <v>0</v>
      </c>
      <c r="I104" s="297">
        <f t="shared" si="20"/>
        <v>0</v>
      </c>
      <c r="J104" s="297">
        <f t="shared" si="20"/>
        <v>0</v>
      </c>
      <c r="K104" s="297">
        <f t="shared" si="20"/>
        <v>0</v>
      </c>
      <c r="L104" s="298" t="s">
        <v>1804</v>
      </c>
    </row>
    <row r="105">
      <c r="A105" s="310" t="s">
        <v>1457</v>
      </c>
      <c r="B105" s="310" t="s">
        <v>1818</v>
      </c>
      <c r="C105" s="307" t="s">
        <v>1456</v>
      </c>
      <c r="D105" s="302"/>
      <c r="E105" s="302"/>
      <c r="F105" s="302" t="str">
        <f>if($D105+SUMIFS(AC_SOTIEN,AC_TKNO,$A105,AC_PHAITHU,$B105,AC_NGAY,"&lt;"&amp;$F$4)-($E105+SUMIFS(AC_SOTIEN,AC_TKCO,$A105,AC_PHAITRA,$B105,AC_NGAY,"&lt;"&amp;$F$4))&gt;0,$D105+SUMIFS(AC_SOTIEN,AC_TKNO,$A105,AC_PHAITHU,$B105,AC_NGAY,"&lt;"&amp;$F$4)-($E105+SUMIFS(AC_SOTIEN,AC_TKCO,$A105,AC_PHAITRA,$B105,AC_NGAY,"&lt;"&amp;$F$4)),"")</f>
        <v/>
      </c>
      <c r="G105" s="302" t="str">
        <f>IF($E105+SUMIFS(AC_SOTIEN,AC_TKCO,$A105,AC_PHAITRA,$B105, AC_NGAY,"&lt;"&amp;$F$4)-($D105+SUMIFS(AC_SOTIEN,AC_TKNO,$A105,AC_PHAITHU,$B105,AC_NGAY,"&lt;"&amp;$F$4))&gt;0,$E105+SUMIFS(AC_SOTIEN,AC_TKCO,$A105,AC_PHAITRA,$B105,AC_NGAY,"&lt;"&amp;$F$4)-($D105+SUMIFS(AC_SOTIEN,AC_TKNO,$A105,AC_PHAITHU,$B105,AC_NGAY,"&lt;"&amp;$F$4)),"")</f>
        <v/>
      </c>
      <c r="H105" s="303">
        <f>SUMIFS(AC_SOTIEN,AC_TKNO,$A105 ,AC_PHAITHU,$B105,AC_NGAY,"&gt;="&amp;$F$4,AC_NGAY,"&lt;="&amp;$H$4)</f>
        <v>0</v>
      </c>
      <c r="I105" s="303">
        <f>SUMIFS(AC_SOTIEN,AC_TKCO,$A105,AC_PHAITRA, $B105,AC_NGAY,"&gt;="&amp;$F$4,AC_NGAY,"&lt;="&amp;$H$4)</f>
        <v>0</v>
      </c>
      <c r="J105" s="303">
        <f>IF(F105+H105-G105-I105&gt;=0,F105+H105-G105-I105,0)</f>
        <v>0</v>
      </c>
      <c r="K105" s="303">
        <f>IF(G105+I105-H105-F105&gt;=0,G105+I105-H105-F105,0)</f>
        <v>0</v>
      </c>
      <c r="L105" s="306" t="str">
        <f>IF(SUM(J105:K105)&gt;0,"X","")</f>
        <v/>
      </c>
    </row>
    <row r="106">
      <c r="A106" s="293"/>
      <c r="B106" s="315" t="s">
        <v>1455</v>
      </c>
      <c r="C106" s="316" t="s">
        <v>1819</v>
      </c>
      <c r="D106" s="296"/>
      <c r="E106" s="296"/>
      <c r="F106" s="297">
        <f t="shared" ref="F106:K106" si="21">SUMIF($A:$A,$B106,F:F)</f>
        <v>0</v>
      </c>
      <c r="G106" s="297">
        <f t="shared" si="21"/>
        <v>0</v>
      </c>
      <c r="H106" s="297">
        <f t="shared" si="21"/>
        <v>0</v>
      </c>
      <c r="I106" s="297">
        <f t="shared" si="21"/>
        <v>0</v>
      </c>
      <c r="J106" s="297">
        <f t="shared" si="21"/>
        <v>0</v>
      </c>
      <c r="K106" s="297">
        <f t="shared" si="21"/>
        <v>0</v>
      </c>
      <c r="L106" s="298" t="s">
        <v>1804</v>
      </c>
    </row>
    <row r="107">
      <c r="A107" s="317" t="s">
        <v>1455</v>
      </c>
      <c r="B107" s="310"/>
      <c r="C107" s="313" t="s">
        <v>1820</v>
      </c>
      <c r="D107" s="308"/>
      <c r="E107" s="312"/>
      <c r="F107" s="302" t="str">
        <f>if($D107+SUMIFS(AC_SOTIEN,AC_TKNO,$A107,AC_PHAITHU,$B107,AC_NGAY,"&lt;"&amp;$F$4)-($E107+SUMIFS(AC_SOTIEN,AC_TKCO,$A107,AC_PHAITRA,$B107,AC_NGAY,"&lt;"&amp;$F$4))&gt;0,$D107+SUMIFS(AC_SOTIEN,AC_TKNO,$A107,AC_PHAITHU,$B107,AC_NGAY,"&lt;"&amp;$F$4)-($E107+SUMIFS(AC_SOTIEN,AC_TKCO,$A107,AC_PHAITRA,$B107,AC_NGAY,"&lt;"&amp;$F$4)),"")</f>
        <v/>
      </c>
      <c r="G107" s="302" t="str">
        <f>IF($E107+SUMIFS(AC_SOTIEN,AC_TKCO,$A107,AC_PHAITRA,$B107, AC_NGAY,"&lt;"&amp;$F$4)-($D107+SUMIFS(AC_SOTIEN,AC_TKNO,$A107,AC_PHAITHU,$B107,AC_NGAY,"&lt;"&amp;$F$4))&gt;0,$E107+SUMIFS(AC_SOTIEN,AC_TKCO,$A107,AC_PHAITRA,$B107,AC_NGAY,"&lt;"&amp;$F$4)-($D107+SUMIFS(AC_SOTIEN,AC_TKNO,$A107,AC_PHAITHU,$B107,AC_NGAY,"&lt;"&amp;$F$4)),"")</f>
        <v/>
      </c>
      <c r="H107" s="303">
        <f>SUMIFS(AC_SOTIEN,AC_TKNO,$A107 ,AC_PHAITHU,$B107,AC_NGAY,"&gt;="&amp;$F$4,AC_NGAY,"&lt;="&amp;$H$4)</f>
        <v>0</v>
      </c>
      <c r="I107" s="303">
        <f>SUMIFS(AC_SOTIEN,AC_TKCO,$A107,AC_PHAITRA, $B107,AC_NGAY,"&gt;="&amp;$F$4,AC_NGAY,"&lt;="&amp;$H$4)</f>
        <v>0</v>
      </c>
      <c r="J107" s="303">
        <f t="shared" ref="J107:J110" si="22">IF(F107+H107-G107-I107&gt;=0,F107+H107-G107-I107,0)</f>
        <v>0</v>
      </c>
      <c r="K107" s="309">
        <f t="shared" ref="K107:K110" si="23">IF(G107+I107-H107-F107&gt;=0,G107+I107-H107-F107,0)</f>
        <v>0</v>
      </c>
      <c r="L107" s="292" t="str">
        <f t="shared" ref="L107:L110" si="24">IF(SUM(J107:K107)&gt;0,"X","")</f>
        <v/>
      </c>
    </row>
    <row r="108">
      <c r="A108" s="317" t="s">
        <v>1455</v>
      </c>
      <c r="B108" s="311"/>
      <c r="C108" s="318" t="s">
        <v>1821</v>
      </c>
      <c r="D108" s="302"/>
      <c r="E108" s="305"/>
      <c r="F108" s="302" t="str">
        <f>if($D108+SUMIFS(AC_SOTIEN,AC_TKNO,$A108,AC_PHAITHU,$B108,AC_NGAY,"&lt;"&amp;$F$4)-($E108+SUMIFS(AC_SOTIEN,AC_TKCO,$A108,AC_PHAITRA,$B108,AC_NGAY,"&lt;"&amp;$F$4))&gt;0,$D108+SUMIFS(AC_SOTIEN,AC_TKNO,$A108,AC_PHAITHU,$B108,AC_NGAY,"&lt;"&amp;$F$4)-($E108+SUMIFS(AC_SOTIEN,AC_TKCO,$A108,AC_PHAITRA,$B108,AC_NGAY,"&lt;"&amp;$F$4)),"")</f>
        <v/>
      </c>
      <c r="G108" s="302" t="str">
        <f>IF($E108+SUMIFS(AC_SOTIEN,AC_TKCO,$A108,AC_PHAITRA,$B108, AC_NGAY,"&lt;"&amp;$F$4)-($D108+SUMIFS(AC_SOTIEN,AC_TKNO,$A108,AC_PHAITHU,$B108,AC_NGAY,"&lt;"&amp;$F$4))&gt;0,$E108+SUMIFS(AC_SOTIEN,AC_TKCO,$A108,AC_PHAITRA,$B108,AC_NGAY,"&lt;"&amp;$F$4)-($D108+SUMIFS(AC_SOTIEN,AC_TKNO,$A108,AC_PHAITHU,$B108,AC_NGAY,"&lt;"&amp;$F$4)),"")</f>
        <v/>
      </c>
      <c r="H108" s="303">
        <f>SUMIFS(AC_SOTIEN,AC_TKNO,$A108 ,AC_PHAITHU,$B108,AC_NGAY,"&gt;="&amp;$F$4,AC_NGAY,"&lt;="&amp;$H$4)</f>
        <v>0</v>
      </c>
      <c r="I108" s="303">
        <f>SUMIFS(AC_SOTIEN,AC_TKCO,$A108,AC_PHAITRA, $B108,AC_NGAY,"&gt;="&amp;$F$4,AC_NGAY,"&lt;="&amp;$H$4)</f>
        <v>0</v>
      </c>
      <c r="J108" s="303">
        <f t="shared" si="22"/>
        <v>0</v>
      </c>
      <c r="K108" s="303">
        <f t="shared" si="23"/>
        <v>0</v>
      </c>
      <c r="L108" s="306" t="str">
        <f t="shared" si="24"/>
        <v/>
      </c>
    </row>
    <row r="109">
      <c r="A109" s="317" t="s">
        <v>1455</v>
      </c>
      <c r="B109" s="310"/>
      <c r="C109" s="319" t="s">
        <v>1822</v>
      </c>
      <c r="D109" s="308"/>
      <c r="E109" s="308"/>
      <c r="F109" s="302" t="str">
        <f>if($D109+SUMIFS(AC_SOTIEN,AC_TKNO,$A109,AC_PHAITHU,$B109,AC_NGAY,"&lt;"&amp;$F$4)-($E109+SUMIFS(AC_SOTIEN,AC_TKCO,$A109,AC_PHAITRA,$B109,AC_NGAY,"&lt;"&amp;$F$4))&gt;0,$D109+SUMIFS(AC_SOTIEN,AC_TKNO,$A109,AC_PHAITHU,$B109,AC_NGAY,"&lt;"&amp;$F$4)-($E109+SUMIFS(AC_SOTIEN,AC_TKCO,$A109,AC_PHAITRA,$B109,AC_NGAY,"&lt;"&amp;$F$4)),"")</f>
        <v/>
      </c>
      <c r="G109" s="302" t="str">
        <f>IF($E109+SUMIFS(AC_SOTIEN,AC_TKCO,$A109,AC_PHAITRA,$B109, AC_NGAY,"&lt;"&amp;$F$4)-($D109+SUMIFS(AC_SOTIEN,AC_TKNO,$A109,AC_PHAITHU,$B109,AC_NGAY,"&lt;"&amp;$F$4))&gt;0,$E109+SUMIFS(AC_SOTIEN,AC_TKCO,$A109,AC_PHAITRA,$B109,AC_NGAY,"&lt;"&amp;$F$4)-($D109+SUMIFS(AC_SOTIEN,AC_TKNO,$A109,AC_PHAITHU,$B109,AC_NGAY,"&lt;"&amp;$F$4)),"")</f>
        <v/>
      </c>
      <c r="H109" s="303">
        <f>SUMIFS(AC_SOTIEN,AC_TKNO,$A109 ,AC_PHAITHU,$B109,AC_NGAY,"&gt;="&amp;$F$4,AC_NGAY,"&lt;="&amp;$H$4)</f>
        <v>0</v>
      </c>
      <c r="I109" s="303">
        <f>SUMIFS(AC_SOTIEN,AC_TKCO,$A109,AC_PHAITRA, $B109,AC_NGAY,"&gt;="&amp;$F$4,AC_NGAY,"&lt;="&amp;$H$4)</f>
        <v>0</v>
      </c>
      <c r="J109" s="303">
        <f t="shared" si="22"/>
        <v>0</v>
      </c>
      <c r="K109" s="309">
        <f t="shared" si="23"/>
        <v>0</v>
      </c>
      <c r="L109" s="292" t="str">
        <f t="shared" si="24"/>
        <v/>
      </c>
    </row>
    <row r="110">
      <c r="A110" s="317" t="s">
        <v>1455</v>
      </c>
      <c r="B110" s="311"/>
      <c r="C110" s="318" t="s">
        <v>441</v>
      </c>
      <c r="D110" s="302"/>
      <c r="E110" s="302"/>
      <c r="F110" s="302" t="str">
        <f>if($D110+SUMIFS(AC_SOTIEN,AC_TKNO,$A110,AC_PHAITHU,$B110,AC_NGAY,"&lt;"&amp;$F$4)-($E110+SUMIFS(AC_SOTIEN,AC_TKCO,$A110,AC_PHAITRA,$B110,AC_NGAY,"&lt;"&amp;$F$4))&gt;0,$D110+SUMIFS(AC_SOTIEN,AC_TKNO,$A110,AC_PHAITHU,$B110,AC_NGAY,"&lt;"&amp;$F$4)-($E110+SUMIFS(AC_SOTIEN,AC_TKCO,$A110,AC_PHAITRA,$B110,AC_NGAY,"&lt;"&amp;$F$4)),"")</f>
        <v/>
      </c>
      <c r="G110" s="302" t="str">
        <f>IF($E110+SUMIFS(AC_SOTIEN,AC_TKCO,$A110,AC_PHAITRA,$B110, AC_NGAY,"&lt;"&amp;$F$4)-($D110+SUMIFS(AC_SOTIEN,AC_TKNO,$A110,AC_PHAITHU,$B110,AC_NGAY,"&lt;"&amp;$F$4))&gt;0,$E110+SUMIFS(AC_SOTIEN,AC_TKCO,$A110,AC_PHAITRA,$B110,AC_NGAY,"&lt;"&amp;$F$4)-($D110+SUMIFS(AC_SOTIEN,AC_TKNO,$A110,AC_PHAITHU,$B110,AC_NGAY,"&lt;"&amp;$F$4)),"")</f>
        <v/>
      </c>
      <c r="H110" s="303">
        <f>SUMIFS(AC_SOTIEN,AC_TKNO,$A110 ,AC_PHAITHU,$B110,AC_NGAY,"&gt;="&amp;$F$4,AC_NGAY,"&lt;="&amp;$H$4)</f>
        <v>0</v>
      </c>
      <c r="I110" s="303">
        <f>SUMIFS(AC_SOTIEN,AC_TKCO,$A110,AC_PHAITRA, $B110,AC_NGAY,"&gt;="&amp;$F$4,AC_NGAY,"&lt;="&amp;$H$4)</f>
        <v>0</v>
      </c>
      <c r="J110" s="303">
        <f t="shared" si="22"/>
        <v>0</v>
      </c>
      <c r="K110" s="303">
        <f t="shared" si="23"/>
        <v>0</v>
      </c>
      <c r="L110" s="306" t="str">
        <f t="shared" si="24"/>
        <v/>
      </c>
    </row>
    <row r="111">
      <c r="A111" s="293"/>
      <c r="B111" s="294" t="s">
        <v>1461</v>
      </c>
      <c r="C111" s="295" t="s">
        <v>1823</v>
      </c>
      <c r="D111" s="296"/>
      <c r="E111" s="296"/>
      <c r="F111" s="297">
        <f t="shared" ref="F111:K111" si="25">SUMIF($A:$A,$B111,F:F)</f>
        <v>0</v>
      </c>
      <c r="G111" s="297">
        <f t="shared" si="25"/>
        <v>0</v>
      </c>
      <c r="H111" s="297">
        <f t="shared" si="25"/>
        <v>0</v>
      </c>
      <c r="I111" s="297">
        <f t="shared" si="25"/>
        <v>0</v>
      </c>
      <c r="J111" s="297">
        <f t="shared" si="25"/>
        <v>0</v>
      </c>
      <c r="K111" s="297">
        <f t="shared" si="25"/>
        <v>0</v>
      </c>
      <c r="L111" s="298" t="s">
        <v>1804</v>
      </c>
    </row>
    <row r="112">
      <c r="A112" s="311" t="s">
        <v>1461</v>
      </c>
      <c r="B112" s="311"/>
      <c r="C112" s="301"/>
      <c r="D112" s="308"/>
      <c r="E112" s="308"/>
      <c r="F112" s="302" t="str">
        <f>if($D112+SUMIFS(AC_SOTIEN,AC_TKNO,$A112,AC_PHAITHU,$B112,AC_NGAY,"&lt;"&amp;$F$4)-($E112+SUMIFS(AC_SOTIEN,AC_TKCO,$A112,AC_PHAITRA,$B112,AC_NGAY,"&lt;"&amp;$F$4))&gt;0,$D112+SUMIFS(AC_SOTIEN,AC_TKNO,$A112,AC_PHAITHU,$B112,AC_NGAY,"&lt;"&amp;$F$4)-($E112+SUMIFS(AC_SOTIEN,AC_TKCO,$A112,AC_PHAITRA,$B112,AC_NGAY,"&lt;"&amp;$F$4)),"")</f>
        <v/>
      </c>
      <c r="G112" s="302" t="str">
        <f>IF($E112+SUMIFS(AC_SOTIEN,AC_TKCO,$A112,AC_PHAITRA,$B112, AC_NGAY,"&lt;"&amp;$F$4)-($D112+SUMIFS(AC_SOTIEN,AC_TKNO,$A112,AC_PHAITHU,$B112,AC_NGAY,"&lt;"&amp;$F$4))&gt;0,$E112+SUMIFS(AC_SOTIEN,AC_TKCO,$A112,AC_PHAITRA,$B112,AC_NGAY,"&lt;"&amp;$F$4)-($D112+SUMIFS(AC_SOTIEN,AC_TKNO,$A112,AC_PHAITHU,$B112,AC_NGAY,"&lt;"&amp;$F$4)),"")</f>
        <v/>
      </c>
      <c r="H112" s="303">
        <f>SUMIFS(AC_SOTIEN,AC_TKNO,$A112 ,AC_PHAITHU,$B112,AC_NGAY,"&gt;="&amp;$F$4,AC_NGAY,"&lt;="&amp;$H$4)</f>
        <v>0</v>
      </c>
      <c r="I112" s="303">
        <f>SUMIFS(AC_SOTIEN,AC_TKCO,$A112,AC_PHAITRA, $B112,AC_NGAY,"&gt;="&amp;$F$4,AC_NGAY,"&lt;="&amp;$H$4)</f>
        <v>0</v>
      </c>
      <c r="J112" s="303">
        <f t="shared" ref="J112:J113" si="26">IF(F112+H112-G112-I112&gt;=0,F112+H112-G112-I112,0)</f>
        <v>0</v>
      </c>
      <c r="K112" s="309">
        <f t="shared" ref="K112:K113" si="27">IF(G112+I112-H112-F112&gt;=0,G112+I112-H112-F112,0)</f>
        <v>0</v>
      </c>
      <c r="L112" s="292" t="str">
        <f t="shared" ref="L112:L113" si="28">IF(SUM(J112:K112)&gt;0,"X","")</f>
        <v/>
      </c>
    </row>
    <row r="113">
      <c r="A113" s="311" t="s">
        <v>1461</v>
      </c>
      <c r="B113" s="311"/>
      <c r="C113" s="301"/>
      <c r="D113" s="308"/>
      <c r="E113" s="312"/>
      <c r="F113" s="302" t="str">
        <f>if($D113+SUMIFS(AC_SOTIEN,AC_TKNO,$A113,AC_PHAITHU,$B113,AC_NGAY,"&lt;"&amp;$F$4)-($E113+SUMIFS(AC_SOTIEN,AC_TKCO,$A113,AC_PHAITRA,$B113,AC_NGAY,"&lt;"&amp;$F$4))&gt;0,$D113+SUMIFS(AC_SOTIEN,AC_TKNO,$A113,AC_PHAITHU,$B113,AC_NGAY,"&lt;"&amp;$F$4)-($E113+SUMIFS(AC_SOTIEN,AC_TKCO,$A113,AC_PHAITRA,$B113,AC_NGAY,"&lt;"&amp;$F$4)),"")</f>
        <v/>
      </c>
      <c r="G113" s="302" t="str">
        <f>IF($E113+SUMIFS(AC_SOTIEN,AC_TKCO,$A113,AC_PHAITRA,$B113, AC_NGAY,"&lt;"&amp;$F$4)-($D113+SUMIFS(AC_SOTIEN,AC_TKNO,$A113,AC_PHAITHU,$B113,AC_NGAY,"&lt;"&amp;$F$4))&gt;0,$E113+SUMIFS(AC_SOTIEN,AC_TKCO,$A113,AC_PHAITRA,$B113,AC_NGAY,"&lt;"&amp;$F$4)-($D113+SUMIFS(AC_SOTIEN,AC_TKNO,$A113,AC_PHAITHU,$B113,AC_NGAY,"&lt;"&amp;$F$4)),"")</f>
        <v/>
      </c>
      <c r="H113" s="303">
        <f>SUMIFS(AC_SOTIEN,AC_TKNO,$A113 ,AC_PHAITHU,$B113,AC_NGAY,"&gt;="&amp;$F$4,AC_NGAY,"&lt;="&amp;$H$4)</f>
        <v>0</v>
      </c>
      <c r="I113" s="303">
        <f>SUMIFS(AC_SOTIEN,AC_TKCO,$A113,AC_PHAITRA, $B113,AC_NGAY,"&gt;="&amp;$F$4,AC_NGAY,"&lt;="&amp;$H$4)</f>
        <v>0</v>
      </c>
      <c r="J113" s="303">
        <f t="shared" si="26"/>
        <v>0</v>
      </c>
      <c r="K113" s="309">
        <f t="shared" si="27"/>
        <v>0</v>
      </c>
      <c r="L113" s="292" t="str">
        <f t="shared" si="28"/>
        <v/>
      </c>
    </row>
    <row r="114">
      <c r="A114" s="320"/>
      <c r="B114" s="320"/>
      <c r="C114" s="321"/>
      <c r="D114" s="321"/>
      <c r="E114" s="321"/>
      <c r="F114" s="321"/>
      <c r="G114" s="321"/>
      <c r="H114" s="321"/>
      <c r="I114" s="321"/>
      <c r="J114" s="321"/>
      <c r="K114" s="321"/>
      <c r="L114" s="321"/>
    </row>
    <row r="115">
      <c r="A115" s="322" t="s">
        <v>1610</v>
      </c>
      <c r="B115" s="323"/>
      <c r="C115" s="324" t="s">
        <v>1824</v>
      </c>
      <c r="D115" s="264"/>
      <c r="E115" s="264"/>
      <c r="F115" s="264"/>
      <c r="G115" s="325" t="s">
        <v>19</v>
      </c>
      <c r="H115" s="264"/>
      <c r="I115" s="264"/>
      <c r="J115" s="326" t="s">
        <v>14</v>
      </c>
      <c r="K115" s="264"/>
      <c r="L115" s="264"/>
    </row>
    <row r="116">
      <c r="A116" s="322" t="s">
        <v>1610</v>
      </c>
      <c r="B116" s="323"/>
      <c r="C116" s="327" t="s">
        <v>1825</v>
      </c>
      <c r="D116" s="264"/>
      <c r="E116" s="264"/>
      <c r="F116" s="264"/>
      <c r="G116" s="264" t="s">
        <v>1825</v>
      </c>
      <c r="H116" s="264"/>
      <c r="I116" s="264"/>
      <c r="J116" s="328" t="s">
        <v>1826</v>
      </c>
      <c r="K116" s="264"/>
      <c r="L116" s="264"/>
    </row>
  </sheetData>
  <mergeCells count="6">
    <mergeCell ref="D4:E4"/>
    <mergeCell ref="H4:I4"/>
    <mergeCell ref="D5:E5"/>
    <mergeCell ref="F5:G5"/>
    <mergeCell ref="H5:I5"/>
    <mergeCell ref="J5:K5"/>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2">
      <c r="C12" s="98" t="b">
        <v>0</v>
      </c>
      <c r="D12" s="98" t="s">
        <v>1827</v>
      </c>
    </row>
    <row r="13">
      <c r="C13" s="98" t="b">
        <v>1</v>
      </c>
      <c r="D13" s="98" t="s">
        <v>1828</v>
      </c>
    </row>
    <row r="14">
      <c r="C14" s="98" t="b">
        <v>1</v>
      </c>
      <c r="D14" s="98" t="s">
        <v>1829</v>
      </c>
    </row>
    <row r="15">
      <c r="C15" s="329" t="b">
        <v>0</v>
      </c>
    </row>
    <row r="16">
      <c r="C16" s="329" t="b">
        <v>0</v>
      </c>
    </row>
    <row r="17">
      <c r="C17" s="329" t="b">
        <v>0</v>
      </c>
    </row>
    <row r="18">
      <c r="C18" s="329" t="b">
        <v>0</v>
      </c>
    </row>
    <row r="19">
      <c r="C19" s="329" t="b">
        <v>0</v>
      </c>
    </row>
    <row r="20">
      <c r="C20" s="329" t="b">
        <v>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0" max="10" width="6.0"/>
  </cols>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71"/>
    <col customWidth="1" min="2" max="2" width="39.29"/>
    <col customWidth="1" min="3" max="3" width="9.71"/>
    <col customWidth="1" min="9" max="9" width="51.0"/>
  </cols>
  <sheetData>
    <row r="1">
      <c r="A1" s="330"/>
      <c r="I1" s="331"/>
    </row>
    <row r="2">
      <c r="A2" s="332" t="s">
        <v>1830</v>
      </c>
      <c r="B2" s="333"/>
      <c r="C2" s="334"/>
      <c r="D2" s="335"/>
      <c r="E2" s="336" t="s">
        <v>1831</v>
      </c>
      <c r="F2" s="234"/>
      <c r="G2" s="234"/>
      <c r="H2" s="235"/>
      <c r="I2" s="337"/>
    </row>
    <row r="3">
      <c r="A3" s="338" t="s">
        <v>1832</v>
      </c>
      <c r="B3" s="339"/>
      <c r="C3" s="340"/>
      <c r="D3" s="340"/>
      <c r="H3" s="341"/>
      <c r="I3" s="337"/>
    </row>
    <row r="4">
      <c r="A4" s="338" t="s">
        <v>1833</v>
      </c>
      <c r="B4" s="342"/>
      <c r="C4" s="334"/>
      <c r="D4" s="335"/>
      <c r="E4" s="343"/>
      <c r="F4" s="343"/>
      <c r="G4" s="343"/>
      <c r="H4" s="214"/>
      <c r="I4" s="337"/>
    </row>
    <row r="5">
      <c r="A5" s="344" t="s">
        <v>1834</v>
      </c>
      <c r="B5" s="345"/>
      <c r="C5" s="346"/>
      <c r="D5" s="347" t="s">
        <v>1835</v>
      </c>
      <c r="E5" s="348"/>
      <c r="F5" s="343"/>
      <c r="G5" s="214"/>
      <c r="H5" s="347" t="s">
        <v>1836</v>
      </c>
      <c r="I5" s="349"/>
    </row>
    <row r="6">
      <c r="A6" s="350" t="s">
        <v>1526</v>
      </c>
      <c r="B6" s="351" t="s">
        <v>1837</v>
      </c>
      <c r="C6" s="352" t="s">
        <v>1838</v>
      </c>
      <c r="D6" s="353" t="s">
        <v>1839</v>
      </c>
      <c r="E6" s="343"/>
      <c r="F6" s="343"/>
      <c r="G6" s="214"/>
      <c r="H6" s="354" t="s">
        <v>1840</v>
      </c>
      <c r="I6" s="355" t="s">
        <v>1841</v>
      </c>
    </row>
    <row r="7">
      <c r="A7" s="356"/>
      <c r="B7" s="214"/>
      <c r="C7" s="214"/>
      <c r="D7" s="357" t="s">
        <v>1842</v>
      </c>
      <c r="E7" s="357" t="s">
        <v>1843</v>
      </c>
      <c r="F7" s="357" t="s">
        <v>1844</v>
      </c>
      <c r="G7" s="358" t="s">
        <v>1845</v>
      </c>
      <c r="H7" s="214"/>
      <c r="I7" s="359"/>
    </row>
    <row r="8">
      <c r="A8" s="360">
        <v>1.0</v>
      </c>
      <c r="B8" s="361" t="s">
        <v>1846</v>
      </c>
      <c r="C8" s="362" t="s">
        <v>1847</v>
      </c>
      <c r="D8" s="363"/>
      <c r="E8" s="363"/>
      <c r="F8" s="363"/>
      <c r="G8" s="363"/>
      <c r="H8" s="364">
        <f t="shared" ref="H8:H19" si="1">SUM(D8:G8)</f>
        <v>0</v>
      </c>
      <c r="I8" s="365" t="s">
        <v>1848</v>
      </c>
    </row>
    <row r="9">
      <c r="A9" s="366">
        <v>2.0</v>
      </c>
      <c r="B9" s="367" t="s">
        <v>1849</v>
      </c>
      <c r="C9" s="368" t="s">
        <v>1850</v>
      </c>
      <c r="D9" s="369"/>
      <c r="E9" s="369"/>
      <c r="F9" s="369"/>
      <c r="G9" s="369"/>
      <c r="H9" s="364">
        <f t="shared" si="1"/>
        <v>0</v>
      </c>
      <c r="I9" s="365" t="s">
        <v>1851</v>
      </c>
    </row>
    <row r="10">
      <c r="A10" s="366">
        <v>3.0</v>
      </c>
      <c r="B10" s="367" t="s">
        <v>1852</v>
      </c>
      <c r="C10" s="368" t="s">
        <v>1853</v>
      </c>
      <c r="D10" s="369"/>
      <c r="E10" s="369"/>
      <c r="F10" s="369"/>
      <c r="G10" s="369"/>
      <c r="H10" s="364">
        <f t="shared" si="1"/>
        <v>0</v>
      </c>
      <c r="I10" s="365" t="s">
        <v>1854</v>
      </c>
    </row>
    <row r="11">
      <c r="A11" s="360">
        <v>4.0</v>
      </c>
      <c r="B11" s="361" t="s">
        <v>1855</v>
      </c>
      <c r="C11" s="362" t="s">
        <v>1856</v>
      </c>
      <c r="D11" s="363"/>
      <c r="E11" s="363"/>
      <c r="F11" s="363"/>
      <c r="G11" s="363"/>
      <c r="H11" s="364">
        <f t="shared" si="1"/>
        <v>0</v>
      </c>
      <c r="I11" s="365" t="s">
        <v>1857</v>
      </c>
    </row>
    <row r="12">
      <c r="A12" s="366">
        <v>5.0</v>
      </c>
      <c r="B12" s="367" t="s">
        <v>1515</v>
      </c>
      <c r="C12" s="368" t="s">
        <v>1858</v>
      </c>
      <c r="D12" s="369"/>
      <c r="E12" s="369"/>
      <c r="F12" s="369"/>
      <c r="G12" s="369"/>
      <c r="H12" s="364">
        <f t="shared" si="1"/>
        <v>0</v>
      </c>
      <c r="I12" s="365" t="s">
        <v>1859</v>
      </c>
    </row>
    <row r="13">
      <c r="A13" s="366">
        <v>6.0</v>
      </c>
      <c r="B13" s="367" t="s">
        <v>1514</v>
      </c>
      <c r="C13" s="368" t="s">
        <v>1860</v>
      </c>
      <c r="D13" s="369"/>
      <c r="E13" s="369"/>
      <c r="F13" s="369"/>
      <c r="G13" s="369"/>
      <c r="H13" s="364">
        <f t="shared" si="1"/>
        <v>0</v>
      </c>
      <c r="I13" s="365" t="s">
        <v>1861</v>
      </c>
    </row>
    <row r="14">
      <c r="A14" s="366">
        <v>7.0</v>
      </c>
      <c r="B14" s="367" t="s">
        <v>1519</v>
      </c>
      <c r="C14" s="368" t="s">
        <v>1862</v>
      </c>
      <c r="D14" s="369"/>
      <c r="E14" s="369"/>
      <c r="F14" s="369"/>
      <c r="G14" s="369"/>
      <c r="H14" s="364">
        <f t="shared" si="1"/>
        <v>0</v>
      </c>
      <c r="I14" s="365" t="s">
        <v>1863</v>
      </c>
    </row>
    <row r="15">
      <c r="A15" s="366" t="s">
        <v>1864</v>
      </c>
      <c r="B15" s="370" t="s">
        <v>1865</v>
      </c>
      <c r="C15" s="371"/>
      <c r="D15" s="372">
        <f t="shared" ref="D15:G15" si="2">SUM(D11:D14)</f>
        <v>0</v>
      </c>
      <c r="E15" s="372">
        <f t="shared" si="2"/>
        <v>0</v>
      </c>
      <c r="F15" s="372">
        <f t="shared" si="2"/>
        <v>0</v>
      </c>
      <c r="G15" s="372">
        <f t="shared" si="2"/>
        <v>0</v>
      </c>
      <c r="H15" s="364">
        <f t="shared" si="1"/>
        <v>0</v>
      </c>
      <c r="I15" s="365" t="s">
        <v>1866</v>
      </c>
    </row>
    <row r="16">
      <c r="A16" s="373" t="s">
        <v>1767</v>
      </c>
      <c r="B16" s="374" t="s">
        <v>1867</v>
      </c>
      <c r="C16" s="375"/>
      <c r="D16" s="376">
        <f t="shared" ref="D16:G16" si="3">D8+D9+D10-D15</f>
        <v>0</v>
      </c>
      <c r="E16" s="376">
        <f t="shared" si="3"/>
        <v>0</v>
      </c>
      <c r="F16" s="376">
        <f t="shared" si="3"/>
        <v>0</v>
      </c>
      <c r="G16" s="376">
        <f t="shared" si="3"/>
        <v>0</v>
      </c>
      <c r="H16" s="377">
        <f t="shared" si="1"/>
        <v>0</v>
      </c>
      <c r="I16" s="365" t="s">
        <v>1868</v>
      </c>
    </row>
    <row r="17">
      <c r="A17" s="378" t="s">
        <v>1869</v>
      </c>
      <c r="B17" s="379"/>
      <c r="C17" s="371"/>
      <c r="D17" s="363">
        <f t="shared" ref="D17:G17" si="4">SUM(D18:D22)</f>
        <v>0</v>
      </c>
      <c r="E17" s="363">
        <f t="shared" si="4"/>
        <v>0</v>
      </c>
      <c r="F17" s="363">
        <f t="shared" si="4"/>
        <v>0</v>
      </c>
      <c r="G17" s="363">
        <f t="shared" si="4"/>
        <v>0</v>
      </c>
      <c r="H17" s="380">
        <f t="shared" si="1"/>
        <v>0</v>
      </c>
      <c r="I17" s="365" t="s">
        <v>1870</v>
      </c>
    </row>
    <row r="18">
      <c r="A18" s="366">
        <v>1.0</v>
      </c>
      <c r="B18" s="367" t="s">
        <v>1871</v>
      </c>
      <c r="C18" s="371"/>
      <c r="D18" s="369"/>
      <c r="E18" s="369"/>
      <c r="F18" s="369"/>
      <c r="G18" s="369"/>
      <c r="H18" s="380">
        <f t="shared" si="1"/>
        <v>0</v>
      </c>
      <c r="I18" s="381" t="s">
        <v>1872</v>
      </c>
    </row>
    <row r="19">
      <c r="A19" s="366">
        <v>2.0</v>
      </c>
      <c r="B19" s="367" t="s">
        <v>1873</v>
      </c>
      <c r="C19" s="382" t="s">
        <v>1874</v>
      </c>
      <c r="D19" s="369"/>
      <c r="E19" s="369"/>
      <c r="F19" s="369"/>
      <c r="G19" s="369"/>
      <c r="H19" s="380">
        <f t="shared" si="1"/>
        <v>0</v>
      </c>
      <c r="I19" s="381" t="s">
        <v>1872</v>
      </c>
    </row>
    <row r="20">
      <c r="A20" s="366"/>
      <c r="B20" s="367" t="s">
        <v>1873</v>
      </c>
      <c r="C20" s="382" t="s">
        <v>1875</v>
      </c>
      <c r="D20" s="369"/>
      <c r="E20" s="369"/>
      <c r="F20" s="369"/>
      <c r="G20" s="369"/>
      <c r="H20" s="380"/>
      <c r="I20" s="381"/>
    </row>
    <row r="21">
      <c r="A21" s="366">
        <v>3.0</v>
      </c>
      <c r="B21" s="367" t="s">
        <v>1876</v>
      </c>
      <c r="C21" s="371"/>
      <c r="D21" s="369"/>
      <c r="E21" s="369"/>
      <c r="F21" s="369"/>
      <c r="G21" s="369"/>
      <c r="H21" s="380">
        <f t="shared" ref="H21:H25" si="5">SUM(D21:G21)</f>
        <v>0</v>
      </c>
      <c r="I21" s="381" t="s">
        <v>1872</v>
      </c>
    </row>
    <row r="22">
      <c r="A22" s="366">
        <v>4.0</v>
      </c>
      <c r="B22" s="367" t="s">
        <v>1877</v>
      </c>
      <c r="C22" s="371"/>
      <c r="D22" s="369"/>
      <c r="E22" s="369"/>
      <c r="F22" s="369"/>
      <c r="G22" s="369"/>
      <c r="H22" s="380">
        <f t="shared" si="5"/>
        <v>0</v>
      </c>
      <c r="I22" s="381" t="s">
        <v>1872</v>
      </c>
    </row>
    <row r="23">
      <c r="A23" s="373" t="s">
        <v>1768</v>
      </c>
      <c r="B23" s="374" t="s">
        <v>1878</v>
      </c>
      <c r="C23" s="375"/>
      <c r="D23" s="383">
        <f t="shared" ref="D23:G23" si="6">D16+D17</f>
        <v>0</v>
      </c>
      <c r="E23" s="383">
        <f t="shared" si="6"/>
        <v>0</v>
      </c>
      <c r="F23" s="383">
        <f t="shared" si="6"/>
        <v>0</v>
      </c>
      <c r="G23" s="383">
        <f t="shared" si="6"/>
        <v>0</v>
      </c>
      <c r="H23" s="377">
        <f t="shared" si="5"/>
        <v>0</v>
      </c>
      <c r="I23" s="384" t="s">
        <v>1879</v>
      </c>
    </row>
    <row r="24">
      <c r="A24" s="385">
        <v>16.0</v>
      </c>
      <c r="B24" s="386" t="s">
        <v>1880</v>
      </c>
      <c r="C24" s="387"/>
      <c r="D24" s="388">
        <f t="shared" ref="D24:G24" si="7">D23*20%</f>
        <v>0</v>
      </c>
      <c r="E24" s="388">
        <f t="shared" si="7"/>
        <v>0</v>
      </c>
      <c r="F24" s="388">
        <f t="shared" si="7"/>
        <v>0</v>
      </c>
      <c r="G24" s="388">
        <f t="shared" si="7"/>
        <v>0</v>
      </c>
      <c r="H24" s="389">
        <f t="shared" si="5"/>
        <v>0</v>
      </c>
      <c r="I24" s="390" t="s">
        <v>1881</v>
      </c>
    </row>
    <row r="25">
      <c r="A25" s="385">
        <v>17.0</v>
      </c>
      <c r="B25" s="391" t="s">
        <v>1882</v>
      </c>
      <c r="C25" s="387"/>
      <c r="D25" s="392">
        <f t="shared" ref="D25:G25" si="8">D16-D24</f>
        <v>0</v>
      </c>
      <c r="E25" s="392">
        <f t="shared" si="8"/>
        <v>0</v>
      </c>
      <c r="F25" s="392">
        <f t="shared" si="8"/>
        <v>0</v>
      </c>
      <c r="G25" s="392">
        <f t="shared" si="8"/>
        <v>0</v>
      </c>
      <c r="H25" s="389">
        <f t="shared" si="5"/>
        <v>0</v>
      </c>
      <c r="I25" s="390" t="s">
        <v>1883</v>
      </c>
    </row>
    <row r="26">
      <c r="A26" s="393" t="s">
        <v>1884</v>
      </c>
      <c r="B26" s="379"/>
      <c r="C26" s="371"/>
      <c r="D26" s="394"/>
      <c r="E26" s="394"/>
      <c r="F26" s="394"/>
      <c r="G26" s="394"/>
      <c r="H26" s="395"/>
      <c r="I26" s="396"/>
    </row>
    <row r="27">
      <c r="A27" s="397">
        <v>1.0</v>
      </c>
      <c r="B27" s="398" t="s">
        <v>1885</v>
      </c>
      <c r="C27" s="371"/>
      <c r="D27" s="369">
        <f t="shared" ref="D27:G27" si="9">D24</f>
        <v>0</v>
      </c>
      <c r="E27" s="369">
        <f t="shared" si="9"/>
        <v>0</v>
      </c>
      <c r="F27" s="369">
        <f t="shared" si="9"/>
        <v>0</v>
      </c>
      <c r="G27" s="369">
        <f t="shared" si="9"/>
        <v>0</v>
      </c>
      <c r="H27" s="399">
        <f t="shared" ref="H27:H33" si="10">SUM(D27:G27)</f>
        <v>0</v>
      </c>
      <c r="I27" s="400"/>
    </row>
    <row r="28">
      <c r="A28" s="397">
        <v>2.0</v>
      </c>
      <c r="B28" s="398" t="s">
        <v>1886</v>
      </c>
      <c r="C28" s="368" t="s">
        <v>1887</v>
      </c>
      <c r="D28" s="369"/>
      <c r="E28" s="369"/>
      <c r="F28" s="369"/>
      <c r="G28" s="369"/>
      <c r="H28" s="399">
        <f t="shared" si="10"/>
        <v>0</v>
      </c>
      <c r="I28" s="400"/>
    </row>
    <row r="29">
      <c r="A29" s="397">
        <v>3.0</v>
      </c>
      <c r="B29" s="398" t="s">
        <v>1888</v>
      </c>
      <c r="C29" s="371"/>
      <c r="D29" s="369"/>
      <c r="E29" s="369"/>
      <c r="F29" s="369"/>
      <c r="G29" s="369"/>
      <c r="H29" s="399">
        <f t="shared" si="10"/>
        <v>0</v>
      </c>
      <c r="I29" s="400"/>
    </row>
    <row r="30">
      <c r="A30" s="397">
        <v>4.0</v>
      </c>
      <c r="B30" s="401" t="s">
        <v>1889</v>
      </c>
      <c r="C30" s="402" t="s">
        <v>1890</v>
      </c>
      <c r="D30" s="403"/>
      <c r="E30" s="403"/>
      <c r="F30" s="403"/>
      <c r="G30" s="403"/>
      <c r="H30" s="404">
        <f t="shared" si="10"/>
        <v>0</v>
      </c>
      <c r="I30" s="405" t="s">
        <v>1891</v>
      </c>
    </row>
    <row r="31">
      <c r="A31" s="406">
        <v>5.0</v>
      </c>
      <c r="B31" s="407" t="s">
        <v>1892</v>
      </c>
      <c r="C31" s="402" t="s">
        <v>1887</v>
      </c>
      <c r="D31" s="403"/>
      <c r="E31" s="403"/>
      <c r="F31" s="403"/>
      <c r="G31" s="403"/>
      <c r="H31" s="408">
        <f t="shared" si="10"/>
        <v>0</v>
      </c>
      <c r="I31" s="409" t="s">
        <v>1893</v>
      </c>
    </row>
    <row r="32">
      <c r="A32" s="406">
        <v>6.0</v>
      </c>
      <c r="B32" s="401" t="s">
        <v>1894</v>
      </c>
      <c r="C32" s="402" t="s">
        <v>1890</v>
      </c>
      <c r="D32" s="403">
        <f t="shared" ref="D32:G32" si="11">D28+D30</f>
        <v>0</v>
      </c>
      <c r="E32" s="403">
        <f t="shared" si="11"/>
        <v>0</v>
      </c>
      <c r="F32" s="403">
        <f t="shared" si="11"/>
        <v>0</v>
      </c>
      <c r="G32" s="403">
        <f t="shared" si="11"/>
        <v>0</v>
      </c>
      <c r="H32" s="410">
        <f t="shared" si="10"/>
        <v>0</v>
      </c>
      <c r="I32" s="411" t="s">
        <v>1895</v>
      </c>
    </row>
    <row r="33">
      <c r="A33" s="397">
        <v>7.0</v>
      </c>
      <c r="B33" s="398" t="s">
        <v>1896</v>
      </c>
      <c r="C33" s="371"/>
      <c r="D33" s="369">
        <f t="shared" ref="D33:G33" si="12">SUM(D34:D36)</f>
        <v>0</v>
      </c>
      <c r="E33" s="369">
        <f t="shared" si="12"/>
        <v>0</v>
      </c>
      <c r="F33" s="369">
        <f t="shared" si="12"/>
        <v>0</v>
      </c>
      <c r="G33" s="369">
        <f t="shared" si="12"/>
        <v>0</v>
      </c>
      <c r="H33" s="399">
        <f t="shared" si="10"/>
        <v>0</v>
      </c>
      <c r="I33" s="400"/>
    </row>
    <row r="34">
      <c r="A34" s="395"/>
      <c r="B34" s="401" t="s">
        <v>1452</v>
      </c>
      <c r="C34" s="368" t="s">
        <v>1451</v>
      </c>
      <c r="D34" s="369"/>
      <c r="E34" s="369"/>
      <c r="F34" s="369"/>
      <c r="G34" s="369"/>
      <c r="H34" s="412"/>
      <c r="I34" s="413" t="s">
        <v>1897</v>
      </c>
    </row>
    <row r="35">
      <c r="A35" s="395"/>
      <c r="B35" s="401" t="s">
        <v>1454</v>
      </c>
      <c r="C35" s="368" t="s">
        <v>1453</v>
      </c>
      <c r="D35" s="369"/>
      <c r="E35" s="369"/>
      <c r="F35" s="369"/>
      <c r="G35" s="369"/>
      <c r="H35" s="412"/>
      <c r="I35" s="413" t="s">
        <v>1898</v>
      </c>
    </row>
    <row r="36">
      <c r="A36" s="395"/>
      <c r="B36" s="401" t="s">
        <v>1456</v>
      </c>
      <c r="C36" s="368" t="s">
        <v>1457</v>
      </c>
      <c r="D36" s="369"/>
      <c r="E36" s="369"/>
      <c r="F36" s="369"/>
      <c r="G36" s="369"/>
      <c r="H36" s="412"/>
      <c r="I36" s="413" t="s">
        <v>1899</v>
      </c>
    </row>
    <row r="37">
      <c r="A37" s="414"/>
      <c r="B37" s="415"/>
      <c r="C37" s="416"/>
      <c r="D37" s="417"/>
      <c r="E37" s="417"/>
      <c r="F37" s="417"/>
      <c r="G37" s="417"/>
      <c r="H37" s="418"/>
      <c r="I37" s="419"/>
    </row>
    <row r="38">
      <c r="A38" s="414"/>
      <c r="B38" s="415"/>
      <c r="C38" s="416"/>
      <c r="D38" s="417"/>
      <c r="E38" s="417"/>
      <c r="F38" s="417"/>
      <c r="G38" s="417"/>
      <c r="H38" s="418"/>
      <c r="I38" s="419"/>
    </row>
    <row r="39">
      <c r="A39" s="414"/>
      <c r="B39" s="415"/>
      <c r="C39" s="416"/>
      <c r="D39" s="417"/>
      <c r="E39" s="417"/>
      <c r="F39" s="417"/>
      <c r="G39" s="417"/>
      <c r="H39" s="418"/>
      <c r="I39" s="419"/>
    </row>
    <row r="40">
      <c r="A40" s="414"/>
      <c r="B40" s="98" t="s">
        <v>1900</v>
      </c>
      <c r="C40" s="416"/>
      <c r="D40" s="417"/>
      <c r="E40" s="417"/>
      <c r="F40" s="417"/>
      <c r="G40" s="417"/>
      <c r="H40" s="418"/>
      <c r="I40" s="419"/>
    </row>
    <row r="41">
      <c r="A41" s="414"/>
      <c r="C41" s="416"/>
      <c r="D41" s="417"/>
      <c r="E41" s="417"/>
      <c r="F41" s="417"/>
      <c r="G41" s="417"/>
      <c r="H41" s="418"/>
      <c r="I41" s="419"/>
    </row>
    <row r="42">
      <c r="A42" s="414"/>
      <c r="B42" s="420" t="s">
        <v>1901</v>
      </c>
      <c r="C42" s="421" t="s">
        <v>1902</v>
      </c>
      <c r="D42" s="417"/>
      <c r="E42" s="417"/>
      <c r="F42" s="417"/>
      <c r="G42" s="417"/>
      <c r="H42" s="418"/>
      <c r="I42" s="419"/>
    </row>
    <row r="43">
      <c r="A43" s="414"/>
      <c r="B43" s="98" t="s">
        <v>1903</v>
      </c>
      <c r="C43" s="422" t="s">
        <v>1904</v>
      </c>
      <c r="D43" s="417"/>
      <c r="E43" s="417"/>
      <c r="F43" s="417"/>
      <c r="G43" s="417"/>
      <c r="H43" s="418"/>
      <c r="I43" s="419"/>
    </row>
    <row r="44">
      <c r="A44" s="414"/>
      <c r="B44" s="98" t="s">
        <v>1905</v>
      </c>
      <c r="C44" s="422" t="s">
        <v>1906</v>
      </c>
      <c r="D44" s="417"/>
      <c r="E44" s="417"/>
      <c r="F44" s="417"/>
      <c r="G44" s="417"/>
      <c r="H44" s="418"/>
      <c r="I44" s="419"/>
    </row>
    <row r="45">
      <c r="A45" s="414"/>
      <c r="B45" s="98" t="s">
        <v>1907</v>
      </c>
      <c r="C45" s="422" t="s">
        <v>1904</v>
      </c>
      <c r="D45" s="417"/>
      <c r="E45" s="417"/>
      <c r="F45" s="417"/>
      <c r="G45" s="417"/>
      <c r="H45" s="418"/>
      <c r="I45" s="419"/>
    </row>
    <row r="46">
      <c r="A46" s="414"/>
      <c r="B46" s="98" t="s">
        <v>1908</v>
      </c>
      <c r="C46" s="422" t="s">
        <v>1906</v>
      </c>
      <c r="D46" s="417"/>
      <c r="E46" s="417"/>
      <c r="F46" s="417"/>
      <c r="G46" s="417"/>
      <c r="H46" s="418"/>
      <c r="I46" s="419"/>
    </row>
    <row r="47">
      <c r="A47" s="414"/>
      <c r="B47" s="98" t="s">
        <v>1909</v>
      </c>
      <c r="C47" s="422" t="s">
        <v>1906</v>
      </c>
      <c r="D47" s="417"/>
      <c r="E47" s="417"/>
      <c r="F47" s="417"/>
      <c r="G47" s="417"/>
      <c r="H47" s="418"/>
      <c r="I47" s="419"/>
    </row>
    <row r="48">
      <c r="A48" s="414"/>
      <c r="B48" s="98"/>
      <c r="C48" s="422"/>
      <c r="D48" s="417"/>
      <c r="E48" s="417"/>
      <c r="F48" s="417"/>
      <c r="G48" s="417"/>
      <c r="H48" s="418"/>
      <c r="I48" s="419"/>
    </row>
    <row r="49">
      <c r="A49" s="414"/>
      <c r="B49" s="98"/>
      <c r="C49" s="422"/>
      <c r="D49" s="417"/>
      <c r="E49" s="417"/>
      <c r="F49" s="417"/>
      <c r="G49" s="417"/>
      <c r="H49" s="418"/>
      <c r="I49" s="419"/>
    </row>
    <row r="50">
      <c r="A50" s="414"/>
      <c r="B50" s="98"/>
      <c r="C50" s="422"/>
      <c r="D50" s="417"/>
      <c r="E50" s="417"/>
      <c r="F50" s="417"/>
      <c r="G50" s="417"/>
      <c r="H50" s="418"/>
      <c r="I50" s="419"/>
    </row>
    <row r="51">
      <c r="A51" s="414"/>
      <c r="B51" s="98"/>
      <c r="C51" s="422"/>
      <c r="D51" s="417"/>
      <c r="E51" s="417"/>
      <c r="F51" s="417"/>
      <c r="G51" s="417"/>
      <c r="H51" s="418"/>
      <c r="I51" s="419"/>
    </row>
    <row r="52">
      <c r="A52" s="414"/>
      <c r="B52" s="98"/>
      <c r="C52" s="422"/>
      <c r="D52" s="417"/>
      <c r="E52" s="417"/>
      <c r="F52" s="417"/>
      <c r="G52" s="417"/>
      <c r="H52" s="418"/>
      <c r="I52" s="419"/>
    </row>
    <row r="53">
      <c r="A53" s="414"/>
      <c r="B53" s="98"/>
      <c r="C53" s="422"/>
      <c r="D53" s="417"/>
      <c r="E53" s="417"/>
      <c r="F53" s="417"/>
      <c r="G53" s="417"/>
      <c r="H53" s="418"/>
      <c r="I53" s="419"/>
    </row>
    <row r="54">
      <c r="A54" s="414"/>
      <c r="B54" s="98"/>
      <c r="C54" s="422"/>
      <c r="D54" s="417"/>
      <c r="E54" s="417"/>
      <c r="F54" s="417"/>
      <c r="G54" s="417"/>
      <c r="H54" s="418"/>
      <c r="I54" s="419"/>
    </row>
    <row r="55">
      <c r="A55" s="414"/>
      <c r="B55" s="98"/>
      <c r="C55" s="422"/>
      <c r="D55" s="417"/>
      <c r="E55" s="417"/>
      <c r="F55" s="417"/>
      <c r="G55" s="417"/>
      <c r="H55" s="418"/>
      <c r="I55" s="419"/>
    </row>
    <row r="56">
      <c r="A56" s="414"/>
      <c r="B56" s="98"/>
      <c r="C56" s="422"/>
      <c r="D56" s="417"/>
      <c r="E56" s="417"/>
      <c r="F56" s="417"/>
      <c r="G56" s="417"/>
      <c r="H56" s="418"/>
      <c r="I56" s="419"/>
    </row>
    <row r="57">
      <c r="A57" s="414"/>
      <c r="B57" s="98"/>
      <c r="C57" s="422"/>
      <c r="D57" s="417"/>
      <c r="E57" s="417"/>
      <c r="F57" s="417"/>
      <c r="G57" s="417"/>
      <c r="H57" s="418"/>
      <c r="I57" s="419"/>
    </row>
  </sheetData>
  <mergeCells count="10">
    <mergeCell ref="B6:B7"/>
    <mergeCell ref="A17:B17"/>
    <mergeCell ref="A26:B26"/>
    <mergeCell ref="A1:H1"/>
    <mergeCell ref="E2:H4"/>
    <mergeCell ref="E5:G5"/>
    <mergeCell ref="A6:A7"/>
    <mergeCell ref="C6:C7"/>
    <mergeCell ref="D6:G6"/>
    <mergeCell ref="H6:H7"/>
  </mergeCell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4.57"/>
    <col customWidth="1" min="4" max="4" width="15.71"/>
    <col customWidth="1" min="5" max="5" width="13.71"/>
    <col customWidth="1" min="7" max="7" width="14.43"/>
    <col customWidth="1" min="9" max="9" width="14.29"/>
    <col customWidth="1" min="10" max="10" width="23.0"/>
  </cols>
  <sheetData>
    <row r="1">
      <c r="A1" s="423"/>
      <c r="B1" s="424" t="s">
        <v>1910</v>
      </c>
      <c r="C1" s="423"/>
      <c r="D1" s="425" t="s">
        <v>1911</v>
      </c>
      <c r="E1" s="423"/>
      <c r="F1" s="425" t="s">
        <v>1912</v>
      </c>
      <c r="G1" s="423"/>
      <c r="H1" s="425" t="s">
        <v>1913</v>
      </c>
      <c r="I1" s="423"/>
      <c r="J1" s="426" t="s">
        <v>1914</v>
      </c>
    </row>
    <row r="2">
      <c r="A2" s="427" t="s">
        <v>1915</v>
      </c>
      <c r="B2" s="428"/>
      <c r="C2" s="428" t="s">
        <v>1916</v>
      </c>
      <c r="D2" s="428"/>
      <c r="E2" s="428" t="s">
        <v>1917</v>
      </c>
      <c r="F2" s="428"/>
      <c r="G2" s="428" t="s">
        <v>1323</v>
      </c>
      <c r="H2" s="428"/>
      <c r="I2" s="428" t="s">
        <v>1918</v>
      </c>
      <c r="J2" s="428" t="s">
        <v>1919</v>
      </c>
    </row>
    <row r="3">
      <c r="A3" s="429" t="s">
        <v>1920</v>
      </c>
      <c r="F3" s="430" t="s">
        <v>1921</v>
      </c>
    </row>
    <row r="6" ht="18.0" customHeight="1"/>
    <row r="7" ht="18.0" customHeight="1"/>
    <row r="8" ht="18.0" customHeight="1"/>
    <row r="9" ht="18.0" customHeight="1"/>
    <row r="10" ht="18.0" customHeight="1"/>
    <row r="11" ht="18.0" customHeight="1"/>
    <row r="12" ht="20.25" customHeight="1"/>
    <row r="13" ht="20.25" customHeight="1"/>
    <row r="16">
      <c r="A16" s="431"/>
      <c r="B16" s="432"/>
      <c r="C16" s="431"/>
      <c r="D16" s="432"/>
      <c r="E16" s="431"/>
      <c r="F16" s="432"/>
      <c r="G16" s="431"/>
      <c r="H16" s="432"/>
      <c r="I16" s="431"/>
      <c r="J16" s="433"/>
    </row>
    <row r="17">
      <c r="A17" s="434"/>
      <c r="B17" s="433"/>
      <c r="C17" s="434"/>
      <c r="D17" s="433"/>
      <c r="E17" s="434"/>
      <c r="F17" s="433"/>
      <c r="G17" s="434"/>
      <c r="H17" s="433"/>
      <c r="I17" s="434"/>
      <c r="J17" s="433"/>
    </row>
    <row r="18">
      <c r="A18" s="434"/>
      <c r="B18" s="433"/>
      <c r="C18" s="434"/>
      <c r="D18" s="433"/>
      <c r="E18" s="434"/>
      <c r="F18" s="433"/>
      <c r="G18" s="434"/>
      <c r="H18" s="433"/>
      <c r="I18" s="434"/>
      <c r="J18" s="433"/>
    </row>
    <row r="19">
      <c r="A19" s="434"/>
      <c r="B19" s="433"/>
      <c r="C19" s="434"/>
      <c r="D19" s="433"/>
      <c r="E19" s="434"/>
      <c r="F19" s="433"/>
      <c r="G19" s="434"/>
      <c r="H19" s="433"/>
      <c r="I19" s="434"/>
      <c r="J19" s="433"/>
    </row>
    <row r="20">
      <c r="A20" s="434"/>
      <c r="B20" s="433"/>
      <c r="C20" s="434"/>
      <c r="D20" s="433"/>
      <c r="E20" s="434"/>
      <c r="F20" s="433"/>
      <c r="G20" s="434"/>
      <c r="H20" s="433"/>
      <c r="I20" s="434"/>
      <c r="J20" s="433"/>
    </row>
    <row r="21">
      <c r="A21" s="434"/>
      <c r="B21" s="433"/>
      <c r="C21" s="434"/>
      <c r="D21" s="433"/>
      <c r="E21" s="434"/>
      <c r="F21" s="433"/>
      <c r="G21" s="434"/>
      <c r="H21" s="433"/>
      <c r="I21" s="434"/>
      <c r="J21" s="433"/>
    </row>
    <row r="22">
      <c r="A22" s="434"/>
      <c r="B22" s="433"/>
      <c r="C22" s="434"/>
      <c r="D22" s="433"/>
      <c r="E22" s="434"/>
      <c r="F22" s="433"/>
      <c r="G22" s="434"/>
      <c r="H22" s="433"/>
      <c r="I22" s="434"/>
      <c r="J22" s="433"/>
    </row>
    <row r="23">
      <c r="A23" s="434"/>
      <c r="B23" s="433"/>
      <c r="C23" s="434"/>
      <c r="D23" s="433"/>
      <c r="E23" s="434"/>
      <c r="F23" s="433"/>
      <c r="G23" s="434"/>
      <c r="H23" s="433"/>
      <c r="I23" s="434"/>
      <c r="J23" s="433"/>
    </row>
    <row r="24">
      <c r="A24" s="434"/>
      <c r="B24" s="433"/>
      <c r="C24" s="434"/>
      <c r="D24" s="433"/>
      <c r="E24" s="434"/>
      <c r="F24" s="433"/>
      <c r="G24" s="434"/>
      <c r="H24" s="433"/>
      <c r="I24" s="434"/>
      <c r="J24" s="433"/>
    </row>
    <row r="25">
      <c r="A25" s="434"/>
      <c r="B25" s="433"/>
      <c r="C25" s="434"/>
      <c r="D25" s="433"/>
      <c r="E25" s="434"/>
      <c r="F25" s="433"/>
      <c r="G25" s="434"/>
      <c r="H25" s="433"/>
      <c r="I25" s="434"/>
      <c r="J25" s="433"/>
    </row>
    <row r="26">
      <c r="A26" s="434"/>
      <c r="B26" s="433"/>
      <c r="C26" s="434"/>
      <c r="D26" s="433"/>
      <c r="E26" s="434"/>
      <c r="F26" s="433"/>
      <c r="G26" s="434"/>
      <c r="H26" s="433"/>
      <c r="I26" s="434"/>
      <c r="J26" s="433"/>
    </row>
    <row r="27">
      <c r="A27" s="434"/>
      <c r="B27" s="433"/>
      <c r="C27" s="434"/>
      <c r="D27" s="433"/>
      <c r="E27" s="434"/>
      <c r="F27" s="433"/>
      <c r="G27" s="434"/>
      <c r="H27" s="433"/>
      <c r="I27" s="434"/>
      <c r="J27" s="433"/>
    </row>
    <row r="28">
      <c r="A28" s="431"/>
      <c r="B28" s="432"/>
      <c r="C28" s="431"/>
      <c r="D28" s="432"/>
      <c r="E28" s="431"/>
      <c r="F28" s="432"/>
      <c r="G28" s="431"/>
      <c r="H28" s="432"/>
      <c r="I28" s="431"/>
      <c r="J28" s="433"/>
    </row>
    <row r="29">
      <c r="A29" s="434" t="s">
        <v>1922</v>
      </c>
      <c r="B29" s="433"/>
      <c r="C29" s="434" t="s">
        <v>1923</v>
      </c>
      <c r="D29" s="433"/>
      <c r="E29" s="434" t="s">
        <v>1924</v>
      </c>
      <c r="F29" s="433"/>
      <c r="G29" s="434" t="s">
        <v>1925</v>
      </c>
      <c r="H29" s="433"/>
      <c r="I29" s="434" t="s">
        <v>1926</v>
      </c>
      <c r="J29" s="433"/>
    </row>
    <row r="30">
      <c r="E30" s="435" t="s">
        <v>1927</v>
      </c>
    </row>
    <row r="38">
      <c r="A38" s="436"/>
      <c r="B38" s="436"/>
      <c r="C38" s="436"/>
      <c r="D38" s="436"/>
      <c r="E38" s="437" t="s">
        <v>1928</v>
      </c>
      <c r="F38" s="437" t="s">
        <v>1929</v>
      </c>
      <c r="G38" s="437" t="s">
        <v>1930</v>
      </c>
      <c r="H38" s="437" t="s">
        <v>1931</v>
      </c>
      <c r="I38" s="437" t="s">
        <v>1932</v>
      </c>
      <c r="J38" s="437" t="s">
        <v>1933</v>
      </c>
    </row>
    <row r="39">
      <c r="A39" s="429" t="s">
        <v>1934</v>
      </c>
      <c r="F39" s="430" t="s">
        <v>1935</v>
      </c>
    </row>
    <row r="40">
      <c r="A40" s="438" t="s">
        <v>1936</v>
      </c>
      <c r="F40" s="439" t="s">
        <v>1937</v>
      </c>
      <c r="H40" s="440" t="s">
        <v>1938</v>
      </c>
    </row>
    <row r="41">
      <c r="A41" s="98" t="s">
        <v>1939</v>
      </c>
      <c r="F41" s="441" t="s">
        <v>1940</v>
      </c>
      <c r="G41" s="442"/>
      <c r="H41" s="443" t="s">
        <v>1941</v>
      </c>
      <c r="I41" s="444"/>
    </row>
    <row r="42">
      <c r="A42" s="98" t="s">
        <v>1942</v>
      </c>
      <c r="F42" s="442"/>
      <c r="G42" s="442"/>
      <c r="H42" s="444"/>
      <c r="I42" s="444"/>
    </row>
    <row r="43">
      <c r="A43" s="98" t="s">
        <v>1943</v>
      </c>
      <c r="F43" s="442"/>
      <c r="G43" s="442"/>
      <c r="H43" s="445"/>
      <c r="I43" s="445"/>
    </row>
    <row r="44">
      <c r="A44" s="98" t="s">
        <v>1944</v>
      </c>
      <c r="F44" s="442"/>
      <c r="G44" s="442"/>
      <c r="H44" s="445"/>
      <c r="I44" s="445"/>
    </row>
    <row r="45">
      <c r="A45" s="98" t="s">
        <v>1945</v>
      </c>
      <c r="F45" s="446" t="s">
        <v>1946</v>
      </c>
      <c r="G45" s="447"/>
      <c r="H45" s="448" t="s">
        <v>1947</v>
      </c>
      <c r="I45" s="445"/>
    </row>
    <row r="46">
      <c r="A46" s="98" t="s">
        <v>1948</v>
      </c>
      <c r="F46" s="447"/>
      <c r="G46" s="447"/>
      <c r="H46" s="449">
        <v>0.9</v>
      </c>
      <c r="I46" s="445"/>
    </row>
    <row r="47">
      <c r="A47" s="98" t="s">
        <v>1949</v>
      </c>
      <c r="F47" s="447"/>
      <c r="G47" s="447"/>
      <c r="H47" s="445"/>
      <c r="I47" s="445"/>
    </row>
    <row r="48">
      <c r="F48" s="447"/>
      <c r="G48" s="447"/>
      <c r="H48" s="445"/>
      <c r="I48" s="445"/>
    </row>
    <row r="49">
      <c r="F49" s="450" t="s">
        <v>1950</v>
      </c>
    </row>
    <row r="50">
      <c r="A50" s="451"/>
      <c r="B50" s="451"/>
      <c r="C50" s="451"/>
      <c r="D50" s="451"/>
      <c r="E50" s="451"/>
      <c r="F50" s="451"/>
      <c r="G50" s="451"/>
      <c r="H50" s="451"/>
      <c r="I50" s="451"/>
      <c r="J50" s="451"/>
    </row>
    <row r="51">
      <c r="A51" s="451" t="s">
        <v>1951</v>
      </c>
    </row>
    <row r="52">
      <c r="A52" s="452" t="s">
        <v>1526</v>
      </c>
      <c r="B52" s="453" t="s">
        <v>1837</v>
      </c>
      <c r="C52" s="454"/>
      <c r="D52" s="454"/>
      <c r="E52" s="3"/>
      <c r="F52" s="455" t="s">
        <v>1842</v>
      </c>
      <c r="G52" s="455" t="s">
        <v>1843</v>
      </c>
      <c r="H52" s="455" t="s">
        <v>1844</v>
      </c>
      <c r="I52" s="452" t="s">
        <v>1845</v>
      </c>
      <c r="J52" s="456" t="s">
        <v>1840</v>
      </c>
    </row>
    <row r="53">
      <c r="A53" s="457" t="s">
        <v>1952</v>
      </c>
      <c r="B53" s="458"/>
      <c r="C53" s="458"/>
      <c r="D53" s="458"/>
      <c r="E53" s="458"/>
      <c r="F53" s="458"/>
      <c r="G53" s="458"/>
      <c r="H53" s="458"/>
      <c r="I53" s="458"/>
      <c r="J53" s="458"/>
    </row>
    <row r="54">
      <c r="A54" s="459">
        <v>1.0</v>
      </c>
      <c r="B54" s="460" t="s">
        <v>1846</v>
      </c>
      <c r="C54" s="454"/>
      <c r="D54" s="454"/>
      <c r="E54" s="3"/>
      <c r="F54" s="461"/>
      <c r="G54" s="461"/>
      <c r="H54" s="461"/>
      <c r="I54" s="461"/>
      <c r="J54" s="462">
        <f t="shared" ref="J54:J64" si="1">SUM(F54:I54)</f>
        <v>0</v>
      </c>
    </row>
    <row r="55">
      <c r="A55" s="463">
        <v>2.0</v>
      </c>
      <c r="B55" s="460" t="s">
        <v>1855</v>
      </c>
      <c r="C55" s="454"/>
      <c r="D55" s="454"/>
      <c r="E55" s="3"/>
      <c r="F55" s="461"/>
      <c r="G55" s="461"/>
      <c r="H55" s="461"/>
      <c r="I55" s="461"/>
      <c r="J55" s="462">
        <f t="shared" si="1"/>
        <v>0</v>
      </c>
    </row>
    <row r="56">
      <c r="A56" s="464">
        <v>46024.0</v>
      </c>
      <c r="B56" s="465" t="s">
        <v>1515</v>
      </c>
      <c r="C56" s="454"/>
      <c r="D56" s="454"/>
      <c r="E56" s="3"/>
      <c r="F56" s="466"/>
      <c r="G56" s="466"/>
      <c r="H56" s="466"/>
      <c r="I56" s="466"/>
      <c r="J56" s="462">
        <f t="shared" si="1"/>
        <v>0</v>
      </c>
    </row>
    <row r="57">
      <c r="A57" s="464">
        <v>46055.0</v>
      </c>
      <c r="B57" s="465" t="s">
        <v>1514</v>
      </c>
      <c r="C57" s="454"/>
      <c r="D57" s="454"/>
      <c r="E57" s="3"/>
      <c r="F57" s="466"/>
      <c r="G57" s="466"/>
      <c r="H57" s="466"/>
      <c r="I57" s="466"/>
      <c r="J57" s="462">
        <f t="shared" si="1"/>
        <v>0</v>
      </c>
    </row>
    <row r="58">
      <c r="A58" s="464">
        <v>46083.0</v>
      </c>
      <c r="B58" s="465" t="s">
        <v>1519</v>
      </c>
      <c r="C58" s="454"/>
      <c r="D58" s="454"/>
      <c r="E58" s="3"/>
      <c r="F58" s="466"/>
      <c r="G58" s="466"/>
      <c r="H58" s="466"/>
      <c r="I58" s="466"/>
      <c r="J58" s="462">
        <f t="shared" si="1"/>
        <v>0</v>
      </c>
    </row>
    <row r="59">
      <c r="A59" s="467">
        <v>3.0</v>
      </c>
      <c r="B59" s="468" t="s">
        <v>1865</v>
      </c>
      <c r="C59" s="454"/>
      <c r="D59" s="454"/>
      <c r="E59" s="3"/>
      <c r="F59" s="469">
        <f t="shared" ref="F59:I59" si="2">SUM(F55:F58)</f>
        <v>0</v>
      </c>
      <c r="G59" s="469">
        <f t="shared" si="2"/>
        <v>0</v>
      </c>
      <c r="H59" s="469">
        <f t="shared" si="2"/>
        <v>0</v>
      </c>
      <c r="I59" s="469">
        <f t="shared" si="2"/>
        <v>0</v>
      </c>
      <c r="J59" s="462">
        <f t="shared" si="1"/>
        <v>0</v>
      </c>
    </row>
    <row r="60">
      <c r="A60" s="463">
        <v>4.0</v>
      </c>
      <c r="B60" s="460" t="s">
        <v>1867</v>
      </c>
      <c r="C60" s="454"/>
      <c r="D60" s="454"/>
      <c r="E60" s="3"/>
      <c r="F60" s="466"/>
      <c r="G60" s="466"/>
      <c r="H60" s="466"/>
      <c r="I60" s="466"/>
      <c r="J60" s="462">
        <f t="shared" si="1"/>
        <v>0</v>
      </c>
    </row>
    <row r="61">
      <c r="A61" s="470">
        <v>5.0</v>
      </c>
      <c r="B61" s="471" t="s">
        <v>1869</v>
      </c>
      <c r="C61" s="454"/>
      <c r="D61" s="454"/>
      <c r="E61" s="3"/>
      <c r="F61" s="472"/>
      <c r="G61" s="472"/>
      <c r="H61" s="472"/>
      <c r="I61" s="472"/>
      <c r="J61" s="473">
        <f t="shared" si="1"/>
        <v>0</v>
      </c>
    </row>
    <row r="62">
      <c r="A62" s="463">
        <v>6.0</v>
      </c>
      <c r="B62" s="460" t="s">
        <v>1878</v>
      </c>
      <c r="C62" s="454"/>
      <c r="D62" s="454"/>
      <c r="E62" s="3"/>
      <c r="F62" s="461"/>
      <c r="G62" s="461"/>
      <c r="H62" s="461"/>
      <c r="I62" s="461"/>
      <c r="J62" s="462">
        <f t="shared" si="1"/>
        <v>0</v>
      </c>
    </row>
    <row r="63">
      <c r="A63" s="463">
        <v>7.0</v>
      </c>
      <c r="B63" s="465" t="s">
        <v>1880</v>
      </c>
      <c r="C63" s="454"/>
      <c r="D63" s="454"/>
      <c r="E63" s="3"/>
      <c r="F63" s="466"/>
      <c r="G63" s="466"/>
      <c r="H63" s="466"/>
      <c r="I63" s="466"/>
      <c r="J63" s="462">
        <f t="shared" si="1"/>
        <v>0</v>
      </c>
    </row>
    <row r="64">
      <c r="A64" s="463">
        <v>8.0</v>
      </c>
      <c r="B64" s="460" t="s">
        <v>1882</v>
      </c>
      <c r="C64" s="454"/>
      <c r="D64" s="454"/>
      <c r="E64" s="3"/>
      <c r="F64" s="461"/>
      <c r="G64" s="461"/>
      <c r="H64" s="461"/>
      <c r="I64" s="461"/>
      <c r="J64" s="462">
        <f t="shared" si="1"/>
        <v>0</v>
      </c>
    </row>
    <row r="65">
      <c r="A65" s="457" t="s">
        <v>1953</v>
      </c>
      <c r="B65" s="458"/>
      <c r="C65" s="458"/>
      <c r="D65" s="458"/>
      <c r="E65" s="458"/>
      <c r="F65" s="458"/>
      <c r="G65" s="458"/>
      <c r="H65" s="458"/>
      <c r="I65" s="458"/>
      <c r="J65" s="458"/>
    </row>
    <row r="66">
      <c r="A66" s="474">
        <v>1.0</v>
      </c>
      <c r="B66" s="475" t="s">
        <v>1954</v>
      </c>
      <c r="C66" s="454"/>
      <c r="D66" s="454"/>
      <c r="E66" s="3"/>
      <c r="F66" s="466"/>
      <c r="G66" s="466"/>
      <c r="H66" s="466"/>
      <c r="I66" s="466"/>
      <c r="J66" s="476">
        <f t="shared" ref="J66:J69" si="3">SUM(F66:I66)</f>
        <v>0</v>
      </c>
    </row>
    <row r="67">
      <c r="A67" s="474">
        <v>2.0</v>
      </c>
      <c r="B67" s="477" t="s">
        <v>1886</v>
      </c>
      <c r="C67" s="454"/>
      <c r="D67" s="454"/>
      <c r="E67" s="3"/>
      <c r="F67" s="466"/>
      <c r="G67" s="466"/>
      <c r="H67" s="466"/>
      <c r="I67" s="466"/>
      <c r="J67" s="476">
        <f t="shared" si="3"/>
        <v>0</v>
      </c>
    </row>
    <row r="68">
      <c r="A68" s="474">
        <v>3.0</v>
      </c>
      <c r="B68" s="475" t="s">
        <v>1955</v>
      </c>
      <c r="C68" s="454"/>
      <c r="D68" s="454"/>
      <c r="E68" s="3"/>
      <c r="F68" s="466"/>
      <c r="G68" s="466"/>
      <c r="H68" s="466"/>
      <c r="I68" s="466"/>
      <c r="J68" s="476">
        <f t="shared" si="3"/>
        <v>0</v>
      </c>
    </row>
    <row r="69">
      <c r="A69" s="474">
        <v>4.0</v>
      </c>
      <c r="B69" s="475" t="s">
        <v>1956</v>
      </c>
      <c r="C69" s="454"/>
      <c r="D69" s="454"/>
      <c r="E69" s="3"/>
      <c r="F69" s="466">
        <f t="shared" ref="F69:I69" si="4">F67+F68</f>
        <v>0</v>
      </c>
      <c r="G69" s="466">
        <f t="shared" si="4"/>
        <v>0</v>
      </c>
      <c r="H69" s="466">
        <f t="shared" si="4"/>
        <v>0</v>
      </c>
      <c r="I69" s="466">
        <f t="shared" si="4"/>
        <v>0</v>
      </c>
      <c r="J69" s="476">
        <f t="shared" si="3"/>
        <v>0</v>
      </c>
    </row>
    <row r="70">
      <c r="A70" s="457" t="s">
        <v>1957</v>
      </c>
      <c r="B70" s="458"/>
      <c r="C70" s="458"/>
      <c r="D70" s="458"/>
      <c r="E70" s="458"/>
      <c r="F70" s="458"/>
      <c r="G70" s="458"/>
      <c r="H70" s="458"/>
      <c r="I70" s="458"/>
      <c r="J70" s="458"/>
    </row>
    <row r="71">
      <c r="A71" s="474">
        <v>1.0</v>
      </c>
      <c r="B71" s="477" t="s">
        <v>1888</v>
      </c>
      <c r="C71" s="454"/>
      <c r="D71" s="454"/>
      <c r="E71" s="3"/>
      <c r="F71" s="466"/>
      <c r="G71" s="466"/>
      <c r="H71" s="466"/>
      <c r="I71" s="466"/>
      <c r="J71" s="476">
        <f>SUM(F71:I71)</f>
        <v>0</v>
      </c>
    </row>
    <row r="72">
      <c r="A72" s="457" t="s">
        <v>1273</v>
      </c>
      <c r="B72" s="458"/>
      <c r="C72" s="458"/>
      <c r="D72" s="458"/>
      <c r="E72" s="458"/>
      <c r="F72" s="458"/>
      <c r="G72" s="458"/>
      <c r="H72" s="458"/>
      <c r="I72" s="458"/>
      <c r="J72" s="458"/>
    </row>
    <row r="73">
      <c r="A73" s="474">
        <v>1.0</v>
      </c>
      <c r="B73" s="477" t="s">
        <v>1896</v>
      </c>
      <c r="C73" s="454"/>
      <c r="D73" s="454"/>
      <c r="E73" s="3"/>
      <c r="F73" s="466"/>
      <c r="G73" s="466"/>
      <c r="H73" s="466"/>
      <c r="I73" s="466"/>
      <c r="J73" s="476">
        <f>SUM(F73:I73)</f>
        <v>0</v>
      </c>
    </row>
  </sheetData>
  <mergeCells count="27">
    <mergeCell ref="A3:E3"/>
    <mergeCell ref="F3:J3"/>
    <mergeCell ref="E30:F30"/>
    <mergeCell ref="A39:E39"/>
    <mergeCell ref="F39:J39"/>
    <mergeCell ref="F40:G40"/>
    <mergeCell ref="H40:I40"/>
    <mergeCell ref="F49:I49"/>
    <mergeCell ref="A51:J51"/>
    <mergeCell ref="B52:E52"/>
    <mergeCell ref="B54:E54"/>
    <mergeCell ref="B55:E55"/>
    <mergeCell ref="B56:E56"/>
    <mergeCell ref="B57:E57"/>
    <mergeCell ref="B66:E66"/>
    <mergeCell ref="B67:E67"/>
    <mergeCell ref="B68:E68"/>
    <mergeCell ref="B69:E69"/>
    <mergeCell ref="B71:E71"/>
    <mergeCell ref="B73:E73"/>
    <mergeCell ref="B58:E58"/>
    <mergeCell ref="B59:E59"/>
    <mergeCell ref="B60:E60"/>
    <mergeCell ref="B61:E61"/>
    <mergeCell ref="B62:E62"/>
    <mergeCell ref="B63:E63"/>
    <mergeCell ref="B64:E64"/>
  </mergeCells>
  <dataValidations>
    <dataValidation type="list" allowBlank="1" showErrorMessage="1" sqref="J1">
      <formula1>"Tháng 1,Tháng 2,Tháng 3,Tháng 4,Tháng 5,Tháng 6,Tháng 7,Tháng 8,Tháng 9,Tháng 10,Tháng 11,Tháng 12,Quý 1,Quý 2,Quý 3,Quý 4,6 tháng đầu năm,6 tháng cuối năm,Năm nay,Năm trước"</formula1>
    </dataValidation>
  </dataValidation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7">
      <c r="A17" s="478" t="s">
        <v>1958</v>
      </c>
      <c r="B17" s="479"/>
      <c r="C17" s="479"/>
      <c r="D17" s="479"/>
      <c r="E17" s="479"/>
      <c r="F17" s="479"/>
      <c r="G17" s="479"/>
      <c r="H17" s="479"/>
      <c r="I17" s="479"/>
      <c r="J17" s="479"/>
      <c r="K17" s="479"/>
      <c r="L17" s="479"/>
      <c r="M17" s="479"/>
      <c r="N17" s="479"/>
      <c r="O17" s="479"/>
      <c r="P17" s="479"/>
      <c r="Q17" s="479"/>
      <c r="R17" s="479"/>
      <c r="S17" s="479"/>
      <c r="T17" s="479"/>
      <c r="U17" s="479"/>
      <c r="V17" s="479"/>
      <c r="W17" s="479"/>
      <c r="X17" s="479"/>
      <c r="Y17" s="479"/>
      <c r="Z17" s="479"/>
    </row>
    <row r="18">
      <c r="A18" s="478" t="s">
        <v>1959</v>
      </c>
      <c r="B18" s="479"/>
      <c r="C18" s="479"/>
      <c r="D18" s="479"/>
      <c r="E18" s="479"/>
      <c r="F18" s="479"/>
      <c r="G18" s="479"/>
      <c r="H18" s="479"/>
      <c r="I18" s="479"/>
      <c r="J18" s="479"/>
      <c r="K18" s="479"/>
      <c r="L18" s="479"/>
      <c r="M18" s="479"/>
      <c r="N18" s="479"/>
      <c r="O18" s="479"/>
      <c r="P18" s="479"/>
      <c r="Q18" s="479"/>
      <c r="R18" s="479"/>
      <c r="S18" s="479"/>
      <c r="T18" s="479"/>
      <c r="U18" s="479"/>
      <c r="V18" s="479"/>
      <c r="W18" s="479"/>
      <c r="X18" s="479"/>
      <c r="Y18" s="479"/>
      <c r="Z18" s="479"/>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G1" s="98" t="s">
        <v>1960</v>
      </c>
    </row>
    <row r="2">
      <c r="G2" s="98" t="s">
        <v>1961</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1.29"/>
    <col customWidth="1" min="2" max="2" width="49.71"/>
    <col customWidth="1" min="6" max="6" width="20.14"/>
  </cols>
  <sheetData>
    <row r="1">
      <c r="A1" s="480"/>
      <c r="B1" s="481"/>
      <c r="C1" s="482"/>
      <c r="D1" s="482"/>
      <c r="E1" s="482"/>
      <c r="F1" s="482"/>
    </row>
    <row r="2">
      <c r="A2" s="480"/>
      <c r="B2" s="481"/>
      <c r="C2" s="481"/>
      <c r="D2" s="483" t="s">
        <v>1962</v>
      </c>
      <c r="E2" s="481"/>
      <c r="F2" s="481"/>
    </row>
    <row r="3">
      <c r="A3" s="484"/>
      <c r="B3" s="485"/>
      <c r="C3" s="231" t="s">
        <v>1963</v>
      </c>
      <c r="D3" s="486"/>
      <c r="E3" s="487"/>
      <c r="F3" s="487"/>
    </row>
    <row r="4">
      <c r="A4" s="488"/>
      <c r="B4" s="489"/>
      <c r="C4" s="231" t="s">
        <v>1964</v>
      </c>
      <c r="D4" s="490"/>
      <c r="E4" s="491" t="str">
        <f>CDPS!K4</f>
        <v/>
      </c>
      <c r="F4" s="275"/>
    </row>
    <row r="5">
      <c r="A5" s="492" t="s">
        <v>1965</v>
      </c>
      <c r="B5" s="493" t="s">
        <v>1966</v>
      </c>
      <c r="C5" s="494" t="s">
        <v>1967</v>
      </c>
      <c r="D5" s="495" t="s">
        <v>1968</v>
      </c>
      <c r="E5" s="494" t="s">
        <v>1969</v>
      </c>
      <c r="F5" s="495" t="s">
        <v>1970</v>
      </c>
    </row>
    <row r="6">
      <c r="A6" s="496"/>
      <c r="B6" s="497"/>
      <c r="C6" s="498"/>
      <c r="D6" s="498"/>
      <c r="E6" s="498"/>
      <c r="F6" s="498"/>
    </row>
    <row r="7">
      <c r="A7" s="499"/>
      <c r="B7" s="500"/>
      <c r="C7" s="501"/>
      <c r="D7" s="501"/>
      <c r="E7" s="501"/>
      <c r="F7" s="501"/>
    </row>
    <row r="8">
      <c r="A8" s="502"/>
      <c r="B8" s="503"/>
      <c r="C8" s="504"/>
      <c r="D8" s="504"/>
      <c r="E8" s="505"/>
      <c r="F8" s="505"/>
    </row>
    <row r="9">
      <c r="A9" s="506"/>
      <c r="B9" s="507"/>
      <c r="C9" s="504"/>
      <c r="D9" s="504"/>
      <c r="E9" s="505"/>
      <c r="F9" s="505"/>
    </row>
    <row r="10">
      <c r="A10" s="506"/>
      <c r="B10" s="507"/>
      <c r="C10" s="504"/>
      <c r="D10" s="504"/>
      <c r="E10" s="505"/>
      <c r="F10" s="505"/>
    </row>
    <row r="11">
      <c r="A11" s="506"/>
      <c r="B11" s="507"/>
      <c r="C11" s="504"/>
      <c r="D11" s="504"/>
      <c r="E11" s="505"/>
      <c r="F11" s="505"/>
    </row>
    <row r="12">
      <c r="A12" s="508"/>
      <c r="B12" s="509"/>
      <c r="C12" s="509"/>
      <c r="D12" s="509"/>
      <c r="E12" s="509"/>
      <c r="F12" s="509"/>
    </row>
    <row r="13">
      <c r="A13" s="510"/>
      <c r="B13" s="511" t="s">
        <v>1824</v>
      </c>
      <c r="C13" s="481"/>
      <c r="D13" s="512" t="s">
        <v>19</v>
      </c>
      <c r="E13" s="481"/>
      <c r="F13" s="481"/>
    </row>
    <row r="14">
      <c r="A14" s="510"/>
      <c r="B14" s="513" t="s">
        <v>1825</v>
      </c>
      <c r="C14" s="481"/>
      <c r="D14" s="481" t="s">
        <v>1825</v>
      </c>
      <c r="E14" s="481"/>
      <c r="F14" s="481"/>
    </row>
  </sheetData>
  <mergeCells count="1">
    <mergeCell ref="E4:F4"/>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43"/>
    <col customWidth="1" min="2" max="2" width="6.14"/>
    <col customWidth="1" min="3" max="3" width="5.86"/>
    <col customWidth="1" min="4" max="4" width="27.14"/>
    <col customWidth="1" min="5" max="6" width="14.14"/>
    <col customWidth="1" min="7" max="7" width="15.86"/>
    <col customWidth="1" min="8" max="9" width="14.14"/>
    <col customWidth="1" min="10" max="11" width="10.43"/>
    <col customWidth="1" min="12" max="12" width="11.86"/>
    <col customWidth="1" min="13" max="13" width="27.14"/>
  </cols>
  <sheetData>
    <row r="1">
      <c r="A1" s="514" t="s">
        <v>1971</v>
      </c>
      <c r="B1" s="515"/>
      <c r="C1" s="516"/>
      <c r="D1" s="517"/>
      <c r="E1" s="518" t="s">
        <v>1972</v>
      </c>
      <c r="F1" s="518" t="s">
        <v>1973</v>
      </c>
      <c r="G1" s="518" t="s">
        <v>1974</v>
      </c>
      <c r="H1" s="518" t="s">
        <v>1975</v>
      </c>
      <c r="I1" s="518" t="s">
        <v>1976</v>
      </c>
      <c r="J1" s="518" t="s">
        <v>1977</v>
      </c>
      <c r="K1" s="518" t="s">
        <v>1978</v>
      </c>
      <c r="L1" s="518" t="s">
        <v>1979</v>
      </c>
      <c r="M1" s="518" t="s">
        <v>1980</v>
      </c>
    </row>
    <row r="2">
      <c r="A2" s="519"/>
      <c r="C2" s="520"/>
      <c r="D2" s="517"/>
      <c r="E2" s="521" t="s">
        <v>1981</v>
      </c>
      <c r="F2" s="521" t="s">
        <v>1982</v>
      </c>
      <c r="G2" s="521" t="s">
        <v>1983</v>
      </c>
      <c r="H2" s="521" t="s">
        <v>1984</v>
      </c>
      <c r="I2" s="521" t="s">
        <v>1985</v>
      </c>
      <c r="J2" s="522"/>
      <c r="K2" s="522"/>
      <c r="L2" s="522"/>
      <c r="M2" s="522"/>
    </row>
    <row r="3">
      <c r="A3" s="523"/>
      <c r="B3" s="524"/>
      <c r="C3" s="525"/>
      <c r="D3" s="517"/>
      <c r="E3" s="521" t="s">
        <v>1986</v>
      </c>
      <c r="F3" s="521" t="s">
        <v>1987</v>
      </c>
      <c r="G3" s="521" t="s">
        <v>1988</v>
      </c>
      <c r="H3" s="521" t="s">
        <v>1989</v>
      </c>
      <c r="I3" s="521" t="s">
        <v>1990</v>
      </c>
      <c r="J3" s="522"/>
      <c r="K3" s="522"/>
      <c r="L3" s="522"/>
      <c r="M3" s="522"/>
    </row>
    <row r="4">
      <c r="A4" s="526" t="s">
        <v>1913</v>
      </c>
      <c r="B4" s="526"/>
      <c r="C4" s="527"/>
      <c r="D4" s="528"/>
      <c r="E4" s="529"/>
      <c r="F4" s="529"/>
      <c r="G4" s="529"/>
      <c r="H4" s="529"/>
      <c r="I4" s="529"/>
      <c r="J4" s="529"/>
      <c r="K4" s="529"/>
      <c r="L4" s="529"/>
      <c r="M4" s="529"/>
    </row>
    <row r="5">
      <c r="A5" s="530">
        <v>5.0</v>
      </c>
      <c r="B5" s="530" t="s">
        <v>1915</v>
      </c>
      <c r="C5" s="531"/>
      <c r="D5" s="532"/>
      <c r="E5" s="533"/>
      <c r="F5" s="534"/>
      <c r="G5" s="534" t="b">
        <v>0</v>
      </c>
      <c r="H5" s="533"/>
      <c r="I5" s="533"/>
      <c r="J5" s="533"/>
      <c r="K5" s="533"/>
      <c r="L5" s="533"/>
      <c r="M5" s="533"/>
    </row>
    <row r="6">
      <c r="A6" s="530"/>
      <c r="B6" s="530"/>
      <c r="C6" s="535" t="s">
        <v>1991</v>
      </c>
      <c r="D6" s="532"/>
      <c r="E6" s="533"/>
      <c r="F6" s="534" t="b">
        <v>0</v>
      </c>
      <c r="G6" s="533"/>
      <c r="H6" s="533"/>
      <c r="I6" s="533"/>
      <c r="J6" s="533"/>
      <c r="K6" s="533"/>
      <c r="L6" s="533"/>
      <c r="M6" s="533"/>
    </row>
    <row r="7">
      <c r="A7" s="530"/>
      <c r="B7" s="530"/>
      <c r="C7" s="535"/>
      <c r="D7" s="536" t="s">
        <v>1992</v>
      </c>
      <c r="E7" s="533"/>
      <c r="F7" s="534" t="b">
        <v>0</v>
      </c>
      <c r="G7" s="533"/>
      <c r="H7" s="533"/>
      <c r="I7" s="533"/>
      <c r="J7" s="533"/>
      <c r="K7" s="533"/>
      <c r="L7" s="533"/>
      <c r="M7" s="533"/>
    </row>
    <row r="8">
      <c r="A8" s="530"/>
      <c r="B8" s="530"/>
      <c r="C8" s="535" t="s">
        <v>1916</v>
      </c>
      <c r="D8" s="532"/>
      <c r="E8" s="533"/>
      <c r="F8" s="534" t="b">
        <v>0</v>
      </c>
      <c r="G8" s="533"/>
      <c r="H8" s="533"/>
      <c r="I8" s="533"/>
      <c r="J8" s="533"/>
      <c r="K8" s="533"/>
      <c r="L8" s="533"/>
      <c r="M8" s="533"/>
    </row>
    <row r="9">
      <c r="A9" s="530"/>
      <c r="B9" s="530"/>
      <c r="C9" s="535"/>
      <c r="D9" s="532"/>
      <c r="E9" s="533"/>
      <c r="F9" s="533"/>
      <c r="G9" s="533"/>
      <c r="H9" s="533"/>
      <c r="I9" s="533"/>
      <c r="J9" s="533"/>
      <c r="K9" s="533"/>
      <c r="L9" s="533"/>
      <c r="M9" s="533"/>
    </row>
    <row r="10">
      <c r="A10" s="530"/>
      <c r="B10" s="530"/>
      <c r="C10" s="535"/>
      <c r="D10" s="532"/>
      <c r="E10" s="533"/>
      <c r="F10" s="533"/>
      <c r="G10" s="533"/>
      <c r="H10" s="533"/>
      <c r="I10" s="533"/>
      <c r="J10" s="533"/>
      <c r="K10" s="533"/>
      <c r="L10" s="533"/>
      <c r="M10" s="533"/>
    </row>
    <row r="11">
      <c r="A11" s="530"/>
      <c r="B11" s="530"/>
      <c r="C11" s="535"/>
      <c r="D11" s="532"/>
      <c r="E11" s="533"/>
      <c r="F11" s="533"/>
      <c r="G11" s="533"/>
      <c r="H11" s="533"/>
      <c r="I11" s="533"/>
      <c r="J11" s="533"/>
      <c r="K11" s="533"/>
      <c r="L11" s="533"/>
      <c r="M11" s="533"/>
    </row>
    <row r="12">
      <c r="A12" s="530"/>
      <c r="B12" s="530"/>
      <c r="C12" s="535" t="s">
        <v>1323</v>
      </c>
      <c r="D12" s="532"/>
      <c r="E12" s="533"/>
      <c r="F12" s="534" t="b">
        <v>0</v>
      </c>
      <c r="G12" s="533"/>
      <c r="H12" s="533"/>
      <c r="I12" s="533"/>
      <c r="J12" s="533"/>
      <c r="K12" s="533"/>
      <c r="L12" s="533"/>
      <c r="M12" s="533"/>
    </row>
    <row r="13">
      <c r="A13" s="530"/>
      <c r="B13" s="530"/>
      <c r="C13" s="535" t="s">
        <v>1917</v>
      </c>
      <c r="D13" s="532"/>
      <c r="E13" s="533"/>
      <c r="F13" s="534" t="b">
        <v>0</v>
      </c>
      <c r="G13" s="533"/>
      <c r="H13" s="533"/>
      <c r="I13" s="533"/>
      <c r="J13" s="533"/>
      <c r="K13" s="533"/>
      <c r="L13" s="533"/>
      <c r="M13" s="533"/>
    </row>
    <row r="14">
      <c r="A14" s="530">
        <v>4.0</v>
      </c>
      <c r="B14" s="530" t="s">
        <v>1993</v>
      </c>
      <c r="C14" s="531"/>
      <c r="D14" s="532"/>
      <c r="E14" s="533"/>
      <c r="F14" s="533"/>
      <c r="G14" s="533"/>
      <c r="H14" s="533"/>
      <c r="I14" s="533"/>
      <c r="J14" s="533"/>
      <c r="K14" s="533"/>
      <c r="L14" s="533"/>
      <c r="M14" s="533"/>
    </row>
    <row r="15">
      <c r="A15" s="537"/>
      <c r="B15" s="537"/>
      <c r="C15" s="535" t="s">
        <v>1994</v>
      </c>
      <c r="D15" s="532"/>
      <c r="E15" s="534"/>
      <c r="F15" s="534" t="b">
        <v>0</v>
      </c>
      <c r="G15" s="533"/>
      <c r="H15" s="533"/>
      <c r="I15" s="533"/>
      <c r="J15" s="533"/>
      <c r="K15" s="533"/>
      <c r="L15" s="533"/>
      <c r="M15" s="533"/>
    </row>
    <row r="16">
      <c r="A16" s="537"/>
      <c r="B16" s="537"/>
      <c r="C16" s="535" t="s">
        <v>1995</v>
      </c>
      <c r="D16" s="532"/>
      <c r="E16" s="533"/>
      <c r="F16" s="534" t="b">
        <v>0</v>
      </c>
      <c r="G16" s="533"/>
      <c r="H16" s="533"/>
      <c r="I16" s="533"/>
      <c r="J16" s="533"/>
      <c r="K16" s="533"/>
      <c r="L16" s="533"/>
      <c r="M16" s="533"/>
    </row>
    <row r="17">
      <c r="A17" s="530"/>
      <c r="B17" s="530"/>
      <c r="C17" s="535" t="s">
        <v>1510</v>
      </c>
      <c r="D17" s="532"/>
      <c r="E17" s="533"/>
      <c r="F17" s="533"/>
      <c r="G17" s="534" t="b">
        <v>0</v>
      </c>
      <c r="H17" s="534"/>
      <c r="I17" s="534"/>
      <c r="J17" s="533"/>
      <c r="K17" s="533"/>
      <c r="L17" s="533"/>
      <c r="M17" s="533"/>
    </row>
    <row r="18">
      <c r="A18" s="530"/>
      <c r="B18" s="530"/>
      <c r="C18" s="535" t="s">
        <v>1917</v>
      </c>
      <c r="D18" s="532"/>
      <c r="E18" s="533"/>
      <c r="F18" s="534" t="b">
        <v>0</v>
      </c>
      <c r="G18" s="533"/>
      <c r="H18" s="533"/>
      <c r="I18" s="533"/>
      <c r="J18" s="533"/>
      <c r="K18" s="533"/>
      <c r="L18" s="533"/>
      <c r="M18" s="533"/>
    </row>
    <row r="19">
      <c r="A19" s="530"/>
      <c r="B19" s="530"/>
      <c r="C19" s="535" t="s">
        <v>1323</v>
      </c>
      <c r="D19" s="532"/>
      <c r="E19" s="533"/>
      <c r="F19" s="534" t="b">
        <v>0</v>
      </c>
      <c r="G19" s="533"/>
      <c r="H19" s="533"/>
      <c r="I19" s="533"/>
      <c r="J19" s="533"/>
      <c r="K19" s="533"/>
      <c r="L19" s="533"/>
      <c r="M19" s="533"/>
    </row>
    <row r="20">
      <c r="A20" s="530"/>
      <c r="B20" s="530"/>
      <c r="C20" s="535" t="s">
        <v>1996</v>
      </c>
      <c r="D20" s="532"/>
      <c r="E20" s="533"/>
      <c r="F20" s="533"/>
      <c r="G20" s="534" t="b">
        <v>0</v>
      </c>
      <c r="H20" s="534"/>
      <c r="I20" s="534"/>
      <c r="J20" s="533"/>
      <c r="K20" s="533"/>
      <c r="L20" s="533"/>
      <c r="M20" s="533"/>
    </row>
    <row r="21">
      <c r="A21" s="530"/>
      <c r="B21" s="530"/>
      <c r="C21" s="535" t="s">
        <v>1997</v>
      </c>
      <c r="D21" s="532"/>
      <c r="E21" s="533"/>
      <c r="F21" s="534"/>
      <c r="G21" s="534"/>
      <c r="H21" s="534"/>
      <c r="I21" s="534" t="b">
        <v>0</v>
      </c>
      <c r="J21" s="533"/>
      <c r="K21" s="533"/>
      <c r="L21" s="533"/>
      <c r="M21" s="533"/>
    </row>
    <row r="22">
      <c r="A22" s="526" t="s">
        <v>1998</v>
      </c>
      <c r="B22" s="526"/>
      <c r="C22" s="527"/>
      <c r="D22" s="528"/>
      <c r="E22" s="529"/>
      <c r="F22" s="529"/>
      <c r="G22" s="529"/>
      <c r="H22" s="529"/>
      <c r="I22" s="529"/>
      <c r="J22" s="529"/>
      <c r="K22" s="529"/>
      <c r="L22" s="529"/>
      <c r="M22" s="529"/>
    </row>
    <row r="23">
      <c r="A23" s="530">
        <v>3.0</v>
      </c>
      <c r="B23" s="530" t="s">
        <v>1999</v>
      </c>
      <c r="C23" s="531"/>
      <c r="D23" s="532"/>
      <c r="E23" s="533"/>
      <c r="F23" s="533"/>
      <c r="G23" s="533"/>
      <c r="H23" s="533"/>
      <c r="I23" s="533"/>
      <c r="J23" s="533"/>
      <c r="K23" s="533"/>
      <c r="L23" s="533"/>
      <c r="M23" s="533"/>
    </row>
    <row r="24">
      <c r="A24" s="538"/>
      <c r="B24" s="538"/>
      <c r="C24" s="539" t="s">
        <v>1994</v>
      </c>
      <c r="D24" s="540"/>
      <c r="E24" s="541" t="b">
        <v>1</v>
      </c>
      <c r="F24" s="542"/>
      <c r="G24" s="542"/>
      <c r="H24" s="542"/>
      <c r="I24" s="542"/>
      <c r="J24" s="542"/>
      <c r="K24" s="542"/>
      <c r="L24" s="542"/>
      <c r="M24" s="542"/>
    </row>
    <row r="25">
      <c r="A25" s="538"/>
      <c r="B25" s="538"/>
      <c r="C25" s="539"/>
      <c r="D25" s="543" t="s">
        <v>2000</v>
      </c>
      <c r="E25" s="541" t="b">
        <v>1</v>
      </c>
      <c r="F25" s="542"/>
      <c r="G25" s="542"/>
      <c r="H25" s="542"/>
      <c r="I25" s="542"/>
      <c r="J25" s="542"/>
      <c r="K25" s="542"/>
      <c r="L25" s="542"/>
      <c r="M25" s="542"/>
    </row>
    <row r="26">
      <c r="A26" s="538"/>
      <c r="B26" s="538"/>
      <c r="C26" s="539"/>
      <c r="D26" s="543" t="s">
        <v>1916</v>
      </c>
      <c r="E26" s="541" t="b">
        <v>1</v>
      </c>
      <c r="F26" s="542"/>
      <c r="G26" s="542"/>
      <c r="H26" s="542"/>
      <c r="I26" s="542"/>
      <c r="J26" s="542"/>
      <c r="K26" s="542"/>
      <c r="L26" s="542"/>
      <c r="M26" s="542"/>
    </row>
    <row r="27">
      <c r="A27" s="538"/>
      <c r="B27" s="538"/>
      <c r="C27" s="539"/>
      <c r="D27" s="543" t="s">
        <v>2001</v>
      </c>
      <c r="E27" s="541" t="b">
        <v>1</v>
      </c>
      <c r="F27" s="542"/>
      <c r="G27" s="542"/>
      <c r="H27" s="542"/>
      <c r="I27" s="542"/>
      <c r="J27" s="542"/>
      <c r="K27" s="542"/>
      <c r="L27" s="542"/>
      <c r="M27" s="542"/>
    </row>
    <row r="28">
      <c r="A28" s="537"/>
      <c r="B28" s="537"/>
      <c r="C28" s="535"/>
      <c r="D28" s="536" t="s">
        <v>2002</v>
      </c>
      <c r="E28" s="533"/>
      <c r="F28" s="533"/>
      <c r="G28" s="534"/>
      <c r="H28" s="534"/>
      <c r="I28" s="534" t="b">
        <v>0</v>
      </c>
      <c r="J28" s="533"/>
      <c r="K28" s="533"/>
      <c r="L28" s="533"/>
      <c r="M28" s="533"/>
    </row>
    <row r="29">
      <c r="A29" s="537"/>
      <c r="B29" s="537"/>
      <c r="C29" s="535"/>
      <c r="D29" s="536" t="s">
        <v>2003</v>
      </c>
      <c r="E29" s="533"/>
      <c r="F29" s="533"/>
      <c r="G29" s="534"/>
      <c r="H29" s="534"/>
      <c r="I29" s="534" t="b">
        <v>0</v>
      </c>
      <c r="J29" s="533"/>
      <c r="K29" s="533"/>
      <c r="L29" s="533"/>
      <c r="M29" s="533"/>
    </row>
    <row r="30">
      <c r="A30" s="538"/>
      <c r="B30" s="538"/>
      <c r="C30" s="539" t="s">
        <v>2004</v>
      </c>
      <c r="D30" s="540"/>
      <c r="E30" s="541" t="b">
        <v>1</v>
      </c>
      <c r="F30" s="541"/>
      <c r="G30" s="542"/>
      <c r="H30" s="542"/>
      <c r="I30" s="542"/>
      <c r="J30" s="542"/>
      <c r="K30" s="542"/>
      <c r="L30" s="542"/>
      <c r="M30" s="542"/>
    </row>
    <row r="31">
      <c r="A31" s="538"/>
      <c r="B31" s="538"/>
      <c r="C31" s="539" t="s">
        <v>2005</v>
      </c>
      <c r="D31" s="540"/>
      <c r="E31" s="541" t="b">
        <v>1</v>
      </c>
      <c r="F31" s="541"/>
      <c r="G31" s="542"/>
      <c r="H31" s="542"/>
      <c r="I31" s="542"/>
      <c r="J31" s="542"/>
      <c r="K31" s="542"/>
      <c r="L31" s="542"/>
      <c r="M31" s="542"/>
    </row>
    <row r="32">
      <c r="A32" s="537"/>
      <c r="B32" s="537"/>
      <c r="C32" s="535" t="s">
        <v>2006</v>
      </c>
      <c r="D32" s="532"/>
      <c r="E32" s="533"/>
      <c r="F32" s="534"/>
      <c r="G32" s="533"/>
      <c r="H32" s="533"/>
      <c r="I32" s="533"/>
      <c r="J32" s="533"/>
      <c r="K32" s="533"/>
      <c r="L32" s="533"/>
      <c r="M32" s="533"/>
    </row>
    <row r="33">
      <c r="A33" s="537"/>
      <c r="B33" s="537"/>
      <c r="C33" s="531"/>
      <c r="D33" s="536" t="s">
        <v>2007</v>
      </c>
      <c r="E33" s="533"/>
      <c r="F33" s="534" t="b">
        <v>0</v>
      </c>
      <c r="G33" s="534" t="b">
        <v>0</v>
      </c>
      <c r="H33" s="534"/>
      <c r="I33" s="534"/>
      <c r="J33" s="533"/>
      <c r="K33" s="533"/>
      <c r="L33" s="533"/>
      <c r="M33" s="533"/>
    </row>
    <row r="34">
      <c r="A34" s="537"/>
      <c r="B34" s="537"/>
      <c r="C34" s="531"/>
      <c r="D34" s="536" t="s">
        <v>1649</v>
      </c>
      <c r="E34" s="533"/>
      <c r="F34" s="534" t="b">
        <v>0</v>
      </c>
      <c r="G34" s="534"/>
      <c r="H34" s="534"/>
      <c r="I34" s="534"/>
      <c r="J34" s="533"/>
      <c r="K34" s="533"/>
      <c r="L34" s="533"/>
      <c r="M34" s="533"/>
    </row>
    <row r="35">
      <c r="A35" s="537"/>
      <c r="B35" s="537"/>
      <c r="C35" s="531"/>
      <c r="D35" s="536" t="s">
        <v>2008</v>
      </c>
      <c r="E35" s="534" t="b">
        <v>1</v>
      </c>
      <c r="F35" s="534"/>
      <c r="G35" s="533"/>
      <c r="H35" s="533"/>
      <c r="I35" s="533"/>
      <c r="J35" s="533"/>
      <c r="K35" s="533"/>
      <c r="L35" s="533"/>
      <c r="M35" s="533"/>
    </row>
    <row r="36">
      <c r="A36" s="537"/>
      <c r="B36" s="537"/>
      <c r="C36" s="531"/>
      <c r="D36" s="536" t="s">
        <v>2009</v>
      </c>
      <c r="E36" s="533"/>
      <c r="F36" s="533"/>
      <c r="G36" s="534" t="b">
        <v>0</v>
      </c>
      <c r="H36" s="534"/>
      <c r="I36" s="534"/>
      <c r="J36" s="533"/>
      <c r="K36" s="533"/>
      <c r="L36" s="533"/>
      <c r="M36" s="533"/>
    </row>
    <row r="37">
      <c r="A37" s="537"/>
      <c r="B37" s="537"/>
      <c r="C37" s="531"/>
      <c r="D37" s="536" t="s">
        <v>2010</v>
      </c>
      <c r="E37" s="533"/>
      <c r="F37" s="533"/>
      <c r="G37" s="534" t="b">
        <v>0</v>
      </c>
      <c r="H37" s="534"/>
      <c r="I37" s="534"/>
      <c r="J37" s="533"/>
      <c r="K37" s="533"/>
      <c r="L37" s="533"/>
      <c r="M37" s="533"/>
    </row>
    <row r="38">
      <c r="A38" s="537"/>
      <c r="B38" s="537"/>
      <c r="C38" s="531"/>
      <c r="D38" s="536" t="s">
        <v>2011</v>
      </c>
      <c r="E38" s="533"/>
      <c r="F38" s="534"/>
      <c r="G38" s="533"/>
      <c r="H38" s="534" t="b">
        <v>0</v>
      </c>
      <c r="I38" s="534"/>
      <c r="J38" s="533"/>
      <c r="K38" s="533"/>
      <c r="L38" s="533"/>
      <c r="M38" s="533"/>
    </row>
    <row r="39">
      <c r="A39" s="530"/>
      <c r="B39" s="530"/>
      <c r="C39" s="531"/>
      <c r="D39" s="536" t="s">
        <v>2012</v>
      </c>
      <c r="E39" s="533"/>
      <c r="F39" s="533"/>
      <c r="G39" s="534" t="b">
        <v>0</v>
      </c>
      <c r="H39" s="534"/>
      <c r="I39" s="534"/>
      <c r="J39" s="533"/>
      <c r="K39" s="533"/>
      <c r="L39" s="533"/>
      <c r="M39" s="533"/>
    </row>
    <row r="40">
      <c r="A40" s="538"/>
      <c r="B40" s="538"/>
      <c r="C40" s="539" t="s">
        <v>2013</v>
      </c>
      <c r="D40" s="540"/>
      <c r="E40" s="542"/>
      <c r="F40" s="542"/>
      <c r="G40" s="542"/>
      <c r="H40" s="542"/>
      <c r="I40" s="542"/>
      <c r="J40" s="542"/>
      <c r="K40" s="542"/>
      <c r="L40" s="542"/>
      <c r="M40" s="542"/>
    </row>
    <row r="41">
      <c r="A41" s="538"/>
      <c r="B41" s="538"/>
      <c r="C41" s="544"/>
      <c r="D41" s="543" t="s">
        <v>2014</v>
      </c>
      <c r="E41" s="541" t="b">
        <v>1</v>
      </c>
      <c r="F41" s="541"/>
      <c r="G41" s="542"/>
      <c r="H41" s="542"/>
      <c r="I41" s="542"/>
      <c r="J41" s="542"/>
      <c r="K41" s="542"/>
      <c r="L41" s="542"/>
      <c r="M41" s="542"/>
    </row>
    <row r="42">
      <c r="A42" s="545"/>
      <c r="B42" s="545"/>
      <c r="C42" s="544"/>
      <c r="D42" s="543" t="s">
        <v>2015</v>
      </c>
      <c r="E42" s="541" t="b">
        <v>0</v>
      </c>
      <c r="F42" s="541"/>
      <c r="G42" s="542"/>
      <c r="H42" s="542"/>
      <c r="I42" s="542"/>
      <c r="J42" s="542"/>
      <c r="K42" s="542"/>
      <c r="L42" s="542"/>
      <c r="M42" s="542"/>
    </row>
    <row r="43">
      <c r="A43" s="545"/>
      <c r="B43" s="545"/>
      <c r="C43" s="544"/>
      <c r="D43" s="543" t="s">
        <v>2016</v>
      </c>
      <c r="E43" s="542"/>
      <c r="F43" s="541"/>
      <c r="G43" s="541" t="b">
        <v>0</v>
      </c>
      <c r="H43" s="542"/>
      <c r="I43" s="542"/>
      <c r="J43" s="542"/>
      <c r="K43" s="542"/>
      <c r="L43" s="542"/>
      <c r="M43" s="542"/>
    </row>
    <row r="44">
      <c r="A44" s="530"/>
      <c r="B44" s="530"/>
      <c r="C44" s="531"/>
      <c r="D44" s="536" t="s">
        <v>2017</v>
      </c>
      <c r="E44" s="533"/>
      <c r="F44" s="533"/>
      <c r="G44" s="534" t="b">
        <v>0</v>
      </c>
      <c r="H44" s="534"/>
      <c r="I44" s="534"/>
      <c r="J44" s="533"/>
      <c r="K44" s="533"/>
      <c r="L44" s="533"/>
      <c r="M44" s="533"/>
    </row>
    <row r="45">
      <c r="A45" s="530"/>
      <c r="B45" s="530"/>
      <c r="C45" s="531"/>
      <c r="D45" s="536" t="s">
        <v>2018</v>
      </c>
      <c r="E45" s="533"/>
      <c r="F45" s="533"/>
      <c r="G45" s="534" t="b">
        <v>0</v>
      </c>
      <c r="H45" s="534"/>
      <c r="I45" s="534"/>
      <c r="J45" s="533"/>
      <c r="K45" s="533"/>
      <c r="L45" s="533"/>
      <c r="M45" s="533"/>
    </row>
    <row r="46">
      <c r="A46" s="537"/>
      <c r="B46" s="537"/>
      <c r="C46" s="531"/>
      <c r="D46" s="532"/>
      <c r="E46" s="533"/>
      <c r="F46" s="533"/>
      <c r="G46" s="533"/>
      <c r="H46" s="533"/>
      <c r="I46" s="533"/>
      <c r="J46" s="533"/>
      <c r="K46" s="533"/>
      <c r="L46" s="533"/>
      <c r="M46" s="533"/>
    </row>
    <row r="47">
      <c r="A47" s="530">
        <v>2.0</v>
      </c>
      <c r="B47" s="530" t="s">
        <v>2019</v>
      </c>
      <c r="C47" s="531"/>
      <c r="D47" s="532"/>
      <c r="E47" s="533"/>
      <c r="F47" s="533"/>
      <c r="G47" s="533"/>
      <c r="H47" s="533"/>
      <c r="I47" s="533"/>
      <c r="J47" s="533"/>
      <c r="K47" s="533"/>
      <c r="L47" s="533"/>
      <c r="M47" s="533"/>
    </row>
    <row r="48">
      <c r="A48" s="537"/>
      <c r="B48" s="537"/>
      <c r="C48" s="535" t="s">
        <v>2020</v>
      </c>
      <c r="D48" s="532"/>
      <c r="E48" s="533"/>
      <c r="F48" s="534" t="b">
        <v>0</v>
      </c>
      <c r="G48" s="534"/>
      <c r="H48" s="534" t="b">
        <v>0</v>
      </c>
      <c r="I48" s="534"/>
      <c r="J48" s="533"/>
      <c r="K48" s="533"/>
      <c r="L48" s="533"/>
      <c r="M48" s="533"/>
    </row>
    <row r="49">
      <c r="A49" s="537"/>
      <c r="B49" s="537"/>
      <c r="C49" s="535" t="s">
        <v>2021</v>
      </c>
      <c r="D49" s="532"/>
      <c r="E49" s="533"/>
      <c r="F49" s="534" t="b">
        <v>0</v>
      </c>
      <c r="G49" s="534"/>
      <c r="H49" s="534" t="b">
        <v>0</v>
      </c>
      <c r="I49" s="534"/>
      <c r="J49" s="533"/>
      <c r="K49" s="533"/>
      <c r="L49" s="533"/>
      <c r="M49" s="533"/>
    </row>
    <row r="50">
      <c r="A50" s="538"/>
      <c r="B50" s="538"/>
      <c r="C50" s="539" t="s">
        <v>2022</v>
      </c>
      <c r="D50" s="540"/>
      <c r="E50" s="541" t="b">
        <v>1</v>
      </c>
      <c r="F50" s="542"/>
      <c r="G50" s="542"/>
      <c r="H50" s="542"/>
      <c r="I50" s="542"/>
      <c r="J50" s="542"/>
      <c r="K50" s="542"/>
      <c r="L50" s="542"/>
      <c r="M50" s="542"/>
    </row>
    <row r="51">
      <c r="A51" s="537"/>
      <c r="B51" s="537"/>
      <c r="C51" s="535" t="s">
        <v>2023</v>
      </c>
      <c r="D51" s="532"/>
      <c r="E51" s="533"/>
      <c r="F51" s="533"/>
      <c r="G51" s="534"/>
      <c r="H51" s="534"/>
      <c r="I51" s="534"/>
      <c r="J51" s="533"/>
      <c r="K51" s="533"/>
      <c r="L51" s="533"/>
      <c r="M51" s="533"/>
    </row>
    <row r="52">
      <c r="A52" s="537"/>
      <c r="B52" s="537"/>
      <c r="C52" s="535" t="s">
        <v>2024</v>
      </c>
      <c r="D52" s="532"/>
      <c r="E52" s="533"/>
      <c r="F52" s="533"/>
      <c r="G52" s="534" t="b">
        <v>0</v>
      </c>
      <c r="H52" s="534"/>
      <c r="I52" s="534"/>
      <c r="J52" s="533"/>
      <c r="K52" s="533"/>
      <c r="L52" s="533"/>
      <c r="M52" s="533"/>
    </row>
    <row r="53">
      <c r="A53" s="537"/>
      <c r="B53" s="537"/>
      <c r="C53" s="535" t="s">
        <v>2025</v>
      </c>
      <c r="D53" s="532"/>
      <c r="E53" s="533"/>
      <c r="F53" s="533"/>
      <c r="G53" s="534" t="b">
        <v>0</v>
      </c>
      <c r="H53" s="534"/>
      <c r="I53" s="534"/>
      <c r="J53" s="533"/>
      <c r="K53" s="533"/>
      <c r="L53" s="533"/>
      <c r="M53" s="533"/>
    </row>
    <row r="54">
      <c r="A54" s="537"/>
      <c r="B54" s="537"/>
      <c r="C54" s="535" t="s">
        <v>2026</v>
      </c>
      <c r="D54" s="532"/>
      <c r="E54" s="533"/>
      <c r="F54" s="533"/>
      <c r="G54" s="534" t="b">
        <v>0</v>
      </c>
      <c r="H54" s="534"/>
      <c r="I54" s="534"/>
      <c r="J54" s="533"/>
      <c r="K54" s="533"/>
      <c r="L54" s="533"/>
      <c r="M54" s="533"/>
    </row>
    <row r="55">
      <c r="A55" s="538"/>
      <c r="B55" s="538"/>
      <c r="C55" s="539" t="s">
        <v>2027</v>
      </c>
      <c r="D55" s="540"/>
      <c r="E55" s="542"/>
      <c r="F55" s="541" t="b">
        <v>0</v>
      </c>
      <c r="G55" s="542"/>
      <c r="H55" s="542"/>
      <c r="I55" s="542"/>
      <c r="J55" s="542"/>
      <c r="K55" s="542"/>
      <c r="L55" s="542"/>
      <c r="M55" s="542"/>
    </row>
    <row r="56">
      <c r="A56" s="537"/>
      <c r="B56" s="537"/>
      <c r="C56" s="535" t="s">
        <v>2028</v>
      </c>
      <c r="D56" s="532"/>
      <c r="E56" s="533"/>
      <c r="F56" s="533"/>
      <c r="G56" s="534"/>
      <c r="H56" s="534" t="b">
        <v>0</v>
      </c>
      <c r="I56" s="534"/>
      <c r="J56" s="533"/>
      <c r="K56" s="533"/>
      <c r="L56" s="533"/>
      <c r="M56" s="533"/>
    </row>
    <row r="57">
      <c r="A57" s="537"/>
      <c r="B57" s="537"/>
      <c r="C57" s="535" t="s">
        <v>2029</v>
      </c>
      <c r="D57" s="532"/>
      <c r="E57" s="533"/>
      <c r="F57" s="533"/>
      <c r="G57" s="534"/>
      <c r="H57" s="534" t="b">
        <v>0</v>
      </c>
      <c r="I57" s="534"/>
      <c r="J57" s="533"/>
      <c r="K57" s="533"/>
      <c r="L57" s="533"/>
      <c r="M57" s="533"/>
    </row>
    <row r="58">
      <c r="A58" s="530">
        <v>1.0</v>
      </c>
      <c r="B58" s="530" t="s">
        <v>1758</v>
      </c>
      <c r="C58" s="531"/>
      <c r="D58" s="532"/>
      <c r="E58" s="533"/>
      <c r="F58" s="533"/>
      <c r="G58" s="533"/>
      <c r="H58" s="533"/>
      <c r="I58" s="533"/>
      <c r="J58" s="533"/>
      <c r="K58" s="533"/>
      <c r="L58" s="533"/>
      <c r="M58" s="533"/>
    </row>
    <row r="59">
      <c r="A59" s="530"/>
      <c r="B59" s="530"/>
      <c r="C59" s="535" t="s">
        <v>1567</v>
      </c>
      <c r="D59" s="532"/>
      <c r="E59" s="533"/>
      <c r="F59" s="534" t="b">
        <v>0</v>
      </c>
      <c r="G59" s="533"/>
      <c r="H59" s="534" t="b">
        <v>0</v>
      </c>
      <c r="I59" s="534"/>
      <c r="J59" s="533"/>
      <c r="K59" s="533"/>
      <c r="L59" s="533"/>
      <c r="M59" s="533"/>
    </row>
    <row r="60">
      <c r="A60" s="530"/>
      <c r="B60" s="530"/>
      <c r="C60" s="535" t="s">
        <v>1569</v>
      </c>
      <c r="D60" s="532"/>
      <c r="E60" s="533"/>
      <c r="F60" s="534" t="b">
        <v>0</v>
      </c>
      <c r="G60" s="533"/>
      <c r="H60" s="534" t="b">
        <v>0</v>
      </c>
      <c r="I60" s="534"/>
      <c r="J60" s="533"/>
      <c r="K60" s="533"/>
      <c r="L60" s="533"/>
      <c r="M60" s="533"/>
    </row>
    <row r="61">
      <c r="A61" s="530"/>
      <c r="B61" s="530"/>
      <c r="C61" s="535" t="s">
        <v>2030</v>
      </c>
      <c r="D61" s="532"/>
      <c r="E61" s="533"/>
      <c r="F61" s="533"/>
      <c r="G61" s="534"/>
      <c r="H61" s="534" t="b">
        <v>0</v>
      </c>
      <c r="I61" s="534"/>
      <c r="J61" s="533"/>
      <c r="K61" s="533"/>
      <c r="L61" s="533"/>
      <c r="M61" s="533"/>
    </row>
    <row r="62">
      <c r="A62" s="530"/>
      <c r="B62" s="530"/>
      <c r="C62" s="535" t="s">
        <v>2031</v>
      </c>
      <c r="D62" s="532"/>
      <c r="E62" s="533"/>
      <c r="F62" s="533"/>
      <c r="G62" s="534"/>
      <c r="H62" s="534" t="b">
        <v>0</v>
      </c>
      <c r="I62" s="534"/>
      <c r="J62" s="533"/>
      <c r="K62" s="533"/>
      <c r="L62" s="533"/>
      <c r="M62" s="533"/>
    </row>
    <row r="63">
      <c r="A63" s="530"/>
      <c r="B63" s="530"/>
      <c r="C63" s="535" t="s">
        <v>2032</v>
      </c>
      <c r="D63" s="532"/>
      <c r="E63" s="533"/>
      <c r="F63" s="533"/>
      <c r="G63" s="534"/>
      <c r="H63" s="534" t="b">
        <v>0</v>
      </c>
      <c r="I63" s="534"/>
      <c r="J63" s="533"/>
      <c r="K63" s="533"/>
      <c r="L63" s="533"/>
      <c r="M63" s="533"/>
    </row>
    <row r="64">
      <c r="A64" s="530"/>
      <c r="B64" s="530"/>
      <c r="C64" s="535" t="s">
        <v>2033</v>
      </c>
      <c r="D64" s="532"/>
      <c r="E64" s="533"/>
      <c r="F64" s="533"/>
      <c r="G64" s="534"/>
      <c r="H64" s="534" t="b">
        <v>0</v>
      </c>
      <c r="I64" s="534"/>
      <c r="J64" s="533"/>
      <c r="K64" s="533"/>
      <c r="L64" s="533"/>
      <c r="M64" s="533"/>
    </row>
    <row r="65">
      <c r="A65" s="530"/>
      <c r="B65" s="530"/>
      <c r="C65" s="535" t="s">
        <v>2034</v>
      </c>
      <c r="D65" s="532"/>
      <c r="E65" s="533"/>
      <c r="F65" s="533"/>
      <c r="G65" s="534"/>
      <c r="H65" s="534" t="b">
        <v>0</v>
      </c>
      <c r="I65" s="534"/>
      <c r="J65" s="533"/>
      <c r="K65" s="533"/>
      <c r="L65" s="533"/>
      <c r="M65" s="533"/>
    </row>
    <row r="66">
      <c r="A66" s="530"/>
      <c r="B66" s="530"/>
      <c r="C66" s="535" t="s">
        <v>2035</v>
      </c>
      <c r="D66" s="532"/>
      <c r="E66" s="533"/>
      <c r="F66" s="533"/>
      <c r="G66" s="534"/>
      <c r="H66" s="534" t="b">
        <v>0</v>
      </c>
      <c r="I66" s="534"/>
      <c r="J66" s="533"/>
      <c r="K66" s="533"/>
      <c r="L66" s="533"/>
      <c r="M66" s="533"/>
    </row>
    <row r="67">
      <c r="A67" s="530"/>
      <c r="B67" s="530"/>
      <c r="C67" s="535" t="s">
        <v>2036</v>
      </c>
      <c r="D67" s="532"/>
      <c r="E67" s="533"/>
      <c r="F67" s="533"/>
      <c r="G67" s="534"/>
      <c r="H67" s="534" t="b">
        <v>0</v>
      </c>
      <c r="I67" s="534"/>
      <c r="J67" s="533"/>
      <c r="K67" s="533"/>
      <c r="L67" s="533"/>
      <c r="M67" s="533"/>
    </row>
    <row r="68">
      <c r="A68" s="530"/>
      <c r="B68" s="530"/>
      <c r="C68" s="535" t="s">
        <v>2037</v>
      </c>
      <c r="D68" s="532"/>
      <c r="E68" s="533"/>
      <c r="F68" s="533"/>
      <c r="G68" s="534"/>
      <c r="H68" s="534" t="b">
        <v>0</v>
      </c>
      <c r="I68" s="534"/>
      <c r="J68" s="533"/>
      <c r="K68" s="533"/>
      <c r="L68" s="533"/>
      <c r="M68" s="533"/>
    </row>
    <row r="69">
      <c r="A69" s="530"/>
      <c r="B69" s="530"/>
      <c r="C69" s="535" t="s">
        <v>2038</v>
      </c>
      <c r="D69" s="532"/>
      <c r="E69" s="533"/>
      <c r="F69" s="533"/>
      <c r="G69" s="534"/>
      <c r="H69" s="534" t="b">
        <v>0</v>
      </c>
      <c r="I69" s="534"/>
      <c r="J69" s="533"/>
      <c r="K69" s="533"/>
      <c r="L69" s="533"/>
      <c r="M69" s="533"/>
    </row>
    <row r="70">
      <c r="A70" s="526" t="s">
        <v>2039</v>
      </c>
      <c r="B70" s="526"/>
      <c r="C70" s="527"/>
      <c r="D70" s="528"/>
      <c r="E70" s="529"/>
      <c r="F70" s="529"/>
      <c r="G70" s="529"/>
      <c r="H70" s="529"/>
      <c r="I70" s="529"/>
      <c r="J70" s="529"/>
      <c r="K70" s="529"/>
      <c r="L70" s="529"/>
      <c r="M70" s="529"/>
    </row>
    <row r="71">
      <c r="A71" s="545"/>
      <c r="B71" s="545" t="s">
        <v>2040</v>
      </c>
      <c r="C71" s="544"/>
      <c r="D71" s="540"/>
      <c r="E71" s="542"/>
      <c r="F71" s="542"/>
      <c r="G71" s="542"/>
      <c r="H71" s="542"/>
      <c r="I71" s="542"/>
      <c r="J71" s="542"/>
      <c r="K71" s="542"/>
      <c r="L71" s="542"/>
      <c r="M71" s="542"/>
    </row>
    <row r="72">
      <c r="A72" s="538"/>
      <c r="B72" s="538"/>
      <c r="C72" s="539" t="s">
        <v>1838</v>
      </c>
      <c r="D72" s="540"/>
      <c r="E72" s="541" t="b">
        <v>1</v>
      </c>
      <c r="F72" s="542"/>
      <c r="G72" s="542"/>
      <c r="H72" s="542"/>
      <c r="I72" s="542"/>
      <c r="J72" s="542"/>
      <c r="K72" s="542"/>
      <c r="L72" s="542"/>
      <c r="M72" s="542"/>
    </row>
    <row r="73">
      <c r="A73" s="538"/>
      <c r="B73" s="538"/>
      <c r="C73" s="539"/>
      <c r="D73" s="543" t="s">
        <v>60</v>
      </c>
      <c r="E73" s="541" t="b">
        <v>1</v>
      </c>
      <c r="F73" s="542"/>
      <c r="G73" s="542"/>
      <c r="H73" s="542"/>
      <c r="I73" s="542"/>
      <c r="J73" s="542"/>
      <c r="K73" s="542"/>
      <c r="L73" s="542"/>
      <c r="M73" s="542"/>
    </row>
    <row r="74">
      <c r="A74" s="538"/>
      <c r="B74" s="538"/>
      <c r="C74" s="539"/>
      <c r="D74" s="543" t="s">
        <v>1319</v>
      </c>
      <c r="E74" s="541" t="b">
        <v>1</v>
      </c>
      <c r="F74" s="542"/>
      <c r="G74" s="542"/>
      <c r="H74" s="542"/>
      <c r="I74" s="542"/>
      <c r="J74" s="542"/>
      <c r="K74" s="542"/>
      <c r="L74" s="542"/>
      <c r="M74" s="542"/>
    </row>
    <row r="75">
      <c r="A75" s="538"/>
      <c r="B75" s="538"/>
      <c r="C75" s="539" t="s">
        <v>1315</v>
      </c>
      <c r="D75" s="540"/>
      <c r="E75" s="541" t="b">
        <v>1</v>
      </c>
      <c r="F75" s="542"/>
      <c r="G75" s="542"/>
      <c r="H75" s="542"/>
      <c r="I75" s="542"/>
      <c r="J75" s="542"/>
      <c r="K75" s="542"/>
      <c r="L75" s="542"/>
      <c r="M75" s="542"/>
    </row>
    <row r="76">
      <c r="A76" s="538"/>
      <c r="B76" s="538"/>
      <c r="C76" s="539"/>
      <c r="D76" s="543" t="s">
        <v>1346</v>
      </c>
      <c r="E76" s="541" t="b">
        <v>1</v>
      </c>
      <c r="F76" s="542"/>
      <c r="G76" s="542"/>
      <c r="H76" s="542"/>
      <c r="I76" s="542"/>
      <c r="J76" s="542"/>
      <c r="K76" s="542"/>
      <c r="L76" s="542"/>
      <c r="M76" s="542"/>
    </row>
    <row r="77">
      <c r="A77" s="538"/>
      <c r="B77" s="538"/>
      <c r="C77" s="539"/>
      <c r="D77" s="543" t="s">
        <v>1412</v>
      </c>
      <c r="E77" s="541" t="b">
        <v>1</v>
      </c>
      <c r="F77" s="542"/>
      <c r="G77" s="542"/>
      <c r="H77" s="542"/>
      <c r="I77" s="542"/>
      <c r="J77" s="542"/>
      <c r="K77" s="542"/>
      <c r="L77" s="542"/>
      <c r="M77" s="542"/>
    </row>
    <row r="78">
      <c r="A78" s="538"/>
      <c r="B78" s="538"/>
      <c r="C78" s="539"/>
      <c r="D78" s="543" t="s">
        <v>1362</v>
      </c>
      <c r="E78" s="541" t="b">
        <v>1</v>
      </c>
      <c r="F78" s="542"/>
      <c r="G78" s="542"/>
      <c r="H78" s="542"/>
      <c r="I78" s="542"/>
      <c r="J78" s="542"/>
      <c r="K78" s="542"/>
      <c r="L78" s="542"/>
      <c r="M78" s="542"/>
    </row>
    <row r="79">
      <c r="A79" s="538"/>
      <c r="B79" s="538"/>
      <c r="C79" s="539"/>
      <c r="D79" s="543" t="s">
        <v>2041</v>
      </c>
      <c r="E79" s="541" t="b">
        <v>1</v>
      </c>
      <c r="F79" s="542"/>
      <c r="G79" s="542"/>
      <c r="H79" s="542"/>
      <c r="I79" s="542"/>
      <c r="J79" s="542"/>
      <c r="K79" s="542"/>
      <c r="L79" s="542"/>
      <c r="M79" s="542"/>
    </row>
    <row r="80">
      <c r="A80" s="538"/>
      <c r="B80" s="538"/>
      <c r="C80" s="539" t="s">
        <v>1321</v>
      </c>
      <c r="D80" s="540"/>
      <c r="E80" s="541" t="b">
        <v>1</v>
      </c>
      <c r="F80" s="542"/>
      <c r="G80" s="542"/>
      <c r="H80" s="542"/>
      <c r="I80" s="542"/>
      <c r="J80" s="542"/>
      <c r="K80" s="542"/>
      <c r="L80" s="542"/>
      <c r="M80" s="542"/>
    </row>
    <row r="81">
      <c r="A81" s="538"/>
      <c r="B81" s="538"/>
      <c r="C81" s="539" t="s">
        <v>1322</v>
      </c>
      <c r="D81" s="540"/>
      <c r="E81" s="541" t="b">
        <v>1</v>
      </c>
      <c r="F81" s="542"/>
      <c r="G81" s="542"/>
      <c r="H81" s="542"/>
      <c r="I81" s="542"/>
      <c r="J81" s="542"/>
      <c r="K81" s="542"/>
      <c r="L81" s="542"/>
      <c r="M81" s="542"/>
    </row>
    <row r="82">
      <c r="A82" s="538"/>
      <c r="B82" s="538"/>
      <c r="C82" s="539" t="s">
        <v>1829</v>
      </c>
      <c r="D82" s="540"/>
      <c r="E82" s="541"/>
      <c r="F82" s="541" t="b">
        <v>0</v>
      </c>
      <c r="G82" s="542"/>
      <c r="H82" s="542"/>
      <c r="I82" s="542"/>
      <c r="J82" s="542"/>
      <c r="K82" s="542"/>
      <c r="L82" s="542"/>
      <c r="M82" s="542"/>
    </row>
    <row r="83">
      <c r="A83" s="538"/>
      <c r="B83" s="538"/>
      <c r="C83" s="539" t="s">
        <v>2042</v>
      </c>
      <c r="D83" s="540"/>
      <c r="E83" s="541" t="b">
        <v>1</v>
      </c>
      <c r="F83" s="542"/>
      <c r="G83" s="542"/>
      <c r="H83" s="542"/>
      <c r="I83" s="542"/>
      <c r="J83" s="542"/>
      <c r="K83" s="542"/>
      <c r="L83" s="542"/>
      <c r="M83" s="542"/>
    </row>
    <row r="84">
      <c r="A84" s="538"/>
      <c r="B84" s="538"/>
      <c r="C84" s="539" t="s">
        <v>89</v>
      </c>
      <c r="D84" s="540"/>
      <c r="E84" s="541" t="b">
        <v>1</v>
      </c>
      <c r="F84" s="542"/>
      <c r="G84" s="542"/>
      <c r="H84" s="542"/>
      <c r="I84" s="542"/>
      <c r="J84" s="542"/>
      <c r="K84" s="542"/>
      <c r="L84" s="542"/>
      <c r="M84" s="542"/>
    </row>
    <row r="85">
      <c r="A85" s="538"/>
      <c r="B85" s="538"/>
      <c r="C85" s="539" t="s">
        <v>2043</v>
      </c>
      <c r="D85" s="540"/>
      <c r="E85" s="541"/>
      <c r="F85" s="542"/>
      <c r="G85" s="541" t="b">
        <v>0</v>
      </c>
      <c r="H85" s="541"/>
      <c r="I85" s="541"/>
      <c r="J85" s="542"/>
      <c r="K85" s="542"/>
      <c r="L85" s="542"/>
      <c r="M85" s="542"/>
    </row>
    <row r="86">
      <c r="A86" s="545"/>
      <c r="B86" s="545"/>
      <c r="C86" s="539" t="s">
        <v>2044</v>
      </c>
      <c r="D86" s="540"/>
      <c r="E86" s="542"/>
      <c r="F86" s="542"/>
      <c r="G86" s="542" t="b">
        <v>0</v>
      </c>
      <c r="H86" s="542"/>
      <c r="I86" s="542"/>
      <c r="J86" s="542"/>
      <c r="K86" s="542"/>
      <c r="L86" s="542"/>
      <c r="M86" s="542"/>
    </row>
    <row r="87">
      <c r="A87" s="530"/>
      <c r="B87" s="530" t="s">
        <v>2045</v>
      </c>
      <c r="C87" s="531"/>
      <c r="D87" s="532"/>
      <c r="E87" s="533"/>
      <c r="F87" s="533"/>
      <c r="G87" s="534"/>
      <c r="H87" s="534"/>
      <c r="I87" s="534" t="b">
        <v>0</v>
      </c>
      <c r="J87" s="533"/>
      <c r="K87" s="533"/>
      <c r="L87" s="533"/>
      <c r="M87" s="533"/>
    </row>
    <row r="88">
      <c r="A88" s="530"/>
      <c r="B88" s="530"/>
      <c r="C88" s="531"/>
      <c r="D88" s="532"/>
      <c r="E88" s="533"/>
      <c r="F88" s="533"/>
      <c r="G88" s="534"/>
      <c r="H88" s="534"/>
      <c r="I88" s="534" t="b">
        <v>0</v>
      </c>
      <c r="J88" s="533"/>
      <c r="K88" s="533"/>
      <c r="L88" s="533"/>
      <c r="M88" s="533"/>
    </row>
    <row r="89">
      <c r="A89" s="530"/>
      <c r="B89" s="530"/>
      <c r="C89" s="531"/>
      <c r="D89" s="532"/>
      <c r="E89" s="533"/>
      <c r="F89" s="533"/>
      <c r="G89" s="534"/>
      <c r="H89" s="534"/>
      <c r="I89" s="534" t="b">
        <v>0</v>
      </c>
      <c r="J89" s="533"/>
      <c r="K89" s="533"/>
      <c r="L89" s="533"/>
      <c r="M89" s="533"/>
    </row>
    <row r="90">
      <c r="A90" s="530"/>
      <c r="B90" s="530"/>
      <c r="C90" s="531"/>
      <c r="D90" s="532"/>
      <c r="E90" s="533"/>
      <c r="F90" s="533"/>
      <c r="G90" s="534"/>
      <c r="H90" s="534"/>
      <c r="I90" s="534" t="b">
        <v>0</v>
      </c>
      <c r="J90" s="533"/>
      <c r="K90" s="533"/>
      <c r="L90" s="533"/>
      <c r="M90" s="533"/>
    </row>
    <row r="91">
      <c r="A91" s="530"/>
      <c r="B91" s="530"/>
      <c r="C91" s="531"/>
      <c r="D91" s="532"/>
      <c r="E91" s="533"/>
      <c r="F91" s="533"/>
      <c r="G91" s="534"/>
      <c r="H91" s="534"/>
      <c r="I91" s="534" t="b">
        <v>0</v>
      </c>
      <c r="J91" s="533"/>
      <c r="K91" s="533"/>
      <c r="L91" s="533"/>
      <c r="M91" s="533"/>
    </row>
    <row r="92">
      <c r="A92" s="530"/>
      <c r="B92" s="530"/>
      <c r="C92" s="531"/>
      <c r="D92" s="532"/>
      <c r="E92" s="533"/>
      <c r="F92" s="533"/>
      <c r="G92" s="534"/>
      <c r="H92" s="534"/>
      <c r="I92" s="534" t="b">
        <v>0</v>
      </c>
      <c r="J92" s="533"/>
      <c r="K92" s="533"/>
      <c r="L92" s="533"/>
      <c r="M92" s="533"/>
    </row>
    <row r="93">
      <c r="A93" s="530"/>
      <c r="B93" s="530"/>
      <c r="C93" s="531"/>
      <c r="D93" s="532"/>
      <c r="E93" s="533"/>
      <c r="F93" s="533"/>
      <c r="G93" s="534"/>
      <c r="H93" s="534"/>
      <c r="I93" s="534" t="b">
        <v>0</v>
      </c>
      <c r="J93" s="533"/>
      <c r="K93" s="533"/>
      <c r="L93" s="533"/>
      <c r="M93" s="533"/>
    </row>
    <row r="94">
      <c r="A94" s="530"/>
      <c r="B94" s="530"/>
      <c r="C94" s="531"/>
      <c r="D94" s="532"/>
      <c r="E94" s="533"/>
      <c r="F94" s="533"/>
      <c r="G94" s="534"/>
      <c r="H94" s="534"/>
      <c r="I94" s="534" t="b">
        <v>0</v>
      </c>
      <c r="J94" s="533"/>
      <c r="K94" s="533"/>
      <c r="L94" s="533"/>
      <c r="M94" s="533"/>
    </row>
    <row r="95">
      <c r="A95" s="530"/>
      <c r="B95" s="530"/>
      <c r="C95" s="531"/>
      <c r="D95" s="532"/>
      <c r="E95" s="533"/>
      <c r="F95" s="533"/>
      <c r="G95" s="534"/>
      <c r="H95" s="534"/>
      <c r="I95" s="534" t="b">
        <v>0</v>
      </c>
      <c r="J95" s="533"/>
      <c r="K95" s="533"/>
      <c r="L95" s="533"/>
      <c r="M95" s="533"/>
    </row>
    <row r="96">
      <c r="A96" s="530"/>
      <c r="B96" s="530"/>
      <c r="C96" s="531"/>
      <c r="D96" s="532"/>
      <c r="E96" s="533"/>
      <c r="F96" s="533"/>
      <c r="G96" s="534"/>
      <c r="H96" s="534"/>
      <c r="I96" s="534" t="b">
        <v>0</v>
      </c>
      <c r="J96" s="533"/>
      <c r="K96" s="533"/>
      <c r="L96" s="533"/>
      <c r="M96" s="533"/>
    </row>
    <row r="97">
      <c r="A97" s="530"/>
      <c r="B97" s="530"/>
      <c r="C97" s="531"/>
      <c r="D97" s="532"/>
      <c r="E97" s="533"/>
      <c r="F97" s="533"/>
      <c r="G97" s="534"/>
      <c r="H97" s="534"/>
      <c r="I97" s="534" t="b">
        <v>0</v>
      </c>
      <c r="J97" s="533"/>
      <c r="K97" s="533"/>
      <c r="L97" s="533"/>
      <c r="M97" s="533"/>
    </row>
    <row r="98">
      <c r="A98" s="530"/>
      <c r="B98" s="530" t="s">
        <v>2046</v>
      </c>
      <c r="C98" s="531"/>
      <c r="D98" s="532"/>
      <c r="E98" s="533"/>
      <c r="F98" s="533"/>
      <c r="G98" s="534"/>
      <c r="H98" s="534"/>
      <c r="I98" s="534" t="b">
        <v>0</v>
      </c>
      <c r="J98" s="533"/>
      <c r="K98" s="533"/>
      <c r="L98" s="533"/>
      <c r="M98" s="533"/>
    </row>
    <row r="99">
      <c r="A99" s="537"/>
      <c r="B99" s="530" t="s">
        <v>2047</v>
      </c>
      <c r="C99" s="531"/>
      <c r="D99" s="532"/>
      <c r="E99" s="533"/>
      <c r="F99" s="533"/>
      <c r="G99" s="534"/>
      <c r="H99" s="534"/>
      <c r="I99" s="534" t="b">
        <v>0</v>
      </c>
      <c r="J99" s="533"/>
      <c r="K99" s="533"/>
      <c r="L99" s="533"/>
      <c r="M99" s="533"/>
    </row>
    <row r="100">
      <c r="A100" s="537"/>
      <c r="B100" s="530" t="s">
        <v>2048</v>
      </c>
      <c r="C100" s="531"/>
      <c r="D100" s="532"/>
      <c r="E100" s="533"/>
      <c r="F100" s="533"/>
      <c r="G100" s="534"/>
      <c r="H100" s="534"/>
      <c r="I100" s="534" t="b">
        <v>0</v>
      </c>
      <c r="J100" s="533"/>
      <c r="K100" s="533"/>
      <c r="L100" s="533"/>
      <c r="M100" s="533"/>
    </row>
    <row r="101">
      <c r="A101" s="537"/>
      <c r="B101" s="537"/>
      <c r="C101" s="531"/>
      <c r="D101" s="532"/>
      <c r="E101" s="533"/>
      <c r="F101" s="533"/>
      <c r="G101" s="533"/>
      <c r="H101" s="533"/>
      <c r="I101" s="533"/>
      <c r="J101" s="533"/>
      <c r="K101" s="533"/>
      <c r="L101" s="533"/>
      <c r="M101" s="533"/>
    </row>
    <row r="102">
      <c r="A102" s="537"/>
      <c r="B102" s="537"/>
      <c r="C102" s="531"/>
      <c r="D102" s="532"/>
      <c r="E102" s="533"/>
      <c r="F102" s="533"/>
      <c r="G102" s="533"/>
      <c r="H102" s="533"/>
      <c r="I102" s="533"/>
      <c r="J102" s="533"/>
      <c r="K102" s="533"/>
      <c r="L102" s="533"/>
      <c r="M102" s="533"/>
    </row>
    <row r="103">
      <c r="A103" s="537"/>
      <c r="B103" s="537"/>
      <c r="C103" s="531"/>
      <c r="D103" s="532"/>
      <c r="E103" s="533"/>
      <c r="F103" s="533"/>
      <c r="G103" s="533"/>
      <c r="H103" s="533"/>
      <c r="I103" s="533"/>
      <c r="J103" s="533"/>
      <c r="K103" s="533"/>
      <c r="L103" s="533"/>
      <c r="M103" s="533"/>
    </row>
    <row r="104">
      <c r="A104" s="537"/>
      <c r="B104" s="537"/>
      <c r="C104" s="531"/>
      <c r="D104" s="532"/>
      <c r="E104" s="533"/>
      <c r="F104" s="533"/>
      <c r="G104" s="533"/>
      <c r="H104" s="533"/>
      <c r="I104" s="533"/>
      <c r="J104" s="533"/>
      <c r="K104" s="533"/>
      <c r="L104" s="533"/>
      <c r="M104" s="533"/>
    </row>
    <row r="105">
      <c r="A105" s="537"/>
      <c r="B105" s="537"/>
      <c r="C105" s="531"/>
      <c r="D105" s="532"/>
      <c r="E105" s="533"/>
      <c r="F105" s="533"/>
      <c r="G105" s="533"/>
      <c r="H105" s="533"/>
      <c r="I105" s="533"/>
      <c r="J105" s="533"/>
      <c r="K105" s="533"/>
      <c r="L105" s="533"/>
      <c r="M105" s="533"/>
    </row>
    <row r="106">
      <c r="A106" s="537"/>
      <c r="B106" s="537"/>
      <c r="C106" s="531"/>
      <c r="D106" s="532"/>
      <c r="E106" s="533"/>
      <c r="F106" s="533"/>
      <c r="G106" s="533"/>
      <c r="H106" s="533"/>
      <c r="I106" s="533"/>
      <c r="J106" s="533"/>
      <c r="K106" s="533"/>
      <c r="L106" s="533"/>
      <c r="M106" s="533"/>
    </row>
    <row r="107">
      <c r="A107" s="537"/>
      <c r="B107" s="537"/>
      <c r="C107" s="531"/>
      <c r="D107" s="532"/>
      <c r="E107" s="533"/>
      <c r="F107" s="533"/>
      <c r="G107" s="533"/>
      <c r="H107" s="533"/>
      <c r="I107" s="533"/>
      <c r="J107" s="533"/>
      <c r="K107" s="533"/>
      <c r="L107" s="533"/>
      <c r="M107" s="533"/>
    </row>
  </sheetData>
  <mergeCells count="1">
    <mergeCell ref="A1:C3"/>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2.0" ySplit="4.0" topLeftCell="M5" activePane="bottomRight" state="frozen"/>
      <selection activeCell="M1" sqref="M1" pane="topRight"/>
      <selection activeCell="A5" sqref="A5" pane="bottomLeft"/>
      <selection activeCell="M5" sqref="M5" pane="bottomRight"/>
    </sheetView>
  </sheetViews>
  <sheetFormatPr customHeight="1" defaultColWidth="14.43" defaultRowHeight="15.0"/>
  <cols>
    <col customWidth="1" hidden="1" min="1" max="1" width="6.14"/>
    <col customWidth="1" min="2" max="2" width="21.29"/>
    <col customWidth="1" min="3" max="3" width="37.57"/>
    <col customWidth="1" min="4" max="4" width="12.29"/>
    <col customWidth="1" min="5" max="5" width="8.14"/>
    <col customWidth="1" min="6" max="6" width="7.29"/>
    <col customWidth="1" min="7" max="7" width="13.43"/>
    <col customWidth="1" min="8" max="8" width="8.71"/>
    <col customWidth="1" min="9" max="9" width="7.71"/>
    <col customWidth="1" min="10" max="10" width="11.86"/>
    <col customWidth="1" min="12" max="12" width="9.29"/>
  </cols>
  <sheetData>
    <row r="1" ht="28.5" customHeight="1">
      <c r="A1" s="546"/>
      <c r="B1" s="547" t="s">
        <v>2049</v>
      </c>
      <c r="M1" s="548" t="s">
        <v>2050</v>
      </c>
      <c r="Q1" s="549" t="s">
        <v>2051</v>
      </c>
    </row>
    <row r="2">
      <c r="A2" s="550"/>
      <c r="B2" s="550"/>
      <c r="C2" s="550"/>
      <c r="D2" s="551" t="s">
        <v>2052</v>
      </c>
      <c r="E2" s="552"/>
      <c r="F2" s="552"/>
      <c r="G2" s="552"/>
      <c r="H2" s="553"/>
      <c r="I2" s="554" t="s">
        <v>2053</v>
      </c>
      <c r="J2" s="552"/>
      <c r="K2" s="552"/>
      <c r="L2" s="553"/>
      <c r="M2" s="555"/>
      <c r="N2" s="555"/>
      <c r="O2" s="555"/>
      <c r="P2" s="555"/>
      <c r="Q2" s="556"/>
      <c r="R2" s="556"/>
      <c r="S2" s="556"/>
      <c r="T2" s="556"/>
      <c r="U2" s="556"/>
      <c r="V2" s="556"/>
      <c r="W2" s="556"/>
      <c r="X2" s="556"/>
      <c r="Y2" s="556"/>
      <c r="Z2" s="556"/>
      <c r="AA2" s="556"/>
      <c r="AB2" s="556"/>
    </row>
    <row r="3">
      <c r="A3" s="550" t="s">
        <v>34</v>
      </c>
      <c r="B3" s="550" t="s">
        <v>2054</v>
      </c>
      <c r="C3" s="550" t="s">
        <v>138</v>
      </c>
      <c r="D3" s="557" t="s">
        <v>2055</v>
      </c>
      <c r="E3" s="558" t="s">
        <v>2056</v>
      </c>
      <c r="F3" s="559"/>
      <c r="G3" s="560" t="s">
        <v>2057</v>
      </c>
      <c r="H3" s="561"/>
      <c r="I3" s="562" t="s">
        <v>2058</v>
      </c>
      <c r="J3" s="561" t="s">
        <v>2059</v>
      </c>
      <c r="K3" s="550" t="s">
        <v>2055</v>
      </c>
      <c r="L3" s="563" t="s">
        <v>2060</v>
      </c>
      <c r="M3" s="555" t="s">
        <v>2061</v>
      </c>
      <c r="N3" s="555" t="s">
        <v>2062</v>
      </c>
      <c r="O3" s="555" t="s">
        <v>2063</v>
      </c>
      <c r="P3" s="555" t="s">
        <v>2064</v>
      </c>
      <c r="Q3" s="556">
        <v>1.0</v>
      </c>
      <c r="R3" s="556">
        <v>2.0</v>
      </c>
      <c r="S3" s="556">
        <v>3.0</v>
      </c>
      <c r="T3" s="556">
        <v>4.0</v>
      </c>
      <c r="U3" s="556">
        <v>5.0</v>
      </c>
      <c r="V3" s="556">
        <v>6.0</v>
      </c>
      <c r="W3" s="556">
        <v>7.0</v>
      </c>
      <c r="X3" s="556">
        <v>8.0</v>
      </c>
      <c r="Y3" s="556">
        <v>9.0</v>
      </c>
      <c r="Z3" s="556">
        <v>10.0</v>
      </c>
      <c r="AA3" s="556">
        <v>11.0</v>
      </c>
      <c r="AB3" s="556">
        <v>12.0</v>
      </c>
    </row>
    <row r="4">
      <c r="A4" s="564"/>
      <c r="B4" s="564" t="s">
        <v>2065</v>
      </c>
      <c r="C4" s="565"/>
      <c r="D4" s="566">
        <f t="shared" ref="D4:E4" si="1">SUM(D5:D24)</f>
        <v>37608435</v>
      </c>
      <c r="E4" s="567">
        <f t="shared" si="1"/>
        <v>1.156217263</v>
      </c>
      <c r="F4" s="568"/>
      <c r="G4" s="569">
        <f>SUM(G5:G24)</f>
        <v>-482391565</v>
      </c>
      <c r="H4" s="570">
        <f t="shared" ref="H4:H45" si="3">(D4-(K4/12*4))/($K$5/12*4)</f>
        <v>-12.05978913</v>
      </c>
      <c r="I4" s="566">
        <f>SUM(I5:I24)</f>
        <v>1300</v>
      </c>
      <c r="J4" s="569"/>
      <c r="K4" s="571">
        <f t="shared" ref="K4:AB4" si="2">SUM(K5:K24)</f>
        <v>1560000000</v>
      </c>
      <c r="L4" s="570">
        <f t="shared" si="2"/>
        <v>1</v>
      </c>
      <c r="M4" s="571">
        <f t="shared" si="2"/>
        <v>0</v>
      </c>
      <c r="N4" s="571">
        <f t="shared" si="2"/>
        <v>520000000</v>
      </c>
      <c r="O4" s="571">
        <f t="shared" si="2"/>
        <v>520000000</v>
      </c>
      <c r="P4" s="571">
        <f t="shared" si="2"/>
        <v>520000000</v>
      </c>
      <c r="Q4" s="571">
        <f t="shared" si="2"/>
        <v>0</v>
      </c>
      <c r="R4" s="571">
        <f t="shared" si="2"/>
        <v>0</v>
      </c>
      <c r="S4" s="571">
        <f t="shared" si="2"/>
        <v>0</v>
      </c>
      <c r="T4" s="571">
        <f t="shared" si="2"/>
        <v>173333333.3</v>
      </c>
      <c r="U4" s="571">
        <f t="shared" si="2"/>
        <v>173333333.3</v>
      </c>
      <c r="V4" s="571">
        <f t="shared" si="2"/>
        <v>173333333.3</v>
      </c>
      <c r="W4" s="571">
        <f t="shared" si="2"/>
        <v>173333333.3</v>
      </c>
      <c r="X4" s="571">
        <f t="shared" si="2"/>
        <v>173333333.3</v>
      </c>
      <c r="Y4" s="571">
        <f t="shared" si="2"/>
        <v>173333333.3</v>
      </c>
      <c r="Z4" s="571">
        <f t="shared" si="2"/>
        <v>173333333.3</v>
      </c>
      <c r="AA4" s="571">
        <f t="shared" si="2"/>
        <v>173333333.3</v>
      </c>
      <c r="AB4" s="571">
        <f t="shared" si="2"/>
        <v>173333333.3</v>
      </c>
    </row>
    <row r="5">
      <c r="A5" s="572"/>
      <c r="B5" s="573" t="s">
        <v>2066</v>
      </c>
      <c r="C5" s="574"/>
      <c r="D5" s="575">
        <f>SUMIFS(AC_SOTIEN,AC_DA,$B6,AC_KM,"DOANHSO")/1000</f>
        <v>0</v>
      </c>
      <c r="E5" s="576" t="str">
        <f t="shared" ref="E5:E24" si="6">IF(D5&lt;&gt;0,D5/SUM($D$5:$D$20),"")</f>
        <v/>
      </c>
      <c r="F5" s="577"/>
      <c r="G5" s="578">
        <f t="shared" ref="G5:G24" si="7">D5-(K5/12*4)</f>
        <v>-40000000</v>
      </c>
      <c r="H5" s="579">
        <f t="shared" si="3"/>
        <v>-1</v>
      </c>
      <c r="I5" s="580">
        <v>100.0</v>
      </c>
      <c r="J5" s="581">
        <v>1200000.0</v>
      </c>
      <c r="K5" s="582">
        <f t="shared" ref="K5:K24" si="8">I5*J5</f>
        <v>120000000</v>
      </c>
      <c r="L5" s="583">
        <f t="shared" ref="L5:L24" si="9">IF(K5&lt;&gt;0,K5/SUM(K$5:K$20),"")</f>
        <v>0.07692307692</v>
      </c>
      <c r="M5" s="582"/>
      <c r="N5" s="582">
        <f t="shared" ref="N5:P5" si="4">$K5/3</f>
        <v>40000000</v>
      </c>
      <c r="O5" s="582">
        <f t="shared" si="4"/>
        <v>40000000</v>
      </c>
      <c r="P5" s="582">
        <f t="shared" si="4"/>
        <v>40000000</v>
      </c>
      <c r="Q5" s="584"/>
      <c r="R5" s="584"/>
      <c r="S5" s="584"/>
      <c r="T5" s="582">
        <f t="shared" ref="T5:AB5" si="5">$K5/9</f>
        <v>13333333.33</v>
      </c>
      <c r="U5" s="582">
        <f t="shared" si="5"/>
        <v>13333333.33</v>
      </c>
      <c r="V5" s="582">
        <f t="shared" si="5"/>
        <v>13333333.33</v>
      </c>
      <c r="W5" s="582">
        <f t="shared" si="5"/>
        <v>13333333.33</v>
      </c>
      <c r="X5" s="582">
        <f t="shared" si="5"/>
        <v>13333333.33</v>
      </c>
      <c r="Y5" s="582">
        <f t="shared" si="5"/>
        <v>13333333.33</v>
      </c>
      <c r="Z5" s="582">
        <f t="shared" si="5"/>
        <v>13333333.33</v>
      </c>
      <c r="AA5" s="582">
        <f t="shared" si="5"/>
        <v>13333333.33</v>
      </c>
      <c r="AB5" s="582">
        <f t="shared" si="5"/>
        <v>13333333.33</v>
      </c>
    </row>
    <row r="6">
      <c r="A6" s="572"/>
      <c r="B6" s="573" t="s">
        <v>2067</v>
      </c>
      <c r="C6" s="574" t="str">
        <f>IF(B6="","",VLOOKUP(B6,DM_DUAN,2,0))</f>
        <v>NAM PHONG</v>
      </c>
      <c r="D6" s="585">
        <f>SUMIFS(AC_SOTIEN,AC_DA,$B7,AC_KM,"DOANHSO")/1000</f>
        <v>0</v>
      </c>
      <c r="E6" s="576" t="str">
        <f t="shared" si="6"/>
        <v/>
      </c>
      <c r="F6" s="586"/>
      <c r="G6" s="587">
        <f t="shared" si="7"/>
        <v>-120000000</v>
      </c>
      <c r="H6" s="588">
        <f t="shared" si="3"/>
        <v>-3</v>
      </c>
      <c r="I6" s="589">
        <v>300.0</v>
      </c>
      <c r="J6" s="581">
        <v>1200000.0</v>
      </c>
      <c r="K6" s="582">
        <f t="shared" si="8"/>
        <v>360000000</v>
      </c>
      <c r="L6" s="583">
        <f t="shared" si="9"/>
        <v>0.2307692308</v>
      </c>
      <c r="M6" s="582"/>
      <c r="N6" s="582">
        <f t="shared" ref="N6:P6" si="10">$K6/3</f>
        <v>120000000</v>
      </c>
      <c r="O6" s="582">
        <f t="shared" si="10"/>
        <v>120000000</v>
      </c>
      <c r="P6" s="582">
        <f t="shared" si="10"/>
        <v>120000000</v>
      </c>
      <c r="Q6" s="584"/>
      <c r="R6" s="584"/>
      <c r="S6" s="584"/>
      <c r="T6" s="582">
        <f t="shared" ref="T6:AB6" si="11">$K6/9</f>
        <v>40000000</v>
      </c>
      <c r="U6" s="582">
        <f t="shared" si="11"/>
        <v>40000000</v>
      </c>
      <c r="V6" s="582">
        <f t="shared" si="11"/>
        <v>40000000</v>
      </c>
      <c r="W6" s="582">
        <f t="shared" si="11"/>
        <v>40000000</v>
      </c>
      <c r="X6" s="582">
        <f t="shared" si="11"/>
        <v>40000000</v>
      </c>
      <c r="Y6" s="582">
        <f t="shared" si="11"/>
        <v>40000000</v>
      </c>
      <c r="Z6" s="582">
        <f t="shared" si="11"/>
        <v>40000000</v>
      </c>
      <c r="AA6" s="582">
        <f t="shared" si="11"/>
        <v>40000000</v>
      </c>
      <c r="AB6" s="582">
        <f t="shared" si="11"/>
        <v>40000000</v>
      </c>
    </row>
    <row r="7">
      <c r="A7" s="572"/>
      <c r="B7" s="573" t="s">
        <v>2068</v>
      </c>
      <c r="C7" s="574"/>
      <c r="D7" s="585">
        <f>SUMIFS(AC_SOTIEN,AC_DA,$B8,AC_KM,"DOANHSO")/1000</f>
        <v>0</v>
      </c>
      <c r="E7" s="576" t="str">
        <f t="shared" si="6"/>
        <v/>
      </c>
      <c r="F7" s="586"/>
      <c r="G7" s="587">
        <f t="shared" si="7"/>
        <v>-40000000</v>
      </c>
      <c r="H7" s="588">
        <f t="shared" si="3"/>
        <v>-1</v>
      </c>
      <c r="I7" s="589">
        <v>100.0</v>
      </c>
      <c r="J7" s="581">
        <v>1200000.0</v>
      </c>
      <c r="K7" s="582">
        <f t="shared" si="8"/>
        <v>120000000</v>
      </c>
      <c r="L7" s="583">
        <f t="shared" si="9"/>
        <v>0.07692307692</v>
      </c>
      <c r="M7" s="582"/>
      <c r="N7" s="582">
        <f t="shared" ref="N7:P7" si="12">$K7/3</f>
        <v>40000000</v>
      </c>
      <c r="O7" s="582">
        <f t="shared" si="12"/>
        <v>40000000</v>
      </c>
      <c r="P7" s="582">
        <f t="shared" si="12"/>
        <v>40000000</v>
      </c>
      <c r="Q7" s="584"/>
      <c r="R7" s="584"/>
      <c r="S7" s="584"/>
      <c r="T7" s="582">
        <f t="shared" ref="T7:AB7" si="13">$K7/9</f>
        <v>13333333.33</v>
      </c>
      <c r="U7" s="582">
        <f t="shared" si="13"/>
        <v>13333333.33</v>
      </c>
      <c r="V7" s="582">
        <f t="shared" si="13"/>
        <v>13333333.33</v>
      </c>
      <c r="W7" s="582">
        <f t="shared" si="13"/>
        <v>13333333.33</v>
      </c>
      <c r="X7" s="582">
        <f t="shared" si="13"/>
        <v>13333333.33</v>
      </c>
      <c r="Y7" s="582">
        <f t="shared" si="13"/>
        <v>13333333.33</v>
      </c>
      <c r="Z7" s="582">
        <f t="shared" si="13"/>
        <v>13333333.33</v>
      </c>
      <c r="AA7" s="582">
        <f t="shared" si="13"/>
        <v>13333333.33</v>
      </c>
      <c r="AB7" s="582">
        <f t="shared" si="13"/>
        <v>13333333.33</v>
      </c>
    </row>
    <row r="8">
      <c r="A8" s="572"/>
      <c r="B8" s="573" t="s">
        <v>2069</v>
      </c>
      <c r="C8" s="574"/>
      <c r="D8" s="585">
        <f>SUMIFS(AC_SOTIEN,AC_DA,$B9,AC_KM,"DOANHSO")/1000</f>
        <v>0</v>
      </c>
      <c r="E8" s="576" t="str">
        <f t="shared" si="6"/>
        <v/>
      </c>
      <c r="F8" s="586"/>
      <c r="G8" s="587">
        <f t="shared" si="7"/>
        <v>0</v>
      </c>
      <c r="H8" s="588">
        <f t="shared" si="3"/>
        <v>0</v>
      </c>
      <c r="I8" s="589"/>
      <c r="J8" s="581">
        <v>1200000.0</v>
      </c>
      <c r="K8" s="582">
        <f t="shared" si="8"/>
        <v>0</v>
      </c>
      <c r="L8" s="583" t="str">
        <f t="shared" si="9"/>
        <v/>
      </c>
      <c r="M8" s="582"/>
      <c r="N8" s="582">
        <f t="shared" ref="N8:P8" si="14">$K8/3</f>
        <v>0</v>
      </c>
      <c r="O8" s="582">
        <f t="shared" si="14"/>
        <v>0</v>
      </c>
      <c r="P8" s="582">
        <f t="shared" si="14"/>
        <v>0</v>
      </c>
      <c r="Q8" s="584"/>
      <c r="R8" s="584"/>
      <c r="S8" s="584"/>
      <c r="T8" s="582">
        <f t="shared" ref="T8:AB8" si="15">$K8/9</f>
        <v>0</v>
      </c>
      <c r="U8" s="582">
        <f t="shared" si="15"/>
        <v>0</v>
      </c>
      <c r="V8" s="582">
        <f t="shared" si="15"/>
        <v>0</v>
      </c>
      <c r="W8" s="582">
        <f t="shared" si="15"/>
        <v>0</v>
      </c>
      <c r="X8" s="582">
        <f t="shared" si="15"/>
        <v>0</v>
      </c>
      <c r="Y8" s="582">
        <f t="shared" si="15"/>
        <v>0</v>
      </c>
      <c r="Z8" s="582">
        <f t="shared" si="15"/>
        <v>0</v>
      </c>
      <c r="AA8" s="582">
        <f t="shared" si="15"/>
        <v>0</v>
      </c>
      <c r="AB8" s="582">
        <f t="shared" si="15"/>
        <v>0</v>
      </c>
    </row>
    <row r="9">
      <c r="A9" s="572"/>
      <c r="B9" s="573" t="s">
        <v>2070</v>
      </c>
      <c r="C9" s="574" t="str">
        <f>IF(B9="","",VLOOKUP(B9,DM_DUAN,2,0))</f>
        <v>KHANG VƯỢNG</v>
      </c>
      <c r="D9" s="585">
        <f>SUMIFS(AC_SOTIEN,AC_DA,$B10,AC_KM,"DOANHSO")/1000</f>
        <v>0</v>
      </c>
      <c r="E9" s="576" t="str">
        <f t="shared" si="6"/>
        <v/>
      </c>
      <c r="F9" s="586"/>
      <c r="G9" s="587">
        <f t="shared" si="7"/>
        <v>-20000000</v>
      </c>
      <c r="H9" s="588">
        <f t="shared" si="3"/>
        <v>-0.5</v>
      </c>
      <c r="I9" s="589">
        <v>50.0</v>
      </c>
      <c r="J9" s="581">
        <v>1200000.0</v>
      </c>
      <c r="K9" s="582">
        <f t="shared" si="8"/>
        <v>60000000</v>
      </c>
      <c r="L9" s="583">
        <f t="shared" si="9"/>
        <v>0.03846153846</v>
      </c>
      <c r="M9" s="582"/>
      <c r="N9" s="582">
        <f t="shared" ref="N9:P9" si="16">$K9/3</f>
        <v>20000000</v>
      </c>
      <c r="O9" s="582">
        <f t="shared" si="16"/>
        <v>20000000</v>
      </c>
      <c r="P9" s="582">
        <f t="shared" si="16"/>
        <v>20000000</v>
      </c>
      <c r="Q9" s="584"/>
      <c r="R9" s="584"/>
      <c r="S9" s="584"/>
      <c r="T9" s="582">
        <f t="shared" ref="T9:AB9" si="17">$K9/9</f>
        <v>6666666.667</v>
      </c>
      <c r="U9" s="582">
        <f t="shared" si="17"/>
        <v>6666666.667</v>
      </c>
      <c r="V9" s="582">
        <f t="shared" si="17"/>
        <v>6666666.667</v>
      </c>
      <c r="W9" s="582">
        <f t="shared" si="17"/>
        <v>6666666.667</v>
      </c>
      <c r="X9" s="582">
        <f t="shared" si="17"/>
        <v>6666666.667</v>
      </c>
      <c r="Y9" s="582">
        <f t="shared" si="17"/>
        <v>6666666.667</v>
      </c>
      <c r="Z9" s="582">
        <f t="shared" si="17"/>
        <v>6666666.667</v>
      </c>
      <c r="AA9" s="582">
        <f t="shared" si="17"/>
        <v>6666666.667</v>
      </c>
      <c r="AB9" s="582">
        <f t="shared" si="17"/>
        <v>6666666.667</v>
      </c>
    </row>
    <row r="10">
      <c r="A10" s="572"/>
      <c r="B10" s="573" t="s">
        <v>2071</v>
      </c>
      <c r="C10" s="574"/>
      <c r="D10" s="585">
        <f>SUMIFS(AC_SOTIEN,AC_DA,$B11,AC_KM,"DOANHSO")/1000</f>
        <v>0</v>
      </c>
      <c r="E10" s="576" t="str">
        <f t="shared" si="6"/>
        <v/>
      </c>
      <c r="F10" s="586"/>
      <c r="G10" s="587">
        <f t="shared" si="7"/>
        <v>-20000000</v>
      </c>
      <c r="H10" s="588">
        <f t="shared" si="3"/>
        <v>-0.5</v>
      </c>
      <c r="I10" s="589">
        <v>50.0</v>
      </c>
      <c r="J10" s="581">
        <v>1200000.0</v>
      </c>
      <c r="K10" s="582">
        <f t="shared" si="8"/>
        <v>60000000</v>
      </c>
      <c r="L10" s="583">
        <f t="shared" si="9"/>
        <v>0.03846153846</v>
      </c>
      <c r="M10" s="582"/>
      <c r="N10" s="582">
        <f t="shared" ref="N10:P10" si="18">$K10/3</f>
        <v>20000000</v>
      </c>
      <c r="O10" s="582">
        <f t="shared" si="18"/>
        <v>20000000</v>
      </c>
      <c r="P10" s="582">
        <f t="shared" si="18"/>
        <v>20000000</v>
      </c>
      <c r="Q10" s="584"/>
      <c r="R10" s="584"/>
      <c r="S10" s="584"/>
      <c r="T10" s="582">
        <f t="shared" ref="T10:AB10" si="19">$K10/9</f>
        <v>6666666.667</v>
      </c>
      <c r="U10" s="582">
        <f t="shared" si="19"/>
        <v>6666666.667</v>
      </c>
      <c r="V10" s="582">
        <f t="shared" si="19"/>
        <v>6666666.667</v>
      </c>
      <c r="W10" s="582">
        <f t="shared" si="19"/>
        <v>6666666.667</v>
      </c>
      <c r="X10" s="582">
        <f t="shared" si="19"/>
        <v>6666666.667</v>
      </c>
      <c r="Y10" s="582">
        <f t="shared" si="19"/>
        <v>6666666.667</v>
      </c>
      <c r="Z10" s="582">
        <f t="shared" si="19"/>
        <v>6666666.667</v>
      </c>
      <c r="AA10" s="582">
        <f t="shared" si="19"/>
        <v>6666666.667</v>
      </c>
      <c r="AB10" s="582">
        <f t="shared" si="19"/>
        <v>6666666.667</v>
      </c>
    </row>
    <row r="11">
      <c r="A11" s="572"/>
      <c r="B11" s="573" t="s">
        <v>2072</v>
      </c>
      <c r="C11" s="574" t="str">
        <f>IF(B11="","",VLOOKUP(B11,DM_DUAN,2,0))</f>
        <v>TRẦN ANH GROUP</v>
      </c>
      <c r="D11" s="585">
        <f>SUMIFS(AC_SOTIEN,AC_DA,$B12,AC_KM,"DOANHSO")/1000</f>
        <v>0</v>
      </c>
      <c r="E11" s="576" t="str">
        <f t="shared" si="6"/>
        <v/>
      </c>
      <c r="F11" s="586"/>
      <c r="G11" s="587">
        <f t="shared" si="7"/>
        <v>-40000000</v>
      </c>
      <c r="H11" s="588">
        <f t="shared" si="3"/>
        <v>-1</v>
      </c>
      <c r="I11" s="589">
        <v>100.0</v>
      </c>
      <c r="J11" s="581">
        <v>1200000.0</v>
      </c>
      <c r="K11" s="582">
        <f t="shared" si="8"/>
        <v>120000000</v>
      </c>
      <c r="L11" s="583">
        <f t="shared" si="9"/>
        <v>0.07692307692</v>
      </c>
      <c r="M11" s="582"/>
      <c r="N11" s="582">
        <f t="shared" ref="N11:P11" si="20">$K11/3</f>
        <v>40000000</v>
      </c>
      <c r="O11" s="582">
        <f t="shared" si="20"/>
        <v>40000000</v>
      </c>
      <c r="P11" s="582">
        <f t="shared" si="20"/>
        <v>40000000</v>
      </c>
      <c r="Q11" s="584"/>
      <c r="R11" s="584"/>
      <c r="S11" s="584"/>
      <c r="T11" s="582">
        <f t="shared" ref="T11:AB11" si="21">$K11/9</f>
        <v>13333333.33</v>
      </c>
      <c r="U11" s="582">
        <f t="shared" si="21"/>
        <v>13333333.33</v>
      </c>
      <c r="V11" s="582">
        <f t="shared" si="21"/>
        <v>13333333.33</v>
      </c>
      <c r="W11" s="582">
        <f t="shared" si="21"/>
        <v>13333333.33</v>
      </c>
      <c r="X11" s="582">
        <f t="shared" si="21"/>
        <v>13333333.33</v>
      </c>
      <c r="Y11" s="582">
        <f t="shared" si="21"/>
        <v>13333333.33</v>
      </c>
      <c r="Z11" s="582">
        <f t="shared" si="21"/>
        <v>13333333.33</v>
      </c>
      <c r="AA11" s="582">
        <f t="shared" si="21"/>
        <v>13333333.33</v>
      </c>
      <c r="AB11" s="582">
        <f t="shared" si="21"/>
        <v>13333333.33</v>
      </c>
    </row>
    <row r="12">
      <c r="A12" s="572"/>
      <c r="B12" s="573" t="s">
        <v>2073</v>
      </c>
      <c r="C12" s="574" t="str">
        <f>IF(B12="","",VLOOKUP(B12,DM_DUAN,2,0))</f>
        <v>PHI TRƯỜNG</v>
      </c>
      <c r="D12" s="585">
        <f>SUMIFS(AC_SOTIEN,AC_DA,$B13,AC_KM,"DOANHSO")/1000</f>
        <v>0</v>
      </c>
      <c r="E12" s="576" t="str">
        <f t="shared" si="6"/>
        <v/>
      </c>
      <c r="F12" s="586"/>
      <c r="G12" s="587">
        <f t="shared" si="7"/>
        <v>-160000000</v>
      </c>
      <c r="H12" s="588">
        <f t="shared" si="3"/>
        <v>-4</v>
      </c>
      <c r="I12" s="589">
        <v>400.0</v>
      </c>
      <c r="J12" s="581">
        <v>1200000.0</v>
      </c>
      <c r="K12" s="582">
        <f t="shared" si="8"/>
        <v>480000000</v>
      </c>
      <c r="L12" s="583">
        <f t="shared" si="9"/>
        <v>0.3076923077</v>
      </c>
      <c r="M12" s="582"/>
      <c r="N12" s="582">
        <f t="shared" ref="N12:P12" si="22">$K12/3</f>
        <v>160000000</v>
      </c>
      <c r="O12" s="582">
        <f t="shared" si="22"/>
        <v>160000000</v>
      </c>
      <c r="P12" s="582">
        <f t="shared" si="22"/>
        <v>160000000</v>
      </c>
      <c r="Q12" s="584"/>
      <c r="R12" s="584"/>
      <c r="S12" s="584"/>
      <c r="T12" s="582">
        <f t="shared" ref="T12:AB12" si="23">$K12/9</f>
        <v>53333333.33</v>
      </c>
      <c r="U12" s="582">
        <f t="shared" si="23"/>
        <v>53333333.33</v>
      </c>
      <c r="V12" s="582">
        <f t="shared" si="23"/>
        <v>53333333.33</v>
      </c>
      <c r="W12" s="582">
        <f t="shared" si="23"/>
        <v>53333333.33</v>
      </c>
      <c r="X12" s="582">
        <f t="shared" si="23"/>
        <v>53333333.33</v>
      </c>
      <c r="Y12" s="582">
        <f t="shared" si="23"/>
        <v>53333333.33</v>
      </c>
      <c r="Z12" s="582">
        <f t="shared" si="23"/>
        <v>53333333.33</v>
      </c>
      <c r="AA12" s="582">
        <f t="shared" si="23"/>
        <v>53333333.33</v>
      </c>
      <c r="AB12" s="582">
        <f t="shared" si="23"/>
        <v>53333333.33</v>
      </c>
    </row>
    <row r="13">
      <c r="A13" s="572"/>
      <c r="B13" s="573" t="s">
        <v>2074</v>
      </c>
      <c r="C13" s="574" t="str">
        <f>IF(B13="","",VLOOKUP(B13,DM_DUAN,2,0))</f>
        <v>HOÀNG CÁT</v>
      </c>
      <c r="D13" s="585">
        <f>SUMIFS(AC_SOTIEN,AC_DA,$B14,AC_KM,"DOANHSO")/1000</f>
        <v>0</v>
      </c>
      <c r="E13" s="576" t="str">
        <f t="shared" si="6"/>
        <v/>
      </c>
      <c r="F13" s="586"/>
      <c r="G13" s="587">
        <f t="shared" si="7"/>
        <v>-80000000</v>
      </c>
      <c r="H13" s="588">
        <f t="shared" si="3"/>
        <v>-2</v>
      </c>
      <c r="I13" s="589">
        <v>200.0</v>
      </c>
      <c r="J13" s="581">
        <v>1200000.0</v>
      </c>
      <c r="K13" s="582">
        <f t="shared" si="8"/>
        <v>240000000</v>
      </c>
      <c r="L13" s="583">
        <f t="shared" si="9"/>
        <v>0.1538461538</v>
      </c>
      <c r="M13" s="582"/>
      <c r="N13" s="582">
        <f t="shared" ref="N13:P13" si="24">$K13/3</f>
        <v>80000000</v>
      </c>
      <c r="O13" s="582">
        <f t="shared" si="24"/>
        <v>80000000</v>
      </c>
      <c r="P13" s="582">
        <f t="shared" si="24"/>
        <v>80000000</v>
      </c>
      <c r="Q13" s="584"/>
      <c r="R13" s="584"/>
      <c r="S13" s="584"/>
      <c r="T13" s="582">
        <f t="shared" ref="T13:AB13" si="25">$K13/9</f>
        <v>26666666.67</v>
      </c>
      <c r="U13" s="582">
        <f t="shared" si="25"/>
        <v>26666666.67</v>
      </c>
      <c r="V13" s="582">
        <f t="shared" si="25"/>
        <v>26666666.67</v>
      </c>
      <c r="W13" s="582">
        <f t="shared" si="25"/>
        <v>26666666.67</v>
      </c>
      <c r="X13" s="582">
        <f t="shared" si="25"/>
        <v>26666666.67</v>
      </c>
      <c r="Y13" s="582">
        <f t="shared" si="25"/>
        <v>26666666.67</v>
      </c>
      <c r="Z13" s="582">
        <f t="shared" si="25"/>
        <v>26666666.67</v>
      </c>
      <c r="AA13" s="582">
        <f t="shared" si="25"/>
        <v>26666666.67</v>
      </c>
      <c r="AB13" s="582">
        <f t="shared" si="25"/>
        <v>26666666.67</v>
      </c>
    </row>
    <row r="14">
      <c r="A14" s="590"/>
      <c r="B14" s="591" t="s">
        <v>215</v>
      </c>
      <c r="C14" s="592" t="str">
        <f>IF(B14="","",VLOOKUP(B14,DM_DUAN,2,0))</f>
        <v>Phước Đông Garden</v>
      </c>
      <c r="D14" s="593">
        <f>SUMIFS(AC_SOTIEN,AC_DA,$B15,AC_KM,"DOANHSO")/1000</f>
        <v>0</v>
      </c>
      <c r="E14" s="594" t="str">
        <f t="shared" si="6"/>
        <v/>
      </c>
      <c r="F14" s="595"/>
      <c r="G14" s="596">
        <f t="shared" si="7"/>
        <v>0</v>
      </c>
      <c r="H14" s="597">
        <f t="shared" si="3"/>
        <v>0</v>
      </c>
      <c r="I14" s="598"/>
      <c r="J14" s="599"/>
      <c r="K14" s="600">
        <f t="shared" si="8"/>
        <v>0</v>
      </c>
      <c r="L14" s="601" t="str">
        <f t="shared" si="9"/>
        <v/>
      </c>
      <c r="M14" s="600"/>
      <c r="N14" s="600"/>
      <c r="O14" s="600"/>
      <c r="P14" s="600"/>
      <c r="Q14" s="602"/>
      <c r="R14" s="602"/>
      <c r="S14" s="602"/>
      <c r="T14" s="602"/>
      <c r="U14" s="602"/>
      <c r="V14" s="602"/>
      <c r="W14" s="602"/>
      <c r="X14" s="602"/>
      <c r="Y14" s="602"/>
      <c r="Z14" s="602"/>
      <c r="AA14" s="602"/>
      <c r="AB14" s="602"/>
    </row>
    <row r="15">
      <c r="A15" s="590"/>
      <c r="B15" s="591" t="s">
        <v>404</v>
      </c>
      <c r="C15" s="592" t="str">
        <f>IF(B15="","",VLOOKUP(B15,DM_DUAN,2,0))</f>
        <v>Hamil ton Garden</v>
      </c>
      <c r="D15" s="593">
        <f>SUMIFS(AC_SOTIEN,AC_DA,$B16,AC_KM,"DOANHSO")/1000</f>
        <v>0</v>
      </c>
      <c r="E15" s="594" t="str">
        <f t="shared" si="6"/>
        <v/>
      </c>
      <c r="F15" s="595"/>
      <c r="G15" s="596">
        <f t="shared" si="7"/>
        <v>0</v>
      </c>
      <c r="H15" s="597">
        <f t="shared" si="3"/>
        <v>0</v>
      </c>
      <c r="I15" s="598"/>
      <c r="J15" s="599"/>
      <c r="K15" s="600">
        <f t="shared" si="8"/>
        <v>0</v>
      </c>
      <c r="L15" s="601" t="str">
        <f t="shared" si="9"/>
        <v/>
      </c>
      <c r="M15" s="600"/>
      <c r="N15" s="600"/>
      <c r="O15" s="600"/>
      <c r="P15" s="600"/>
      <c r="Q15" s="602"/>
      <c r="R15" s="602"/>
      <c r="S15" s="602"/>
      <c r="T15" s="602"/>
      <c r="U15" s="602"/>
      <c r="V15" s="602"/>
      <c r="W15" s="602"/>
      <c r="X15" s="602"/>
      <c r="Y15" s="602"/>
      <c r="Z15" s="602"/>
      <c r="AA15" s="602"/>
      <c r="AB15" s="602"/>
    </row>
    <row r="16">
      <c r="A16" s="590"/>
      <c r="B16" s="591" t="s">
        <v>533</v>
      </c>
      <c r="C16" s="592" t="str">
        <f>IF(B16="","",VLOOKUP(B16,DM_DUAN,2,0))</f>
        <v>The sol city</v>
      </c>
      <c r="D16" s="593">
        <f>SUMIFS(AC_SOTIEN,AC_DA,$B17,AC_KM,"DOANHSO")/1000</f>
        <v>8438145</v>
      </c>
      <c r="E16" s="594">
        <f t="shared" si="6"/>
        <v>0.2594186362</v>
      </c>
      <c r="F16" s="595"/>
      <c r="G16" s="596">
        <f t="shared" si="7"/>
        <v>8438145</v>
      </c>
      <c r="H16" s="597">
        <f t="shared" si="3"/>
        <v>0.210953625</v>
      </c>
      <c r="I16" s="598"/>
      <c r="J16" s="599"/>
      <c r="K16" s="600">
        <f t="shared" si="8"/>
        <v>0</v>
      </c>
      <c r="L16" s="601" t="str">
        <f t="shared" si="9"/>
        <v/>
      </c>
      <c r="M16" s="600"/>
      <c r="N16" s="600"/>
      <c r="O16" s="600"/>
      <c r="P16" s="600"/>
      <c r="Q16" s="602"/>
      <c r="R16" s="602"/>
      <c r="S16" s="602"/>
      <c r="T16" s="602"/>
      <c r="U16" s="602"/>
      <c r="V16" s="602"/>
      <c r="W16" s="602"/>
      <c r="X16" s="602"/>
      <c r="Y16" s="602"/>
      <c r="Z16" s="602"/>
      <c r="AA16" s="602"/>
      <c r="AB16" s="602"/>
    </row>
    <row r="17">
      <c r="A17" s="590"/>
      <c r="B17" s="591" t="s">
        <v>175</v>
      </c>
      <c r="C17" s="592" t="str">
        <f>IF(B17="","",VLOOKUP(B17,DM_DUAN,2,0))</f>
        <v>Phước hội Hồ Tràm</v>
      </c>
      <c r="D17" s="593">
        <f>SUMIFS(AC_SOTIEN,AC_DA,$B18,AC_KM,"DOANHSO")/1000</f>
        <v>7885000</v>
      </c>
      <c r="E17" s="594">
        <f t="shared" si="6"/>
        <v>0.2424129884</v>
      </c>
      <c r="F17" s="595"/>
      <c r="G17" s="596">
        <f t="shared" si="7"/>
        <v>7885000</v>
      </c>
      <c r="H17" s="597">
        <f t="shared" si="3"/>
        <v>0.197125</v>
      </c>
      <c r="I17" s="598"/>
      <c r="J17" s="599"/>
      <c r="K17" s="600">
        <f t="shared" si="8"/>
        <v>0</v>
      </c>
      <c r="L17" s="601" t="str">
        <f t="shared" si="9"/>
        <v/>
      </c>
      <c r="M17" s="600"/>
      <c r="N17" s="600"/>
      <c r="O17" s="600"/>
      <c r="P17" s="600"/>
      <c r="Q17" s="602"/>
      <c r="R17" s="602"/>
      <c r="S17" s="602"/>
      <c r="T17" s="602"/>
      <c r="U17" s="602"/>
      <c r="V17" s="602"/>
      <c r="W17" s="602"/>
      <c r="X17" s="602"/>
      <c r="Y17" s="602"/>
      <c r="Z17" s="602"/>
      <c r="AA17" s="602"/>
      <c r="AB17" s="602"/>
    </row>
    <row r="18">
      <c r="A18" s="590"/>
      <c r="B18" s="591" t="s">
        <v>638</v>
      </c>
      <c r="C18" s="592" t="str">
        <f>IF(B18="","",VLOOKUP(B18,DM_DUAN,2,0))</f>
        <v>Sản phẩm Phước Vinh</v>
      </c>
      <c r="D18" s="593">
        <f>SUMIFS(AC_SOTIEN,AC_DA,$B19,AC_KM,"DOANHSO")/1000</f>
        <v>13959990</v>
      </c>
      <c r="E18" s="594">
        <f t="shared" si="6"/>
        <v>0.4291798217</v>
      </c>
      <c r="F18" s="595"/>
      <c r="G18" s="596">
        <f t="shared" si="7"/>
        <v>13959990</v>
      </c>
      <c r="H18" s="597">
        <f t="shared" si="3"/>
        <v>0.34899975</v>
      </c>
      <c r="I18" s="598"/>
      <c r="J18" s="599"/>
      <c r="K18" s="600">
        <f t="shared" si="8"/>
        <v>0</v>
      </c>
      <c r="L18" s="601" t="str">
        <f t="shared" si="9"/>
        <v/>
      </c>
      <c r="M18" s="600"/>
      <c r="N18" s="600"/>
      <c r="O18" s="600"/>
      <c r="P18" s="600"/>
      <c r="Q18" s="602"/>
      <c r="R18" s="602"/>
      <c r="S18" s="602"/>
      <c r="T18" s="602"/>
      <c r="U18" s="602"/>
      <c r="V18" s="602"/>
      <c r="W18" s="602"/>
      <c r="X18" s="602"/>
      <c r="Y18" s="602"/>
      <c r="Z18" s="602"/>
      <c r="AA18" s="602"/>
      <c r="AB18" s="602"/>
    </row>
    <row r="19">
      <c r="A19" s="590"/>
      <c r="B19" s="591" t="s">
        <v>530</v>
      </c>
      <c r="C19" s="592" t="str">
        <f>IF(B19="","",VLOOKUP(B19,DM_DUAN,2,0))</f>
        <v>Nhà vườn sinh thái</v>
      </c>
      <c r="D19" s="593">
        <f>SUMIFS(AC_SOTIEN,AC_DA,$B20,AC_KM,"DOANHSO")/1000</f>
        <v>0</v>
      </c>
      <c r="E19" s="594" t="str">
        <f t="shared" si="6"/>
        <v/>
      </c>
      <c r="F19" s="595"/>
      <c r="G19" s="596">
        <f t="shared" si="7"/>
        <v>0</v>
      </c>
      <c r="H19" s="597">
        <f t="shared" si="3"/>
        <v>0</v>
      </c>
      <c r="I19" s="598"/>
      <c r="J19" s="599"/>
      <c r="K19" s="600">
        <f t="shared" si="8"/>
        <v>0</v>
      </c>
      <c r="L19" s="601" t="str">
        <f t="shared" si="9"/>
        <v/>
      </c>
      <c r="M19" s="600"/>
      <c r="N19" s="600"/>
      <c r="O19" s="600"/>
      <c r="P19" s="600"/>
      <c r="Q19" s="602"/>
      <c r="R19" s="602"/>
      <c r="S19" s="602"/>
      <c r="T19" s="602"/>
      <c r="U19" s="602"/>
      <c r="V19" s="602"/>
      <c r="W19" s="602"/>
      <c r="X19" s="602"/>
      <c r="Y19" s="602"/>
      <c r="Z19" s="602"/>
      <c r="AA19" s="602"/>
      <c r="AB19" s="602"/>
    </row>
    <row r="20">
      <c r="A20" s="590"/>
      <c r="B20" s="591" t="s">
        <v>875</v>
      </c>
      <c r="C20" s="592" t="str">
        <f>IF(B20="","",VLOOKUP(B20,DM_DUAN,2,0))</f>
        <v>Sản phẩm Long Khánh 2</v>
      </c>
      <c r="D20" s="593">
        <f>SUMIFS(AC_SOTIEN,AC_DA,$B21,AC_KM,"DOANHSO")/1000</f>
        <v>2244000</v>
      </c>
      <c r="E20" s="594">
        <f t="shared" si="6"/>
        <v>0.06898855371</v>
      </c>
      <c r="F20" s="595"/>
      <c r="G20" s="596">
        <f t="shared" si="7"/>
        <v>2244000</v>
      </c>
      <c r="H20" s="597">
        <f t="shared" si="3"/>
        <v>0.0561</v>
      </c>
      <c r="I20" s="598"/>
      <c r="J20" s="599"/>
      <c r="K20" s="600">
        <f t="shared" si="8"/>
        <v>0</v>
      </c>
      <c r="L20" s="601" t="str">
        <f t="shared" si="9"/>
        <v/>
      </c>
      <c r="M20" s="600"/>
      <c r="N20" s="600"/>
      <c r="O20" s="600"/>
      <c r="P20" s="600"/>
      <c r="Q20" s="602"/>
      <c r="R20" s="602"/>
      <c r="S20" s="602"/>
      <c r="T20" s="602"/>
      <c r="U20" s="602"/>
      <c r="V20" s="602"/>
      <c r="W20" s="602"/>
      <c r="X20" s="602"/>
      <c r="Y20" s="602"/>
      <c r="Z20" s="602"/>
      <c r="AA20" s="602"/>
      <c r="AB20" s="602"/>
    </row>
    <row r="21">
      <c r="A21" s="590"/>
      <c r="B21" s="591" t="s">
        <v>636</v>
      </c>
      <c r="C21" s="592" t="str">
        <f>IF(B21="","",VLOOKUP(B21,DM_DUAN,2,0))</f>
        <v>Sản phẩm Long Khánh 3</v>
      </c>
      <c r="D21" s="593">
        <f>SUMIFS(AC_SOTIEN,AC_DA,$B22,AC_KM,"DOANHSO")/1000</f>
        <v>5081300</v>
      </c>
      <c r="E21" s="594">
        <f t="shared" si="6"/>
        <v>0.1562172629</v>
      </c>
      <c r="F21" s="595"/>
      <c r="G21" s="596">
        <f t="shared" si="7"/>
        <v>5081300</v>
      </c>
      <c r="H21" s="597">
        <f t="shared" si="3"/>
        <v>0.1270325</v>
      </c>
      <c r="I21" s="598"/>
      <c r="J21" s="599"/>
      <c r="K21" s="600">
        <f t="shared" si="8"/>
        <v>0</v>
      </c>
      <c r="L21" s="601" t="str">
        <f t="shared" si="9"/>
        <v/>
      </c>
      <c r="M21" s="600"/>
      <c r="N21" s="600"/>
      <c r="O21" s="600"/>
      <c r="P21" s="600"/>
      <c r="Q21" s="602"/>
      <c r="R21" s="602"/>
      <c r="S21" s="602"/>
      <c r="T21" s="602"/>
      <c r="U21" s="602"/>
      <c r="V21" s="602"/>
      <c r="W21" s="602"/>
      <c r="X21" s="602"/>
      <c r="Y21" s="602"/>
      <c r="Z21" s="602"/>
      <c r="AA21" s="602"/>
      <c r="AB21" s="602"/>
    </row>
    <row r="22">
      <c r="A22" s="590"/>
      <c r="B22" s="591" t="s">
        <v>956</v>
      </c>
      <c r="C22" s="592" t="str">
        <f>IF(B22="","",VLOOKUP(B22,DM_DUAN,2,0))</f>
        <v>KDC Lộc Ngãi</v>
      </c>
      <c r="D22" s="593">
        <f>SUMIFS(AC_SOTIEN,AC_DA,$B23,AC_KM,"DOANHSO")/1000</f>
        <v>0</v>
      </c>
      <c r="E22" s="594" t="str">
        <f t="shared" si="6"/>
        <v/>
      </c>
      <c r="F22" s="595"/>
      <c r="G22" s="596">
        <f t="shared" si="7"/>
        <v>0</v>
      </c>
      <c r="H22" s="597">
        <f t="shared" si="3"/>
        <v>0</v>
      </c>
      <c r="I22" s="598"/>
      <c r="J22" s="599"/>
      <c r="K22" s="600">
        <f t="shared" si="8"/>
        <v>0</v>
      </c>
      <c r="L22" s="601" t="str">
        <f t="shared" si="9"/>
        <v/>
      </c>
      <c r="M22" s="600"/>
      <c r="N22" s="600"/>
      <c r="O22" s="600"/>
      <c r="P22" s="600"/>
      <c r="Q22" s="602"/>
      <c r="R22" s="602"/>
      <c r="S22" s="602"/>
      <c r="T22" s="602"/>
      <c r="U22" s="602"/>
      <c r="V22" s="602"/>
      <c r="W22" s="602"/>
      <c r="X22" s="602"/>
      <c r="Y22" s="602"/>
      <c r="Z22" s="602"/>
      <c r="AA22" s="602"/>
      <c r="AB22" s="602"/>
    </row>
    <row r="23">
      <c r="A23" s="590"/>
      <c r="B23" s="591"/>
      <c r="C23" s="592"/>
      <c r="D23" s="603">
        <f>SUMIFS(AC_SOTIEN,AC_DA,$B24,AC_KM,"DOANHSO")/1000</f>
        <v>0</v>
      </c>
      <c r="E23" s="604" t="str">
        <f t="shared" si="6"/>
        <v/>
      </c>
      <c r="F23" s="605"/>
      <c r="G23" s="606">
        <f t="shared" si="7"/>
        <v>0</v>
      </c>
      <c r="H23" s="607">
        <f t="shared" si="3"/>
        <v>0</v>
      </c>
      <c r="I23" s="608"/>
      <c r="J23" s="590"/>
      <c r="K23" s="600">
        <f t="shared" si="8"/>
        <v>0</v>
      </c>
      <c r="L23" s="601" t="str">
        <f t="shared" si="9"/>
        <v/>
      </c>
      <c r="M23" s="609"/>
      <c r="N23" s="609"/>
      <c r="O23" s="609"/>
      <c r="P23" s="609"/>
      <c r="Q23" s="602"/>
      <c r="R23" s="602"/>
      <c r="S23" s="602"/>
      <c r="T23" s="602"/>
      <c r="U23" s="602"/>
      <c r="V23" s="602"/>
      <c r="W23" s="602"/>
      <c r="X23" s="602"/>
      <c r="Y23" s="602"/>
      <c r="Z23" s="602"/>
      <c r="AA23" s="602"/>
      <c r="AB23" s="602"/>
    </row>
    <row r="24">
      <c r="A24" s="590"/>
      <c r="B24" s="591"/>
      <c r="C24" s="592"/>
      <c r="D24" s="603">
        <f>SUMIFS(AC_SOTIEN,AC_DA,$B25,AC_KM,"DOANHSO")/1000</f>
        <v>0</v>
      </c>
      <c r="E24" s="604" t="str">
        <f t="shared" si="6"/>
        <v/>
      </c>
      <c r="F24" s="605"/>
      <c r="G24" s="606">
        <f t="shared" si="7"/>
        <v>0</v>
      </c>
      <c r="H24" s="607">
        <f t="shared" si="3"/>
        <v>0</v>
      </c>
      <c r="I24" s="608"/>
      <c r="J24" s="590"/>
      <c r="K24" s="600">
        <f t="shared" si="8"/>
        <v>0</v>
      </c>
      <c r="L24" s="601" t="str">
        <f t="shared" si="9"/>
        <v/>
      </c>
      <c r="M24" s="609"/>
      <c r="N24" s="609"/>
      <c r="O24" s="609"/>
      <c r="P24" s="609"/>
      <c r="Q24" s="602"/>
      <c r="R24" s="602"/>
      <c r="S24" s="602"/>
      <c r="T24" s="602"/>
      <c r="U24" s="602"/>
      <c r="V24" s="602"/>
      <c r="W24" s="602"/>
      <c r="X24" s="602"/>
      <c r="Y24" s="602"/>
      <c r="Z24" s="602"/>
      <c r="AA24" s="602"/>
      <c r="AB24" s="602"/>
    </row>
    <row r="25">
      <c r="A25" s="610"/>
      <c r="B25" s="611" t="s">
        <v>2075</v>
      </c>
      <c r="C25" s="612"/>
      <c r="D25" s="613">
        <f t="shared" ref="D25:E25" si="26">SUM(D26:D45)</f>
        <v>4344612</v>
      </c>
      <c r="E25" s="614">
        <f t="shared" si="26"/>
        <v>1</v>
      </c>
      <c r="F25" s="615">
        <f>D25/D4</f>
        <v>0.1155222758</v>
      </c>
      <c r="G25" s="616">
        <f>SUM(G26:G45)</f>
        <v>-58055388</v>
      </c>
      <c r="H25" s="617">
        <f t="shared" si="3"/>
        <v>-1.4513847</v>
      </c>
      <c r="I25" s="618"/>
      <c r="J25" s="619"/>
      <c r="K25" s="616">
        <f t="shared" ref="K25:L25" si="27">SUM(K26:K45)</f>
        <v>187200000</v>
      </c>
      <c r="L25" s="620">
        <f t="shared" si="27"/>
        <v>1</v>
      </c>
      <c r="M25" s="621"/>
      <c r="N25" s="621"/>
      <c r="O25" s="621"/>
      <c r="P25" s="621"/>
      <c r="Q25" s="622"/>
      <c r="R25" s="622"/>
      <c r="S25" s="622"/>
      <c r="T25" s="622"/>
      <c r="U25" s="622"/>
      <c r="V25" s="622"/>
      <c r="W25" s="622"/>
      <c r="X25" s="622"/>
      <c r="Y25" s="622"/>
      <c r="Z25" s="622"/>
      <c r="AA25" s="622"/>
      <c r="AB25" s="622"/>
    </row>
    <row r="26">
      <c r="A26" s="623"/>
      <c r="B26" s="573" t="s">
        <v>2066</v>
      </c>
      <c r="C26" s="574"/>
      <c r="D26" s="624">
        <f>SUMIFS(AC_SOTIEN,AC_DA,$B27,AC_KM,"DOANHTHU")/1000</f>
        <v>0</v>
      </c>
      <c r="E26" s="625" t="str">
        <f t="shared" ref="E26:E45" si="28">IF(D26&lt;&gt;0,D26/D$25,"")</f>
        <v/>
      </c>
      <c r="F26" s="626" t="str">
        <f t="shared" ref="F26:F45" si="29">IF(D26&lt;&gt;0,D26/SUMIF($B$5:$B$24,$B26,D$5:D$24),"")</f>
        <v/>
      </c>
      <c r="G26" s="596">
        <f t="shared" ref="G26:G45" si="30">D26-(K26/12*4)</f>
        <v>-4800000</v>
      </c>
      <c r="H26" s="597">
        <f t="shared" si="3"/>
        <v>-0.12</v>
      </c>
      <c r="I26" s="627"/>
      <c r="J26" s="623"/>
      <c r="K26" s="628">
        <f t="shared" ref="K26:K45" si="31">SUMIF($B$5:$B$24,$B26,K$5:K$24)*12%</f>
        <v>14400000</v>
      </c>
      <c r="L26" s="601">
        <f t="shared" ref="L26:L45" si="32">IF(K26&lt;&gt;0,K26/SUM(K$26:K$45),"")</f>
        <v>0.07692307692</v>
      </c>
      <c r="M26" s="629"/>
      <c r="N26" s="629"/>
      <c r="O26" s="629"/>
      <c r="P26" s="629"/>
      <c r="Q26" s="630"/>
      <c r="R26" s="630"/>
      <c r="S26" s="630"/>
      <c r="T26" s="630"/>
      <c r="U26" s="630"/>
      <c r="V26" s="630"/>
      <c r="W26" s="630"/>
      <c r="X26" s="630"/>
      <c r="Y26" s="630"/>
      <c r="Z26" s="630"/>
      <c r="AA26" s="630"/>
      <c r="AB26" s="630"/>
    </row>
    <row r="27">
      <c r="A27" s="623"/>
      <c r="B27" s="573" t="s">
        <v>2067</v>
      </c>
      <c r="C27" s="574" t="str">
        <f>IF(B27="","",VLOOKUP(B27,DM_DUAN,2,0))</f>
        <v>NAM PHONG</v>
      </c>
      <c r="D27" s="624">
        <f>SUMIFS(AC_SOTIEN,AC_DA,$B28,AC_KM,"DOANHTHU")/1000</f>
        <v>0</v>
      </c>
      <c r="E27" s="625" t="str">
        <f t="shared" si="28"/>
        <v/>
      </c>
      <c r="F27" s="626" t="str">
        <f t="shared" si="29"/>
        <v/>
      </c>
      <c r="G27" s="596">
        <f t="shared" si="30"/>
        <v>-14400000</v>
      </c>
      <c r="H27" s="597">
        <f t="shared" si="3"/>
        <v>-0.36</v>
      </c>
      <c r="I27" s="627"/>
      <c r="J27" s="623"/>
      <c r="K27" s="628">
        <f t="shared" si="31"/>
        <v>43200000</v>
      </c>
      <c r="L27" s="601">
        <f t="shared" si="32"/>
        <v>0.2307692308</v>
      </c>
      <c r="M27" s="629"/>
      <c r="N27" s="629"/>
      <c r="O27" s="629"/>
      <c r="P27" s="629"/>
      <c r="Q27" s="630"/>
      <c r="R27" s="630"/>
      <c r="S27" s="630"/>
      <c r="T27" s="630"/>
      <c r="U27" s="630"/>
      <c r="V27" s="630"/>
      <c r="W27" s="630"/>
      <c r="X27" s="630"/>
      <c r="Y27" s="630"/>
      <c r="Z27" s="630"/>
      <c r="AA27" s="630"/>
      <c r="AB27" s="630"/>
    </row>
    <row r="28">
      <c r="A28" s="623"/>
      <c r="B28" s="573" t="s">
        <v>2068</v>
      </c>
      <c r="C28" s="574"/>
      <c r="D28" s="624">
        <f>SUMIFS(AC_SOTIEN,AC_DA,$B29,AC_KM,"DOANHTHU")/1000</f>
        <v>0</v>
      </c>
      <c r="E28" s="625" t="str">
        <f t="shared" si="28"/>
        <v/>
      </c>
      <c r="F28" s="626" t="str">
        <f t="shared" si="29"/>
        <v/>
      </c>
      <c r="G28" s="596">
        <f t="shared" si="30"/>
        <v>-4800000</v>
      </c>
      <c r="H28" s="597">
        <f t="shared" si="3"/>
        <v>-0.12</v>
      </c>
      <c r="I28" s="627"/>
      <c r="J28" s="623"/>
      <c r="K28" s="628">
        <f t="shared" si="31"/>
        <v>14400000</v>
      </c>
      <c r="L28" s="601">
        <f t="shared" si="32"/>
        <v>0.07692307692</v>
      </c>
      <c r="M28" s="629"/>
      <c r="N28" s="629"/>
      <c r="O28" s="629"/>
      <c r="P28" s="629"/>
      <c r="Q28" s="630"/>
      <c r="R28" s="630"/>
      <c r="S28" s="630"/>
      <c r="T28" s="630"/>
      <c r="U28" s="630"/>
      <c r="V28" s="630"/>
      <c r="W28" s="630"/>
      <c r="X28" s="630"/>
      <c r="Y28" s="630"/>
      <c r="Z28" s="630"/>
      <c r="AA28" s="630"/>
      <c r="AB28" s="630"/>
    </row>
    <row r="29">
      <c r="A29" s="623"/>
      <c r="B29" s="573" t="s">
        <v>2069</v>
      </c>
      <c r="C29" s="574"/>
      <c r="D29" s="624">
        <f>SUMIFS(AC_SOTIEN,AC_DA,$B30,AC_KM,"DOANHTHU")/1000</f>
        <v>0</v>
      </c>
      <c r="E29" s="625" t="str">
        <f t="shared" si="28"/>
        <v/>
      </c>
      <c r="F29" s="626" t="str">
        <f t="shared" si="29"/>
        <v/>
      </c>
      <c r="G29" s="596">
        <f t="shared" si="30"/>
        <v>0</v>
      </c>
      <c r="H29" s="597">
        <f t="shared" si="3"/>
        <v>0</v>
      </c>
      <c r="I29" s="627"/>
      <c r="J29" s="623"/>
      <c r="K29" s="628">
        <f t="shared" si="31"/>
        <v>0</v>
      </c>
      <c r="L29" s="601" t="str">
        <f t="shared" si="32"/>
        <v/>
      </c>
      <c r="M29" s="629"/>
      <c r="N29" s="629"/>
      <c r="O29" s="629"/>
      <c r="P29" s="629"/>
      <c r="Q29" s="630"/>
      <c r="R29" s="630"/>
      <c r="S29" s="630"/>
      <c r="T29" s="630"/>
      <c r="U29" s="630"/>
      <c r="V29" s="630"/>
      <c r="W29" s="630"/>
      <c r="X29" s="630"/>
      <c r="Y29" s="630"/>
      <c r="Z29" s="630"/>
      <c r="AA29" s="630"/>
      <c r="AB29" s="630"/>
    </row>
    <row r="30">
      <c r="A30" s="623"/>
      <c r="B30" s="573" t="s">
        <v>2070</v>
      </c>
      <c r="C30" s="574" t="str">
        <f>IF(B30="","",VLOOKUP(B30,DM_DUAN,2,0))</f>
        <v>KHANG VƯỢNG</v>
      </c>
      <c r="D30" s="624">
        <f>SUMIFS(AC_SOTIEN,AC_DA,$B31,AC_KM,"DOANHTHU")/1000</f>
        <v>0</v>
      </c>
      <c r="E30" s="625" t="str">
        <f t="shared" si="28"/>
        <v/>
      </c>
      <c r="F30" s="626" t="str">
        <f t="shared" si="29"/>
        <v/>
      </c>
      <c r="G30" s="596">
        <f t="shared" si="30"/>
        <v>-2400000</v>
      </c>
      <c r="H30" s="597">
        <f t="shared" si="3"/>
        <v>-0.06</v>
      </c>
      <c r="I30" s="627"/>
      <c r="J30" s="623"/>
      <c r="K30" s="628">
        <f t="shared" si="31"/>
        <v>7200000</v>
      </c>
      <c r="L30" s="601">
        <f t="shared" si="32"/>
        <v>0.03846153846</v>
      </c>
      <c r="M30" s="629"/>
      <c r="N30" s="629"/>
      <c r="O30" s="629"/>
      <c r="P30" s="629"/>
      <c r="Q30" s="630"/>
      <c r="R30" s="630"/>
      <c r="S30" s="630"/>
      <c r="T30" s="630"/>
      <c r="U30" s="630"/>
      <c r="V30" s="630"/>
      <c r="W30" s="630"/>
      <c r="X30" s="630"/>
      <c r="Y30" s="630"/>
      <c r="Z30" s="630"/>
      <c r="AA30" s="630"/>
      <c r="AB30" s="630"/>
    </row>
    <row r="31">
      <c r="A31" s="623"/>
      <c r="B31" s="573" t="s">
        <v>2071</v>
      </c>
      <c r="C31" s="574"/>
      <c r="D31" s="624">
        <f>SUMIFS(AC_SOTIEN,AC_DA,$B32,AC_KM,"DOANHTHU")/1000</f>
        <v>0</v>
      </c>
      <c r="E31" s="625" t="str">
        <f t="shared" si="28"/>
        <v/>
      </c>
      <c r="F31" s="626" t="str">
        <f t="shared" si="29"/>
        <v/>
      </c>
      <c r="G31" s="596">
        <f t="shared" si="30"/>
        <v>-2400000</v>
      </c>
      <c r="H31" s="597">
        <f t="shared" si="3"/>
        <v>-0.06</v>
      </c>
      <c r="I31" s="627"/>
      <c r="J31" s="623"/>
      <c r="K31" s="628">
        <f t="shared" si="31"/>
        <v>7200000</v>
      </c>
      <c r="L31" s="601">
        <f t="shared" si="32"/>
        <v>0.03846153846</v>
      </c>
      <c r="M31" s="629"/>
      <c r="N31" s="629"/>
      <c r="O31" s="629"/>
      <c r="P31" s="629"/>
      <c r="Q31" s="630"/>
      <c r="R31" s="630"/>
      <c r="S31" s="630"/>
      <c r="T31" s="630"/>
      <c r="U31" s="630"/>
      <c r="V31" s="630"/>
      <c r="W31" s="630"/>
      <c r="X31" s="630"/>
      <c r="Y31" s="630"/>
      <c r="Z31" s="630"/>
      <c r="AA31" s="630"/>
      <c r="AB31" s="630"/>
    </row>
    <row r="32">
      <c r="A32" s="623"/>
      <c r="B32" s="573" t="s">
        <v>2072</v>
      </c>
      <c r="C32" s="574" t="str">
        <f>IF(B32="","",VLOOKUP(B32,DM_DUAN,2,0))</f>
        <v>TRẦN ANH GROUP</v>
      </c>
      <c r="D32" s="624">
        <f>SUMIFS(AC_SOTIEN,AC_DA,$B33,AC_KM,"DOANHTHU")/1000</f>
        <v>0</v>
      </c>
      <c r="E32" s="625" t="str">
        <f t="shared" si="28"/>
        <v/>
      </c>
      <c r="F32" s="626" t="str">
        <f t="shared" si="29"/>
        <v/>
      </c>
      <c r="G32" s="596">
        <f t="shared" si="30"/>
        <v>-4800000</v>
      </c>
      <c r="H32" s="597">
        <f t="shared" si="3"/>
        <v>-0.12</v>
      </c>
      <c r="I32" s="627"/>
      <c r="J32" s="623"/>
      <c r="K32" s="628">
        <f t="shared" si="31"/>
        <v>14400000</v>
      </c>
      <c r="L32" s="601">
        <f t="shared" si="32"/>
        <v>0.07692307692</v>
      </c>
      <c r="M32" s="629"/>
      <c r="N32" s="629"/>
      <c r="O32" s="629"/>
      <c r="P32" s="629"/>
      <c r="Q32" s="630"/>
      <c r="R32" s="630"/>
      <c r="S32" s="630"/>
      <c r="T32" s="630"/>
      <c r="U32" s="630"/>
      <c r="V32" s="630"/>
      <c r="W32" s="630"/>
      <c r="X32" s="630"/>
      <c r="Y32" s="630"/>
      <c r="Z32" s="630"/>
      <c r="AA32" s="630"/>
      <c r="AB32" s="630"/>
    </row>
    <row r="33">
      <c r="A33" s="623"/>
      <c r="B33" s="573" t="s">
        <v>2073</v>
      </c>
      <c r="C33" s="574" t="str">
        <f>IF(B33="","",VLOOKUP(B33,DM_DUAN,2,0))</f>
        <v>PHI TRƯỜNG</v>
      </c>
      <c r="D33" s="624">
        <f>SUMIFS(AC_SOTIEN,AC_DA,$B34,AC_KM,"DOANHTHU")/1000</f>
        <v>0</v>
      </c>
      <c r="E33" s="625" t="str">
        <f t="shared" si="28"/>
        <v/>
      </c>
      <c r="F33" s="626" t="str">
        <f t="shared" si="29"/>
        <v/>
      </c>
      <c r="G33" s="596">
        <f t="shared" si="30"/>
        <v>-19200000</v>
      </c>
      <c r="H33" s="597">
        <f t="shared" si="3"/>
        <v>-0.48</v>
      </c>
      <c r="I33" s="627"/>
      <c r="J33" s="623"/>
      <c r="K33" s="628">
        <f t="shared" si="31"/>
        <v>57600000</v>
      </c>
      <c r="L33" s="601">
        <f t="shared" si="32"/>
        <v>0.3076923077</v>
      </c>
      <c r="M33" s="629"/>
      <c r="N33" s="629"/>
      <c r="O33" s="629"/>
      <c r="P33" s="629"/>
      <c r="Q33" s="630"/>
      <c r="R33" s="630"/>
      <c r="S33" s="630"/>
      <c r="T33" s="630"/>
      <c r="U33" s="630"/>
      <c r="V33" s="630"/>
      <c r="W33" s="630"/>
      <c r="X33" s="630"/>
      <c r="Y33" s="630"/>
      <c r="Z33" s="630"/>
      <c r="AA33" s="630"/>
      <c r="AB33" s="630"/>
    </row>
    <row r="34">
      <c r="A34" s="623"/>
      <c r="B34" s="573" t="s">
        <v>2074</v>
      </c>
      <c r="C34" s="574" t="str">
        <f>IF(B34="","",VLOOKUP(B34,DM_DUAN,2,0))</f>
        <v>HOÀNG CÁT</v>
      </c>
      <c r="D34" s="624">
        <f>SUMIFS(AC_SOTIEN,AC_DA,$B35,AC_KM,"DOANHTHU")/1000</f>
        <v>0</v>
      </c>
      <c r="E34" s="625" t="str">
        <f t="shared" si="28"/>
        <v/>
      </c>
      <c r="F34" s="626" t="str">
        <f t="shared" si="29"/>
        <v/>
      </c>
      <c r="G34" s="596">
        <f t="shared" si="30"/>
        <v>-9600000</v>
      </c>
      <c r="H34" s="597">
        <f t="shared" si="3"/>
        <v>-0.24</v>
      </c>
      <c r="I34" s="627"/>
      <c r="J34" s="623"/>
      <c r="K34" s="628">
        <f t="shared" si="31"/>
        <v>28800000</v>
      </c>
      <c r="L34" s="601">
        <f t="shared" si="32"/>
        <v>0.1538461538</v>
      </c>
      <c r="M34" s="629"/>
      <c r="N34" s="629"/>
      <c r="O34" s="629"/>
      <c r="P34" s="629"/>
      <c r="Q34" s="630"/>
      <c r="R34" s="630"/>
      <c r="S34" s="630"/>
      <c r="T34" s="630"/>
      <c r="U34" s="630"/>
      <c r="V34" s="630"/>
      <c r="W34" s="630"/>
      <c r="X34" s="630"/>
      <c r="Y34" s="630"/>
      <c r="Z34" s="630"/>
      <c r="AA34" s="630"/>
      <c r="AB34" s="630"/>
    </row>
    <row r="35">
      <c r="A35" s="623"/>
      <c r="B35" s="591" t="s">
        <v>215</v>
      </c>
      <c r="C35" s="592" t="str">
        <f>IF(B35="","",VLOOKUP(B35,DM_DUAN,2,0))</f>
        <v>Phước Đông Garden</v>
      </c>
      <c r="D35" s="624">
        <f>SUMIFS(AC_SOTIEN,AC_DA,$B36,AC_KM,"DOANHTHU")/1000</f>
        <v>0</v>
      </c>
      <c r="E35" s="625" t="str">
        <f t="shared" si="28"/>
        <v/>
      </c>
      <c r="F35" s="626" t="str">
        <f t="shared" si="29"/>
        <v/>
      </c>
      <c r="G35" s="596">
        <f t="shared" si="30"/>
        <v>0</v>
      </c>
      <c r="H35" s="597">
        <f t="shared" si="3"/>
        <v>0</v>
      </c>
      <c r="I35" s="627"/>
      <c r="J35" s="623"/>
      <c r="K35" s="628">
        <f t="shared" si="31"/>
        <v>0</v>
      </c>
      <c r="L35" s="601" t="str">
        <f t="shared" si="32"/>
        <v/>
      </c>
      <c r="M35" s="629"/>
      <c r="N35" s="629"/>
      <c r="O35" s="629"/>
      <c r="P35" s="629"/>
      <c r="Q35" s="630"/>
      <c r="R35" s="630"/>
      <c r="S35" s="630"/>
      <c r="T35" s="630"/>
      <c r="U35" s="630"/>
      <c r="V35" s="630"/>
      <c r="W35" s="630"/>
      <c r="X35" s="630"/>
      <c r="Y35" s="630"/>
      <c r="Z35" s="630"/>
      <c r="AA35" s="630"/>
      <c r="AB35" s="630"/>
    </row>
    <row r="36">
      <c r="A36" s="623"/>
      <c r="B36" s="591" t="s">
        <v>404</v>
      </c>
      <c r="C36" s="592" t="str">
        <f>IF(B36="","",VLOOKUP(B36,DM_DUAN,2,0))</f>
        <v>Hamil ton Garden</v>
      </c>
      <c r="D36" s="624">
        <f>SUMIFS(AC_SOTIEN,AC_DA,$B37,AC_KM,"DOANHTHU")/1000</f>
        <v>0</v>
      </c>
      <c r="E36" s="625" t="str">
        <f t="shared" si="28"/>
        <v/>
      </c>
      <c r="F36" s="626" t="str">
        <f t="shared" si="29"/>
        <v/>
      </c>
      <c r="G36" s="596">
        <f t="shared" si="30"/>
        <v>0</v>
      </c>
      <c r="H36" s="597">
        <f t="shared" si="3"/>
        <v>0</v>
      </c>
      <c r="I36" s="627"/>
      <c r="J36" s="623"/>
      <c r="K36" s="628">
        <f t="shared" si="31"/>
        <v>0</v>
      </c>
      <c r="L36" s="601" t="str">
        <f t="shared" si="32"/>
        <v/>
      </c>
      <c r="M36" s="629"/>
      <c r="N36" s="629"/>
      <c r="O36" s="629"/>
      <c r="P36" s="629"/>
      <c r="Q36" s="630"/>
      <c r="R36" s="630"/>
      <c r="S36" s="630"/>
      <c r="T36" s="630"/>
      <c r="U36" s="630"/>
      <c r="V36" s="630"/>
      <c r="W36" s="630"/>
      <c r="X36" s="630"/>
      <c r="Y36" s="630"/>
      <c r="Z36" s="630"/>
      <c r="AA36" s="630"/>
      <c r="AB36" s="630"/>
    </row>
    <row r="37">
      <c r="A37" s="623"/>
      <c r="B37" s="591" t="s">
        <v>533</v>
      </c>
      <c r="C37" s="592" t="str">
        <f>IF(B37="","",VLOOKUP(B37,DM_DUAN,2,0))</f>
        <v>The sol city</v>
      </c>
      <c r="D37" s="624">
        <f>SUMIFS(AC_SOTIEN,AC_DA,$B38,AC_KM,"DOANHTHU")/1000</f>
        <v>670000</v>
      </c>
      <c r="E37" s="625">
        <f t="shared" si="28"/>
        <v>0.1542140012</v>
      </c>
      <c r="F37" s="626">
        <f t="shared" si="29"/>
        <v>0.07940133762</v>
      </c>
      <c r="G37" s="596">
        <f t="shared" si="30"/>
        <v>670000</v>
      </c>
      <c r="H37" s="597">
        <f t="shared" si="3"/>
        <v>0.01675</v>
      </c>
      <c r="I37" s="627"/>
      <c r="J37" s="623"/>
      <c r="K37" s="628">
        <f t="shared" si="31"/>
        <v>0</v>
      </c>
      <c r="L37" s="601" t="str">
        <f t="shared" si="32"/>
        <v/>
      </c>
      <c r="M37" s="629"/>
      <c r="N37" s="629"/>
      <c r="O37" s="629"/>
      <c r="P37" s="629"/>
      <c r="Q37" s="630"/>
      <c r="R37" s="630"/>
      <c r="S37" s="630"/>
      <c r="T37" s="630"/>
      <c r="U37" s="630"/>
      <c r="V37" s="630"/>
      <c r="W37" s="630"/>
      <c r="X37" s="630"/>
      <c r="Y37" s="630"/>
      <c r="Z37" s="630"/>
      <c r="AA37" s="630"/>
      <c r="AB37" s="630"/>
    </row>
    <row r="38">
      <c r="A38" s="623"/>
      <c r="B38" s="591" t="s">
        <v>175</v>
      </c>
      <c r="C38" s="592" t="str">
        <f>IF(B38="","",VLOOKUP(B38,DM_DUAN,2,0))</f>
        <v>Phước hội Hồ Tràm</v>
      </c>
      <c r="D38" s="624">
        <f>SUMIFS(AC_SOTIEN,AC_DA,$B39,AC_KM,"DOANHTHU")/1000</f>
        <v>1559000</v>
      </c>
      <c r="E38" s="625">
        <f t="shared" si="28"/>
        <v>0.3588352654</v>
      </c>
      <c r="F38" s="626">
        <f t="shared" si="29"/>
        <v>0.1977171845</v>
      </c>
      <c r="G38" s="596">
        <f t="shared" si="30"/>
        <v>1559000</v>
      </c>
      <c r="H38" s="597">
        <f t="shared" si="3"/>
        <v>0.038975</v>
      </c>
      <c r="I38" s="627"/>
      <c r="J38" s="623"/>
      <c r="K38" s="628">
        <f t="shared" si="31"/>
        <v>0</v>
      </c>
      <c r="L38" s="601" t="str">
        <f t="shared" si="32"/>
        <v/>
      </c>
      <c r="M38" s="629"/>
      <c r="N38" s="629"/>
      <c r="O38" s="629"/>
      <c r="P38" s="629"/>
      <c r="Q38" s="630"/>
      <c r="R38" s="630"/>
      <c r="S38" s="630"/>
      <c r="T38" s="630"/>
      <c r="U38" s="630"/>
      <c r="V38" s="630"/>
      <c r="W38" s="630"/>
      <c r="X38" s="630"/>
      <c r="Y38" s="630"/>
      <c r="Z38" s="630"/>
      <c r="AA38" s="630"/>
      <c r="AB38" s="630"/>
    </row>
    <row r="39">
      <c r="A39" s="623"/>
      <c r="B39" s="591" t="s">
        <v>638</v>
      </c>
      <c r="C39" s="592" t="str">
        <f>IF(B39="","",VLOOKUP(B39,DM_DUAN,2,0))</f>
        <v>Sản phẩm Phước Vinh</v>
      </c>
      <c r="D39" s="624">
        <f>SUMIFS(AC_SOTIEN,AC_DA,$B40,AC_KM,"DOANHTHU")/1000</f>
        <v>1195000</v>
      </c>
      <c r="E39" s="625">
        <f t="shared" si="28"/>
        <v>0.2750533304</v>
      </c>
      <c r="F39" s="626">
        <f t="shared" si="29"/>
        <v>0.08560178052</v>
      </c>
      <c r="G39" s="596">
        <f t="shared" si="30"/>
        <v>1195000</v>
      </c>
      <c r="H39" s="597">
        <f t="shared" si="3"/>
        <v>0.029875</v>
      </c>
      <c r="I39" s="627"/>
      <c r="J39" s="623"/>
      <c r="K39" s="628">
        <f t="shared" si="31"/>
        <v>0</v>
      </c>
      <c r="L39" s="601" t="str">
        <f t="shared" si="32"/>
        <v/>
      </c>
      <c r="M39" s="629"/>
      <c r="N39" s="629"/>
      <c r="O39" s="629"/>
      <c r="P39" s="629"/>
      <c r="Q39" s="630"/>
      <c r="R39" s="630"/>
      <c r="S39" s="630"/>
      <c r="T39" s="630"/>
      <c r="U39" s="630"/>
      <c r="V39" s="630"/>
      <c r="W39" s="630"/>
      <c r="X39" s="630"/>
      <c r="Y39" s="630"/>
      <c r="Z39" s="630"/>
      <c r="AA39" s="630"/>
      <c r="AB39" s="630"/>
    </row>
    <row r="40">
      <c r="A40" s="623"/>
      <c r="B40" s="591" t="s">
        <v>530</v>
      </c>
      <c r="C40" s="592" t="str">
        <f>IF(B40="","",VLOOKUP(B40,DM_DUAN,2,0))</f>
        <v>Nhà vườn sinh thái</v>
      </c>
      <c r="D40" s="624">
        <f>SUMIFS(AC_SOTIEN,AC_DA,$B41,AC_KM,"DOANHTHU")/1000</f>
        <v>0</v>
      </c>
      <c r="E40" s="625" t="str">
        <f t="shared" si="28"/>
        <v/>
      </c>
      <c r="F40" s="626" t="str">
        <f t="shared" si="29"/>
        <v/>
      </c>
      <c r="G40" s="596">
        <f t="shared" si="30"/>
        <v>0</v>
      </c>
      <c r="H40" s="597">
        <f t="shared" si="3"/>
        <v>0</v>
      </c>
      <c r="I40" s="627"/>
      <c r="J40" s="623"/>
      <c r="K40" s="628">
        <f t="shared" si="31"/>
        <v>0</v>
      </c>
      <c r="L40" s="601" t="str">
        <f t="shared" si="32"/>
        <v/>
      </c>
      <c r="M40" s="629"/>
      <c r="N40" s="629"/>
      <c r="O40" s="629"/>
      <c r="P40" s="629"/>
      <c r="Q40" s="630"/>
      <c r="R40" s="630"/>
      <c r="S40" s="630"/>
      <c r="T40" s="630"/>
      <c r="U40" s="630"/>
      <c r="V40" s="630"/>
      <c r="W40" s="630"/>
      <c r="X40" s="630"/>
      <c r="Y40" s="630"/>
      <c r="Z40" s="630"/>
      <c r="AA40" s="630"/>
      <c r="AB40" s="630"/>
    </row>
    <row r="41">
      <c r="A41" s="623"/>
      <c r="B41" s="591" t="s">
        <v>875</v>
      </c>
      <c r="C41" s="592" t="str">
        <f>IF(B41="","",VLOOKUP(B41,DM_DUAN,2,0))</f>
        <v>Sản phẩm Long Khánh 2</v>
      </c>
      <c r="D41" s="624">
        <f>SUMIFS(AC_SOTIEN,AC_DA,$B42,AC_KM,"DOANHTHU")/1000</f>
        <v>365040</v>
      </c>
      <c r="E41" s="625">
        <f t="shared" si="28"/>
        <v>0.08402131191</v>
      </c>
      <c r="F41" s="626">
        <f t="shared" si="29"/>
        <v>0.1626737968</v>
      </c>
      <c r="G41" s="596">
        <f t="shared" si="30"/>
        <v>365040</v>
      </c>
      <c r="H41" s="597">
        <f t="shared" si="3"/>
        <v>0.009126</v>
      </c>
      <c r="I41" s="627"/>
      <c r="J41" s="623"/>
      <c r="K41" s="628">
        <f t="shared" si="31"/>
        <v>0</v>
      </c>
      <c r="L41" s="601" t="str">
        <f t="shared" si="32"/>
        <v/>
      </c>
      <c r="M41" s="629"/>
      <c r="N41" s="629"/>
      <c r="O41" s="629"/>
      <c r="P41" s="629"/>
      <c r="Q41" s="630"/>
      <c r="R41" s="630"/>
      <c r="S41" s="630"/>
      <c r="T41" s="630"/>
      <c r="U41" s="630"/>
      <c r="V41" s="630"/>
      <c r="W41" s="630"/>
      <c r="X41" s="630"/>
      <c r="Y41" s="630"/>
      <c r="Z41" s="630"/>
      <c r="AA41" s="630"/>
      <c r="AB41" s="630"/>
    </row>
    <row r="42">
      <c r="A42" s="623"/>
      <c r="B42" s="591" t="s">
        <v>636</v>
      </c>
      <c r="C42" s="592" t="str">
        <f>IF(B42="","",VLOOKUP(B42,DM_DUAN,2,0))</f>
        <v>Sản phẩm Long Khánh 3</v>
      </c>
      <c r="D42" s="624">
        <f>SUMIFS(AC_SOTIEN,AC_DA,$B43,AC_KM,"DOANHTHU")/1000</f>
        <v>555572</v>
      </c>
      <c r="E42" s="625">
        <f t="shared" si="28"/>
        <v>0.1278760911</v>
      </c>
      <c r="F42" s="626">
        <f t="shared" si="29"/>
        <v>0.1093365871</v>
      </c>
      <c r="G42" s="596">
        <f t="shared" si="30"/>
        <v>555572</v>
      </c>
      <c r="H42" s="597">
        <f t="shared" si="3"/>
        <v>0.0138893</v>
      </c>
      <c r="I42" s="627"/>
      <c r="J42" s="623"/>
      <c r="K42" s="628">
        <f t="shared" si="31"/>
        <v>0</v>
      </c>
      <c r="L42" s="601" t="str">
        <f t="shared" si="32"/>
        <v/>
      </c>
      <c r="M42" s="629"/>
      <c r="N42" s="629"/>
      <c r="O42" s="629"/>
      <c r="P42" s="629"/>
      <c r="Q42" s="630"/>
      <c r="R42" s="630"/>
      <c r="S42" s="630"/>
      <c r="T42" s="630"/>
      <c r="U42" s="630"/>
      <c r="V42" s="630"/>
      <c r="W42" s="630"/>
      <c r="X42" s="630"/>
      <c r="Y42" s="630"/>
      <c r="Z42" s="630"/>
      <c r="AA42" s="630"/>
      <c r="AB42" s="630"/>
    </row>
    <row r="43">
      <c r="A43" s="623"/>
      <c r="B43" s="591" t="s">
        <v>956</v>
      </c>
      <c r="C43" s="592" t="str">
        <f>IF(B43="","",VLOOKUP(B43,DM_DUAN,2,0))</f>
        <v>KDC Lộc Ngãi</v>
      </c>
      <c r="D43" s="624">
        <f>SUMIFS(AC_SOTIEN,AC_DA,$B44,AC_KM,"DOANHTHU")/1000</f>
        <v>0</v>
      </c>
      <c r="E43" s="625" t="str">
        <f t="shared" si="28"/>
        <v/>
      </c>
      <c r="F43" s="626" t="str">
        <f t="shared" si="29"/>
        <v/>
      </c>
      <c r="G43" s="596">
        <f t="shared" si="30"/>
        <v>0</v>
      </c>
      <c r="H43" s="597">
        <f t="shared" si="3"/>
        <v>0</v>
      </c>
      <c r="I43" s="627"/>
      <c r="J43" s="623"/>
      <c r="K43" s="628">
        <f t="shared" si="31"/>
        <v>0</v>
      </c>
      <c r="L43" s="601" t="str">
        <f t="shared" si="32"/>
        <v/>
      </c>
      <c r="M43" s="629"/>
      <c r="N43" s="629"/>
      <c r="O43" s="629"/>
      <c r="P43" s="629"/>
      <c r="Q43" s="630"/>
      <c r="R43" s="630"/>
      <c r="S43" s="630"/>
      <c r="T43" s="630"/>
      <c r="U43" s="630"/>
      <c r="V43" s="630"/>
      <c r="W43" s="630"/>
      <c r="X43" s="630"/>
      <c r="Y43" s="630"/>
      <c r="Z43" s="630"/>
      <c r="AA43" s="630"/>
      <c r="AB43" s="630"/>
    </row>
    <row r="44">
      <c r="A44" s="623"/>
      <c r="B44" s="591"/>
      <c r="C44" s="592"/>
      <c r="D44" s="624"/>
      <c r="E44" s="625" t="str">
        <f t="shared" si="28"/>
        <v/>
      </c>
      <c r="F44" s="626" t="str">
        <f t="shared" si="29"/>
        <v/>
      </c>
      <c r="G44" s="596">
        <f t="shared" si="30"/>
        <v>0</v>
      </c>
      <c r="H44" s="597">
        <f t="shared" si="3"/>
        <v>0</v>
      </c>
      <c r="I44" s="627"/>
      <c r="J44" s="623"/>
      <c r="K44" s="628">
        <f t="shared" si="31"/>
        <v>0</v>
      </c>
      <c r="L44" s="601" t="str">
        <f t="shared" si="32"/>
        <v/>
      </c>
      <c r="M44" s="629"/>
      <c r="N44" s="629"/>
      <c r="O44" s="629"/>
      <c r="P44" s="629"/>
      <c r="Q44" s="630"/>
      <c r="R44" s="630"/>
      <c r="S44" s="630"/>
      <c r="T44" s="630"/>
      <c r="U44" s="630"/>
      <c r="V44" s="630"/>
      <c r="W44" s="630"/>
      <c r="X44" s="630"/>
      <c r="Y44" s="630"/>
      <c r="Z44" s="630"/>
      <c r="AA44" s="630"/>
      <c r="AB44" s="630"/>
    </row>
    <row r="45">
      <c r="A45" s="623"/>
      <c r="B45" s="591"/>
      <c r="C45" s="592"/>
      <c r="D45" s="631"/>
      <c r="E45" s="632" t="str">
        <f t="shared" si="28"/>
        <v/>
      </c>
      <c r="F45" s="633" t="str">
        <f t="shared" si="29"/>
        <v/>
      </c>
      <c r="G45" s="634">
        <f t="shared" si="30"/>
        <v>0</v>
      </c>
      <c r="H45" s="635">
        <f t="shared" si="3"/>
        <v>0</v>
      </c>
      <c r="I45" s="636"/>
      <c r="J45" s="637"/>
      <c r="K45" s="638">
        <f t="shared" si="31"/>
        <v>0</v>
      </c>
      <c r="L45" s="639" t="str">
        <f t="shared" si="32"/>
        <v/>
      </c>
      <c r="M45" s="629"/>
      <c r="N45" s="629"/>
      <c r="O45" s="629"/>
      <c r="P45" s="629"/>
      <c r="Q45" s="630"/>
      <c r="R45" s="630"/>
      <c r="S45" s="630"/>
      <c r="T45" s="630"/>
      <c r="U45" s="630"/>
      <c r="V45" s="630"/>
      <c r="W45" s="630"/>
      <c r="X45" s="630"/>
      <c r="Y45" s="630"/>
      <c r="Z45" s="630"/>
      <c r="AA45" s="630"/>
      <c r="AB45" s="630"/>
    </row>
    <row r="46">
      <c r="A46" s="640"/>
      <c r="B46" s="641" t="s">
        <v>2076</v>
      </c>
      <c r="C46" s="642" t="s">
        <v>2077</v>
      </c>
      <c r="D46" s="643">
        <f>SUMIFS(AC_SOTIEN,AC_NHOMQL,$B46)/1000</f>
        <v>0</v>
      </c>
      <c r="E46" s="640"/>
      <c r="F46" s="640"/>
      <c r="G46" s="640"/>
      <c r="H46" s="640"/>
      <c r="I46" s="640"/>
      <c r="J46" s="640"/>
      <c r="K46" s="644">
        <f t="shared" ref="K46:K47" si="33">I46*J46</f>
        <v>0</v>
      </c>
      <c r="L46" s="645">
        <f t="shared" ref="L46:L47" si="34">IFERROR(K46/SUM($K$5:$K$397),0)</f>
        <v>0</v>
      </c>
      <c r="M46" s="646"/>
      <c r="N46" s="646"/>
      <c r="O46" s="646"/>
      <c r="P46" s="646"/>
      <c r="Q46" s="647"/>
      <c r="R46" s="647"/>
      <c r="S46" s="647"/>
      <c r="T46" s="647"/>
      <c r="U46" s="647"/>
      <c r="V46" s="647"/>
      <c r="W46" s="647"/>
      <c r="X46" s="647"/>
      <c r="Y46" s="647"/>
      <c r="Z46" s="647"/>
      <c r="AA46" s="647"/>
      <c r="AB46" s="647"/>
    </row>
    <row r="47">
      <c r="A47" s="640"/>
      <c r="B47" s="641" t="s">
        <v>2078</v>
      </c>
      <c r="C47" s="642" t="s">
        <v>2079</v>
      </c>
      <c r="D47" s="643">
        <f>SUMIFS(AC_SOTIEN,AC_NHOMQL,$B47)/1000</f>
        <v>0</v>
      </c>
      <c r="E47" s="640"/>
      <c r="F47" s="640"/>
      <c r="G47" s="640"/>
      <c r="H47" s="640"/>
      <c r="I47" s="640"/>
      <c r="J47" s="640"/>
      <c r="K47" s="644">
        <f t="shared" si="33"/>
        <v>0</v>
      </c>
      <c r="L47" s="645">
        <f t="shared" si="34"/>
        <v>0</v>
      </c>
      <c r="M47" s="646"/>
      <c r="N47" s="646"/>
      <c r="O47" s="646"/>
      <c r="P47" s="646"/>
      <c r="Q47" s="647"/>
      <c r="R47" s="647"/>
      <c r="S47" s="647"/>
      <c r="T47" s="647"/>
      <c r="U47" s="647"/>
      <c r="V47" s="647"/>
      <c r="W47" s="647"/>
      <c r="X47" s="647"/>
      <c r="Y47" s="647"/>
      <c r="Z47" s="647"/>
      <c r="AA47" s="647"/>
      <c r="AB47" s="647"/>
    </row>
    <row r="48">
      <c r="A48" s="648"/>
      <c r="B48" s="649" t="s">
        <v>2080</v>
      </c>
      <c r="C48" s="649"/>
      <c r="D48" s="650">
        <f>SUM(D49:D55)</f>
        <v>0</v>
      </c>
      <c r="E48" s="651" t="str">
        <f t="shared" ref="E48:E54" si="35">IF(D48&lt;&gt;0,D48/D$48,"")</f>
        <v/>
      </c>
      <c r="F48" s="651" t="str">
        <f t="shared" ref="F48:F56" si="36">IF(D48&lt;&gt;0,D48/D$25,"")</f>
        <v/>
      </c>
      <c r="G48" s="648"/>
      <c r="H48" s="648"/>
      <c r="I48" s="648"/>
      <c r="J48" s="648"/>
      <c r="K48" s="652"/>
      <c r="L48" s="653"/>
      <c r="M48" s="654"/>
      <c r="N48" s="654"/>
      <c r="O48" s="654"/>
      <c r="P48" s="654"/>
      <c r="Q48" s="655"/>
      <c r="R48" s="655"/>
      <c r="S48" s="655"/>
      <c r="T48" s="655"/>
      <c r="U48" s="655"/>
      <c r="V48" s="655"/>
      <c r="W48" s="655"/>
      <c r="X48" s="655"/>
      <c r="Y48" s="655"/>
      <c r="Z48" s="655"/>
      <c r="AA48" s="655"/>
      <c r="AB48" s="655"/>
    </row>
    <row r="49">
      <c r="A49" s="623"/>
      <c r="B49" s="656" t="s">
        <v>2081</v>
      </c>
      <c r="C49" s="657" t="s">
        <v>2082</v>
      </c>
      <c r="D49" s="658">
        <f>SUMIFS(AC_SOTIEN,AC_NHOMQL,$B49)/1000</f>
        <v>0</v>
      </c>
      <c r="E49" s="625" t="str">
        <f t="shared" si="35"/>
        <v/>
      </c>
      <c r="F49" s="626" t="str">
        <f t="shared" si="36"/>
        <v/>
      </c>
      <c r="G49" s="596">
        <f t="shared" ref="G49:G55" si="37">D49-(K49/12*4)</f>
        <v>0</v>
      </c>
      <c r="H49" s="597">
        <f t="shared" ref="H49:H55" si="38">(D49-(K49/12*4))/($K$5/12*4)</f>
        <v>0</v>
      </c>
      <c r="I49" s="623"/>
      <c r="J49" s="623"/>
      <c r="K49" s="628">
        <f t="shared" ref="K49:K54" si="39">I49*J49</f>
        <v>0</v>
      </c>
      <c r="L49" s="659">
        <f t="shared" ref="L49:L54" si="40">IFERROR(K49/SUM($K$5:$K$397),0)</f>
        <v>0</v>
      </c>
      <c r="M49" s="629"/>
      <c r="N49" s="629"/>
      <c r="O49" s="629"/>
      <c r="P49" s="629"/>
      <c r="Q49" s="630"/>
      <c r="R49" s="630"/>
      <c r="S49" s="630"/>
      <c r="T49" s="630"/>
      <c r="U49" s="630"/>
      <c r="V49" s="630"/>
      <c r="W49" s="630"/>
      <c r="X49" s="630"/>
      <c r="Y49" s="630"/>
      <c r="Z49" s="630"/>
      <c r="AA49" s="630"/>
      <c r="AB49" s="630"/>
    </row>
    <row r="50">
      <c r="A50" s="623"/>
      <c r="B50" s="656" t="s">
        <v>2083</v>
      </c>
      <c r="C50" s="657" t="s">
        <v>2084</v>
      </c>
      <c r="D50" s="658">
        <f>SUMIFS(AC_SOTIEN,AC_NHOMQL,$B50)/1000</f>
        <v>0</v>
      </c>
      <c r="E50" s="625" t="str">
        <f t="shared" si="35"/>
        <v/>
      </c>
      <c r="F50" s="626" t="str">
        <f t="shared" si="36"/>
        <v/>
      </c>
      <c r="G50" s="596">
        <f t="shared" si="37"/>
        <v>0</v>
      </c>
      <c r="H50" s="597">
        <f t="shared" si="38"/>
        <v>0</v>
      </c>
      <c r="I50" s="623"/>
      <c r="J50" s="623"/>
      <c r="K50" s="628">
        <f t="shared" si="39"/>
        <v>0</v>
      </c>
      <c r="L50" s="659">
        <f t="shared" si="40"/>
        <v>0</v>
      </c>
      <c r="M50" s="629"/>
      <c r="N50" s="629"/>
      <c r="O50" s="629"/>
      <c r="P50" s="629"/>
      <c r="Q50" s="630"/>
      <c r="R50" s="630"/>
      <c r="S50" s="630"/>
      <c r="T50" s="630"/>
      <c r="U50" s="630"/>
      <c r="V50" s="630"/>
      <c r="W50" s="630"/>
      <c r="X50" s="630"/>
      <c r="Y50" s="630"/>
      <c r="Z50" s="630"/>
      <c r="AA50" s="630"/>
      <c r="AB50" s="630"/>
    </row>
    <row r="51">
      <c r="A51" s="623"/>
      <c r="B51" s="656" t="s">
        <v>2085</v>
      </c>
      <c r="C51" s="657" t="s">
        <v>2086</v>
      </c>
      <c r="D51" s="658">
        <f>SUMIFS(AC_SOTIEN,AC_NHOMQL,$B51)/1000</f>
        <v>0</v>
      </c>
      <c r="E51" s="625" t="str">
        <f t="shared" si="35"/>
        <v/>
      </c>
      <c r="F51" s="626" t="str">
        <f t="shared" si="36"/>
        <v/>
      </c>
      <c r="G51" s="596">
        <f t="shared" si="37"/>
        <v>0</v>
      </c>
      <c r="H51" s="597">
        <f t="shared" si="38"/>
        <v>0</v>
      </c>
      <c r="I51" s="623"/>
      <c r="J51" s="623"/>
      <c r="K51" s="628">
        <f t="shared" si="39"/>
        <v>0</v>
      </c>
      <c r="L51" s="659">
        <f t="shared" si="40"/>
        <v>0</v>
      </c>
      <c r="M51" s="629"/>
      <c r="N51" s="629"/>
      <c r="O51" s="629"/>
      <c r="P51" s="629"/>
      <c r="Q51" s="630"/>
      <c r="R51" s="630"/>
      <c r="S51" s="630"/>
      <c r="T51" s="630"/>
      <c r="U51" s="630"/>
      <c r="V51" s="630"/>
      <c r="W51" s="630"/>
      <c r="X51" s="630"/>
      <c r="Y51" s="630"/>
      <c r="Z51" s="630"/>
      <c r="AA51" s="630"/>
      <c r="AB51" s="630"/>
    </row>
    <row r="52">
      <c r="A52" s="623"/>
      <c r="B52" s="656" t="s">
        <v>2087</v>
      </c>
      <c r="C52" s="657" t="s">
        <v>2088</v>
      </c>
      <c r="D52" s="658">
        <f>SUMIFS(AC_SOTIEN,AC_NHOMQL,$B52)/1000</f>
        <v>0</v>
      </c>
      <c r="E52" s="625" t="str">
        <f t="shared" si="35"/>
        <v/>
      </c>
      <c r="F52" s="626" t="str">
        <f t="shared" si="36"/>
        <v/>
      </c>
      <c r="G52" s="596">
        <f t="shared" si="37"/>
        <v>0</v>
      </c>
      <c r="H52" s="597">
        <f t="shared" si="38"/>
        <v>0</v>
      </c>
      <c r="I52" s="623"/>
      <c r="J52" s="623"/>
      <c r="K52" s="628">
        <f t="shared" si="39"/>
        <v>0</v>
      </c>
      <c r="L52" s="659">
        <f t="shared" si="40"/>
        <v>0</v>
      </c>
      <c r="M52" s="629"/>
      <c r="N52" s="629"/>
      <c r="O52" s="629"/>
      <c r="P52" s="629"/>
      <c r="Q52" s="630"/>
      <c r="R52" s="630"/>
      <c r="S52" s="630"/>
      <c r="T52" s="630"/>
      <c r="U52" s="630"/>
      <c r="V52" s="630"/>
      <c r="W52" s="630"/>
      <c r="X52" s="630"/>
      <c r="Y52" s="630"/>
      <c r="Z52" s="630"/>
      <c r="AA52" s="630"/>
      <c r="AB52" s="630"/>
    </row>
    <row r="53">
      <c r="A53" s="623"/>
      <c r="B53" s="656" t="s">
        <v>2089</v>
      </c>
      <c r="C53" s="660" t="s">
        <v>2090</v>
      </c>
      <c r="D53" s="658">
        <f>SUMIFS(AC_SOTIEN,AC_NHOMQL,$B53)/1000</f>
        <v>0</v>
      </c>
      <c r="E53" s="625" t="str">
        <f t="shared" si="35"/>
        <v/>
      </c>
      <c r="F53" s="626" t="str">
        <f t="shared" si="36"/>
        <v/>
      </c>
      <c r="G53" s="596">
        <f t="shared" si="37"/>
        <v>0</v>
      </c>
      <c r="H53" s="597">
        <f t="shared" si="38"/>
        <v>0</v>
      </c>
      <c r="I53" s="623"/>
      <c r="J53" s="623"/>
      <c r="K53" s="628">
        <f t="shared" si="39"/>
        <v>0</v>
      </c>
      <c r="L53" s="659">
        <f t="shared" si="40"/>
        <v>0</v>
      </c>
      <c r="M53" s="629"/>
      <c r="N53" s="629"/>
      <c r="O53" s="629"/>
      <c r="P53" s="629"/>
      <c r="Q53" s="630"/>
      <c r="R53" s="630"/>
      <c r="S53" s="630"/>
      <c r="T53" s="630"/>
      <c r="U53" s="630"/>
      <c r="V53" s="630"/>
      <c r="W53" s="630"/>
      <c r="X53" s="630"/>
      <c r="Y53" s="630"/>
      <c r="Z53" s="630"/>
      <c r="AA53" s="630"/>
      <c r="AB53" s="630"/>
    </row>
    <row r="54">
      <c r="A54" s="623"/>
      <c r="B54" s="656" t="s">
        <v>203</v>
      </c>
      <c r="C54" s="657" t="s">
        <v>2091</v>
      </c>
      <c r="D54" s="658">
        <f>SUMIFS(AC_SOTIEN,AC_NHOMQL,$B54)/1000</f>
        <v>0</v>
      </c>
      <c r="E54" s="625" t="str">
        <f t="shared" si="35"/>
        <v/>
      </c>
      <c r="F54" s="626" t="str">
        <f t="shared" si="36"/>
        <v/>
      </c>
      <c r="G54" s="596">
        <f t="shared" si="37"/>
        <v>0</v>
      </c>
      <c r="H54" s="597">
        <f t="shared" si="38"/>
        <v>0</v>
      </c>
      <c r="I54" s="623"/>
      <c r="J54" s="623"/>
      <c r="K54" s="628">
        <f t="shared" si="39"/>
        <v>0</v>
      </c>
      <c r="L54" s="659">
        <f t="shared" si="40"/>
        <v>0</v>
      </c>
      <c r="M54" s="629"/>
      <c r="N54" s="629"/>
      <c r="O54" s="629"/>
      <c r="P54" s="629"/>
      <c r="Q54" s="630"/>
      <c r="R54" s="630"/>
      <c r="S54" s="630"/>
      <c r="T54" s="630"/>
      <c r="U54" s="630"/>
      <c r="V54" s="630"/>
      <c r="W54" s="630"/>
      <c r="X54" s="630"/>
      <c r="Y54" s="630"/>
      <c r="Z54" s="630"/>
      <c r="AA54" s="630"/>
      <c r="AB54" s="630"/>
    </row>
    <row r="55">
      <c r="A55" s="661"/>
      <c r="B55" s="661"/>
      <c r="C55" s="661"/>
      <c r="D55" s="662"/>
      <c r="E55" s="661"/>
      <c r="F55" s="626" t="str">
        <f t="shared" si="36"/>
        <v/>
      </c>
      <c r="G55" s="596">
        <f t="shared" si="37"/>
        <v>0</v>
      </c>
      <c r="H55" s="597">
        <f t="shared" si="38"/>
        <v>0</v>
      </c>
      <c r="I55" s="661"/>
      <c r="J55" s="661"/>
      <c r="K55" s="661"/>
      <c r="L55" s="661"/>
      <c r="M55" s="661"/>
      <c r="N55" s="661"/>
      <c r="O55" s="661"/>
      <c r="P55" s="661"/>
      <c r="Q55" s="661"/>
      <c r="R55" s="661"/>
      <c r="S55" s="661"/>
      <c r="T55" s="661"/>
      <c r="U55" s="661"/>
      <c r="V55" s="661"/>
      <c r="W55" s="661"/>
      <c r="X55" s="661"/>
      <c r="Y55" s="661"/>
      <c r="Z55" s="661"/>
      <c r="AA55" s="661"/>
      <c r="AB55" s="661"/>
    </row>
    <row r="56">
      <c r="A56" s="663"/>
      <c r="B56" s="664" t="s">
        <v>2092</v>
      </c>
      <c r="C56" s="663"/>
      <c r="D56" s="665">
        <f>D25-D48+D46+D47</f>
        <v>4344612</v>
      </c>
      <c r="E56" s="663"/>
      <c r="F56" s="666">
        <f t="shared" si="36"/>
        <v>1</v>
      </c>
      <c r="G56" s="663"/>
      <c r="H56" s="663"/>
      <c r="I56" s="663"/>
      <c r="J56" s="663"/>
      <c r="K56" s="663"/>
      <c r="L56" s="663"/>
      <c r="M56" s="663"/>
      <c r="N56" s="663"/>
      <c r="O56" s="663"/>
      <c r="P56" s="663"/>
      <c r="Q56" s="663"/>
      <c r="R56" s="663"/>
      <c r="S56" s="663"/>
      <c r="T56" s="663"/>
      <c r="U56" s="663"/>
      <c r="V56" s="663"/>
      <c r="W56" s="663"/>
      <c r="X56" s="663"/>
      <c r="Y56" s="663"/>
      <c r="Z56" s="663"/>
      <c r="AA56" s="663"/>
      <c r="AB56" s="663"/>
    </row>
    <row r="57">
      <c r="A57" s="661"/>
      <c r="B57" s="661"/>
      <c r="C57" s="661"/>
      <c r="D57" s="662"/>
      <c r="E57" s="661"/>
      <c r="F57" s="661"/>
      <c r="G57" s="661"/>
      <c r="H57" s="661"/>
      <c r="I57" s="661"/>
      <c r="J57" s="661"/>
      <c r="K57" s="661"/>
      <c r="L57" s="661"/>
      <c r="M57" s="661"/>
      <c r="N57" s="661"/>
      <c r="O57" s="661"/>
      <c r="P57" s="661"/>
      <c r="Q57" s="661"/>
      <c r="R57" s="661"/>
      <c r="S57" s="661"/>
      <c r="T57" s="661"/>
      <c r="U57" s="661"/>
      <c r="V57" s="661"/>
      <c r="W57" s="661"/>
      <c r="X57" s="661"/>
      <c r="Y57" s="661"/>
      <c r="Z57" s="661"/>
      <c r="AA57" s="661"/>
      <c r="AB57" s="661"/>
    </row>
    <row r="58">
      <c r="A58" s="661"/>
      <c r="B58" s="661"/>
      <c r="C58" s="661"/>
      <c r="D58" s="662"/>
      <c r="E58" s="661"/>
      <c r="F58" s="661"/>
      <c r="G58" s="661"/>
      <c r="H58" s="661"/>
      <c r="I58" s="661"/>
      <c r="J58" s="661"/>
      <c r="K58" s="661"/>
      <c r="L58" s="661"/>
      <c r="M58" s="661"/>
      <c r="N58" s="661"/>
      <c r="O58" s="661"/>
      <c r="P58" s="661"/>
      <c r="Q58" s="661"/>
      <c r="R58" s="661"/>
      <c r="S58" s="661"/>
      <c r="T58" s="661"/>
      <c r="U58" s="661"/>
      <c r="V58" s="661"/>
      <c r="W58" s="661"/>
      <c r="X58" s="661"/>
      <c r="Y58" s="661"/>
      <c r="Z58" s="661"/>
      <c r="AA58" s="661"/>
      <c r="AB58" s="661"/>
    </row>
    <row r="59">
      <c r="A59" s="661"/>
      <c r="B59" s="661"/>
      <c r="C59" s="661"/>
      <c r="D59" s="662"/>
      <c r="E59" s="661"/>
      <c r="F59" s="661"/>
      <c r="G59" s="661"/>
      <c r="H59" s="661"/>
      <c r="I59" s="661"/>
      <c r="J59" s="661"/>
      <c r="K59" s="661"/>
      <c r="L59" s="661"/>
      <c r="M59" s="661"/>
      <c r="N59" s="661"/>
      <c r="O59" s="661"/>
      <c r="P59" s="661"/>
      <c r="Q59" s="661"/>
      <c r="R59" s="661"/>
      <c r="S59" s="661"/>
      <c r="T59" s="661"/>
      <c r="U59" s="661"/>
      <c r="V59" s="661"/>
      <c r="W59" s="661"/>
      <c r="X59" s="661"/>
      <c r="Y59" s="661"/>
      <c r="Z59" s="661"/>
      <c r="AA59" s="661"/>
      <c r="AB59" s="661"/>
    </row>
    <row r="60">
      <c r="A60" s="661"/>
      <c r="B60" s="661"/>
      <c r="C60" s="661"/>
      <c r="D60" s="662"/>
      <c r="E60" s="661"/>
      <c r="F60" s="661"/>
      <c r="G60" s="661"/>
      <c r="H60" s="661"/>
      <c r="I60" s="661"/>
      <c r="J60" s="661"/>
      <c r="K60" s="661"/>
      <c r="L60" s="661"/>
      <c r="M60" s="661"/>
      <c r="N60" s="661"/>
      <c r="O60" s="661"/>
      <c r="P60" s="661"/>
      <c r="Q60" s="661"/>
      <c r="R60" s="661"/>
      <c r="S60" s="661"/>
      <c r="T60" s="661"/>
      <c r="U60" s="661"/>
      <c r="V60" s="661"/>
      <c r="W60" s="661"/>
      <c r="X60" s="661"/>
      <c r="Y60" s="661"/>
      <c r="Z60" s="661"/>
      <c r="AA60" s="661"/>
      <c r="AB60" s="661"/>
    </row>
    <row r="61">
      <c r="A61" s="661"/>
      <c r="B61" s="661"/>
      <c r="C61" s="661"/>
      <c r="D61" s="662"/>
      <c r="E61" s="661"/>
      <c r="F61" s="661"/>
      <c r="G61" s="661"/>
      <c r="H61" s="661"/>
      <c r="I61" s="661"/>
      <c r="J61" s="661"/>
      <c r="K61" s="661"/>
      <c r="L61" s="661"/>
      <c r="M61" s="661"/>
      <c r="N61" s="661"/>
      <c r="O61" s="661"/>
      <c r="P61" s="661"/>
      <c r="Q61" s="661"/>
      <c r="R61" s="661"/>
      <c r="S61" s="661"/>
      <c r="T61" s="661"/>
      <c r="U61" s="661"/>
      <c r="V61" s="661"/>
      <c r="W61" s="661"/>
      <c r="X61" s="661"/>
      <c r="Y61" s="661"/>
      <c r="Z61" s="661"/>
      <c r="AA61" s="661"/>
      <c r="AB61" s="661"/>
    </row>
    <row r="62">
      <c r="A62" s="661"/>
      <c r="B62" s="661"/>
      <c r="C62" s="661"/>
      <c r="D62" s="662"/>
      <c r="E62" s="661"/>
      <c r="F62" s="661"/>
      <c r="G62" s="661"/>
      <c r="H62" s="661"/>
      <c r="I62" s="661"/>
      <c r="J62" s="661"/>
      <c r="K62" s="661"/>
      <c r="L62" s="661"/>
      <c r="M62" s="661"/>
      <c r="N62" s="661"/>
      <c r="O62" s="661"/>
      <c r="P62" s="661"/>
      <c r="Q62" s="661"/>
      <c r="R62" s="661"/>
      <c r="S62" s="661"/>
      <c r="T62" s="661"/>
      <c r="U62" s="661"/>
      <c r="V62" s="661"/>
      <c r="W62" s="661"/>
      <c r="X62" s="661"/>
      <c r="Y62" s="661"/>
      <c r="Z62" s="661"/>
      <c r="AA62" s="661"/>
      <c r="AB62" s="661"/>
    </row>
    <row r="63">
      <c r="A63" s="661"/>
      <c r="B63" s="661"/>
      <c r="C63" s="661"/>
      <c r="D63" s="662"/>
      <c r="E63" s="661"/>
      <c r="F63" s="661"/>
      <c r="G63" s="661"/>
      <c r="H63" s="661"/>
      <c r="I63" s="661"/>
      <c r="J63" s="661"/>
      <c r="K63" s="661"/>
      <c r="L63" s="661"/>
      <c r="M63" s="661"/>
      <c r="N63" s="661"/>
      <c r="O63" s="661"/>
      <c r="P63" s="661"/>
      <c r="Q63" s="661"/>
      <c r="R63" s="661"/>
      <c r="S63" s="661"/>
      <c r="T63" s="661"/>
      <c r="U63" s="661"/>
      <c r="V63" s="661"/>
      <c r="W63" s="661"/>
      <c r="X63" s="661"/>
      <c r="Y63" s="661"/>
      <c r="Z63" s="661"/>
      <c r="AA63" s="661"/>
      <c r="AB63" s="661"/>
    </row>
    <row r="64">
      <c r="A64" s="661"/>
      <c r="B64" s="661"/>
      <c r="C64" s="661"/>
      <c r="D64" s="662"/>
      <c r="E64" s="661"/>
      <c r="F64" s="661"/>
      <c r="G64" s="661"/>
      <c r="H64" s="661"/>
      <c r="I64" s="661"/>
      <c r="J64" s="661"/>
      <c r="K64" s="661"/>
      <c r="L64" s="661"/>
      <c r="M64" s="661"/>
      <c r="N64" s="661"/>
      <c r="O64" s="661"/>
      <c r="P64" s="661"/>
      <c r="Q64" s="661"/>
      <c r="R64" s="661"/>
      <c r="S64" s="661"/>
      <c r="T64" s="661"/>
      <c r="U64" s="661"/>
      <c r="V64" s="661"/>
      <c r="W64" s="661"/>
      <c r="X64" s="661"/>
      <c r="Y64" s="661"/>
      <c r="Z64" s="661"/>
      <c r="AA64" s="661"/>
      <c r="AB64" s="661"/>
    </row>
    <row r="65">
      <c r="A65" s="661"/>
      <c r="B65" s="661"/>
      <c r="C65" s="661"/>
      <c r="D65" s="662"/>
      <c r="E65" s="661"/>
      <c r="F65" s="661"/>
      <c r="G65" s="661"/>
      <c r="H65" s="661"/>
      <c r="I65" s="661"/>
      <c r="J65" s="661"/>
      <c r="K65" s="661"/>
      <c r="L65" s="661"/>
      <c r="M65" s="661"/>
      <c r="N65" s="661"/>
      <c r="O65" s="661"/>
      <c r="P65" s="661"/>
      <c r="Q65" s="661"/>
      <c r="R65" s="661"/>
      <c r="S65" s="661"/>
      <c r="T65" s="661"/>
      <c r="U65" s="661"/>
      <c r="V65" s="661"/>
      <c r="W65" s="661"/>
      <c r="X65" s="661"/>
      <c r="Y65" s="661"/>
      <c r="Z65" s="661"/>
      <c r="AA65" s="661"/>
      <c r="AB65" s="661"/>
    </row>
    <row r="66">
      <c r="A66" s="661"/>
      <c r="B66" s="661"/>
      <c r="C66" s="661"/>
      <c r="D66" s="662"/>
      <c r="E66" s="661"/>
      <c r="F66" s="661"/>
      <c r="G66" s="661"/>
      <c r="H66" s="661"/>
      <c r="I66" s="661"/>
      <c r="J66" s="661"/>
      <c r="K66" s="661"/>
      <c r="L66" s="661"/>
      <c r="M66" s="661"/>
      <c r="N66" s="661"/>
      <c r="O66" s="661"/>
      <c r="P66" s="661"/>
      <c r="Q66" s="661"/>
      <c r="R66" s="661"/>
      <c r="S66" s="661"/>
      <c r="T66" s="661"/>
      <c r="U66" s="661"/>
      <c r="V66" s="661"/>
      <c r="W66" s="661"/>
      <c r="X66" s="661"/>
      <c r="Y66" s="661"/>
      <c r="Z66" s="661"/>
      <c r="AA66" s="661"/>
      <c r="AB66" s="661"/>
    </row>
    <row r="67">
      <c r="A67" s="661"/>
      <c r="B67" s="661"/>
      <c r="C67" s="661"/>
      <c r="D67" s="662"/>
      <c r="E67" s="661"/>
      <c r="F67" s="661"/>
      <c r="G67" s="661"/>
      <c r="H67" s="661"/>
      <c r="I67" s="661"/>
      <c r="J67" s="661"/>
      <c r="K67" s="661"/>
      <c r="L67" s="661"/>
      <c r="M67" s="661"/>
      <c r="N67" s="661"/>
      <c r="O67" s="661"/>
      <c r="P67" s="661"/>
      <c r="Q67" s="661"/>
      <c r="R67" s="661"/>
      <c r="S67" s="661"/>
      <c r="T67" s="661"/>
      <c r="U67" s="661"/>
      <c r="V67" s="661"/>
      <c r="W67" s="661"/>
      <c r="X67" s="661"/>
      <c r="Y67" s="661"/>
      <c r="Z67" s="661"/>
      <c r="AA67" s="661"/>
      <c r="AB67" s="661"/>
    </row>
    <row r="68">
      <c r="A68" s="661"/>
      <c r="B68" s="661"/>
      <c r="C68" s="661"/>
      <c r="D68" s="662"/>
      <c r="E68" s="661"/>
      <c r="F68" s="661"/>
      <c r="G68" s="661"/>
      <c r="H68" s="661"/>
      <c r="I68" s="661"/>
      <c r="J68" s="661"/>
      <c r="K68" s="661"/>
      <c r="L68" s="661"/>
      <c r="M68" s="661"/>
      <c r="N68" s="661"/>
      <c r="O68" s="661"/>
      <c r="P68" s="661"/>
      <c r="Q68" s="661"/>
      <c r="R68" s="661"/>
      <c r="S68" s="661"/>
      <c r="T68" s="661"/>
      <c r="U68" s="661"/>
      <c r="V68" s="661"/>
      <c r="W68" s="661"/>
      <c r="X68" s="661"/>
      <c r="Y68" s="661"/>
      <c r="Z68" s="661"/>
      <c r="AA68" s="661"/>
      <c r="AB68" s="661"/>
    </row>
    <row r="69">
      <c r="A69" s="661"/>
      <c r="B69" s="661"/>
      <c r="C69" s="661"/>
      <c r="D69" s="662"/>
      <c r="E69" s="661"/>
      <c r="F69" s="661"/>
      <c r="G69" s="661"/>
      <c r="H69" s="661"/>
      <c r="I69" s="661"/>
      <c r="J69" s="661"/>
      <c r="K69" s="661"/>
      <c r="L69" s="661"/>
      <c r="M69" s="661"/>
      <c r="N69" s="661"/>
      <c r="O69" s="661"/>
      <c r="P69" s="661"/>
      <c r="Q69" s="661"/>
      <c r="R69" s="661"/>
      <c r="S69" s="661"/>
      <c r="T69" s="661"/>
      <c r="U69" s="661"/>
      <c r="V69" s="661"/>
      <c r="W69" s="661"/>
      <c r="X69" s="661"/>
      <c r="Y69" s="661"/>
      <c r="Z69" s="661"/>
      <c r="AA69" s="661"/>
      <c r="AB69" s="661"/>
    </row>
    <row r="70">
      <c r="A70" s="661"/>
      <c r="B70" s="661"/>
      <c r="C70" s="661"/>
      <c r="D70" s="662"/>
      <c r="E70" s="661"/>
      <c r="F70" s="661"/>
      <c r="G70" s="661"/>
      <c r="H70" s="661"/>
      <c r="I70" s="661"/>
      <c r="J70" s="661"/>
      <c r="K70" s="661"/>
      <c r="L70" s="661"/>
      <c r="M70" s="661"/>
      <c r="N70" s="661"/>
      <c r="O70" s="661"/>
      <c r="P70" s="661"/>
      <c r="Q70" s="661"/>
      <c r="R70" s="661"/>
      <c r="S70" s="661"/>
      <c r="T70" s="661"/>
      <c r="U70" s="661"/>
      <c r="V70" s="661"/>
      <c r="W70" s="661"/>
      <c r="X70" s="661"/>
      <c r="Y70" s="661"/>
      <c r="Z70" s="661"/>
      <c r="AA70" s="661"/>
      <c r="AB70" s="661"/>
    </row>
    <row r="71">
      <c r="A71" s="661"/>
      <c r="B71" s="661"/>
      <c r="C71" s="661"/>
      <c r="D71" s="662"/>
      <c r="E71" s="661"/>
      <c r="F71" s="661"/>
      <c r="G71" s="661"/>
      <c r="H71" s="661"/>
      <c r="I71" s="661"/>
      <c r="J71" s="661"/>
      <c r="K71" s="661"/>
      <c r="L71" s="661"/>
      <c r="M71" s="661"/>
      <c r="N71" s="661"/>
      <c r="O71" s="661"/>
      <c r="P71" s="661"/>
      <c r="Q71" s="661"/>
      <c r="R71" s="661"/>
      <c r="S71" s="661"/>
      <c r="T71" s="661"/>
      <c r="U71" s="661"/>
      <c r="V71" s="661"/>
      <c r="W71" s="661"/>
      <c r="X71" s="661"/>
      <c r="Y71" s="661"/>
      <c r="Z71" s="661"/>
      <c r="AA71" s="661"/>
      <c r="AB71" s="661"/>
    </row>
    <row r="72">
      <c r="A72" s="661"/>
      <c r="B72" s="661"/>
      <c r="C72" s="661"/>
      <c r="D72" s="662"/>
      <c r="E72" s="661"/>
      <c r="F72" s="661"/>
      <c r="G72" s="661"/>
      <c r="H72" s="661"/>
      <c r="I72" s="661"/>
      <c r="J72" s="661"/>
      <c r="K72" s="661"/>
      <c r="L72" s="661"/>
      <c r="M72" s="661"/>
      <c r="N72" s="661"/>
      <c r="O72" s="661"/>
      <c r="P72" s="661"/>
      <c r="Q72" s="661"/>
      <c r="R72" s="661"/>
      <c r="S72" s="661"/>
      <c r="T72" s="661"/>
      <c r="U72" s="661"/>
      <c r="V72" s="661"/>
      <c r="W72" s="661"/>
      <c r="X72" s="661"/>
      <c r="Y72" s="661"/>
      <c r="Z72" s="661"/>
      <c r="AA72" s="661"/>
      <c r="AB72" s="661"/>
    </row>
    <row r="73">
      <c r="A73" s="661"/>
      <c r="B73" s="661"/>
      <c r="C73" s="661"/>
      <c r="D73" s="662"/>
      <c r="E73" s="661"/>
      <c r="F73" s="661"/>
      <c r="G73" s="661"/>
      <c r="H73" s="661"/>
      <c r="I73" s="661"/>
      <c r="J73" s="661"/>
      <c r="K73" s="661"/>
      <c r="L73" s="661"/>
      <c r="M73" s="661"/>
      <c r="N73" s="661"/>
      <c r="O73" s="661"/>
      <c r="P73" s="661"/>
      <c r="Q73" s="661"/>
      <c r="R73" s="661"/>
      <c r="S73" s="661"/>
      <c r="T73" s="661"/>
      <c r="U73" s="661"/>
      <c r="V73" s="661"/>
      <c r="W73" s="661"/>
      <c r="X73" s="661"/>
      <c r="Y73" s="661"/>
      <c r="Z73" s="661"/>
      <c r="AA73" s="661"/>
      <c r="AB73" s="661"/>
    </row>
    <row r="74">
      <c r="A74" s="661"/>
      <c r="B74" s="661"/>
      <c r="C74" s="661"/>
      <c r="D74" s="662"/>
      <c r="E74" s="661"/>
      <c r="F74" s="661"/>
      <c r="G74" s="661"/>
      <c r="H74" s="661"/>
      <c r="I74" s="661"/>
      <c r="J74" s="661"/>
      <c r="K74" s="661"/>
      <c r="L74" s="661"/>
      <c r="M74" s="661"/>
      <c r="N74" s="661"/>
      <c r="O74" s="661"/>
      <c r="P74" s="661"/>
      <c r="Q74" s="661"/>
      <c r="R74" s="661"/>
      <c r="S74" s="661"/>
      <c r="T74" s="661"/>
      <c r="U74" s="661"/>
      <c r="V74" s="661"/>
      <c r="W74" s="661"/>
      <c r="X74" s="661"/>
      <c r="Y74" s="661"/>
      <c r="Z74" s="661"/>
      <c r="AA74" s="661"/>
      <c r="AB74" s="661"/>
    </row>
    <row r="75">
      <c r="A75" s="661"/>
      <c r="B75" s="661"/>
      <c r="C75" s="661"/>
      <c r="D75" s="662"/>
      <c r="E75" s="661"/>
      <c r="F75" s="661"/>
      <c r="G75" s="661"/>
      <c r="H75" s="661"/>
      <c r="I75" s="661"/>
      <c r="J75" s="661"/>
      <c r="K75" s="661"/>
      <c r="L75" s="661"/>
      <c r="M75" s="661"/>
      <c r="N75" s="661"/>
      <c r="O75" s="661"/>
      <c r="P75" s="661"/>
      <c r="Q75" s="661"/>
      <c r="R75" s="661"/>
      <c r="S75" s="661"/>
      <c r="T75" s="661"/>
      <c r="U75" s="661"/>
      <c r="V75" s="661"/>
      <c r="W75" s="661"/>
      <c r="X75" s="661"/>
      <c r="Y75" s="661"/>
      <c r="Z75" s="661"/>
      <c r="AA75" s="661"/>
      <c r="AB75" s="661"/>
    </row>
    <row r="76">
      <c r="A76" s="661"/>
      <c r="B76" s="661"/>
      <c r="C76" s="661"/>
      <c r="D76" s="662"/>
      <c r="E76" s="661"/>
      <c r="F76" s="661"/>
      <c r="G76" s="661"/>
      <c r="H76" s="661"/>
      <c r="I76" s="661"/>
      <c r="J76" s="661"/>
      <c r="K76" s="661"/>
      <c r="L76" s="661"/>
      <c r="M76" s="661"/>
      <c r="N76" s="661"/>
      <c r="O76" s="661"/>
      <c r="P76" s="661"/>
      <c r="Q76" s="661"/>
      <c r="R76" s="661"/>
      <c r="S76" s="661"/>
      <c r="T76" s="661"/>
      <c r="U76" s="661"/>
      <c r="V76" s="661"/>
      <c r="W76" s="661"/>
      <c r="X76" s="661"/>
      <c r="Y76" s="661"/>
      <c r="Z76" s="661"/>
      <c r="AA76" s="661"/>
      <c r="AB76" s="661"/>
    </row>
    <row r="77">
      <c r="A77" s="661"/>
      <c r="B77" s="661"/>
      <c r="C77" s="661"/>
      <c r="D77" s="662"/>
      <c r="E77" s="661"/>
      <c r="F77" s="661"/>
      <c r="G77" s="661"/>
      <c r="H77" s="661"/>
      <c r="I77" s="661"/>
      <c r="J77" s="661"/>
      <c r="K77" s="661"/>
      <c r="L77" s="661"/>
      <c r="M77" s="661"/>
      <c r="N77" s="661"/>
      <c r="O77" s="661"/>
      <c r="P77" s="661"/>
      <c r="Q77" s="661"/>
      <c r="R77" s="661"/>
      <c r="S77" s="661"/>
      <c r="T77" s="661"/>
      <c r="U77" s="661"/>
      <c r="V77" s="661"/>
      <c r="W77" s="661"/>
      <c r="X77" s="661"/>
      <c r="Y77" s="661"/>
      <c r="Z77" s="661"/>
      <c r="AA77" s="661"/>
      <c r="AB77" s="661"/>
    </row>
    <row r="78">
      <c r="A78" s="661"/>
      <c r="B78" s="661"/>
      <c r="C78" s="661"/>
      <c r="D78" s="662"/>
      <c r="E78" s="661"/>
      <c r="F78" s="661"/>
      <c r="G78" s="661"/>
      <c r="H78" s="661"/>
      <c r="I78" s="661"/>
      <c r="J78" s="661"/>
      <c r="K78" s="661"/>
      <c r="L78" s="661"/>
      <c r="M78" s="661"/>
      <c r="N78" s="661"/>
      <c r="O78" s="661"/>
      <c r="P78" s="661"/>
      <c r="Q78" s="661"/>
      <c r="R78" s="661"/>
      <c r="S78" s="661"/>
      <c r="T78" s="661"/>
      <c r="U78" s="661"/>
      <c r="V78" s="661"/>
      <c r="W78" s="661"/>
      <c r="X78" s="661"/>
      <c r="Y78" s="661"/>
      <c r="Z78" s="661"/>
      <c r="AA78" s="661"/>
      <c r="AB78" s="661"/>
    </row>
    <row r="79">
      <c r="A79" s="661"/>
      <c r="B79" s="661"/>
      <c r="C79" s="661"/>
      <c r="D79" s="662"/>
      <c r="E79" s="661"/>
      <c r="F79" s="661"/>
      <c r="G79" s="661"/>
      <c r="H79" s="661"/>
      <c r="I79" s="661"/>
      <c r="J79" s="661"/>
      <c r="K79" s="661"/>
      <c r="L79" s="661"/>
      <c r="M79" s="661"/>
      <c r="N79" s="661"/>
      <c r="O79" s="661"/>
      <c r="P79" s="661"/>
      <c r="Q79" s="661"/>
      <c r="R79" s="661"/>
      <c r="S79" s="661"/>
      <c r="T79" s="661"/>
      <c r="U79" s="661"/>
      <c r="V79" s="661"/>
      <c r="W79" s="661"/>
      <c r="X79" s="661"/>
      <c r="Y79" s="661"/>
      <c r="Z79" s="661"/>
      <c r="AA79" s="661"/>
      <c r="AB79" s="661"/>
    </row>
    <row r="80">
      <c r="A80" s="661"/>
      <c r="B80" s="661"/>
      <c r="C80" s="661"/>
      <c r="D80" s="662"/>
      <c r="E80" s="661"/>
      <c r="F80" s="661"/>
      <c r="G80" s="661"/>
      <c r="H80" s="661"/>
      <c r="I80" s="661"/>
      <c r="J80" s="661"/>
      <c r="K80" s="661"/>
      <c r="L80" s="661"/>
      <c r="M80" s="661"/>
      <c r="N80" s="661"/>
      <c r="O80" s="661"/>
      <c r="P80" s="661"/>
      <c r="Q80" s="661"/>
      <c r="R80" s="661"/>
      <c r="S80" s="661"/>
      <c r="T80" s="661"/>
      <c r="U80" s="661"/>
      <c r="V80" s="661"/>
      <c r="W80" s="661"/>
      <c r="X80" s="661"/>
      <c r="Y80" s="661"/>
      <c r="Z80" s="661"/>
      <c r="AA80" s="661"/>
      <c r="AB80" s="661"/>
    </row>
    <row r="81">
      <c r="A81" s="661"/>
      <c r="B81" s="661"/>
      <c r="C81" s="661"/>
      <c r="D81" s="662"/>
      <c r="E81" s="661"/>
      <c r="F81" s="661"/>
      <c r="G81" s="661"/>
      <c r="H81" s="661"/>
      <c r="I81" s="661"/>
      <c r="J81" s="661"/>
      <c r="K81" s="661"/>
      <c r="L81" s="661"/>
      <c r="M81" s="661"/>
      <c r="N81" s="661"/>
      <c r="O81" s="661"/>
      <c r="P81" s="661"/>
      <c r="Q81" s="661"/>
      <c r="R81" s="661"/>
      <c r="S81" s="661"/>
      <c r="T81" s="661"/>
      <c r="U81" s="661"/>
      <c r="V81" s="661"/>
      <c r="W81" s="661"/>
      <c r="X81" s="661"/>
      <c r="Y81" s="661"/>
      <c r="Z81" s="661"/>
      <c r="AA81" s="661"/>
      <c r="AB81" s="661"/>
    </row>
    <row r="82">
      <c r="A82" s="661"/>
      <c r="B82" s="661"/>
      <c r="C82" s="661"/>
      <c r="D82" s="662"/>
      <c r="E82" s="661"/>
      <c r="F82" s="661"/>
      <c r="G82" s="661"/>
      <c r="H82" s="661"/>
      <c r="I82" s="661"/>
      <c r="J82" s="661"/>
      <c r="K82" s="661"/>
      <c r="L82" s="661"/>
      <c r="M82" s="661"/>
      <c r="N82" s="661"/>
      <c r="O82" s="661"/>
      <c r="P82" s="661"/>
      <c r="Q82" s="661"/>
      <c r="R82" s="661"/>
      <c r="S82" s="661"/>
      <c r="T82" s="661"/>
      <c r="U82" s="661"/>
      <c r="V82" s="661"/>
      <c r="W82" s="661"/>
      <c r="X82" s="661"/>
      <c r="Y82" s="661"/>
      <c r="Z82" s="661"/>
      <c r="AA82" s="661"/>
      <c r="AB82" s="661"/>
    </row>
    <row r="83">
      <c r="A83" s="661"/>
      <c r="B83" s="661"/>
      <c r="C83" s="661"/>
      <c r="D83" s="662"/>
      <c r="E83" s="661"/>
      <c r="F83" s="661"/>
      <c r="G83" s="661"/>
      <c r="H83" s="661"/>
      <c r="I83" s="661"/>
      <c r="J83" s="661"/>
      <c r="K83" s="661"/>
      <c r="L83" s="661"/>
      <c r="M83" s="661"/>
      <c r="N83" s="661"/>
      <c r="O83" s="661"/>
      <c r="P83" s="661"/>
      <c r="Q83" s="661"/>
      <c r="R83" s="661"/>
      <c r="S83" s="661"/>
      <c r="T83" s="661"/>
      <c r="U83" s="661"/>
      <c r="V83" s="661"/>
      <c r="W83" s="661"/>
      <c r="X83" s="661"/>
      <c r="Y83" s="661"/>
      <c r="Z83" s="661"/>
      <c r="AA83" s="661"/>
      <c r="AB83" s="661"/>
    </row>
    <row r="84">
      <c r="A84" s="661"/>
      <c r="B84" s="661"/>
      <c r="C84" s="661"/>
      <c r="D84" s="662"/>
      <c r="E84" s="661"/>
      <c r="F84" s="661"/>
      <c r="G84" s="661"/>
      <c r="H84" s="661"/>
      <c r="I84" s="661"/>
      <c r="J84" s="661"/>
      <c r="K84" s="661"/>
      <c r="L84" s="661"/>
      <c r="M84" s="661"/>
      <c r="N84" s="661"/>
      <c r="O84" s="661"/>
      <c r="P84" s="661"/>
      <c r="Q84" s="661"/>
      <c r="R84" s="661"/>
      <c r="S84" s="661"/>
      <c r="T84" s="661"/>
      <c r="U84" s="661"/>
      <c r="V84" s="661"/>
      <c r="W84" s="661"/>
      <c r="X84" s="661"/>
      <c r="Y84" s="661"/>
      <c r="Z84" s="661"/>
      <c r="AA84" s="661"/>
      <c r="AB84" s="661"/>
    </row>
    <row r="85">
      <c r="A85" s="661"/>
      <c r="B85" s="661"/>
      <c r="C85" s="661"/>
      <c r="D85" s="662"/>
      <c r="E85" s="661"/>
      <c r="F85" s="661"/>
      <c r="G85" s="661"/>
      <c r="H85" s="661"/>
      <c r="I85" s="661"/>
      <c r="J85" s="661"/>
      <c r="K85" s="661"/>
      <c r="L85" s="661"/>
      <c r="M85" s="661"/>
      <c r="N85" s="661"/>
      <c r="O85" s="661"/>
      <c r="P85" s="661"/>
      <c r="Q85" s="661"/>
      <c r="R85" s="661"/>
      <c r="S85" s="661"/>
      <c r="T85" s="661"/>
      <c r="U85" s="661"/>
      <c r="V85" s="661"/>
      <c r="W85" s="661"/>
      <c r="X85" s="661"/>
      <c r="Y85" s="661"/>
      <c r="Z85" s="661"/>
      <c r="AA85" s="661"/>
      <c r="AB85" s="661"/>
    </row>
    <row r="86">
      <c r="A86" s="661"/>
      <c r="B86" s="661"/>
      <c r="C86" s="661"/>
      <c r="D86" s="662"/>
      <c r="E86" s="661"/>
      <c r="F86" s="661"/>
      <c r="G86" s="661"/>
      <c r="H86" s="661"/>
      <c r="I86" s="661"/>
      <c r="J86" s="661"/>
      <c r="K86" s="661"/>
      <c r="L86" s="661"/>
      <c r="M86" s="661"/>
      <c r="N86" s="661"/>
      <c r="O86" s="661"/>
      <c r="P86" s="661"/>
      <c r="Q86" s="661"/>
      <c r="R86" s="661"/>
      <c r="S86" s="661"/>
      <c r="T86" s="661"/>
      <c r="U86" s="661"/>
      <c r="V86" s="661"/>
      <c r="W86" s="661"/>
      <c r="X86" s="661"/>
      <c r="Y86" s="661"/>
      <c r="Z86" s="661"/>
      <c r="AA86" s="661"/>
      <c r="AB86" s="661"/>
    </row>
    <row r="87">
      <c r="A87" s="661"/>
      <c r="B87" s="661"/>
      <c r="C87" s="661"/>
      <c r="D87" s="662"/>
      <c r="E87" s="661"/>
      <c r="F87" s="661"/>
      <c r="G87" s="661"/>
      <c r="H87" s="661"/>
      <c r="I87" s="661"/>
      <c r="J87" s="661"/>
      <c r="K87" s="661"/>
      <c r="L87" s="661"/>
      <c r="M87" s="661"/>
      <c r="N87" s="661"/>
      <c r="O87" s="661"/>
      <c r="P87" s="661"/>
      <c r="Q87" s="661"/>
      <c r="R87" s="661"/>
      <c r="S87" s="661"/>
      <c r="T87" s="661"/>
      <c r="U87" s="661"/>
      <c r="V87" s="661"/>
      <c r="W87" s="661"/>
      <c r="X87" s="661"/>
      <c r="Y87" s="661"/>
      <c r="Z87" s="661"/>
      <c r="AA87" s="661"/>
      <c r="AB87" s="661"/>
    </row>
    <row r="88">
      <c r="A88" s="661"/>
      <c r="B88" s="661"/>
      <c r="C88" s="661"/>
      <c r="D88" s="662"/>
      <c r="E88" s="661"/>
      <c r="F88" s="661"/>
      <c r="G88" s="661"/>
      <c r="H88" s="661"/>
      <c r="I88" s="661"/>
      <c r="J88" s="661"/>
      <c r="K88" s="661"/>
      <c r="L88" s="661"/>
      <c r="M88" s="661"/>
      <c r="N88" s="661"/>
      <c r="O88" s="661"/>
      <c r="P88" s="661"/>
      <c r="Q88" s="661"/>
      <c r="R88" s="661"/>
      <c r="S88" s="661"/>
      <c r="T88" s="661"/>
      <c r="U88" s="661"/>
      <c r="V88" s="661"/>
      <c r="W88" s="661"/>
      <c r="X88" s="661"/>
      <c r="Y88" s="661"/>
      <c r="Z88" s="661"/>
      <c r="AA88" s="661"/>
      <c r="AB88" s="661"/>
    </row>
    <row r="89">
      <c r="A89" s="661"/>
      <c r="B89" s="661"/>
      <c r="C89" s="661"/>
      <c r="D89" s="662"/>
      <c r="E89" s="661"/>
      <c r="F89" s="661"/>
      <c r="G89" s="661"/>
      <c r="H89" s="661"/>
      <c r="I89" s="661"/>
      <c r="J89" s="661"/>
      <c r="K89" s="661"/>
      <c r="L89" s="661"/>
      <c r="M89" s="661"/>
      <c r="N89" s="661"/>
      <c r="O89" s="661"/>
      <c r="P89" s="661"/>
      <c r="Q89" s="661"/>
      <c r="R89" s="661"/>
      <c r="S89" s="661"/>
      <c r="T89" s="661"/>
      <c r="U89" s="661"/>
      <c r="V89" s="661"/>
      <c r="W89" s="661"/>
      <c r="X89" s="661"/>
      <c r="Y89" s="661"/>
      <c r="Z89" s="661"/>
      <c r="AA89" s="661"/>
      <c r="AB89" s="661"/>
    </row>
    <row r="90">
      <c r="A90" s="661"/>
      <c r="B90" s="661"/>
      <c r="C90" s="661"/>
      <c r="D90" s="662"/>
      <c r="E90" s="661"/>
      <c r="F90" s="661"/>
      <c r="G90" s="661"/>
      <c r="H90" s="661"/>
      <c r="I90" s="661"/>
      <c r="J90" s="661"/>
      <c r="K90" s="661"/>
      <c r="L90" s="661"/>
      <c r="M90" s="661"/>
      <c r="N90" s="661"/>
      <c r="O90" s="661"/>
      <c r="P90" s="661"/>
      <c r="Q90" s="661"/>
      <c r="R90" s="661"/>
      <c r="S90" s="661"/>
      <c r="T90" s="661"/>
      <c r="U90" s="661"/>
      <c r="V90" s="661"/>
      <c r="W90" s="661"/>
      <c r="X90" s="661"/>
      <c r="Y90" s="661"/>
      <c r="Z90" s="661"/>
      <c r="AA90" s="661"/>
      <c r="AB90" s="661"/>
    </row>
    <row r="91">
      <c r="A91" s="661"/>
      <c r="B91" s="661"/>
      <c r="C91" s="661"/>
      <c r="D91" s="662"/>
      <c r="E91" s="661"/>
      <c r="F91" s="661"/>
      <c r="G91" s="661"/>
      <c r="H91" s="661"/>
      <c r="I91" s="661"/>
      <c r="J91" s="661"/>
      <c r="K91" s="661"/>
      <c r="L91" s="661"/>
      <c r="M91" s="661"/>
      <c r="N91" s="661"/>
      <c r="O91" s="661"/>
      <c r="P91" s="661"/>
      <c r="Q91" s="661"/>
      <c r="R91" s="661"/>
      <c r="S91" s="661"/>
      <c r="T91" s="661"/>
      <c r="U91" s="661"/>
      <c r="V91" s="661"/>
      <c r="W91" s="661"/>
      <c r="X91" s="661"/>
      <c r="Y91" s="661"/>
      <c r="Z91" s="661"/>
      <c r="AA91" s="661"/>
      <c r="AB91" s="661"/>
    </row>
    <row r="92">
      <c r="A92" s="661"/>
      <c r="B92" s="661"/>
      <c r="C92" s="661"/>
      <c r="D92" s="662"/>
      <c r="E92" s="661"/>
      <c r="F92" s="661"/>
      <c r="G92" s="661"/>
      <c r="H92" s="661"/>
      <c r="I92" s="661"/>
      <c r="J92" s="661"/>
      <c r="K92" s="661"/>
      <c r="L92" s="661"/>
      <c r="M92" s="661"/>
      <c r="N92" s="661"/>
      <c r="O92" s="661"/>
      <c r="P92" s="661"/>
      <c r="Q92" s="661"/>
      <c r="R92" s="661"/>
      <c r="S92" s="661"/>
      <c r="T92" s="661"/>
      <c r="U92" s="661"/>
      <c r="V92" s="661"/>
      <c r="W92" s="661"/>
      <c r="X92" s="661"/>
      <c r="Y92" s="661"/>
      <c r="Z92" s="661"/>
      <c r="AA92" s="661"/>
      <c r="AB92" s="661"/>
    </row>
    <row r="93">
      <c r="A93" s="661"/>
      <c r="B93" s="661"/>
      <c r="C93" s="661"/>
      <c r="D93" s="662"/>
      <c r="E93" s="661"/>
      <c r="F93" s="661"/>
      <c r="G93" s="661"/>
      <c r="H93" s="661"/>
      <c r="I93" s="661"/>
      <c r="J93" s="661"/>
      <c r="K93" s="661"/>
      <c r="L93" s="661"/>
      <c r="M93" s="661"/>
      <c r="N93" s="661"/>
      <c r="O93" s="661"/>
      <c r="P93" s="661"/>
      <c r="Q93" s="661"/>
      <c r="R93" s="661"/>
      <c r="S93" s="661"/>
      <c r="T93" s="661"/>
      <c r="U93" s="661"/>
      <c r="V93" s="661"/>
      <c r="W93" s="661"/>
      <c r="X93" s="661"/>
      <c r="Y93" s="661"/>
      <c r="Z93" s="661"/>
      <c r="AA93" s="661"/>
      <c r="AB93" s="661"/>
    </row>
    <row r="94">
      <c r="A94" s="661"/>
      <c r="B94" s="661"/>
      <c r="C94" s="661"/>
      <c r="D94" s="662"/>
      <c r="E94" s="661"/>
      <c r="F94" s="661"/>
      <c r="G94" s="661"/>
      <c r="H94" s="661"/>
      <c r="I94" s="661"/>
      <c r="J94" s="661"/>
      <c r="K94" s="661"/>
      <c r="L94" s="661"/>
      <c r="M94" s="661"/>
      <c r="N94" s="661"/>
      <c r="O94" s="661"/>
      <c r="P94" s="661"/>
      <c r="Q94" s="661"/>
      <c r="R94" s="661"/>
      <c r="S94" s="661"/>
      <c r="T94" s="661"/>
      <c r="U94" s="661"/>
      <c r="V94" s="661"/>
      <c r="W94" s="661"/>
      <c r="X94" s="661"/>
      <c r="Y94" s="661"/>
      <c r="Z94" s="661"/>
      <c r="AA94" s="661"/>
      <c r="AB94" s="661"/>
    </row>
    <row r="95">
      <c r="A95" s="661"/>
      <c r="B95" s="661"/>
      <c r="C95" s="661"/>
      <c r="D95" s="662"/>
      <c r="E95" s="661"/>
      <c r="F95" s="661"/>
      <c r="G95" s="661"/>
      <c r="H95" s="661"/>
      <c r="I95" s="661"/>
      <c r="J95" s="661"/>
      <c r="K95" s="661"/>
      <c r="L95" s="661"/>
      <c r="M95" s="661"/>
      <c r="N95" s="661"/>
      <c r="O95" s="661"/>
      <c r="P95" s="661"/>
      <c r="Q95" s="661"/>
      <c r="R95" s="661"/>
      <c r="S95" s="661"/>
      <c r="T95" s="661"/>
      <c r="U95" s="661"/>
      <c r="V95" s="661"/>
      <c r="W95" s="661"/>
      <c r="X95" s="661"/>
      <c r="Y95" s="661"/>
      <c r="Z95" s="661"/>
      <c r="AA95" s="661"/>
      <c r="AB95" s="661"/>
    </row>
    <row r="96">
      <c r="A96" s="661"/>
      <c r="B96" s="661"/>
      <c r="C96" s="661"/>
      <c r="D96" s="662"/>
      <c r="E96" s="661"/>
      <c r="F96" s="661"/>
      <c r="G96" s="661"/>
      <c r="H96" s="661"/>
      <c r="I96" s="661"/>
      <c r="J96" s="661"/>
      <c r="K96" s="661"/>
      <c r="L96" s="661"/>
      <c r="M96" s="661"/>
      <c r="N96" s="661"/>
      <c r="O96" s="661"/>
      <c r="P96" s="661"/>
      <c r="Q96" s="661"/>
      <c r="R96" s="661"/>
      <c r="S96" s="661"/>
      <c r="T96" s="661"/>
      <c r="U96" s="661"/>
      <c r="V96" s="661"/>
      <c r="W96" s="661"/>
      <c r="X96" s="661"/>
      <c r="Y96" s="661"/>
      <c r="Z96" s="661"/>
      <c r="AA96" s="661"/>
      <c r="AB96" s="661"/>
    </row>
    <row r="97">
      <c r="A97" s="661"/>
      <c r="B97" s="661"/>
      <c r="C97" s="661"/>
      <c r="D97" s="662"/>
      <c r="E97" s="661"/>
      <c r="F97" s="661"/>
      <c r="G97" s="661"/>
      <c r="H97" s="661"/>
      <c r="I97" s="661"/>
      <c r="J97" s="661"/>
      <c r="K97" s="661"/>
      <c r="L97" s="661"/>
      <c r="M97" s="661"/>
      <c r="N97" s="661"/>
      <c r="O97" s="661"/>
      <c r="P97" s="661"/>
      <c r="Q97" s="661"/>
      <c r="R97" s="661"/>
      <c r="S97" s="661"/>
      <c r="T97" s="661"/>
      <c r="U97" s="661"/>
      <c r="V97" s="661"/>
      <c r="W97" s="661"/>
      <c r="X97" s="661"/>
      <c r="Y97" s="661"/>
      <c r="Z97" s="661"/>
      <c r="AA97" s="661"/>
      <c r="AB97" s="661"/>
    </row>
    <row r="98">
      <c r="A98" s="661"/>
      <c r="B98" s="661"/>
      <c r="C98" s="661"/>
      <c r="D98" s="662"/>
      <c r="E98" s="661"/>
      <c r="F98" s="661"/>
      <c r="G98" s="661"/>
      <c r="H98" s="661"/>
      <c r="I98" s="661"/>
      <c r="J98" s="661"/>
      <c r="K98" s="661"/>
      <c r="L98" s="661"/>
      <c r="M98" s="661"/>
      <c r="N98" s="661"/>
      <c r="O98" s="661"/>
      <c r="P98" s="661"/>
      <c r="Q98" s="661"/>
      <c r="R98" s="661"/>
      <c r="S98" s="661"/>
      <c r="T98" s="661"/>
      <c r="U98" s="661"/>
      <c r="V98" s="661"/>
      <c r="W98" s="661"/>
      <c r="X98" s="661"/>
      <c r="Y98" s="661"/>
      <c r="Z98" s="661"/>
      <c r="AA98" s="661"/>
      <c r="AB98" s="661"/>
    </row>
    <row r="99">
      <c r="A99" s="661"/>
      <c r="B99" s="661"/>
      <c r="C99" s="661"/>
      <c r="D99" s="662"/>
      <c r="E99" s="661"/>
      <c r="F99" s="661"/>
      <c r="G99" s="661"/>
      <c r="H99" s="661"/>
      <c r="I99" s="661"/>
      <c r="J99" s="661"/>
      <c r="K99" s="661"/>
      <c r="L99" s="661"/>
      <c r="M99" s="661"/>
      <c r="N99" s="661"/>
      <c r="O99" s="661"/>
      <c r="P99" s="661"/>
      <c r="Q99" s="661"/>
      <c r="R99" s="661"/>
      <c r="S99" s="661"/>
      <c r="T99" s="661"/>
      <c r="U99" s="661"/>
      <c r="V99" s="661"/>
      <c r="W99" s="661"/>
      <c r="X99" s="661"/>
      <c r="Y99" s="661"/>
      <c r="Z99" s="661"/>
      <c r="AA99" s="661"/>
      <c r="AB99" s="661"/>
    </row>
    <row r="100">
      <c r="A100" s="661"/>
      <c r="B100" s="661"/>
      <c r="C100" s="661"/>
      <c r="D100" s="662"/>
      <c r="E100" s="661"/>
      <c r="F100" s="661"/>
      <c r="G100" s="661"/>
      <c r="H100" s="661"/>
      <c r="I100" s="661"/>
      <c r="J100" s="661"/>
      <c r="K100" s="661"/>
      <c r="L100" s="661"/>
      <c r="M100" s="661"/>
      <c r="N100" s="661"/>
      <c r="O100" s="661"/>
      <c r="P100" s="661"/>
      <c r="Q100" s="661"/>
      <c r="R100" s="661"/>
      <c r="S100" s="661"/>
      <c r="T100" s="661"/>
      <c r="U100" s="661"/>
      <c r="V100" s="661"/>
      <c r="W100" s="661"/>
      <c r="X100" s="661"/>
      <c r="Y100" s="661"/>
      <c r="Z100" s="661"/>
      <c r="AA100" s="661"/>
      <c r="AB100" s="661"/>
    </row>
    <row r="101">
      <c r="A101" s="661"/>
      <c r="B101" s="661"/>
      <c r="C101" s="661"/>
      <c r="D101" s="662"/>
      <c r="E101" s="661"/>
      <c r="F101" s="661"/>
      <c r="G101" s="661"/>
      <c r="H101" s="661"/>
      <c r="I101" s="661"/>
      <c r="J101" s="661"/>
      <c r="K101" s="661"/>
      <c r="L101" s="661"/>
      <c r="M101" s="661"/>
      <c r="N101" s="661"/>
      <c r="O101" s="661"/>
      <c r="P101" s="661"/>
      <c r="Q101" s="661"/>
      <c r="R101" s="661"/>
      <c r="S101" s="661"/>
      <c r="T101" s="661"/>
      <c r="U101" s="661"/>
      <c r="V101" s="661"/>
      <c r="W101" s="661"/>
      <c r="X101" s="661"/>
      <c r="Y101" s="661"/>
      <c r="Z101" s="661"/>
      <c r="AA101" s="661"/>
      <c r="AB101" s="661"/>
    </row>
    <row r="102">
      <c r="A102" s="661"/>
      <c r="B102" s="661"/>
      <c r="C102" s="661"/>
      <c r="D102" s="662"/>
      <c r="E102" s="661"/>
      <c r="F102" s="661"/>
      <c r="G102" s="661"/>
      <c r="H102" s="661"/>
      <c r="I102" s="661"/>
      <c r="J102" s="661"/>
      <c r="K102" s="661"/>
      <c r="L102" s="661"/>
      <c r="M102" s="661"/>
      <c r="N102" s="661"/>
      <c r="O102" s="661"/>
      <c r="P102" s="661"/>
      <c r="Q102" s="661"/>
      <c r="R102" s="661"/>
      <c r="S102" s="661"/>
      <c r="T102" s="661"/>
      <c r="U102" s="661"/>
      <c r="V102" s="661"/>
      <c r="W102" s="661"/>
      <c r="X102" s="661"/>
      <c r="Y102" s="661"/>
      <c r="Z102" s="661"/>
      <c r="AA102" s="661"/>
      <c r="AB102" s="661"/>
    </row>
    <row r="103">
      <c r="A103" s="661"/>
      <c r="B103" s="661"/>
      <c r="C103" s="661"/>
      <c r="D103" s="662"/>
      <c r="E103" s="661"/>
      <c r="F103" s="661"/>
      <c r="G103" s="661"/>
      <c r="H103" s="661"/>
      <c r="I103" s="661"/>
      <c r="J103" s="661"/>
      <c r="K103" s="661"/>
      <c r="L103" s="661"/>
      <c r="M103" s="661"/>
      <c r="N103" s="661"/>
      <c r="O103" s="661"/>
      <c r="P103" s="661"/>
      <c r="Q103" s="661"/>
      <c r="R103" s="661"/>
      <c r="S103" s="661"/>
      <c r="T103" s="661"/>
      <c r="U103" s="661"/>
      <c r="V103" s="661"/>
      <c r="W103" s="661"/>
      <c r="X103" s="661"/>
      <c r="Y103" s="661"/>
      <c r="Z103" s="661"/>
      <c r="AA103" s="661"/>
      <c r="AB103" s="661"/>
    </row>
    <row r="104">
      <c r="A104" s="661"/>
      <c r="B104" s="661"/>
      <c r="C104" s="661"/>
      <c r="D104" s="662"/>
      <c r="E104" s="661"/>
      <c r="F104" s="661"/>
      <c r="G104" s="661"/>
      <c r="H104" s="661"/>
      <c r="I104" s="661"/>
      <c r="J104" s="661"/>
      <c r="K104" s="661"/>
      <c r="L104" s="661"/>
      <c r="M104" s="661"/>
      <c r="N104" s="661"/>
      <c r="O104" s="661"/>
      <c r="P104" s="661"/>
      <c r="Q104" s="661"/>
      <c r="R104" s="661"/>
      <c r="S104" s="661"/>
      <c r="T104" s="661"/>
      <c r="U104" s="661"/>
      <c r="V104" s="661"/>
      <c r="W104" s="661"/>
      <c r="X104" s="661"/>
      <c r="Y104" s="661"/>
      <c r="Z104" s="661"/>
      <c r="AA104" s="661"/>
      <c r="AB104" s="661"/>
    </row>
    <row r="105">
      <c r="A105" s="661"/>
      <c r="B105" s="661"/>
      <c r="C105" s="661"/>
      <c r="D105" s="662"/>
      <c r="E105" s="661"/>
      <c r="F105" s="661"/>
      <c r="G105" s="661"/>
      <c r="H105" s="661"/>
      <c r="I105" s="661"/>
      <c r="J105" s="661"/>
      <c r="K105" s="661"/>
      <c r="L105" s="661"/>
      <c r="M105" s="661"/>
      <c r="N105" s="661"/>
      <c r="O105" s="661"/>
      <c r="P105" s="661"/>
      <c r="Q105" s="661"/>
      <c r="R105" s="661"/>
      <c r="S105" s="661"/>
      <c r="T105" s="661"/>
      <c r="U105" s="661"/>
      <c r="V105" s="661"/>
      <c r="W105" s="661"/>
      <c r="X105" s="661"/>
      <c r="Y105" s="661"/>
      <c r="Z105" s="661"/>
      <c r="AA105" s="661"/>
      <c r="AB105" s="661"/>
    </row>
    <row r="106">
      <c r="A106" s="661"/>
      <c r="B106" s="661"/>
      <c r="C106" s="661"/>
      <c r="D106" s="662"/>
      <c r="E106" s="661"/>
      <c r="F106" s="661"/>
      <c r="G106" s="661"/>
      <c r="H106" s="661"/>
      <c r="I106" s="661"/>
      <c r="J106" s="661"/>
      <c r="K106" s="661"/>
      <c r="L106" s="661"/>
      <c r="M106" s="661"/>
      <c r="N106" s="661"/>
      <c r="O106" s="661"/>
      <c r="P106" s="661"/>
      <c r="Q106" s="661"/>
      <c r="R106" s="661"/>
      <c r="S106" s="661"/>
      <c r="T106" s="661"/>
      <c r="U106" s="661"/>
      <c r="V106" s="661"/>
      <c r="W106" s="661"/>
      <c r="X106" s="661"/>
      <c r="Y106" s="661"/>
      <c r="Z106" s="661"/>
      <c r="AA106" s="661"/>
      <c r="AB106" s="661"/>
    </row>
    <row r="107">
      <c r="A107" s="661"/>
      <c r="B107" s="661"/>
      <c r="C107" s="661"/>
      <c r="D107" s="662"/>
      <c r="E107" s="661"/>
      <c r="F107" s="661"/>
      <c r="G107" s="661"/>
      <c r="H107" s="661"/>
      <c r="I107" s="661"/>
      <c r="J107" s="661"/>
      <c r="K107" s="661"/>
      <c r="L107" s="661"/>
      <c r="M107" s="661"/>
      <c r="N107" s="661"/>
      <c r="O107" s="661"/>
      <c r="P107" s="661"/>
      <c r="Q107" s="661"/>
      <c r="R107" s="661"/>
      <c r="S107" s="661"/>
      <c r="T107" s="661"/>
      <c r="U107" s="661"/>
      <c r="V107" s="661"/>
      <c r="W107" s="661"/>
      <c r="X107" s="661"/>
      <c r="Y107" s="661"/>
      <c r="Z107" s="661"/>
      <c r="AA107" s="661"/>
      <c r="AB107" s="661"/>
    </row>
    <row r="108">
      <c r="A108" s="661"/>
      <c r="B108" s="661"/>
      <c r="C108" s="661"/>
      <c r="D108" s="662"/>
      <c r="E108" s="661"/>
      <c r="F108" s="661"/>
      <c r="G108" s="661"/>
      <c r="H108" s="661"/>
      <c r="I108" s="661"/>
      <c r="J108" s="661"/>
      <c r="K108" s="661"/>
      <c r="L108" s="661"/>
      <c r="M108" s="661"/>
      <c r="N108" s="661"/>
      <c r="O108" s="661"/>
      <c r="P108" s="661"/>
      <c r="Q108" s="661"/>
      <c r="R108" s="661"/>
      <c r="S108" s="661"/>
      <c r="T108" s="661"/>
      <c r="U108" s="661"/>
      <c r="V108" s="661"/>
      <c r="W108" s="661"/>
      <c r="X108" s="661"/>
      <c r="Y108" s="661"/>
      <c r="Z108" s="661"/>
      <c r="AA108" s="661"/>
      <c r="AB108" s="661"/>
    </row>
    <row r="109">
      <c r="A109" s="661"/>
      <c r="B109" s="661"/>
      <c r="C109" s="661"/>
      <c r="D109" s="662"/>
      <c r="E109" s="661"/>
      <c r="F109" s="661"/>
      <c r="G109" s="661"/>
      <c r="H109" s="661"/>
      <c r="I109" s="661"/>
      <c r="J109" s="661"/>
      <c r="K109" s="661"/>
      <c r="L109" s="661"/>
      <c r="M109" s="661"/>
      <c r="N109" s="661"/>
      <c r="O109" s="661"/>
      <c r="P109" s="661"/>
      <c r="Q109" s="661"/>
      <c r="R109" s="661"/>
      <c r="S109" s="661"/>
      <c r="T109" s="661"/>
      <c r="U109" s="661"/>
      <c r="V109" s="661"/>
      <c r="W109" s="661"/>
      <c r="X109" s="661"/>
      <c r="Y109" s="661"/>
      <c r="Z109" s="661"/>
      <c r="AA109" s="661"/>
      <c r="AB109" s="661"/>
    </row>
    <row r="110">
      <c r="A110" s="661"/>
      <c r="B110" s="661"/>
      <c r="C110" s="661"/>
      <c r="D110" s="662"/>
      <c r="E110" s="661"/>
      <c r="F110" s="661"/>
      <c r="G110" s="661"/>
      <c r="H110" s="661"/>
      <c r="I110" s="661"/>
      <c r="J110" s="661"/>
      <c r="K110" s="661"/>
      <c r="L110" s="661"/>
      <c r="M110" s="661"/>
      <c r="N110" s="661"/>
      <c r="O110" s="661"/>
      <c r="P110" s="661"/>
      <c r="Q110" s="661"/>
      <c r="R110" s="661"/>
      <c r="S110" s="661"/>
      <c r="T110" s="661"/>
      <c r="U110" s="661"/>
      <c r="V110" s="661"/>
      <c r="W110" s="661"/>
      <c r="X110" s="661"/>
      <c r="Y110" s="661"/>
      <c r="Z110" s="661"/>
      <c r="AA110" s="661"/>
      <c r="AB110" s="661"/>
    </row>
    <row r="111">
      <c r="A111" s="661"/>
      <c r="B111" s="661"/>
      <c r="C111" s="661"/>
      <c r="D111" s="662"/>
      <c r="E111" s="661"/>
      <c r="F111" s="661"/>
      <c r="G111" s="661"/>
      <c r="H111" s="661"/>
      <c r="I111" s="661"/>
      <c r="J111" s="661"/>
      <c r="K111" s="661"/>
      <c r="L111" s="661"/>
      <c r="M111" s="661"/>
      <c r="N111" s="661"/>
      <c r="O111" s="661"/>
      <c r="P111" s="661"/>
      <c r="Q111" s="661"/>
      <c r="R111" s="661"/>
      <c r="S111" s="661"/>
      <c r="T111" s="661"/>
      <c r="U111" s="661"/>
      <c r="V111" s="661"/>
      <c r="W111" s="661"/>
      <c r="X111" s="661"/>
      <c r="Y111" s="661"/>
      <c r="Z111" s="661"/>
      <c r="AA111" s="661"/>
      <c r="AB111" s="661"/>
    </row>
    <row r="112">
      <c r="A112" s="661"/>
      <c r="B112" s="661"/>
      <c r="C112" s="661"/>
      <c r="D112" s="662"/>
      <c r="E112" s="661"/>
      <c r="F112" s="661"/>
      <c r="G112" s="661"/>
      <c r="H112" s="661"/>
      <c r="I112" s="661"/>
      <c r="J112" s="661"/>
      <c r="K112" s="661"/>
      <c r="L112" s="661"/>
      <c r="M112" s="661"/>
      <c r="N112" s="661"/>
      <c r="O112" s="661"/>
      <c r="P112" s="661"/>
      <c r="Q112" s="661"/>
      <c r="R112" s="661"/>
      <c r="S112" s="661"/>
      <c r="T112" s="661"/>
      <c r="U112" s="661"/>
      <c r="V112" s="661"/>
      <c r="W112" s="661"/>
      <c r="X112" s="661"/>
      <c r="Y112" s="661"/>
      <c r="Z112" s="661"/>
      <c r="AA112" s="661"/>
      <c r="AB112" s="661"/>
    </row>
    <row r="113">
      <c r="A113" s="661"/>
      <c r="B113" s="661"/>
      <c r="C113" s="661"/>
      <c r="D113" s="662"/>
      <c r="E113" s="661"/>
      <c r="F113" s="661"/>
      <c r="G113" s="661"/>
      <c r="H113" s="661"/>
      <c r="I113" s="661"/>
      <c r="J113" s="661"/>
      <c r="K113" s="661"/>
      <c r="L113" s="661"/>
      <c r="M113" s="661"/>
      <c r="N113" s="661"/>
      <c r="O113" s="661"/>
      <c r="P113" s="661"/>
      <c r="Q113" s="661"/>
      <c r="R113" s="661"/>
      <c r="S113" s="661"/>
      <c r="T113" s="661"/>
      <c r="U113" s="661"/>
      <c r="V113" s="661"/>
      <c r="W113" s="661"/>
      <c r="X113" s="661"/>
      <c r="Y113" s="661"/>
      <c r="Z113" s="661"/>
      <c r="AA113" s="661"/>
      <c r="AB113" s="661"/>
    </row>
    <row r="114">
      <c r="A114" s="661"/>
      <c r="B114" s="661"/>
      <c r="C114" s="661"/>
      <c r="D114" s="662"/>
      <c r="E114" s="661"/>
      <c r="F114" s="661"/>
      <c r="G114" s="661"/>
      <c r="H114" s="661"/>
      <c r="I114" s="661"/>
      <c r="J114" s="661"/>
      <c r="K114" s="661"/>
      <c r="L114" s="661"/>
      <c r="M114" s="661"/>
      <c r="N114" s="661"/>
      <c r="O114" s="661"/>
      <c r="P114" s="661"/>
      <c r="Q114" s="661"/>
      <c r="R114" s="661"/>
      <c r="S114" s="661"/>
      <c r="T114" s="661"/>
      <c r="U114" s="661"/>
      <c r="V114" s="661"/>
      <c r="W114" s="661"/>
      <c r="X114" s="661"/>
      <c r="Y114" s="661"/>
      <c r="Z114" s="661"/>
      <c r="AA114" s="661"/>
      <c r="AB114" s="661"/>
    </row>
    <row r="115">
      <c r="A115" s="661"/>
      <c r="B115" s="661"/>
      <c r="C115" s="661"/>
      <c r="D115" s="662"/>
      <c r="E115" s="661"/>
      <c r="F115" s="661"/>
      <c r="G115" s="661"/>
      <c r="H115" s="661"/>
      <c r="I115" s="661"/>
      <c r="J115" s="661"/>
      <c r="K115" s="661"/>
      <c r="L115" s="661"/>
      <c r="M115" s="661"/>
      <c r="N115" s="661"/>
      <c r="O115" s="661"/>
      <c r="P115" s="661"/>
      <c r="Q115" s="661"/>
      <c r="R115" s="661"/>
      <c r="S115" s="661"/>
      <c r="T115" s="661"/>
      <c r="U115" s="661"/>
      <c r="V115" s="661"/>
      <c r="W115" s="661"/>
      <c r="X115" s="661"/>
      <c r="Y115" s="661"/>
      <c r="Z115" s="661"/>
      <c r="AA115" s="661"/>
      <c r="AB115" s="661"/>
    </row>
    <row r="116">
      <c r="A116" s="661"/>
      <c r="B116" s="661"/>
      <c r="C116" s="661"/>
      <c r="D116" s="662"/>
      <c r="E116" s="661"/>
      <c r="F116" s="661"/>
      <c r="G116" s="661"/>
      <c r="H116" s="661"/>
      <c r="I116" s="661"/>
      <c r="J116" s="661"/>
      <c r="K116" s="661"/>
      <c r="L116" s="661"/>
      <c r="M116" s="661"/>
      <c r="N116" s="661"/>
      <c r="O116" s="661"/>
      <c r="P116" s="661"/>
      <c r="Q116" s="661"/>
      <c r="R116" s="661"/>
      <c r="S116" s="661"/>
      <c r="T116" s="661"/>
      <c r="U116" s="661"/>
      <c r="V116" s="661"/>
      <c r="W116" s="661"/>
      <c r="X116" s="661"/>
      <c r="Y116" s="661"/>
      <c r="Z116" s="661"/>
      <c r="AA116" s="661"/>
      <c r="AB116" s="661"/>
    </row>
    <row r="117">
      <c r="A117" s="661"/>
      <c r="B117" s="661"/>
      <c r="C117" s="661"/>
      <c r="D117" s="662"/>
      <c r="E117" s="661"/>
      <c r="F117" s="661"/>
      <c r="G117" s="661"/>
      <c r="H117" s="661"/>
      <c r="I117" s="661"/>
      <c r="J117" s="661"/>
      <c r="K117" s="661"/>
      <c r="L117" s="661"/>
      <c r="M117" s="661"/>
      <c r="N117" s="661"/>
      <c r="O117" s="661"/>
      <c r="P117" s="661"/>
      <c r="Q117" s="661"/>
      <c r="R117" s="661"/>
      <c r="S117" s="661"/>
      <c r="T117" s="661"/>
      <c r="U117" s="661"/>
      <c r="V117" s="661"/>
      <c r="W117" s="661"/>
      <c r="X117" s="661"/>
      <c r="Y117" s="661"/>
      <c r="Z117" s="661"/>
      <c r="AA117" s="661"/>
      <c r="AB117" s="661"/>
    </row>
    <row r="118">
      <c r="A118" s="661"/>
      <c r="B118" s="661"/>
      <c r="C118" s="661"/>
      <c r="D118" s="662"/>
      <c r="E118" s="661"/>
      <c r="F118" s="661"/>
      <c r="G118" s="661"/>
      <c r="H118" s="661"/>
      <c r="I118" s="661"/>
      <c r="J118" s="661"/>
      <c r="K118" s="661"/>
      <c r="L118" s="661"/>
      <c r="M118" s="661"/>
      <c r="N118" s="661"/>
      <c r="O118" s="661"/>
      <c r="P118" s="661"/>
      <c r="Q118" s="661"/>
      <c r="R118" s="661"/>
      <c r="S118" s="661"/>
      <c r="T118" s="661"/>
      <c r="U118" s="661"/>
      <c r="V118" s="661"/>
      <c r="W118" s="661"/>
      <c r="X118" s="661"/>
      <c r="Y118" s="661"/>
      <c r="Z118" s="661"/>
      <c r="AA118" s="661"/>
      <c r="AB118" s="661"/>
    </row>
    <row r="119">
      <c r="A119" s="661"/>
      <c r="B119" s="661"/>
      <c r="C119" s="661"/>
      <c r="D119" s="662"/>
      <c r="E119" s="661"/>
      <c r="F119" s="661"/>
      <c r="G119" s="661"/>
      <c r="H119" s="661"/>
      <c r="I119" s="661"/>
      <c r="J119" s="661"/>
      <c r="K119" s="661"/>
      <c r="L119" s="661"/>
      <c r="M119" s="661"/>
      <c r="N119" s="661"/>
      <c r="O119" s="661"/>
      <c r="P119" s="661"/>
      <c r="Q119" s="661"/>
      <c r="R119" s="661"/>
      <c r="S119" s="661"/>
      <c r="T119" s="661"/>
      <c r="U119" s="661"/>
      <c r="V119" s="661"/>
      <c r="W119" s="661"/>
      <c r="X119" s="661"/>
      <c r="Y119" s="661"/>
      <c r="Z119" s="661"/>
      <c r="AA119" s="661"/>
      <c r="AB119" s="661"/>
    </row>
    <row r="120">
      <c r="A120" s="661"/>
      <c r="B120" s="661"/>
      <c r="C120" s="661"/>
      <c r="D120" s="662"/>
      <c r="E120" s="661"/>
      <c r="F120" s="661"/>
      <c r="G120" s="661"/>
      <c r="H120" s="661"/>
      <c r="I120" s="661"/>
      <c r="J120" s="661"/>
      <c r="K120" s="661"/>
      <c r="L120" s="661"/>
      <c r="M120" s="661"/>
      <c r="N120" s="661"/>
      <c r="O120" s="661"/>
      <c r="P120" s="661"/>
      <c r="Q120" s="661"/>
      <c r="R120" s="661"/>
      <c r="S120" s="661"/>
      <c r="T120" s="661"/>
      <c r="U120" s="661"/>
      <c r="V120" s="661"/>
      <c r="W120" s="661"/>
      <c r="X120" s="661"/>
      <c r="Y120" s="661"/>
      <c r="Z120" s="661"/>
      <c r="AA120" s="661"/>
      <c r="AB120" s="661"/>
    </row>
    <row r="121">
      <c r="A121" s="661"/>
      <c r="B121" s="661"/>
      <c r="C121" s="661"/>
      <c r="D121" s="662"/>
      <c r="E121" s="661"/>
      <c r="F121" s="661"/>
      <c r="G121" s="661"/>
      <c r="H121" s="661"/>
      <c r="I121" s="661"/>
      <c r="J121" s="661"/>
      <c r="K121" s="661"/>
      <c r="L121" s="661"/>
      <c r="M121" s="661"/>
      <c r="N121" s="661"/>
      <c r="O121" s="661"/>
      <c r="P121" s="661"/>
      <c r="Q121" s="661"/>
      <c r="R121" s="661"/>
      <c r="S121" s="661"/>
      <c r="T121" s="661"/>
      <c r="U121" s="661"/>
      <c r="V121" s="661"/>
      <c r="W121" s="661"/>
      <c r="X121" s="661"/>
      <c r="Y121" s="661"/>
      <c r="Z121" s="661"/>
      <c r="AA121" s="661"/>
      <c r="AB121" s="661"/>
    </row>
    <row r="122">
      <c r="A122" s="661"/>
      <c r="B122" s="661"/>
      <c r="C122" s="661"/>
      <c r="D122" s="662"/>
      <c r="E122" s="661"/>
      <c r="F122" s="661"/>
      <c r="G122" s="661"/>
      <c r="H122" s="661"/>
      <c r="I122" s="661"/>
      <c r="J122" s="661"/>
      <c r="K122" s="661"/>
      <c r="L122" s="661"/>
      <c r="M122" s="661"/>
      <c r="N122" s="661"/>
      <c r="O122" s="661"/>
      <c r="P122" s="661"/>
      <c r="Q122" s="661"/>
      <c r="R122" s="661"/>
      <c r="S122" s="661"/>
      <c r="T122" s="661"/>
      <c r="U122" s="661"/>
      <c r="V122" s="661"/>
      <c r="W122" s="661"/>
      <c r="X122" s="661"/>
      <c r="Y122" s="661"/>
      <c r="Z122" s="661"/>
      <c r="AA122" s="661"/>
      <c r="AB122" s="661"/>
    </row>
    <row r="123">
      <c r="A123" s="661"/>
      <c r="B123" s="661"/>
      <c r="C123" s="661"/>
      <c r="D123" s="662"/>
      <c r="E123" s="661"/>
      <c r="F123" s="661"/>
      <c r="G123" s="661"/>
      <c r="H123" s="661"/>
      <c r="I123" s="661"/>
      <c r="J123" s="661"/>
      <c r="K123" s="661"/>
      <c r="L123" s="661"/>
      <c r="M123" s="661"/>
      <c r="N123" s="661"/>
      <c r="O123" s="661"/>
      <c r="P123" s="661"/>
      <c r="Q123" s="661"/>
      <c r="R123" s="661"/>
      <c r="S123" s="661"/>
      <c r="T123" s="661"/>
      <c r="U123" s="661"/>
      <c r="V123" s="661"/>
      <c r="W123" s="661"/>
      <c r="X123" s="661"/>
      <c r="Y123" s="661"/>
      <c r="Z123" s="661"/>
      <c r="AA123" s="661"/>
      <c r="AB123" s="661"/>
    </row>
    <row r="124">
      <c r="A124" s="661"/>
      <c r="B124" s="661"/>
      <c r="C124" s="661"/>
      <c r="D124" s="662"/>
      <c r="E124" s="661"/>
      <c r="F124" s="661"/>
      <c r="G124" s="661"/>
      <c r="H124" s="661"/>
      <c r="I124" s="661"/>
      <c r="J124" s="661"/>
      <c r="K124" s="661"/>
      <c r="L124" s="661"/>
      <c r="M124" s="661"/>
      <c r="N124" s="661"/>
      <c r="O124" s="661"/>
      <c r="P124" s="661"/>
      <c r="Q124" s="661"/>
      <c r="R124" s="661"/>
      <c r="S124" s="661"/>
      <c r="T124" s="661"/>
      <c r="U124" s="661"/>
      <c r="V124" s="661"/>
      <c r="W124" s="661"/>
      <c r="X124" s="661"/>
      <c r="Y124" s="661"/>
      <c r="Z124" s="661"/>
      <c r="AA124" s="661"/>
      <c r="AB124" s="661"/>
    </row>
    <row r="125">
      <c r="A125" s="661"/>
      <c r="B125" s="661"/>
      <c r="C125" s="661"/>
      <c r="D125" s="662"/>
      <c r="E125" s="661"/>
      <c r="F125" s="661"/>
      <c r="G125" s="661"/>
      <c r="H125" s="661"/>
      <c r="I125" s="661"/>
      <c r="J125" s="661"/>
      <c r="K125" s="661"/>
      <c r="L125" s="661"/>
      <c r="M125" s="661"/>
      <c r="N125" s="661"/>
      <c r="O125" s="661"/>
      <c r="P125" s="661"/>
      <c r="Q125" s="661"/>
      <c r="R125" s="661"/>
      <c r="S125" s="661"/>
      <c r="T125" s="661"/>
      <c r="U125" s="661"/>
      <c r="V125" s="661"/>
      <c r="W125" s="661"/>
      <c r="X125" s="661"/>
      <c r="Y125" s="661"/>
      <c r="Z125" s="661"/>
      <c r="AA125" s="661"/>
      <c r="AB125" s="661"/>
    </row>
    <row r="126">
      <c r="A126" s="661"/>
      <c r="B126" s="661"/>
      <c r="C126" s="661"/>
      <c r="D126" s="662"/>
      <c r="E126" s="661"/>
      <c r="F126" s="661"/>
      <c r="G126" s="661"/>
      <c r="H126" s="661"/>
      <c r="I126" s="661"/>
      <c r="J126" s="661"/>
      <c r="K126" s="661"/>
      <c r="L126" s="661"/>
      <c r="M126" s="661"/>
      <c r="N126" s="661"/>
      <c r="O126" s="661"/>
      <c r="P126" s="661"/>
      <c r="Q126" s="661"/>
      <c r="R126" s="661"/>
      <c r="S126" s="661"/>
      <c r="T126" s="661"/>
      <c r="U126" s="661"/>
      <c r="V126" s="661"/>
      <c r="W126" s="661"/>
      <c r="X126" s="661"/>
      <c r="Y126" s="661"/>
      <c r="Z126" s="661"/>
      <c r="AA126" s="661"/>
      <c r="AB126" s="661"/>
    </row>
    <row r="127">
      <c r="A127" s="661"/>
      <c r="B127" s="661"/>
      <c r="C127" s="661"/>
      <c r="D127" s="662"/>
      <c r="E127" s="661"/>
      <c r="F127" s="661"/>
      <c r="G127" s="661"/>
      <c r="H127" s="661"/>
      <c r="I127" s="661"/>
      <c r="J127" s="661"/>
      <c r="K127" s="661"/>
      <c r="L127" s="661"/>
      <c r="M127" s="661"/>
      <c r="N127" s="661"/>
      <c r="O127" s="661"/>
      <c r="P127" s="661"/>
      <c r="Q127" s="661"/>
      <c r="R127" s="661"/>
      <c r="S127" s="661"/>
      <c r="T127" s="661"/>
      <c r="U127" s="661"/>
      <c r="V127" s="661"/>
      <c r="W127" s="661"/>
      <c r="X127" s="661"/>
      <c r="Y127" s="661"/>
      <c r="Z127" s="661"/>
      <c r="AA127" s="661"/>
      <c r="AB127" s="661"/>
    </row>
    <row r="128">
      <c r="A128" s="661"/>
      <c r="B128" s="661"/>
      <c r="C128" s="661"/>
      <c r="D128" s="662"/>
      <c r="E128" s="661"/>
      <c r="F128" s="661"/>
      <c r="G128" s="661"/>
      <c r="H128" s="661"/>
      <c r="I128" s="661"/>
      <c r="J128" s="661"/>
      <c r="K128" s="661"/>
      <c r="L128" s="661"/>
      <c r="M128" s="661"/>
      <c r="N128" s="661"/>
      <c r="O128" s="661"/>
      <c r="P128" s="661"/>
      <c r="Q128" s="661"/>
      <c r="R128" s="661"/>
      <c r="S128" s="661"/>
      <c r="T128" s="661"/>
      <c r="U128" s="661"/>
      <c r="V128" s="661"/>
      <c r="W128" s="661"/>
      <c r="X128" s="661"/>
      <c r="Y128" s="661"/>
      <c r="Z128" s="661"/>
      <c r="AA128" s="661"/>
      <c r="AB128" s="661"/>
    </row>
    <row r="129">
      <c r="A129" s="661"/>
      <c r="B129" s="661"/>
      <c r="C129" s="661"/>
      <c r="D129" s="662"/>
      <c r="E129" s="661"/>
      <c r="F129" s="661"/>
      <c r="G129" s="661"/>
      <c r="H129" s="661"/>
      <c r="I129" s="661"/>
      <c r="J129" s="661"/>
      <c r="K129" s="661"/>
      <c r="L129" s="661"/>
      <c r="M129" s="661"/>
      <c r="N129" s="661"/>
      <c r="O129" s="661"/>
      <c r="P129" s="661"/>
      <c r="Q129" s="661"/>
      <c r="R129" s="661"/>
      <c r="S129" s="661"/>
      <c r="T129" s="661"/>
      <c r="U129" s="661"/>
      <c r="V129" s="661"/>
      <c r="W129" s="661"/>
      <c r="X129" s="661"/>
      <c r="Y129" s="661"/>
      <c r="Z129" s="661"/>
      <c r="AA129" s="661"/>
      <c r="AB129" s="661"/>
    </row>
    <row r="130">
      <c r="A130" s="661"/>
      <c r="B130" s="661"/>
      <c r="C130" s="661"/>
      <c r="D130" s="662"/>
      <c r="E130" s="661"/>
      <c r="F130" s="661"/>
      <c r="G130" s="661"/>
      <c r="H130" s="661"/>
      <c r="I130" s="661"/>
      <c r="J130" s="661"/>
      <c r="K130" s="661"/>
      <c r="L130" s="661"/>
      <c r="M130" s="661"/>
      <c r="N130" s="661"/>
      <c r="O130" s="661"/>
      <c r="P130" s="661"/>
      <c r="Q130" s="661"/>
      <c r="R130" s="661"/>
      <c r="S130" s="661"/>
      <c r="T130" s="661"/>
      <c r="U130" s="661"/>
      <c r="V130" s="661"/>
      <c r="W130" s="661"/>
      <c r="X130" s="661"/>
      <c r="Y130" s="661"/>
      <c r="Z130" s="661"/>
      <c r="AA130" s="661"/>
      <c r="AB130" s="661"/>
    </row>
    <row r="131">
      <c r="A131" s="661"/>
      <c r="B131" s="661"/>
      <c r="C131" s="661"/>
      <c r="D131" s="662"/>
      <c r="E131" s="661"/>
      <c r="F131" s="661"/>
      <c r="G131" s="661"/>
      <c r="H131" s="661"/>
      <c r="I131" s="661"/>
      <c r="J131" s="661"/>
      <c r="K131" s="661"/>
      <c r="L131" s="661"/>
      <c r="M131" s="661"/>
      <c r="N131" s="661"/>
      <c r="O131" s="661"/>
      <c r="P131" s="661"/>
      <c r="Q131" s="661"/>
      <c r="R131" s="661"/>
      <c r="S131" s="661"/>
      <c r="T131" s="661"/>
      <c r="U131" s="661"/>
      <c r="V131" s="661"/>
      <c r="W131" s="661"/>
      <c r="X131" s="661"/>
      <c r="Y131" s="661"/>
      <c r="Z131" s="661"/>
      <c r="AA131" s="661"/>
      <c r="AB131" s="661"/>
    </row>
    <row r="132">
      <c r="A132" s="661"/>
      <c r="B132" s="661"/>
      <c r="C132" s="661"/>
      <c r="D132" s="662"/>
      <c r="E132" s="661"/>
      <c r="F132" s="661"/>
      <c r="G132" s="661"/>
      <c r="H132" s="661"/>
      <c r="I132" s="661"/>
      <c r="J132" s="661"/>
      <c r="K132" s="661"/>
      <c r="L132" s="661"/>
      <c r="M132" s="661"/>
      <c r="N132" s="661"/>
      <c r="O132" s="661"/>
      <c r="P132" s="661"/>
      <c r="Q132" s="661"/>
      <c r="R132" s="661"/>
      <c r="S132" s="661"/>
      <c r="T132" s="661"/>
      <c r="U132" s="661"/>
      <c r="V132" s="661"/>
      <c r="W132" s="661"/>
      <c r="X132" s="661"/>
      <c r="Y132" s="661"/>
      <c r="Z132" s="661"/>
      <c r="AA132" s="661"/>
      <c r="AB132" s="661"/>
    </row>
    <row r="133">
      <c r="A133" s="661"/>
      <c r="B133" s="661"/>
      <c r="C133" s="661"/>
      <c r="D133" s="662"/>
      <c r="E133" s="661"/>
      <c r="F133" s="661"/>
      <c r="G133" s="661"/>
      <c r="H133" s="661"/>
      <c r="I133" s="661"/>
      <c r="J133" s="661"/>
      <c r="K133" s="661"/>
      <c r="L133" s="661"/>
      <c r="M133" s="661"/>
      <c r="N133" s="661"/>
      <c r="O133" s="661"/>
      <c r="P133" s="661"/>
      <c r="Q133" s="661"/>
      <c r="R133" s="661"/>
      <c r="S133" s="661"/>
      <c r="T133" s="661"/>
      <c r="U133" s="661"/>
      <c r="V133" s="661"/>
      <c r="W133" s="661"/>
      <c r="X133" s="661"/>
      <c r="Y133" s="661"/>
      <c r="Z133" s="661"/>
      <c r="AA133" s="661"/>
      <c r="AB133" s="661"/>
    </row>
    <row r="134">
      <c r="A134" s="661"/>
      <c r="B134" s="661"/>
      <c r="C134" s="661"/>
      <c r="D134" s="662"/>
      <c r="E134" s="661"/>
      <c r="F134" s="661"/>
      <c r="G134" s="661"/>
      <c r="H134" s="661"/>
      <c r="I134" s="661"/>
      <c r="J134" s="661"/>
      <c r="K134" s="661"/>
      <c r="L134" s="661"/>
      <c r="M134" s="661"/>
      <c r="N134" s="661"/>
      <c r="O134" s="661"/>
      <c r="P134" s="661"/>
      <c r="Q134" s="661"/>
      <c r="R134" s="661"/>
      <c r="S134" s="661"/>
      <c r="T134" s="661"/>
      <c r="U134" s="661"/>
      <c r="V134" s="661"/>
      <c r="W134" s="661"/>
      <c r="X134" s="661"/>
      <c r="Y134" s="661"/>
      <c r="Z134" s="661"/>
      <c r="AA134" s="661"/>
      <c r="AB134" s="661"/>
    </row>
    <row r="135">
      <c r="A135" s="661"/>
      <c r="B135" s="661"/>
      <c r="C135" s="661"/>
      <c r="D135" s="662"/>
      <c r="E135" s="661"/>
      <c r="F135" s="661"/>
      <c r="G135" s="661"/>
      <c r="H135" s="661"/>
      <c r="I135" s="661"/>
      <c r="J135" s="661"/>
      <c r="K135" s="661"/>
      <c r="L135" s="661"/>
      <c r="M135" s="661"/>
      <c r="N135" s="661"/>
      <c r="O135" s="661"/>
      <c r="P135" s="661"/>
      <c r="Q135" s="661"/>
      <c r="R135" s="661"/>
      <c r="S135" s="661"/>
      <c r="T135" s="661"/>
      <c r="U135" s="661"/>
      <c r="V135" s="661"/>
      <c r="W135" s="661"/>
      <c r="X135" s="661"/>
      <c r="Y135" s="661"/>
      <c r="Z135" s="661"/>
      <c r="AA135" s="661"/>
      <c r="AB135" s="661"/>
    </row>
    <row r="136">
      <c r="A136" s="661"/>
      <c r="B136" s="661"/>
      <c r="C136" s="661"/>
      <c r="D136" s="662"/>
      <c r="E136" s="661"/>
      <c r="F136" s="661"/>
      <c r="G136" s="661"/>
      <c r="H136" s="661"/>
      <c r="I136" s="661"/>
      <c r="J136" s="661"/>
      <c r="K136" s="661"/>
      <c r="L136" s="661"/>
      <c r="M136" s="661"/>
      <c r="N136" s="661"/>
      <c r="O136" s="661"/>
      <c r="P136" s="661"/>
      <c r="Q136" s="661"/>
      <c r="R136" s="661"/>
      <c r="S136" s="661"/>
      <c r="T136" s="661"/>
      <c r="U136" s="661"/>
      <c r="V136" s="661"/>
      <c r="W136" s="661"/>
      <c r="X136" s="661"/>
      <c r="Y136" s="661"/>
      <c r="Z136" s="661"/>
      <c r="AA136" s="661"/>
      <c r="AB136" s="661"/>
    </row>
    <row r="137">
      <c r="A137" s="661"/>
      <c r="B137" s="661"/>
      <c r="C137" s="661"/>
      <c r="D137" s="662"/>
      <c r="E137" s="661"/>
      <c r="F137" s="661"/>
      <c r="G137" s="661"/>
      <c r="H137" s="661"/>
      <c r="I137" s="661"/>
      <c r="J137" s="661"/>
      <c r="K137" s="661"/>
      <c r="L137" s="661"/>
      <c r="M137" s="661"/>
      <c r="N137" s="661"/>
      <c r="O137" s="661"/>
      <c r="P137" s="661"/>
      <c r="Q137" s="661"/>
      <c r="R137" s="661"/>
      <c r="S137" s="661"/>
      <c r="T137" s="661"/>
      <c r="U137" s="661"/>
      <c r="V137" s="661"/>
      <c r="W137" s="661"/>
      <c r="X137" s="661"/>
      <c r="Y137" s="661"/>
      <c r="Z137" s="661"/>
      <c r="AA137" s="661"/>
      <c r="AB137" s="661"/>
    </row>
    <row r="138">
      <c r="A138" s="661"/>
      <c r="B138" s="661"/>
      <c r="C138" s="661"/>
      <c r="D138" s="662"/>
      <c r="E138" s="661"/>
      <c r="F138" s="661"/>
      <c r="G138" s="661"/>
      <c r="H138" s="661"/>
      <c r="I138" s="661"/>
      <c r="J138" s="661"/>
      <c r="K138" s="661"/>
      <c r="L138" s="661"/>
      <c r="M138" s="661"/>
      <c r="N138" s="661"/>
      <c r="O138" s="661"/>
      <c r="P138" s="661"/>
      <c r="Q138" s="661"/>
      <c r="R138" s="661"/>
      <c r="S138" s="661"/>
      <c r="T138" s="661"/>
      <c r="U138" s="661"/>
      <c r="V138" s="661"/>
      <c r="W138" s="661"/>
      <c r="X138" s="661"/>
      <c r="Y138" s="661"/>
      <c r="Z138" s="661"/>
      <c r="AA138" s="661"/>
      <c r="AB138" s="661"/>
    </row>
    <row r="139">
      <c r="A139" s="661"/>
      <c r="B139" s="661"/>
      <c r="C139" s="661"/>
      <c r="D139" s="662"/>
      <c r="E139" s="661"/>
      <c r="F139" s="661"/>
      <c r="G139" s="661"/>
      <c r="H139" s="661"/>
      <c r="I139" s="661"/>
      <c r="J139" s="661"/>
      <c r="K139" s="661"/>
      <c r="L139" s="661"/>
      <c r="M139" s="661"/>
      <c r="N139" s="661"/>
      <c r="O139" s="661"/>
      <c r="P139" s="661"/>
      <c r="Q139" s="661"/>
      <c r="R139" s="661"/>
      <c r="S139" s="661"/>
      <c r="T139" s="661"/>
      <c r="U139" s="661"/>
      <c r="V139" s="661"/>
      <c r="W139" s="661"/>
      <c r="X139" s="661"/>
      <c r="Y139" s="661"/>
      <c r="Z139" s="661"/>
      <c r="AA139" s="661"/>
      <c r="AB139" s="661"/>
    </row>
    <row r="140">
      <c r="A140" s="661"/>
      <c r="B140" s="661"/>
      <c r="C140" s="661"/>
      <c r="D140" s="662"/>
      <c r="E140" s="661"/>
      <c r="F140" s="661"/>
      <c r="G140" s="661"/>
      <c r="H140" s="661"/>
      <c r="I140" s="661"/>
      <c r="J140" s="661"/>
      <c r="K140" s="661"/>
      <c r="L140" s="661"/>
      <c r="M140" s="661"/>
      <c r="N140" s="661"/>
      <c r="O140" s="661"/>
      <c r="P140" s="661"/>
      <c r="Q140" s="661"/>
      <c r="R140" s="661"/>
      <c r="S140" s="661"/>
      <c r="T140" s="661"/>
      <c r="U140" s="661"/>
      <c r="V140" s="661"/>
      <c r="W140" s="661"/>
      <c r="X140" s="661"/>
      <c r="Y140" s="661"/>
      <c r="Z140" s="661"/>
      <c r="AA140" s="661"/>
      <c r="AB140" s="661"/>
    </row>
    <row r="141">
      <c r="A141" s="661"/>
      <c r="B141" s="661"/>
      <c r="C141" s="661"/>
      <c r="D141" s="662"/>
      <c r="E141" s="661"/>
      <c r="F141" s="661"/>
      <c r="G141" s="661"/>
      <c r="H141" s="661"/>
      <c r="I141" s="661"/>
      <c r="J141" s="661"/>
      <c r="K141" s="661"/>
      <c r="L141" s="661"/>
      <c r="M141" s="661"/>
      <c r="N141" s="661"/>
      <c r="O141" s="661"/>
      <c r="P141" s="661"/>
      <c r="Q141" s="661"/>
      <c r="R141" s="661"/>
      <c r="S141" s="661"/>
      <c r="T141" s="661"/>
      <c r="U141" s="661"/>
      <c r="V141" s="661"/>
      <c r="W141" s="661"/>
      <c r="X141" s="661"/>
      <c r="Y141" s="661"/>
      <c r="Z141" s="661"/>
      <c r="AA141" s="661"/>
      <c r="AB141" s="661"/>
    </row>
    <row r="142">
      <c r="A142" s="661"/>
      <c r="B142" s="661"/>
      <c r="C142" s="661"/>
      <c r="D142" s="662"/>
      <c r="E142" s="661"/>
      <c r="F142" s="661"/>
      <c r="G142" s="661"/>
      <c r="H142" s="661"/>
      <c r="I142" s="661"/>
      <c r="J142" s="661"/>
      <c r="K142" s="661"/>
      <c r="L142" s="661"/>
      <c r="M142" s="661"/>
      <c r="N142" s="661"/>
      <c r="O142" s="661"/>
      <c r="P142" s="661"/>
      <c r="Q142" s="661"/>
      <c r="R142" s="661"/>
      <c r="S142" s="661"/>
      <c r="T142" s="661"/>
      <c r="U142" s="661"/>
      <c r="V142" s="661"/>
      <c r="W142" s="661"/>
      <c r="X142" s="661"/>
      <c r="Y142" s="661"/>
      <c r="Z142" s="661"/>
      <c r="AA142" s="661"/>
      <c r="AB142" s="661"/>
    </row>
    <row r="143">
      <c r="A143" s="661"/>
      <c r="B143" s="661"/>
      <c r="C143" s="661"/>
      <c r="D143" s="662"/>
      <c r="E143" s="661"/>
      <c r="F143" s="661"/>
      <c r="G143" s="661"/>
      <c r="H143" s="661"/>
      <c r="I143" s="661"/>
      <c r="J143" s="661"/>
      <c r="K143" s="661"/>
      <c r="L143" s="661"/>
      <c r="M143" s="661"/>
      <c r="N143" s="661"/>
      <c r="O143" s="661"/>
      <c r="P143" s="661"/>
      <c r="Q143" s="661"/>
      <c r="R143" s="661"/>
      <c r="S143" s="661"/>
      <c r="T143" s="661"/>
      <c r="U143" s="661"/>
      <c r="V143" s="661"/>
      <c r="W143" s="661"/>
      <c r="X143" s="661"/>
      <c r="Y143" s="661"/>
      <c r="Z143" s="661"/>
      <c r="AA143" s="661"/>
      <c r="AB143" s="661"/>
    </row>
    <row r="144">
      <c r="A144" s="661"/>
      <c r="B144" s="661"/>
      <c r="C144" s="661"/>
      <c r="D144" s="662"/>
      <c r="E144" s="661"/>
      <c r="F144" s="661"/>
      <c r="G144" s="661"/>
      <c r="H144" s="661"/>
      <c r="I144" s="661"/>
      <c r="J144" s="661"/>
      <c r="K144" s="661"/>
      <c r="L144" s="661"/>
      <c r="M144" s="661"/>
      <c r="N144" s="661"/>
      <c r="O144" s="661"/>
      <c r="P144" s="661"/>
      <c r="Q144" s="661"/>
      <c r="R144" s="661"/>
      <c r="S144" s="661"/>
      <c r="T144" s="661"/>
      <c r="U144" s="661"/>
      <c r="V144" s="661"/>
      <c r="W144" s="661"/>
      <c r="X144" s="661"/>
      <c r="Y144" s="661"/>
      <c r="Z144" s="661"/>
      <c r="AA144" s="661"/>
      <c r="AB144" s="661"/>
    </row>
    <row r="145">
      <c r="A145" s="661"/>
      <c r="B145" s="661"/>
      <c r="C145" s="661"/>
      <c r="D145" s="662"/>
      <c r="E145" s="661"/>
      <c r="F145" s="661"/>
      <c r="G145" s="661"/>
      <c r="H145" s="661"/>
      <c r="I145" s="661"/>
      <c r="J145" s="661"/>
      <c r="K145" s="661"/>
      <c r="L145" s="661"/>
      <c r="M145" s="661"/>
      <c r="N145" s="661"/>
      <c r="O145" s="661"/>
      <c r="P145" s="661"/>
      <c r="Q145" s="661"/>
      <c r="R145" s="661"/>
      <c r="S145" s="661"/>
      <c r="T145" s="661"/>
      <c r="U145" s="661"/>
      <c r="V145" s="661"/>
      <c r="W145" s="661"/>
      <c r="X145" s="661"/>
      <c r="Y145" s="661"/>
      <c r="Z145" s="661"/>
      <c r="AA145" s="661"/>
      <c r="AB145" s="661"/>
    </row>
    <row r="146">
      <c r="A146" s="661"/>
      <c r="B146" s="661"/>
      <c r="C146" s="661"/>
      <c r="D146" s="662"/>
      <c r="E146" s="661"/>
      <c r="F146" s="661"/>
      <c r="G146" s="661"/>
      <c r="H146" s="661"/>
      <c r="I146" s="661"/>
      <c r="J146" s="661"/>
      <c r="K146" s="661"/>
      <c r="L146" s="661"/>
      <c r="M146" s="661"/>
      <c r="N146" s="661"/>
      <c r="O146" s="661"/>
      <c r="P146" s="661"/>
      <c r="Q146" s="661"/>
      <c r="R146" s="661"/>
      <c r="S146" s="661"/>
      <c r="T146" s="661"/>
      <c r="U146" s="661"/>
      <c r="V146" s="661"/>
      <c r="W146" s="661"/>
      <c r="X146" s="661"/>
      <c r="Y146" s="661"/>
      <c r="Z146" s="661"/>
      <c r="AA146" s="661"/>
      <c r="AB146" s="661"/>
    </row>
    <row r="147">
      <c r="A147" s="661"/>
      <c r="B147" s="661"/>
      <c r="C147" s="661"/>
      <c r="D147" s="662"/>
      <c r="E147" s="661"/>
      <c r="F147" s="661"/>
      <c r="G147" s="661"/>
      <c r="H147" s="661"/>
      <c r="I147" s="661"/>
      <c r="J147" s="661"/>
      <c r="K147" s="661"/>
      <c r="L147" s="661"/>
      <c r="M147" s="661"/>
      <c r="N147" s="661"/>
      <c r="O147" s="661"/>
      <c r="P147" s="661"/>
      <c r="Q147" s="661"/>
      <c r="R147" s="661"/>
      <c r="S147" s="661"/>
      <c r="T147" s="661"/>
      <c r="U147" s="661"/>
      <c r="V147" s="661"/>
      <c r="W147" s="661"/>
      <c r="X147" s="661"/>
      <c r="Y147" s="661"/>
      <c r="Z147" s="661"/>
      <c r="AA147" s="661"/>
      <c r="AB147" s="661"/>
    </row>
    <row r="148">
      <c r="A148" s="661"/>
      <c r="B148" s="661"/>
      <c r="C148" s="661"/>
      <c r="D148" s="662"/>
      <c r="E148" s="661"/>
      <c r="F148" s="661"/>
      <c r="G148" s="661"/>
      <c r="H148" s="661"/>
      <c r="I148" s="661"/>
      <c r="J148" s="661"/>
      <c r="K148" s="661"/>
      <c r="L148" s="661"/>
      <c r="M148" s="661"/>
      <c r="N148" s="661"/>
      <c r="O148" s="661"/>
      <c r="P148" s="661"/>
      <c r="Q148" s="661"/>
      <c r="R148" s="661"/>
      <c r="S148" s="661"/>
      <c r="T148" s="661"/>
      <c r="U148" s="661"/>
      <c r="V148" s="661"/>
      <c r="W148" s="661"/>
      <c r="X148" s="661"/>
      <c r="Y148" s="661"/>
      <c r="Z148" s="661"/>
      <c r="AA148" s="661"/>
      <c r="AB148" s="661"/>
    </row>
    <row r="149">
      <c r="A149" s="661"/>
      <c r="B149" s="661"/>
      <c r="C149" s="661"/>
      <c r="D149" s="662"/>
      <c r="E149" s="661"/>
      <c r="F149" s="661"/>
      <c r="G149" s="661"/>
      <c r="H149" s="661"/>
      <c r="I149" s="661"/>
      <c r="J149" s="661"/>
      <c r="K149" s="661"/>
      <c r="L149" s="661"/>
      <c r="M149" s="661"/>
      <c r="N149" s="661"/>
      <c r="O149" s="661"/>
      <c r="P149" s="661"/>
      <c r="Q149" s="661"/>
      <c r="R149" s="661"/>
      <c r="S149" s="661"/>
      <c r="T149" s="661"/>
      <c r="U149" s="661"/>
      <c r="V149" s="661"/>
      <c r="W149" s="661"/>
      <c r="X149" s="661"/>
      <c r="Y149" s="661"/>
      <c r="Z149" s="661"/>
      <c r="AA149" s="661"/>
      <c r="AB149" s="661"/>
    </row>
    <row r="150">
      <c r="A150" s="661"/>
      <c r="B150" s="661"/>
      <c r="C150" s="661"/>
      <c r="D150" s="662"/>
      <c r="E150" s="661"/>
      <c r="F150" s="661"/>
      <c r="G150" s="661"/>
      <c r="H150" s="661"/>
      <c r="I150" s="661"/>
      <c r="J150" s="661"/>
      <c r="K150" s="661"/>
      <c r="L150" s="661"/>
      <c r="M150" s="661"/>
      <c r="N150" s="661"/>
      <c r="O150" s="661"/>
      <c r="P150" s="661"/>
      <c r="Q150" s="661"/>
      <c r="R150" s="661"/>
      <c r="S150" s="661"/>
      <c r="T150" s="661"/>
      <c r="U150" s="661"/>
      <c r="V150" s="661"/>
      <c r="W150" s="661"/>
      <c r="X150" s="661"/>
      <c r="Y150" s="661"/>
      <c r="Z150" s="661"/>
      <c r="AA150" s="661"/>
      <c r="AB150" s="661"/>
    </row>
    <row r="151">
      <c r="A151" s="661"/>
      <c r="B151" s="661"/>
      <c r="C151" s="661"/>
      <c r="D151" s="662"/>
      <c r="E151" s="661"/>
      <c r="F151" s="661"/>
      <c r="G151" s="661"/>
      <c r="H151" s="661"/>
      <c r="I151" s="661"/>
      <c r="J151" s="661"/>
      <c r="K151" s="661"/>
      <c r="L151" s="661"/>
      <c r="M151" s="661"/>
      <c r="N151" s="661"/>
      <c r="O151" s="661"/>
      <c r="P151" s="661"/>
      <c r="Q151" s="661"/>
      <c r="R151" s="661"/>
      <c r="S151" s="661"/>
      <c r="T151" s="661"/>
      <c r="U151" s="661"/>
      <c r="V151" s="661"/>
      <c r="W151" s="661"/>
      <c r="X151" s="661"/>
      <c r="Y151" s="661"/>
      <c r="Z151" s="661"/>
      <c r="AA151" s="661"/>
      <c r="AB151" s="661"/>
    </row>
    <row r="152">
      <c r="A152" s="661"/>
      <c r="B152" s="661"/>
      <c r="C152" s="661"/>
      <c r="D152" s="662"/>
      <c r="E152" s="661"/>
      <c r="F152" s="661"/>
      <c r="G152" s="661"/>
      <c r="H152" s="661"/>
      <c r="I152" s="661"/>
      <c r="J152" s="661"/>
      <c r="K152" s="661"/>
      <c r="L152" s="661"/>
      <c r="M152" s="661"/>
      <c r="N152" s="661"/>
      <c r="O152" s="661"/>
      <c r="P152" s="661"/>
      <c r="Q152" s="661"/>
      <c r="R152" s="661"/>
      <c r="S152" s="661"/>
      <c r="T152" s="661"/>
      <c r="U152" s="661"/>
      <c r="V152" s="661"/>
      <c r="W152" s="661"/>
      <c r="X152" s="661"/>
      <c r="Y152" s="661"/>
      <c r="Z152" s="661"/>
      <c r="AA152" s="661"/>
      <c r="AB152" s="661"/>
    </row>
    <row r="153">
      <c r="A153" s="661"/>
      <c r="B153" s="661"/>
      <c r="C153" s="661"/>
      <c r="D153" s="662"/>
      <c r="E153" s="661"/>
      <c r="F153" s="661"/>
      <c r="G153" s="661"/>
      <c r="H153" s="661"/>
      <c r="I153" s="661"/>
      <c r="J153" s="661"/>
      <c r="K153" s="661"/>
      <c r="L153" s="661"/>
      <c r="M153" s="661"/>
      <c r="N153" s="661"/>
      <c r="O153" s="661"/>
      <c r="P153" s="661"/>
      <c r="Q153" s="661"/>
      <c r="R153" s="661"/>
      <c r="S153" s="661"/>
      <c r="T153" s="661"/>
      <c r="U153" s="661"/>
      <c r="V153" s="661"/>
      <c r="W153" s="661"/>
      <c r="X153" s="661"/>
      <c r="Y153" s="661"/>
      <c r="Z153" s="661"/>
      <c r="AA153" s="661"/>
      <c r="AB153" s="661"/>
    </row>
    <row r="154">
      <c r="A154" s="661"/>
      <c r="B154" s="661"/>
      <c r="C154" s="661"/>
      <c r="D154" s="662"/>
      <c r="E154" s="661"/>
      <c r="F154" s="661"/>
      <c r="G154" s="661"/>
      <c r="H154" s="661"/>
      <c r="I154" s="661"/>
      <c r="J154" s="661"/>
      <c r="K154" s="661"/>
      <c r="L154" s="661"/>
      <c r="M154" s="661"/>
      <c r="N154" s="661"/>
      <c r="O154" s="661"/>
      <c r="P154" s="661"/>
      <c r="Q154" s="661"/>
      <c r="R154" s="661"/>
      <c r="S154" s="661"/>
      <c r="T154" s="661"/>
      <c r="U154" s="661"/>
      <c r="V154" s="661"/>
      <c r="W154" s="661"/>
      <c r="X154" s="661"/>
      <c r="Y154" s="661"/>
      <c r="Z154" s="661"/>
      <c r="AA154" s="661"/>
      <c r="AB154" s="661"/>
    </row>
    <row r="155">
      <c r="A155" s="661"/>
      <c r="B155" s="661"/>
      <c r="C155" s="661"/>
      <c r="D155" s="662"/>
      <c r="E155" s="661"/>
      <c r="F155" s="661"/>
      <c r="G155" s="661"/>
      <c r="H155" s="661"/>
      <c r="I155" s="661"/>
      <c r="J155" s="661"/>
      <c r="K155" s="661"/>
      <c r="L155" s="661"/>
      <c r="M155" s="661"/>
      <c r="N155" s="661"/>
      <c r="O155" s="661"/>
      <c r="P155" s="661"/>
      <c r="Q155" s="661"/>
      <c r="R155" s="661"/>
      <c r="S155" s="661"/>
      <c r="T155" s="661"/>
      <c r="U155" s="661"/>
      <c r="V155" s="661"/>
      <c r="W155" s="661"/>
      <c r="X155" s="661"/>
      <c r="Y155" s="661"/>
      <c r="Z155" s="661"/>
      <c r="AA155" s="661"/>
      <c r="AB155" s="661"/>
    </row>
    <row r="156">
      <c r="A156" s="661"/>
      <c r="B156" s="661"/>
      <c r="C156" s="661"/>
      <c r="D156" s="662"/>
      <c r="E156" s="661"/>
      <c r="F156" s="661"/>
      <c r="G156" s="661"/>
      <c r="H156" s="661"/>
      <c r="I156" s="661"/>
      <c r="J156" s="661"/>
      <c r="K156" s="661"/>
      <c r="L156" s="661"/>
      <c r="M156" s="661"/>
      <c r="N156" s="661"/>
      <c r="O156" s="661"/>
      <c r="P156" s="661"/>
      <c r="Q156" s="661"/>
      <c r="R156" s="661"/>
      <c r="S156" s="661"/>
      <c r="T156" s="661"/>
      <c r="U156" s="661"/>
      <c r="V156" s="661"/>
      <c r="W156" s="661"/>
      <c r="X156" s="661"/>
      <c r="Y156" s="661"/>
      <c r="Z156" s="661"/>
      <c r="AA156" s="661"/>
      <c r="AB156" s="661"/>
    </row>
    <row r="157">
      <c r="A157" s="661"/>
      <c r="B157" s="661"/>
      <c r="C157" s="661"/>
      <c r="D157" s="662"/>
      <c r="E157" s="661"/>
      <c r="F157" s="661"/>
      <c r="G157" s="661"/>
      <c r="H157" s="661"/>
      <c r="I157" s="661"/>
      <c r="J157" s="661"/>
      <c r="K157" s="661"/>
      <c r="L157" s="661"/>
      <c r="M157" s="661"/>
      <c r="N157" s="661"/>
      <c r="O157" s="661"/>
      <c r="P157" s="661"/>
      <c r="Q157" s="661"/>
      <c r="R157" s="661"/>
      <c r="S157" s="661"/>
      <c r="T157" s="661"/>
      <c r="U157" s="661"/>
      <c r="V157" s="661"/>
      <c r="W157" s="661"/>
      <c r="X157" s="661"/>
      <c r="Y157" s="661"/>
      <c r="Z157" s="661"/>
      <c r="AA157" s="661"/>
      <c r="AB157" s="661"/>
    </row>
    <row r="158">
      <c r="A158" s="661"/>
      <c r="B158" s="661"/>
      <c r="C158" s="661"/>
      <c r="D158" s="662"/>
      <c r="E158" s="661"/>
      <c r="F158" s="661"/>
      <c r="G158" s="661"/>
      <c r="H158" s="661"/>
      <c r="I158" s="661"/>
      <c r="J158" s="661"/>
      <c r="K158" s="661"/>
      <c r="L158" s="661"/>
      <c r="M158" s="661"/>
      <c r="N158" s="661"/>
      <c r="O158" s="661"/>
      <c r="P158" s="661"/>
      <c r="Q158" s="661"/>
      <c r="R158" s="661"/>
      <c r="S158" s="661"/>
      <c r="T158" s="661"/>
      <c r="U158" s="661"/>
      <c r="V158" s="661"/>
      <c r="W158" s="661"/>
      <c r="X158" s="661"/>
      <c r="Y158" s="661"/>
      <c r="Z158" s="661"/>
      <c r="AA158" s="661"/>
      <c r="AB158" s="661"/>
    </row>
    <row r="159">
      <c r="A159" s="661"/>
      <c r="B159" s="661"/>
      <c r="C159" s="661"/>
      <c r="D159" s="662"/>
      <c r="E159" s="661"/>
      <c r="F159" s="661"/>
      <c r="G159" s="661"/>
      <c r="H159" s="661"/>
      <c r="I159" s="661"/>
      <c r="J159" s="661"/>
      <c r="K159" s="661"/>
      <c r="L159" s="661"/>
      <c r="M159" s="661"/>
      <c r="N159" s="661"/>
      <c r="O159" s="661"/>
      <c r="P159" s="661"/>
      <c r="Q159" s="661"/>
      <c r="R159" s="661"/>
      <c r="S159" s="661"/>
      <c r="T159" s="661"/>
      <c r="U159" s="661"/>
      <c r="V159" s="661"/>
      <c r="W159" s="661"/>
      <c r="X159" s="661"/>
      <c r="Y159" s="661"/>
      <c r="Z159" s="661"/>
      <c r="AA159" s="661"/>
      <c r="AB159" s="661"/>
    </row>
    <row r="160">
      <c r="A160" s="661"/>
      <c r="B160" s="661"/>
      <c r="C160" s="661"/>
      <c r="D160" s="662"/>
      <c r="E160" s="661"/>
      <c r="F160" s="661"/>
      <c r="G160" s="661"/>
      <c r="H160" s="661"/>
      <c r="I160" s="661"/>
      <c r="J160" s="661"/>
      <c r="K160" s="661"/>
      <c r="L160" s="661"/>
      <c r="M160" s="661"/>
      <c r="N160" s="661"/>
      <c r="O160" s="661"/>
      <c r="P160" s="661"/>
      <c r="Q160" s="661"/>
      <c r="R160" s="661"/>
      <c r="S160" s="661"/>
      <c r="T160" s="661"/>
      <c r="U160" s="661"/>
      <c r="V160" s="661"/>
      <c r="W160" s="661"/>
      <c r="X160" s="661"/>
      <c r="Y160" s="661"/>
      <c r="Z160" s="661"/>
      <c r="AA160" s="661"/>
      <c r="AB160" s="661"/>
    </row>
    <row r="161">
      <c r="A161" s="661"/>
      <c r="B161" s="661"/>
      <c r="C161" s="661"/>
      <c r="D161" s="662"/>
      <c r="E161" s="661"/>
      <c r="F161" s="661"/>
      <c r="G161" s="661"/>
      <c r="H161" s="661"/>
      <c r="I161" s="661"/>
      <c r="J161" s="661"/>
      <c r="K161" s="661"/>
      <c r="L161" s="661"/>
      <c r="M161" s="661"/>
      <c r="N161" s="661"/>
      <c r="O161" s="661"/>
      <c r="P161" s="661"/>
      <c r="Q161" s="661"/>
      <c r="R161" s="661"/>
      <c r="S161" s="661"/>
      <c r="T161" s="661"/>
      <c r="U161" s="661"/>
      <c r="V161" s="661"/>
      <c r="W161" s="661"/>
      <c r="X161" s="661"/>
      <c r="Y161" s="661"/>
      <c r="Z161" s="661"/>
      <c r="AA161" s="661"/>
      <c r="AB161" s="661"/>
    </row>
    <row r="162">
      <c r="A162" s="661"/>
      <c r="B162" s="661"/>
      <c r="C162" s="661"/>
      <c r="D162" s="662"/>
      <c r="E162" s="661"/>
      <c r="F162" s="661"/>
      <c r="G162" s="661"/>
      <c r="H162" s="661"/>
      <c r="I162" s="661"/>
      <c r="J162" s="661"/>
      <c r="K162" s="661"/>
      <c r="L162" s="661"/>
      <c r="M162" s="661"/>
      <c r="N162" s="661"/>
      <c r="O162" s="661"/>
      <c r="P162" s="661"/>
      <c r="Q162" s="661"/>
      <c r="R162" s="661"/>
      <c r="S162" s="661"/>
      <c r="T162" s="661"/>
      <c r="U162" s="661"/>
      <c r="V162" s="661"/>
      <c r="W162" s="661"/>
      <c r="X162" s="661"/>
      <c r="Y162" s="661"/>
      <c r="Z162" s="661"/>
      <c r="AA162" s="661"/>
      <c r="AB162" s="661"/>
    </row>
    <row r="163">
      <c r="A163" s="661"/>
      <c r="B163" s="661"/>
      <c r="C163" s="661"/>
      <c r="D163" s="662"/>
      <c r="E163" s="661"/>
      <c r="F163" s="661"/>
      <c r="G163" s="661"/>
      <c r="H163" s="661"/>
      <c r="I163" s="661"/>
      <c r="J163" s="661"/>
      <c r="K163" s="661"/>
      <c r="L163" s="661"/>
      <c r="M163" s="661"/>
      <c r="N163" s="661"/>
      <c r="O163" s="661"/>
      <c r="P163" s="661"/>
      <c r="Q163" s="661"/>
      <c r="R163" s="661"/>
      <c r="S163" s="661"/>
      <c r="T163" s="661"/>
      <c r="U163" s="661"/>
      <c r="V163" s="661"/>
      <c r="W163" s="661"/>
      <c r="X163" s="661"/>
      <c r="Y163" s="661"/>
      <c r="Z163" s="661"/>
      <c r="AA163" s="661"/>
      <c r="AB163" s="661"/>
    </row>
    <row r="164">
      <c r="A164" s="661"/>
      <c r="B164" s="661"/>
      <c r="C164" s="661"/>
      <c r="D164" s="662"/>
      <c r="E164" s="661"/>
      <c r="F164" s="661"/>
      <c r="G164" s="661"/>
      <c r="H164" s="661"/>
      <c r="I164" s="661"/>
      <c r="J164" s="661"/>
      <c r="K164" s="661"/>
      <c r="L164" s="661"/>
      <c r="M164" s="661"/>
      <c r="N164" s="661"/>
      <c r="O164" s="661"/>
      <c r="P164" s="661"/>
      <c r="Q164" s="661"/>
      <c r="R164" s="661"/>
      <c r="S164" s="661"/>
      <c r="T164" s="661"/>
      <c r="U164" s="661"/>
      <c r="V164" s="661"/>
      <c r="W164" s="661"/>
      <c r="X164" s="661"/>
      <c r="Y164" s="661"/>
      <c r="Z164" s="661"/>
      <c r="AA164" s="661"/>
      <c r="AB164" s="661"/>
    </row>
    <row r="165">
      <c r="A165" s="661"/>
      <c r="B165" s="661"/>
      <c r="C165" s="661"/>
      <c r="D165" s="662"/>
      <c r="E165" s="661"/>
      <c r="F165" s="661"/>
      <c r="G165" s="661"/>
      <c r="H165" s="661"/>
      <c r="I165" s="661"/>
      <c r="J165" s="661"/>
      <c r="K165" s="661"/>
      <c r="L165" s="661"/>
      <c r="M165" s="661"/>
      <c r="N165" s="661"/>
      <c r="O165" s="661"/>
      <c r="P165" s="661"/>
      <c r="Q165" s="661"/>
      <c r="R165" s="661"/>
      <c r="S165" s="661"/>
      <c r="T165" s="661"/>
      <c r="U165" s="661"/>
      <c r="V165" s="661"/>
      <c r="W165" s="661"/>
      <c r="X165" s="661"/>
      <c r="Y165" s="661"/>
      <c r="Z165" s="661"/>
      <c r="AA165" s="661"/>
      <c r="AB165" s="661"/>
    </row>
    <row r="166">
      <c r="A166" s="661"/>
      <c r="B166" s="661"/>
      <c r="C166" s="661"/>
      <c r="D166" s="662"/>
      <c r="E166" s="661"/>
      <c r="F166" s="661"/>
      <c r="G166" s="661"/>
      <c r="H166" s="661"/>
      <c r="I166" s="661"/>
      <c r="J166" s="661"/>
      <c r="K166" s="661"/>
      <c r="L166" s="661"/>
      <c r="M166" s="661"/>
      <c r="N166" s="661"/>
      <c r="O166" s="661"/>
      <c r="P166" s="661"/>
      <c r="Q166" s="661"/>
      <c r="R166" s="661"/>
      <c r="S166" s="661"/>
      <c r="T166" s="661"/>
      <c r="U166" s="661"/>
      <c r="V166" s="661"/>
      <c r="W166" s="661"/>
      <c r="X166" s="661"/>
      <c r="Y166" s="661"/>
      <c r="Z166" s="661"/>
      <c r="AA166" s="661"/>
      <c r="AB166" s="661"/>
    </row>
    <row r="167">
      <c r="A167" s="661"/>
      <c r="B167" s="661"/>
      <c r="C167" s="661"/>
      <c r="D167" s="662"/>
      <c r="E167" s="661"/>
      <c r="F167" s="661"/>
      <c r="G167" s="661"/>
      <c r="H167" s="661"/>
      <c r="I167" s="661"/>
      <c r="J167" s="661"/>
      <c r="K167" s="661"/>
      <c r="L167" s="661"/>
      <c r="M167" s="661"/>
      <c r="N167" s="661"/>
      <c r="O167" s="661"/>
      <c r="P167" s="661"/>
      <c r="Q167" s="661"/>
      <c r="R167" s="661"/>
      <c r="S167" s="661"/>
      <c r="T167" s="661"/>
      <c r="U167" s="661"/>
      <c r="V167" s="661"/>
      <c r="W167" s="661"/>
      <c r="X167" s="661"/>
      <c r="Y167" s="661"/>
      <c r="Z167" s="661"/>
      <c r="AA167" s="661"/>
      <c r="AB167" s="661"/>
    </row>
    <row r="168">
      <c r="A168" s="661"/>
      <c r="B168" s="661"/>
      <c r="C168" s="661"/>
      <c r="D168" s="662"/>
      <c r="E168" s="661"/>
      <c r="F168" s="661"/>
      <c r="G168" s="661"/>
      <c r="H168" s="661"/>
      <c r="I168" s="661"/>
      <c r="J168" s="661"/>
      <c r="K168" s="661"/>
      <c r="L168" s="661"/>
      <c r="M168" s="661"/>
      <c r="N168" s="661"/>
      <c r="O168" s="661"/>
      <c r="P168" s="661"/>
      <c r="Q168" s="661"/>
      <c r="R168" s="661"/>
      <c r="S168" s="661"/>
      <c r="T168" s="661"/>
      <c r="U168" s="661"/>
      <c r="V168" s="661"/>
      <c r="W168" s="661"/>
      <c r="X168" s="661"/>
      <c r="Y168" s="661"/>
      <c r="Z168" s="661"/>
      <c r="AA168" s="661"/>
      <c r="AB168" s="661"/>
    </row>
    <row r="169">
      <c r="A169" s="661"/>
      <c r="B169" s="661"/>
      <c r="C169" s="661"/>
      <c r="D169" s="662"/>
      <c r="E169" s="661"/>
      <c r="F169" s="661"/>
      <c r="G169" s="661"/>
      <c r="H169" s="661"/>
      <c r="I169" s="661"/>
      <c r="J169" s="661"/>
      <c r="K169" s="661"/>
      <c r="L169" s="661"/>
      <c r="M169" s="661"/>
      <c r="N169" s="661"/>
      <c r="O169" s="661"/>
      <c r="P169" s="661"/>
      <c r="Q169" s="661"/>
      <c r="R169" s="661"/>
      <c r="S169" s="661"/>
      <c r="T169" s="661"/>
      <c r="U169" s="661"/>
      <c r="V169" s="661"/>
      <c r="W169" s="661"/>
      <c r="X169" s="661"/>
      <c r="Y169" s="661"/>
      <c r="Z169" s="661"/>
      <c r="AA169" s="661"/>
      <c r="AB169" s="661"/>
    </row>
    <row r="170">
      <c r="A170" s="661"/>
      <c r="B170" s="661"/>
      <c r="C170" s="661"/>
      <c r="D170" s="662"/>
      <c r="E170" s="661"/>
      <c r="F170" s="661"/>
      <c r="G170" s="661"/>
      <c r="H170" s="661"/>
      <c r="I170" s="661"/>
      <c r="J170" s="661"/>
      <c r="K170" s="661"/>
      <c r="L170" s="661"/>
      <c r="M170" s="661"/>
      <c r="N170" s="661"/>
      <c r="O170" s="661"/>
      <c r="P170" s="661"/>
      <c r="Q170" s="661"/>
      <c r="R170" s="661"/>
      <c r="S170" s="661"/>
      <c r="T170" s="661"/>
      <c r="U170" s="661"/>
      <c r="V170" s="661"/>
      <c r="W170" s="661"/>
      <c r="X170" s="661"/>
      <c r="Y170" s="661"/>
      <c r="Z170" s="661"/>
      <c r="AA170" s="661"/>
      <c r="AB170" s="661"/>
    </row>
    <row r="171">
      <c r="A171" s="661"/>
      <c r="B171" s="661"/>
      <c r="C171" s="661"/>
      <c r="D171" s="662"/>
      <c r="E171" s="661"/>
      <c r="F171" s="661"/>
      <c r="G171" s="661"/>
      <c r="H171" s="661"/>
      <c r="I171" s="661"/>
      <c r="J171" s="661"/>
      <c r="K171" s="661"/>
      <c r="L171" s="661"/>
      <c r="M171" s="661"/>
      <c r="N171" s="661"/>
      <c r="O171" s="661"/>
      <c r="P171" s="661"/>
      <c r="Q171" s="661"/>
      <c r="R171" s="661"/>
      <c r="S171" s="661"/>
      <c r="T171" s="661"/>
      <c r="U171" s="661"/>
      <c r="V171" s="661"/>
      <c r="W171" s="661"/>
      <c r="X171" s="661"/>
      <c r="Y171" s="661"/>
      <c r="Z171" s="661"/>
      <c r="AA171" s="661"/>
      <c r="AB171" s="661"/>
    </row>
    <row r="172">
      <c r="A172" s="661"/>
      <c r="B172" s="661"/>
      <c r="C172" s="661"/>
      <c r="D172" s="662"/>
      <c r="E172" s="661"/>
      <c r="F172" s="661"/>
      <c r="G172" s="661"/>
      <c r="H172" s="661"/>
      <c r="I172" s="661"/>
      <c r="J172" s="661"/>
      <c r="K172" s="661"/>
      <c r="L172" s="661"/>
      <c r="M172" s="661"/>
      <c r="N172" s="661"/>
      <c r="O172" s="661"/>
      <c r="P172" s="661"/>
      <c r="Q172" s="661"/>
      <c r="R172" s="661"/>
      <c r="S172" s="661"/>
      <c r="T172" s="661"/>
      <c r="U172" s="661"/>
      <c r="V172" s="661"/>
      <c r="W172" s="661"/>
      <c r="X172" s="661"/>
      <c r="Y172" s="661"/>
      <c r="Z172" s="661"/>
      <c r="AA172" s="661"/>
      <c r="AB172" s="661"/>
    </row>
    <row r="173">
      <c r="A173" s="661"/>
      <c r="B173" s="661"/>
      <c r="C173" s="661"/>
      <c r="D173" s="662"/>
      <c r="E173" s="661"/>
      <c r="F173" s="661"/>
      <c r="G173" s="661"/>
      <c r="H173" s="661"/>
      <c r="I173" s="661"/>
      <c r="J173" s="661"/>
      <c r="K173" s="661"/>
      <c r="L173" s="661"/>
      <c r="M173" s="661"/>
      <c r="N173" s="661"/>
      <c r="O173" s="661"/>
      <c r="P173" s="661"/>
      <c r="Q173" s="661"/>
      <c r="R173" s="661"/>
      <c r="S173" s="661"/>
      <c r="T173" s="661"/>
      <c r="U173" s="661"/>
      <c r="V173" s="661"/>
      <c r="W173" s="661"/>
      <c r="X173" s="661"/>
      <c r="Y173" s="661"/>
      <c r="Z173" s="661"/>
      <c r="AA173" s="661"/>
      <c r="AB173" s="661"/>
    </row>
    <row r="174">
      <c r="A174" s="661"/>
      <c r="B174" s="661"/>
      <c r="C174" s="661"/>
      <c r="D174" s="662"/>
      <c r="E174" s="661"/>
      <c r="F174" s="661"/>
      <c r="G174" s="661"/>
      <c r="H174" s="661"/>
      <c r="I174" s="661"/>
      <c r="J174" s="661"/>
      <c r="K174" s="661"/>
      <c r="L174" s="661"/>
      <c r="M174" s="661"/>
      <c r="N174" s="661"/>
      <c r="O174" s="661"/>
      <c r="P174" s="661"/>
      <c r="Q174" s="661"/>
      <c r="R174" s="661"/>
      <c r="S174" s="661"/>
      <c r="T174" s="661"/>
      <c r="U174" s="661"/>
      <c r="V174" s="661"/>
      <c r="W174" s="661"/>
      <c r="X174" s="661"/>
      <c r="Y174" s="661"/>
      <c r="Z174" s="661"/>
      <c r="AA174" s="661"/>
      <c r="AB174" s="661"/>
    </row>
    <row r="175">
      <c r="A175" s="661"/>
      <c r="B175" s="661"/>
      <c r="C175" s="661"/>
      <c r="D175" s="662"/>
      <c r="E175" s="661"/>
      <c r="F175" s="661"/>
      <c r="G175" s="661"/>
      <c r="H175" s="661"/>
      <c r="I175" s="661"/>
      <c r="J175" s="661"/>
      <c r="K175" s="661"/>
      <c r="L175" s="661"/>
      <c r="M175" s="661"/>
      <c r="N175" s="661"/>
      <c r="O175" s="661"/>
      <c r="P175" s="661"/>
      <c r="Q175" s="661"/>
      <c r="R175" s="661"/>
      <c r="S175" s="661"/>
      <c r="T175" s="661"/>
      <c r="U175" s="661"/>
      <c r="V175" s="661"/>
      <c r="W175" s="661"/>
      <c r="X175" s="661"/>
      <c r="Y175" s="661"/>
      <c r="Z175" s="661"/>
      <c r="AA175" s="661"/>
      <c r="AB175" s="661"/>
    </row>
    <row r="176">
      <c r="A176" s="661"/>
      <c r="B176" s="661"/>
      <c r="C176" s="661"/>
      <c r="D176" s="662"/>
      <c r="E176" s="661"/>
      <c r="F176" s="661"/>
      <c r="G176" s="661"/>
      <c r="H176" s="661"/>
      <c r="I176" s="661"/>
      <c r="J176" s="661"/>
      <c r="K176" s="661"/>
      <c r="L176" s="661"/>
      <c r="M176" s="661"/>
      <c r="N176" s="661"/>
      <c r="O176" s="661"/>
      <c r="P176" s="661"/>
      <c r="Q176" s="661"/>
      <c r="R176" s="661"/>
      <c r="S176" s="661"/>
      <c r="T176" s="661"/>
      <c r="U176" s="661"/>
      <c r="V176" s="661"/>
      <c r="W176" s="661"/>
      <c r="X176" s="661"/>
      <c r="Y176" s="661"/>
      <c r="Z176" s="661"/>
      <c r="AA176" s="661"/>
      <c r="AB176" s="661"/>
    </row>
    <row r="177">
      <c r="A177" s="661"/>
      <c r="B177" s="661"/>
      <c r="C177" s="661"/>
      <c r="D177" s="662"/>
      <c r="E177" s="661"/>
      <c r="F177" s="661"/>
      <c r="G177" s="661"/>
      <c r="H177" s="661"/>
      <c r="I177" s="661"/>
      <c r="J177" s="661"/>
      <c r="K177" s="661"/>
      <c r="L177" s="661"/>
      <c r="M177" s="661"/>
      <c r="N177" s="661"/>
      <c r="O177" s="661"/>
      <c r="P177" s="661"/>
      <c r="Q177" s="661"/>
      <c r="R177" s="661"/>
      <c r="S177" s="661"/>
      <c r="T177" s="661"/>
      <c r="U177" s="661"/>
      <c r="V177" s="661"/>
      <c r="W177" s="661"/>
      <c r="X177" s="661"/>
      <c r="Y177" s="661"/>
      <c r="Z177" s="661"/>
      <c r="AA177" s="661"/>
      <c r="AB177" s="661"/>
    </row>
    <row r="178">
      <c r="A178" s="661"/>
      <c r="B178" s="661"/>
      <c r="C178" s="661"/>
      <c r="D178" s="662"/>
      <c r="E178" s="661"/>
      <c r="F178" s="661"/>
      <c r="G178" s="661"/>
      <c r="H178" s="661"/>
      <c r="I178" s="661"/>
      <c r="J178" s="661"/>
      <c r="K178" s="661"/>
      <c r="L178" s="661"/>
      <c r="M178" s="661"/>
      <c r="N178" s="661"/>
      <c r="O178" s="661"/>
      <c r="P178" s="661"/>
      <c r="Q178" s="661"/>
      <c r="R178" s="661"/>
      <c r="S178" s="661"/>
      <c r="T178" s="661"/>
      <c r="U178" s="661"/>
      <c r="V178" s="661"/>
      <c r="W178" s="661"/>
      <c r="X178" s="661"/>
      <c r="Y178" s="661"/>
      <c r="Z178" s="661"/>
      <c r="AA178" s="661"/>
      <c r="AB178" s="661"/>
    </row>
    <row r="179">
      <c r="A179" s="661"/>
      <c r="B179" s="661"/>
      <c r="C179" s="661"/>
      <c r="D179" s="662"/>
      <c r="E179" s="661"/>
      <c r="F179" s="661"/>
      <c r="G179" s="661"/>
      <c r="H179" s="661"/>
      <c r="I179" s="661"/>
      <c r="J179" s="661"/>
      <c r="K179" s="661"/>
      <c r="L179" s="661"/>
      <c r="M179" s="661"/>
      <c r="N179" s="661"/>
      <c r="O179" s="661"/>
      <c r="P179" s="661"/>
      <c r="Q179" s="661"/>
      <c r="R179" s="661"/>
      <c r="S179" s="661"/>
      <c r="T179" s="661"/>
      <c r="U179" s="661"/>
      <c r="V179" s="661"/>
      <c r="W179" s="661"/>
      <c r="X179" s="661"/>
      <c r="Y179" s="661"/>
      <c r="Z179" s="661"/>
      <c r="AA179" s="661"/>
      <c r="AB179" s="661"/>
    </row>
    <row r="180">
      <c r="A180" s="661"/>
      <c r="B180" s="661"/>
      <c r="C180" s="661"/>
      <c r="D180" s="662"/>
      <c r="E180" s="661"/>
      <c r="F180" s="661"/>
      <c r="G180" s="661"/>
      <c r="H180" s="661"/>
      <c r="I180" s="661"/>
      <c r="J180" s="661"/>
      <c r="K180" s="661"/>
      <c r="L180" s="661"/>
      <c r="M180" s="661"/>
      <c r="N180" s="661"/>
      <c r="O180" s="661"/>
      <c r="P180" s="661"/>
      <c r="Q180" s="661"/>
      <c r="R180" s="661"/>
      <c r="S180" s="661"/>
      <c r="T180" s="661"/>
      <c r="U180" s="661"/>
      <c r="V180" s="661"/>
      <c r="W180" s="661"/>
      <c r="X180" s="661"/>
      <c r="Y180" s="661"/>
      <c r="Z180" s="661"/>
      <c r="AA180" s="661"/>
      <c r="AB180" s="661"/>
    </row>
    <row r="181">
      <c r="A181" s="661"/>
      <c r="B181" s="661"/>
      <c r="C181" s="661"/>
      <c r="D181" s="662"/>
      <c r="E181" s="661"/>
      <c r="F181" s="661"/>
      <c r="G181" s="661"/>
      <c r="H181" s="661"/>
      <c r="I181" s="661"/>
      <c r="J181" s="661"/>
      <c r="K181" s="661"/>
      <c r="L181" s="661"/>
      <c r="M181" s="661"/>
      <c r="N181" s="661"/>
      <c r="O181" s="661"/>
      <c r="P181" s="661"/>
      <c r="Q181" s="661"/>
      <c r="R181" s="661"/>
      <c r="S181" s="661"/>
      <c r="T181" s="661"/>
      <c r="U181" s="661"/>
      <c r="V181" s="661"/>
      <c r="W181" s="661"/>
      <c r="X181" s="661"/>
      <c r="Y181" s="661"/>
      <c r="Z181" s="661"/>
      <c r="AA181" s="661"/>
      <c r="AB181" s="661"/>
    </row>
    <row r="182">
      <c r="A182" s="661"/>
      <c r="B182" s="661"/>
      <c r="C182" s="661"/>
      <c r="D182" s="662"/>
      <c r="E182" s="661"/>
      <c r="F182" s="661"/>
      <c r="G182" s="661"/>
      <c r="H182" s="661"/>
      <c r="I182" s="661"/>
      <c r="J182" s="661"/>
      <c r="K182" s="661"/>
      <c r="L182" s="661"/>
      <c r="M182" s="661"/>
      <c r="N182" s="661"/>
      <c r="O182" s="661"/>
      <c r="P182" s="661"/>
      <c r="Q182" s="661"/>
      <c r="R182" s="661"/>
      <c r="S182" s="661"/>
      <c r="T182" s="661"/>
      <c r="U182" s="661"/>
      <c r="V182" s="661"/>
      <c r="W182" s="661"/>
      <c r="X182" s="661"/>
      <c r="Y182" s="661"/>
      <c r="Z182" s="661"/>
      <c r="AA182" s="661"/>
      <c r="AB182" s="661"/>
    </row>
    <row r="183">
      <c r="A183" s="661"/>
      <c r="B183" s="661"/>
      <c r="C183" s="661"/>
      <c r="D183" s="662"/>
      <c r="E183" s="661"/>
      <c r="F183" s="661"/>
      <c r="G183" s="661"/>
      <c r="H183" s="661"/>
      <c r="I183" s="661"/>
      <c r="J183" s="661"/>
      <c r="K183" s="661"/>
      <c r="L183" s="661"/>
      <c r="M183" s="661"/>
      <c r="N183" s="661"/>
      <c r="O183" s="661"/>
      <c r="P183" s="661"/>
      <c r="Q183" s="661"/>
      <c r="R183" s="661"/>
      <c r="S183" s="661"/>
      <c r="T183" s="661"/>
      <c r="U183" s="661"/>
      <c r="V183" s="661"/>
      <c r="W183" s="661"/>
      <c r="X183" s="661"/>
      <c r="Y183" s="661"/>
      <c r="Z183" s="661"/>
      <c r="AA183" s="661"/>
      <c r="AB183" s="661"/>
    </row>
    <row r="184">
      <c r="A184" s="661"/>
      <c r="B184" s="661"/>
      <c r="C184" s="661"/>
      <c r="D184" s="662"/>
      <c r="E184" s="661"/>
      <c r="F184" s="661"/>
      <c r="G184" s="661"/>
      <c r="H184" s="661"/>
      <c r="I184" s="661"/>
      <c r="J184" s="661"/>
      <c r="K184" s="661"/>
      <c r="L184" s="661"/>
      <c r="M184" s="661"/>
      <c r="N184" s="661"/>
      <c r="O184" s="661"/>
      <c r="P184" s="661"/>
      <c r="Q184" s="661"/>
      <c r="R184" s="661"/>
      <c r="S184" s="661"/>
      <c r="T184" s="661"/>
      <c r="U184" s="661"/>
      <c r="V184" s="661"/>
      <c r="W184" s="661"/>
      <c r="X184" s="661"/>
      <c r="Y184" s="661"/>
      <c r="Z184" s="661"/>
      <c r="AA184" s="661"/>
      <c r="AB184" s="661"/>
    </row>
    <row r="185">
      <c r="A185" s="661"/>
      <c r="B185" s="661"/>
      <c r="C185" s="661"/>
      <c r="D185" s="662"/>
      <c r="E185" s="661"/>
      <c r="F185" s="661"/>
      <c r="G185" s="661"/>
      <c r="H185" s="661"/>
      <c r="I185" s="661"/>
      <c r="J185" s="661"/>
      <c r="K185" s="661"/>
      <c r="L185" s="661"/>
      <c r="M185" s="661"/>
      <c r="N185" s="661"/>
      <c r="O185" s="661"/>
      <c r="P185" s="661"/>
      <c r="Q185" s="661"/>
      <c r="R185" s="661"/>
      <c r="S185" s="661"/>
      <c r="T185" s="661"/>
      <c r="U185" s="661"/>
      <c r="V185" s="661"/>
      <c r="W185" s="661"/>
      <c r="X185" s="661"/>
      <c r="Y185" s="661"/>
      <c r="Z185" s="661"/>
      <c r="AA185" s="661"/>
      <c r="AB185" s="661"/>
    </row>
    <row r="186">
      <c r="A186" s="661"/>
      <c r="B186" s="661"/>
      <c r="C186" s="661"/>
      <c r="D186" s="662"/>
      <c r="E186" s="661"/>
      <c r="F186" s="661"/>
      <c r="G186" s="661"/>
      <c r="H186" s="661"/>
      <c r="I186" s="661"/>
      <c r="J186" s="661"/>
      <c r="K186" s="661"/>
      <c r="L186" s="661"/>
      <c r="M186" s="661"/>
      <c r="N186" s="661"/>
      <c r="O186" s="661"/>
      <c r="P186" s="661"/>
      <c r="Q186" s="661"/>
      <c r="R186" s="661"/>
      <c r="S186" s="661"/>
      <c r="T186" s="661"/>
      <c r="U186" s="661"/>
      <c r="V186" s="661"/>
      <c r="W186" s="661"/>
      <c r="X186" s="661"/>
      <c r="Y186" s="661"/>
      <c r="Z186" s="661"/>
      <c r="AA186" s="661"/>
      <c r="AB186" s="661"/>
    </row>
    <row r="187">
      <c r="A187" s="661"/>
      <c r="B187" s="661"/>
      <c r="C187" s="661"/>
      <c r="D187" s="662"/>
      <c r="E187" s="661"/>
      <c r="F187" s="661"/>
      <c r="G187" s="661"/>
      <c r="H187" s="661"/>
      <c r="I187" s="661"/>
      <c r="J187" s="661"/>
      <c r="K187" s="661"/>
      <c r="L187" s="661"/>
      <c r="M187" s="661"/>
      <c r="N187" s="661"/>
      <c r="O187" s="661"/>
      <c r="P187" s="661"/>
      <c r="Q187" s="661"/>
      <c r="R187" s="661"/>
      <c r="S187" s="661"/>
      <c r="T187" s="661"/>
      <c r="U187" s="661"/>
      <c r="V187" s="661"/>
      <c r="W187" s="661"/>
      <c r="X187" s="661"/>
      <c r="Y187" s="661"/>
      <c r="Z187" s="661"/>
      <c r="AA187" s="661"/>
      <c r="AB187" s="661"/>
    </row>
    <row r="188">
      <c r="A188" s="661"/>
      <c r="B188" s="661"/>
      <c r="C188" s="661"/>
      <c r="D188" s="662"/>
      <c r="E188" s="661"/>
      <c r="F188" s="661"/>
      <c r="G188" s="661"/>
      <c r="H188" s="661"/>
      <c r="I188" s="661"/>
      <c r="J188" s="661"/>
      <c r="K188" s="661"/>
      <c r="L188" s="661"/>
      <c r="M188" s="661"/>
      <c r="N188" s="661"/>
      <c r="O188" s="661"/>
      <c r="P188" s="661"/>
      <c r="Q188" s="661"/>
      <c r="R188" s="661"/>
      <c r="S188" s="661"/>
      <c r="T188" s="661"/>
      <c r="U188" s="661"/>
      <c r="V188" s="661"/>
      <c r="W188" s="661"/>
      <c r="X188" s="661"/>
      <c r="Y188" s="661"/>
      <c r="Z188" s="661"/>
      <c r="AA188" s="661"/>
      <c r="AB188" s="661"/>
    </row>
    <row r="189">
      <c r="A189" s="661"/>
      <c r="B189" s="661"/>
      <c r="C189" s="661"/>
      <c r="D189" s="662"/>
      <c r="E189" s="661"/>
      <c r="F189" s="661"/>
      <c r="G189" s="661"/>
      <c r="H189" s="661"/>
      <c r="I189" s="661"/>
      <c r="J189" s="661"/>
      <c r="K189" s="661"/>
      <c r="L189" s="661"/>
      <c r="M189" s="661"/>
      <c r="N189" s="661"/>
      <c r="O189" s="661"/>
      <c r="P189" s="661"/>
      <c r="Q189" s="661"/>
      <c r="R189" s="661"/>
      <c r="S189" s="661"/>
      <c r="T189" s="661"/>
      <c r="U189" s="661"/>
      <c r="V189" s="661"/>
      <c r="W189" s="661"/>
      <c r="X189" s="661"/>
      <c r="Y189" s="661"/>
      <c r="Z189" s="661"/>
      <c r="AA189" s="661"/>
      <c r="AB189" s="661"/>
    </row>
    <row r="190">
      <c r="A190" s="661"/>
      <c r="B190" s="661"/>
      <c r="C190" s="661"/>
      <c r="D190" s="662"/>
      <c r="E190" s="661"/>
      <c r="F190" s="661"/>
      <c r="G190" s="661"/>
      <c r="H190" s="661"/>
      <c r="I190" s="661"/>
      <c r="J190" s="661"/>
      <c r="K190" s="661"/>
      <c r="L190" s="661"/>
      <c r="M190" s="661"/>
      <c r="N190" s="661"/>
      <c r="O190" s="661"/>
      <c r="P190" s="661"/>
      <c r="Q190" s="661"/>
      <c r="R190" s="661"/>
      <c r="S190" s="661"/>
      <c r="T190" s="661"/>
      <c r="U190" s="661"/>
      <c r="V190" s="661"/>
      <c r="W190" s="661"/>
      <c r="X190" s="661"/>
      <c r="Y190" s="661"/>
      <c r="Z190" s="661"/>
      <c r="AA190" s="661"/>
      <c r="AB190" s="661"/>
    </row>
    <row r="191">
      <c r="A191" s="661"/>
      <c r="B191" s="661"/>
      <c r="C191" s="661"/>
      <c r="D191" s="662"/>
      <c r="E191" s="661"/>
      <c r="F191" s="661"/>
      <c r="G191" s="661"/>
      <c r="H191" s="661"/>
      <c r="I191" s="661"/>
      <c r="J191" s="661"/>
      <c r="K191" s="661"/>
      <c r="L191" s="661"/>
      <c r="M191" s="661"/>
      <c r="N191" s="661"/>
      <c r="O191" s="661"/>
      <c r="P191" s="661"/>
      <c r="Q191" s="661"/>
      <c r="R191" s="661"/>
      <c r="S191" s="661"/>
      <c r="T191" s="661"/>
      <c r="U191" s="661"/>
      <c r="V191" s="661"/>
      <c r="W191" s="661"/>
      <c r="X191" s="661"/>
      <c r="Y191" s="661"/>
      <c r="Z191" s="661"/>
      <c r="AA191" s="661"/>
      <c r="AB191" s="661"/>
    </row>
    <row r="192">
      <c r="A192" s="661"/>
      <c r="B192" s="661"/>
      <c r="C192" s="661"/>
      <c r="D192" s="662"/>
      <c r="E192" s="661"/>
      <c r="F192" s="661"/>
      <c r="G192" s="661"/>
      <c r="H192" s="661"/>
      <c r="I192" s="661"/>
      <c r="J192" s="661"/>
      <c r="K192" s="661"/>
      <c r="L192" s="661"/>
      <c r="M192" s="661"/>
      <c r="N192" s="661"/>
      <c r="O192" s="661"/>
      <c r="P192" s="661"/>
      <c r="Q192" s="661"/>
      <c r="R192" s="661"/>
      <c r="S192" s="661"/>
      <c r="T192" s="661"/>
      <c r="U192" s="661"/>
      <c r="V192" s="661"/>
      <c r="W192" s="661"/>
      <c r="X192" s="661"/>
      <c r="Y192" s="661"/>
      <c r="Z192" s="661"/>
      <c r="AA192" s="661"/>
      <c r="AB192" s="661"/>
    </row>
    <row r="193">
      <c r="A193" s="661"/>
      <c r="B193" s="661"/>
      <c r="C193" s="661"/>
      <c r="D193" s="662"/>
      <c r="E193" s="661"/>
      <c r="F193" s="661"/>
      <c r="G193" s="661"/>
      <c r="H193" s="661"/>
      <c r="I193" s="661"/>
      <c r="J193" s="661"/>
      <c r="K193" s="661"/>
      <c r="L193" s="661"/>
      <c r="M193" s="661"/>
      <c r="N193" s="661"/>
      <c r="O193" s="661"/>
      <c r="P193" s="661"/>
      <c r="Q193" s="661"/>
      <c r="R193" s="661"/>
      <c r="S193" s="661"/>
      <c r="T193" s="661"/>
      <c r="U193" s="661"/>
      <c r="V193" s="661"/>
      <c r="W193" s="661"/>
      <c r="X193" s="661"/>
      <c r="Y193" s="661"/>
      <c r="Z193" s="661"/>
      <c r="AA193" s="661"/>
      <c r="AB193" s="661"/>
    </row>
    <row r="194">
      <c r="A194" s="661"/>
      <c r="B194" s="661"/>
      <c r="C194" s="661"/>
      <c r="D194" s="662"/>
      <c r="E194" s="661"/>
      <c r="F194" s="661"/>
      <c r="G194" s="661"/>
      <c r="H194" s="661"/>
      <c r="I194" s="661"/>
      <c r="J194" s="661"/>
      <c r="K194" s="661"/>
      <c r="L194" s="661"/>
      <c r="M194" s="661"/>
      <c r="N194" s="661"/>
      <c r="O194" s="661"/>
      <c r="P194" s="661"/>
      <c r="Q194" s="661"/>
      <c r="R194" s="661"/>
      <c r="S194" s="661"/>
      <c r="T194" s="661"/>
      <c r="U194" s="661"/>
      <c r="V194" s="661"/>
      <c r="W194" s="661"/>
      <c r="X194" s="661"/>
      <c r="Y194" s="661"/>
      <c r="Z194" s="661"/>
      <c r="AA194" s="661"/>
      <c r="AB194" s="661"/>
    </row>
    <row r="195">
      <c r="A195" s="661"/>
      <c r="B195" s="661"/>
      <c r="C195" s="661"/>
      <c r="D195" s="662"/>
      <c r="E195" s="661"/>
      <c r="F195" s="661"/>
      <c r="G195" s="661"/>
      <c r="H195" s="661"/>
      <c r="I195" s="661"/>
      <c r="J195" s="661"/>
      <c r="K195" s="661"/>
      <c r="L195" s="661"/>
      <c r="M195" s="661"/>
      <c r="N195" s="661"/>
      <c r="O195" s="661"/>
      <c r="P195" s="661"/>
      <c r="Q195" s="661"/>
      <c r="R195" s="661"/>
      <c r="S195" s="661"/>
      <c r="T195" s="661"/>
      <c r="U195" s="661"/>
      <c r="V195" s="661"/>
      <c r="W195" s="661"/>
      <c r="X195" s="661"/>
      <c r="Y195" s="661"/>
      <c r="Z195" s="661"/>
      <c r="AA195" s="661"/>
      <c r="AB195" s="661"/>
    </row>
    <row r="196">
      <c r="A196" s="661"/>
      <c r="B196" s="661"/>
      <c r="C196" s="661"/>
      <c r="D196" s="662"/>
      <c r="E196" s="661"/>
      <c r="F196" s="661"/>
      <c r="G196" s="661"/>
      <c r="H196" s="661"/>
      <c r="I196" s="661"/>
      <c r="J196" s="661"/>
      <c r="K196" s="661"/>
      <c r="L196" s="661"/>
      <c r="M196" s="661"/>
      <c r="N196" s="661"/>
      <c r="O196" s="661"/>
      <c r="P196" s="661"/>
      <c r="Q196" s="661"/>
      <c r="R196" s="661"/>
      <c r="S196" s="661"/>
      <c r="T196" s="661"/>
      <c r="U196" s="661"/>
      <c r="V196" s="661"/>
      <c r="W196" s="661"/>
      <c r="X196" s="661"/>
      <c r="Y196" s="661"/>
      <c r="Z196" s="661"/>
      <c r="AA196" s="661"/>
      <c r="AB196" s="661"/>
    </row>
    <row r="197">
      <c r="A197" s="661"/>
      <c r="B197" s="661"/>
      <c r="C197" s="661"/>
      <c r="D197" s="662"/>
      <c r="E197" s="661"/>
      <c r="F197" s="661"/>
      <c r="G197" s="661"/>
      <c r="H197" s="661"/>
      <c r="I197" s="661"/>
      <c r="J197" s="661"/>
      <c r="K197" s="661"/>
      <c r="L197" s="661"/>
      <c r="M197" s="661"/>
      <c r="N197" s="661"/>
      <c r="O197" s="661"/>
      <c r="P197" s="661"/>
      <c r="Q197" s="661"/>
      <c r="R197" s="661"/>
      <c r="S197" s="661"/>
      <c r="T197" s="661"/>
      <c r="U197" s="661"/>
      <c r="V197" s="661"/>
      <c r="W197" s="661"/>
      <c r="X197" s="661"/>
      <c r="Y197" s="661"/>
      <c r="Z197" s="661"/>
      <c r="AA197" s="661"/>
      <c r="AB197" s="661"/>
    </row>
    <row r="198">
      <c r="A198" s="661"/>
      <c r="B198" s="661"/>
      <c r="C198" s="661"/>
      <c r="D198" s="662"/>
      <c r="E198" s="661"/>
      <c r="F198" s="661"/>
      <c r="G198" s="661"/>
      <c r="H198" s="661"/>
      <c r="I198" s="661"/>
      <c r="J198" s="661"/>
      <c r="K198" s="661"/>
      <c r="L198" s="661"/>
      <c r="M198" s="661"/>
      <c r="N198" s="661"/>
      <c r="O198" s="661"/>
      <c r="P198" s="661"/>
      <c r="Q198" s="661"/>
      <c r="R198" s="661"/>
      <c r="S198" s="661"/>
      <c r="T198" s="661"/>
      <c r="U198" s="661"/>
      <c r="V198" s="661"/>
      <c r="W198" s="661"/>
      <c r="X198" s="661"/>
      <c r="Y198" s="661"/>
      <c r="Z198" s="661"/>
      <c r="AA198" s="661"/>
      <c r="AB198" s="661"/>
    </row>
    <row r="199">
      <c r="A199" s="661"/>
      <c r="B199" s="661"/>
      <c r="C199" s="661"/>
      <c r="D199" s="662"/>
      <c r="E199" s="661"/>
      <c r="F199" s="661"/>
      <c r="G199" s="661"/>
      <c r="H199" s="661"/>
      <c r="I199" s="661"/>
      <c r="J199" s="661"/>
      <c r="K199" s="661"/>
      <c r="L199" s="661"/>
      <c r="M199" s="661"/>
      <c r="N199" s="661"/>
      <c r="O199" s="661"/>
      <c r="P199" s="661"/>
      <c r="Q199" s="661"/>
      <c r="R199" s="661"/>
      <c r="S199" s="661"/>
      <c r="T199" s="661"/>
      <c r="U199" s="661"/>
      <c r="V199" s="661"/>
      <c r="W199" s="661"/>
      <c r="X199" s="661"/>
      <c r="Y199" s="661"/>
      <c r="Z199" s="661"/>
      <c r="AA199" s="661"/>
      <c r="AB199" s="661"/>
    </row>
    <row r="200">
      <c r="A200" s="661"/>
      <c r="B200" s="661"/>
      <c r="C200" s="661"/>
      <c r="D200" s="662"/>
      <c r="E200" s="661"/>
      <c r="F200" s="661"/>
      <c r="G200" s="661"/>
      <c r="H200" s="661"/>
      <c r="I200" s="661"/>
      <c r="J200" s="661"/>
      <c r="K200" s="661"/>
      <c r="L200" s="661"/>
      <c r="M200" s="661"/>
      <c r="N200" s="661"/>
      <c r="O200" s="661"/>
      <c r="P200" s="661"/>
      <c r="Q200" s="661"/>
      <c r="R200" s="661"/>
      <c r="S200" s="661"/>
      <c r="T200" s="661"/>
      <c r="U200" s="661"/>
      <c r="V200" s="661"/>
      <c r="W200" s="661"/>
      <c r="X200" s="661"/>
      <c r="Y200" s="661"/>
      <c r="Z200" s="661"/>
      <c r="AA200" s="661"/>
      <c r="AB200" s="661"/>
    </row>
    <row r="201">
      <c r="A201" s="661"/>
      <c r="B201" s="661"/>
      <c r="C201" s="661"/>
      <c r="D201" s="662"/>
      <c r="E201" s="661"/>
      <c r="F201" s="661"/>
      <c r="G201" s="661"/>
      <c r="H201" s="661"/>
      <c r="I201" s="661"/>
      <c r="J201" s="661"/>
      <c r="K201" s="661"/>
      <c r="L201" s="661"/>
      <c r="M201" s="661"/>
      <c r="N201" s="661"/>
      <c r="O201" s="661"/>
      <c r="P201" s="661"/>
      <c r="Q201" s="661"/>
      <c r="R201" s="661"/>
      <c r="S201" s="661"/>
      <c r="T201" s="661"/>
      <c r="U201" s="661"/>
      <c r="V201" s="661"/>
      <c r="W201" s="661"/>
      <c r="X201" s="661"/>
      <c r="Y201" s="661"/>
      <c r="Z201" s="661"/>
      <c r="AA201" s="661"/>
      <c r="AB201" s="661"/>
    </row>
    <row r="202">
      <c r="A202" s="661"/>
      <c r="B202" s="661"/>
      <c r="C202" s="661"/>
      <c r="D202" s="662"/>
      <c r="E202" s="661"/>
      <c r="F202" s="661"/>
      <c r="G202" s="661"/>
      <c r="H202" s="661"/>
      <c r="I202" s="661"/>
      <c r="J202" s="661"/>
      <c r="K202" s="661"/>
      <c r="L202" s="661"/>
      <c r="M202" s="661"/>
      <c r="N202" s="661"/>
      <c r="O202" s="661"/>
      <c r="P202" s="661"/>
      <c r="Q202" s="661"/>
      <c r="R202" s="661"/>
      <c r="S202" s="661"/>
      <c r="T202" s="661"/>
      <c r="U202" s="661"/>
      <c r="V202" s="661"/>
      <c r="W202" s="661"/>
      <c r="X202" s="661"/>
      <c r="Y202" s="661"/>
      <c r="Z202" s="661"/>
      <c r="AA202" s="661"/>
      <c r="AB202" s="661"/>
    </row>
    <row r="203">
      <c r="A203" s="661"/>
      <c r="B203" s="661"/>
      <c r="C203" s="661"/>
      <c r="D203" s="662"/>
      <c r="E203" s="661"/>
      <c r="F203" s="661"/>
      <c r="G203" s="661"/>
      <c r="H203" s="661"/>
      <c r="I203" s="661"/>
      <c r="J203" s="661"/>
      <c r="K203" s="661"/>
      <c r="L203" s="661"/>
      <c r="M203" s="661"/>
      <c r="N203" s="661"/>
      <c r="O203" s="661"/>
      <c r="P203" s="661"/>
      <c r="Q203" s="661"/>
      <c r="R203" s="661"/>
      <c r="S203" s="661"/>
      <c r="T203" s="661"/>
      <c r="U203" s="661"/>
      <c r="V203" s="661"/>
      <c r="W203" s="661"/>
      <c r="X203" s="661"/>
      <c r="Y203" s="661"/>
      <c r="Z203" s="661"/>
      <c r="AA203" s="661"/>
      <c r="AB203" s="661"/>
    </row>
    <row r="204">
      <c r="A204" s="661"/>
      <c r="B204" s="661"/>
      <c r="C204" s="661"/>
      <c r="D204" s="662"/>
      <c r="E204" s="661"/>
      <c r="F204" s="661"/>
      <c r="G204" s="661"/>
      <c r="H204" s="661"/>
      <c r="I204" s="661"/>
      <c r="J204" s="661"/>
      <c r="K204" s="661"/>
      <c r="L204" s="661"/>
      <c r="M204" s="661"/>
      <c r="N204" s="661"/>
      <c r="O204" s="661"/>
      <c r="P204" s="661"/>
      <c r="Q204" s="661"/>
      <c r="R204" s="661"/>
      <c r="S204" s="661"/>
      <c r="T204" s="661"/>
      <c r="U204" s="661"/>
      <c r="V204" s="661"/>
      <c r="W204" s="661"/>
      <c r="X204" s="661"/>
      <c r="Y204" s="661"/>
      <c r="Z204" s="661"/>
      <c r="AA204" s="661"/>
      <c r="AB204" s="661"/>
    </row>
    <row r="205">
      <c r="A205" s="661"/>
      <c r="B205" s="661"/>
      <c r="C205" s="661"/>
      <c r="D205" s="662"/>
      <c r="E205" s="661"/>
      <c r="F205" s="661"/>
      <c r="G205" s="661"/>
      <c r="H205" s="661"/>
      <c r="I205" s="661"/>
      <c r="J205" s="661"/>
      <c r="K205" s="661"/>
      <c r="L205" s="661"/>
      <c r="M205" s="661"/>
      <c r="N205" s="661"/>
      <c r="O205" s="661"/>
      <c r="P205" s="661"/>
      <c r="Q205" s="661"/>
      <c r="R205" s="661"/>
      <c r="S205" s="661"/>
      <c r="T205" s="661"/>
      <c r="U205" s="661"/>
      <c r="V205" s="661"/>
      <c r="W205" s="661"/>
      <c r="X205" s="661"/>
      <c r="Y205" s="661"/>
      <c r="Z205" s="661"/>
      <c r="AA205" s="661"/>
      <c r="AB205" s="661"/>
    </row>
    <row r="206">
      <c r="A206" s="661"/>
      <c r="B206" s="661"/>
      <c r="C206" s="661"/>
      <c r="D206" s="662"/>
      <c r="E206" s="661"/>
      <c r="F206" s="661"/>
      <c r="G206" s="661"/>
      <c r="H206" s="661"/>
      <c r="I206" s="661"/>
      <c r="J206" s="661"/>
      <c r="K206" s="661"/>
      <c r="L206" s="661"/>
      <c r="M206" s="661"/>
      <c r="N206" s="661"/>
      <c r="O206" s="661"/>
      <c r="P206" s="661"/>
      <c r="Q206" s="661"/>
      <c r="R206" s="661"/>
      <c r="S206" s="661"/>
      <c r="T206" s="661"/>
      <c r="U206" s="661"/>
      <c r="V206" s="661"/>
      <c r="W206" s="661"/>
      <c r="X206" s="661"/>
      <c r="Y206" s="661"/>
      <c r="Z206" s="661"/>
      <c r="AA206" s="661"/>
      <c r="AB206" s="661"/>
    </row>
    <row r="207">
      <c r="A207" s="661"/>
      <c r="B207" s="661"/>
      <c r="C207" s="661"/>
      <c r="D207" s="662"/>
      <c r="E207" s="661"/>
      <c r="F207" s="661"/>
      <c r="G207" s="661"/>
      <c r="H207" s="661"/>
      <c r="I207" s="661"/>
      <c r="J207" s="661"/>
      <c r="K207" s="661"/>
      <c r="L207" s="661"/>
      <c r="M207" s="661"/>
      <c r="N207" s="661"/>
      <c r="O207" s="661"/>
      <c r="P207" s="661"/>
      <c r="Q207" s="661"/>
      <c r="R207" s="661"/>
      <c r="S207" s="661"/>
      <c r="T207" s="661"/>
      <c r="U207" s="661"/>
      <c r="V207" s="661"/>
      <c r="W207" s="661"/>
      <c r="X207" s="661"/>
      <c r="Y207" s="661"/>
      <c r="Z207" s="661"/>
      <c r="AA207" s="661"/>
      <c r="AB207" s="661"/>
    </row>
    <row r="208">
      <c r="A208" s="661"/>
      <c r="B208" s="661"/>
      <c r="C208" s="661"/>
      <c r="D208" s="662"/>
      <c r="E208" s="661"/>
      <c r="F208" s="661"/>
      <c r="G208" s="661"/>
      <c r="H208" s="661"/>
      <c r="I208" s="661"/>
      <c r="J208" s="661"/>
      <c r="K208" s="661"/>
      <c r="L208" s="661"/>
      <c r="M208" s="661"/>
      <c r="N208" s="661"/>
      <c r="O208" s="661"/>
      <c r="P208" s="661"/>
      <c r="Q208" s="661"/>
      <c r="R208" s="661"/>
      <c r="S208" s="661"/>
      <c r="T208" s="661"/>
      <c r="U208" s="661"/>
      <c r="V208" s="661"/>
      <c r="W208" s="661"/>
      <c r="X208" s="661"/>
      <c r="Y208" s="661"/>
      <c r="Z208" s="661"/>
      <c r="AA208" s="661"/>
      <c r="AB208" s="661"/>
    </row>
    <row r="209">
      <c r="A209" s="661"/>
      <c r="B209" s="661"/>
      <c r="C209" s="661"/>
      <c r="D209" s="662"/>
      <c r="E209" s="661"/>
      <c r="F209" s="661"/>
      <c r="G209" s="661"/>
      <c r="H209" s="661"/>
      <c r="I209" s="661"/>
      <c r="J209" s="661"/>
      <c r="K209" s="661"/>
      <c r="L209" s="661"/>
      <c r="M209" s="661"/>
      <c r="N209" s="661"/>
      <c r="O209" s="661"/>
      <c r="P209" s="661"/>
      <c r="Q209" s="661"/>
      <c r="R209" s="661"/>
      <c r="S209" s="661"/>
      <c r="T209" s="661"/>
      <c r="U209" s="661"/>
      <c r="V209" s="661"/>
      <c r="W209" s="661"/>
      <c r="X209" s="661"/>
      <c r="Y209" s="661"/>
      <c r="Z209" s="661"/>
      <c r="AA209" s="661"/>
      <c r="AB209" s="661"/>
    </row>
    <row r="210">
      <c r="A210" s="661"/>
      <c r="B210" s="661"/>
      <c r="C210" s="661"/>
      <c r="D210" s="662"/>
      <c r="E210" s="661"/>
      <c r="F210" s="661"/>
      <c r="G210" s="661"/>
      <c r="H210" s="661"/>
      <c r="I210" s="661"/>
      <c r="J210" s="661"/>
      <c r="K210" s="661"/>
      <c r="L210" s="661"/>
      <c r="M210" s="661"/>
      <c r="N210" s="661"/>
      <c r="O210" s="661"/>
      <c r="P210" s="661"/>
      <c r="Q210" s="661"/>
      <c r="R210" s="661"/>
      <c r="S210" s="661"/>
      <c r="T210" s="661"/>
      <c r="U210" s="661"/>
      <c r="V210" s="661"/>
      <c r="W210" s="661"/>
      <c r="X210" s="661"/>
      <c r="Y210" s="661"/>
      <c r="Z210" s="661"/>
      <c r="AA210" s="661"/>
      <c r="AB210" s="661"/>
    </row>
    <row r="211">
      <c r="A211" s="661"/>
      <c r="B211" s="661"/>
      <c r="C211" s="661"/>
      <c r="D211" s="662"/>
      <c r="E211" s="661"/>
      <c r="F211" s="661"/>
      <c r="G211" s="661"/>
      <c r="H211" s="661"/>
      <c r="I211" s="661"/>
      <c r="J211" s="661"/>
      <c r="K211" s="661"/>
      <c r="L211" s="661"/>
      <c r="M211" s="661"/>
      <c r="N211" s="661"/>
      <c r="O211" s="661"/>
      <c r="P211" s="661"/>
      <c r="Q211" s="661"/>
      <c r="R211" s="661"/>
      <c r="S211" s="661"/>
      <c r="T211" s="661"/>
      <c r="U211" s="661"/>
      <c r="V211" s="661"/>
      <c r="W211" s="661"/>
      <c r="X211" s="661"/>
      <c r="Y211" s="661"/>
      <c r="Z211" s="661"/>
      <c r="AA211" s="661"/>
      <c r="AB211" s="661"/>
    </row>
    <row r="212">
      <c r="A212" s="661"/>
      <c r="B212" s="661"/>
      <c r="C212" s="661"/>
      <c r="D212" s="662"/>
      <c r="E212" s="661"/>
      <c r="F212" s="661"/>
      <c r="G212" s="661"/>
      <c r="H212" s="661"/>
      <c r="I212" s="661"/>
      <c r="J212" s="661"/>
      <c r="K212" s="661"/>
      <c r="L212" s="661"/>
      <c r="M212" s="661"/>
      <c r="N212" s="661"/>
      <c r="O212" s="661"/>
      <c r="P212" s="661"/>
      <c r="Q212" s="661"/>
      <c r="R212" s="661"/>
      <c r="S212" s="661"/>
      <c r="T212" s="661"/>
      <c r="U212" s="661"/>
      <c r="V212" s="661"/>
      <c r="W212" s="661"/>
      <c r="X212" s="661"/>
      <c r="Y212" s="661"/>
      <c r="Z212" s="661"/>
      <c r="AA212" s="661"/>
      <c r="AB212" s="661"/>
    </row>
    <row r="213">
      <c r="A213" s="661"/>
      <c r="B213" s="661"/>
      <c r="C213" s="661"/>
      <c r="D213" s="662"/>
      <c r="E213" s="661"/>
      <c r="F213" s="661"/>
      <c r="G213" s="661"/>
      <c r="H213" s="661"/>
      <c r="I213" s="661"/>
      <c r="J213" s="661"/>
      <c r="K213" s="661"/>
      <c r="L213" s="661"/>
      <c r="M213" s="661"/>
      <c r="N213" s="661"/>
      <c r="O213" s="661"/>
      <c r="P213" s="661"/>
      <c r="Q213" s="661"/>
      <c r="R213" s="661"/>
      <c r="S213" s="661"/>
      <c r="T213" s="661"/>
      <c r="U213" s="661"/>
      <c r="V213" s="661"/>
      <c r="W213" s="661"/>
      <c r="X213" s="661"/>
      <c r="Y213" s="661"/>
      <c r="Z213" s="661"/>
      <c r="AA213" s="661"/>
      <c r="AB213" s="661"/>
    </row>
    <row r="214">
      <c r="A214" s="661"/>
      <c r="B214" s="661"/>
      <c r="C214" s="661"/>
      <c r="D214" s="662"/>
      <c r="E214" s="661"/>
      <c r="F214" s="661"/>
      <c r="G214" s="661"/>
      <c r="H214" s="661"/>
      <c r="I214" s="661"/>
      <c r="J214" s="661"/>
      <c r="K214" s="661"/>
      <c r="L214" s="661"/>
      <c r="M214" s="661"/>
      <c r="N214" s="661"/>
      <c r="O214" s="661"/>
      <c r="P214" s="661"/>
      <c r="Q214" s="661"/>
      <c r="R214" s="661"/>
      <c r="S214" s="661"/>
      <c r="T214" s="661"/>
      <c r="U214" s="661"/>
      <c r="V214" s="661"/>
      <c r="W214" s="661"/>
      <c r="X214" s="661"/>
      <c r="Y214" s="661"/>
      <c r="Z214" s="661"/>
      <c r="AA214" s="661"/>
      <c r="AB214" s="661"/>
    </row>
    <row r="215">
      <c r="A215" s="661"/>
      <c r="B215" s="661"/>
      <c r="C215" s="661"/>
      <c r="D215" s="662"/>
      <c r="E215" s="661"/>
      <c r="F215" s="661"/>
      <c r="G215" s="661"/>
      <c r="H215" s="661"/>
      <c r="I215" s="661"/>
      <c r="J215" s="661"/>
      <c r="K215" s="661"/>
      <c r="L215" s="661"/>
      <c r="M215" s="661"/>
      <c r="N215" s="661"/>
      <c r="O215" s="661"/>
      <c r="P215" s="661"/>
      <c r="Q215" s="661"/>
      <c r="R215" s="661"/>
      <c r="S215" s="661"/>
      <c r="T215" s="661"/>
      <c r="U215" s="661"/>
      <c r="V215" s="661"/>
      <c r="W215" s="661"/>
      <c r="X215" s="661"/>
      <c r="Y215" s="661"/>
      <c r="Z215" s="661"/>
      <c r="AA215" s="661"/>
      <c r="AB215" s="661"/>
    </row>
    <row r="216">
      <c r="A216" s="661"/>
      <c r="B216" s="661"/>
      <c r="C216" s="661"/>
      <c r="D216" s="662"/>
      <c r="E216" s="661"/>
      <c r="F216" s="661"/>
      <c r="G216" s="661"/>
      <c r="H216" s="661"/>
      <c r="I216" s="661"/>
      <c r="J216" s="661"/>
      <c r="K216" s="661"/>
      <c r="L216" s="661"/>
      <c r="M216" s="661"/>
      <c r="N216" s="661"/>
      <c r="O216" s="661"/>
      <c r="P216" s="661"/>
      <c r="Q216" s="661"/>
      <c r="R216" s="661"/>
      <c r="S216" s="661"/>
      <c r="T216" s="661"/>
      <c r="U216" s="661"/>
      <c r="V216" s="661"/>
      <c r="W216" s="661"/>
      <c r="X216" s="661"/>
      <c r="Y216" s="661"/>
      <c r="Z216" s="661"/>
      <c r="AA216" s="661"/>
      <c r="AB216" s="661"/>
    </row>
    <row r="217">
      <c r="A217" s="661"/>
      <c r="B217" s="661"/>
      <c r="C217" s="661"/>
      <c r="D217" s="662"/>
      <c r="E217" s="661"/>
      <c r="F217" s="661"/>
      <c r="G217" s="661"/>
      <c r="H217" s="661"/>
      <c r="I217" s="661"/>
      <c r="J217" s="661"/>
      <c r="K217" s="661"/>
      <c r="L217" s="661"/>
      <c r="M217" s="661"/>
      <c r="N217" s="661"/>
      <c r="O217" s="661"/>
      <c r="P217" s="661"/>
      <c r="Q217" s="661"/>
      <c r="R217" s="661"/>
      <c r="S217" s="661"/>
      <c r="T217" s="661"/>
      <c r="U217" s="661"/>
      <c r="V217" s="661"/>
      <c r="W217" s="661"/>
      <c r="X217" s="661"/>
      <c r="Y217" s="661"/>
      <c r="Z217" s="661"/>
      <c r="AA217" s="661"/>
      <c r="AB217" s="661"/>
    </row>
    <row r="218">
      <c r="A218" s="661"/>
      <c r="B218" s="661"/>
      <c r="C218" s="661"/>
      <c r="D218" s="662"/>
      <c r="E218" s="661"/>
      <c r="F218" s="661"/>
      <c r="G218" s="661"/>
      <c r="H218" s="661"/>
      <c r="I218" s="661"/>
      <c r="J218" s="661"/>
      <c r="K218" s="661"/>
      <c r="L218" s="661"/>
      <c r="M218" s="661"/>
      <c r="N218" s="661"/>
      <c r="O218" s="661"/>
      <c r="P218" s="661"/>
      <c r="Q218" s="661"/>
      <c r="R218" s="661"/>
      <c r="S218" s="661"/>
      <c r="T218" s="661"/>
      <c r="U218" s="661"/>
      <c r="V218" s="661"/>
      <c r="W218" s="661"/>
      <c r="X218" s="661"/>
      <c r="Y218" s="661"/>
      <c r="Z218" s="661"/>
      <c r="AA218" s="661"/>
      <c r="AB218" s="661"/>
    </row>
    <row r="219">
      <c r="A219" s="661"/>
      <c r="B219" s="661"/>
      <c r="C219" s="661"/>
      <c r="D219" s="662"/>
      <c r="E219" s="661"/>
      <c r="F219" s="661"/>
      <c r="G219" s="661"/>
      <c r="H219" s="661"/>
      <c r="I219" s="661"/>
      <c r="J219" s="661"/>
      <c r="K219" s="661"/>
      <c r="L219" s="661"/>
      <c r="M219" s="661"/>
      <c r="N219" s="661"/>
      <c r="O219" s="661"/>
      <c r="P219" s="661"/>
      <c r="Q219" s="661"/>
      <c r="R219" s="661"/>
      <c r="S219" s="661"/>
      <c r="T219" s="661"/>
      <c r="U219" s="661"/>
      <c r="V219" s="661"/>
      <c r="W219" s="661"/>
      <c r="X219" s="661"/>
      <c r="Y219" s="661"/>
      <c r="Z219" s="661"/>
      <c r="AA219" s="661"/>
      <c r="AB219" s="661"/>
    </row>
    <row r="220">
      <c r="A220" s="661"/>
      <c r="B220" s="661"/>
      <c r="C220" s="661"/>
      <c r="D220" s="662"/>
      <c r="E220" s="661"/>
      <c r="F220" s="661"/>
      <c r="G220" s="661"/>
      <c r="H220" s="661"/>
      <c r="I220" s="661"/>
      <c r="J220" s="661"/>
      <c r="K220" s="661"/>
      <c r="L220" s="661"/>
      <c r="M220" s="661"/>
      <c r="N220" s="661"/>
      <c r="O220" s="661"/>
      <c r="P220" s="661"/>
      <c r="Q220" s="661"/>
      <c r="R220" s="661"/>
      <c r="S220" s="661"/>
      <c r="T220" s="661"/>
      <c r="U220" s="661"/>
      <c r="V220" s="661"/>
      <c r="W220" s="661"/>
      <c r="X220" s="661"/>
      <c r="Y220" s="661"/>
      <c r="Z220" s="661"/>
      <c r="AA220" s="661"/>
      <c r="AB220" s="661"/>
    </row>
    <row r="221">
      <c r="A221" s="661"/>
      <c r="B221" s="661"/>
      <c r="C221" s="661"/>
      <c r="D221" s="662"/>
      <c r="E221" s="661"/>
      <c r="F221" s="661"/>
      <c r="G221" s="661"/>
      <c r="H221" s="661"/>
      <c r="I221" s="661"/>
      <c r="J221" s="661"/>
      <c r="K221" s="661"/>
      <c r="L221" s="661"/>
      <c r="M221" s="661"/>
      <c r="N221" s="661"/>
      <c r="O221" s="661"/>
      <c r="P221" s="661"/>
      <c r="Q221" s="661"/>
      <c r="R221" s="661"/>
      <c r="S221" s="661"/>
      <c r="T221" s="661"/>
      <c r="U221" s="661"/>
      <c r="V221" s="661"/>
      <c r="W221" s="661"/>
      <c r="X221" s="661"/>
      <c r="Y221" s="661"/>
      <c r="Z221" s="661"/>
      <c r="AA221" s="661"/>
      <c r="AB221" s="661"/>
    </row>
    <row r="222">
      <c r="A222" s="661"/>
      <c r="B222" s="661"/>
      <c r="C222" s="661"/>
      <c r="D222" s="662"/>
      <c r="E222" s="661"/>
      <c r="F222" s="661"/>
      <c r="G222" s="661"/>
      <c r="H222" s="661"/>
      <c r="I222" s="661"/>
      <c r="J222" s="661"/>
      <c r="K222" s="661"/>
      <c r="L222" s="661"/>
      <c r="M222" s="661"/>
      <c r="N222" s="661"/>
      <c r="O222" s="661"/>
      <c r="P222" s="661"/>
      <c r="Q222" s="661"/>
      <c r="R222" s="661"/>
      <c r="S222" s="661"/>
      <c r="T222" s="661"/>
      <c r="U222" s="661"/>
      <c r="V222" s="661"/>
      <c r="W222" s="661"/>
      <c r="X222" s="661"/>
      <c r="Y222" s="661"/>
      <c r="Z222" s="661"/>
      <c r="AA222" s="661"/>
      <c r="AB222" s="661"/>
    </row>
    <row r="223">
      <c r="A223" s="661"/>
      <c r="B223" s="661"/>
      <c r="C223" s="661"/>
      <c r="D223" s="662"/>
      <c r="E223" s="661"/>
      <c r="F223" s="661"/>
      <c r="G223" s="661"/>
      <c r="H223" s="661"/>
      <c r="I223" s="661"/>
      <c r="J223" s="661"/>
      <c r="K223" s="661"/>
      <c r="L223" s="661"/>
      <c r="M223" s="661"/>
      <c r="N223" s="661"/>
      <c r="O223" s="661"/>
      <c r="P223" s="661"/>
      <c r="Q223" s="661"/>
      <c r="R223" s="661"/>
      <c r="S223" s="661"/>
      <c r="T223" s="661"/>
      <c r="U223" s="661"/>
      <c r="V223" s="661"/>
      <c r="W223" s="661"/>
      <c r="X223" s="661"/>
      <c r="Y223" s="661"/>
      <c r="Z223" s="661"/>
      <c r="AA223" s="661"/>
      <c r="AB223" s="661"/>
    </row>
    <row r="224">
      <c r="A224" s="661"/>
      <c r="B224" s="661"/>
      <c r="C224" s="661"/>
      <c r="D224" s="662"/>
      <c r="E224" s="661"/>
      <c r="F224" s="661"/>
      <c r="G224" s="661"/>
      <c r="H224" s="661"/>
      <c r="I224" s="661"/>
      <c r="J224" s="661"/>
      <c r="K224" s="661"/>
      <c r="L224" s="661"/>
      <c r="M224" s="661"/>
      <c r="N224" s="661"/>
      <c r="O224" s="661"/>
      <c r="P224" s="661"/>
      <c r="Q224" s="661"/>
      <c r="R224" s="661"/>
      <c r="S224" s="661"/>
      <c r="T224" s="661"/>
      <c r="U224" s="661"/>
      <c r="V224" s="661"/>
      <c r="W224" s="661"/>
      <c r="X224" s="661"/>
      <c r="Y224" s="661"/>
      <c r="Z224" s="661"/>
      <c r="AA224" s="661"/>
      <c r="AB224" s="661"/>
    </row>
    <row r="225">
      <c r="A225" s="661"/>
      <c r="B225" s="661"/>
      <c r="C225" s="661"/>
      <c r="D225" s="662"/>
      <c r="E225" s="661"/>
      <c r="F225" s="661"/>
      <c r="G225" s="661"/>
      <c r="H225" s="661"/>
      <c r="I225" s="661"/>
      <c r="J225" s="661"/>
      <c r="K225" s="661"/>
      <c r="L225" s="661"/>
      <c r="M225" s="661"/>
      <c r="N225" s="661"/>
      <c r="O225" s="661"/>
      <c r="P225" s="661"/>
      <c r="Q225" s="661"/>
      <c r="R225" s="661"/>
      <c r="S225" s="661"/>
      <c r="T225" s="661"/>
      <c r="U225" s="661"/>
      <c r="V225" s="661"/>
      <c r="W225" s="661"/>
      <c r="X225" s="661"/>
      <c r="Y225" s="661"/>
      <c r="Z225" s="661"/>
      <c r="AA225" s="661"/>
      <c r="AB225" s="661"/>
    </row>
    <row r="226">
      <c r="A226" s="661"/>
      <c r="B226" s="661"/>
      <c r="C226" s="661"/>
      <c r="D226" s="662"/>
      <c r="E226" s="661"/>
      <c r="F226" s="661"/>
      <c r="G226" s="661"/>
      <c r="H226" s="661"/>
      <c r="I226" s="661"/>
      <c r="J226" s="661"/>
      <c r="K226" s="661"/>
      <c r="L226" s="661"/>
      <c r="M226" s="661"/>
      <c r="N226" s="661"/>
      <c r="O226" s="661"/>
      <c r="P226" s="661"/>
      <c r="Q226" s="661"/>
      <c r="R226" s="661"/>
      <c r="S226" s="661"/>
      <c r="T226" s="661"/>
      <c r="U226" s="661"/>
      <c r="V226" s="661"/>
      <c r="W226" s="661"/>
      <c r="X226" s="661"/>
      <c r="Y226" s="661"/>
      <c r="Z226" s="661"/>
      <c r="AA226" s="661"/>
      <c r="AB226" s="661"/>
    </row>
    <row r="227">
      <c r="A227" s="661"/>
      <c r="B227" s="661"/>
      <c r="C227" s="661"/>
      <c r="D227" s="662"/>
      <c r="E227" s="661"/>
      <c r="F227" s="661"/>
      <c r="G227" s="661"/>
      <c r="H227" s="661"/>
      <c r="I227" s="661"/>
      <c r="J227" s="661"/>
      <c r="K227" s="661"/>
      <c r="L227" s="661"/>
      <c r="M227" s="661"/>
      <c r="N227" s="661"/>
      <c r="O227" s="661"/>
      <c r="P227" s="661"/>
      <c r="Q227" s="661"/>
      <c r="R227" s="661"/>
      <c r="S227" s="661"/>
      <c r="T227" s="661"/>
      <c r="U227" s="661"/>
      <c r="V227" s="661"/>
      <c r="W227" s="661"/>
      <c r="X227" s="661"/>
      <c r="Y227" s="661"/>
      <c r="Z227" s="661"/>
      <c r="AA227" s="661"/>
      <c r="AB227" s="661"/>
    </row>
    <row r="228">
      <c r="A228" s="661"/>
      <c r="B228" s="661"/>
      <c r="C228" s="661"/>
      <c r="D228" s="662"/>
      <c r="E228" s="661"/>
      <c r="F228" s="661"/>
      <c r="G228" s="661"/>
      <c r="H228" s="661"/>
      <c r="I228" s="661"/>
      <c r="J228" s="661"/>
      <c r="K228" s="661"/>
      <c r="L228" s="661"/>
      <c r="M228" s="661"/>
      <c r="N228" s="661"/>
      <c r="O228" s="661"/>
      <c r="P228" s="661"/>
      <c r="Q228" s="661"/>
      <c r="R228" s="661"/>
      <c r="S228" s="661"/>
      <c r="T228" s="661"/>
      <c r="U228" s="661"/>
      <c r="V228" s="661"/>
      <c r="W228" s="661"/>
      <c r="X228" s="661"/>
      <c r="Y228" s="661"/>
      <c r="Z228" s="661"/>
      <c r="AA228" s="661"/>
      <c r="AB228" s="661"/>
    </row>
    <row r="229">
      <c r="A229" s="661"/>
      <c r="B229" s="661"/>
      <c r="C229" s="661"/>
      <c r="D229" s="662"/>
      <c r="E229" s="661"/>
      <c r="F229" s="661"/>
      <c r="G229" s="661"/>
      <c r="H229" s="661"/>
      <c r="I229" s="661"/>
      <c r="J229" s="661"/>
      <c r="K229" s="661"/>
      <c r="L229" s="661"/>
      <c r="M229" s="661"/>
      <c r="N229" s="661"/>
      <c r="O229" s="661"/>
      <c r="P229" s="661"/>
      <c r="Q229" s="661"/>
      <c r="R229" s="661"/>
      <c r="S229" s="661"/>
      <c r="T229" s="661"/>
      <c r="U229" s="661"/>
      <c r="V229" s="661"/>
      <c r="W229" s="661"/>
      <c r="X229" s="661"/>
      <c r="Y229" s="661"/>
      <c r="Z229" s="661"/>
      <c r="AA229" s="661"/>
      <c r="AB229" s="661"/>
    </row>
    <row r="230">
      <c r="A230" s="661"/>
      <c r="B230" s="661"/>
      <c r="C230" s="661"/>
      <c r="D230" s="662"/>
      <c r="E230" s="661"/>
      <c r="F230" s="661"/>
      <c r="G230" s="661"/>
      <c r="H230" s="661"/>
      <c r="I230" s="661"/>
      <c r="J230" s="661"/>
      <c r="K230" s="661"/>
      <c r="L230" s="661"/>
      <c r="M230" s="661"/>
      <c r="N230" s="661"/>
      <c r="O230" s="661"/>
      <c r="P230" s="661"/>
      <c r="Q230" s="661"/>
      <c r="R230" s="661"/>
      <c r="S230" s="661"/>
      <c r="T230" s="661"/>
      <c r="U230" s="661"/>
      <c r="V230" s="661"/>
      <c r="W230" s="661"/>
      <c r="X230" s="661"/>
      <c r="Y230" s="661"/>
      <c r="Z230" s="661"/>
      <c r="AA230" s="661"/>
      <c r="AB230" s="661"/>
    </row>
    <row r="231">
      <c r="A231" s="661"/>
      <c r="B231" s="661"/>
      <c r="C231" s="661"/>
      <c r="D231" s="662"/>
      <c r="E231" s="661"/>
      <c r="F231" s="661"/>
      <c r="G231" s="661"/>
      <c r="H231" s="661"/>
      <c r="I231" s="661"/>
      <c r="J231" s="661"/>
      <c r="K231" s="661"/>
      <c r="L231" s="661"/>
      <c r="M231" s="661"/>
      <c r="N231" s="661"/>
      <c r="O231" s="661"/>
      <c r="P231" s="661"/>
      <c r="Q231" s="661"/>
      <c r="R231" s="661"/>
      <c r="S231" s="661"/>
      <c r="T231" s="661"/>
      <c r="U231" s="661"/>
      <c r="V231" s="661"/>
      <c r="W231" s="661"/>
      <c r="X231" s="661"/>
      <c r="Y231" s="661"/>
      <c r="Z231" s="661"/>
      <c r="AA231" s="661"/>
      <c r="AB231" s="661"/>
    </row>
    <row r="232">
      <c r="A232" s="661"/>
      <c r="B232" s="661"/>
      <c r="C232" s="661"/>
      <c r="D232" s="662"/>
      <c r="E232" s="661"/>
      <c r="F232" s="661"/>
      <c r="G232" s="661"/>
      <c r="H232" s="661"/>
      <c r="I232" s="661"/>
      <c r="J232" s="661"/>
      <c r="K232" s="661"/>
      <c r="L232" s="661"/>
      <c r="M232" s="661"/>
      <c r="N232" s="661"/>
      <c r="O232" s="661"/>
      <c r="P232" s="661"/>
      <c r="Q232" s="661"/>
      <c r="R232" s="661"/>
      <c r="S232" s="661"/>
      <c r="T232" s="661"/>
      <c r="U232" s="661"/>
      <c r="V232" s="661"/>
      <c r="W232" s="661"/>
      <c r="X232" s="661"/>
      <c r="Y232" s="661"/>
      <c r="Z232" s="661"/>
      <c r="AA232" s="661"/>
      <c r="AB232" s="661"/>
    </row>
    <row r="233">
      <c r="A233" s="661"/>
      <c r="B233" s="661"/>
      <c r="C233" s="661"/>
      <c r="D233" s="662"/>
      <c r="E233" s="661"/>
      <c r="F233" s="661"/>
      <c r="G233" s="661"/>
      <c r="H233" s="661"/>
      <c r="I233" s="661"/>
      <c r="J233" s="661"/>
      <c r="K233" s="661"/>
      <c r="L233" s="661"/>
      <c r="M233" s="661"/>
      <c r="N233" s="661"/>
      <c r="O233" s="661"/>
      <c r="P233" s="661"/>
      <c r="Q233" s="661"/>
      <c r="R233" s="661"/>
      <c r="S233" s="661"/>
      <c r="T233" s="661"/>
      <c r="U233" s="661"/>
      <c r="V233" s="661"/>
      <c r="W233" s="661"/>
      <c r="X233" s="661"/>
      <c r="Y233" s="661"/>
      <c r="Z233" s="661"/>
      <c r="AA233" s="661"/>
      <c r="AB233" s="661"/>
    </row>
    <row r="234">
      <c r="A234" s="661"/>
      <c r="B234" s="661"/>
      <c r="C234" s="661"/>
      <c r="D234" s="662"/>
      <c r="E234" s="661"/>
      <c r="F234" s="661"/>
      <c r="G234" s="661"/>
      <c r="H234" s="661"/>
      <c r="I234" s="661"/>
      <c r="J234" s="661"/>
      <c r="K234" s="661"/>
      <c r="L234" s="661"/>
      <c r="M234" s="661"/>
      <c r="N234" s="661"/>
      <c r="O234" s="661"/>
      <c r="P234" s="661"/>
      <c r="Q234" s="661"/>
      <c r="R234" s="661"/>
      <c r="S234" s="661"/>
      <c r="T234" s="661"/>
      <c r="U234" s="661"/>
      <c r="V234" s="661"/>
      <c r="W234" s="661"/>
      <c r="X234" s="661"/>
      <c r="Y234" s="661"/>
      <c r="Z234" s="661"/>
      <c r="AA234" s="661"/>
      <c r="AB234" s="661"/>
    </row>
    <row r="235">
      <c r="A235" s="661"/>
      <c r="B235" s="661"/>
      <c r="C235" s="661"/>
      <c r="D235" s="662"/>
      <c r="E235" s="661"/>
      <c r="F235" s="661"/>
      <c r="G235" s="661"/>
      <c r="H235" s="661"/>
      <c r="I235" s="661"/>
      <c r="J235" s="661"/>
      <c r="K235" s="661"/>
      <c r="L235" s="661"/>
      <c r="M235" s="661"/>
      <c r="N235" s="661"/>
      <c r="O235" s="661"/>
      <c r="P235" s="661"/>
      <c r="Q235" s="661"/>
      <c r="R235" s="661"/>
      <c r="S235" s="661"/>
      <c r="T235" s="661"/>
      <c r="U235" s="661"/>
      <c r="V235" s="661"/>
      <c r="W235" s="661"/>
      <c r="X235" s="661"/>
      <c r="Y235" s="661"/>
      <c r="Z235" s="661"/>
      <c r="AA235" s="661"/>
      <c r="AB235" s="661"/>
    </row>
    <row r="236">
      <c r="A236" s="661"/>
      <c r="B236" s="661"/>
      <c r="C236" s="661"/>
      <c r="D236" s="662"/>
      <c r="E236" s="661"/>
      <c r="F236" s="661"/>
      <c r="G236" s="661"/>
      <c r="H236" s="661"/>
      <c r="I236" s="661"/>
      <c r="J236" s="661"/>
      <c r="K236" s="661"/>
      <c r="L236" s="661"/>
      <c r="M236" s="661"/>
      <c r="N236" s="661"/>
      <c r="O236" s="661"/>
      <c r="P236" s="661"/>
      <c r="Q236" s="661"/>
      <c r="R236" s="661"/>
      <c r="S236" s="661"/>
      <c r="T236" s="661"/>
      <c r="U236" s="661"/>
      <c r="V236" s="661"/>
      <c r="W236" s="661"/>
      <c r="X236" s="661"/>
      <c r="Y236" s="661"/>
      <c r="Z236" s="661"/>
      <c r="AA236" s="661"/>
      <c r="AB236" s="661"/>
    </row>
    <row r="237">
      <c r="A237" s="661"/>
      <c r="B237" s="661"/>
      <c r="C237" s="661"/>
      <c r="D237" s="662"/>
      <c r="E237" s="661"/>
      <c r="F237" s="661"/>
      <c r="G237" s="661"/>
      <c r="H237" s="661"/>
      <c r="I237" s="661"/>
      <c r="J237" s="661"/>
      <c r="K237" s="661"/>
      <c r="L237" s="661"/>
      <c r="M237" s="661"/>
      <c r="N237" s="661"/>
      <c r="O237" s="661"/>
      <c r="P237" s="661"/>
      <c r="Q237" s="661"/>
      <c r="R237" s="661"/>
      <c r="S237" s="661"/>
      <c r="T237" s="661"/>
      <c r="U237" s="661"/>
      <c r="V237" s="661"/>
      <c r="W237" s="661"/>
      <c r="X237" s="661"/>
      <c r="Y237" s="661"/>
      <c r="Z237" s="661"/>
      <c r="AA237" s="661"/>
      <c r="AB237" s="661"/>
    </row>
    <row r="238">
      <c r="A238" s="661"/>
      <c r="B238" s="661"/>
      <c r="C238" s="661"/>
      <c r="D238" s="662"/>
      <c r="E238" s="661"/>
      <c r="F238" s="661"/>
      <c r="G238" s="661"/>
      <c r="H238" s="661"/>
      <c r="I238" s="661"/>
      <c r="J238" s="661"/>
      <c r="K238" s="661"/>
      <c r="L238" s="661"/>
      <c r="M238" s="661"/>
      <c r="N238" s="661"/>
      <c r="O238" s="661"/>
      <c r="P238" s="661"/>
      <c r="Q238" s="661"/>
      <c r="R238" s="661"/>
      <c r="S238" s="661"/>
      <c r="T238" s="661"/>
      <c r="U238" s="661"/>
      <c r="V238" s="661"/>
      <c r="W238" s="661"/>
      <c r="X238" s="661"/>
      <c r="Y238" s="661"/>
      <c r="Z238" s="661"/>
      <c r="AA238" s="661"/>
      <c r="AB238" s="661"/>
    </row>
    <row r="239">
      <c r="A239" s="661"/>
      <c r="B239" s="661"/>
      <c r="C239" s="661"/>
      <c r="D239" s="662"/>
      <c r="E239" s="661"/>
      <c r="F239" s="661"/>
      <c r="G239" s="661"/>
      <c r="H239" s="661"/>
      <c r="I239" s="661"/>
      <c r="J239" s="661"/>
      <c r="K239" s="661"/>
      <c r="L239" s="661"/>
      <c r="M239" s="661"/>
      <c r="N239" s="661"/>
      <c r="O239" s="661"/>
      <c r="P239" s="661"/>
      <c r="Q239" s="661"/>
      <c r="R239" s="661"/>
      <c r="S239" s="661"/>
      <c r="T239" s="661"/>
      <c r="U239" s="661"/>
      <c r="V239" s="661"/>
      <c r="W239" s="661"/>
      <c r="X239" s="661"/>
      <c r="Y239" s="661"/>
      <c r="Z239" s="661"/>
      <c r="AA239" s="661"/>
      <c r="AB239" s="661"/>
    </row>
    <row r="240">
      <c r="A240" s="661"/>
      <c r="B240" s="661"/>
      <c r="C240" s="661"/>
      <c r="D240" s="662"/>
      <c r="E240" s="661"/>
      <c r="F240" s="661"/>
      <c r="G240" s="661"/>
      <c r="H240" s="661"/>
      <c r="I240" s="661"/>
      <c r="J240" s="661"/>
      <c r="K240" s="661"/>
      <c r="L240" s="661"/>
      <c r="M240" s="661"/>
      <c r="N240" s="661"/>
      <c r="O240" s="661"/>
      <c r="P240" s="661"/>
      <c r="Q240" s="661"/>
      <c r="R240" s="661"/>
      <c r="S240" s="661"/>
      <c r="T240" s="661"/>
      <c r="U240" s="661"/>
      <c r="V240" s="661"/>
      <c r="W240" s="661"/>
      <c r="X240" s="661"/>
      <c r="Y240" s="661"/>
      <c r="Z240" s="661"/>
      <c r="AA240" s="661"/>
      <c r="AB240" s="661"/>
    </row>
    <row r="241">
      <c r="A241" s="661"/>
      <c r="B241" s="661"/>
      <c r="C241" s="661"/>
      <c r="D241" s="662"/>
      <c r="E241" s="661"/>
      <c r="F241" s="661"/>
      <c r="G241" s="661"/>
      <c r="H241" s="661"/>
      <c r="I241" s="661"/>
      <c r="J241" s="661"/>
      <c r="K241" s="661"/>
      <c r="L241" s="661"/>
      <c r="M241" s="661"/>
      <c r="N241" s="661"/>
      <c r="O241" s="661"/>
      <c r="P241" s="661"/>
      <c r="Q241" s="661"/>
      <c r="R241" s="661"/>
      <c r="S241" s="661"/>
      <c r="T241" s="661"/>
      <c r="U241" s="661"/>
      <c r="V241" s="661"/>
      <c r="W241" s="661"/>
      <c r="X241" s="661"/>
      <c r="Y241" s="661"/>
      <c r="Z241" s="661"/>
      <c r="AA241" s="661"/>
      <c r="AB241" s="661"/>
    </row>
    <row r="242">
      <c r="A242" s="661"/>
      <c r="B242" s="661"/>
      <c r="C242" s="661"/>
      <c r="D242" s="662"/>
      <c r="E242" s="661"/>
      <c r="F242" s="661"/>
      <c r="G242" s="661"/>
      <c r="H242" s="661"/>
      <c r="I242" s="661"/>
      <c r="J242" s="661"/>
      <c r="K242" s="661"/>
      <c r="L242" s="661"/>
      <c r="M242" s="661"/>
      <c r="N242" s="661"/>
      <c r="O242" s="661"/>
      <c r="P242" s="661"/>
      <c r="Q242" s="661"/>
      <c r="R242" s="661"/>
      <c r="S242" s="661"/>
      <c r="T242" s="661"/>
      <c r="U242" s="661"/>
      <c r="V242" s="661"/>
      <c r="W242" s="661"/>
      <c r="X242" s="661"/>
      <c r="Y242" s="661"/>
      <c r="Z242" s="661"/>
      <c r="AA242" s="661"/>
      <c r="AB242" s="661"/>
    </row>
    <row r="243">
      <c r="A243" s="661"/>
      <c r="B243" s="661"/>
      <c r="C243" s="661"/>
      <c r="D243" s="662"/>
      <c r="E243" s="661"/>
      <c r="F243" s="661"/>
      <c r="G243" s="661"/>
      <c r="H243" s="661"/>
      <c r="I243" s="661"/>
      <c r="J243" s="661"/>
      <c r="K243" s="661"/>
      <c r="L243" s="661"/>
      <c r="M243" s="661"/>
      <c r="N243" s="661"/>
      <c r="O243" s="661"/>
      <c r="P243" s="661"/>
      <c r="Q243" s="661"/>
      <c r="R243" s="661"/>
      <c r="S243" s="661"/>
      <c r="T243" s="661"/>
      <c r="U243" s="661"/>
      <c r="V243" s="661"/>
      <c r="W243" s="661"/>
      <c r="X243" s="661"/>
      <c r="Y243" s="661"/>
      <c r="Z243" s="661"/>
      <c r="AA243" s="661"/>
      <c r="AB243" s="661"/>
    </row>
    <row r="244">
      <c r="A244" s="661"/>
      <c r="B244" s="661"/>
      <c r="C244" s="661"/>
      <c r="D244" s="662"/>
      <c r="E244" s="661"/>
      <c r="F244" s="661"/>
      <c r="G244" s="661"/>
      <c r="H244" s="661"/>
      <c r="I244" s="661"/>
      <c r="J244" s="661"/>
      <c r="K244" s="661"/>
      <c r="L244" s="661"/>
      <c r="M244" s="661"/>
      <c r="N244" s="661"/>
      <c r="O244" s="661"/>
      <c r="P244" s="661"/>
      <c r="Q244" s="661"/>
      <c r="R244" s="661"/>
      <c r="S244" s="661"/>
      <c r="T244" s="661"/>
      <c r="U244" s="661"/>
      <c r="V244" s="661"/>
      <c r="W244" s="661"/>
      <c r="X244" s="661"/>
      <c r="Y244" s="661"/>
      <c r="Z244" s="661"/>
      <c r="AA244" s="661"/>
      <c r="AB244" s="661"/>
    </row>
    <row r="245">
      <c r="A245" s="661"/>
      <c r="B245" s="661"/>
      <c r="C245" s="661"/>
      <c r="D245" s="662"/>
      <c r="E245" s="661"/>
      <c r="F245" s="661"/>
      <c r="G245" s="661"/>
      <c r="H245" s="661"/>
      <c r="I245" s="661"/>
      <c r="J245" s="661"/>
      <c r="K245" s="661"/>
      <c r="L245" s="661"/>
      <c r="M245" s="661"/>
      <c r="N245" s="661"/>
      <c r="O245" s="661"/>
      <c r="P245" s="661"/>
      <c r="Q245" s="661"/>
      <c r="R245" s="661"/>
      <c r="S245" s="661"/>
      <c r="T245" s="661"/>
      <c r="U245" s="661"/>
      <c r="V245" s="661"/>
      <c r="W245" s="661"/>
      <c r="X245" s="661"/>
      <c r="Y245" s="661"/>
      <c r="Z245" s="661"/>
      <c r="AA245" s="661"/>
      <c r="AB245" s="661"/>
    </row>
    <row r="246">
      <c r="A246" s="661"/>
      <c r="B246" s="661"/>
      <c r="C246" s="661"/>
      <c r="D246" s="662"/>
      <c r="E246" s="661"/>
      <c r="F246" s="661"/>
      <c r="G246" s="661"/>
      <c r="H246" s="661"/>
      <c r="I246" s="661"/>
      <c r="J246" s="661"/>
      <c r="K246" s="661"/>
      <c r="L246" s="661"/>
      <c r="M246" s="661"/>
      <c r="N246" s="661"/>
      <c r="O246" s="661"/>
      <c r="P246" s="661"/>
      <c r="Q246" s="661"/>
      <c r="R246" s="661"/>
      <c r="S246" s="661"/>
      <c r="T246" s="661"/>
      <c r="U246" s="661"/>
      <c r="V246" s="661"/>
      <c r="W246" s="661"/>
      <c r="X246" s="661"/>
      <c r="Y246" s="661"/>
      <c r="Z246" s="661"/>
      <c r="AA246" s="661"/>
      <c r="AB246" s="661"/>
    </row>
    <row r="247">
      <c r="A247" s="661"/>
      <c r="B247" s="661"/>
      <c r="C247" s="661"/>
      <c r="D247" s="662"/>
      <c r="E247" s="661"/>
      <c r="F247" s="661"/>
      <c r="G247" s="661"/>
      <c r="H247" s="661"/>
      <c r="I247" s="661"/>
      <c r="J247" s="661"/>
      <c r="K247" s="661"/>
      <c r="L247" s="661"/>
      <c r="M247" s="661"/>
      <c r="N247" s="661"/>
      <c r="O247" s="661"/>
      <c r="P247" s="661"/>
      <c r="Q247" s="661"/>
      <c r="R247" s="661"/>
      <c r="S247" s="661"/>
      <c r="T247" s="661"/>
      <c r="U247" s="661"/>
      <c r="V247" s="661"/>
      <c r="W247" s="661"/>
      <c r="X247" s="661"/>
      <c r="Y247" s="661"/>
      <c r="Z247" s="661"/>
      <c r="AA247" s="661"/>
      <c r="AB247" s="661"/>
    </row>
    <row r="248">
      <c r="A248" s="661"/>
      <c r="B248" s="661"/>
      <c r="C248" s="661"/>
      <c r="D248" s="662"/>
      <c r="E248" s="661"/>
      <c r="F248" s="661"/>
      <c r="G248" s="661"/>
      <c r="H248" s="661"/>
      <c r="I248" s="661"/>
      <c r="J248" s="661"/>
      <c r="K248" s="661"/>
      <c r="L248" s="661"/>
      <c r="M248" s="661"/>
      <c r="N248" s="661"/>
      <c r="O248" s="661"/>
      <c r="P248" s="661"/>
      <c r="Q248" s="661"/>
      <c r="R248" s="661"/>
      <c r="S248" s="661"/>
      <c r="T248" s="661"/>
      <c r="U248" s="661"/>
      <c r="V248" s="661"/>
      <c r="W248" s="661"/>
      <c r="X248" s="661"/>
      <c r="Y248" s="661"/>
      <c r="Z248" s="661"/>
      <c r="AA248" s="661"/>
      <c r="AB248" s="661"/>
    </row>
    <row r="249">
      <c r="A249" s="661"/>
      <c r="B249" s="661"/>
      <c r="C249" s="661"/>
      <c r="D249" s="662"/>
      <c r="E249" s="661"/>
      <c r="F249" s="661"/>
      <c r="G249" s="661"/>
      <c r="H249" s="661"/>
      <c r="I249" s="661"/>
      <c r="J249" s="661"/>
      <c r="K249" s="661"/>
      <c r="L249" s="661"/>
      <c r="M249" s="661"/>
      <c r="N249" s="661"/>
      <c r="O249" s="661"/>
      <c r="P249" s="661"/>
      <c r="Q249" s="661"/>
      <c r="R249" s="661"/>
      <c r="S249" s="661"/>
      <c r="T249" s="661"/>
      <c r="U249" s="661"/>
      <c r="V249" s="661"/>
      <c r="W249" s="661"/>
      <c r="X249" s="661"/>
      <c r="Y249" s="661"/>
      <c r="Z249" s="661"/>
      <c r="AA249" s="661"/>
      <c r="AB249" s="661"/>
    </row>
    <row r="250">
      <c r="A250" s="661"/>
      <c r="B250" s="661"/>
      <c r="C250" s="661"/>
      <c r="D250" s="662"/>
      <c r="E250" s="661"/>
      <c r="F250" s="661"/>
      <c r="G250" s="661"/>
      <c r="H250" s="661"/>
      <c r="I250" s="661"/>
      <c r="J250" s="661"/>
      <c r="K250" s="661"/>
      <c r="L250" s="661"/>
      <c r="M250" s="661"/>
      <c r="N250" s="661"/>
      <c r="O250" s="661"/>
      <c r="P250" s="661"/>
      <c r="Q250" s="661"/>
      <c r="R250" s="661"/>
      <c r="S250" s="661"/>
      <c r="T250" s="661"/>
      <c r="U250" s="661"/>
      <c r="V250" s="661"/>
      <c r="W250" s="661"/>
      <c r="X250" s="661"/>
      <c r="Y250" s="661"/>
      <c r="Z250" s="661"/>
      <c r="AA250" s="661"/>
      <c r="AB250" s="661"/>
    </row>
    <row r="251">
      <c r="A251" s="661"/>
      <c r="B251" s="661"/>
      <c r="C251" s="661"/>
      <c r="D251" s="662"/>
      <c r="E251" s="661"/>
      <c r="F251" s="661"/>
      <c r="G251" s="661"/>
      <c r="H251" s="661"/>
      <c r="I251" s="661"/>
      <c r="J251" s="661"/>
      <c r="K251" s="661"/>
      <c r="L251" s="661"/>
      <c r="M251" s="661"/>
      <c r="N251" s="661"/>
      <c r="O251" s="661"/>
      <c r="P251" s="661"/>
      <c r="Q251" s="661"/>
      <c r="R251" s="661"/>
      <c r="S251" s="661"/>
      <c r="T251" s="661"/>
      <c r="U251" s="661"/>
      <c r="V251" s="661"/>
      <c r="W251" s="661"/>
      <c r="X251" s="661"/>
      <c r="Y251" s="661"/>
      <c r="Z251" s="661"/>
      <c r="AA251" s="661"/>
      <c r="AB251" s="661"/>
    </row>
    <row r="252">
      <c r="A252" s="661"/>
      <c r="B252" s="661"/>
      <c r="C252" s="661"/>
      <c r="D252" s="662"/>
      <c r="E252" s="661"/>
      <c r="F252" s="661"/>
      <c r="G252" s="661"/>
      <c r="H252" s="661"/>
      <c r="I252" s="661"/>
      <c r="J252" s="661"/>
      <c r="K252" s="661"/>
      <c r="L252" s="661"/>
      <c r="M252" s="661"/>
      <c r="N252" s="661"/>
      <c r="O252" s="661"/>
      <c r="P252" s="661"/>
      <c r="Q252" s="661"/>
      <c r="R252" s="661"/>
      <c r="S252" s="661"/>
      <c r="T252" s="661"/>
      <c r="U252" s="661"/>
      <c r="V252" s="661"/>
      <c r="W252" s="661"/>
      <c r="X252" s="661"/>
      <c r="Y252" s="661"/>
      <c r="Z252" s="661"/>
      <c r="AA252" s="661"/>
      <c r="AB252" s="661"/>
    </row>
    <row r="253">
      <c r="A253" s="661"/>
      <c r="B253" s="661"/>
      <c r="C253" s="661"/>
      <c r="D253" s="662"/>
      <c r="E253" s="661"/>
      <c r="F253" s="661"/>
      <c r="G253" s="661"/>
      <c r="H253" s="661"/>
      <c r="I253" s="661"/>
      <c r="J253" s="661"/>
      <c r="K253" s="661"/>
      <c r="L253" s="661"/>
      <c r="M253" s="661"/>
      <c r="N253" s="661"/>
      <c r="O253" s="661"/>
      <c r="P253" s="661"/>
      <c r="Q253" s="661"/>
      <c r="R253" s="661"/>
      <c r="S253" s="661"/>
      <c r="T253" s="661"/>
      <c r="U253" s="661"/>
      <c r="V253" s="661"/>
      <c r="W253" s="661"/>
      <c r="X253" s="661"/>
      <c r="Y253" s="661"/>
      <c r="Z253" s="661"/>
      <c r="AA253" s="661"/>
      <c r="AB253" s="661"/>
    </row>
    <row r="254">
      <c r="A254" s="661"/>
      <c r="B254" s="661"/>
      <c r="C254" s="661"/>
      <c r="D254" s="662"/>
      <c r="E254" s="661"/>
      <c r="F254" s="661"/>
      <c r="G254" s="661"/>
      <c r="H254" s="661"/>
      <c r="I254" s="661"/>
      <c r="J254" s="661"/>
      <c r="K254" s="661"/>
      <c r="L254" s="661"/>
      <c r="M254" s="661"/>
      <c r="N254" s="661"/>
      <c r="O254" s="661"/>
      <c r="P254" s="661"/>
      <c r="Q254" s="661"/>
      <c r="R254" s="661"/>
      <c r="S254" s="661"/>
      <c r="T254" s="661"/>
      <c r="U254" s="661"/>
      <c r="V254" s="661"/>
      <c r="W254" s="661"/>
      <c r="X254" s="661"/>
      <c r="Y254" s="661"/>
      <c r="Z254" s="661"/>
      <c r="AA254" s="661"/>
      <c r="AB254" s="661"/>
    </row>
    <row r="255">
      <c r="A255" s="661"/>
      <c r="B255" s="661"/>
      <c r="C255" s="661"/>
      <c r="D255" s="662"/>
      <c r="E255" s="661"/>
      <c r="F255" s="661"/>
      <c r="G255" s="661"/>
      <c r="H255" s="661"/>
      <c r="I255" s="661"/>
      <c r="J255" s="661"/>
      <c r="K255" s="661"/>
      <c r="L255" s="661"/>
      <c r="M255" s="661"/>
      <c r="N255" s="661"/>
      <c r="O255" s="661"/>
      <c r="P255" s="661"/>
      <c r="Q255" s="661"/>
      <c r="R255" s="661"/>
      <c r="S255" s="661"/>
      <c r="T255" s="661"/>
      <c r="U255" s="661"/>
      <c r="V255" s="661"/>
      <c r="W255" s="661"/>
      <c r="X255" s="661"/>
      <c r="Y255" s="661"/>
      <c r="Z255" s="661"/>
      <c r="AA255" s="661"/>
      <c r="AB255" s="661"/>
    </row>
    <row r="256">
      <c r="A256" s="661"/>
      <c r="B256" s="661"/>
      <c r="C256" s="661"/>
      <c r="D256" s="662"/>
      <c r="E256" s="661"/>
      <c r="F256" s="661"/>
      <c r="G256" s="661"/>
      <c r="H256" s="661"/>
      <c r="I256" s="661"/>
      <c r="J256" s="661"/>
      <c r="K256" s="661"/>
      <c r="L256" s="661"/>
      <c r="M256" s="661"/>
      <c r="N256" s="661"/>
      <c r="O256" s="661"/>
      <c r="P256" s="661"/>
      <c r="Q256" s="661"/>
      <c r="R256" s="661"/>
      <c r="S256" s="661"/>
      <c r="T256" s="661"/>
      <c r="U256" s="661"/>
      <c r="V256" s="661"/>
      <c r="W256" s="661"/>
      <c r="X256" s="661"/>
      <c r="Y256" s="661"/>
      <c r="Z256" s="661"/>
      <c r="AA256" s="661"/>
      <c r="AB256" s="661"/>
    </row>
    <row r="257">
      <c r="A257" s="661"/>
      <c r="B257" s="661"/>
      <c r="C257" s="661"/>
      <c r="D257" s="662"/>
      <c r="E257" s="661"/>
      <c r="F257" s="661"/>
      <c r="G257" s="661"/>
      <c r="H257" s="661"/>
      <c r="I257" s="661"/>
      <c r="J257" s="661"/>
      <c r="K257" s="661"/>
      <c r="L257" s="661"/>
      <c r="M257" s="661"/>
      <c r="N257" s="661"/>
      <c r="O257" s="661"/>
      <c r="P257" s="661"/>
      <c r="Q257" s="661"/>
      <c r="R257" s="661"/>
      <c r="S257" s="661"/>
      <c r="T257" s="661"/>
      <c r="U257" s="661"/>
      <c r="V257" s="661"/>
      <c r="W257" s="661"/>
      <c r="X257" s="661"/>
      <c r="Y257" s="661"/>
      <c r="Z257" s="661"/>
      <c r="AA257" s="661"/>
      <c r="AB257" s="661"/>
    </row>
    <row r="258">
      <c r="A258" s="661"/>
      <c r="B258" s="661"/>
      <c r="C258" s="661"/>
      <c r="D258" s="662"/>
      <c r="E258" s="661"/>
      <c r="F258" s="661"/>
      <c r="G258" s="661"/>
      <c r="H258" s="661"/>
      <c r="I258" s="661"/>
      <c r="J258" s="661"/>
      <c r="K258" s="661"/>
      <c r="L258" s="661"/>
      <c r="M258" s="661"/>
      <c r="N258" s="661"/>
      <c r="O258" s="661"/>
      <c r="P258" s="661"/>
      <c r="Q258" s="661"/>
      <c r="R258" s="661"/>
      <c r="S258" s="661"/>
      <c r="T258" s="661"/>
      <c r="U258" s="661"/>
      <c r="V258" s="661"/>
      <c r="W258" s="661"/>
      <c r="X258" s="661"/>
      <c r="Y258" s="661"/>
      <c r="Z258" s="661"/>
      <c r="AA258" s="661"/>
      <c r="AB258" s="661"/>
    </row>
    <row r="259">
      <c r="A259" s="661"/>
      <c r="B259" s="661"/>
      <c r="C259" s="661"/>
      <c r="D259" s="662"/>
      <c r="E259" s="661"/>
      <c r="F259" s="661"/>
      <c r="G259" s="661"/>
      <c r="H259" s="661"/>
      <c r="I259" s="661"/>
      <c r="J259" s="661"/>
      <c r="K259" s="661"/>
      <c r="L259" s="661"/>
      <c r="M259" s="661"/>
      <c r="N259" s="661"/>
      <c r="O259" s="661"/>
      <c r="P259" s="661"/>
      <c r="Q259" s="661"/>
      <c r="R259" s="661"/>
      <c r="S259" s="661"/>
      <c r="T259" s="661"/>
      <c r="U259" s="661"/>
      <c r="V259" s="661"/>
      <c r="W259" s="661"/>
      <c r="X259" s="661"/>
      <c r="Y259" s="661"/>
      <c r="Z259" s="661"/>
      <c r="AA259" s="661"/>
      <c r="AB259" s="661"/>
    </row>
    <row r="260">
      <c r="A260" s="661"/>
      <c r="B260" s="661"/>
      <c r="C260" s="661"/>
      <c r="D260" s="662"/>
      <c r="E260" s="661"/>
      <c r="F260" s="661"/>
      <c r="G260" s="661"/>
      <c r="H260" s="661"/>
      <c r="I260" s="661"/>
      <c r="J260" s="661"/>
      <c r="K260" s="661"/>
      <c r="L260" s="661"/>
      <c r="M260" s="661"/>
      <c r="N260" s="661"/>
      <c r="O260" s="661"/>
      <c r="P260" s="661"/>
      <c r="Q260" s="661"/>
      <c r="R260" s="661"/>
      <c r="S260" s="661"/>
      <c r="T260" s="661"/>
      <c r="U260" s="661"/>
      <c r="V260" s="661"/>
      <c r="W260" s="661"/>
      <c r="X260" s="661"/>
      <c r="Y260" s="661"/>
      <c r="Z260" s="661"/>
      <c r="AA260" s="661"/>
      <c r="AB260" s="661"/>
    </row>
    <row r="261">
      <c r="A261" s="661"/>
      <c r="B261" s="661"/>
      <c r="C261" s="661"/>
      <c r="D261" s="662"/>
      <c r="E261" s="661"/>
      <c r="F261" s="661"/>
      <c r="G261" s="661"/>
      <c r="H261" s="661"/>
      <c r="I261" s="661"/>
      <c r="J261" s="661"/>
      <c r="K261" s="661"/>
      <c r="L261" s="661"/>
      <c r="M261" s="661"/>
      <c r="N261" s="661"/>
      <c r="O261" s="661"/>
      <c r="P261" s="661"/>
      <c r="Q261" s="661"/>
      <c r="R261" s="661"/>
      <c r="S261" s="661"/>
      <c r="T261" s="661"/>
      <c r="U261" s="661"/>
      <c r="V261" s="661"/>
      <c r="W261" s="661"/>
      <c r="X261" s="661"/>
      <c r="Y261" s="661"/>
      <c r="Z261" s="661"/>
      <c r="AA261" s="661"/>
      <c r="AB261" s="661"/>
    </row>
    <row r="262">
      <c r="A262" s="661"/>
      <c r="B262" s="661"/>
      <c r="C262" s="661"/>
      <c r="D262" s="662"/>
      <c r="E262" s="661"/>
      <c r="F262" s="661"/>
      <c r="G262" s="661"/>
      <c r="H262" s="661"/>
      <c r="I262" s="661"/>
      <c r="J262" s="661"/>
      <c r="K262" s="661"/>
      <c r="L262" s="661"/>
      <c r="M262" s="661"/>
      <c r="N262" s="661"/>
      <c r="O262" s="661"/>
      <c r="P262" s="661"/>
      <c r="Q262" s="661"/>
      <c r="R262" s="661"/>
      <c r="S262" s="661"/>
      <c r="T262" s="661"/>
      <c r="U262" s="661"/>
      <c r="V262" s="661"/>
      <c r="W262" s="661"/>
      <c r="X262" s="661"/>
      <c r="Y262" s="661"/>
      <c r="Z262" s="661"/>
      <c r="AA262" s="661"/>
      <c r="AB262" s="661"/>
    </row>
    <row r="263">
      <c r="A263" s="661"/>
      <c r="B263" s="661"/>
      <c r="C263" s="661"/>
      <c r="D263" s="662"/>
      <c r="E263" s="661"/>
      <c r="F263" s="661"/>
      <c r="G263" s="661"/>
      <c r="H263" s="661"/>
      <c r="I263" s="661"/>
      <c r="J263" s="661"/>
      <c r="K263" s="661"/>
      <c r="L263" s="661"/>
      <c r="M263" s="661"/>
      <c r="N263" s="661"/>
      <c r="O263" s="661"/>
      <c r="P263" s="661"/>
      <c r="Q263" s="661"/>
      <c r="R263" s="661"/>
      <c r="S263" s="661"/>
      <c r="T263" s="661"/>
      <c r="U263" s="661"/>
      <c r="V263" s="661"/>
      <c r="W263" s="661"/>
      <c r="X263" s="661"/>
      <c r="Y263" s="661"/>
      <c r="Z263" s="661"/>
      <c r="AA263" s="661"/>
      <c r="AB263" s="661"/>
    </row>
    <row r="264">
      <c r="A264" s="661"/>
      <c r="B264" s="661"/>
      <c r="C264" s="661"/>
      <c r="D264" s="662"/>
      <c r="E264" s="661"/>
      <c r="F264" s="661"/>
      <c r="G264" s="661"/>
      <c r="H264" s="661"/>
      <c r="I264" s="661"/>
      <c r="J264" s="661"/>
      <c r="K264" s="661"/>
      <c r="L264" s="661"/>
      <c r="M264" s="661"/>
      <c r="N264" s="661"/>
      <c r="O264" s="661"/>
      <c r="P264" s="661"/>
      <c r="Q264" s="661"/>
      <c r="R264" s="661"/>
      <c r="S264" s="661"/>
      <c r="T264" s="661"/>
      <c r="U264" s="661"/>
      <c r="V264" s="661"/>
      <c r="W264" s="661"/>
      <c r="X264" s="661"/>
      <c r="Y264" s="661"/>
      <c r="Z264" s="661"/>
      <c r="AA264" s="661"/>
      <c r="AB264" s="661"/>
    </row>
    <row r="265">
      <c r="A265" s="661"/>
      <c r="B265" s="661"/>
      <c r="C265" s="661"/>
      <c r="D265" s="662"/>
      <c r="E265" s="661"/>
      <c r="F265" s="661"/>
      <c r="G265" s="661"/>
      <c r="H265" s="661"/>
      <c r="I265" s="661"/>
      <c r="J265" s="661"/>
      <c r="K265" s="661"/>
      <c r="L265" s="661"/>
      <c r="M265" s="661"/>
      <c r="N265" s="661"/>
      <c r="O265" s="661"/>
      <c r="P265" s="661"/>
      <c r="Q265" s="661"/>
      <c r="R265" s="661"/>
      <c r="S265" s="661"/>
      <c r="T265" s="661"/>
      <c r="U265" s="661"/>
      <c r="V265" s="661"/>
      <c r="W265" s="661"/>
      <c r="X265" s="661"/>
      <c r="Y265" s="661"/>
      <c r="Z265" s="661"/>
      <c r="AA265" s="661"/>
      <c r="AB265" s="661"/>
    </row>
    <row r="266">
      <c r="A266" s="661"/>
      <c r="B266" s="661"/>
      <c r="C266" s="661"/>
      <c r="D266" s="662"/>
      <c r="E266" s="661"/>
      <c r="F266" s="661"/>
      <c r="G266" s="661"/>
      <c r="H266" s="661"/>
      <c r="I266" s="661"/>
      <c r="J266" s="661"/>
      <c r="K266" s="661"/>
      <c r="L266" s="661"/>
      <c r="M266" s="661"/>
      <c r="N266" s="661"/>
      <c r="O266" s="661"/>
      <c r="P266" s="661"/>
      <c r="Q266" s="661"/>
      <c r="R266" s="661"/>
      <c r="S266" s="661"/>
      <c r="T266" s="661"/>
      <c r="U266" s="661"/>
      <c r="V266" s="661"/>
      <c r="W266" s="661"/>
      <c r="X266" s="661"/>
      <c r="Y266" s="661"/>
      <c r="Z266" s="661"/>
      <c r="AA266" s="661"/>
      <c r="AB266" s="661"/>
    </row>
    <row r="267">
      <c r="A267" s="661"/>
      <c r="B267" s="661"/>
      <c r="C267" s="661"/>
      <c r="D267" s="662"/>
      <c r="E267" s="661"/>
      <c r="F267" s="661"/>
      <c r="G267" s="661"/>
      <c r="H267" s="661"/>
      <c r="I267" s="661"/>
      <c r="J267" s="661"/>
      <c r="K267" s="661"/>
      <c r="L267" s="661"/>
      <c r="M267" s="661"/>
      <c r="N267" s="661"/>
      <c r="O267" s="661"/>
      <c r="P267" s="661"/>
      <c r="Q267" s="661"/>
      <c r="R267" s="661"/>
      <c r="S267" s="661"/>
      <c r="T267" s="661"/>
      <c r="U267" s="661"/>
      <c r="V267" s="661"/>
      <c r="W267" s="661"/>
      <c r="X267" s="661"/>
      <c r="Y267" s="661"/>
      <c r="Z267" s="661"/>
      <c r="AA267" s="661"/>
      <c r="AB267" s="661"/>
    </row>
    <row r="268">
      <c r="A268" s="661"/>
      <c r="B268" s="661"/>
      <c r="C268" s="661"/>
      <c r="D268" s="662"/>
      <c r="E268" s="661"/>
      <c r="F268" s="661"/>
      <c r="G268" s="661"/>
      <c r="H268" s="661"/>
      <c r="I268" s="661"/>
      <c r="J268" s="661"/>
      <c r="K268" s="661"/>
      <c r="L268" s="661"/>
      <c r="M268" s="661"/>
      <c r="N268" s="661"/>
      <c r="O268" s="661"/>
      <c r="P268" s="661"/>
      <c r="Q268" s="661"/>
      <c r="R268" s="661"/>
      <c r="S268" s="661"/>
      <c r="T268" s="661"/>
      <c r="U268" s="661"/>
      <c r="V268" s="661"/>
      <c r="W268" s="661"/>
      <c r="X268" s="661"/>
      <c r="Y268" s="661"/>
      <c r="Z268" s="661"/>
      <c r="AA268" s="661"/>
      <c r="AB268" s="661"/>
    </row>
    <row r="269">
      <c r="A269" s="661"/>
      <c r="B269" s="661"/>
      <c r="C269" s="661"/>
      <c r="D269" s="662"/>
      <c r="E269" s="661"/>
      <c r="F269" s="661"/>
      <c r="G269" s="661"/>
      <c r="H269" s="661"/>
      <c r="I269" s="661"/>
      <c r="J269" s="661"/>
      <c r="K269" s="661"/>
      <c r="L269" s="661"/>
      <c r="M269" s="661"/>
      <c r="N269" s="661"/>
      <c r="O269" s="661"/>
      <c r="P269" s="661"/>
      <c r="Q269" s="661"/>
      <c r="R269" s="661"/>
      <c r="S269" s="661"/>
      <c r="T269" s="661"/>
      <c r="U269" s="661"/>
      <c r="V269" s="661"/>
      <c r="W269" s="661"/>
      <c r="X269" s="661"/>
      <c r="Y269" s="661"/>
      <c r="Z269" s="661"/>
      <c r="AA269" s="661"/>
      <c r="AB269" s="661"/>
    </row>
    <row r="270">
      <c r="A270" s="661"/>
      <c r="B270" s="661"/>
      <c r="C270" s="661"/>
      <c r="D270" s="662"/>
      <c r="E270" s="661"/>
      <c r="F270" s="661"/>
      <c r="G270" s="661"/>
      <c r="H270" s="661"/>
      <c r="I270" s="661"/>
      <c r="J270" s="661"/>
      <c r="K270" s="661"/>
      <c r="L270" s="661"/>
      <c r="M270" s="661"/>
      <c r="N270" s="661"/>
      <c r="O270" s="661"/>
      <c r="P270" s="661"/>
      <c r="Q270" s="661"/>
      <c r="R270" s="661"/>
      <c r="S270" s="661"/>
      <c r="T270" s="661"/>
      <c r="U270" s="661"/>
      <c r="V270" s="661"/>
      <c r="W270" s="661"/>
      <c r="X270" s="661"/>
      <c r="Y270" s="661"/>
      <c r="Z270" s="661"/>
      <c r="AA270" s="661"/>
      <c r="AB270" s="661"/>
    </row>
    <row r="271">
      <c r="A271" s="661"/>
      <c r="B271" s="661"/>
      <c r="C271" s="661"/>
      <c r="D271" s="662"/>
      <c r="E271" s="661"/>
      <c r="F271" s="661"/>
      <c r="G271" s="661"/>
      <c r="H271" s="661"/>
      <c r="I271" s="661"/>
      <c r="J271" s="661"/>
      <c r="K271" s="661"/>
      <c r="L271" s="661"/>
      <c r="M271" s="661"/>
      <c r="N271" s="661"/>
      <c r="O271" s="661"/>
      <c r="P271" s="661"/>
      <c r="Q271" s="661"/>
      <c r="R271" s="661"/>
      <c r="S271" s="661"/>
      <c r="T271" s="661"/>
      <c r="U271" s="661"/>
      <c r="V271" s="661"/>
      <c r="W271" s="661"/>
      <c r="X271" s="661"/>
      <c r="Y271" s="661"/>
      <c r="Z271" s="661"/>
      <c r="AA271" s="661"/>
      <c r="AB271" s="661"/>
    </row>
    <row r="272">
      <c r="A272" s="661"/>
      <c r="B272" s="661"/>
      <c r="C272" s="661"/>
      <c r="D272" s="662"/>
      <c r="E272" s="661"/>
      <c r="F272" s="661"/>
      <c r="G272" s="661"/>
      <c r="H272" s="661"/>
      <c r="I272" s="661"/>
      <c r="J272" s="661"/>
      <c r="K272" s="661"/>
      <c r="L272" s="661"/>
      <c r="M272" s="661"/>
      <c r="N272" s="661"/>
      <c r="O272" s="661"/>
      <c r="P272" s="661"/>
      <c r="Q272" s="661"/>
      <c r="R272" s="661"/>
      <c r="S272" s="661"/>
      <c r="T272" s="661"/>
      <c r="U272" s="661"/>
      <c r="V272" s="661"/>
      <c r="W272" s="661"/>
      <c r="X272" s="661"/>
      <c r="Y272" s="661"/>
      <c r="Z272" s="661"/>
      <c r="AA272" s="661"/>
      <c r="AB272" s="661"/>
    </row>
    <row r="273">
      <c r="A273" s="661"/>
      <c r="B273" s="661"/>
      <c r="C273" s="661"/>
      <c r="D273" s="662"/>
      <c r="E273" s="661"/>
      <c r="F273" s="661"/>
      <c r="G273" s="661"/>
      <c r="H273" s="661"/>
      <c r="I273" s="661"/>
      <c r="J273" s="661"/>
      <c r="K273" s="661"/>
      <c r="L273" s="661"/>
      <c r="M273" s="661"/>
      <c r="N273" s="661"/>
      <c r="O273" s="661"/>
      <c r="P273" s="661"/>
      <c r="Q273" s="661"/>
      <c r="R273" s="661"/>
      <c r="S273" s="661"/>
      <c r="T273" s="661"/>
      <c r="U273" s="661"/>
      <c r="V273" s="661"/>
      <c r="W273" s="661"/>
      <c r="X273" s="661"/>
      <c r="Y273" s="661"/>
      <c r="Z273" s="661"/>
      <c r="AA273" s="661"/>
      <c r="AB273" s="661"/>
    </row>
    <row r="274">
      <c r="A274" s="661"/>
      <c r="B274" s="661"/>
      <c r="C274" s="661"/>
      <c r="D274" s="662"/>
      <c r="E274" s="661"/>
      <c r="F274" s="661"/>
      <c r="G274" s="661"/>
      <c r="H274" s="661"/>
      <c r="I274" s="661"/>
      <c r="J274" s="661"/>
      <c r="K274" s="661"/>
      <c r="L274" s="661"/>
      <c r="M274" s="661"/>
      <c r="N274" s="661"/>
      <c r="O274" s="661"/>
      <c r="P274" s="661"/>
      <c r="Q274" s="661"/>
      <c r="R274" s="661"/>
      <c r="S274" s="661"/>
      <c r="T274" s="661"/>
      <c r="U274" s="661"/>
      <c r="V274" s="661"/>
      <c r="W274" s="661"/>
      <c r="X274" s="661"/>
      <c r="Y274" s="661"/>
      <c r="Z274" s="661"/>
      <c r="AA274" s="661"/>
      <c r="AB274" s="661"/>
    </row>
    <row r="275">
      <c r="A275" s="661"/>
      <c r="B275" s="661"/>
      <c r="C275" s="661"/>
      <c r="D275" s="662"/>
      <c r="E275" s="661"/>
      <c r="F275" s="661"/>
      <c r="G275" s="661"/>
      <c r="H275" s="661"/>
      <c r="I275" s="661"/>
      <c r="J275" s="661"/>
      <c r="K275" s="661"/>
      <c r="L275" s="661"/>
      <c r="M275" s="661"/>
      <c r="N275" s="661"/>
      <c r="O275" s="661"/>
      <c r="P275" s="661"/>
      <c r="Q275" s="661"/>
      <c r="R275" s="661"/>
      <c r="S275" s="661"/>
      <c r="T275" s="661"/>
      <c r="U275" s="661"/>
      <c r="V275" s="661"/>
      <c r="W275" s="661"/>
      <c r="X275" s="661"/>
      <c r="Y275" s="661"/>
      <c r="Z275" s="661"/>
      <c r="AA275" s="661"/>
      <c r="AB275" s="661"/>
    </row>
    <row r="276">
      <c r="A276" s="661"/>
      <c r="B276" s="661"/>
      <c r="C276" s="661"/>
      <c r="D276" s="662"/>
      <c r="E276" s="661"/>
      <c r="F276" s="661"/>
      <c r="G276" s="661"/>
      <c r="H276" s="661"/>
      <c r="I276" s="661"/>
      <c r="J276" s="661"/>
      <c r="K276" s="661"/>
      <c r="L276" s="661"/>
      <c r="M276" s="661"/>
      <c r="N276" s="661"/>
      <c r="O276" s="661"/>
      <c r="P276" s="661"/>
      <c r="Q276" s="661"/>
      <c r="R276" s="661"/>
      <c r="S276" s="661"/>
      <c r="T276" s="661"/>
      <c r="U276" s="661"/>
      <c r="V276" s="661"/>
      <c r="W276" s="661"/>
      <c r="X276" s="661"/>
      <c r="Y276" s="661"/>
      <c r="Z276" s="661"/>
      <c r="AA276" s="661"/>
      <c r="AB276" s="661"/>
    </row>
    <row r="277">
      <c r="A277" s="661"/>
      <c r="B277" s="661"/>
      <c r="C277" s="661"/>
      <c r="D277" s="662"/>
      <c r="E277" s="661"/>
      <c r="F277" s="661"/>
      <c r="G277" s="661"/>
      <c r="H277" s="661"/>
      <c r="I277" s="661"/>
      <c r="J277" s="661"/>
      <c r="K277" s="661"/>
      <c r="L277" s="661"/>
      <c r="M277" s="661"/>
      <c r="N277" s="661"/>
      <c r="O277" s="661"/>
      <c r="P277" s="661"/>
      <c r="Q277" s="661"/>
      <c r="R277" s="661"/>
      <c r="S277" s="661"/>
      <c r="T277" s="661"/>
      <c r="U277" s="661"/>
      <c r="V277" s="661"/>
      <c r="W277" s="661"/>
      <c r="X277" s="661"/>
      <c r="Y277" s="661"/>
      <c r="Z277" s="661"/>
      <c r="AA277" s="661"/>
      <c r="AB277" s="661"/>
    </row>
    <row r="278">
      <c r="A278" s="661"/>
      <c r="B278" s="661"/>
      <c r="C278" s="661"/>
      <c r="D278" s="662"/>
      <c r="E278" s="661"/>
      <c r="F278" s="661"/>
      <c r="G278" s="661"/>
      <c r="H278" s="661"/>
      <c r="I278" s="661"/>
      <c r="J278" s="661"/>
      <c r="K278" s="661"/>
      <c r="L278" s="661"/>
      <c r="M278" s="661"/>
      <c r="N278" s="661"/>
      <c r="O278" s="661"/>
      <c r="P278" s="661"/>
      <c r="Q278" s="661"/>
      <c r="R278" s="661"/>
      <c r="S278" s="661"/>
      <c r="T278" s="661"/>
      <c r="U278" s="661"/>
      <c r="V278" s="661"/>
      <c r="W278" s="661"/>
      <c r="X278" s="661"/>
      <c r="Y278" s="661"/>
      <c r="Z278" s="661"/>
      <c r="AA278" s="661"/>
      <c r="AB278" s="661"/>
    </row>
    <row r="279">
      <c r="A279" s="661"/>
      <c r="B279" s="661"/>
      <c r="C279" s="661"/>
      <c r="D279" s="662"/>
      <c r="E279" s="661"/>
      <c r="F279" s="661"/>
      <c r="G279" s="661"/>
      <c r="H279" s="661"/>
      <c r="I279" s="661"/>
      <c r="J279" s="661"/>
      <c r="K279" s="661"/>
      <c r="L279" s="661"/>
      <c r="M279" s="661"/>
      <c r="N279" s="661"/>
      <c r="O279" s="661"/>
      <c r="P279" s="661"/>
      <c r="Q279" s="661"/>
      <c r="R279" s="661"/>
      <c r="S279" s="661"/>
      <c r="T279" s="661"/>
      <c r="U279" s="661"/>
      <c r="V279" s="661"/>
      <c r="W279" s="661"/>
      <c r="X279" s="661"/>
      <c r="Y279" s="661"/>
      <c r="Z279" s="661"/>
      <c r="AA279" s="661"/>
      <c r="AB279" s="661"/>
    </row>
    <row r="280">
      <c r="A280" s="661"/>
      <c r="B280" s="661"/>
      <c r="C280" s="661"/>
      <c r="D280" s="662"/>
      <c r="E280" s="661"/>
      <c r="F280" s="661"/>
      <c r="G280" s="661"/>
      <c r="H280" s="661"/>
      <c r="I280" s="661"/>
      <c r="J280" s="661"/>
      <c r="K280" s="661"/>
      <c r="L280" s="661"/>
      <c r="M280" s="661"/>
      <c r="N280" s="661"/>
      <c r="O280" s="661"/>
      <c r="P280" s="661"/>
      <c r="Q280" s="661"/>
      <c r="R280" s="661"/>
      <c r="S280" s="661"/>
      <c r="T280" s="661"/>
      <c r="U280" s="661"/>
      <c r="V280" s="661"/>
      <c r="W280" s="661"/>
      <c r="X280" s="661"/>
      <c r="Y280" s="661"/>
      <c r="Z280" s="661"/>
      <c r="AA280" s="661"/>
      <c r="AB280" s="661"/>
    </row>
    <row r="281">
      <c r="A281" s="661"/>
      <c r="B281" s="661"/>
      <c r="C281" s="661"/>
      <c r="D281" s="662"/>
      <c r="E281" s="661"/>
      <c r="F281" s="661"/>
      <c r="G281" s="661"/>
      <c r="H281" s="661"/>
      <c r="I281" s="661"/>
      <c r="J281" s="661"/>
      <c r="K281" s="661"/>
      <c r="L281" s="661"/>
      <c r="M281" s="661"/>
      <c r="N281" s="661"/>
      <c r="O281" s="661"/>
      <c r="P281" s="661"/>
      <c r="Q281" s="661"/>
      <c r="R281" s="661"/>
      <c r="S281" s="661"/>
      <c r="T281" s="661"/>
      <c r="U281" s="661"/>
      <c r="V281" s="661"/>
      <c r="W281" s="661"/>
      <c r="X281" s="661"/>
      <c r="Y281" s="661"/>
      <c r="Z281" s="661"/>
      <c r="AA281" s="661"/>
      <c r="AB281" s="661"/>
    </row>
    <row r="282">
      <c r="A282" s="661"/>
      <c r="B282" s="661"/>
      <c r="C282" s="661"/>
      <c r="D282" s="662"/>
      <c r="E282" s="661"/>
      <c r="F282" s="661"/>
      <c r="G282" s="661"/>
      <c r="H282" s="661"/>
      <c r="I282" s="661"/>
      <c r="J282" s="661"/>
      <c r="K282" s="661"/>
      <c r="L282" s="661"/>
      <c r="M282" s="661"/>
      <c r="N282" s="661"/>
      <c r="O282" s="661"/>
      <c r="P282" s="661"/>
      <c r="Q282" s="661"/>
      <c r="R282" s="661"/>
      <c r="S282" s="661"/>
      <c r="T282" s="661"/>
      <c r="U282" s="661"/>
      <c r="V282" s="661"/>
      <c r="W282" s="661"/>
      <c r="X282" s="661"/>
      <c r="Y282" s="661"/>
      <c r="Z282" s="661"/>
      <c r="AA282" s="661"/>
      <c r="AB282" s="661"/>
    </row>
    <row r="283">
      <c r="A283" s="661"/>
      <c r="B283" s="661"/>
      <c r="C283" s="661"/>
      <c r="D283" s="662"/>
      <c r="E283" s="661"/>
      <c r="F283" s="661"/>
      <c r="G283" s="661"/>
      <c r="H283" s="661"/>
      <c r="I283" s="661"/>
      <c r="J283" s="661"/>
      <c r="K283" s="661"/>
      <c r="L283" s="661"/>
      <c r="M283" s="661"/>
      <c r="N283" s="661"/>
      <c r="O283" s="661"/>
      <c r="P283" s="661"/>
      <c r="Q283" s="661"/>
      <c r="R283" s="661"/>
      <c r="S283" s="661"/>
      <c r="T283" s="661"/>
      <c r="U283" s="661"/>
      <c r="V283" s="661"/>
      <c r="W283" s="661"/>
      <c r="X283" s="661"/>
      <c r="Y283" s="661"/>
      <c r="Z283" s="661"/>
      <c r="AA283" s="661"/>
      <c r="AB283" s="661"/>
    </row>
    <row r="284">
      <c r="A284" s="661"/>
      <c r="B284" s="661"/>
      <c r="C284" s="661"/>
      <c r="D284" s="662"/>
      <c r="E284" s="661"/>
      <c r="F284" s="661"/>
      <c r="G284" s="661"/>
      <c r="H284" s="661"/>
      <c r="I284" s="661"/>
      <c r="J284" s="661"/>
      <c r="K284" s="661"/>
      <c r="L284" s="661"/>
      <c r="M284" s="661"/>
      <c r="N284" s="661"/>
      <c r="O284" s="661"/>
      <c r="P284" s="661"/>
      <c r="Q284" s="661"/>
      <c r="R284" s="661"/>
      <c r="S284" s="661"/>
      <c r="T284" s="661"/>
      <c r="U284" s="661"/>
      <c r="V284" s="661"/>
      <c r="W284" s="661"/>
      <c r="X284" s="661"/>
      <c r="Y284" s="661"/>
      <c r="Z284" s="661"/>
      <c r="AA284" s="661"/>
      <c r="AB284" s="661"/>
    </row>
    <row r="285">
      <c r="A285" s="661"/>
      <c r="B285" s="661"/>
      <c r="C285" s="661"/>
      <c r="D285" s="662"/>
      <c r="E285" s="661"/>
      <c r="F285" s="661"/>
      <c r="G285" s="661"/>
      <c r="H285" s="661"/>
      <c r="I285" s="661"/>
      <c r="J285" s="661"/>
      <c r="K285" s="661"/>
      <c r="L285" s="661"/>
      <c r="M285" s="661"/>
      <c r="N285" s="661"/>
      <c r="O285" s="661"/>
      <c r="P285" s="661"/>
      <c r="Q285" s="661"/>
      <c r="R285" s="661"/>
      <c r="S285" s="661"/>
      <c r="T285" s="661"/>
      <c r="U285" s="661"/>
      <c r="V285" s="661"/>
      <c r="W285" s="661"/>
      <c r="X285" s="661"/>
      <c r="Y285" s="661"/>
      <c r="Z285" s="661"/>
      <c r="AA285" s="661"/>
      <c r="AB285" s="661"/>
    </row>
    <row r="286">
      <c r="A286" s="661"/>
      <c r="B286" s="661"/>
      <c r="C286" s="661"/>
      <c r="D286" s="662"/>
      <c r="E286" s="661"/>
      <c r="F286" s="661"/>
      <c r="G286" s="661"/>
      <c r="H286" s="661"/>
      <c r="I286" s="661"/>
      <c r="J286" s="661"/>
      <c r="K286" s="661"/>
      <c r="L286" s="661"/>
      <c r="M286" s="661"/>
      <c r="N286" s="661"/>
      <c r="O286" s="661"/>
      <c r="P286" s="661"/>
      <c r="Q286" s="661"/>
      <c r="R286" s="661"/>
      <c r="S286" s="661"/>
      <c r="T286" s="661"/>
      <c r="U286" s="661"/>
      <c r="V286" s="661"/>
      <c r="W286" s="661"/>
      <c r="X286" s="661"/>
      <c r="Y286" s="661"/>
      <c r="Z286" s="661"/>
      <c r="AA286" s="661"/>
      <c r="AB286" s="661"/>
    </row>
    <row r="287">
      <c r="A287" s="661"/>
      <c r="B287" s="661"/>
      <c r="C287" s="661"/>
      <c r="D287" s="662"/>
      <c r="E287" s="661"/>
      <c r="F287" s="661"/>
      <c r="G287" s="661"/>
      <c r="H287" s="661"/>
      <c r="I287" s="661"/>
      <c r="J287" s="661"/>
      <c r="K287" s="661"/>
      <c r="L287" s="661"/>
      <c r="M287" s="661"/>
      <c r="N287" s="661"/>
      <c r="O287" s="661"/>
      <c r="P287" s="661"/>
      <c r="Q287" s="661"/>
      <c r="R287" s="661"/>
      <c r="S287" s="661"/>
      <c r="T287" s="661"/>
      <c r="U287" s="661"/>
      <c r="V287" s="661"/>
      <c r="W287" s="661"/>
      <c r="X287" s="661"/>
      <c r="Y287" s="661"/>
      <c r="Z287" s="661"/>
      <c r="AA287" s="661"/>
      <c r="AB287" s="661"/>
    </row>
    <row r="288">
      <c r="A288" s="661"/>
      <c r="B288" s="661"/>
      <c r="C288" s="661"/>
      <c r="D288" s="662"/>
      <c r="E288" s="661"/>
      <c r="F288" s="661"/>
      <c r="G288" s="661"/>
      <c r="H288" s="661"/>
      <c r="I288" s="661"/>
      <c r="J288" s="661"/>
      <c r="K288" s="661"/>
      <c r="L288" s="661"/>
      <c r="M288" s="661"/>
      <c r="N288" s="661"/>
      <c r="O288" s="661"/>
      <c r="P288" s="661"/>
      <c r="Q288" s="661"/>
      <c r="R288" s="661"/>
      <c r="S288" s="661"/>
      <c r="T288" s="661"/>
      <c r="U288" s="661"/>
      <c r="V288" s="661"/>
      <c r="W288" s="661"/>
      <c r="X288" s="661"/>
      <c r="Y288" s="661"/>
      <c r="Z288" s="661"/>
      <c r="AA288" s="661"/>
      <c r="AB288" s="661"/>
    </row>
    <row r="289">
      <c r="A289" s="661"/>
      <c r="B289" s="661"/>
      <c r="C289" s="661"/>
      <c r="D289" s="662"/>
      <c r="E289" s="661"/>
      <c r="F289" s="661"/>
      <c r="G289" s="661"/>
      <c r="H289" s="661"/>
      <c r="I289" s="661"/>
      <c r="J289" s="661"/>
      <c r="K289" s="661"/>
      <c r="L289" s="661"/>
      <c r="M289" s="661"/>
      <c r="N289" s="661"/>
      <c r="O289" s="661"/>
      <c r="P289" s="661"/>
      <c r="Q289" s="661"/>
      <c r="R289" s="661"/>
      <c r="S289" s="661"/>
      <c r="T289" s="661"/>
      <c r="U289" s="661"/>
      <c r="V289" s="661"/>
      <c r="W289" s="661"/>
      <c r="X289" s="661"/>
      <c r="Y289" s="661"/>
      <c r="Z289" s="661"/>
      <c r="AA289" s="661"/>
      <c r="AB289" s="661"/>
    </row>
    <row r="290">
      <c r="A290" s="661"/>
      <c r="B290" s="661"/>
      <c r="C290" s="661"/>
      <c r="D290" s="662"/>
      <c r="E290" s="661"/>
      <c r="F290" s="661"/>
      <c r="G290" s="661"/>
      <c r="H290" s="661"/>
      <c r="I290" s="661"/>
      <c r="J290" s="661"/>
      <c r="K290" s="661"/>
      <c r="L290" s="661"/>
      <c r="M290" s="661"/>
      <c r="N290" s="661"/>
      <c r="O290" s="661"/>
      <c r="P290" s="661"/>
      <c r="Q290" s="661"/>
      <c r="R290" s="661"/>
      <c r="S290" s="661"/>
      <c r="T290" s="661"/>
      <c r="U290" s="661"/>
      <c r="V290" s="661"/>
      <c r="W290" s="661"/>
      <c r="X290" s="661"/>
      <c r="Y290" s="661"/>
      <c r="Z290" s="661"/>
      <c r="AA290" s="661"/>
      <c r="AB290" s="661"/>
    </row>
    <row r="291">
      <c r="A291" s="661"/>
      <c r="B291" s="661"/>
      <c r="C291" s="661"/>
      <c r="D291" s="662"/>
      <c r="E291" s="661"/>
      <c r="F291" s="661"/>
      <c r="G291" s="661"/>
      <c r="H291" s="661"/>
      <c r="I291" s="661"/>
      <c r="J291" s="661"/>
      <c r="K291" s="661"/>
      <c r="L291" s="661"/>
      <c r="M291" s="661"/>
      <c r="N291" s="661"/>
      <c r="O291" s="661"/>
      <c r="P291" s="661"/>
      <c r="Q291" s="661"/>
      <c r="R291" s="661"/>
      <c r="S291" s="661"/>
      <c r="T291" s="661"/>
      <c r="U291" s="661"/>
      <c r="V291" s="661"/>
      <c r="W291" s="661"/>
      <c r="X291" s="661"/>
      <c r="Y291" s="661"/>
      <c r="Z291" s="661"/>
      <c r="AA291" s="661"/>
      <c r="AB291" s="661"/>
    </row>
    <row r="292">
      <c r="A292" s="661"/>
      <c r="B292" s="661"/>
      <c r="C292" s="661"/>
      <c r="D292" s="662"/>
      <c r="E292" s="661"/>
      <c r="F292" s="661"/>
      <c r="G292" s="661"/>
      <c r="H292" s="661"/>
      <c r="I292" s="661"/>
      <c r="J292" s="661"/>
      <c r="K292" s="661"/>
      <c r="L292" s="661"/>
      <c r="M292" s="661"/>
      <c r="N292" s="661"/>
      <c r="O292" s="661"/>
      <c r="P292" s="661"/>
      <c r="Q292" s="661"/>
      <c r="R292" s="661"/>
      <c r="S292" s="661"/>
      <c r="T292" s="661"/>
      <c r="U292" s="661"/>
      <c r="V292" s="661"/>
      <c r="W292" s="661"/>
      <c r="X292" s="661"/>
      <c r="Y292" s="661"/>
      <c r="Z292" s="661"/>
      <c r="AA292" s="661"/>
      <c r="AB292" s="661"/>
    </row>
    <row r="293">
      <c r="A293" s="661"/>
      <c r="B293" s="661"/>
      <c r="C293" s="661"/>
      <c r="D293" s="662"/>
      <c r="E293" s="661"/>
      <c r="F293" s="661"/>
      <c r="G293" s="661"/>
      <c r="H293" s="661"/>
      <c r="I293" s="661"/>
      <c r="J293" s="661"/>
      <c r="K293" s="661"/>
      <c r="L293" s="661"/>
      <c r="M293" s="661"/>
      <c r="N293" s="661"/>
      <c r="O293" s="661"/>
      <c r="P293" s="661"/>
      <c r="Q293" s="661"/>
      <c r="R293" s="661"/>
      <c r="S293" s="661"/>
      <c r="T293" s="661"/>
      <c r="U293" s="661"/>
      <c r="V293" s="661"/>
      <c r="W293" s="661"/>
      <c r="X293" s="661"/>
      <c r="Y293" s="661"/>
      <c r="Z293" s="661"/>
      <c r="AA293" s="661"/>
      <c r="AB293" s="661"/>
    </row>
    <row r="294">
      <c r="A294" s="661"/>
      <c r="B294" s="661"/>
      <c r="C294" s="661"/>
      <c r="D294" s="662"/>
      <c r="E294" s="661"/>
      <c r="F294" s="661"/>
      <c r="G294" s="661"/>
      <c r="H294" s="661"/>
      <c r="I294" s="661"/>
      <c r="J294" s="661"/>
      <c r="K294" s="661"/>
      <c r="L294" s="661"/>
      <c r="M294" s="661"/>
      <c r="N294" s="661"/>
      <c r="O294" s="661"/>
      <c r="P294" s="661"/>
      <c r="Q294" s="661"/>
      <c r="R294" s="661"/>
      <c r="S294" s="661"/>
      <c r="T294" s="661"/>
      <c r="U294" s="661"/>
      <c r="V294" s="661"/>
      <c r="W294" s="661"/>
      <c r="X294" s="661"/>
      <c r="Y294" s="661"/>
      <c r="Z294" s="661"/>
      <c r="AA294" s="661"/>
      <c r="AB294" s="661"/>
    </row>
    <row r="295">
      <c r="A295" s="661"/>
      <c r="B295" s="661"/>
      <c r="C295" s="661"/>
      <c r="D295" s="662"/>
      <c r="E295" s="661"/>
      <c r="F295" s="661"/>
      <c r="G295" s="661"/>
      <c r="H295" s="661"/>
      <c r="I295" s="661"/>
      <c r="J295" s="661"/>
      <c r="K295" s="661"/>
      <c r="L295" s="661"/>
      <c r="M295" s="661"/>
      <c r="N295" s="661"/>
      <c r="O295" s="661"/>
      <c r="P295" s="661"/>
      <c r="Q295" s="661"/>
      <c r="R295" s="661"/>
      <c r="S295" s="661"/>
      <c r="T295" s="661"/>
      <c r="U295" s="661"/>
      <c r="V295" s="661"/>
      <c r="W295" s="661"/>
      <c r="X295" s="661"/>
      <c r="Y295" s="661"/>
      <c r="Z295" s="661"/>
      <c r="AA295" s="661"/>
      <c r="AB295" s="661"/>
    </row>
    <row r="296">
      <c r="A296" s="661"/>
      <c r="B296" s="661"/>
      <c r="C296" s="661"/>
      <c r="D296" s="662"/>
      <c r="E296" s="661"/>
      <c r="F296" s="661"/>
      <c r="G296" s="661"/>
      <c r="H296" s="661"/>
      <c r="I296" s="661"/>
      <c r="J296" s="661"/>
      <c r="K296" s="661"/>
      <c r="L296" s="661"/>
      <c r="M296" s="661"/>
      <c r="N296" s="661"/>
      <c r="O296" s="661"/>
      <c r="P296" s="661"/>
      <c r="Q296" s="661"/>
      <c r="R296" s="661"/>
      <c r="S296" s="661"/>
      <c r="T296" s="661"/>
      <c r="U296" s="661"/>
      <c r="V296" s="661"/>
      <c r="W296" s="661"/>
      <c r="X296" s="661"/>
      <c r="Y296" s="661"/>
      <c r="Z296" s="661"/>
      <c r="AA296" s="661"/>
      <c r="AB296" s="661"/>
    </row>
    <row r="297">
      <c r="A297" s="661"/>
      <c r="B297" s="661"/>
      <c r="C297" s="661"/>
      <c r="D297" s="662"/>
      <c r="E297" s="661"/>
      <c r="F297" s="661"/>
      <c r="G297" s="661"/>
      <c r="H297" s="661"/>
      <c r="I297" s="661"/>
      <c r="J297" s="661"/>
      <c r="K297" s="661"/>
      <c r="L297" s="661"/>
      <c r="M297" s="661"/>
      <c r="N297" s="661"/>
      <c r="O297" s="661"/>
      <c r="P297" s="661"/>
      <c r="Q297" s="661"/>
      <c r="R297" s="661"/>
      <c r="S297" s="661"/>
      <c r="T297" s="661"/>
      <c r="U297" s="661"/>
      <c r="V297" s="661"/>
      <c r="W297" s="661"/>
      <c r="X297" s="661"/>
      <c r="Y297" s="661"/>
      <c r="Z297" s="661"/>
      <c r="AA297" s="661"/>
      <c r="AB297" s="661"/>
    </row>
    <row r="298">
      <c r="A298" s="661"/>
      <c r="B298" s="661"/>
      <c r="C298" s="661"/>
      <c r="D298" s="662"/>
      <c r="E298" s="661"/>
      <c r="F298" s="661"/>
      <c r="G298" s="661"/>
      <c r="H298" s="661"/>
      <c r="I298" s="661"/>
      <c r="J298" s="661"/>
      <c r="K298" s="661"/>
      <c r="L298" s="661"/>
      <c r="M298" s="661"/>
      <c r="N298" s="661"/>
      <c r="O298" s="661"/>
      <c r="P298" s="661"/>
      <c r="Q298" s="661"/>
      <c r="R298" s="661"/>
      <c r="S298" s="661"/>
      <c r="T298" s="661"/>
      <c r="U298" s="661"/>
      <c r="V298" s="661"/>
      <c r="W298" s="661"/>
      <c r="X298" s="661"/>
      <c r="Y298" s="661"/>
      <c r="Z298" s="661"/>
      <c r="AA298" s="661"/>
      <c r="AB298" s="661"/>
    </row>
    <row r="299">
      <c r="A299" s="661"/>
      <c r="B299" s="661"/>
      <c r="C299" s="661"/>
      <c r="D299" s="662"/>
      <c r="E299" s="661"/>
      <c r="F299" s="661"/>
      <c r="G299" s="661"/>
      <c r="H299" s="661"/>
      <c r="I299" s="661"/>
      <c r="J299" s="661"/>
      <c r="K299" s="661"/>
      <c r="L299" s="661"/>
      <c r="M299" s="661"/>
      <c r="N299" s="661"/>
      <c r="O299" s="661"/>
      <c r="P299" s="661"/>
      <c r="Q299" s="661"/>
      <c r="R299" s="661"/>
      <c r="S299" s="661"/>
      <c r="T299" s="661"/>
      <c r="U299" s="661"/>
      <c r="V299" s="661"/>
      <c r="W299" s="661"/>
      <c r="X299" s="661"/>
      <c r="Y299" s="661"/>
      <c r="Z299" s="661"/>
      <c r="AA299" s="661"/>
      <c r="AB299" s="661"/>
    </row>
    <row r="300">
      <c r="A300" s="661"/>
      <c r="B300" s="661"/>
      <c r="C300" s="661"/>
      <c r="D300" s="662"/>
      <c r="E300" s="661"/>
      <c r="F300" s="661"/>
      <c r="G300" s="661"/>
      <c r="H300" s="661"/>
      <c r="I300" s="661"/>
      <c r="J300" s="661"/>
      <c r="K300" s="661"/>
      <c r="L300" s="661"/>
      <c r="M300" s="661"/>
      <c r="N300" s="661"/>
      <c r="O300" s="661"/>
      <c r="P300" s="661"/>
      <c r="Q300" s="661"/>
      <c r="R300" s="661"/>
      <c r="S300" s="661"/>
      <c r="T300" s="661"/>
      <c r="U300" s="661"/>
      <c r="V300" s="661"/>
      <c r="W300" s="661"/>
      <c r="X300" s="661"/>
      <c r="Y300" s="661"/>
      <c r="Z300" s="661"/>
      <c r="AA300" s="661"/>
      <c r="AB300" s="661"/>
    </row>
    <row r="301">
      <c r="A301" s="661"/>
      <c r="B301" s="661"/>
      <c r="C301" s="661"/>
      <c r="D301" s="662"/>
      <c r="E301" s="661"/>
      <c r="F301" s="661"/>
      <c r="G301" s="661"/>
      <c r="H301" s="661"/>
      <c r="I301" s="661"/>
      <c r="J301" s="661"/>
      <c r="K301" s="661"/>
      <c r="L301" s="661"/>
      <c r="M301" s="661"/>
      <c r="N301" s="661"/>
      <c r="O301" s="661"/>
      <c r="P301" s="661"/>
      <c r="Q301" s="661"/>
      <c r="R301" s="661"/>
      <c r="S301" s="661"/>
      <c r="T301" s="661"/>
      <c r="U301" s="661"/>
      <c r="V301" s="661"/>
      <c r="W301" s="661"/>
      <c r="X301" s="661"/>
      <c r="Y301" s="661"/>
      <c r="Z301" s="661"/>
      <c r="AA301" s="661"/>
      <c r="AB301" s="661"/>
    </row>
    <row r="302">
      <c r="A302" s="661"/>
      <c r="B302" s="661"/>
      <c r="C302" s="661"/>
      <c r="D302" s="662"/>
      <c r="E302" s="661"/>
      <c r="F302" s="661"/>
      <c r="G302" s="661"/>
      <c r="H302" s="661"/>
      <c r="I302" s="661"/>
      <c r="J302" s="661"/>
      <c r="K302" s="661"/>
      <c r="L302" s="661"/>
      <c r="M302" s="661"/>
      <c r="N302" s="661"/>
      <c r="O302" s="661"/>
      <c r="P302" s="661"/>
      <c r="Q302" s="661"/>
      <c r="R302" s="661"/>
      <c r="S302" s="661"/>
      <c r="T302" s="661"/>
      <c r="U302" s="661"/>
      <c r="V302" s="661"/>
      <c r="W302" s="661"/>
      <c r="X302" s="661"/>
      <c r="Y302" s="661"/>
      <c r="Z302" s="661"/>
      <c r="AA302" s="661"/>
      <c r="AB302" s="661"/>
    </row>
    <row r="303">
      <c r="A303" s="661"/>
      <c r="B303" s="661"/>
      <c r="C303" s="661"/>
      <c r="D303" s="662"/>
      <c r="E303" s="661"/>
      <c r="F303" s="661"/>
      <c r="G303" s="661"/>
      <c r="H303" s="661"/>
      <c r="I303" s="661"/>
      <c r="J303" s="661"/>
      <c r="K303" s="661"/>
      <c r="L303" s="661"/>
      <c r="M303" s="661"/>
      <c r="N303" s="661"/>
      <c r="O303" s="661"/>
      <c r="P303" s="661"/>
      <c r="Q303" s="661"/>
      <c r="R303" s="661"/>
      <c r="S303" s="661"/>
      <c r="T303" s="661"/>
      <c r="U303" s="661"/>
      <c r="V303" s="661"/>
      <c r="W303" s="661"/>
      <c r="X303" s="661"/>
      <c r="Y303" s="661"/>
      <c r="Z303" s="661"/>
      <c r="AA303" s="661"/>
      <c r="AB303" s="661"/>
    </row>
    <row r="304">
      <c r="A304" s="661"/>
      <c r="B304" s="661"/>
      <c r="C304" s="661"/>
      <c r="D304" s="662"/>
      <c r="E304" s="661"/>
      <c r="F304" s="661"/>
      <c r="G304" s="661"/>
      <c r="H304" s="661"/>
      <c r="I304" s="661"/>
      <c r="J304" s="661"/>
      <c r="K304" s="661"/>
      <c r="L304" s="661"/>
      <c r="M304" s="661"/>
      <c r="N304" s="661"/>
      <c r="O304" s="661"/>
      <c r="P304" s="661"/>
      <c r="Q304" s="661"/>
      <c r="R304" s="661"/>
      <c r="S304" s="661"/>
      <c r="T304" s="661"/>
      <c r="U304" s="661"/>
      <c r="V304" s="661"/>
      <c r="W304" s="661"/>
      <c r="X304" s="661"/>
      <c r="Y304" s="661"/>
      <c r="Z304" s="661"/>
      <c r="AA304" s="661"/>
      <c r="AB304" s="661"/>
    </row>
    <row r="305">
      <c r="A305" s="661"/>
      <c r="B305" s="661"/>
      <c r="C305" s="661"/>
      <c r="D305" s="662"/>
      <c r="E305" s="661"/>
      <c r="F305" s="661"/>
      <c r="G305" s="661"/>
      <c r="H305" s="661"/>
      <c r="I305" s="661"/>
      <c r="J305" s="661"/>
      <c r="K305" s="661"/>
      <c r="L305" s="661"/>
      <c r="M305" s="661"/>
      <c r="N305" s="661"/>
      <c r="O305" s="661"/>
      <c r="P305" s="661"/>
      <c r="Q305" s="661"/>
      <c r="R305" s="661"/>
      <c r="S305" s="661"/>
      <c r="T305" s="661"/>
      <c r="U305" s="661"/>
      <c r="V305" s="661"/>
      <c r="W305" s="661"/>
      <c r="X305" s="661"/>
      <c r="Y305" s="661"/>
      <c r="Z305" s="661"/>
      <c r="AA305" s="661"/>
      <c r="AB305" s="661"/>
    </row>
    <row r="306">
      <c r="A306" s="661"/>
      <c r="B306" s="661"/>
      <c r="C306" s="661"/>
      <c r="D306" s="662"/>
      <c r="E306" s="661"/>
      <c r="F306" s="661"/>
      <c r="G306" s="661"/>
      <c r="H306" s="661"/>
      <c r="I306" s="661"/>
      <c r="J306" s="661"/>
      <c r="K306" s="661"/>
      <c r="L306" s="661"/>
      <c r="M306" s="661"/>
      <c r="N306" s="661"/>
      <c r="O306" s="661"/>
      <c r="P306" s="661"/>
      <c r="Q306" s="661"/>
      <c r="R306" s="661"/>
      <c r="S306" s="661"/>
      <c r="T306" s="661"/>
      <c r="U306" s="661"/>
      <c r="V306" s="661"/>
      <c r="W306" s="661"/>
      <c r="X306" s="661"/>
      <c r="Y306" s="661"/>
      <c r="Z306" s="661"/>
      <c r="AA306" s="661"/>
      <c r="AB306" s="661"/>
    </row>
    <row r="307">
      <c r="A307" s="661"/>
      <c r="B307" s="661"/>
      <c r="C307" s="661"/>
      <c r="D307" s="662"/>
      <c r="E307" s="661"/>
      <c r="F307" s="661"/>
      <c r="G307" s="661"/>
      <c r="H307" s="661"/>
      <c r="I307" s="661"/>
      <c r="J307" s="661"/>
      <c r="K307" s="661"/>
      <c r="L307" s="661"/>
      <c r="M307" s="661"/>
      <c r="N307" s="661"/>
      <c r="O307" s="661"/>
      <c r="P307" s="661"/>
      <c r="Q307" s="661"/>
      <c r="R307" s="661"/>
      <c r="S307" s="661"/>
      <c r="T307" s="661"/>
      <c r="U307" s="661"/>
      <c r="V307" s="661"/>
      <c r="W307" s="661"/>
      <c r="X307" s="661"/>
      <c r="Y307" s="661"/>
      <c r="Z307" s="661"/>
      <c r="AA307" s="661"/>
      <c r="AB307" s="661"/>
    </row>
    <row r="308">
      <c r="A308" s="661"/>
      <c r="B308" s="661"/>
      <c r="C308" s="661"/>
      <c r="D308" s="662"/>
      <c r="E308" s="661"/>
      <c r="F308" s="661"/>
      <c r="G308" s="661"/>
      <c r="H308" s="661"/>
      <c r="I308" s="661"/>
      <c r="J308" s="661"/>
      <c r="K308" s="661"/>
      <c r="L308" s="661"/>
      <c r="M308" s="661"/>
      <c r="N308" s="661"/>
      <c r="O308" s="661"/>
      <c r="P308" s="661"/>
      <c r="Q308" s="661"/>
      <c r="R308" s="661"/>
      <c r="S308" s="661"/>
      <c r="T308" s="661"/>
      <c r="U308" s="661"/>
      <c r="V308" s="661"/>
      <c r="W308" s="661"/>
      <c r="X308" s="661"/>
      <c r="Y308" s="661"/>
      <c r="Z308" s="661"/>
      <c r="AA308" s="661"/>
      <c r="AB308" s="661"/>
    </row>
    <row r="309">
      <c r="A309" s="661"/>
      <c r="B309" s="661"/>
      <c r="C309" s="661"/>
      <c r="D309" s="662"/>
      <c r="E309" s="661"/>
      <c r="F309" s="661"/>
      <c r="G309" s="661"/>
      <c r="H309" s="661"/>
      <c r="I309" s="661"/>
      <c r="J309" s="661"/>
      <c r="K309" s="661"/>
      <c r="L309" s="661"/>
      <c r="M309" s="661"/>
      <c r="N309" s="661"/>
      <c r="O309" s="661"/>
      <c r="P309" s="661"/>
      <c r="Q309" s="661"/>
      <c r="R309" s="661"/>
      <c r="S309" s="661"/>
      <c r="T309" s="661"/>
      <c r="U309" s="661"/>
      <c r="V309" s="661"/>
      <c r="W309" s="661"/>
      <c r="X309" s="661"/>
      <c r="Y309" s="661"/>
      <c r="Z309" s="661"/>
      <c r="AA309" s="661"/>
      <c r="AB309" s="661"/>
    </row>
    <row r="310">
      <c r="A310" s="661"/>
      <c r="B310" s="661"/>
      <c r="C310" s="661"/>
      <c r="D310" s="662"/>
      <c r="E310" s="661"/>
      <c r="F310" s="661"/>
      <c r="G310" s="661"/>
      <c r="H310" s="661"/>
      <c r="I310" s="661"/>
      <c r="J310" s="661"/>
      <c r="K310" s="661"/>
      <c r="L310" s="661"/>
      <c r="M310" s="661"/>
      <c r="N310" s="661"/>
      <c r="O310" s="661"/>
      <c r="P310" s="661"/>
      <c r="Q310" s="661"/>
      <c r="R310" s="661"/>
      <c r="S310" s="661"/>
      <c r="T310" s="661"/>
      <c r="U310" s="661"/>
      <c r="V310" s="661"/>
      <c r="W310" s="661"/>
      <c r="X310" s="661"/>
      <c r="Y310" s="661"/>
      <c r="Z310" s="661"/>
      <c r="AA310" s="661"/>
      <c r="AB310" s="661"/>
    </row>
    <row r="311">
      <c r="A311" s="661"/>
      <c r="B311" s="661"/>
      <c r="C311" s="661"/>
      <c r="D311" s="662"/>
      <c r="E311" s="661"/>
      <c r="F311" s="661"/>
      <c r="G311" s="661"/>
      <c r="H311" s="661"/>
      <c r="I311" s="661"/>
      <c r="J311" s="661"/>
      <c r="K311" s="661"/>
      <c r="L311" s="661"/>
      <c r="M311" s="661"/>
      <c r="N311" s="661"/>
      <c r="O311" s="661"/>
      <c r="P311" s="661"/>
      <c r="Q311" s="661"/>
      <c r="R311" s="661"/>
      <c r="S311" s="661"/>
      <c r="T311" s="661"/>
      <c r="U311" s="661"/>
      <c r="V311" s="661"/>
      <c r="W311" s="661"/>
      <c r="X311" s="661"/>
      <c r="Y311" s="661"/>
      <c r="Z311" s="661"/>
      <c r="AA311" s="661"/>
      <c r="AB311" s="661"/>
    </row>
    <row r="312">
      <c r="A312" s="661"/>
      <c r="B312" s="661"/>
      <c r="C312" s="661"/>
      <c r="D312" s="662"/>
      <c r="E312" s="661"/>
      <c r="F312" s="661"/>
      <c r="G312" s="661"/>
      <c r="H312" s="661"/>
      <c r="I312" s="661"/>
      <c r="J312" s="661"/>
      <c r="K312" s="661"/>
      <c r="L312" s="661"/>
      <c r="M312" s="661"/>
      <c r="N312" s="661"/>
      <c r="O312" s="661"/>
      <c r="P312" s="661"/>
      <c r="Q312" s="661"/>
      <c r="R312" s="661"/>
      <c r="S312" s="661"/>
      <c r="T312" s="661"/>
      <c r="U312" s="661"/>
      <c r="V312" s="661"/>
      <c r="W312" s="661"/>
      <c r="X312" s="661"/>
      <c r="Y312" s="661"/>
      <c r="Z312" s="661"/>
      <c r="AA312" s="661"/>
      <c r="AB312" s="661"/>
    </row>
    <row r="313">
      <c r="A313" s="661"/>
      <c r="B313" s="661"/>
      <c r="C313" s="661"/>
      <c r="D313" s="662"/>
      <c r="E313" s="661"/>
      <c r="F313" s="661"/>
      <c r="G313" s="661"/>
      <c r="H313" s="661"/>
      <c r="I313" s="661"/>
      <c r="J313" s="661"/>
      <c r="K313" s="661"/>
      <c r="L313" s="661"/>
      <c r="M313" s="661"/>
      <c r="N313" s="661"/>
      <c r="O313" s="661"/>
      <c r="P313" s="661"/>
      <c r="Q313" s="661"/>
      <c r="R313" s="661"/>
      <c r="S313" s="661"/>
      <c r="T313" s="661"/>
      <c r="U313" s="661"/>
      <c r="V313" s="661"/>
      <c r="W313" s="661"/>
      <c r="X313" s="661"/>
      <c r="Y313" s="661"/>
      <c r="Z313" s="661"/>
      <c r="AA313" s="661"/>
      <c r="AB313" s="661"/>
    </row>
    <row r="314">
      <c r="A314" s="661"/>
      <c r="B314" s="661"/>
      <c r="C314" s="661"/>
      <c r="D314" s="662"/>
      <c r="E314" s="661"/>
      <c r="F314" s="661"/>
      <c r="G314" s="661"/>
      <c r="H314" s="661"/>
      <c r="I314" s="661"/>
      <c r="J314" s="661"/>
      <c r="K314" s="661"/>
      <c r="L314" s="661"/>
      <c r="M314" s="661"/>
      <c r="N314" s="661"/>
      <c r="O314" s="661"/>
      <c r="P314" s="661"/>
      <c r="Q314" s="661"/>
      <c r="R314" s="661"/>
      <c r="S314" s="661"/>
      <c r="T314" s="661"/>
      <c r="U314" s="661"/>
      <c r="V314" s="661"/>
      <c r="W314" s="661"/>
      <c r="X314" s="661"/>
      <c r="Y314" s="661"/>
      <c r="Z314" s="661"/>
      <c r="AA314" s="661"/>
      <c r="AB314" s="661"/>
    </row>
    <row r="315">
      <c r="A315" s="661"/>
      <c r="B315" s="661"/>
      <c r="C315" s="661"/>
      <c r="D315" s="662"/>
      <c r="E315" s="661"/>
      <c r="F315" s="661"/>
      <c r="G315" s="661"/>
      <c r="H315" s="661"/>
      <c r="I315" s="661"/>
      <c r="J315" s="661"/>
      <c r="K315" s="661"/>
      <c r="L315" s="661"/>
      <c r="M315" s="661"/>
      <c r="N315" s="661"/>
      <c r="O315" s="661"/>
      <c r="P315" s="661"/>
      <c r="Q315" s="661"/>
      <c r="R315" s="661"/>
      <c r="S315" s="661"/>
      <c r="T315" s="661"/>
      <c r="U315" s="661"/>
      <c r="V315" s="661"/>
      <c r="W315" s="661"/>
      <c r="X315" s="661"/>
      <c r="Y315" s="661"/>
      <c r="Z315" s="661"/>
      <c r="AA315" s="661"/>
      <c r="AB315" s="661"/>
    </row>
    <row r="316">
      <c r="A316" s="661"/>
      <c r="B316" s="661"/>
      <c r="C316" s="661"/>
      <c r="D316" s="662"/>
      <c r="E316" s="661"/>
      <c r="F316" s="661"/>
      <c r="G316" s="661"/>
      <c r="H316" s="661"/>
      <c r="I316" s="661"/>
      <c r="J316" s="661"/>
      <c r="K316" s="661"/>
      <c r="L316" s="661"/>
      <c r="M316" s="661"/>
      <c r="N316" s="661"/>
      <c r="O316" s="661"/>
      <c r="P316" s="661"/>
      <c r="Q316" s="661"/>
      <c r="R316" s="661"/>
      <c r="S316" s="661"/>
      <c r="T316" s="661"/>
      <c r="U316" s="661"/>
      <c r="V316" s="661"/>
      <c r="W316" s="661"/>
      <c r="X316" s="661"/>
      <c r="Y316" s="661"/>
      <c r="Z316" s="661"/>
      <c r="AA316" s="661"/>
      <c r="AB316" s="661"/>
    </row>
    <row r="317">
      <c r="A317" s="661"/>
      <c r="B317" s="661"/>
      <c r="C317" s="661"/>
      <c r="D317" s="662"/>
      <c r="E317" s="661"/>
      <c r="F317" s="661"/>
      <c r="G317" s="661"/>
      <c r="H317" s="661"/>
      <c r="I317" s="661"/>
      <c r="J317" s="661"/>
      <c r="K317" s="661"/>
      <c r="L317" s="661"/>
      <c r="M317" s="661"/>
      <c r="N317" s="661"/>
      <c r="O317" s="661"/>
      <c r="P317" s="661"/>
      <c r="Q317" s="661"/>
      <c r="R317" s="661"/>
      <c r="S317" s="661"/>
      <c r="T317" s="661"/>
      <c r="U317" s="661"/>
      <c r="V317" s="661"/>
      <c r="W317" s="661"/>
      <c r="X317" s="661"/>
      <c r="Y317" s="661"/>
      <c r="Z317" s="661"/>
      <c r="AA317" s="661"/>
      <c r="AB317" s="661"/>
    </row>
    <row r="318">
      <c r="A318" s="661"/>
      <c r="B318" s="661"/>
      <c r="C318" s="661"/>
      <c r="D318" s="662"/>
      <c r="E318" s="661"/>
      <c r="F318" s="661"/>
      <c r="G318" s="661"/>
      <c r="H318" s="661"/>
      <c r="I318" s="661"/>
      <c r="J318" s="661"/>
      <c r="K318" s="661"/>
      <c r="L318" s="661"/>
      <c r="M318" s="661"/>
      <c r="N318" s="661"/>
      <c r="O318" s="661"/>
      <c r="P318" s="661"/>
      <c r="Q318" s="661"/>
      <c r="R318" s="661"/>
      <c r="S318" s="661"/>
      <c r="T318" s="661"/>
      <c r="U318" s="661"/>
      <c r="V318" s="661"/>
      <c r="W318" s="661"/>
      <c r="X318" s="661"/>
      <c r="Y318" s="661"/>
      <c r="Z318" s="661"/>
      <c r="AA318" s="661"/>
      <c r="AB318" s="661"/>
    </row>
    <row r="319">
      <c r="A319" s="661"/>
      <c r="B319" s="661"/>
      <c r="C319" s="661"/>
      <c r="D319" s="662"/>
      <c r="E319" s="661"/>
      <c r="F319" s="661"/>
      <c r="G319" s="661"/>
      <c r="H319" s="661"/>
      <c r="I319" s="661"/>
      <c r="J319" s="661"/>
      <c r="K319" s="661"/>
      <c r="L319" s="661"/>
      <c r="M319" s="661"/>
      <c r="N319" s="661"/>
      <c r="O319" s="661"/>
      <c r="P319" s="661"/>
      <c r="Q319" s="661"/>
      <c r="R319" s="661"/>
      <c r="S319" s="661"/>
      <c r="T319" s="661"/>
      <c r="U319" s="661"/>
      <c r="V319" s="661"/>
      <c r="W319" s="661"/>
      <c r="X319" s="661"/>
      <c r="Y319" s="661"/>
      <c r="Z319" s="661"/>
      <c r="AA319" s="661"/>
      <c r="AB319" s="661"/>
    </row>
    <row r="320">
      <c r="A320" s="661"/>
      <c r="B320" s="661"/>
      <c r="C320" s="661"/>
      <c r="D320" s="662"/>
      <c r="E320" s="661"/>
      <c r="F320" s="661"/>
      <c r="G320" s="661"/>
      <c r="H320" s="661"/>
      <c r="I320" s="661"/>
      <c r="J320" s="661"/>
      <c r="K320" s="661"/>
      <c r="L320" s="661"/>
      <c r="M320" s="661"/>
      <c r="N320" s="661"/>
      <c r="O320" s="661"/>
      <c r="P320" s="661"/>
      <c r="Q320" s="661"/>
      <c r="R320" s="661"/>
      <c r="S320" s="661"/>
      <c r="T320" s="661"/>
      <c r="U320" s="661"/>
      <c r="V320" s="661"/>
      <c r="W320" s="661"/>
      <c r="X320" s="661"/>
      <c r="Y320" s="661"/>
      <c r="Z320" s="661"/>
      <c r="AA320" s="661"/>
      <c r="AB320" s="661"/>
    </row>
    <row r="321">
      <c r="A321" s="661"/>
      <c r="B321" s="661"/>
      <c r="C321" s="661"/>
      <c r="D321" s="662"/>
      <c r="E321" s="661"/>
      <c r="F321" s="661"/>
      <c r="G321" s="661"/>
      <c r="H321" s="661"/>
      <c r="I321" s="661"/>
      <c r="J321" s="661"/>
      <c r="K321" s="661"/>
      <c r="L321" s="661"/>
      <c r="M321" s="661"/>
      <c r="N321" s="661"/>
      <c r="O321" s="661"/>
      <c r="P321" s="661"/>
      <c r="Q321" s="661"/>
      <c r="R321" s="661"/>
      <c r="S321" s="661"/>
      <c r="T321" s="661"/>
      <c r="U321" s="661"/>
      <c r="V321" s="661"/>
      <c r="W321" s="661"/>
      <c r="X321" s="661"/>
      <c r="Y321" s="661"/>
      <c r="Z321" s="661"/>
      <c r="AA321" s="661"/>
      <c r="AB321" s="661"/>
    </row>
    <row r="322">
      <c r="A322" s="661"/>
      <c r="B322" s="661"/>
      <c r="C322" s="661"/>
      <c r="D322" s="662"/>
      <c r="E322" s="661"/>
      <c r="F322" s="661"/>
      <c r="G322" s="661"/>
      <c r="H322" s="661"/>
      <c r="I322" s="661"/>
      <c r="J322" s="661"/>
      <c r="K322" s="661"/>
      <c r="L322" s="661"/>
      <c r="M322" s="661"/>
      <c r="N322" s="661"/>
      <c r="O322" s="661"/>
      <c r="P322" s="661"/>
      <c r="Q322" s="661"/>
      <c r="R322" s="661"/>
      <c r="S322" s="661"/>
      <c r="T322" s="661"/>
      <c r="U322" s="661"/>
      <c r="V322" s="661"/>
      <c r="W322" s="661"/>
      <c r="X322" s="661"/>
      <c r="Y322" s="661"/>
      <c r="Z322" s="661"/>
      <c r="AA322" s="661"/>
      <c r="AB322" s="661"/>
    </row>
    <row r="323">
      <c r="A323" s="661"/>
      <c r="B323" s="661"/>
      <c r="C323" s="661"/>
      <c r="D323" s="662"/>
      <c r="E323" s="661"/>
      <c r="F323" s="661"/>
      <c r="G323" s="661"/>
      <c r="H323" s="661"/>
      <c r="I323" s="661"/>
      <c r="J323" s="661"/>
      <c r="K323" s="661"/>
      <c r="L323" s="661"/>
      <c r="M323" s="661"/>
      <c r="N323" s="661"/>
      <c r="O323" s="661"/>
      <c r="P323" s="661"/>
      <c r="Q323" s="661"/>
      <c r="R323" s="661"/>
      <c r="S323" s="661"/>
      <c r="T323" s="661"/>
      <c r="U323" s="661"/>
      <c r="V323" s="661"/>
      <c r="W323" s="661"/>
      <c r="X323" s="661"/>
      <c r="Y323" s="661"/>
      <c r="Z323" s="661"/>
      <c r="AA323" s="661"/>
      <c r="AB323" s="661"/>
    </row>
    <row r="324">
      <c r="A324" s="661"/>
      <c r="B324" s="661"/>
      <c r="C324" s="661"/>
      <c r="D324" s="662"/>
      <c r="E324" s="661"/>
      <c r="F324" s="661"/>
      <c r="G324" s="661"/>
      <c r="H324" s="661"/>
      <c r="I324" s="661"/>
      <c r="J324" s="661"/>
      <c r="K324" s="661"/>
      <c r="L324" s="661"/>
      <c r="M324" s="661"/>
      <c r="N324" s="661"/>
      <c r="O324" s="661"/>
      <c r="P324" s="661"/>
      <c r="Q324" s="661"/>
      <c r="R324" s="661"/>
      <c r="S324" s="661"/>
      <c r="T324" s="661"/>
      <c r="U324" s="661"/>
      <c r="V324" s="661"/>
      <c r="W324" s="661"/>
      <c r="X324" s="661"/>
      <c r="Y324" s="661"/>
      <c r="Z324" s="661"/>
      <c r="AA324" s="661"/>
      <c r="AB324" s="661"/>
    </row>
    <row r="325">
      <c r="A325" s="661"/>
      <c r="B325" s="661"/>
      <c r="C325" s="661"/>
      <c r="D325" s="662"/>
      <c r="E325" s="661"/>
      <c r="F325" s="661"/>
      <c r="G325" s="661"/>
      <c r="H325" s="661"/>
      <c r="I325" s="661"/>
      <c r="J325" s="661"/>
      <c r="K325" s="661"/>
      <c r="L325" s="661"/>
      <c r="M325" s="661"/>
      <c r="N325" s="661"/>
      <c r="O325" s="661"/>
      <c r="P325" s="661"/>
      <c r="Q325" s="661"/>
      <c r="R325" s="661"/>
      <c r="S325" s="661"/>
      <c r="T325" s="661"/>
      <c r="U325" s="661"/>
      <c r="V325" s="661"/>
      <c r="W325" s="661"/>
      <c r="X325" s="661"/>
      <c r="Y325" s="661"/>
      <c r="Z325" s="661"/>
      <c r="AA325" s="661"/>
      <c r="AB325" s="661"/>
    </row>
    <row r="326">
      <c r="A326" s="661"/>
      <c r="B326" s="661"/>
      <c r="C326" s="661"/>
      <c r="D326" s="662"/>
      <c r="E326" s="661"/>
      <c r="F326" s="661"/>
      <c r="G326" s="661"/>
      <c r="H326" s="661"/>
      <c r="I326" s="661"/>
      <c r="J326" s="661"/>
      <c r="K326" s="661"/>
      <c r="L326" s="661"/>
      <c r="M326" s="661"/>
      <c r="N326" s="661"/>
      <c r="O326" s="661"/>
      <c r="P326" s="661"/>
      <c r="Q326" s="661"/>
      <c r="R326" s="661"/>
      <c r="S326" s="661"/>
      <c r="T326" s="661"/>
      <c r="U326" s="661"/>
      <c r="V326" s="661"/>
      <c r="W326" s="661"/>
      <c r="X326" s="661"/>
      <c r="Y326" s="661"/>
      <c r="Z326" s="661"/>
      <c r="AA326" s="661"/>
      <c r="AB326" s="661"/>
    </row>
    <row r="327">
      <c r="A327" s="661"/>
      <c r="B327" s="661"/>
      <c r="C327" s="661"/>
      <c r="D327" s="662"/>
      <c r="E327" s="661"/>
      <c r="F327" s="661"/>
      <c r="G327" s="661"/>
      <c r="H327" s="661"/>
      <c r="I327" s="661"/>
      <c r="J327" s="661"/>
      <c r="K327" s="661"/>
      <c r="L327" s="661"/>
      <c r="M327" s="661"/>
      <c r="N327" s="661"/>
      <c r="O327" s="661"/>
      <c r="P327" s="661"/>
      <c r="Q327" s="661"/>
      <c r="R327" s="661"/>
      <c r="S327" s="661"/>
      <c r="T327" s="661"/>
      <c r="U327" s="661"/>
      <c r="V327" s="661"/>
      <c r="W327" s="661"/>
      <c r="X327" s="661"/>
      <c r="Y327" s="661"/>
      <c r="Z327" s="661"/>
      <c r="AA327" s="661"/>
      <c r="AB327" s="661"/>
    </row>
    <row r="328">
      <c r="A328" s="661"/>
      <c r="B328" s="661"/>
      <c r="C328" s="661"/>
      <c r="D328" s="662"/>
      <c r="E328" s="661"/>
      <c r="F328" s="661"/>
      <c r="G328" s="661"/>
      <c r="H328" s="661"/>
      <c r="I328" s="661"/>
      <c r="J328" s="661"/>
      <c r="K328" s="661"/>
      <c r="L328" s="661"/>
      <c r="M328" s="661"/>
      <c r="N328" s="661"/>
      <c r="O328" s="661"/>
      <c r="P328" s="661"/>
      <c r="Q328" s="661"/>
      <c r="R328" s="661"/>
      <c r="S328" s="661"/>
      <c r="T328" s="661"/>
      <c r="U328" s="661"/>
      <c r="V328" s="661"/>
      <c r="W328" s="661"/>
      <c r="X328" s="661"/>
      <c r="Y328" s="661"/>
      <c r="Z328" s="661"/>
      <c r="AA328" s="661"/>
      <c r="AB328" s="661"/>
    </row>
    <row r="329">
      <c r="A329" s="661"/>
      <c r="B329" s="661"/>
      <c r="C329" s="661"/>
      <c r="D329" s="662"/>
      <c r="E329" s="661"/>
      <c r="F329" s="661"/>
      <c r="G329" s="661"/>
      <c r="H329" s="661"/>
      <c r="I329" s="661"/>
      <c r="J329" s="661"/>
      <c r="K329" s="661"/>
      <c r="L329" s="661"/>
      <c r="M329" s="661"/>
      <c r="N329" s="661"/>
      <c r="O329" s="661"/>
      <c r="P329" s="661"/>
      <c r="Q329" s="661"/>
      <c r="R329" s="661"/>
      <c r="S329" s="661"/>
      <c r="T329" s="661"/>
      <c r="U329" s="661"/>
      <c r="V329" s="661"/>
      <c r="W329" s="661"/>
      <c r="X329" s="661"/>
      <c r="Y329" s="661"/>
      <c r="Z329" s="661"/>
      <c r="AA329" s="661"/>
      <c r="AB329" s="661"/>
    </row>
    <row r="330">
      <c r="A330" s="661"/>
      <c r="B330" s="661"/>
      <c r="C330" s="661"/>
      <c r="D330" s="662"/>
      <c r="E330" s="661"/>
      <c r="F330" s="661"/>
      <c r="G330" s="661"/>
      <c r="H330" s="661"/>
      <c r="I330" s="661"/>
      <c r="J330" s="661"/>
      <c r="K330" s="661"/>
      <c r="L330" s="661"/>
      <c r="M330" s="661"/>
      <c r="N330" s="661"/>
      <c r="O330" s="661"/>
      <c r="P330" s="661"/>
      <c r="Q330" s="661"/>
      <c r="R330" s="661"/>
      <c r="S330" s="661"/>
      <c r="T330" s="661"/>
      <c r="U330" s="661"/>
      <c r="V330" s="661"/>
      <c r="W330" s="661"/>
      <c r="X330" s="661"/>
      <c r="Y330" s="661"/>
      <c r="Z330" s="661"/>
      <c r="AA330" s="661"/>
      <c r="AB330" s="661"/>
    </row>
    <row r="331">
      <c r="A331" s="661"/>
      <c r="B331" s="661"/>
      <c r="C331" s="661"/>
      <c r="D331" s="662"/>
      <c r="E331" s="661"/>
      <c r="F331" s="661"/>
      <c r="G331" s="661"/>
      <c r="H331" s="661"/>
      <c r="I331" s="661"/>
      <c r="J331" s="661"/>
      <c r="K331" s="661"/>
      <c r="L331" s="661"/>
      <c r="M331" s="661"/>
      <c r="N331" s="661"/>
      <c r="O331" s="661"/>
      <c r="P331" s="661"/>
      <c r="Q331" s="661"/>
      <c r="R331" s="661"/>
      <c r="S331" s="661"/>
      <c r="T331" s="661"/>
      <c r="U331" s="661"/>
      <c r="V331" s="661"/>
      <c r="W331" s="661"/>
      <c r="X331" s="661"/>
      <c r="Y331" s="661"/>
      <c r="Z331" s="661"/>
      <c r="AA331" s="661"/>
      <c r="AB331" s="661"/>
    </row>
    <row r="332">
      <c r="A332" s="661"/>
      <c r="B332" s="661"/>
      <c r="C332" s="661"/>
      <c r="D332" s="662"/>
      <c r="E332" s="661"/>
      <c r="F332" s="661"/>
      <c r="G332" s="661"/>
      <c r="H332" s="661"/>
      <c r="I332" s="661"/>
      <c r="J332" s="661"/>
      <c r="K332" s="661"/>
      <c r="L332" s="661"/>
      <c r="M332" s="661"/>
      <c r="N332" s="661"/>
      <c r="O332" s="661"/>
      <c r="P332" s="661"/>
      <c r="Q332" s="661"/>
      <c r="R332" s="661"/>
      <c r="S332" s="661"/>
      <c r="T332" s="661"/>
      <c r="U332" s="661"/>
      <c r="V332" s="661"/>
      <c r="W332" s="661"/>
      <c r="X332" s="661"/>
      <c r="Y332" s="661"/>
      <c r="Z332" s="661"/>
      <c r="AA332" s="661"/>
      <c r="AB332" s="661"/>
    </row>
    <row r="333">
      <c r="A333" s="661"/>
      <c r="B333" s="661"/>
      <c r="C333" s="661"/>
      <c r="D333" s="662"/>
      <c r="E333" s="661"/>
      <c r="F333" s="661"/>
      <c r="G333" s="661"/>
      <c r="H333" s="661"/>
      <c r="I333" s="661"/>
      <c r="J333" s="661"/>
      <c r="K333" s="661"/>
      <c r="L333" s="661"/>
      <c r="M333" s="661"/>
      <c r="N333" s="661"/>
      <c r="O333" s="661"/>
      <c r="P333" s="661"/>
      <c r="Q333" s="661"/>
      <c r="R333" s="661"/>
      <c r="S333" s="661"/>
      <c r="T333" s="661"/>
      <c r="U333" s="661"/>
      <c r="V333" s="661"/>
      <c r="W333" s="661"/>
      <c r="X333" s="661"/>
      <c r="Y333" s="661"/>
      <c r="Z333" s="661"/>
      <c r="AA333" s="661"/>
      <c r="AB333" s="661"/>
    </row>
    <row r="334">
      <c r="A334" s="661"/>
      <c r="B334" s="661"/>
      <c r="C334" s="661"/>
      <c r="D334" s="662"/>
      <c r="E334" s="661"/>
      <c r="F334" s="661"/>
      <c r="G334" s="661"/>
      <c r="H334" s="661"/>
      <c r="I334" s="661"/>
      <c r="J334" s="661"/>
      <c r="K334" s="661"/>
      <c r="L334" s="661"/>
      <c r="M334" s="661"/>
      <c r="N334" s="661"/>
      <c r="O334" s="661"/>
      <c r="P334" s="661"/>
      <c r="Q334" s="661"/>
      <c r="R334" s="661"/>
      <c r="S334" s="661"/>
      <c r="T334" s="661"/>
      <c r="U334" s="661"/>
      <c r="V334" s="661"/>
      <c r="W334" s="661"/>
      <c r="X334" s="661"/>
      <c r="Y334" s="661"/>
      <c r="Z334" s="661"/>
      <c r="AA334" s="661"/>
      <c r="AB334" s="661"/>
    </row>
    <row r="335">
      <c r="A335" s="661"/>
      <c r="B335" s="661"/>
      <c r="C335" s="661"/>
      <c r="D335" s="662"/>
      <c r="E335" s="661"/>
      <c r="F335" s="661"/>
      <c r="G335" s="661"/>
      <c r="H335" s="661"/>
      <c r="I335" s="661"/>
      <c r="J335" s="661"/>
      <c r="K335" s="661"/>
      <c r="L335" s="661"/>
      <c r="M335" s="661"/>
      <c r="N335" s="661"/>
      <c r="O335" s="661"/>
      <c r="P335" s="661"/>
      <c r="Q335" s="661"/>
      <c r="R335" s="661"/>
      <c r="S335" s="661"/>
      <c r="T335" s="661"/>
      <c r="U335" s="661"/>
      <c r="V335" s="661"/>
      <c r="W335" s="661"/>
      <c r="X335" s="661"/>
      <c r="Y335" s="661"/>
      <c r="Z335" s="661"/>
      <c r="AA335" s="661"/>
      <c r="AB335" s="661"/>
    </row>
    <row r="336">
      <c r="A336" s="661"/>
      <c r="B336" s="661"/>
      <c r="C336" s="661"/>
      <c r="D336" s="662"/>
      <c r="E336" s="661"/>
      <c r="F336" s="661"/>
      <c r="G336" s="661"/>
      <c r="H336" s="661"/>
      <c r="I336" s="661"/>
      <c r="J336" s="661"/>
      <c r="K336" s="661"/>
      <c r="L336" s="661"/>
      <c r="M336" s="661"/>
      <c r="N336" s="661"/>
      <c r="O336" s="661"/>
      <c r="P336" s="661"/>
      <c r="Q336" s="661"/>
      <c r="R336" s="661"/>
      <c r="S336" s="661"/>
      <c r="T336" s="661"/>
      <c r="U336" s="661"/>
      <c r="V336" s="661"/>
      <c r="W336" s="661"/>
      <c r="X336" s="661"/>
      <c r="Y336" s="661"/>
      <c r="Z336" s="661"/>
      <c r="AA336" s="661"/>
      <c r="AB336" s="661"/>
    </row>
    <row r="337">
      <c r="A337" s="661"/>
      <c r="B337" s="661"/>
      <c r="C337" s="661"/>
      <c r="D337" s="662"/>
      <c r="E337" s="661"/>
      <c r="F337" s="661"/>
      <c r="G337" s="661"/>
      <c r="H337" s="661"/>
      <c r="I337" s="661"/>
      <c r="J337" s="661"/>
      <c r="K337" s="661"/>
      <c r="L337" s="661"/>
      <c r="M337" s="661"/>
      <c r="N337" s="661"/>
      <c r="O337" s="661"/>
      <c r="P337" s="661"/>
      <c r="Q337" s="661"/>
      <c r="R337" s="661"/>
      <c r="S337" s="661"/>
      <c r="T337" s="661"/>
      <c r="U337" s="661"/>
      <c r="V337" s="661"/>
      <c r="W337" s="661"/>
      <c r="X337" s="661"/>
      <c r="Y337" s="661"/>
      <c r="Z337" s="661"/>
      <c r="AA337" s="661"/>
      <c r="AB337" s="661"/>
    </row>
    <row r="338">
      <c r="A338" s="661"/>
      <c r="B338" s="661"/>
      <c r="C338" s="661"/>
      <c r="D338" s="662"/>
      <c r="E338" s="661"/>
      <c r="F338" s="661"/>
      <c r="G338" s="661"/>
      <c r="H338" s="661"/>
      <c r="I338" s="661"/>
      <c r="J338" s="661"/>
      <c r="K338" s="661"/>
      <c r="L338" s="661"/>
      <c r="M338" s="661"/>
      <c r="N338" s="661"/>
      <c r="O338" s="661"/>
      <c r="P338" s="661"/>
      <c r="Q338" s="661"/>
      <c r="R338" s="661"/>
      <c r="S338" s="661"/>
      <c r="T338" s="661"/>
      <c r="U338" s="661"/>
      <c r="V338" s="661"/>
      <c r="W338" s="661"/>
      <c r="X338" s="661"/>
      <c r="Y338" s="661"/>
      <c r="Z338" s="661"/>
      <c r="AA338" s="661"/>
      <c r="AB338" s="661"/>
    </row>
    <row r="339">
      <c r="A339" s="661"/>
      <c r="B339" s="661"/>
      <c r="C339" s="661"/>
      <c r="D339" s="662"/>
      <c r="E339" s="661"/>
      <c r="F339" s="661"/>
      <c r="G339" s="661"/>
      <c r="H339" s="661"/>
      <c r="I339" s="661"/>
      <c r="J339" s="661"/>
      <c r="K339" s="661"/>
      <c r="L339" s="661"/>
      <c r="M339" s="661"/>
      <c r="N339" s="661"/>
      <c r="O339" s="661"/>
      <c r="P339" s="661"/>
      <c r="Q339" s="661"/>
      <c r="R339" s="661"/>
      <c r="S339" s="661"/>
      <c r="T339" s="661"/>
      <c r="U339" s="661"/>
      <c r="V339" s="661"/>
      <c r="W339" s="661"/>
      <c r="X339" s="661"/>
      <c r="Y339" s="661"/>
      <c r="Z339" s="661"/>
      <c r="AA339" s="661"/>
      <c r="AB339" s="661"/>
    </row>
    <row r="340">
      <c r="A340" s="661"/>
      <c r="B340" s="661"/>
      <c r="C340" s="661"/>
      <c r="D340" s="662"/>
      <c r="E340" s="661"/>
      <c r="F340" s="661"/>
      <c r="G340" s="661"/>
      <c r="H340" s="661"/>
      <c r="I340" s="661"/>
      <c r="J340" s="661"/>
      <c r="K340" s="661"/>
      <c r="L340" s="661"/>
      <c r="M340" s="661"/>
      <c r="N340" s="661"/>
      <c r="O340" s="661"/>
      <c r="P340" s="661"/>
      <c r="Q340" s="661"/>
      <c r="R340" s="661"/>
      <c r="S340" s="661"/>
      <c r="T340" s="661"/>
      <c r="U340" s="661"/>
      <c r="V340" s="661"/>
      <c r="W340" s="661"/>
      <c r="X340" s="661"/>
      <c r="Y340" s="661"/>
      <c r="Z340" s="661"/>
      <c r="AA340" s="661"/>
      <c r="AB340" s="661"/>
    </row>
    <row r="341">
      <c r="A341" s="661"/>
      <c r="B341" s="661"/>
      <c r="C341" s="661"/>
      <c r="D341" s="662"/>
      <c r="E341" s="661"/>
      <c r="F341" s="661"/>
      <c r="G341" s="661"/>
      <c r="H341" s="661"/>
      <c r="I341" s="661"/>
      <c r="J341" s="661"/>
      <c r="K341" s="661"/>
      <c r="L341" s="661"/>
      <c r="M341" s="661"/>
      <c r="N341" s="661"/>
      <c r="O341" s="661"/>
      <c r="P341" s="661"/>
      <c r="Q341" s="661"/>
      <c r="R341" s="661"/>
      <c r="S341" s="661"/>
      <c r="T341" s="661"/>
      <c r="U341" s="661"/>
      <c r="V341" s="661"/>
      <c r="W341" s="661"/>
      <c r="X341" s="661"/>
      <c r="Y341" s="661"/>
      <c r="Z341" s="661"/>
      <c r="AA341" s="661"/>
      <c r="AB341" s="661"/>
    </row>
    <row r="342">
      <c r="A342" s="661"/>
      <c r="B342" s="661"/>
      <c r="C342" s="661"/>
      <c r="D342" s="662"/>
      <c r="E342" s="661"/>
      <c r="F342" s="661"/>
      <c r="G342" s="661"/>
      <c r="H342" s="661"/>
      <c r="I342" s="661"/>
      <c r="J342" s="661"/>
      <c r="K342" s="661"/>
      <c r="L342" s="661"/>
      <c r="M342" s="661"/>
      <c r="N342" s="661"/>
      <c r="O342" s="661"/>
      <c r="P342" s="661"/>
      <c r="Q342" s="661"/>
      <c r="R342" s="661"/>
      <c r="S342" s="661"/>
      <c r="T342" s="661"/>
      <c r="U342" s="661"/>
      <c r="V342" s="661"/>
      <c r="W342" s="661"/>
      <c r="X342" s="661"/>
      <c r="Y342" s="661"/>
      <c r="Z342" s="661"/>
      <c r="AA342" s="661"/>
      <c r="AB342" s="661"/>
    </row>
    <row r="343">
      <c r="A343" s="661"/>
      <c r="B343" s="661"/>
      <c r="C343" s="661"/>
      <c r="D343" s="662"/>
      <c r="E343" s="661"/>
      <c r="F343" s="661"/>
      <c r="G343" s="661"/>
      <c r="H343" s="661"/>
      <c r="I343" s="661"/>
      <c r="J343" s="661"/>
      <c r="K343" s="661"/>
      <c r="L343" s="661"/>
      <c r="M343" s="661"/>
      <c r="N343" s="661"/>
      <c r="O343" s="661"/>
      <c r="P343" s="661"/>
      <c r="Q343" s="661"/>
      <c r="R343" s="661"/>
      <c r="S343" s="661"/>
      <c r="T343" s="661"/>
      <c r="U343" s="661"/>
      <c r="V343" s="661"/>
      <c r="W343" s="661"/>
      <c r="X343" s="661"/>
      <c r="Y343" s="661"/>
      <c r="Z343" s="661"/>
      <c r="AA343" s="661"/>
      <c r="AB343" s="661"/>
    </row>
    <row r="344">
      <c r="A344" s="661"/>
      <c r="B344" s="661"/>
      <c r="C344" s="661"/>
      <c r="D344" s="662"/>
      <c r="E344" s="661"/>
      <c r="F344" s="661"/>
      <c r="G344" s="661"/>
      <c r="H344" s="661"/>
      <c r="I344" s="661"/>
      <c r="J344" s="661"/>
      <c r="K344" s="661"/>
      <c r="L344" s="661"/>
      <c r="M344" s="661"/>
      <c r="N344" s="661"/>
      <c r="O344" s="661"/>
      <c r="P344" s="661"/>
      <c r="Q344" s="661"/>
      <c r="R344" s="661"/>
      <c r="S344" s="661"/>
      <c r="T344" s="661"/>
      <c r="U344" s="661"/>
      <c r="V344" s="661"/>
      <c r="W344" s="661"/>
      <c r="X344" s="661"/>
      <c r="Y344" s="661"/>
      <c r="Z344" s="661"/>
      <c r="AA344" s="661"/>
      <c r="AB344" s="661"/>
    </row>
    <row r="345">
      <c r="A345" s="661"/>
      <c r="B345" s="661"/>
      <c r="C345" s="661"/>
      <c r="D345" s="662"/>
      <c r="E345" s="661"/>
      <c r="F345" s="661"/>
      <c r="G345" s="661"/>
      <c r="H345" s="661"/>
      <c r="I345" s="661"/>
      <c r="J345" s="661"/>
      <c r="K345" s="661"/>
      <c r="L345" s="661"/>
      <c r="M345" s="661"/>
      <c r="N345" s="661"/>
      <c r="O345" s="661"/>
      <c r="P345" s="661"/>
      <c r="Q345" s="661"/>
      <c r="R345" s="661"/>
      <c r="S345" s="661"/>
      <c r="T345" s="661"/>
      <c r="U345" s="661"/>
      <c r="V345" s="661"/>
      <c r="W345" s="661"/>
      <c r="X345" s="661"/>
      <c r="Y345" s="661"/>
      <c r="Z345" s="661"/>
      <c r="AA345" s="661"/>
      <c r="AB345" s="661"/>
    </row>
    <row r="346">
      <c r="A346" s="661"/>
      <c r="B346" s="661"/>
      <c r="C346" s="661"/>
      <c r="D346" s="662"/>
      <c r="E346" s="661"/>
      <c r="F346" s="661"/>
      <c r="G346" s="661"/>
      <c r="H346" s="661"/>
      <c r="I346" s="661"/>
      <c r="J346" s="661"/>
      <c r="K346" s="661"/>
      <c r="L346" s="661"/>
      <c r="M346" s="661"/>
      <c r="N346" s="661"/>
      <c r="O346" s="661"/>
      <c r="P346" s="661"/>
      <c r="Q346" s="661"/>
      <c r="R346" s="661"/>
      <c r="S346" s="661"/>
      <c r="T346" s="661"/>
      <c r="U346" s="661"/>
      <c r="V346" s="661"/>
      <c r="W346" s="661"/>
      <c r="X346" s="661"/>
      <c r="Y346" s="661"/>
      <c r="Z346" s="661"/>
      <c r="AA346" s="661"/>
      <c r="AB346" s="661"/>
    </row>
    <row r="347">
      <c r="A347" s="661"/>
      <c r="B347" s="661"/>
      <c r="C347" s="661"/>
      <c r="D347" s="662"/>
      <c r="E347" s="661"/>
      <c r="F347" s="661"/>
      <c r="G347" s="661"/>
      <c r="H347" s="661"/>
      <c r="I347" s="661"/>
      <c r="J347" s="661"/>
      <c r="K347" s="661"/>
      <c r="L347" s="661"/>
      <c r="M347" s="661"/>
      <c r="N347" s="661"/>
      <c r="O347" s="661"/>
      <c r="P347" s="661"/>
      <c r="Q347" s="661"/>
      <c r="R347" s="661"/>
      <c r="S347" s="661"/>
      <c r="T347" s="661"/>
      <c r="U347" s="661"/>
      <c r="V347" s="661"/>
      <c r="W347" s="661"/>
      <c r="X347" s="661"/>
      <c r="Y347" s="661"/>
      <c r="Z347" s="661"/>
      <c r="AA347" s="661"/>
      <c r="AB347" s="661"/>
    </row>
    <row r="348">
      <c r="A348" s="661"/>
      <c r="B348" s="661"/>
      <c r="C348" s="661"/>
      <c r="D348" s="662"/>
      <c r="E348" s="661"/>
      <c r="F348" s="661"/>
      <c r="G348" s="661"/>
      <c r="H348" s="661"/>
      <c r="I348" s="661"/>
      <c r="J348" s="661"/>
      <c r="K348" s="661"/>
      <c r="L348" s="661"/>
      <c r="M348" s="661"/>
      <c r="N348" s="661"/>
      <c r="O348" s="661"/>
      <c r="P348" s="661"/>
      <c r="Q348" s="661"/>
      <c r="R348" s="661"/>
      <c r="S348" s="661"/>
      <c r="T348" s="661"/>
      <c r="U348" s="661"/>
      <c r="V348" s="661"/>
      <c r="W348" s="661"/>
      <c r="X348" s="661"/>
      <c r="Y348" s="661"/>
      <c r="Z348" s="661"/>
      <c r="AA348" s="661"/>
      <c r="AB348" s="661"/>
    </row>
    <row r="349">
      <c r="A349" s="661"/>
      <c r="B349" s="661"/>
      <c r="C349" s="661"/>
      <c r="D349" s="662"/>
      <c r="E349" s="661"/>
      <c r="F349" s="661"/>
      <c r="G349" s="661"/>
      <c r="H349" s="661"/>
      <c r="I349" s="661"/>
      <c r="J349" s="661"/>
      <c r="K349" s="661"/>
      <c r="L349" s="661"/>
      <c r="M349" s="661"/>
      <c r="N349" s="661"/>
      <c r="O349" s="661"/>
      <c r="P349" s="661"/>
      <c r="Q349" s="661"/>
      <c r="R349" s="661"/>
      <c r="S349" s="661"/>
      <c r="T349" s="661"/>
      <c r="U349" s="661"/>
      <c r="V349" s="661"/>
      <c r="W349" s="661"/>
      <c r="X349" s="661"/>
      <c r="Y349" s="661"/>
      <c r="Z349" s="661"/>
      <c r="AA349" s="661"/>
      <c r="AB349" s="661"/>
    </row>
    <row r="350">
      <c r="A350" s="661"/>
      <c r="B350" s="661"/>
      <c r="C350" s="661"/>
      <c r="D350" s="662"/>
      <c r="E350" s="661"/>
      <c r="F350" s="661"/>
      <c r="G350" s="661"/>
      <c r="H350" s="661"/>
      <c r="I350" s="661"/>
      <c r="J350" s="661"/>
      <c r="K350" s="661"/>
      <c r="L350" s="661"/>
      <c r="M350" s="661"/>
      <c r="N350" s="661"/>
      <c r="O350" s="661"/>
      <c r="P350" s="661"/>
      <c r="Q350" s="661"/>
      <c r="R350" s="661"/>
      <c r="S350" s="661"/>
      <c r="T350" s="661"/>
      <c r="U350" s="661"/>
      <c r="V350" s="661"/>
      <c r="W350" s="661"/>
      <c r="X350" s="661"/>
      <c r="Y350" s="661"/>
      <c r="Z350" s="661"/>
      <c r="AA350" s="661"/>
      <c r="AB350" s="661"/>
    </row>
    <row r="351">
      <c r="A351" s="661"/>
      <c r="B351" s="661"/>
      <c r="C351" s="661"/>
      <c r="D351" s="662"/>
      <c r="E351" s="661"/>
      <c r="F351" s="661"/>
      <c r="G351" s="661"/>
      <c r="H351" s="661"/>
      <c r="I351" s="661"/>
      <c r="J351" s="661"/>
      <c r="K351" s="661"/>
      <c r="L351" s="661"/>
      <c r="M351" s="661"/>
      <c r="N351" s="661"/>
      <c r="O351" s="661"/>
      <c r="P351" s="661"/>
      <c r="Q351" s="661"/>
      <c r="R351" s="661"/>
      <c r="S351" s="661"/>
      <c r="T351" s="661"/>
      <c r="U351" s="661"/>
      <c r="V351" s="661"/>
      <c r="W351" s="661"/>
      <c r="X351" s="661"/>
      <c r="Y351" s="661"/>
      <c r="Z351" s="661"/>
      <c r="AA351" s="661"/>
      <c r="AB351" s="661"/>
    </row>
    <row r="352">
      <c r="A352" s="661"/>
      <c r="B352" s="661"/>
      <c r="C352" s="661"/>
      <c r="D352" s="662"/>
      <c r="E352" s="661"/>
      <c r="F352" s="661"/>
      <c r="G352" s="661"/>
      <c r="H352" s="661"/>
      <c r="I352" s="661"/>
      <c r="J352" s="661"/>
      <c r="K352" s="661"/>
      <c r="L352" s="661"/>
      <c r="M352" s="661"/>
      <c r="N352" s="661"/>
      <c r="O352" s="661"/>
      <c r="P352" s="661"/>
      <c r="Q352" s="661"/>
      <c r="R352" s="661"/>
      <c r="S352" s="661"/>
      <c r="T352" s="661"/>
      <c r="U352" s="661"/>
      <c r="V352" s="661"/>
      <c r="W352" s="661"/>
      <c r="X352" s="661"/>
      <c r="Y352" s="661"/>
      <c r="Z352" s="661"/>
      <c r="AA352" s="661"/>
      <c r="AB352" s="661"/>
    </row>
    <row r="353">
      <c r="A353" s="661"/>
      <c r="B353" s="661"/>
      <c r="C353" s="661"/>
      <c r="D353" s="662"/>
      <c r="E353" s="661"/>
      <c r="F353" s="661"/>
      <c r="G353" s="661"/>
      <c r="H353" s="661"/>
      <c r="I353" s="661"/>
      <c r="J353" s="661"/>
      <c r="K353" s="661"/>
      <c r="L353" s="661"/>
      <c r="M353" s="661"/>
      <c r="N353" s="661"/>
      <c r="O353" s="661"/>
      <c r="P353" s="661"/>
      <c r="Q353" s="661"/>
      <c r="R353" s="661"/>
      <c r="S353" s="661"/>
      <c r="T353" s="661"/>
      <c r="U353" s="661"/>
      <c r="V353" s="661"/>
      <c r="W353" s="661"/>
      <c r="X353" s="661"/>
      <c r="Y353" s="661"/>
      <c r="Z353" s="661"/>
      <c r="AA353" s="661"/>
      <c r="AB353" s="661"/>
    </row>
    <row r="354">
      <c r="A354" s="661"/>
      <c r="B354" s="661"/>
      <c r="C354" s="661"/>
      <c r="D354" s="662"/>
      <c r="E354" s="661"/>
      <c r="F354" s="661"/>
      <c r="G354" s="661"/>
      <c r="H354" s="661"/>
      <c r="I354" s="661"/>
      <c r="J354" s="661"/>
      <c r="K354" s="661"/>
      <c r="L354" s="661"/>
      <c r="M354" s="661"/>
      <c r="N354" s="661"/>
      <c r="O354" s="661"/>
      <c r="P354" s="661"/>
      <c r="Q354" s="661"/>
      <c r="R354" s="661"/>
      <c r="S354" s="661"/>
      <c r="T354" s="661"/>
      <c r="U354" s="661"/>
      <c r="V354" s="661"/>
      <c r="W354" s="661"/>
      <c r="X354" s="661"/>
      <c r="Y354" s="661"/>
      <c r="Z354" s="661"/>
      <c r="AA354" s="661"/>
      <c r="AB354" s="661"/>
    </row>
    <row r="355">
      <c r="A355" s="661"/>
      <c r="B355" s="661"/>
      <c r="C355" s="661"/>
      <c r="D355" s="662"/>
      <c r="E355" s="661"/>
      <c r="F355" s="661"/>
      <c r="G355" s="661"/>
      <c r="H355" s="661"/>
      <c r="I355" s="661"/>
      <c r="J355" s="661"/>
      <c r="K355" s="661"/>
      <c r="L355" s="661"/>
      <c r="M355" s="661"/>
      <c r="N355" s="661"/>
      <c r="O355" s="661"/>
      <c r="P355" s="661"/>
      <c r="Q355" s="661"/>
      <c r="R355" s="661"/>
      <c r="S355" s="661"/>
      <c r="T355" s="661"/>
      <c r="U355" s="661"/>
      <c r="V355" s="661"/>
      <c r="W355" s="661"/>
      <c r="X355" s="661"/>
      <c r="Y355" s="661"/>
      <c r="Z355" s="661"/>
      <c r="AA355" s="661"/>
      <c r="AB355" s="661"/>
    </row>
    <row r="356">
      <c r="A356" s="661"/>
      <c r="B356" s="661"/>
      <c r="C356" s="661"/>
      <c r="D356" s="662"/>
      <c r="E356" s="661"/>
      <c r="F356" s="661"/>
      <c r="G356" s="661"/>
      <c r="H356" s="661"/>
      <c r="I356" s="661"/>
      <c r="J356" s="661"/>
      <c r="K356" s="661"/>
      <c r="L356" s="661"/>
      <c r="M356" s="661"/>
      <c r="N356" s="661"/>
      <c r="O356" s="661"/>
      <c r="P356" s="661"/>
      <c r="Q356" s="661"/>
      <c r="R356" s="661"/>
      <c r="S356" s="661"/>
      <c r="T356" s="661"/>
      <c r="U356" s="661"/>
      <c r="V356" s="661"/>
      <c r="W356" s="661"/>
      <c r="X356" s="661"/>
      <c r="Y356" s="661"/>
      <c r="Z356" s="661"/>
      <c r="AA356" s="661"/>
      <c r="AB356" s="661"/>
    </row>
    <row r="357">
      <c r="A357" s="661"/>
      <c r="B357" s="661"/>
      <c r="C357" s="661"/>
      <c r="D357" s="662"/>
      <c r="E357" s="661"/>
      <c r="F357" s="661"/>
      <c r="G357" s="661"/>
      <c r="H357" s="661"/>
      <c r="I357" s="661"/>
      <c r="J357" s="661"/>
      <c r="K357" s="661"/>
      <c r="L357" s="661"/>
      <c r="M357" s="661"/>
      <c r="N357" s="661"/>
      <c r="O357" s="661"/>
      <c r="P357" s="661"/>
      <c r="Q357" s="661"/>
      <c r="R357" s="661"/>
      <c r="S357" s="661"/>
      <c r="T357" s="661"/>
      <c r="U357" s="661"/>
      <c r="V357" s="661"/>
      <c r="W357" s="661"/>
      <c r="X357" s="661"/>
      <c r="Y357" s="661"/>
      <c r="Z357" s="661"/>
      <c r="AA357" s="661"/>
      <c r="AB357" s="661"/>
    </row>
    <row r="358">
      <c r="A358" s="661"/>
      <c r="B358" s="661"/>
      <c r="C358" s="661"/>
      <c r="D358" s="662"/>
      <c r="E358" s="661"/>
      <c r="F358" s="661"/>
      <c r="G358" s="661"/>
      <c r="H358" s="661"/>
      <c r="I358" s="661"/>
      <c r="J358" s="661"/>
      <c r="K358" s="661"/>
      <c r="L358" s="661"/>
      <c r="M358" s="661"/>
      <c r="N358" s="661"/>
      <c r="O358" s="661"/>
      <c r="P358" s="661"/>
      <c r="Q358" s="661"/>
      <c r="R358" s="661"/>
      <c r="S358" s="661"/>
      <c r="T358" s="661"/>
      <c r="U358" s="661"/>
      <c r="V358" s="661"/>
      <c r="W358" s="661"/>
      <c r="X358" s="661"/>
      <c r="Y358" s="661"/>
      <c r="Z358" s="661"/>
      <c r="AA358" s="661"/>
      <c r="AB358" s="661"/>
    </row>
    <row r="359">
      <c r="A359" s="661"/>
      <c r="B359" s="661"/>
      <c r="C359" s="661"/>
      <c r="D359" s="662"/>
      <c r="E359" s="661"/>
      <c r="F359" s="661"/>
      <c r="G359" s="661"/>
      <c r="H359" s="661"/>
      <c r="I359" s="661"/>
      <c r="J359" s="661"/>
      <c r="K359" s="661"/>
      <c r="L359" s="661"/>
      <c r="M359" s="661"/>
      <c r="N359" s="661"/>
      <c r="O359" s="661"/>
      <c r="P359" s="661"/>
      <c r="Q359" s="661"/>
      <c r="R359" s="661"/>
      <c r="S359" s="661"/>
      <c r="T359" s="661"/>
      <c r="U359" s="661"/>
      <c r="V359" s="661"/>
      <c r="W359" s="661"/>
      <c r="X359" s="661"/>
      <c r="Y359" s="661"/>
      <c r="Z359" s="661"/>
      <c r="AA359" s="661"/>
      <c r="AB359" s="661"/>
    </row>
    <row r="360">
      <c r="A360" s="661"/>
      <c r="B360" s="661"/>
      <c r="C360" s="661"/>
      <c r="D360" s="662"/>
      <c r="E360" s="661"/>
      <c r="F360" s="661"/>
      <c r="G360" s="661"/>
      <c r="H360" s="661"/>
      <c r="I360" s="661"/>
      <c r="J360" s="661"/>
      <c r="K360" s="661"/>
      <c r="L360" s="661"/>
      <c r="M360" s="661"/>
      <c r="N360" s="661"/>
      <c r="O360" s="661"/>
      <c r="P360" s="661"/>
      <c r="Q360" s="661"/>
      <c r="R360" s="661"/>
      <c r="S360" s="661"/>
      <c r="T360" s="661"/>
      <c r="U360" s="661"/>
      <c r="V360" s="661"/>
      <c r="W360" s="661"/>
      <c r="X360" s="661"/>
      <c r="Y360" s="661"/>
      <c r="Z360" s="661"/>
      <c r="AA360" s="661"/>
      <c r="AB360" s="661"/>
    </row>
    <row r="361">
      <c r="A361" s="661"/>
      <c r="B361" s="661"/>
      <c r="C361" s="661"/>
      <c r="D361" s="662"/>
      <c r="E361" s="661"/>
      <c r="F361" s="661"/>
      <c r="G361" s="661"/>
      <c r="H361" s="661"/>
      <c r="I361" s="661"/>
      <c r="J361" s="661"/>
      <c r="K361" s="661"/>
      <c r="L361" s="661"/>
      <c r="M361" s="661"/>
      <c r="N361" s="661"/>
      <c r="O361" s="661"/>
      <c r="P361" s="661"/>
      <c r="Q361" s="661"/>
      <c r="R361" s="661"/>
      <c r="S361" s="661"/>
      <c r="T361" s="661"/>
      <c r="U361" s="661"/>
      <c r="V361" s="661"/>
      <c r="W361" s="661"/>
      <c r="X361" s="661"/>
      <c r="Y361" s="661"/>
      <c r="Z361" s="661"/>
      <c r="AA361" s="661"/>
      <c r="AB361" s="661"/>
    </row>
    <row r="362">
      <c r="A362" s="661"/>
      <c r="B362" s="661"/>
      <c r="C362" s="661"/>
      <c r="D362" s="662"/>
      <c r="E362" s="661"/>
      <c r="F362" s="661"/>
      <c r="G362" s="661"/>
      <c r="H362" s="661"/>
      <c r="I362" s="661"/>
      <c r="J362" s="661"/>
      <c r="K362" s="661"/>
      <c r="L362" s="661"/>
      <c r="M362" s="661"/>
      <c r="N362" s="661"/>
      <c r="O362" s="661"/>
      <c r="P362" s="661"/>
      <c r="Q362" s="661"/>
      <c r="R362" s="661"/>
      <c r="S362" s="661"/>
      <c r="T362" s="661"/>
      <c r="U362" s="661"/>
      <c r="V362" s="661"/>
      <c r="W362" s="661"/>
      <c r="X362" s="661"/>
      <c r="Y362" s="661"/>
      <c r="Z362" s="661"/>
      <c r="AA362" s="661"/>
      <c r="AB362" s="661"/>
    </row>
    <row r="363">
      <c r="A363" s="661"/>
      <c r="B363" s="661"/>
      <c r="C363" s="661"/>
      <c r="D363" s="662"/>
      <c r="E363" s="661"/>
      <c r="F363" s="661"/>
      <c r="G363" s="661"/>
      <c r="H363" s="661"/>
      <c r="I363" s="661"/>
      <c r="J363" s="661"/>
      <c r="K363" s="661"/>
      <c r="L363" s="661"/>
      <c r="M363" s="661"/>
      <c r="N363" s="661"/>
      <c r="O363" s="661"/>
      <c r="P363" s="661"/>
      <c r="Q363" s="661"/>
      <c r="R363" s="661"/>
      <c r="S363" s="661"/>
      <c r="T363" s="661"/>
      <c r="U363" s="661"/>
      <c r="V363" s="661"/>
      <c r="W363" s="661"/>
      <c r="X363" s="661"/>
      <c r="Y363" s="661"/>
      <c r="Z363" s="661"/>
      <c r="AA363" s="661"/>
      <c r="AB363" s="661"/>
    </row>
    <row r="364">
      <c r="A364" s="661"/>
      <c r="B364" s="661"/>
      <c r="C364" s="661"/>
      <c r="D364" s="662"/>
      <c r="E364" s="661"/>
      <c r="F364" s="661"/>
      <c r="G364" s="661"/>
      <c r="H364" s="661"/>
      <c r="I364" s="661"/>
      <c r="J364" s="661"/>
      <c r="K364" s="661"/>
      <c r="L364" s="661"/>
      <c r="M364" s="661"/>
      <c r="N364" s="661"/>
      <c r="O364" s="661"/>
      <c r="P364" s="661"/>
      <c r="Q364" s="661"/>
      <c r="R364" s="661"/>
      <c r="S364" s="661"/>
      <c r="T364" s="661"/>
      <c r="U364" s="661"/>
      <c r="V364" s="661"/>
      <c r="W364" s="661"/>
      <c r="X364" s="661"/>
      <c r="Y364" s="661"/>
      <c r="Z364" s="661"/>
      <c r="AA364" s="661"/>
      <c r="AB364" s="661"/>
    </row>
    <row r="365">
      <c r="A365" s="661"/>
      <c r="B365" s="661"/>
      <c r="C365" s="661"/>
      <c r="D365" s="662"/>
      <c r="E365" s="661"/>
      <c r="F365" s="661"/>
      <c r="G365" s="661"/>
      <c r="H365" s="661"/>
      <c r="I365" s="661"/>
      <c r="J365" s="661"/>
      <c r="K365" s="661"/>
      <c r="L365" s="661"/>
      <c r="M365" s="661"/>
      <c r="N365" s="661"/>
      <c r="O365" s="661"/>
      <c r="P365" s="661"/>
      <c r="Q365" s="661"/>
      <c r="R365" s="661"/>
      <c r="S365" s="661"/>
      <c r="T365" s="661"/>
      <c r="U365" s="661"/>
      <c r="V365" s="661"/>
      <c r="W365" s="661"/>
      <c r="X365" s="661"/>
      <c r="Y365" s="661"/>
      <c r="Z365" s="661"/>
      <c r="AA365" s="661"/>
      <c r="AB365" s="661"/>
    </row>
    <row r="366">
      <c r="A366" s="661"/>
      <c r="B366" s="661"/>
      <c r="C366" s="661"/>
      <c r="D366" s="662"/>
      <c r="E366" s="661"/>
      <c r="F366" s="661"/>
      <c r="G366" s="661"/>
      <c r="H366" s="661"/>
      <c r="I366" s="661"/>
      <c r="J366" s="661"/>
      <c r="K366" s="661"/>
      <c r="L366" s="661"/>
      <c r="M366" s="661"/>
      <c r="N366" s="661"/>
      <c r="O366" s="661"/>
      <c r="P366" s="661"/>
      <c r="Q366" s="661"/>
      <c r="R366" s="661"/>
      <c r="S366" s="661"/>
      <c r="T366" s="661"/>
      <c r="U366" s="661"/>
      <c r="V366" s="661"/>
      <c r="W366" s="661"/>
      <c r="X366" s="661"/>
      <c r="Y366" s="661"/>
      <c r="Z366" s="661"/>
      <c r="AA366" s="661"/>
      <c r="AB366" s="661"/>
    </row>
    <row r="367">
      <c r="A367" s="661"/>
      <c r="B367" s="661"/>
      <c r="C367" s="661"/>
      <c r="D367" s="662"/>
      <c r="E367" s="661"/>
      <c r="F367" s="661"/>
      <c r="G367" s="661"/>
      <c r="H367" s="661"/>
      <c r="I367" s="661"/>
      <c r="J367" s="661"/>
      <c r="K367" s="661"/>
      <c r="L367" s="661"/>
      <c r="M367" s="661"/>
      <c r="N367" s="661"/>
      <c r="O367" s="661"/>
      <c r="P367" s="661"/>
      <c r="Q367" s="661"/>
      <c r="R367" s="661"/>
      <c r="S367" s="661"/>
      <c r="T367" s="661"/>
      <c r="U367" s="661"/>
      <c r="V367" s="661"/>
      <c r="W367" s="661"/>
      <c r="X367" s="661"/>
      <c r="Y367" s="661"/>
      <c r="Z367" s="661"/>
      <c r="AA367" s="661"/>
      <c r="AB367" s="661"/>
    </row>
    <row r="368">
      <c r="A368" s="661"/>
      <c r="B368" s="661"/>
      <c r="C368" s="661"/>
      <c r="D368" s="662"/>
      <c r="E368" s="661"/>
      <c r="F368" s="661"/>
      <c r="G368" s="661"/>
      <c r="H368" s="661"/>
      <c r="I368" s="661"/>
      <c r="J368" s="661"/>
      <c r="K368" s="661"/>
      <c r="L368" s="661"/>
      <c r="M368" s="661"/>
      <c r="N368" s="661"/>
      <c r="O368" s="661"/>
      <c r="P368" s="661"/>
      <c r="Q368" s="661"/>
      <c r="R368" s="661"/>
      <c r="S368" s="661"/>
      <c r="T368" s="661"/>
      <c r="U368" s="661"/>
      <c r="V368" s="661"/>
      <c r="W368" s="661"/>
      <c r="X368" s="661"/>
      <c r="Y368" s="661"/>
      <c r="Z368" s="661"/>
      <c r="AA368" s="661"/>
      <c r="AB368" s="661"/>
    </row>
    <row r="369">
      <c r="A369" s="661"/>
      <c r="B369" s="661"/>
      <c r="C369" s="661"/>
      <c r="D369" s="662"/>
      <c r="E369" s="661"/>
      <c r="F369" s="661"/>
      <c r="G369" s="661"/>
      <c r="H369" s="661"/>
      <c r="I369" s="661"/>
      <c r="J369" s="661"/>
      <c r="K369" s="661"/>
      <c r="L369" s="661"/>
      <c r="M369" s="661"/>
      <c r="N369" s="661"/>
      <c r="O369" s="661"/>
      <c r="P369" s="661"/>
      <c r="Q369" s="661"/>
      <c r="R369" s="661"/>
      <c r="S369" s="661"/>
      <c r="T369" s="661"/>
      <c r="U369" s="661"/>
      <c r="V369" s="661"/>
      <c r="W369" s="661"/>
      <c r="X369" s="661"/>
      <c r="Y369" s="661"/>
      <c r="Z369" s="661"/>
      <c r="AA369" s="661"/>
      <c r="AB369" s="661"/>
    </row>
    <row r="370">
      <c r="A370" s="661"/>
      <c r="B370" s="661"/>
      <c r="C370" s="661"/>
      <c r="D370" s="662"/>
      <c r="E370" s="661"/>
      <c r="F370" s="661"/>
      <c r="G370" s="661"/>
      <c r="H370" s="661"/>
      <c r="I370" s="661"/>
      <c r="J370" s="661"/>
      <c r="K370" s="661"/>
      <c r="L370" s="661"/>
      <c r="M370" s="661"/>
      <c r="N370" s="661"/>
      <c r="O370" s="661"/>
      <c r="P370" s="661"/>
      <c r="Q370" s="661"/>
      <c r="R370" s="661"/>
      <c r="S370" s="661"/>
      <c r="T370" s="661"/>
      <c r="U370" s="661"/>
      <c r="V370" s="661"/>
      <c r="W370" s="661"/>
      <c r="X370" s="661"/>
      <c r="Y370" s="661"/>
      <c r="Z370" s="661"/>
      <c r="AA370" s="661"/>
      <c r="AB370" s="661"/>
    </row>
    <row r="371">
      <c r="A371" s="661"/>
      <c r="B371" s="661"/>
      <c r="C371" s="661"/>
      <c r="D371" s="662"/>
      <c r="E371" s="661"/>
      <c r="F371" s="661"/>
      <c r="G371" s="661"/>
      <c r="H371" s="661"/>
      <c r="I371" s="661"/>
      <c r="J371" s="661"/>
      <c r="K371" s="661"/>
      <c r="L371" s="661"/>
      <c r="M371" s="661"/>
      <c r="N371" s="661"/>
      <c r="O371" s="661"/>
      <c r="P371" s="661"/>
      <c r="Q371" s="661"/>
      <c r="R371" s="661"/>
      <c r="S371" s="661"/>
      <c r="T371" s="661"/>
      <c r="U371" s="661"/>
      <c r="V371" s="661"/>
      <c r="W371" s="661"/>
      <c r="X371" s="661"/>
      <c r="Y371" s="661"/>
      <c r="Z371" s="661"/>
      <c r="AA371" s="661"/>
      <c r="AB371" s="661"/>
    </row>
    <row r="372">
      <c r="A372" s="661"/>
      <c r="B372" s="661"/>
      <c r="C372" s="661"/>
      <c r="D372" s="662"/>
      <c r="E372" s="661"/>
      <c r="F372" s="661"/>
      <c r="G372" s="661"/>
      <c r="H372" s="661"/>
      <c r="I372" s="661"/>
      <c r="J372" s="661"/>
      <c r="K372" s="661"/>
      <c r="L372" s="661"/>
      <c r="M372" s="661"/>
      <c r="N372" s="661"/>
      <c r="O372" s="661"/>
      <c r="P372" s="661"/>
      <c r="Q372" s="661"/>
      <c r="R372" s="661"/>
      <c r="S372" s="661"/>
      <c r="T372" s="661"/>
      <c r="U372" s="661"/>
      <c r="V372" s="661"/>
      <c r="W372" s="661"/>
      <c r="X372" s="661"/>
      <c r="Y372" s="661"/>
      <c r="Z372" s="661"/>
      <c r="AA372" s="661"/>
      <c r="AB372" s="661"/>
    </row>
    <row r="373">
      <c r="A373" s="661"/>
      <c r="B373" s="661"/>
      <c r="C373" s="661"/>
      <c r="D373" s="662"/>
      <c r="E373" s="661"/>
      <c r="F373" s="661"/>
      <c r="G373" s="661"/>
      <c r="H373" s="661"/>
      <c r="I373" s="661"/>
      <c r="J373" s="661"/>
      <c r="K373" s="661"/>
      <c r="L373" s="661"/>
      <c r="M373" s="661"/>
      <c r="N373" s="661"/>
      <c r="O373" s="661"/>
      <c r="P373" s="661"/>
      <c r="Q373" s="661"/>
      <c r="R373" s="661"/>
      <c r="S373" s="661"/>
      <c r="T373" s="661"/>
      <c r="U373" s="661"/>
      <c r="V373" s="661"/>
      <c r="W373" s="661"/>
      <c r="X373" s="661"/>
      <c r="Y373" s="661"/>
      <c r="Z373" s="661"/>
      <c r="AA373" s="661"/>
      <c r="AB373" s="661"/>
    </row>
    <row r="374">
      <c r="A374" s="661"/>
      <c r="B374" s="661"/>
      <c r="C374" s="661"/>
      <c r="D374" s="662"/>
      <c r="E374" s="661"/>
      <c r="F374" s="661"/>
      <c r="G374" s="661"/>
      <c r="H374" s="661"/>
      <c r="I374" s="661"/>
      <c r="J374" s="661"/>
      <c r="K374" s="661"/>
      <c r="L374" s="661"/>
      <c r="M374" s="661"/>
      <c r="N374" s="661"/>
      <c r="O374" s="661"/>
      <c r="P374" s="661"/>
      <c r="Q374" s="661"/>
      <c r="R374" s="661"/>
      <c r="S374" s="661"/>
      <c r="T374" s="661"/>
      <c r="U374" s="661"/>
      <c r="V374" s="661"/>
      <c r="W374" s="661"/>
      <c r="X374" s="661"/>
      <c r="Y374" s="661"/>
      <c r="Z374" s="661"/>
      <c r="AA374" s="661"/>
      <c r="AB374" s="661"/>
    </row>
    <row r="375">
      <c r="A375" s="661"/>
      <c r="B375" s="661"/>
      <c r="C375" s="661"/>
      <c r="D375" s="662"/>
      <c r="E375" s="661"/>
      <c r="F375" s="661"/>
      <c r="G375" s="661"/>
      <c r="H375" s="661"/>
      <c r="I375" s="661"/>
      <c r="J375" s="661"/>
      <c r="K375" s="661"/>
      <c r="L375" s="661"/>
      <c r="M375" s="661"/>
      <c r="N375" s="661"/>
      <c r="O375" s="661"/>
      <c r="P375" s="661"/>
      <c r="Q375" s="661"/>
      <c r="R375" s="661"/>
      <c r="S375" s="661"/>
      <c r="T375" s="661"/>
      <c r="U375" s="661"/>
      <c r="V375" s="661"/>
      <c r="W375" s="661"/>
      <c r="X375" s="661"/>
      <c r="Y375" s="661"/>
      <c r="Z375" s="661"/>
      <c r="AA375" s="661"/>
      <c r="AB375" s="661"/>
    </row>
    <row r="376">
      <c r="A376" s="661"/>
      <c r="B376" s="661"/>
      <c r="C376" s="661"/>
      <c r="D376" s="662"/>
      <c r="E376" s="661"/>
      <c r="F376" s="661"/>
      <c r="G376" s="661"/>
      <c r="H376" s="661"/>
      <c r="I376" s="661"/>
      <c r="J376" s="661"/>
      <c r="K376" s="661"/>
      <c r="L376" s="661"/>
      <c r="M376" s="661"/>
      <c r="N376" s="661"/>
      <c r="O376" s="661"/>
      <c r="P376" s="661"/>
      <c r="Q376" s="661"/>
      <c r="R376" s="661"/>
      <c r="S376" s="661"/>
      <c r="T376" s="661"/>
      <c r="U376" s="661"/>
      <c r="V376" s="661"/>
      <c r="W376" s="661"/>
      <c r="X376" s="661"/>
      <c r="Y376" s="661"/>
      <c r="Z376" s="661"/>
      <c r="AA376" s="661"/>
      <c r="AB376" s="661"/>
    </row>
    <row r="377">
      <c r="A377" s="661"/>
      <c r="B377" s="661"/>
      <c r="C377" s="661"/>
      <c r="D377" s="662"/>
      <c r="E377" s="661"/>
      <c r="F377" s="661"/>
      <c r="G377" s="661"/>
      <c r="H377" s="661"/>
      <c r="I377" s="661"/>
      <c r="J377" s="661"/>
      <c r="K377" s="661"/>
      <c r="L377" s="661"/>
      <c r="M377" s="661"/>
      <c r="N377" s="661"/>
      <c r="O377" s="661"/>
      <c r="P377" s="661"/>
      <c r="Q377" s="661"/>
      <c r="R377" s="661"/>
      <c r="S377" s="661"/>
      <c r="T377" s="661"/>
      <c r="U377" s="661"/>
      <c r="V377" s="661"/>
      <c r="W377" s="661"/>
      <c r="X377" s="661"/>
      <c r="Y377" s="661"/>
      <c r="Z377" s="661"/>
      <c r="AA377" s="661"/>
      <c r="AB377" s="661"/>
    </row>
    <row r="378">
      <c r="A378" s="661"/>
      <c r="B378" s="661"/>
      <c r="C378" s="661"/>
      <c r="D378" s="662"/>
      <c r="E378" s="661"/>
      <c r="F378" s="661"/>
      <c r="G378" s="661"/>
      <c r="H378" s="661"/>
      <c r="I378" s="661"/>
      <c r="J378" s="661"/>
      <c r="K378" s="661"/>
      <c r="L378" s="661"/>
      <c r="M378" s="661"/>
      <c r="N378" s="661"/>
      <c r="O378" s="661"/>
      <c r="P378" s="661"/>
      <c r="Q378" s="661"/>
      <c r="R378" s="661"/>
      <c r="S378" s="661"/>
      <c r="T378" s="661"/>
      <c r="U378" s="661"/>
      <c r="V378" s="661"/>
      <c r="W378" s="661"/>
      <c r="X378" s="661"/>
      <c r="Y378" s="661"/>
      <c r="Z378" s="661"/>
      <c r="AA378" s="661"/>
      <c r="AB378" s="661"/>
    </row>
    <row r="379">
      <c r="A379" s="661"/>
      <c r="B379" s="661"/>
      <c r="C379" s="661"/>
      <c r="D379" s="662"/>
      <c r="E379" s="661"/>
      <c r="F379" s="661"/>
      <c r="G379" s="661"/>
      <c r="H379" s="661"/>
      <c r="I379" s="661"/>
      <c r="J379" s="661"/>
      <c r="K379" s="661"/>
      <c r="L379" s="661"/>
      <c r="M379" s="661"/>
      <c r="N379" s="661"/>
      <c r="O379" s="661"/>
      <c r="P379" s="661"/>
      <c r="Q379" s="661"/>
      <c r="R379" s="661"/>
      <c r="S379" s="661"/>
      <c r="T379" s="661"/>
      <c r="U379" s="661"/>
      <c r="V379" s="661"/>
      <c r="W379" s="661"/>
      <c r="X379" s="661"/>
      <c r="Y379" s="661"/>
      <c r="Z379" s="661"/>
      <c r="AA379" s="661"/>
      <c r="AB379" s="661"/>
    </row>
    <row r="380">
      <c r="A380" s="661"/>
      <c r="B380" s="661"/>
      <c r="C380" s="661"/>
      <c r="D380" s="662"/>
      <c r="E380" s="661"/>
      <c r="F380" s="661"/>
      <c r="G380" s="661"/>
      <c r="H380" s="661"/>
      <c r="I380" s="661"/>
      <c r="J380" s="661"/>
      <c r="K380" s="661"/>
      <c r="L380" s="661"/>
      <c r="M380" s="661"/>
      <c r="N380" s="661"/>
      <c r="O380" s="661"/>
      <c r="P380" s="661"/>
      <c r="Q380" s="661"/>
      <c r="R380" s="661"/>
      <c r="S380" s="661"/>
      <c r="T380" s="661"/>
      <c r="U380" s="661"/>
      <c r="V380" s="661"/>
      <c r="W380" s="661"/>
      <c r="X380" s="661"/>
      <c r="Y380" s="661"/>
      <c r="Z380" s="661"/>
      <c r="AA380" s="661"/>
      <c r="AB380" s="661"/>
    </row>
    <row r="381">
      <c r="A381" s="661"/>
      <c r="B381" s="661"/>
      <c r="C381" s="661"/>
      <c r="D381" s="662"/>
      <c r="E381" s="661"/>
      <c r="F381" s="661"/>
      <c r="G381" s="661"/>
      <c r="H381" s="661"/>
      <c r="I381" s="661"/>
      <c r="J381" s="661"/>
      <c r="K381" s="661"/>
      <c r="L381" s="661"/>
      <c r="M381" s="661"/>
      <c r="N381" s="661"/>
      <c r="O381" s="661"/>
      <c r="P381" s="661"/>
      <c r="Q381" s="661"/>
      <c r="R381" s="661"/>
      <c r="S381" s="661"/>
      <c r="T381" s="661"/>
      <c r="U381" s="661"/>
      <c r="V381" s="661"/>
      <c r="W381" s="661"/>
      <c r="X381" s="661"/>
      <c r="Y381" s="661"/>
      <c r="Z381" s="661"/>
      <c r="AA381" s="661"/>
      <c r="AB381" s="661"/>
    </row>
    <row r="382">
      <c r="A382" s="661"/>
      <c r="B382" s="661"/>
      <c r="C382" s="661"/>
      <c r="D382" s="662"/>
      <c r="E382" s="661"/>
      <c r="F382" s="661"/>
      <c r="G382" s="661"/>
      <c r="H382" s="661"/>
      <c r="I382" s="661"/>
      <c r="J382" s="661"/>
      <c r="K382" s="661"/>
      <c r="L382" s="661"/>
      <c r="M382" s="661"/>
      <c r="N382" s="661"/>
      <c r="O382" s="661"/>
      <c r="P382" s="661"/>
      <c r="Q382" s="661"/>
      <c r="R382" s="661"/>
      <c r="S382" s="661"/>
      <c r="T382" s="661"/>
      <c r="U382" s="661"/>
      <c r="V382" s="661"/>
      <c r="W382" s="661"/>
      <c r="X382" s="661"/>
      <c r="Y382" s="661"/>
      <c r="Z382" s="661"/>
      <c r="AA382" s="661"/>
      <c r="AB382" s="661"/>
    </row>
    <row r="383">
      <c r="A383" s="661"/>
      <c r="B383" s="661"/>
      <c r="C383" s="661"/>
      <c r="D383" s="662"/>
      <c r="E383" s="661"/>
      <c r="F383" s="661"/>
      <c r="G383" s="661"/>
      <c r="H383" s="661"/>
      <c r="I383" s="661"/>
      <c r="J383" s="661"/>
      <c r="K383" s="661"/>
      <c r="L383" s="661"/>
      <c r="M383" s="661"/>
      <c r="N383" s="661"/>
      <c r="O383" s="661"/>
      <c r="P383" s="661"/>
      <c r="Q383" s="661"/>
      <c r="R383" s="661"/>
      <c r="S383" s="661"/>
      <c r="T383" s="661"/>
      <c r="U383" s="661"/>
      <c r="V383" s="661"/>
      <c r="W383" s="661"/>
      <c r="X383" s="661"/>
      <c r="Y383" s="661"/>
      <c r="Z383" s="661"/>
      <c r="AA383" s="661"/>
      <c r="AB383" s="661"/>
    </row>
    <row r="384">
      <c r="A384" s="661"/>
      <c r="B384" s="661"/>
      <c r="C384" s="661"/>
      <c r="D384" s="662"/>
      <c r="E384" s="661"/>
      <c r="F384" s="661"/>
      <c r="G384" s="661"/>
      <c r="H384" s="661"/>
      <c r="I384" s="661"/>
      <c r="J384" s="661"/>
      <c r="K384" s="661"/>
      <c r="L384" s="661"/>
      <c r="M384" s="661"/>
      <c r="N384" s="661"/>
      <c r="O384" s="661"/>
      <c r="P384" s="661"/>
      <c r="Q384" s="661"/>
      <c r="R384" s="661"/>
      <c r="S384" s="661"/>
      <c r="T384" s="661"/>
      <c r="U384" s="661"/>
      <c r="V384" s="661"/>
      <c r="W384" s="661"/>
      <c r="X384" s="661"/>
      <c r="Y384" s="661"/>
      <c r="Z384" s="661"/>
      <c r="AA384" s="661"/>
      <c r="AB384" s="661"/>
    </row>
    <row r="385">
      <c r="A385" s="661"/>
      <c r="B385" s="661"/>
      <c r="C385" s="661"/>
      <c r="D385" s="662"/>
      <c r="E385" s="661"/>
      <c r="F385" s="661"/>
      <c r="G385" s="661"/>
      <c r="H385" s="661"/>
      <c r="I385" s="661"/>
      <c r="J385" s="661"/>
      <c r="K385" s="661"/>
      <c r="L385" s="661"/>
      <c r="M385" s="661"/>
      <c r="N385" s="661"/>
      <c r="O385" s="661"/>
      <c r="P385" s="661"/>
      <c r="Q385" s="661"/>
      <c r="R385" s="661"/>
      <c r="S385" s="661"/>
      <c r="T385" s="661"/>
      <c r="U385" s="661"/>
      <c r="V385" s="661"/>
      <c r="W385" s="661"/>
      <c r="X385" s="661"/>
      <c r="Y385" s="661"/>
      <c r="Z385" s="661"/>
      <c r="AA385" s="661"/>
      <c r="AB385" s="661"/>
    </row>
    <row r="386">
      <c r="A386" s="661"/>
      <c r="B386" s="661"/>
      <c r="C386" s="661"/>
      <c r="D386" s="662"/>
      <c r="E386" s="661"/>
      <c r="F386" s="661"/>
      <c r="G386" s="661"/>
      <c r="H386" s="661"/>
      <c r="I386" s="661"/>
      <c r="J386" s="661"/>
      <c r="K386" s="661"/>
      <c r="L386" s="661"/>
      <c r="M386" s="661"/>
      <c r="N386" s="661"/>
      <c r="O386" s="661"/>
      <c r="P386" s="661"/>
      <c r="Q386" s="661"/>
      <c r="R386" s="661"/>
      <c r="S386" s="661"/>
      <c r="T386" s="661"/>
      <c r="U386" s="661"/>
      <c r="V386" s="661"/>
      <c r="W386" s="661"/>
      <c r="X386" s="661"/>
      <c r="Y386" s="661"/>
      <c r="Z386" s="661"/>
      <c r="AA386" s="661"/>
      <c r="AB386" s="661"/>
    </row>
    <row r="387">
      <c r="A387" s="661"/>
      <c r="B387" s="661"/>
      <c r="C387" s="661"/>
      <c r="D387" s="662"/>
      <c r="E387" s="661"/>
      <c r="F387" s="661"/>
      <c r="G387" s="661"/>
      <c r="H387" s="661"/>
      <c r="I387" s="661"/>
      <c r="J387" s="661"/>
      <c r="K387" s="661"/>
      <c r="L387" s="661"/>
      <c r="M387" s="661"/>
      <c r="N387" s="661"/>
      <c r="O387" s="661"/>
      <c r="P387" s="661"/>
      <c r="Q387" s="661"/>
      <c r="R387" s="661"/>
      <c r="S387" s="661"/>
      <c r="T387" s="661"/>
      <c r="U387" s="661"/>
      <c r="V387" s="661"/>
      <c r="W387" s="661"/>
      <c r="X387" s="661"/>
      <c r="Y387" s="661"/>
      <c r="Z387" s="661"/>
      <c r="AA387" s="661"/>
      <c r="AB387" s="661"/>
    </row>
    <row r="388">
      <c r="A388" s="661"/>
      <c r="B388" s="661"/>
      <c r="C388" s="661"/>
      <c r="D388" s="662"/>
      <c r="E388" s="661"/>
      <c r="F388" s="661"/>
      <c r="G388" s="661"/>
      <c r="H388" s="661"/>
      <c r="I388" s="661"/>
      <c r="J388" s="661"/>
      <c r="K388" s="661"/>
      <c r="L388" s="661"/>
      <c r="M388" s="661"/>
      <c r="N388" s="661"/>
      <c r="O388" s="661"/>
      <c r="P388" s="661"/>
      <c r="Q388" s="661"/>
      <c r="R388" s="661"/>
      <c r="S388" s="661"/>
      <c r="T388" s="661"/>
      <c r="U388" s="661"/>
      <c r="V388" s="661"/>
      <c r="W388" s="661"/>
      <c r="X388" s="661"/>
      <c r="Y388" s="661"/>
      <c r="Z388" s="661"/>
      <c r="AA388" s="661"/>
      <c r="AB388" s="661"/>
    </row>
    <row r="389">
      <c r="A389" s="661"/>
      <c r="B389" s="661"/>
      <c r="C389" s="661"/>
      <c r="D389" s="662"/>
      <c r="E389" s="661"/>
      <c r="F389" s="661"/>
      <c r="G389" s="661"/>
      <c r="H389" s="661"/>
      <c r="I389" s="661"/>
      <c r="J389" s="661"/>
      <c r="K389" s="661"/>
      <c r="L389" s="661"/>
      <c r="M389" s="661"/>
      <c r="N389" s="661"/>
      <c r="O389" s="661"/>
      <c r="P389" s="661"/>
      <c r="Q389" s="661"/>
      <c r="R389" s="661"/>
      <c r="S389" s="661"/>
      <c r="T389" s="661"/>
      <c r="U389" s="661"/>
      <c r="V389" s="661"/>
      <c r="W389" s="661"/>
      <c r="X389" s="661"/>
      <c r="Y389" s="661"/>
      <c r="Z389" s="661"/>
      <c r="AA389" s="661"/>
      <c r="AB389" s="661"/>
    </row>
    <row r="390">
      <c r="A390" s="661"/>
      <c r="B390" s="661"/>
      <c r="C390" s="661"/>
      <c r="D390" s="662"/>
      <c r="E390" s="661"/>
      <c r="F390" s="661"/>
      <c r="G390" s="661"/>
      <c r="H390" s="661"/>
      <c r="I390" s="661"/>
      <c r="J390" s="661"/>
      <c r="K390" s="661"/>
      <c r="L390" s="661"/>
      <c r="M390" s="661"/>
      <c r="N390" s="661"/>
      <c r="O390" s="661"/>
      <c r="P390" s="661"/>
      <c r="Q390" s="661"/>
      <c r="R390" s="661"/>
      <c r="S390" s="661"/>
      <c r="T390" s="661"/>
      <c r="U390" s="661"/>
      <c r="V390" s="661"/>
      <c r="W390" s="661"/>
      <c r="X390" s="661"/>
      <c r="Y390" s="661"/>
      <c r="Z390" s="661"/>
      <c r="AA390" s="661"/>
      <c r="AB390" s="661"/>
    </row>
    <row r="391">
      <c r="A391" s="661"/>
      <c r="B391" s="661"/>
      <c r="C391" s="661"/>
      <c r="D391" s="662"/>
      <c r="E391" s="661"/>
      <c r="F391" s="661"/>
      <c r="G391" s="661"/>
      <c r="H391" s="661"/>
      <c r="I391" s="661"/>
      <c r="J391" s="661"/>
      <c r="K391" s="661"/>
      <c r="L391" s="661"/>
      <c r="M391" s="661"/>
      <c r="N391" s="661"/>
      <c r="O391" s="661"/>
      <c r="P391" s="661"/>
      <c r="Q391" s="661"/>
      <c r="R391" s="661"/>
      <c r="S391" s="661"/>
      <c r="T391" s="661"/>
      <c r="U391" s="661"/>
      <c r="V391" s="661"/>
      <c r="W391" s="661"/>
      <c r="X391" s="661"/>
      <c r="Y391" s="661"/>
      <c r="Z391" s="661"/>
      <c r="AA391" s="661"/>
      <c r="AB391" s="661"/>
    </row>
    <row r="392">
      <c r="A392" s="661"/>
      <c r="B392" s="661"/>
      <c r="C392" s="661"/>
      <c r="D392" s="662"/>
      <c r="E392" s="661"/>
      <c r="F392" s="661"/>
      <c r="G392" s="661"/>
      <c r="H392" s="661"/>
      <c r="I392" s="661"/>
      <c r="J392" s="661"/>
      <c r="K392" s="661"/>
      <c r="L392" s="661"/>
      <c r="M392" s="661"/>
      <c r="N392" s="661"/>
      <c r="O392" s="661"/>
      <c r="P392" s="661"/>
      <c r="Q392" s="661"/>
      <c r="R392" s="661"/>
      <c r="S392" s="661"/>
      <c r="T392" s="661"/>
      <c r="U392" s="661"/>
      <c r="V392" s="661"/>
      <c r="W392" s="661"/>
      <c r="X392" s="661"/>
      <c r="Y392" s="661"/>
      <c r="Z392" s="661"/>
      <c r="AA392" s="661"/>
      <c r="AB392" s="661"/>
    </row>
    <row r="393">
      <c r="A393" s="661"/>
      <c r="B393" s="661"/>
      <c r="C393" s="661"/>
      <c r="D393" s="662"/>
      <c r="E393" s="661"/>
      <c r="F393" s="661"/>
      <c r="G393" s="661"/>
      <c r="H393" s="661"/>
      <c r="I393" s="661"/>
      <c r="J393" s="661"/>
      <c r="K393" s="661"/>
      <c r="L393" s="661"/>
      <c r="M393" s="661"/>
      <c r="N393" s="661"/>
      <c r="O393" s="661"/>
      <c r="P393" s="661"/>
      <c r="Q393" s="661"/>
      <c r="R393" s="661"/>
      <c r="S393" s="661"/>
      <c r="T393" s="661"/>
      <c r="U393" s="661"/>
      <c r="V393" s="661"/>
      <c r="W393" s="661"/>
      <c r="X393" s="661"/>
      <c r="Y393" s="661"/>
      <c r="Z393" s="661"/>
      <c r="AA393" s="661"/>
      <c r="AB393" s="661"/>
    </row>
    <row r="394">
      <c r="A394" s="661"/>
      <c r="B394" s="661"/>
      <c r="C394" s="661"/>
      <c r="D394" s="662"/>
      <c r="E394" s="661"/>
      <c r="F394" s="661"/>
      <c r="G394" s="661"/>
      <c r="H394" s="661"/>
      <c r="I394" s="661"/>
      <c r="J394" s="661"/>
      <c r="K394" s="661"/>
      <c r="L394" s="661"/>
      <c r="M394" s="661"/>
      <c r="N394" s="661"/>
      <c r="O394" s="661"/>
      <c r="P394" s="661"/>
      <c r="Q394" s="661"/>
      <c r="R394" s="661"/>
      <c r="S394" s="661"/>
      <c r="T394" s="661"/>
      <c r="U394" s="661"/>
      <c r="V394" s="661"/>
      <c r="W394" s="661"/>
      <c r="X394" s="661"/>
      <c r="Y394" s="661"/>
      <c r="Z394" s="661"/>
      <c r="AA394" s="661"/>
      <c r="AB394" s="661"/>
    </row>
    <row r="395">
      <c r="A395" s="661"/>
      <c r="B395" s="661"/>
      <c r="C395" s="661"/>
      <c r="D395" s="662"/>
      <c r="E395" s="661"/>
      <c r="F395" s="661"/>
      <c r="G395" s="661"/>
      <c r="H395" s="661"/>
      <c r="I395" s="661"/>
      <c r="J395" s="661"/>
      <c r="K395" s="661"/>
      <c r="L395" s="661"/>
      <c r="M395" s="661"/>
      <c r="N395" s="661"/>
      <c r="O395" s="661"/>
      <c r="P395" s="661"/>
      <c r="Q395" s="661"/>
      <c r="R395" s="661"/>
      <c r="S395" s="661"/>
      <c r="T395" s="661"/>
      <c r="U395" s="661"/>
      <c r="V395" s="661"/>
      <c r="W395" s="661"/>
      <c r="X395" s="661"/>
      <c r="Y395" s="661"/>
      <c r="Z395" s="661"/>
      <c r="AA395" s="661"/>
      <c r="AB395" s="661"/>
    </row>
    <row r="396">
      <c r="A396" s="661"/>
      <c r="B396" s="661"/>
      <c r="C396" s="661"/>
      <c r="D396" s="662"/>
      <c r="E396" s="661"/>
      <c r="F396" s="661"/>
      <c r="G396" s="661"/>
      <c r="H396" s="661"/>
      <c r="I396" s="661"/>
      <c r="J396" s="661"/>
      <c r="K396" s="661"/>
      <c r="L396" s="661"/>
      <c r="M396" s="661"/>
      <c r="N396" s="661"/>
      <c r="O396" s="661"/>
      <c r="P396" s="661"/>
      <c r="Q396" s="661"/>
      <c r="R396" s="661"/>
      <c r="S396" s="661"/>
      <c r="T396" s="661"/>
      <c r="U396" s="661"/>
      <c r="V396" s="661"/>
      <c r="W396" s="661"/>
      <c r="X396" s="661"/>
      <c r="Y396" s="661"/>
      <c r="Z396" s="661"/>
      <c r="AA396" s="661"/>
      <c r="AB396" s="661"/>
    </row>
    <row r="397">
      <c r="A397" s="661"/>
      <c r="B397" s="661"/>
      <c r="C397" s="661"/>
      <c r="D397" s="662"/>
      <c r="E397" s="661"/>
      <c r="F397" s="661"/>
      <c r="G397" s="661"/>
      <c r="H397" s="661"/>
      <c r="I397" s="661"/>
      <c r="J397" s="661"/>
      <c r="K397" s="661"/>
      <c r="L397" s="661"/>
      <c r="M397" s="661"/>
      <c r="N397" s="661"/>
      <c r="O397" s="661"/>
      <c r="P397" s="661"/>
      <c r="Q397" s="661"/>
      <c r="R397" s="661"/>
      <c r="S397" s="661"/>
      <c r="T397" s="661"/>
      <c r="U397" s="661"/>
      <c r="V397" s="661"/>
      <c r="W397" s="661"/>
      <c r="X397" s="661"/>
      <c r="Y397" s="661"/>
      <c r="Z397" s="661"/>
      <c r="AA397" s="661"/>
      <c r="AB397" s="661"/>
    </row>
    <row r="398">
      <c r="A398" s="661"/>
      <c r="B398" s="661"/>
      <c r="C398" s="661"/>
      <c r="D398" s="662"/>
      <c r="E398" s="661"/>
      <c r="F398" s="661"/>
      <c r="G398" s="661"/>
      <c r="H398" s="661"/>
      <c r="I398" s="661"/>
      <c r="J398" s="661"/>
      <c r="K398" s="661"/>
      <c r="L398" s="661"/>
      <c r="M398" s="661"/>
      <c r="N398" s="661"/>
      <c r="O398" s="661"/>
      <c r="P398" s="661"/>
      <c r="Q398" s="661"/>
      <c r="R398" s="661"/>
      <c r="S398" s="661"/>
      <c r="T398" s="661"/>
      <c r="U398" s="661"/>
      <c r="V398" s="661"/>
      <c r="W398" s="661"/>
      <c r="X398" s="661"/>
      <c r="Y398" s="661"/>
      <c r="Z398" s="661"/>
      <c r="AA398" s="661"/>
      <c r="AB398" s="661"/>
    </row>
    <row r="399">
      <c r="A399" s="661"/>
      <c r="B399" s="661"/>
      <c r="C399" s="661"/>
      <c r="D399" s="662"/>
      <c r="E399" s="661"/>
      <c r="F399" s="661"/>
      <c r="G399" s="661"/>
      <c r="H399" s="661"/>
      <c r="I399" s="661"/>
      <c r="J399" s="661"/>
      <c r="K399" s="661"/>
      <c r="L399" s="661"/>
      <c r="M399" s="661"/>
      <c r="N399" s="661"/>
      <c r="O399" s="661"/>
      <c r="P399" s="661"/>
      <c r="Q399" s="661"/>
      <c r="R399" s="661"/>
      <c r="S399" s="661"/>
      <c r="T399" s="661"/>
      <c r="U399" s="661"/>
      <c r="V399" s="661"/>
      <c r="W399" s="661"/>
      <c r="X399" s="661"/>
      <c r="Y399" s="661"/>
      <c r="Z399" s="661"/>
      <c r="AA399" s="661"/>
      <c r="AB399" s="661"/>
    </row>
    <row r="400">
      <c r="A400" s="661"/>
      <c r="B400" s="661"/>
      <c r="C400" s="661"/>
      <c r="D400" s="662"/>
      <c r="E400" s="661"/>
      <c r="F400" s="661"/>
      <c r="G400" s="661"/>
      <c r="H400" s="661"/>
      <c r="I400" s="661"/>
      <c r="J400" s="661"/>
      <c r="K400" s="661"/>
      <c r="L400" s="661"/>
      <c r="M400" s="661"/>
      <c r="N400" s="661"/>
      <c r="O400" s="661"/>
      <c r="P400" s="661"/>
      <c r="Q400" s="661"/>
      <c r="R400" s="661"/>
      <c r="S400" s="661"/>
      <c r="T400" s="661"/>
      <c r="U400" s="661"/>
      <c r="V400" s="661"/>
      <c r="W400" s="661"/>
      <c r="X400" s="661"/>
      <c r="Y400" s="661"/>
      <c r="Z400" s="661"/>
      <c r="AA400" s="661"/>
      <c r="AB400" s="661"/>
    </row>
    <row r="401">
      <c r="A401" s="661"/>
      <c r="B401" s="661"/>
      <c r="C401" s="661"/>
      <c r="D401" s="662"/>
      <c r="E401" s="661"/>
      <c r="F401" s="661"/>
      <c r="G401" s="661"/>
      <c r="H401" s="661"/>
      <c r="I401" s="661"/>
      <c r="J401" s="661"/>
      <c r="K401" s="661"/>
      <c r="L401" s="661"/>
      <c r="M401" s="661"/>
      <c r="N401" s="661"/>
      <c r="O401" s="661"/>
      <c r="P401" s="661"/>
      <c r="Q401" s="661"/>
      <c r="R401" s="661"/>
      <c r="S401" s="661"/>
      <c r="T401" s="661"/>
      <c r="U401" s="661"/>
      <c r="V401" s="661"/>
      <c r="W401" s="661"/>
      <c r="X401" s="661"/>
      <c r="Y401" s="661"/>
      <c r="Z401" s="661"/>
      <c r="AA401" s="661"/>
      <c r="AB401" s="661"/>
    </row>
    <row r="402">
      <c r="A402" s="661"/>
      <c r="B402" s="661"/>
      <c r="C402" s="661"/>
      <c r="D402" s="662"/>
      <c r="E402" s="661"/>
      <c r="F402" s="661"/>
      <c r="G402" s="661"/>
      <c r="H402" s="661"/>
      <c r="I402" s="661"/>
      <c r="J402" s="661"/>
      <c r="K402" s="661"/>
      <c r="L402" s="661"/>
      <c r="M402" s="661"/>
      <c r="N402" s="661"/>
      <c r="O402" s="661"/>
      <c r="P402" s="661"/>
      <c r="Q402" s="661"/>
      <c r="R402" s="661"/>
      <c r="S402" s="661"/>
      <c r="T402" s="661"/>
      <c r="U402" s="661"/>
      <c r="V402" s="661"/>
      <c r="W402" s="661"/>
      <c r="X402" s="661"/>
      <c r="Y402" s="661"/>
      <c r="Z402" s="661"/>
      <c r="AA402" s="661"/>
      <c r="AB402" s="661"/>
    </row>
    <row r="403">
      <c r="A403" s="661"/>
      <c r="B403" s="661"/>
      <c r="C403" s="661"/>
      <c r="D403" s="662"/>
      <c r="E403" s="661"/>
      <c r="F403" s="661"/>
      <c r="G403" s="661"/>
      <c r="H403" s="661"/>
      <c r="I403" s="661"/>
      <c r="J403" s="661"/>
      <c r="K403" s="661"/>
      <c r="L403" s="661"/>
      <c r="M403" s="661"/>
      <c r="N403" s="661"/>
      <c r="O403" s="661"/>
      <c r="P403" s="661"/>
      <c r="Q403" s="661"/>
      <c r="R403" s="661"/>
      <c r="S403" s="661"/>
      <c r="T403" s="661"/>
      <c r="U403" s="661"/>
      <c r="V403" s="661"/>
      <c r="W403" s="661"/>
      <c r="X403" s="661"/>
      <c r="Y403" s="661"/>
      <c r="Z403" s="661"/>
      <c r="AA403" s="661"/>
      <c r="AB403" s="661"/>
    </row>
    <row r="404">
      <c r="A404" s="661"/>
      <c r="B404" s="661"/>
      <c r="C404" s="661"/>
      <c r="D404" s="662"/>
      <c r="E404" s="661"/>
      <c r="F404" s="661"/>
      <c r="G404" s="661"/>
      <c r="H404" s="661"/>
      <c r="I404" s="661"/>
      <c r="J404" s="661"/>
      <c r="K404" s="661"/>
      <c r="L404" s="661"/>
      <c r="M404" s="661"/>
      <c r="N404" s="661"/>
      <c r="O404" s="661"/>
      <c r="P404" s="661"/>
      <c r="Q404" s="661"/>
      <c r="R404" s="661"/>
      <c r="S404" s="661"/>
      <c r="T404" s="661"/>
      <c r="U404" s="661"/>
      <c r="V404" s="661"/>
      <c r="W404" s="661"/>
      <c r="X404" s="661"/>
      <c r="Y404" s="661"/>
      <c r="Z404" s="661"/>
      <c r="AA404" s="661"/>
      <c r="AB404" s="661"/>
    </row>
    <row r="405">
      <c r="A405" s="661"/>
      <c r="B405" s="661"/>
      <c r="C405" s="661"/>
      <c r="D405" s="662"/>
      <c r="E405" s="661"/>
      <c r="F405" s="661"/>
      <c r="G405" s="661"/>
      <c r="H405" s="661"/>
      <c r="I405" s="661"/>
      <c r="J405" s="661"/>
      <c r="K405" s="661"/>
      <c r="L405" s="661"/>
      <c r="M405" s="661"/>
      <c r="N405" s="661"/>
      <c r="O405" s="661"/>
      <c r="P405" s="661"/>
      <c r="Q405" s="661"/>
      <c r="R405" s="661"/>
      <c r="S405" s="661"/>
      <c r="T405" s="661"/>
      <c r="U405" s="661"/>
      <c r="V405" s="661"/>
      <c r="W405" s="661"/>
      <c r="X405" s="661"/>
      <c r="Y405" s="661"/>
      <c r="Z405" s="661"/>
      <c r="AA405" s="661"/>
      <c r="AB405" s="661"/>
    </row>
    <row r="406">
      <c r="A406" s="661"/>
      <c r="B406" s="661"/>
      <c r="C406" s="661"/>
      <c r="D406" s="662"/>
      <c r="E406" s="661"/>
      <c r="F406" s="661"/>
      <c r="G406" s="661"/>
      <c r="H406" s="661"/>
      <c r="I406" s="661"/>
      <c r="J406" s="661"/>
      <c r="K406" s="661"/>
      <c r="L406" s="661"/>
      <c r="M406" s="661"/>
      <c r="N406" s="661"/>
      <c r="O406" s="661"/>
      <c r="P406" s="661"/>
      <c r="Q406" s="661"/>
      <c r="R406" s="661"/>
      <c r="S406" s="661"/>
      <c r="T406" s="661"/>
      <c r="U406" s="661"/>
      <c r="V406" s="661"/>
      <c r="W406" s="661"/>
      <c r="X406" s="661"/>
      <c r="Y406" s="661"/>
      <c r="Z406" s="661"/>
      <c r="AA406" s="661"/>
      <c r="AB406" s="661"/>
    </row>
    <row r="407">
      <c r="A407" s="661"/>
      <c r="B407" s="661"/>
      <c r="C407" s="661"/>
      <c r="D407" s="662"/>
      <c r="E407" s="661"/>
      <c r="F407" s="661"/>
      <c r="G407" s="661"/>
      <c r="H407" s="661"/>
      <c r="I407" s="661"/>
      <c r="J407" s="661"/>
      <c r="K407" s="661"/>
      <c r="L407" s="661"/>
      <c r="M407" s="661"/>
      <c r="N407" s="661"/>
      <c r="O407" s="661"/>
      <c r="P407" s="661"/>
      <c r="Q407" s="661"/>
      <c r="R407" s="661"/>
      <c r="S407" s="661"/>
      <c r="T407" s="661"/>
      <c r="U407" s="661"/>
      <c r="V407" s="661"/>
      <c r="W407" s="661"/>
      <c r="X407" s="661"/>
      <c r="Y407" s="661"/>
      <c r="Z407" s="661"/>
      <c r="AA407" s="661"/>
      <c r="AB407" s="661"/>
    </row>
    <row r="408">
      <c r="A408" s="661"/>
      <c r="B408" s="661"/>
      <c r="C408" s="661"/>
      <c r="D408" s="662"/>
      <c r="E408" s="661"/>
      <c r="F408" s="661"/>
      <c r="G408" s="661"/>
      <c r="H408" s="661"/>
      <c r="I408" s="661"/>
      <c r="J408" s="661"/>
      <c r="K408" s="661"/>
      <c r="L408" s="661"/>
      <c r="M408" s="661"/>
      <c r="N408" s="661"/>
      <c r="O408" s="661"/>
      <c r="P408" s="661"/>
      <c r="Q408" s="661"/>
      <c r="R408" s="661"/>
      <c r="S408" s="661"/>
      <c r="T408" s="661"/>
      <c r="U408" s="661"/>
      <c r="V408" s="661"/>
      <c r="W408" s="661"/>
      <c r="X408" s="661"/>
      <c r="Y408" s="661"/>
      <c r="Z408" s="661"/>
      <c r="AA408" s="661"/>
      <c r="AB408" s="661"/>
    </row>
    <row r="409">
      <c r="A409" s="661"/>
      <c r="B409" s="661"/>
      <c r="C409" s="661"/>
      <c r="D409" s="662"/>
      <c r="E409" s="661"/>
      <c r="F409" s="661"/>
      <c r="G409" s="661"/>
      <c r="H409" s="661"/>
      <c r="I409" s="661"/>
      <c r="J409" s="661"/>
      <c r="K409" s="661"/>
      <c r="L409" s="661"/>
      <c r="M409" s="661"/>
      <c r="N409" s="661"/>
      <c r="O409" s="661"/>
      <c r="P409" s="661"/>
      <c r="Q409" s="661"/>
      <c r="R409" s="661"/>
      <c r="S409" s="661"/>
      <c r="T409" s="661"/>
      <c r="U409" s="661"/>
      <c r="V409" s="661"/>
      <c r="W409" s="661"/>
      <c r="X409" s="661"/>
      <c r="Y409" s="661"/>
      <c r="Z409" s="661"/>
      <c r="AA409" s="661"/>
      <c r="AB409" s="661"/>
    </row>
    <row r="410">
      <c r="A410" s="661"/>
      <c r="B410" s="661"/>
      <c r="C410" s="661"/>
      <c r="D410" s="662"/>
      <c r="E410" s="661"/>
      <c r="F410" s="661"/>
      <c r="G410" s="661"/>
      <c r="H410" s="661"/>
      <c r="I410" s="661"/>
      <c r="J410" s="661"/>
      <c r="K410" s="661"/>
      <c r="L410" s="661"/>
      <c r="M410" s="661"/>
      <c r="N410" s="661"/>
      <c r="O410" s="661"/>
      <c r="P410" s="661"/>
      <c r="Q410" s="661"/>
      <c r="R410" s="661"/>
      <c r="S410" s="661"/>
      <c r="T410" s="661"/>
      <c r="U410" s="661"/>
      <c r="V410" s="661"/>
      <c r="W410" s="661"/>
      <c r="X410" s="661"/>
      <c r="Y410" s="661"/>
      <c r="Z410" s="661"/>
      <c r="AA410" s="661"/>
      <c r="AB410" s="661"/>
    </row>
    <row r="411">
      <c r="A411" s="661"/>
      <c r="B411" s="661"/>
      <c r="C411" s="661"/>
      <c r="D411" s="662"/>
      <c r="E411" s="661"/>
      <c r="F411" s="661"/>
      <c r="G411" s="661"/>
      <c r="H411" s="661"/>
      <c r="I411" s="661"/>
      <c r="J411" s="661"/>
      <c r="K411" s="661"/>
      <c r="L411" s="661"/>
      <c r="M411" s="661"/>
      <c r="N411" s="661"/>
      <c r="O411" s="661"/>
      <c r="P411" s="661"/>
      <c r="Q411" s="661"/>
      <c r="R411" s="661"/>
      <c r="S411" s="661"/>
      <c r="T411" s="661"/>
      <c r="U411" s="661"/>
      <c r="V411" s="661"/>
      <c r="W411" s="661"/>
      <c r="X411" s="661"/>
      <c r="Y411" s="661"/>
      <c r="Z411" s="661"/>
      <c r="AA411" s="661"/>
      <c r="AB411" s="661"/>
    </row>
    <row r="412">
      <c r="A412" s="661"/>
      <c r="B412" s="661"/>
      <c r="C412" s="661"/>
      <c r="D412" s="662"/>
      <c r="E412" s="661"/>
      <c r="F412" s="661"/>
      <c r="G412" s="661"/>
      <c r="H412" s="661"/>
      <c r="I412" s="661"/>
      <c r="J412" s="661"/>
      <c r="K412" s="661"/>
      <c r="L412" s="661"/>
      <c r="M412" s="661"/>
      <c r="N412" s="661"/>
      <c r="O412" s="661"/>
      <c r="P412" s="661"/>
      <c r="Q412" s="661"/>
      <c r="R412" s="661"/>
      <c r="S412" s="661"/>
      <c r="T412" s="661"/>
      <c r="U412" s="661"/>
      <c r="V412" s="661"/>
      <c r="W412" s="661"/>
      <c r="X412" s="661"/>
      <c r="Y412" s="661"/>
      <c r="Z412" s="661"/>
      <c r="AA412" s="661"/>
      <c r="AB412" s="661"/>
    </row>
    <row r="413">
      <c r="A413" s="661"/>
      <c r="B413" s="661"/>
      <c r="C413" s="661"/>
      <c r="D413" s="662"/>
      <c r="E413" s="661"/>
      <c r="F413" s="661"/>
      <c r="G413" s="661"/>
      <c r="H413" s="661"/>
      <c r="I413" s="661"/>
      <c r="J413" s="661"/>
      <c r="K413" s="661"/>
      <c r="L413" s="661"/>
      <c r="M413" s="661"/>
      <c r="N413" s="661"/>
      <c r="O413" s="661"/>
      <c r="P413" s="661"/>
      <c r="Q413" s="661"/>
      <c r="R413" s="661"/>
      <c r="S413" s="661"/>
      <c r="T413" s="661"/>
      <c r="U413" s="661"/>
      <c r="V413" s="661"/>
      <c r="W413" s="661"/>
      <c r="X413" s="661"/>
      <c r="Y413" s="661"/>
      <c r="Z413" s="661"/>
      <c r="AA413" s="661"/>
      <c r="AB413" s="661"/>
    </row>
    <row r="414">
      <c r="A414" s="661"/>
      <c r="B414" s="661"/>
      <c r="C414" s="661"/>
      <c r="D414" s="662"/>
      <c r="E414" s="661"/>
      <c r="F414" s="661"/>
      <c r="G414" s="661"/>
      <c r="H414" s="661"/>
      <c r="I414" s="661"/>
      <c r="J414" s="661"/>
      <c r="K414" s="661"/>
      <c r="L414" s="661"/>
      <c r="M414" s="661"/>
      <c r="N414" s="661"/>
      <c r="O414" s="661"/>
      <c r="P414" s="661"/>
      <c r="Q414" s="661"/>
      <c r="R414" s="661"/>
      <c r="S414" s="661"/>
      <c r="T414" s="661"/>
      <c r="U414" s="661"/>
      <c r="V414" s="661"/>
      <c r="W414" s="661"/>
      <c r="X414" s="661"/>
      <c r="Y414" s="661"/>
      <c r="Z414" s="661"/>
      <c r="AA414" s="661"/>
      <c r="AB414" s="661"/>
    </row>
    <row r="415">
      <c r="A415" s="661"/>
      <c r="B415" s="661"/>
      <c r="C415" s="661"/>
      <c r="D415" s="662"/>
      <c r="E415" s="661"/>
      <c r="F415" s="661"/>
      <c r="G415" s="661"/>
      <c r="H415" s="661"/>
      <c r="I415" s="661"/>
      <c r="J415" s="661"/>
      <c r="K415" s="661"/>
      <c r="L415" s="661"/>
      <c r="M415" s="661"/>
      <c r="N415" s="661"/>
      <c r="O415" s="661"/>
      <c r="P415" s="661"/>
      <c r="Q415" s="661"/>
      <c r="R415" s="661"/>
      <c r="S415" s="661"/>
      <c r="T415" s="661"/>
      <c r="U415" s="661"/>
      <c r="V415" s="661"/>
      <c r="W415" s="661"/>
      <c r="X415" s="661"/>
      <c r="Y415" s="661"/>
      <c r="Z415" s="661"/>
      <c r="AA415" s="661"/>
      <c r="AB415" s="661"/>
    </row>
    <row r="416">
      <c r="A416" s="661"/>
      <c r="B416" s="661"/>
      <c r="C416" s="661"/>
      <c r="D416" s="662"/>
      <c r="E416" s="661"/>
      <c r="F416" s="661"/>
      <c r="G416" s="661"/>
      <c r="H416" s="661"/>
      <c r="I416" s="661"/>
      <c r="J416" s="661"/>
      <c r="K416" s="661"/>
      <c r="L416" s="661"/>
      <c r="M416" s="661"/>
      <c r="N416" s="661"/>
      <c r="O416" s="661"/>
      <c r="P416" s="661"/>
      <c r="Q416" s="661"/>
      <c r="R416" s="661"/>
      <c r="S416" s="661"/>
      <c r="T416" s="661"/>
      <c r="U416" s="661"/>
      <c r="V416" s="661"/>
      <c r="W416" s="661"/>
      <c r="X416" s="661"/>
      <c r="Y416" s="661"/>
      <c r="Z416" s="661"/>
      <c r="AA416" s="661"/>
      <c r="AB416" s="661"/>
    </row>
    <row r="417">
      <c r="A417" s="661"/>
      <c r="B417" s="661"/>
      <c r="C417" s="661"/>
      <c r="D417" s="662"/>
      <c r="E417" s="661"/>
      <c r="F417" s="661"/>
      <c r="G417" s="661"/>
      <c r="H417" s="661"/>
      <c r="I417" s="661"/>
      <c r="J417" s="661"/>
      <c r="K417" s="661"/>
      <c r="L417" s="661"/>
      <c r="M417" s="661"/>
      <c r="N417" s="661"/>
      <c r="O417" s="661"/>
      <c r="P417" s="661"/>
      <c r="Q417" s="661"/>
      <c r="R417" s="661"/>
      <c r="S417" s="661"/>
      <c r="T417" s="661"/>
      <c r="U417" s="661"/>
      <c r="V417" s="661"/>
      <c r="W417" s="661"/>
      <c r="X417" s="661"/>
      <c r="Y417" s="661"/>
      <c r="Z417" s="661"/>
      <c r="AA417" s="661"/>
      <c r="AB417" s="661"/>
    </row>
    <row r="418">
      <c r="A418" s="661"/>
      <c r="B418" s="661"/>
      <c r="C418" s="661"/>
      <c r="D418" s="662"/>
      <c r="E418" s="661"/>
      <c r="F418" s="661"/>
      <c r="G418" s="661"/>
      <c r="H418" s="661"/>
      <c r="I418" s="661"/>
      <c r="J418" s="661"/>
      <c r="K418" s="661"/>
      <c r="L418" s="661"/>
      <c r="M418" s="661"/>
      <c r="N418" s="661"/>
      <c r="O418" s="661"/>
      <c r="P418" s="661"/>
      <c r="Q418" s="661"/>
      <c r="R418" s="661"/>
      <c r="S418" s="661"/>
      <c r="T418" s="661"/>
      <c r="U418" s="661"/>
      <c r="V418" s="661"/>
      <c r="W418" s="661"/>
      <c r="X418" s="661"/>
      <c r="Y418" s="661"/>
      <c r="Z418" s="661"/>
      <c r="AA418" s="661"/>
      <c r="AB418" s="661"/>
    </row>
    <row r="419">
      <c r="A419" s="661"/>
      <c r="B419" s="661"/>
      <c r="C419" s="661"/>
      <c r="D419" s="662"/>
      <c r="E419" s="661"/>
      <c r="F419" s="661"/>
      <c r="G419" s="661"/>
      <c r="H419" s="661"/>
      <c r="I419" s="661"/>
      <c r="J419" s="661"/>
      <c r="K419" s="661"/>
      <c r="L419" s="661"/>
      <c r="M419" s="661"/>
      <c r="N419" s="661"/>
      <c r="O419" s="661"/>
      <c r="P419" s="661"/>
      <c r="Q419" s="661"/>
      <c r="R419" s="661"/>
      <c r="S419" s="661"/>
      <c r="T419" s="661"/>
      <c r="U419" s="661"/>
      <c r="V419" s="661"/>
      <c r="W419" s="661"/>
      <c r="X419" s="661"/>
      <c r="Y419" s="661"/>
      <c r="Z419" s="661"/>
      <c r="AA419" s="661"/>
      <c r="AB419" s="661"/>
    </row>
    <row r="420">
      <c r="A420" s="661"/>
      <c r="B420" s="661"/>
      <c r="C420" s="661"/>
      <c r="D420" s="662"/>
      <c r="E420" s="661"/>
      <c r="F420" s="661"/>
      <c r="G420" s="661"/>
      <c r="H420" s="661"/>
      <c r="I420" s="661"/>
      <c r="J420" s="661"/>
      <c r="K420" s="661"/>
      <c r="L420" s="661"/>
      <c r="M420" s="661"/>
      <c r="N420" s="661"/>
      <c r="O420" s="661"/>
      <c r="P420" s="661"/>
      <c r="Q420" s="661"/>
      <c r="R420" s="661"/>
      <c r="S420" s="661"/>
      <c r="T420" s="661"/>
      <c r="U420" s="661"/>
      <c r="V420" s="661"/>
      <c r="W420" s="661"/>
      <c r="X420" s="661"/>
      <c r="Y420" s="661"/>
      <c r="Z420" s="661"/>
      <c r="AA420" s="661"/>
      <c r="AB420" s="661"/>
    </row>
    <row r="421">
      <c r="A421" s="661"/>
      <c r="B421" s="661"/>
      <c r="C421" s="661"/>
      <c r="D421" s="662"/>
      <c r="E421" s="661"/>
      <c r="F421" s="661"/>
      <c r="G421" s="661"/>
      <c r="H421" s="661"/>
      <c r="I421" s="661"/>
      <c r="J421" s="661"/>
      <c r="K421" s="661"/>
      <c r="L421" s="661"/>
      <c r="M421" s="661"/>
      <c r="N421" s="661"/>
      <c r="O421" s="661"/>
      <c r="P421" s="661"/>
      <c r="Q421" s="661"/>
      <c r="R421" s="661"/>
      <c r="S421" s="661"/>
      <c r="T421" s="661"/>
      <c r="U421" s="661"/>
      <c r="V421" s="661"/>
      <c r="W421" s="661"/>
      <c r="X421" s="661"/>
      <c r="Y421" s="661"/>
      <c r="Z421" s="661"/>
      <c r="AA421" s="661"/>
      <c r="AB421" s="661"/>
    </row>
    <row r="422">
      <c r="A422" s="661"/>
      <c r="B422" s="661"/>
      <c r="C422" s="661"/>
      <c r="D422" s="662"/>
      <c r="E422" s="661"/>
      <c r="F422" s="661"/>
      <c r="G422" s="661"/>
      <c r="H422" s="661"/>
      <c r="I422" s="661"/>
      <c r="J422" s="661"/>
      <c r="K422" s="661"/>
      <c r="L422" s="661"/>
      <c r="M422" s="661"/>
      <c r="N422" s="661"/>
      <c r="O422" s="661"/>
      <c r="P422" s="661"/>
      <c r="Q422" s="661"/>
      <c r="R422" s="661"/>
      <c r="S422" s="661"/>
      <c r="T422" s="661"/>
      <c r="U422" s="661"/>
      <c r="V422" s="661"/>
      <c r="W422" s="661"/>
      <c r="X422" s="661"/>
      <c r="Y422" s="661"/>
      <c r="Z422" s="661"/>
      <c r="AA422" s="661"/>
      <c r="AB422" s="661"/>
    </row>
    <row r="423">
      <c r="A423" s="661"/>
      <c r="B423" s="661"/>
      <c r="C423" s="661"/>
      <c r="D423" s="662"/>
      <c r="E423" s="661"/>
      <c r="F423" s="661"/>
      <c r="G423" s="661"/>
      <c r="H423" s="661"/>
      <c r="I423" s="661"/>
      <c r="J423" s="661"/>
      <c r="K423" s="661"/>
      <c r="L423" s="661"/>
      <c r="M423" s="661"/>
      <c r="N423" s="661"/>
      <c r="O423" s="661"/>
      <c r="P423" s="661"/>
      <c r="Q423" s="661"/>
      <c r="R423" s="661"/>
      <c r="S423" s="661"/>
      <c r="T423" s="661"/>
      <c r="U423" s="661"/>
      <c r="V423" s="661"/>
      <c r="W423" s="661"/>
      <c r="X423" s="661"/>
      <c r="Y423" s="661"/>
      <c r="Z423" s="661"/>
      <c r="AA423" s="661"/>
      <c r="AB423" s="661"/>
    </row>
    <row r="424">
      <c r="A424" s="661"/>
      <c r="B424" s="661"/>
      <c r="C424" s="661"/>
      <c r="D424" s="662"/>
      <c r="E424" s="661"/>
      <c r="F424" s="661"/>
      <c r="G424" s="661"/>
      <c r="H424" s="661"/>
      <c r="I424" s="661"/>
      <c r="J424" s="661"/>
      <c r="K424" s="661"/>
      <c r="L424" s="661"/>
      <c r="M424" s="661"/>
      <c r="N424" s="661"/>
      <c r="O424" s="661"/>
      <c r="P424" s="661"/>
      <c r="Q424" s="661"/>
      <c r="R424" s="661"/>
      <c r="S424" s="661"/>
      <c r="T424" s="661"/>
      <c r="U424" s="661"/>
      <c r="V424" s="661"/>
      <c r="W424" s="661"/>
      <c r="X424" s="661"/>
      <c r="Y424" s="661"/>
      <c r="Z424" s="661"/>
      <c r="AA424" s="661"/>
      <c r="AB424" s="661"/>
    </row>
    <row r="425">
      <c r="A425" s="661"/>
      <c r="B425" s="661"/>
      <c r="C425" s="661"/>
      <c r="D425" s="662"/>
      <c r="E425" s="661"/>
      <c r="F425" s="661"/>
      <c r="G425" s="661"/>
      <c r="H425" s="661"/>
      <c r="I425" s="661"/>
      <c r="J425" s="661"/>
      <c r="K425" s="661"/>
      <c r="L425" s="661"/>
      <c r="M425" s="661"/>
      <c r="N425" s="661"/>
      <c r="O425" s="661"/>
      <c r="P425" s="661"/>
      <c r="Q425" s="661"/>
      <c r="R425" s="661"/>
      <c r="S425" s="661"/>
      <c r="T425" s="661"/>
      <c r="U425" s="661"/>
      <c r="V425" s="661"/>
      <c r="W425" s="661"/>
      <c r="X425" s="661"/>
      <c r="Y425" s="661"/>
      <c r="Z425" s="661"/>
      <c r="AA425" s="661"/>
      <c r="AB425" s="661"/>
    </row>
    <row r="426">
      <c r="A426" s="661"/>
      <c r="B426" s="661"/>
      <c r="C426" s="661"/>
      <c r="D426" s="662"/>
      <c r="E426" s="661"/>
      <c r="F426" s="661"/>
      <c r="G426" s="661"/>
      <c r="H426" s="661"/>
      <c r="I426" s="661"/>
      <c r="J426" s="661"/>
      <c r="K426" s="661"/>
      <c r="L426" s="661"/>
      <c r="M426" s="661"/>
      <c r="N426" s="661"/>
      <c r="O426" s="661"/>
      <c r="P426" s="661"/>
      <c r="Q426" s="661"/>
      <c r="R426" s="661"/>
      <c r="S426" s="661"/>
      <c r="T426" s="661"/>
      <c r="U426" s="661"/>
      <c r="V426" s="661"/>
      <c r="W426" s="661"/>
      <c r="X426" s="661"/>
      <c r="Y426" s="661"/>
      <c r="Z426" s="661"/>
      <c r="AA426" s="661"/>
      <c r="AB426" s="661"/>
    </row>
    <row r="427">
      <c r="A427" s="661"/>
      <c r="B427" s="661"/>
      <c r="C427" s="661"/>
      <c r="D427" s="662"/>
      <c r="E427" s="661"/>
      <c r="F427" s="661"/>
      <c r="G427" s="661"/>
      <c r="H427" s="661"/>
      <c r="I427" s="661"/>
      <c r="J427" s="661"/>
      <c r="K427" s="661"/>
      <c r="L427" s="661"/>
      <c r="M427" s="661"/>
      <c r="N427" s="661"/>
      <c r="O427" s="661"/>
      <c r="P427" s="661"/>
      <c r="Q427" s="661"/>
      <c r="R427" s="661"/>
      <c r="S427" s="661"/>
      <c r="T427" s="661"/>
      <c r="U427" s="661"/>
      <c r="V427" s="661"/>
      <c r="W427" s="661"/>
      <c r="X427" s="661"/>
      <c r="Y427" s="661"/>
      <c r="Z427" s="661"/>
      <c r="AA427" s="661"/>
      <c r="AB427" s="661"/>
    </row>
    <row r="428">
      <c r="A428" s="661"/>
      <c r="B428" s="661"/>
      <c r="C428" s="661"/>
      <c r="D428" s="662"/>
      <c r="E428" s="661"/>
      <c r="F428" s="661"/>
      <c r="G428" s="661"/>
      <c r="H428" s="661"/>
      <c r="I428" s="661"/>
      <c r="J428" s="661"/>
      <c r="K428" s="661"/>
      <c r="L428" s="661"/>
      <c r="M428" s="661"/>
      <c r="N428" s="661"/>
      <c r="O428" s="661"/>
      <c r="P428" s="661"/>
      <c r="Q428" s="661"/>
      <c r="R428" s="661"/>
      <c r="S428" s="661"/>
      <c r="T428" s="661"/>
      <c r="U428" s="661"/>
      <c r="V428" s="661"/>
      <c r="W428" s="661"/>
      <c r="X428" s="661"/>
      <c r="Y428" s="661"/>
      <c r="Z428" s="661"/>
      <c r="AA428" s="661"/>
      <c r="AB428" s="661"/>
    </row>
    <row r="429">
      <c r="A429" s="661"/>
      <c r="B429" s="661"/>
      <c r="C429" s="661"/>
      <c r="D429" s="662"/>
      <c r="E429" s="661"/>
      <c r="F429" s="661"/>
      <c r="G429" s="661"/>
      <c r="H429" s="661"/>
      <c r="I429" s="661"/>
      <c r="J429" s="661"/>
      <c r="K429" s="661"/>
      <c r="L429" s="661"/>
      <c r="M429" s="661"/>
      <c r="N429" s="661"/>
      <c r="O429" s="661"/>
      <c r="P429" s="661"/>
      <c r="Q429" s="661"/>
      <c r="R429" s="661"/>
      <c r="S429" s="661"/>
      <c r="T429" s="661"/>
      <c r="U429" s="661"/>
      <c r="V429" s="661"/>
      <c r="W429" s="661"/>
      <c r="X429" s="661"/>
      <c r="Y429" s="661"/>
      <c r="Z429" s="661"/>
      <c r="AA429" s="661"/>
      <c r="AB429" s="661"/>
    </row>
    <row r="430">
      <c r="A430" s="661"/>
      <c r="B430" s="661"/>
      <c r="C430" s="661"/>
      <c r="D430" s="662"/>
      <c r="E430" s="661"/>
      <c r="F430" s="661"/>
      <c r="G430" s="661"/>
      <c r="H430" s="661"/>
      <c r="I430" s="661"/>
      <c r="J430" s="661"/>
      <c r="K430" s="661"/>
      <c r="L430" s="661"/>
      <c r="M430" s="661"/>
      <c r="N430" s="661"/>
      <c r="O430" s="661"/>
      <c r="P430" s="661"/>
      <c r="Q430" s="661"/>
      <c r="R430" s="661"/>
      <c r="S430" s="661"/>
      <c r="T430" s="661"/>
      <c r="U430" s="661"/>
      <c r="V430" s="661"/>
      <c r="W430" s="661"/>
      <c r="X430" s="661"/>
      <c r="Y430" s="661"/>
      <c r="Z430" s="661"/>
      <c r="AA430" s="661"/>
      <c r="AB430" s="661"/>
    </row>
    <row r="431">
      <c r="A431" s="661"/>
      <c r="B431" s="661"/>
      <c r="C431" s="661"/>
      <c r="D431" s="662"/>
      <c r="E431" s="661"/>
      <c r="F431" s="661"/>
      <c r="G431" s="661"/>
      <c r="H431" s="661"/>
      <c r="I431" s="661"/>
      <c r="J431" s="661"/>
      <c r="K431" s="661"/>
      <c r="L431" s="661"/>
      <c r="M431" s="661"/>
      <c r="N431" s="661"/>
      <c r="O431" s="661"/>
      <c r="P431" s="661"/>
      <c r="Q431" s="661"/>
      <c r="R431" s="661"/>
      <c r="S431" s="661"/>
      <c r="T431" s="661"/>
      <c r="U431" s="661"/>
      <c r="V431" s="661"/>
      <c r="W431" s="661"/>
      <c r="X431" s="661"/>
      <c r="Y431" s="661"/>
      <c r="Z431" s="661"/>
      <c r="AA431" s="661"/>
      <c r="AB431" s="661"/>
    </row>
    <row r="432">
      <c r="A432" s="661"/>
      <c r="B432" s="661"/>
      <c r="C432" s="661"/>
      <c r="D432" s="662"/>
      <c r="E432" s="661"/>
      <c r="F432" s="661"/>
      <c r="G432" s="661"/>
      <c r="H432" s="661"/>
      <c r="I432" s="661"/>
      <c r="J432" s="661"/>
      <c r="K432" s="661"/>
      <c r="L432" s="661"/>
      <c r="M432" s="661"/>
      <c r="N432" s="661"/>
      <c r="O432" s="661"/>
      <c r="P432" s="661"/>
      <c r="Q432" s="661"/>
      <c r="R432" s="661"/>
      <c r="S432" s="661"/>
      <c r="T432" s="661"/>
      <c r="U432" s="661"/>
      <c r="V432" s="661"/>
      <c r="W432" s="661"/>
      <c r="X432" s="661"/>
      <c r="Y432" s="661"/>
      <c r="Z432" s="661"/>
      <c r="AA432" s="661"/>
      <c r="AB432" s="661"/>
    </row>
    <row r="433">
      <c r="A433" s="661"/>
      <c r="B433" s="661"/>
      <c r="C433" s="661"/>
      <c r="D433" s="662"/>
      <c r="E433" s="661"/>
      <c r="F433" s="661"/>
      <c r="G433" s="661"/>
      <c r="H433" s="661"/>
      <c r="I433" s="661"/>
      <c r="J433" s="661"/>
      <c r="K433" s="661"/>
      <c r="L433" s="661"/>
      <c r="M433" s="661"/>
      <c r="N433" s="661"/>
      <c r="O433" s="661"/>
      <c r="P433" s="661"/>
      <c r="Q433" s="661"/>
      <c r="R433" s="661"/>
      <c r="S433" s="661"/>
      <c r="T433" s="661"/>
      <c r="U433" s="661"/>
      <c r="V433" s="661"/>
      <c r="W433" s="661"/>
      <c r="X433" s="661"/>
      <c r="Y433" s="661"/>
      <c r="Z433" s="661"/>
      <c r="AA433" s="661"/>
      <c r="AB433" s="661"/>
    </row>
    <row r="434">
      <c r="A434" s="661"/>
      <c r="B434" s="661"/>
      <c r="C434" s="661"/>
      <c r="D434" s="662"/>
      <c r="E434" s="661"/>
      <c r="F434" s="661"/>
      <c r="G434" s="661"/>
      <c r="H434" s="661"/>
      <c r="I434" s="661"/>
      <c r="J434" s="661"/>
      <c r="K434" s="661"/>
      <c r="L434" s="661"/>
      <c r="M434" s="661"/>
      <c r="N434" s="661"/>
      <c r="O434" s="661"/>
      <c r="P434" s="661"/>
      <c r="Q434" s="661"/>
      <c r="R434" s="661"/>
      <c r="S434" s="661"/>
      <c r="T434" s="661"/>
      <c r="U434" s="661"/>
      <c r="V434" s="661"/>
      <c r="W434" s="661"/>
      <c r="X434" s="661"/>
      <c r="Y434" s="661"/>
      <c r="Z434" s="661"/>
      <c r="AA434" s="661"/>
      <c r="AB434" s="661"/>
    </row>
    <row r="435">
      <c r="A435" s="661"/>
      <c r="B435" s="661"/>
      <c r="C435" s="661"/>
      <c r="D435" s="662"/>
      <c r="E435" s="661"/>
      <c r="F435" s="661"/>
      <c r="G435" s="661"/>
      <c r="H435" s="661"/>
      <c r="I435" s="661"/>
      <c r="J435" s="661"/>
      <c r="K435" s="661"/>
      <c r="L435" s="661"/>
      <c r="M435" s="661"/>
      <c r="N435" s="661"/>
      <c r="O435" s="661"/>
      <c r="P435" s="661"/>
      <c r="Q435" s="661"/>
      <c r="R435" s="661"/>
      <c r="S435" s="661"/>
      <c r="T435" s="661"/>
      <c r="U435" s="661"/>
      <c r="V435" s="661"/>
      <c r="W435" s="661"/>
      <c r="X435" s="661"/>
      <c r="Y435" s="661"/>
      <c r="Z435" s="661"/>
      <c r="AA435" s="661"/>
      <c r="AB435" s="661"/>
    </row>
    <row r="436">
      <c r="A436" s="661"/>
      <c r="B436" s="661"/>
      <c r="C436" s="661"/>
      <c r="D436" s="662"/>
      <c r="E436" s="661"/>
      <c r="F436" s="661"/>
      <c r="G436" s="661"/>
      <c r="H436" s="661"/>
      <c r="I436" s="661"/>
      <c r="J436" s="661"/>
      <c r="K436" s="661"/>
      <c r="L436" s="661"/>
      <c r="M436" s="661"/>
      <c r="N436" s="661"/>
      <c r="O436" s="661"/>
      <c r="P436" s="661"/>
      <c r="Q436" s="661"/>
      <c r="R436" s="661"/>
      <c r="S436" s="661"/>
      <c r="T436" s="661"/>
      <c r="U436" s="661"/>
      <c r="V436" s="661"/>
      <c r="W436" s="661"/>
      <c r="X436" s="661"/>
      <c r="Y436" s="661"/>
      <c r="Z436" s="661"/>
      <c r="AA436" s="661"/>
      <c r="AB436" s="661"/>
    </row>
    <row r="437">
      <c r="A437" s="661"/>
      <c r="B437" s="661"/>
      <c r="C437" s="661"/>
      <c r="D437" s="662"/>
      <c r="E437" s="661"/>
      <c r="F437" s="661"/>
      <c r="G437" s="661"/>
      <c r="H437" s="661"/>
      <c r="I437" s="661"/>
      <c r="J437" s="661"/>
      <c r="K437" s="661"/>
      <c r="L437" s="661"/>
      <c r="M437" s="661"/>
      <c r="N437" s="661"/>
      <c r="O437" s="661"/>
      <c r="P437" s="661"/>
      <c r="Q437" s="661"/>
      <c r="R437" s="661"/>
      <c r="S437" s="661"/>
      <c r="T437" s="661"/>
      <c r="U437" s="661"/>
      <c r="V437" s="661"/>
      <c r="W437" s="661"/>
      <c r="X437" s="661"/>
      <c r="Y437" s="661"/>
      <c r="Z437" s="661"/>
      <c r="AA437" s="661"/>
      <c r="AB437" s="661"/>
    </row>
    <row r="438">
      <c r="A438" s="661"/>
      <c r="B438" s="661"/>
      <c r="C438" s="661"/>
      <c r="D438" s="662"/>
      <c r="E438" s="661"/>
      <c r="F438" s="661"/>
      <c r="G438" s="661"/>
      <c r="H438" s="661"/>
      <c r="I438" s="661"/>
      <c r="J438" s="661"/>
      <c r="K438" s="661"/>
      <c r="L438" s="661"/>
      <c r="M438" s="661"/>
      <c r="N438" s="661"/>
      <c r="O438" s="661"/>
      <c r="P438" s="661"/>
      <c r="Q438" s="661"/>
      <c r="R438" s="661"/>
      <c r="S438" s="661"/>
      <c r="T438" s="661"/>
      <c r="U438" s="661"/>
      <c r="V438" s="661"/>
      <c r="W438" s="661"/>
      <c r="X438" s="661"/>
      <c r="Y438" s="661"/>
      <c r="Z438" s="661"/>
      <c r="AA438" s="661"/>
      <c r="AB438" s="661"/>
    </row>
    <row r="439">
      <c r="A439" s="661"/>
      <c r="B439" s="661"/>
      <c r="C439" s="661"/>
      <c r="D439" s="662"/>
      <c r="E439" s="661"/>
      <c r="F439" s="661"/>
      <c r="G439" s="661"/>
      <c r="H439" s="661"/>
      <c r="I439" s="661"/>
      <c r="J439" s="661"/>
      <c r="K439" s="661"/>
      <c r="L439" s="661"/>
      <c r="M439" s="661"/>
      <c r="N439" s="661"/>
      <c r="O439" s="661"/>
      <c r="P439" s="661"/>
      <c r="Q439" s="661"/>
      <c r="R439" s="661"/>
      <c r="S439" s="661"/>
      <c r="T439" s="661"/>
      <c r="U439" s="661"/>
      <c r="V439" s="661"/>
      <c r="W439" s="661"/>
      <c r="X439" s="661"/>
      <c r="Y439" s="661"/>
      <c r="Z439" s="661"/>
      <c r="AA439" s="661"/>
      <c r="AB439" s="661"/>
    </row>
    <row r="440">
      <c r="A440" s="661"/>
      <c r="B440" s="661"/>
      <c r="C440" s="661"/>
      <c r="D440" s="662"/>
      <c r="E440" s="661"/>
      <c r="F440" s="661"/>
      <c r="G440" s="661"/>
      <c r="H440" s="661"/>
      <c r="I440" s="661"/>
      <c r="J440" s="661"/>
      <c r="K440" s="661"/>
      <c r="L440" s="661"/>
      <c r="M440" s="661"/>
      <c r="N440" s="661"/>
      <c r="O440" s="661"/>
      <c r="P440" s="661"/>
      <c r="Q440" s="661"/>
      <c r="R440" s="661"/>
      <c r="S440" s="661"/>
      <c r="T440" s="661"/>
      <c r="U440" s="661"/>
      <c r="V440" s="661"/>
      <c r="W440" s="661"/>
      <c r="X440" s="661"/>
      <c r="Y440" s="661"/>
      <c r="Z440" s="661"/>
      <c r="AA440" s="661"/>
      <c r="AB440" s="661"/>
    </row>
    <row r="441">
      <c r="A441" s="661"/>
      <c r="B441" s="661"/>
      <c r="C441" s="661"/>
      <c r="D441" s="662"/>
      <c r="E441" s="661"/>
      <c r="F441" s="661"/>
      <c r="G441" s="661"/>
      <c r="H441" s="661"/>
      <c r="I441" s="661"/>
      <c r="J441" s="661"/>
      <c r="K441" s="661"/>
      <c r="L441" s="661"/>
      <c r="M441" s="661"/>
      <c r="N441" s="661"/>
      <c r="O441" s="661"/>
      <c r="P441" s="661"/>
      <c r="Q441" s="661"/>
      <c r="R441" s="661"/>
      <c r="S441" s="661"/>
      <c r="T441" s="661"/>
      <c r="U441" s="661"/>
      <c r="V441" s="661"/>
      <c r="W441" s="661"/>
      <c r="X441" s="661"/>
      <c r="Y441" s="661"/>
      <c r="Z441" s="661"/>
      <c r="AA441" s="661"/>
      <c r="AB441" s="661"/>
    </row>
    <row r="442">
      <c r="A442" s="661"/>
      <c r="B442" s="661"/>
      <c r="C442" s="661"/>
      <c r="D442" s="662"/>
      <c r="E442" s="661"/>
      <c r="F442" s="661"/>
      <c r="G442" s="661"/>
      <c r="H442" s="661"/>
      <c r="I442" s="661"/>
      <c r="J442" s="661"/>
      <c r="K442" s="661"/>
      <c r="L442" s="661"/>
      <c r="M442" s="661"/>
      <c r="N442" s="661"/>
      <c r="O442" s="661"/>
      <c r="P442" s="661"/>
      <c r="Q442" s="661"/>
      <c r="R442" s="661"/>
      <c r="S442" s="661"/>
      <c r="T442" s="661"/>
      <c r="U442" s="661"/>
      <c r="V442" s="661"/>
      <c r="W442" s="661"/>
      <c r="X442" s="661"/>
      <c r="Y442" s="661"/>
      <c r="Z442" s="661"/>
      <c r="AA442" s="661"/>
      <c r="AB442" s="661"/>
    </row>
    <row r="443">
      <c r="A443" s="661"/>
      <c r="B443" s="661"/>
      <c r="C443" s="661"/>
      <c r="D443" s="662"/>
      <c r="E443" s="661"/>
      <c r="F443" s="661"/>
      <c r="G443" s="661"/>
      <c r="H443" s="661"/>
      <c r="I443" s="661"/>
      <c r="J443" s="661"/>
      <c r="K443" s="661"/>
      <c r="L443" s="661"/>
      <c r="M443" s="661"/>
      <c r="N443" s="661"/>
      <c r="O443" s="661"/>
      <c r="P443" s="661"/>
      <c r="Q443" s="661"/>
      <c r="R443" s="661"/>
      <c r="S443" s="661"/>
      <c r="T443" s="661"/>
      <c r="U443" s="661"/>
      <c r="V443" s="661"/>
      <c r="W443" s="661"/>
      <c r="X443" s="661"/>
      <c r="Y443" s="661"/>
      <c r="Z443" s="661"/>
      <c r="AA443" s="661"/>
      <c r="AB443" s="661"/>
    </row>
    <row r="444">
      <c r="A444" s="661"/>
      <c r="B444" s="661"/>
      <c r="C444" s="661"/>
      <c r="D444" s="662"/>
      <c r="E444" s="661"/>
      <c r="F444" s="661"/>
      <c r="G444" s="661"/>
      <c r="H444" s="661"/>
      <c r="I444" s="661"/>
      <c r="J444" s="661"/>
      <c r="K444" s="661"/>
      <c r="L444" s="661"/>
      <c r="M444" s="661"/>
      <c r="N444" s="661"/>
      <c r="O444" s="661"/>
      <c r="P444" s="661"/>
      <c r="Q444" s="661"/>
      <c r="R444" s="661"/>
      <c r="S444" s="661"/>
      <c r="T444" s="661"/>
      <c r="U444" s="661"/>
      <c r="V444" s="661"/>
      <c r="W444" s="661"/>
      <c r="X444" s="661"/>
      <c r="Y444" s="661"/>
      <c r="Z444" s="661"/>
      <c r="AA444" s="661"/>
      <c r="AB444" s="661"/>
    </row>
    <row r="445">
      <c r="A445" s="661"/>
      <c r="B445" s="661"/>
      <c r="C445" s="661"/>
      <c r="D445" s="662"/>
      <c r="E445" s="661"/>
      <c r="F445" s="661"/>
      <c r="G445" s="661"/>
      <c r="H445" s="661"/>
      <c r="I445" s="661"/>
      <c r="J445" s="661"/>
      <c r="K445" s="661"/>
      <c r="L445" s="661"/>
      <c r="M445" s="661"/>
      <c r="N445" s="661"/>
      <c r="O445" s="661"/>
      <c r="P445" s="661"/>
      <c r="Q445" s="661"/>
      <c r="R445" s="661"/>
      <c r="S445" s="661"/>
      <c r="T445" s="661"/>
      <c r="U445" s="661"/>
      <c r="V445" s="661"/>
      <c r="W445" s="661"/>
      <c r="X445" s="661"/>
      <c r="Y445" s="661"/>
      <c r="Z445" s="661"/>
      <c r="AA445" s="661"/>
      <c r="AB445" s="661"/>
    </row>
    <row r="446">
      <c r="A446" s="661"/>
      <c r="B446" s="661"/>
      <c r="C446" s="661"/>
      <c r="D446" s="662"/>
      <c r="E446" s="661"/>
      <c r="F446" s="661"/>
      <c r="G446" s="661"/>
      <c r="H446" s="661"/>
      <c r="I446" s="661"/>
      <c r="J446" s="661"/>
      <c r="K446" s="661"/>
      <c r="L446" s="661"/>
      <c r="M446" s="661"/>
      <c r="N446" s="661"/>
      <c r="O446" s="661"/>
      <c r="P446" s="661"/>
      <c r="Q446" s="661"/>
      <c r="R446" s="661"/>
      <c r="S446" s="661"/>
      <c r="T446" s="661"/>
      <c r="U446" s="661"/>
      <c r="V446" s="661"/>
      <c r="W446" s="661"/>
      <c r="X446" s="661"/>
      <c r="Y446" s="661"/>
      <c r="Z446" s="661"/>
      <c r="AA446" s="661"/>
      <c r="AB446" s="661"/>
    </row>
    <row r="447">
      <c r="A447" s="661"/>
      <c r="B447" s="661"/>
      <c r="C447" s="661"/>
      <c r="D447" s="662"/>
      <c r="E447" s="661"/>
      <c r="F447" s="661"/>
      <c r="G447" s="661"/>
      <c r="H447" s="661"/>
      <c r="I447" s="661"/>
      <c r="J447" s="661"/>
      <c r="K447" s="661"/>
      <c r="L447" s="661"/>
      <c r="M447" s="661"/>
      <c r="N447" s="661"/>
      <c r="O447" s="661"/>
      <c r="P447" s="661"/>
      <c r="Q447" s="661"/>
      <c r="R447" s="661"/>
      <c r="S447" s="661"/>
      <c r="T447" s="661"/>
      <c r="U447" s="661"/>
      <c r="V447" s="661"/>
      <c r="W447" s="661"/>
      <c r="X447" s="661"/>
      <c r="Y447" s="661"/>
      <c r="Z447" s="661"/>
      <c r="AA447" s="661"/>
      <c r="AB447" s="661"/>
    </row>
    <row r="448">
      <c r="A448" s="661"/>
      <c r="B448" s="661"/>
      <c r="C448" s="661"/>
      <c r="D448" s="662"/>
      <c r="E448" s="661"/>
      <c r="F448" s="661"/>
      <c r="G448" s="661"/>
      <c r="H448" s="661"/>
      <c r="I448" s="661"/>
      <c r="J448" s="661"/>
      <c r="K448" s="661"/>
      <c r="L448" s="661"/>
      <c r="M448" s="661"/>
      <c r="N448" s="661"/>
      <c r="O448" s="661"/>
      <c r="P448" s="661"/>
      <c r="Q448" s="661"/>
      <c r="R448" s="661"/>
      <c r="S448" s="661"/>
      <c r="T448" s="661"/>
      <c r="U448" s="661"/>
      <c r="V448" s="661"/>
      <c r="W448" s="661"/>
      <c r="X448" s="661"/>
      <c r="Y448" s="661"/>
      <c r="Z448" s="661"/>
      <c r="AA448" s="661"/>
      <c r="AB448" s="661"/>
    </row>
    <row r="449">
      <c r="A449" s="661"/>
      <c r="B449" s="661"/>
      <c r="C449" s="661"/>
      <c r="D449" s="662"/>
      <c r="E449" s="661"/>
      <c r="F449" s="661"/>
      <c r="G449" s="661"/>
      <c r="H449" s="661"/>
      <c r="I449" s="661"/>
      <c r="J449" s="661"/>
      <c r="K449" s="661"/>
      <c r="L449" s="661"/>
      <c r="M449" s="661"/>
      <c r="N449" s="661"/>
      <c r="O449" s="661"/>
      <c r="P449" s="661"/>
      <c r="Q449" s="661"/>
      <c r="R449" s="661"/>
      <c r="S449" s="661"/>
      <c r="T449" s="661"/>
      <c r="U449" s="661"/>
      <c r="V449" s="661"/>
      <c r="W449" s="661"/>
      <c r="X449" s="661"/>
      <c r="Y449" s="661"/>
      <c r="Z449" s="661"/>
      <c r="AA449" s="661"/>
      <c r="AB449" s="661"/>
    </row>
    <row r="450">
      <c r="A450" s="661"/>
      <c r="B450" s="661"/>
      <c r="C450" s="661"/>
      <c r="D450" s="662"/>
      <c r="E450" s="661"/>
      <c r="F450" s="661"/>
      <c r="G450" s="661"/>
      <c r="H450" s="661"/>
      <c r="I450" s="661"/>
      <c r="J450" s="661"/>
      <c r="K450" s="661"/>
      <c r="L450" s="661"/>
      <c r="M450" s="661"/>
      <c r="N450" s="661"/>
      <c r="O450" s="661"/>
      <c r="P450" s="661"/>
      <c r="Q450" s="661"/>
      <c r="R450" s="661"/>
      <c r="S450" s="661"/>
      <c r="T450" s="661"/>
      <c r="U450" s="661"/>
      <c r="V450" s="661"/>
      <c r="W450" s="661"/>
      <c r="X450" s="661"/>
      <c r="Y450" s="661"/>
      <c r="Z450" s="661"/>
      <c r="AA450" s="661"/>
      <c r="AB450" s="661"/>
    </row>
    <row r="451">
      <c r="A451" s="661"/>
      <c r="B451" s="661"/>
      <c r="C451" s="661"/>
      <c r="D451" s="662"/>
      <c r="E451" s="661"/>
      <c r="F451" s="661"/>
      <c r="G451" s="661"/>
      <c r="H451" s="661"/>
      <c r="I451" s="661"/>
      <c r="J451" s="661"/>
      <c r="K451" s="661"/>
      <c r="L451" s="661"/>
      <c r="M451" s="661"/>
      <c r="N451" s="661"/>
      <c r="O451" s="661"/>
      <c r="P451" s="661"/>
      <c r="Q451" s="661"/>
      <c r="R451" s="661"/>
      <c r="S451" s="661"/>
      <c r="T451" s="661"/>
      <c r="U451" s="661"/>
      <c r="V451" s="661"/>
      <c r="W451" s="661"/>
      <c r="X451" s="661"/>
      <c r="Y451" s="661"/>
      <c r="Z451" s="661"/>
      <c r="AA451" s="661"/>
      <c r="AB451" s="661"/>
    </row>
    <row r="452">
      <c r="A452" s="661"/>
      <c r="B452" s="661"/>
      <c r="C452" s="661"/>
      <c r="D452" s="662"/>
      <c r="E452" s="661"/>
      <c r="F452" s="661"/>
      <c r="G452" s="661"/>
      <c r="H452" s="661"/>
      <c r="I452" s="661"/>
      <c r="J452" s="661"/>
      <c r="K452" s="661"/>
      <c r="L452" s="661"/>
      <c r="M452" s="661"/>
      <c r="N452" s="661"/>
      <c r="O452" s="661"/>
      <c r="P452" s="661"/>
      <c r="Q452" s="661"/>
      <c r="R452" s="661"/>
      <c r="S452" s="661"/>
      <c r="T452" s="661"/>
      <c r="U452" s="661"/>
      <c r="V452" s="661"/>
      <c r="W452" s="661"/>
      <c r="X452" s="661"/>
      <c r="Y452" s="661"/>
      <c r="Z452" s="661"/>
      <c r="AA452" s="661"/>
      <c r="AB452" s="661"/>
    </row>
    <row r="453">
      <c r="A453" s="661"/>
      <c r="B453" s="661"/>
      <c r="C453" s="661"/>
      <c r="D453" s="662"/>
      <c r="E453" s="661"/>
      <c r="F453" s="661"/>
      <c r="G453" s="661"/>
      <c r="H453" s="661"/>
      <c r="I453" s="661"/>
      <c r="J453" s="661"/>
      <c r="K453" s="661"/>
      <c r="L453" s="661"/>
      <c r="M453" s="661"/>
      <c r="N453" s="661"/>
      <c r="O453" s="661"/>
      <c r="P453" s="661"/>
      <c r="Q453" s="661"/>
      <c r="R453" s="661"/>
      <c r="S453" s="661"/>
      <c r="T453" s="661"/>
      <c r="U453" s="661"/>
      <c r="V453" s="661"/>
      <c r="W453" s="661"/>
      <c r="X453" s="661"/>
      <c r="Y453" s="661"/>
      <c r="Z453" s="661"/>
      <c r="AA453" s="661"/>
      <c r="AB453" s="661"/>
    </row>
    <row r="454">
      <c r="A454" s="661"/>
      <c r="B454" s="661"/>
      <c r="C454" s="661"/>
      <c r="D454" s="662"/>
      <c r="E454" s="661"/>
      <c r="F454" s="661"/>
      <c r="G454" s="661"/>
      <c r="H454" s="661"/>
      <c r="I454" s="661"/>
      <c r="J454" s="661"/>
      <c r="K454" s="661"/>
      <c r="L454" s="661"/>
      <c r="M454" s="661"/>
      <c r="N454" s="661"/>
      <c r="O454" s="661"/>
      <c r="P454" s="661"/>
      <c r="Q454" s="661"/>
      <c r="R454" s="661"/>
      <c r="S454" s="661"/>
      <c r="T454" s="661"/>
      <c r="U454" s="661"/>
      <c r="V454" s="661"/>
      <c r="W454" s="661"/>
      <c r="X454" s="661"/>
      <c r="Y454" s="661"/>
      <c r="Z454" s="661"/>
      <c r="AA454" s="661"/>
      <c r="AB454" s="661"/>
    </row>
    <row r="455">
      <c r="A455" s="661"/>
      <c r="B455" s="661"/>
      <c r="C455" s="661"/>
      <c r="D455" s="662"/>
      <c r="E455" s="661"/>
      <c r="F455" s="661"/>
      <c r="G455" s="661"/>
      <c r="H455" s="661"/>
      <c r="I455" s="661"/>
      <c r="J455" s="661"/>
      <c r="K455" s="661"/>
      <c r="L455" s="661"/>
      <c r="M455" s="661"/>
      <c r="N455" s="661"/>
      <c r="O455" s="661"/>
      <c r="P455" s="661"/>
      <c r="Q455" s="661"/>
      <c r="R455" s="661"/>
      <c r="S455" s="661"/>
      <c r="T455" s="661"/>
      <c r="U455" s="661"/>
      <c r="V455" s="661"/>
      <c r="W455" s="661"/>
      <c r="X455" s="661"/>
      <c r="Y455" s="661"/>
      <c r="Z455" s="661"/>
      <c r="AA455" s="661"/>
      <c r="AB455" s="661"/>
    </row>
    <row r="456">
      <c r="A456" s="661"/>
      <c r="B456" s="661"/>
      <c r="C456" s="661"/>
      <c r="D456" s="662"/>
      <c r="E456" s="661"/>
      <c r="F456" s="661"/>
      <c r="G456" s="661"/>
      <c r="H456" s="661"/>
      <c r="I456" s="661"/>
      <c r="J456" s="661"/>
      <c r="K456" s="661"/>
      <c r="L456" s="661"/>
      <c r="M456" s="661"/>
      <c r="N456" s="661"/>
      <c r="O456" s="661"/>
      <c r="P456" s="661"/>
      <c r="Q456" s="661"/>
      <c r="R456" s="661"/>
      <c r="S456" s="661"/>
      <c r="T456" s="661"/>
      <c r="U456" s="661"/>
      <c r="V456" s="661"/>
      <c r="W456" s="661"/>
      <c r="X456" s="661"/>
      <c r="Y456" s="661"/>
      <c r="Z456" s="661"/>
      <c r="AA456" s="661"/>
      <c r="AB456" s="661"/>
    </row>
    <row r="457">
      <c r="A457" s="661"/>
      <c r="B457" s="661"/>
      <c r="C457" s="661"/>
      <c r="D457" s="662"/>
      <c r="E457" s="661"/>
      <c r="F457" s="661"/>
      <c r="G457" s="661"/>
      <c r="H457" s="661"/>
      <c r="I457" s="661"/>
      <c r="J457" s="661"/>
      <c r="K457" s="661"/>
      <c r="L457" s="661"/>
      <c r="M457" s="661"/>
      <c r="N457" s="661"/>
      <c r="O457" s="661"/>
      <c r="P457" s="661"/>
      <c r="Q457" s="661"/>
      <c r="R457" s="661"/>
      <c r="S457" s="661"/>
      <c r="T457" s="661"/>
      <c r="U457" s="661"/>
      <c r="V457" s="661"/>
      <c r="W457" s="661"/>
      <c r="X457" s="661"/>
      <c r="Y457" s="661"/>
      <c r="Z457" s="661"/>
      <c r="AA457" s="661"/>
      <c r="AB457" s="661"/>
    </row>
    <row r="458">
      <c r="A458" s="661"/>
      <c r="B458" s="661"/>
      <c r="C458" s="661"/>
      <c r="D458" s="662"/>
      <c r="E458" s="661"/>
      <c r="F458" s="661"/>
      <c r="G458" s="661"/>
      <c r="H458" s="661"/>
      <c r="I458" s="661"/>
      <c r="J458" s="661"/>
      <c r="K458" s="661"/>
      <c r="L458" s="661"/>
      <c r="M458" s="661"/>
      <c r="N458" s="661"/>
      <c r="O458" s="661"/>
      <c r="P458" s="661"/>
      <c r="Q458" s="661"/>
      <c r="R458" s="661"/>
      <c r="S458" s="661"/>
      <c r="T458" s="661"/>
      <c r="U458" s="661"/>
      <c r="V458" s="661"/>
      <c r="W458" s="661"/>
      <c r="X458" s="661"/>
      <c r="Y458" s="661"/>
      <c r="Z458" s="661"/>
      <c r="AA458" s="661"/>
      <c r="AB458" s="661"/>
    </row>
    <row r="459">
      <c r="A459" s="661"/>
      <c r="B459" s="661"/>
      <c r="C459" s="661"/>
      <c r="D459" s="662"/>
      <c r="E459" s="661"/>
      <c r="F459" s="661"/>
      <c r="G459" s="661"/>
      <c r="H459" s="661"/>
      <c r="I459" s="661"/>
      <c r="J459" s="661"/>
      <c r="K459" s="661"/>
      <c r="L459" s="661"/>
      <c r="M459" s="661"/>
      <c r="N459" s="661"/>
      <c r="O459" s="661"/>
      <c r="P459" s="661"/>
      <c r="Q459" s="661"/>
      <c r="R459" s="661"/>
      <c r="S459" s="661"/>
      <c r="T459" s="661"/>
      <c r="U459" s="661"/>
      <c r="V459" s="661"/>
      <c r="W459" s="661"/>
      <c r="X459" s="661"/>
      <c r="Y459" s="661"/>
      <c r="Z459" s="661"/>
      <c r="AA459" s="661"/>
      <c r="AB459" s="661"/>
    </row>
    <row r="460">
      <c r="A460" s="661"/>
      <c r="B460" s="661"/>
      <c r="C460" s="661"/>
      <c r="D460" s="662"/>
      <c r="E460" s="661"/>
      <c r="F460" s="661"/>
      <c r="G460" s="661"/>
      <c r="H460" s="661"/>
      <c r="I460" s="661"/>
      <c r="J460" s="661"/>
      <c r="K460" s="661"/>
      <c r="L460" s="661"/>
      <c r="M460" s="661"/>
      <c r="N460" s="661"/>
      <c r="O460" s="661"/>
      <c r="P460" s="661"/>
      <c r="Q460" s="661"/>
      <c r="R460" s="661"/>
      <c r="S460" s="661"/>
      <c r="T460" s="661"/>
      <c r="U460" s="661"/>
      <c r="V460" s="661"/>
      <c r="W460" s="661"/>
      <c r="X460" s="661"/>
      <c r="Y460" s="661"/>
      <c r="Z460" s="661"/>
      <c r="AA460" s="661"/>
      <c r="AB460" s="661"/>
    </row>
    <row r="461">
      <c r="A461" s="661"/>
      <c r="B461" s="661"/>
      <c r="C461" s="661"/>
      <c r="D461" s="662"/>
      <c r="E461" s="661"/>
      <c r="F461" s="661"/>
      <c r="G461" s="661"/>
      <c r="H461" s="661"/>
      <c r="I461" s="661"/>
      <c r="J461" s="661"/>
      <c r="K461" s="661"/>
      <c r="L461" s="661"/>
      <c r="M461" s="661"/>
      <c r="N461" s="661"/>
      <c r="O461" s="661"/>
      <c r="P461" s="661"/>
      <c r="Q461" s="661"/>
      <c r="R461" s="661"/>
      <c r="S461" s="661"/>
      <c r="T461" s="661"/>
      <c r="U461" s="661"/>
      <c r="V461" s="661"/>
      <c r="W461" s="661"/>
      <c r="X461" s="661"/>
      <c r="Y461" s="661"/>
      <c r="Z461" s="661"/>
      <c r="AA461" s="661"/>
      <c r="AB461" s="661"/>
    </row>
    <row r="462">
      <c r="A462" s="661"/>
      <c r="B462" s="661"/>
      <c r="C462" s="661"/>
      <c r="D462" s="662"/>
      <c r="E462" s="661"/>
      <c r="F462" s="661"/>
      <c r="G462" s="661"/>
      <c r="H462" s="661"/>
      <c r="I462" s="661"/>
      <c r="J462" s="661"/>
      <c r="K462" s="661"/>
      <c r="L462" s="661"/>
      <c r="M462" s="661"/>
      <c r="N462" s="661"/>
      <c r="O462" s="661"/>
      <c r="P462" s="661"/>
      <c r="Q462" s="661"/>
      <c r="R462" s="661"/>
      <c r="S462" s="661"/>
      <c r="T462" s="661"/>
      <c r="U462" s="661"/>
      <c r="V462" s="661"/>
      <c r="W462" s="661"/>
      <c r="X462" s="661"/>
      <c r="Y462" s="661"/>
      <c r="Z462" s="661"/>
      <c r="AA462" s="661"/>
      <c r="AB462" s="661"/>
    </row>
    <row r="463">
      <c r="A463" s="661"/>
      <c r="B463" s="661"/>
      <c r="C463" s="661"/>
      <c r="D463" s="662"/>
      <c r="E463" s="661"/>
      <c r="F463" s="661"/>
      <c r="G463" s="661"/>
      <c r="H463" s="661"/>
      <c r="I463" s="661"/>
      <c r="J463" s="661"/>
      <c r="K463" s="661"/>
      <c r="L463" s="661"/>
      <c r="M463" s="661"/>
      <c r="N463" s="661"/>
      <c r="O463" s="661"/>
      <c r="P463" s="661"/>
      <c r="Q463" s="661"/>
      <c r="R463" s="661"/>
      <c r="S463" s="661"/>
      <c r="T463" s="661"/>
      <c r="U463" s="661"/>
      <c r="V463" s="661"/>
      <c r="W463" s="661"/>
      <c r="X463" s="661"/>
      <c r="Y463" s="661"/>
      <c r="Z463" s="661"/>
      <c r="AA463" s="661"/>
      <c r="AB463" s="661"/>
    </row>
    <row r="464">
      <c r="A464" s="661"/>
      <c r="B464" s="661"/>
      <c r="C464" s="661"/>
      <c r="D464" s="662"/>
      <c r="E464" s="661"/>
      <c r="F464" s="661"/>
      <c r="G464" s="661"/>
      <c r="H464" s="661"/>
      <c r="I464" s="661"/>
      <c r="J464" s="661"/>
      <c r="K464" s="661"/>
      <c r="L464" s="661"/>
      <c r="M464" s="661"/>
      <c r="N464" s="661"/>
      <c r="O464" s="661"/>
      <c r="P464" s="661"/>
      <c r="Q464" s="661"/>
      <c r="R464" s="661"/>
      <c r="S464" s="661"/>
      <c r="T464" s="661"/>
      <c r="U464" s="661"/>
      <c r="V464" s="661"/>
      <c r="W464" s="661"/>
      <c r="X464" s="661"/>
      <c r="Y464" s="661"/>
      <c r="Z464" s="661"/>
      <c r="AA464" s="661"/>
      <c r="AB464" s="661"/>
    </row>
    <row r="465">
      <c r="A465" s="661"/>
      <c r="B465" s="661"/>
      <c r="C465" s="661"/>
      <c r="D465" s="662"/>
      <c r="E465" s="661"/>
      <c r="F465" s="661"/>
      <c r="G465" s="661"/>
      <c r="H465" s="661"/>
      <c r="I465" s="661"/>
      <c r="J465" s="661"/>
      <c r="K465" s="661"/>
      <c r="L465" s="661"/>
      <c r="M465" s="661"/>
      <c r="N465" s="661"/>
      <c r="O465" s="661"/>
      <c r="P465" s="661"/>
      <c r="Q465" s="661"/>
      <c r="R465" s="661"/>
      <c r="S465" s="661"/>
      <c r="T465" s="661"/>
      <c r="U465" s="661"/>
      <c r="V465" s="661"/>
      <c r="W465" s="661"/>
      <c r="X465" s="661"/>
      <c r="Y465" s="661"/>
      <c r="Z465" s="661"/>
      <c r="AA465" s="661"/>
      <c r="AB465" s="661"/>
    </row>
    <row r="466">
      <c r="A466" s="661"/>
      <c r="B466" s="661"/>
      <c r="C466" s="661"/>
      <c r="D466" s="662"/>
      <c r="E466" s="661"/>
      <c r="F466" s="661"/>
      <c r="G466" s="661"/>
      <c r="H466" s="661"/>
      <c r="I466" s="661"/>
      <c r="J466" s="661"/>
      <c r="K466" s="661"/>
      <c r="L466" s="661"/>
      <c r="M466" s="661"/>
      <c r="N466" s="661"/>
      <c r="O466" s="661"/>
      <c r="P466" s="661"/>
      <c r="Q466" s="661"/>
      <c r="R466" s="661"/>
      <c r="S466" s="661"/>
      <c r="T466" s="661"/>
      <c r="U466" s="661"/>
      <c r="V466" s="661"/>
      <c r="W466" s="661"/>
      <c r="X466" s="661"/>
      <c r="Y466" s="661"/>
      <c r="Z466" s="661"/>
      <c r="AA466" s="661"/>
      <c r="AB466" s="661"/>
    </row>
    <row r="467">
      <c r="A467" s="661"/>
      <c r="B467" s="661"/>
      <c r="C467" s="661"/>
      <c r="D467" s="662"/>
      <c r="E467" s="661"/>
      <c r="F467" s="661"/>
      <c r="G467" s="661"/>
      <c r="H467" s="661"/>
      <c r="I467" s="661"/>
      <c r="J467" s="661"/>
      <c r="K467" s="661"/>
      <c r="L467" s="661"/>
      <c r="M467" s="661"/>
      <c r="N467" s="661"/>
      <c r="O467" s="661"/>
      <c r="P467" s="661"/>
      <c r="Q467" s="661"/>
      <c r="R467" s="661"/>
      <c r="S467" s="661"/>
      <c r="T467" s="661"/>
      <c r="U467" s="661"/>
      <c r="V467" s="661"/>
      <c r="W467" s="661"/>
      <c r="X467" s="661"/>
      <c r="Y467" s="661"/>
      <c r="Z467" s="661"/>
      <c r="AA467" s="661"/>
      <c r="AB467" s="661"/>
    </row>
    <row r="468">
      <c r="A468" s="661"/>
      <c r="B468" s="661"/>
      <c r="C468" s="661"/>
      <c r="D468" s="662"/>
      <c r="E468" s="661"/>
      <c r="F468" s="661"/>
      <c r="G468" s="661"/>
      <c r="H468" s="661"/>
      <c r="I468" s="661"/>
      <c r="J468" s="661"/>
      <c r="K468" s="661"/>
      <c r="L468" s="661"/>
      <c r="M468" s="661"/>
      <c r="N468" s="661"/>
      <c r="O468" s="661"/>
      <c r="P468" s="661"/>
      <c r="Q468" s="661"/>
      <c r="R468" s="661"/>
      <c r="S468" s="661"/>
      <c r="T468" s="661"/>
      <c r="U468" s="661"/>
      <c r="V468" s="661"/>
      <c r="W468" s="661"/>
      <c r="X468" s="661"/>
      <c r="Y468" s="661"/>
      <c r="Z468" s="661"/>
      <c r="AA468" s="661"/>
      <c r="AB468" s="661"/>
    </row>
    <row r="469">
      <c r="A469" s="661"/>
      <c r="B469" s="661"/>
      <c r="C469" s="661"/>
      <c r="D469" s="662"/>
      <c r="E469" s="661"/>
      <c r="F469" s="661"/>
      <c r="G469" s="661"/>
      <c r="H469" s="661"/>
      <c r="I469" s="661"/>
      <c r="J469" s="661"/>
      <c r="K469" s="661"/>
      <c r="L469" s="661"/>
      <c r="M469" s="661"/>
      <c r="N469" s="661"/>
      <c r="O469" s="661"/>
      <c r="P469" s="661"/>
      <c r="Q469" s="661"/>
      <c r="R469" s="661"/>
      <c r="S469" s="661"/>
      <c r="T469" s="661"/>
      <c r="U469" s="661"/>
      <c r="V469" s="661"/>
      <c r="W469" s="661"/>
      <c r="X469" s="661"/>
      <c r="Y469" s="661"/>
      <c r="Z469" s="661"/>
      <c r="AA469" s="661"/>
      <c r="AB469" s="661"/>
    </row>
    <row r="470">
      <c r="A470" s="661"/>
      <c r="B470" s="661"/>
      <c r="C470" s="661"/>
      <c r="D470" s="662"/>
      <c r="E470" s="661"/>
      <c r="F470" s="661"/>
      <c r="G470" s="661"/>
      <c r="H470" s="661"/>
      <c r="I470" s="661"/>
      <c r="J470" s="661"/>
      <c r="K470" s="661"/>
      <c r="L470" s="661"/>
      <c r="M470" s="661"/>
      <c r="N470" s="661"/>
      <c r="O470" s="661"/>
      <c r="P470" s="661"/>
      <c r="Q470" s="661"/>
      <c r="R470" s="661"/>
      <c r="S470" s="661"/>
      <c r="T470" s="661"/>
      <c r="U470" s="661"/>
      <c r="V470" s="661"/>
      <c r="W470" s="661"/>
      <c r="X470" s="661"/>
      <c r="Y470" s="661"/>
      <c r="Z470" s="661"/>
      <c r="AA470" s="661"/>
      <c r="AB470" s="661"/>
    </row>
    <row r="471">
      <c r="A471" s="661"/>
      <c r="B471" s="661"/>
      <c r="C471" s="661"/>
      <c r="D471" s="662"/>
      <c r="E471" s="661"/>
      <c r="F471" s="661"/>
      <c r="G471" s="661"/>
      <c r="H471" s="661"/>
      <c r="I471" s="661"/>
      <c r="J471" s="661"/>
      <c r="K471" s="661"/>
      <c r="L471" s="661"/>
      <c r="M471" s="661"/>
      <c r="N471" s="661"/>
      <c r="O471" s="661"/>
      <c r="P471" s="661"/>
      <c r="Q471" s="661"/>
      <c r="R471" s="661"/>
      <c r="S471" s="661"/>
      <c r="T471" s="661"/>
      <c r="U471" s="661"/>
      <c r="V471" s="661"/>
      <c r="W471" s="661"/>
      <c r="X471" s="661"/>
      <c r="Y471" s="661"/>
      <c r="Z471" s="661"/>
      <c r="AA471" s="661"/>
      <c r="AB471" s="661"/>
    </row>
    <row r="472">
      <c r="A472" s="661"/>
      <c r="B472" s="661"/>
      <c r="C472" s="661"/>
      <c r="D472" s="662"/>
      <c r="E472" s="661"/>
      <c r="F472" s="661"/>
      <c r="G472" s="661"/>
      <c r="H472" s="661"/>
      <c r="I472" s="661"/>
      <c r="J472" s="661"/>
      <c r="K472" s="661"/>
      <c r="L472" s="661"/>
      <c r="M472" s="661"/>
      <c r="N472" s="661"/>
      <c r="O472" s="661"/>
      <c r="P472" s="661"/>
      <c r="Q472" s="661"/>
      <c r="R472" s="661"/>
      <c r="S472" s="661"/>
      <c r="T472" s="661"/>
      <c r="U472" s="661"/>
      <c r="V472" s="661"/>
      <c r="W472" s="661"/>
      <c r="X472" s="661"/>
      <c r="Y472" s="661"/>
      <c r="Z472" s="661"/>
      <c r="AA472" s="661"/>
      <c r="AB472" s="661"/>
    </row>
    <row r="473">
      <c r="A473" s="661"/>
      <c r="B473" s="661"/>
      <c r="C473" s="661"/>
      <c r="D473" s="662"/>
      <c r="E473" s="661"/>
      <c r="F473" s="661"/>
      <c r="G473" s="661"/>
      <c r="H473" s="661"/>
      <c r="I473" s="661"/>
      <c r="J473" s="661"/>
      <c r="K473" s="661"/>
      <c r="L473" s="661"/>
      <c r="M473" s="661"/>
      <c r="N473" s="661"/>
      <c r="O473" s="661"/>
      <c r="P473" s="661"/>
      <c r="Q473" s="661"/>
      <c r="R473" s="661"/>
      <c r="S473" s="661"/>
      <c r="T473" s="661"/>
      <c r="U473" s="661"/>
      <c r="V473" s="661"/>
      <c r="W473" s="661"/>
      <c r="X473" s="661"/>
      <c r="Y473" s="661"/>
      <c r="Z473" s="661"/>
      <c r="AA473" s="661"/>
      <c r="AB473" s="661"/>
    </row>
    <row r="474">
      <c r="A474" s="661"/>
      <c r="B474" s="661"/>
      <c r="C474" s="661"/>
      <c r="D474" s="662"/>
      <c r="E474" s="661"/>
      <c r="F474" s="661"/>
      <c r="G474" s="661"/>
      <c r="H474" s="661"/>
      <c r="I474" s="661"/>
      <c r="J474" s="661"/>
      <c r="K474" s="661"/>
      <c r="L474" s="661"/>
      <c r="M474" s="661"/>
      <c r="N474" s="661"/>
      <c r="O474" s="661"/>
      <c r="P474" s="661"/>
      <c r="Q474" s="661"/>
      <c r="R474" s="661"/>
      <c r="S474" s="661"/>
      <c r="T474" s="661"/>
      <c r="U474" s="661"/>
      <c r="V474" s="661"/>
      <c r="W474" s="661"/>
      <c r="X474" s="661"/>
      <c r="Y474" s="661"/>
      <c r="Z474" s="661"/>
      <c r="AA474" s="661"/>
      <c r="AB474" s="661"/>
    </row>
    <row r="475">
      <c r="A475" s="661"/>
      <c r="B475" s="661"/>
      <c r="C475" s="661"/>
      <c r="D475" s="662"/>
      <c r="E475" s="661"/>
      <c r="F475" s="661"/>
      <c r="G475" s="661"/>
      <c r="H475" s="661"/>
      <c r="I475" s="661"/>
      <c r="J475" s="661"/>
      <c r="K475" s="661"/>
      <c r="L475" s="661"/>
      <c r="M475" s="661"/>
      <c r="N475" s="661"/>
      <c r="O475" s="661"/>
      <c r="P475" s="661"/>
      <c r="Q475" s="661"/>
      <c r="R475" s="661"/>
      <c r="S475" s="661"/>
      <c r="T475" s="661"/>
      <c r="U475" s="661"/>
      <c r="V475" s="661"/>
      <c r="W475" s="661"/>
      <c r="X475" s="661"/>
      <c r="Y475" s="661"/>
      <c r="Z475" s="661"/>
      <c r="AA475" s="661"/>
      <c r="AB475" s="661"/>
    </row>
    <row r="476">
      <c r="A476" s="661"/>
      <c r="B476" s="661"/>
      <c r="C476" s="661"/>
      <c r="D476" s="662"/>
      <c r="E476" s="661"/>
      <c r="F476" s="661"/>
      <c r="G476" s="661"/>
      <c r="H476" s="661"/>
      <c r="I476" s="661"/>
      <c r="J476" s="661"/>
      <c r="K476" s="661"/>
      <c r="L476" s="661"/>
      <c r="M476" s="661"/>
      <c r="N476" s="661"/>
      <c r="O476" s="661"/>
      <c r="P476" s="661"/>
      <c r="Q476" s="661"/>
      <c r="R476" s="661"/>
      <c r="S476" s="661"/>
      <c r="T476" s="661"/>
      <c r="U476" s="661"/>
      <c r="V476" s="661"/>
      <c r="W476" s="661"/>
      <c r="X476" s="661"/>
      <c r="Y476" s="661"/>
      <c r="Z476" s="661"/>
      <c r="AA476" s="661"/>
      <c r="AB476" s="661"/>
    </row>
    <row r="477">
      <c r="A477" s="661"/>
      <c r="B477" s="661"/>
      <c r="C477" s="661"/>
      <c r="D477" s="662"/>
      <c r="E477" s="661"/>
      <c r="F477" s="661"/>
      <c r="G477" s="661"/>
      <c r="H477" s="661"/>
      <c r="I477" s="661"/>
      <c r="J477" s="661"/>
      <c r="K477" s="661"/>
      <c r="L477" s="661"/>
      <c r="M477" s="661"/>
      <c r="N477" s="661"/>
      <c r="O477" s="661"/>
      <c r="P477" s="661"/>
      <c r="Q477" s="661"/>
      <c r="R477" s="661"/>
      <c r="S477" s="661"/>
      <c r="T477" s="661"/>
      <c r="U477" s="661"/>
      <c r="V477" s="661"/>
      <c r="W477" s="661"/>
      <c r="X477" s="661"/>
      <c r="Y477" s="661"/>
      <c r="Z477" s="661"/>
      <c r="AA477" s="661"/>
      <c r="AB477" s="661"/>
    </row>
    <row r="478">
      <c r="A478" s="661"/>
      <c r="B478" s="661"/>
      <c r="C478" s="661"/>
      <c r="D478" s="662"/>
      <c r="E478" s="661"/>
      <c r="F478" s="661"/>
      <c r="G478" s="661"/>
      <c r="H478" s="661"/>
      <c r="I478" s="661"/>
      <c r="J478" s="661"/>
      <c r="K478" s="661"/>
      <c r="L478" s="661"/>
      <c r="M478" s="661"/>
      <c r="N478" s="661"/>
      <c r="O478" s="661"/>
      <c r="P478" s="661"/>
      <c r="Q478" s="661"/>
      <c r="R478" s="661"/>
      <c r="S478" s="661"/>
      <c r="T478" s="661"/>
      <c r="U478" s="661"/>
      <c r="V478" s="661"/>
      <c r="W478" s="661"/>
      <c r="X478" s="661"/>
      <c r="Y478" s="661"/>
      <c r="Z478" s="661"/>
      <c r="AA478" s="661"/>
      <c r="AB478" s="661"/>
    </row>
    <row r="479">
      <c r="A479" s="661"/>
      <c r="B479" s="661"/>
      <c r="C479" s="661"/>
      <c r="D479" s="662"/>
      <c r="E479" s="661"/>
      <c r="F479" s="661"/>
      <c r="G479" s="661"/>
      <c r="H479" s="661"/>
      <c r="I479" s="661"/>
      <c r="J479" s="661"/>
      <c r="K479" s="661"/>
      <c r="L479" s="661"/>
      <c r="M479" s="661"/>
      <c r="N479" s="661"/>
      <c r="O479" s="661"/>
      <c r="P479" s="661"/>
      <c r="Q479" s="661"/>
      <c r="R479" s="661"/>
      <c r="S479" s="661"/>
      <c r="T479" s="661"/>
      <c r="U479" s="661"/>
      <c r="V479" s="661"/>
      <c r="W479" s="661"/>
      <c r="X479" s="661"/>
      <c r="Y479" s="661"/>
      <c r="Z479" s="661"/>
      <c r="AA479" s="661"/>
      <c r="AB479" s="661"/>
    </row>
    <row r="480">
      <c r="A480" s="661"/>
      <c r="B480" s="661"/>
      <c r="C480" s="661"/>
      <c r="D480" s="662"/>
      <c r="E480" s="661"/>
      <c r="F480" s="661"/>
      <c r="G480" s="661"/>
      <c r="H480" s="661"/>
      <c r="I480" s="661"/>
      <c r="J480" s="661"/>
      <c r="K480" s="661"/>
      <c r="L480" s="661"/>
      <c r="M480" s="661"/>
      <c r="N480" s="661"/>
      <c r="O480" s="661"/>
      <c r="P480" s="661"/>
      <c r="Q480" s="661"/>
      <c r="R480" s="661"/>
      <c r="S480" s="661"/>
      <c r="T480" s="661"/>
      <c r="U480" s="661"/>
      <c r="V480" s="661"/>
      <c r="W480" s="661"/>
      <c r="X480" s="661"/>
      <c r="Y480" s="661"/>
      <c r="Z480" s="661"/>
      <c r="AA480" s="661"/>
      <c r="AB480" s="661"/>
    </row>
    <row r="481">
      <c r="A481" s="661"/>
      <c r="B481" s="661"/>
      <c r="C481" s="661"/>
      <c r="D481" s="662"/>
      <c r="E481" s="661"/>
      <c r="F481" s="661"/>
      <c r="G481" s="661"/>
      <c r="H481" s="661"/>
      <c r="I481" s="661"/>
      <c r="J481" s="661"/>
      <c r="K481" s="661"/>
      <c r="L481" s="661"/>
      <c r="M481" s="661"/>
      <c r="N481" s="661"/>
      <c r="O481" s="661"/>
      <c r="P481" s="661"/>
      <c r="Q481" s="661"/>
      <c r="R481" s="661"/>
      <c r="S481" s="661"/>
      <c r="T481" s="661"/>
      <c r="U481" s="661"/>
      <c r="V481" s="661"/>
      <c r="W481" s="661"/>
      <c r="X481" s="661"/>
      <c r="Y481" s="661"/>
      <c r="Z481" s="661"/>
      <c r="AA481" s="661"/>
      <c r="AB481" s="661"/>
    </row>
    <row r="482">
      <c r="A482" s="661"/>
      <c r="B482" s="661"/>
      <c r="C482" s="661"/>
      <c r="D482" s="662"/>
      <c r="E482" s="661"/>
      <c r="F482" s="661"/>
      <c r="G482" s="661"/>
      <c r="H482" s="661"/>
      <c r="I482" s="661"/>
      <c r="J482" s="661"/>
      <c r="K482" s="661"/>
      <c r="L482" s="661"/>
      <c r="M482" s="661"/>
      <c r="N482" s="661"/>
      <c r="O482" s="661"/>
      <c r="P482" s="661"/>
      <c r="Q482" s="661"/>
      <c r="R482" s="661"/>
      <c r="S482" s="661"/>
      <c r="T482" s="661"/>
      <c r="U482" s="661"/>
      <c r="V482" s="661"/>
      <c r="W482" s="661"/>
      <c r="X482" s="661"/>
      <c r="Y482" s="661"/>
      <c r="Z482" s="661"/>
      <c r="AA482" s="661"/>
      <c r="AB482" s="661"/>
    </row>
    <row r="483">
      <c r="A483" s="661"/>
      <c r="B483" s="661"/>
      <c r="C483" s="661"/>
      <c r="D483" s="662"/>
      <c r="E483" s="661"/>
      <c r="F483" s="661"/>
      <c r="G483" s="661"/>
      <c r="H483" s="661"/>
      <c r="I483" s="661"/>
      <c r="J483" s="661"/>
      <c r="K483" s="661"/>
      <c r="L483" s="661"/>
      <c r="M483" s="661"/>
      <c r="N483" s="661"/>
      <c r="O483" s="661"/>
      <c r="P483" s="661"/>
      <c r="Q483" s="661"/>
      <c r="R483" s="661"/>
      <c r="S483" s="661"/>
      <c r="T483" s="661"/>
      <c r="U483" s="661"/>
      <c r="V483" s="661"/>
      <c r="W483" s="661"/>
      <c r="X483" s="661"/>
      <c r="Y483" s="661"/>
      <c r="Z483" s="661"/>
      <c r="AA483" s="661"/>
      <c r="AB483" s="661"/>
    </row>
    <row r="484">
      <c r="A484" s="661"/>
      <c r="B484" s="661"/>
      <c r="C484" s="661"/>
      <c r="D484" s="662"/>
      <c r="E484" s="661"/>
      <c r="F484" s="661"/>
      <c r="G484" s="661"/>
      <c r="H484" s="661"/>
      <c r="I484" s="661"/>
      <c r="J484" s="661"/>
      <c r="K484" s="661"/>
      <c r="L484" s="661"/>
      <c r="M484" s="661"/>
      <c r="N484" s="661"/>
      <c r="O484" s="661"/>
      <c r="P484" s="661"/>
      <c r="Q484" s="661"/>
      <c r="R484" s="661"/>
      <c r="S484" s="661"/>
      <c r="T484" s="661"/>
      <c r="U484" s="661"/>
      <c r="V484" s="661"/>
      <c r="W484" s="661"/>
      <c r="X484" s="661"/>
      <c r="Y484" s="661"/>
      <c r="Z484" s="661"/>
      <c r="AA484" s="661"/>
      <c r="AB484" s="661"/>
    </row>
    <row r="485">
      <c r="A485" s="661"/>
      <c r="B485" s="661"/>
      <c r="C485" s="661"/>
      <c r="D485" s="662"/>
      <c r="E485" s="661"/>
      <c r="F485" s="661"/>
      <c r="G485" s="661"/>
      <c r="H485" s="661"/>
      <c r="I485" s="661"/>
      <c r="J485" s="661"/>
      <c r="K485" s="661"/>
      <c r="L485" s="661"/>
      <c r="M485" s="661"/>
      <c r="N485" s="661"/>
      <c r="O485" s="661"/>
      <c r="P485" s="661"/>
      <c r="Q485" s="661"/>
      <c r="R485" s="661"/>
      <c r="S485" s="661"/>
      <c r="T485" s="661"/>
      <c r="U485" s="661"/>
      <c r="V485" s="661"/>
      <c r="W485" s="661"/>
      <c r="X485" s="661"/>
      <c r="Y485" s="661"/>
      <c r="Z485" s="661"/>
      <c r="AA485" s="661"/>
      <c r="AB485" s="661"/>
    </row>
    <row r="486">
      <c r="A486" s="661"/>
      <c r="B486" s="661"/>
      <c r="C486" s="661"/>
      <c r="D486" s="662"/>
      <c r="E486" s="661"/>
      <c r="F486" s="661"/>
      <c r="G486" s="661"/>
      <c r="H486" s="661"/>
      <c r="I486" s="661"/>
      <c r="J486" s="661"/>
      <c r="K486" s="661"/>
      <c r="L486" s="661"/>
      <c r="M486" s="661"/>
      <c r="N486" s="661"/>
      <c r="O486" s="661"/>
      <c r="P486" s="661"/>
      <c r="Q486" s="661"/>
      <c r="R486" s="661"/>
      <c r="S486" s="661"/>
      <c r="T486" s="661"/>
      <c r="U486" s="661"/>
      <c r="V486" s="661"/>
      <c r="W486" s="661"/>
      <c r="X486" s="661"/>
      <c r="Y486" s="661"/>
      <c r="Z486" s="661"/>
      <c r="AA486" s="661"/>
      <c r="AB486" s="661"/>
    </row>
    <row r="487">
      <c r="A487" s="661"/>
      <c r="B487" s="661"/>
      <c r="C487" s="661"/>
      <c r="D487" s="662"/>
      <c r="E487" s="661"/>
      <c r="F487" s="661"/>
      <c r="G487" s="661"/>
      <c r="H487" s="661"/>
      <c r="I487" s="661"/>
      <c r="J487" s="661"/>
      <c r="K487" s="661"/>
      <c r="L487" s="661"/>
      <c r="M487" s="661"/>
      <c r="N487" s="661"/>
      <c r="O487" s="661"/>
      <c r="P487" s="661"/>
      <c r="Q487" s="661"/>
      <c r="R487" s="661"/>
      <c r="S487" s="661"/>
      <c r="T487" s="661"/>
      <c r="U487" s="661"/>
      <c r="V487" s="661"/>
      <c r="W487" s="661"/>
      <c r="X487" s="661"/>
      <c r="Y487" s="661"/>
      <c r="Z487" s="661"/>
      <c r="AA487" s="661"/>
      <c r="AB487" s="661"/>
    </row>
    <row r="488">
      <c r="A488" s="661"/>
      <c r="B488" s="661"/>
      <c r="C488" s="661"/>
      <c r="D488" s="662"/>
      <c r="E488" s="661"/>
      <c r="F488" s="661"/>
      <c r="G488" s="661"/>
      <c r="H488" s="661"/>
      <c r="I488" s="661"/>
      <c r="J488" s="661"/>
      <c r="K488" s="661"/>
      <c r="L488" s="661"/>
      <c r="M488" s="661"/>
      <c r="N488" s="661"/>
      <c r="O488" s="661"/>
      <c r="P488" s="661"/>
      <c r="Q488" s="661"/>
      <c r="R488" s="661"/>
      <c r="S488" s="661"/>
      <c r="T488" s="661"/>
      <c r="U488" s="661"/>
      <c r="V488" s="661"/>
      <c r="W488" s="661"/>
      <c r="X488" s="661"/>
      <c r="Y488" s="661"/>
      <c r="Z488" s="661"/>
      <c r="AA488" s="661"/>
      <c r="AB488" s="661"/>
    </row>
    <row r="489">
      <c r="A489" s="661"/>
      <c r="B489" s="661"/>
      <c r="C489" s="661"/>
      <c r="D489" s="662"/>
      <c r="E489" s="661"/>
      <c r="F489" s="661"/>
      <c r="G489" s="661"/>
      <c r="H489" s="661"/>
      <c r="I489" s="661"/>
      <c r="J489" s="661"/>
      <c r="K489" s="661"/>
      <c r="L489" s="661"/>
      <c r="M489" s="661"/>
      <c r="N489" s="661"/>
      <c r="O489" s="661"/>
      <c r="P489" s="661"/>
      <c r="Q489" s="661"/>
      <c r="R489" s="661"/>
      <c r="S489" s="661"/>
      <c r="T489" s="661"/>
      <c r="U489" s="661"/>
      <c r="V489" s="661"/>
      <c r="W489" s="661"/>
      <c r="X489" s="661"/>
      <c r="Y489" s="661"/>
      <c r="Z489" s="661"/>
      <c r="AA489" s="661"/>
      <c r="AB489" s="661"/>
    </row>
    <row r="490">
      <c r="A490" s="661"/>
      <c r="B490" s="661"/>
      <c r="C490" s="661"/>
      <c r="D490" s="662"/>
      <c r="E490" s="661"/>
      <c r="F490" s="661"/>
      <c r="G490" s="661"/>
      <c r="H490" s="661"/>
      <c r="I490" s="661"/>
      <c r="J490" s="661"/>
      <c r="K490" s="661"/>
      <c r="L490" s="661"/>
      <c r="M490" s="661"/>
      <c r="N490" s="661"/>
      <c r="O490" s="661"/>
      <c r="P490" s="661"/>
      <c r="Q490" s="661"/>
      <c r="R490" s="661"/>
      <c r="S490" s="661"/>
      <c r="T490" s="661"/>
      <c r="U490" s="661"/>
      <c r="V490" s="661"/>
      <c r="W490" s="661"/>
      <c r="X490" s="661"/>
      <c r="Y490" s="661"/>
      <c r="Z490" s="661"/>
      <c r="AA490" s="661"/>
      <c r="AB490" s="661"/>
    </row>
    <row r="491">
      <c r="A491" s="661"/>
      <c r="B491" s="661"/>
      <c r="C491" s="661"/>
      <c r="D491" s="662"/>
      <c r="E491" s="661"/>
      <c r="F491" s="661"/>
      <c r="G491" s="661"/>
      <c r="H491" s="661"/>
      <c r="I491" s="661"/>
      <c r="J491" s="661"/>
      <c r="K491" s="661"/>
      <c r="L491" s="661"/>
      <c r="M491" s="661"/>
      <c r="N491" s="661"/>
      <c r="O491" s="661"/>
      <c r="P491" s="661"/>
      <c r="Q491" s="661"/>
      <c r="R491" s="661"/>
      <c r="S491" s="661"/>
      <c r="T491" s="661"/>
      <c r="U491" s="661"/>
      <c r="V491" s="661"/>
      <c r="W491" s="661"/>
      <c r="X491" s="661"/>
      <c r="Y491" s="661"/>
      <c r="Z491" s="661"/>
      <c r="AA491" s="661"/>
      <c r="AB491" s="661"/>
    </row>
    <row r="492">
      <c r="A492" s="661"/>
      <c r="B492" s="661"/>
      <c r="C492" s="661"/>
      <c r="D492" s="662"/>
      <c r="E492" s="661"/>
      <c r="F492" s="661"/>
      <c r="G492" s="661"/>
      <c r="H492" s="661"/>
      <c r="I492" s="661"/>
      <c r="J492" s="661"/>
      <c r="K492" s="661"/>
      <c r="L492" s="661"/>
      <c r="M492" s="661"/>
      <c r="N492" s="661"/>
      <c r="O492" s="661"/>
      <c r="P492" s="661"/>
      <c r="Q492" s="661"/>
      <c r="R492" s="661"/>
      <c r="S492" s="661"/>
      <c r="T492" s="661"/>
      <c r="U492" s="661"/>
      <c r="V492" s="661"/>
      <c r="W492" s="661"/>
      <c r="X492" s="661"/>
      <c r="Y492" s="661"/>
      <c r="Z492" s="661"/>
      <c r="AA492" s="661"/>
      <c r="AB492" s="661"/>
    </row>
    <row r="493">
      <c r="A493" s="661"/>
      <c r="B493" s="661"/>
      <c r="C493" s="661"/>
      <c r="D493" s="662"/>
      <c r="E493" s="661"/>
      <c r="F493" s="661"/>
      <c r="G493" s="661"/>
      <c r="H493" s="661"/>
      <c r="I493" s="661"/>
      <c r="J493" s="661"/>
      <c r="K493" s="661"/>
      <c r="L493" s="661"/>
      <c r="M493" s="661"/>
      <c r="N493" s="661"/>
      <c r="O493" s="661"/>
      <c r="P493" s="661"/>
      <c r="Q493" s="661"/>
      <c r="R493" s="661"/>
      <c r="S493" s="661"/>
      <c r="T493" s="661"/>
      <c r="U493" s="661"/>
      <c r="V493" s="661"/>
      <c r="W493" s="661"/>
      <c r="X493" s="661"/>
      <c r="Y493" s="661"/>
      <c r="Z493" s="661"/>
      <c r="AA493" s="661"/>
      <c r="AB493" s="661"/>
    </row>
    <row r="494">
      <c r="A494" s="661"/>
      <c r="B494" s="661"/>
      <c r="C494" s="661"/>
      <c r="D494" s="662"/>
      <c r="E494" s="661"/>
      <c r="F494" s="661"/>
      <c r="G494" s="661"/>
      <c r="H494" s="661"/>
      <c r="I494" s="661"/>
      <c r="J494" s="661"/>
      <c r="K494" s="661"/>
      <c r="L494" s="661"/>
      <c r="M494" s="661"/>
      <c r="N494" s="661"/>
      <c r="O494" s="661"/>
      <c r="P494" s="661"/>
      <c r="Q494" s="661"/>
      <c r="R494" s="661"/>
      <c r="S494" s="661"/>
      <c r="T494" s="661"/>
      <c r="U494" s="661"/>
      <c r="V494" s="661"/>
      <c r="W494" s="661"/>
      <c r="X494" s="661"/>
      <c r="Y494" s="661"/>
      <c r="Z494" s="661"/>
      <c r="AA494" s="661"/>
      <c r="AB494" s="661"/>
    </row>
    <row r="495">
      <c r="A495" s="661"/>
      <c r="B495" s="661"/>
      <c r="C495" s="661"/>
      <c r="D495" s="662"/>
      <c r="E495" s="661"/>
      <c r="F495" s="661"/>
      <c r="G495" s="661"/>
      <c r="H495" s="661"/>
      <c r="I495" s="661"/>
      <c r="J495" s="661"/>
      <c r="K495" s="661"/>
      <c r="L495" s="661"/>
      <c r="M495" s="661"/>
      <c r="N495" s="661"/>
      <c r="O495" s="661"/>
      <c r="P495" s="661"/>
      <c r="Q495" s="661"/>
      <c r="R495" s="661"/>
      <c r="S495" s="661"/>
      <c r="T495" s="661"/>
      <c r="U495" s="661"/>
      <c r="V495" s="661"/>
      <c r="W495" s="661"/>
      <c r="X495" s="661"/>
      <c r="Y495" s="661"/>
      <c r="Z495" s="661"/>
      <c r="AA495" s="661"/>
      <c r="AB495" s="661"/>
    </row>
    <row r="496">
      <c r="A496" s="661"/>
      <c r="B496" s="661"/>
      <c r="C496" s="661"/>
      <c r="D496" s="662"/>
      <c r="E496" s="661"/>
      <c r="F496" s="661"/>
      <c r="G496" s="661"/>
      <c r="H496" s="661"/>
      <c r="I496" s="661"/>
      <c r="J496" s="661"/>
      <c r="K496" s="661"/>
      <c r="L496" s="661"/>
      <c r="M496" s="661"/>
      <c r="N496" s="661"/>
      <c r="O496" s="661"/>
      <c r="P496" s="661"/>
      <c r="Q496" s="661"/>
      <c r="R496" s="661"/>
      <c r="S496" s="661"/>
      <c r="T496" s="661"/>
      <c r="U496" s="661"/>
      <c r="V496" s="661"/>
      <c r="W496" s="661"/>
      <c r="X496" s="661"/>
      <c r="Y496" s="661"/>
      <c r="Z496" s="661"/>
      <c r="AA496" s="661"/>
      <c r="AB496" s="661"/>
    </row>
    <row r="497">
      <c r="A497" s="661"/>
      <c r="B497" s="661"/>
      <c r="C497" s="661"/>
      <c r="D497" s="662"/>
      <c r="E497" s="661"/>
      <c r="F497" s="661"/>
      <c r="G497" s="661"/>
      <c r="H497" s="661"/>
      <c r="I497" s="661"/>
      <c r="J497" s="661"/>
      <c r="K497" s="661"/>
      <c r="L497" s="661"/>
      <c r="M497" s="661"/>
      <c r="N497" s="661"/>
      <c r="O497" s="661"/>
      <c r="P497" s="661"/>
      <c r="Q497" s="661"/>
      <c r="R497" s="661"/>
      <c r="S497" s="661"/>
      <c r="T497" s="661"/>
      <c r="U497" s="661"/>
      <c r="V497" s="661"/>
      <c r="W497" s="661"/>
      <c r="X497" s="661"/>
      <c r="Y497" s="661"/>
      <c r="Z497" s="661"/>
      <c r="AA497" s="661"/>
      <c r="AB497" s="661"/>
    </row>
    <row r="498">
      <c r="A498" s="661"/>
      <c r="B498" s="661"/>
      <c r="C498" s="661"/>
      <c r="D498" s="662"/>
      <c r="E498" s="661"/>
      <c r="F498" s="661"/>
      <c r="G498" s="661"/>
      <c r="H498" s="661"/>
      <c r="I498" s="661"/>
      <c r="J498" s="661"/>
      <c r="K498" s="661"/>
      <c r="L498" s="661"/>
      <c r="M498" s="661"/>
      <c r="N498" s="661"/>
      <c r="O498" s="661"/>
      <c r="P498" s="661"/>
      <c r="Q498" s="661"/>
      <c r="R498" s="661"/>
      <c r="S498" s="661"/>
      <c r="T498" s="661"/>
      <c r="U498" s="661"/>
      <c r="V498" s="661"/>
      <c r="W498" s="661"/>
      <c r="X498" s="661"/>
      <c r="Y498" s="661"/>
      <c r="Z498" s="661"/>
      <c r="AA498" s="661"/>
      <c r="AB498" s="661"/>
    </row>
    <row r="499">
      <c r="A499" s="661"/>
      <c r="B499" s="661"/>
      <c r="C499" s="661"/>
      <c r="D499" s="662"/>
      <c r="E499" s="661"/>
      <c r="F499" s="661"/>
      <c r="G499" s="661"/>
      <c r="H499" s="661"/>
      <c r="I499" s="661"/>
      <c r="J499" s="661"/>
      <c r="K499" s="661"/>
      <c r="L499" s="661"/>
      <c r="M499" s="661"/>
      <c r="N499" s="661"/>
      <c r="O499" s="661"/>
      <c r="P499" s="661"/>
      <c r="Q499" s="661"/>
      <c r="R499" s="661"/>
      <c r="S499" s="661"/>
      <c r="T499" s="661"/>
      <c r="U499" s="661"/>
      <c r="V499" s="661"/>
      <c r="W499" s="661"/>
      <c r="X499" s="661"/>
      <c r="Y499" s="661"/>
      <c r="Z499" s="661"/>
      <c r="AA499" s="661"/>
      <c r="AB499" s="661"/>
    </row>
    <row r="500">
      <c r="A500" s="661"/>
      <c r="B500" s="661"/>
      <c r="C500" s="661"/>
      <c r="D500" s="662"/>
      <c r="E500" s="661"/>
      <c r="F500" s="661"/>
      <c r="G500" s="661"/>
      <c r="H500" s="661"/>
      <c r="I500" s="661"/>
      <c r="J500" s="661"/>
      <c r="K500" s="661"/>
      <c r="L500" s="661"/>
      <c r="M500" s="661"/>
      <c r="N500" s="661"/>
      <c r="O500" s="661"/>
      <c r="P500" s="661"/>
      <c r="Q500" s="661"/>
      <c r="R500" s="661"/>
      <c r="S500" s="661"/>
      <c r="T500" s="661"/>
      <c r="U500" s="661"/>
      <c r="V500" s="661"/>
      <c r="W500" s="661"/>
      <c r="X500" s="661"/>
      <c r="Y500" s="661"/>
      <c r="Z500" s="661"/>
      <c r="AA500" s="661"/>
      <c r="AB500" s="661"/>
    </row>
    <row r="501">
      <c r="A501" s="661"/>
      <c r="B501" s="661"/>
      <c r="C501" s="661"/>
      <c r="D501" s="662"/>
      <c r="E501" s="661"/>
      <c r="F501" s="661"/>
      <c r="G501" s="661"/>
      <c r="H501" s="661"/>
      <c r="I501" s="661"/>
      <c r="J501" s="661"/>
      <c r="K501" s="661"/>
      <c r="L501" s="661"/>
      <c r="M501" s="661"/>
      <c r="N501" s="661"/>
      <c r="O501" s="661"/>
      <c r="P501" s="661"/>
      <c r="Q501" s="661"/>
      <c r="R501" s="661"/>
      <c r="S501" s="661"/>
      <c r="T501" s="661"/>
      <c r="U501" s="661"/>
      <c r="V501" s="661"/>
      <c r="W501" s="661"/>
      <c r="X501" s="661"/>
      <c r="Y501" s="661"/>
      <c r="Z501" s="661"/>
      <c r="AA501" s="661"/>
      <c r="AB501" s="661"/>
    </row>
    <row r="502">
      <c r="A502" s="661"/>
      <c r="B502" s="661"/>
      <c r="C502" s="661"/>
      <c r="D502" s="662"/>
      <c r="E502" s="661"/>
      <c r="F502" s="661"/>
      <c r="G502" s="661"/>
      <c r="H502" s="661"/>
      <c r="I502" s="661"/>
      <c r="J502" s="661"/>
      <c r="K502" s="661"/>
      <c r="L502" s="661"/>
      <c r="M502" s="661"/>
      <c r="N502" s="661"/>
      <c r="O502" s="661"/>
      <c r="P502" s="661"/>
      <c r="Q502" s="661"/>
      <c r="R502" s="661"/>
      <c r="S502" s="661"/>
      <c r="T502" s="661"/>
      <c r="U502" s="661"/>
      <c r="V502" s="661"/>
      <c r="W502" s="661"/>
      <c r="X502" s="661"/>
      <c r="Y502" s="661"/>
      <c r="Z502" s="661"/>
      <c r="AA502" s="661"/>
      <c r="AB502" s="661"/>
    </row>
    <row r="503">
      <c r="A503" s="661"/>
      <c r="B503" s="661"/>
      <c r="C503" s="661"/>
      <c r="D503" s="662"/>
      <c r="E503" s="661"/>
      <c r="F503" s="661"/>
      <c r="G503" s="661"/>
      <c r="H503" s="661"/>
      <c r="I503" s="661"/>
      <c r="J503" s="661"/>
      <c r="K503" s="661"/>
      <c r="L503" s="661"/>
      <c r="M503" s="661"/>
      <c r="N503" s="661"/>
      <c r="O503" s="661"/>
      <c r="P503" s="661"/>
      <c r="Q503" s="661"/>
      <c r="R503" s="661"/>
      <c r="S503" s="661"/>
      <c r="T503" s="661"/>
      <c r="U503" s="661"/>
      <c r="V503" s="661"/>
      <c r="W503" s="661"/>
      <c r="X503" s="661"/>
      <c r="Y503" s="661"/>
      <c r="Z503" s="661"/>
      <c r="AA503" s="661"/>
      <c r="AB503" s="661"/>
    </row>
    <row r="504">
      <c r="A504" s="661"/>
      <c r="B504" s="661"/>
      <c r="C504" s="661"/>
      <c r="D504" s="662"/>
      <c r="E504" s="661"/>
      <c r="F504" s="661"/>
      <c r="G504" s="661"/>
      <c r="H504" s="661"/>
      <c r="I504" s="661"/>
      <c r="J504" s="661"/>
      <c r="K504" s="661"/>
      <c r="L504" s="661"/>
      <c r="M504" s="661"/>
      <c r="N504" s="661"/>
      <c r="O504" s="661"/>
      <c r="P504" s="661"/>
      <c r="Q504" s="661"/>
      <c r="R504" s="661"/>
      <c r="S504" s="661"/>
      <c r="T504" s="661"/>
      <c r="U504" s="661"/>
      <c r="V504" s="661"/>
      <c r="W504" s="661"/>
      <c r="X504" s="661"/>
      <c r="Y504" s="661"/>
      <c r="Z504" s="661"/>
      <c r="AA504" s="661"/>
      <c r="AB504" s="661"/>
    </row>
    <row r="505">
      <c r="A505" s="661"/>
      <c r="B505" s="661"/>
      <c r="C505" s="661"/>
      <c r="D505" s="662"/>
      <c r="E505" s="661"/>
      <c r="F505" s="661"/>
      <c r="G505" s="661"/>
      <c r="H505" s="661"/>
      <c r="I505" s="661"/>
      <c r="J505" s="661"/>
      <c r="K505" s="661"/>
      <c r="L505" s="661"/>
      <c r="M505" s="661"/>
      <c r="N505" s="661"/>
      <c r="O505" s="661"/>
      <c r="P505" s="661"/>
      <c r="Q505" s="661"/>
      <c r="R505" s="661"/>
      <c r="S505" s="661"/>
      <c r="T505" s="661"/>
      <c r="U505" s="661"/>
      <c r="V505" s="661"/>
      <c r="W505" s="661"/>
      <c r="X505" s="661"/>
      <c r="Y505" s="661"/>
      <c r="Z505" s="661"/>
      <c r="AA505" s="661"/>
      <c r="AB505" s="661"/>
    </row>
    <row r="506">
      <c r="A506" s="661"/>
      <c r="B506" s="661"/>
      <c r="C506" s="661"/>
      <c r="D506" s="662"/>
      <c r="E506" s="661"/>
      <c r="F506" s="661"/>
      <c r="G506" s="661"/>
      <c r="H506" s="661"/>
      <c r="I506" s="661"/>
      <c r="J506" s="661"/>
      <c r="K506" s="661"/>
      <c r="L506" s="661"/>
      <c r="M506" s="661"/>
      <c r="N506" s="661"/>
      <c r="O506" s="661"/>
      <c r="P506" s="661"/>
      <c r="Q506" s="661"/>
      <c r="R506" s="661"/>
      <c r="S506" s="661"/>
      <c r="T506" s="661"/>
      <c r="U506" s="661"/>
      <c r="V506" s="661"/>
      <c r="W506" s="661"/>
      <c r="X506" s="661"/>
      <c r="Y506" s="661"/>
      <c r="Z506" s="661"/>
      <c r="AA506" s="661"/>
      <c r="AB506" s="661"/>
    </row>
    <row r="507">
      <c r="A507" s="661"/>
      <c r="B507" s="661"/>
      <c r="C507" s="661"/>
      <c r="D507" s="662"/>
      <c r="E507" s="661"/>
      <c r="F507" s="661"/>
      <c r="G507" s="661"/>
      <c r="H507" s="661"/>
      <c r="I507" s="661"/>
      <c r="J507" s="661"/>
      <c r="K507" s="661"/>
      <c r="L507" s="661"/>
      <c r="M507" s="661"/>
      <c r="N507" s="661"/>
      <c r="O507" s="661"/>
      <c r="P507" s="661"/>
      <c r="Q507" s="661"/>
      <c r="R507" s="661"/>
      <c r="S507" s="661"/>
      <c r="T507" s="661"/>
      <c r="U507" s="661"/>
      <c r="V507" s="661"/>
      <c r="W507" s="661"/>
      <c r="X507" s="661"/>
      <c r="Y507" s="661"/>
      <c r="Z507" s="661"/>
      <c r="AA507" s="661"/>
      <c r="AB507" s="661"/>
    </row>
    <row r="508">
      <c r="A508" s="661"/>
      <c r="B508" s="661"/>
      <c r="C508" s="661"/>
      <c r="D508" s="662"/>
      <c r="E508" s="661"/>
      <c r="F508" s="661"/>
      <c r="G508" s="661"/>
      <c r="H508" s="661"/>
      <c r="I508" s="661"/>
      <c r="J508" s="661"/>
      <c r="K508" s="661"/>
      <c r="L508" s="661"/>
      <c r="M508" s="661"/>
      <c r="N508" s="661"/>
      <c r="O508" s="661"/>
      <c r="P508" s="661"/>
      <c r="Q508" s="661"/>
      <c r="R508" s="661"/>
      <c r="S508" s="661"/>
      <c r="T508" s="661"/>
      <c r="U508" s="661"/>
      <c r="V508" s="661"/>
      <c r="W508" s="661"/>
      <c r="X508" s="661"/>
      <c r="Y508" s="661"/>
      <c r="Z508" s="661"/>
      <c r="AA508" s="661"/>
      <c r="AB508" s="661"/>
    </row>
    <row r="509">
      <c r="A509" s="661"/>
      <c r="B509" s="661"/>
      <c r="C509" s="661"/>
      <c r="D509" s="662"/>
      <c r="E509" s="661"/>
      <c r="F509" s="661"/>
      <c r="G509" s="661"/>
      <c r="H509" s="661"/>
      <c r="I509" s="661"/>
      <c r="J509" s="661"/>
      <c r="K509" s="661"/>
      <c r="L509" s="661"/>
      <c r="M509" s="661"/>
      <c r="N509" s="661"/>
      <c r="O509" s="661"/>
      <c r="P509" s="661"/>
      <c r="Q509" s="661"/>
      <c r="R509" s="661"/>
      <c r="S509" s="661"/>
      <c r="T509" s="661"/>
      <c r="U509" s="661"/>
      <c r="V509" s="661"/>
      <c r="W509" s="661"/>
      <c r="X509" s="661"/>
      <c r="Y509" s="661"/>
      <c r="Z509" s="661"/>
      <c r="AA509" s="661"/>
      <c r="AB509" s="661"/>
    </row>
    <row r="510">
      <c r="A510" s="661"/>
      <c r="B510" s="661"/>
      <c r="C510" s="661"/>
      <c r="D510" s="662"/>
      <c r="E510" s="661"/>
      <c r="F510" s="661"/>
      <c r="G510" s="661"/>
      <c r="H510" s="661"/>
      <c r="I510" s="661"/>
      <c r="J510" s="661"/>
      <c r="K510" s="661"/>
      <c r="L510" s="661"/>
      <c r="M510" s="661"/>
      <c r="N510" s="661"/>
      <c r="O510" s="661"/>
      <c r="P510" s="661"/>
      <c r="Q510" s="661"/>
      <c r="R510" s="661"/>
      <c r="S510" s="661"/>
      <c r="T510" s="661"/>
      <c r="U510" s="661"/>
      <c r="V510" s="661"/>
      <c r="W510" s="661"/>
      <c r="X510" s="661"/>
      <c r="Y510" s="661"/>
      <c r="Z510" s="661"/>
      <c r="AA510" s="661"/>
      <c r="AB510" s="661"/>
    </row>
    <row r="511">
      <c r="A511" s="661"/>
      <c r="B511" s="661"/>
      <c r="C511" s="661"/>
      <c r="D511" s="662"/>
      <c r="E511" s="661"/>
      <c r="F511" s="661"/>
      <c r="G511" s="661"/>
      <c r="H511" s="661"/>
      <c r="I511" s="661"/>
      <c r="J511" s="661"/>
      <c r="K511" s="661"/>
      <c r="L511" s="661"/>
      <c r="M511" s="661"/>
      <c r="N511" s="661"/>
      <c r="O511" s="661"/>
      <c r="P511" s="661"/>
      <c r="Q511" s="661"/>
      <c r="R511" s="661"/>
      <c r="S511" s="661"/>
      <c r="T511" s="661"/>
      <c r="U511" s="661"/>
      <c r="V511" s="661"/>
      <c r="W511" s="661"/>
      <c r="X511" s="661"/>
      <c r="Y511" s="661"/>
      <c r="Z511" s="661"/>
      <c r="AA511" s="661"/>
      <c r="AB511" s="661"/>
    </row>
    <row r="512">
      <c r="A512" s="661"/>
      <c r="B512" s="661"/>
      <c r="C512" s="661"/>
      <c r="D512" s="662"/>
      <c r="E512" s="661"/>
      <c r="F512" s="661"/>
      <c r="G512" s="661"/>
      <c r="H512" s="661"/>
      <c r="I512" s="661"/>
      <c r="J512" s="661"/>
      <c r="K512" s="661"/>
      <c r="L512" s="661"/>
      <c r="M512" s="661"/>
      <c r="N512" s="661"/>
      <c r="O512" s="661"/>
      <c r="P512" s="661"/>
      <c r="Q512" s="661"/>
      <c r="R512" s="661"/>
      <c r="S512" s="661"/>
      <c r="T512" s="661"/>
      <c r="U512" s="661"/>
      <c r="V512" s="661"/>
      <c r="W512" s="661"/>
      <c r="X512" s="661"/>
      <c r="Y512" s="661"/>
      <c r="Z512" s="661"/>
      <c r="AA512" s="661"/>
      <c r="AB512" s="661"/>
    </row>
    <row r="513">
      <c r="A513" s="661"/>
      <c r="B513" s="661"/>
      <c r="C513" s="661"/>
      <c r="D513" s="662"/>
      <c r="E513" s="661"/>
      <c r="F513" s="661"/>
      <c r="G513" s="661"/>
      <c r="H513" s="661"/>
      <c r="I513" s="661"/>
      <c r="J513" s="661"/>
      <c r="K513" s="661"/>
      <c r="L513" s="661"/>
      <c r="M513" s="661"/>
      <c r="N513" s="661"/>
      <c r="O513" s="661"/>
      <c r="P513" s="661"/>
      <c r="Q513" s="661"/>
      <c r="R513" s="661"/>
      <c r="S513" s="661"/>
      <c r="T513" s="661"/>
      <c r="U513" s="661"/>
      <c r="V513" s="661"/>
      <c r="W513" s="661"/>
      <c r="X513" s="661"/>
      <c r="Y513" s="661"/>
      <c r="Z513" s="661"/>
      <c r="AA513" s="661"/>
      <c r="AB513" s="661"/>
    </row>
    <row r="514">
      <c r="A514" s="661"/>
      <c r="B514" s="661"/>
      <c r="C514" s="661"/>
      <c r="D514" s="662"/>
      <c r="E514" s="661"/>
      <c r="F514" s="661"/>
      <c r="G514" s="661"/>
      <c r="H514" s="661"/>
      <c r="I514" s="661"/>
      <c r="J514" s="661"/>
      <c r="K514" s="661"/>
      <c r="L514" s="661"/>
      <c r="M514" s="661"/>
      <c r="N514" s="661"/>
      <c r="O514" s="661"/>
      <c r="P514" s="661"/>
      <c r="Q514" s="661"/>
      <c r="R514" s="661"/>
      <c r="S514" s="661"/>
      <c r="T514" s="661"/>
      <c r="U514" s="661"/>
      <c r="V514" s="661"/>
      <c r="W514" s="661"/>
      <c r="X514" s="661"/>
      <c r="Y514" s="661"/>
      <c r="Z514" s="661"/>
      <c r="AA514" s="661"/>
      <c r="AB514" s="661"/>
    </row>
    <row r="515">
      <c r="A515" s="661"/>
      <c r="B515" s="661"/>
      <c r="C515" s="661"/>
      <c r="D515" s="662"/>
      <c r="E515" s="661"/>
      <c r="F515" s="661"/>
      <c r="G515" s="661"/>
      <c r="H515" s="661"/>
      <c r="I515" s="661"/>
      <c r="J515" s="661"/>
      <c r="K515" s="661"/>
      <c r="L515" s="661"/>
      <c r="M515" s="661"/>
      <c r="N515" s="661"/>
      <c r="O515" s="661"/>
      <c r="P515" s="661"/>
      <c r="Q515" s="661"/>
      <c r="R515" s="661"/>
      <c r="S515" s="661"/>
      <c r="T515" s="661"/>
      <c r="U515" s="661"/>
      <c r="V515" s="661"/>
      <c r="W515" s="661"/>
      <c r="X515" s="661"/>
      <c r="Y515" s="661"/>
      <c r="Z515" s="661"/>
      <c r="AA515" s="661"/>
      <c r="AB515" s="661"/>
    </row>
    <row r="516">
      <c r="A516" s="661"/>
      <c r="B516" s="661"/>
      <c r="C516" s="661"/>
      <c r="D516" s="662"/>
      <c r="E516" s="661"/>
      <c r="F516" s="661"/>
      <c r="G516" s="661"/>
      <c r="H516" s="661"/>
      <c r="I516" s="661"/>
      <c r="J516" s="661"/>
      <c r="K516" s="661"/>
      <c r="L516" s="661"/>
      <c r="M516" s="661"/>
      <c r="N516" s="661"/>
      <c r="O516" s="661"/>
      <c r="P516" s="661"/>
      <c r="Q516" s="661"/>
      <c r="R516" s="661"/>
      <c r="S516" s="661"/>
      <c r="T516" s="661"/>
      <c r="U516" s="661"/>
      <c r="V516" s="661"/>
      <c r="W516" s="661"/>
      <c r="X516" s="661"/>
      <c r="Y516" s="661"/>
      <c r="Z516" s="661"/>
      <c r="AA516" s="661"/>
      <c r="AB516" s="661"/>
    </row>
    <row r="517">
      <c r="A517" s="661"/>
      <c r="B517" s="661"/>
      <c r="C517" s="661"/>
      <c r="D517" s="662"/>
      <c r="E517" s="661"/>
      <c r="F517" s="661"/>
      <c r="G517" s="661"/>
      <c r="H517" s="661"/>
      <c r="I517" s="661"/>
      <c r="J517" s="661"/>
      <c r="K517" s="661"/>
      <c r="L517" s="661"/>
      <c r="M517" s="661"/>
      <c r="N517" s="661"/>
      <c r="O517" s="661"/>
      <c r="P517" s="661"/>
      <c r="Q517" s="661"/>
      <c r="R517" s="661"/>
      <c r="S517" s="661"/>
      <c r="T517" s="661"/>
      <c r="U517" s="661"/>
      <c r="V517" s="661"/>
      <c r="W517" s="661"/>
      <c r="X517" s="661"/>
      <c r="Y517" s="661"/>
      <c r="Z517" s="661"/>
      <c r="AA517" s="661"/>
      <c r="AB517" s="661"/>
    </row>
    <row r="518">
      <c r="A518" s="661"/>
      <c r="B518" s="661"/>
      <c r="C518" s="661"/>
      <c r="D518" s="662"/>
      <c r="E518" s="661"/>
      <c r="F518" s="661"/>
      <c r="G518" s="661"/>
      <c r="H518" s="661"/>
      <c r="I518" s="661"/>
      <c r="J518" s="661"/>
      <c r="K518" s="661"/>
      <c r="L518" s="661"/>
      <c r="M518" s="661"/>
      <c r="N518" s="661"/>
      <c r="O518" s="661"/>
      <c r="P518" s="661"/>
      <c r="Q518" s="661"/>
      <c r="R518" s="661"/>
      <c r="S518" s="661"/>
      <c r="T518" s="661"/>
      <c r="U518" s="661"/>
      <c r="V518" s="661"/>
      <c r="W518" s="661"/>
      <c r="X518" s="661"/>
      <c r="Y518" s="661"/>
      <c r="Z518" s="661"/>
      <c r="AA518" s="661"/>
      <c r="AB518" s="661"/>
    </row>
    <row r="519">
      <c r="A519" s="661"/>
      <c r="B519" s="661"/>
      <c r="C519" s="661"/>
      <c r="D519" s="662"/>
      <c r="E519" s="661"/>
      <c r="F519" s="661"/>
      <c r="G519" s="661"/>
      <c r="H519" s="661"/>
      <c r="I519" s="661"/>
      <c r="J519" s="661"/>
      <c r="K519" s="661"/>
      <c r="L519" s="661"/>
      <c r="M519" s="661"/>
      <c r="N519" s="661"/>
      <c r="O519" s="661"/>
      <c r="P519" s="661"/>
      <c r="Q519" s="661"/>
      <c r="R519" s="661"/>
      <c r="S519" s="661"/>
      <c r="T519" s="661"/>
      <c r="U519" s="661"/>
      <c r="V519" s="661"/>
      <c r="W519" s="661"/>
      <c r="X519" s="661"/>
      <c r="Y519" s="661"/>
      <c r="Z519" s="661"/>
      <c r="AA519" s="661"/>
      <c r="AB519" s="661"/>
    </row>
    <row r="520">
      <c r="A520" s="661"/>
      <c r="B520" s="661"/>
      <c r="C520" s="661"/>
      <c r="D520" s="662"/>
      <c r="E520" s="661"/>
      <c r="F520" s="661"/>
      <c r="G520" s="661"/>
      <c r="H520" s="661"/>
      <c r="I520" s="661"/>
      <c r="J520" s="661"/>
      <c r="K520" s="661"/>
      <c r="L520" s="661"/>
      <c r="M520" s="661"/>
      <c r="N520" s="661"/>
      <c r="O520" s="661"/>
      <c r="P520" s="661"/>
      <c r="Q520" s="661"/>
      <c r="R520" s="661"/>
      <c r="S520" s="661"/>
      <c r="T520" s="661"/>
      <c r="U520" s="661"/>
      <c r="V520" s="661"/>
      <c r="W520" s="661"/>
      <c r="X520" s="661"/>
      <c r="Y520" s="661"/>
      <c r="Z520" s="661"/>
      <c r="AA520" s="661"/>
      <c r="AB520" s="661"/>
    </row>
    <row r="521">
      <c r="A521" s="661"/>
      <c r="B521" s="661"/>
      <c r="C521" s="661"/>
      <c r="D521" s="662"/>
      <c r="E521" s="661"/>
      <c r="F521" s="661"/>
      <c r="G521" s="661"/>
      <c r="H521" s="661"/>
      <c r="I521" s="661"/>
      <c r="J521" s="661"/>
      <c r="K521" s="661"/>
      <c r="L521" s="661"/>
      <c r="M521" s="661"/>
      <c r="N521" s="661"/>
      <c r="O521" s="661"/>
      <c r="P521" s="661"/>
      <c r="Q521" s="661"/>
      <c r="R521" s="661"/>
      <c r="S521" s="661"/>
      <c r="T521" s="661"/>
      <c r="U521" s="661"/>
      <c r="V521" s="661"/>
      <c r="W521" s="661"/>
      <c r="X521" s="661"/>
      <c r="Y521" s="661"/>
      <c r="Z521" s="661"/>
      <c r="AA521" s="661"/>
      <c r="AB521" s="661"/>
    </row>
    <row r="522">
      <c r="A522" s="661"/>
      <c r="B522" s="661"/>
      <c r="C522" s="661"/>
      <c r="D522" s="662"/>
      <c r="E522" s="661"/>
      <c r="F522" s="661"/>
      <c r="G522" s="661"/>
      <c r="H522" s="661"/>
      <c r="I522" s="661"/>
      <c r="J522" s="661"/>
      <c r="K522" s="661"/>
      <c r="L522" s="661"/>
      <c r="M522" s="661"/>
      <c r="N522" s="661"/>
      <c r="O522" s="661"/>
      <c r="P522" s="661"/>
      <c r="Q522" s="661"/>
      <c r="R522" s="661"/>
      <c r="S522" s="661"/>
      <c r="T522" s="661"/>
      <c r="U522" s="661"/>
      <c r="V522" s="661"/>
      <c r="W522" s="661"/>
      <c r="X522" s="661"/>
      <c r="Y522" s="661"/>
      <c r="Z522" s="661"/>
      <c r="AA522" s="661"/>
      <c r="AB522" s="661"/>
    </row>
    <row r="523">
      <c r="A523" s="661"/>
      <c r="B523" s="661"/>
      <c r="C523" s="661"/>
      <c r="D523" s="662"/>
      <c r="E523" s="661"/>
      <c r="F523" s="661"/>
      <c r="G523" s="661"/>
      <c r="H523" s="661"/>
      <c r="I523" s="661"/>
      <c r="J523" s="661"/>
      <c r="K523" s="661"/>
      <c r="L523" s="661"/>
      <c r="M523" s="661"/>
      <c r="N523" s="661"/>
      <c r="O523" s="661"/>
      <c r="P523" s="661"/>
      <c r="Q523" s="661"/>
      <c r="R523" s="661"/>
      <c r="S523" s="661"/>
      <c r="T523" s="661"/>
      <c r="U523" s="661"/>
      <c r="V523" s="661"/>
      <c r="W523" s="661"/>
      <c r="X523" s="661"/>
      <c r="Y523" s="661"/>
      <c r="Z523" s="661"/>
      <c r="AA523" s="661"/>
      <c r="AB523" s="661"/>
    </row>
    <row r="524">
      <c r="A524" s="661"/>
      <c r="B524" s="661"/>
      <c r="C524" s="661"/>
      <c r="D524" s="662"/>
      <c r="E524" s="661"/>
      <c r="F524" s="661"/>
      <c r="G524" s="661"/>
      <c r="H524" s="661"/>
      <c r="I524" s="661"/>
      <c r="J524" s="661"/>
      <c r="K524" s="661"/>
      <c r="L524" s="661"/>
      <c r="M524" s="661"/>
      <c r="N524" s="661"/>
      <c r="O524" s="661"/>
      <c r="P524" s="661"/>
      <c r="Q524" s="661"/>
      <c r="R524" s="661"/>
      <c r="S524" s="661"/>
      <c r="T524" s="661"/>
      <c r="U524" s="661"/>
      <c r="V524" s="661"/>
      <c r="W524" s="661"/>
      <c r="X524" s="661"/>
      <c r="Y524" s="661"/>
      <c r="Z524" s="661"/>
      <c r="AA524" s="661"/>
      <c r="AB524" s="661"/>
    </row>
    <row r="525">
      <c r="A525" s="661"/>
      <c r="B525" s="661"/>
      <c r="C525" s="661"/>
      <c r="D525" s="662"/>
      <c r="E525" s="661"/>
      <c r="F525" s="661"/>
      <c r="G525" s="661"/>
      <c r="H525" s="661"/>
      <c r="I525" s="661"/>
      <c r="J525" s="661"/>
      <c r="K525" s="661"/>
      <c r="L525" s="661"/>
      <c r="M525" s="661"/>
      <c r="N525" s="661"/>
      <c r="O525" s="661"/>
      <c r="P525" s="661"/>
      <c r="Q525" s="661"/>
      <c r="R525" s="661"/>
      <c r="S525" s="661"/>
      <c r="T525" s="661"/>
      <c r="U525" s="661"/>
      <c r="V525" s="661"/>
      <c r="W525" s="661"/>
      <c r="X525" s="661"/>
      <c r="Y525" s="661"/>
      <c r="Z525" s="661"/>
      <c r="AA525" s="661"/>
      <c r="AB525" s="661"/>
    </row>
    <row r="526">
      <c r="A526" s="661"/>
      <c r="B526" s="661"/>
      <c r="C526" s="661"/>
      <c r="D526" s="662"/>
      <c r="E526" s="661"/>
      <c r="F526" s="661"/>
      <c r="G526" s="661"/>
      <c r="H526" s="661"/>
      <c r="I526" s="661"/>
      <c r="J526" s="661"/>
      <c r="K526" s="661"/>
      <c r="L526" s="661"/>
      <c r="M526" s="661"/>
      <c r="N526" s="661"/>
      <c r="O526" s="661"/>
      <c r="P526" s="661"/>
      <c r="Q526" s="661"/>
      <c r="R526" s="661"/>
      <c r="S526" s="661"/>
      <c r="T526" s="661"/>
      <c r="U526" s="661"/>
      <c r="V526" s="661"/>
      <c r="W526" s="661"/>
      <c r="X526" s="661"/>
      <c r="Y526" s="661"/>
      <c r="Z526" s="661"/>
      <c r="AA526" s="661"/>
      <c r="AB526" s="661"/>
    </row>
    <row r="527">
      <c r="A527" s="661"/>
      <c r="B527" s="661"/>
      <c r="C527" s="661"/>
      <c r="D527" s="662"/>
      <c r="E527" s="661"/>
      <c r="F527" s="661"/>
      <c r="G527" s="661"/>
      <c r="H527" s="661"/>
      <c r="I527" s="661"/>
      <c r="J527" s="661"/>
      <c r="K527" s="661"/>
      <c r="L527" s="661"/>
      <c r="M527" s="661"/>
      <c r="N527" s="661"/>
      <c r="O527" s="661"/>
      <c r="P527" s="661"/>
      <c r="Q527" s="661"/>
      <c r="R527" s="661"/>
      <c r="S527" s="661"/>
      <c r="T527" s="661"/>
      <c r="U527" s="661"/>
      <c r="V527" s="661"/>
      <c r="W527" s="661"/>
      <c r="X527" s="661"/>
      <c r="Y527" s="661"/>
      <c r="Z527" s="661"/>
      <c r="AA527" s="661"/>
      <c r="AB527" s="661"/>
    </row>
    <row r="528">
      <c r="A528" s="661"/>
      <c r="B528" s="661"/>
      <c r="C528" s="661"/>
      <c r="D528" s="662"/>
      <c r="E528" s="661"/>
      <c r="F528" s="661"/>
      <c r="G528" s="661"/>
      <c r="H528" s="661"/>
      <c r="I528" s="661"/>
      <c r="J528" s="661"/>
      <c r="K528" s="661"/>
      <c r="L528" s="661"/>
      <c r="M528" s="661"/>
      <c r="N528" s="661"/>
      <c r="O528" s="661"/>
      <c r="P528" s="661"/>
      <c r="Q528" s="661"/>
      <c r="R528" s="661"/>
      <c r="S528" s="661"/>
      <c r="T528" s="661"/>
      <c r="U528" s="661"/>
      <c r="V528" s="661"/>
      <c r="W528" s="661"/>
      <c r="X528" s="661"/>
      <c r="Y528" s="661"/>
      <c r="Z528" s="661"/>
      <c r="AA528" s="661"/>
      <c r="AB528" s="661"/>
    </row>
    <row r="529">
      <c r="A529" s="661"/>
      <c r="B529" s="661"/>
      <c r="C529" s="661"/>
      <c r="D529" s="662"/>
      <c r="E529" s="661"/>
      <c r="F529" s="661"/>
      <c r="G529" s="661"/>
      <c r="H529" s="661"/>
      <c r="I529" s="661"/>
      <c r="J529" s="661"/>
      <c r="K529" s="661"/>
      <c r="L529" s="661"/>
      <c r="M529" s="661"/>
      <c r="N529" s="661"/>
      <c r="O529" s="661"/>
      <c r="P529" s="661"/>
      <c r="Q529" s="661"/>
      <c r="R529" s="661"/>
      <c r="S529" s="661"/>
      <c r="T529" s="661"/>
      <c r="U529" s="661"/>
      <c r="V529" s="661"/>
      <c r="W529" s="661"/>
      <c r="X529" s="661"/>
      <c r="Y529" s="661"/>
      <c r="Z529" s="661"/>
      <c r="AA529" s="661"/>
      <c r="AB529" s="661"/>
    </row>
    <row r="530">
      <c r="A530" s="661"/>
      <c r="B530" s="661"/>
      <c r="C530" s="661"/>
      <c r="D530" s="662"/>
      <c r="E530" s="661"/>
      <c r="F530" s="661"/>
      <c r="G530" s="661"/>
      <c r="H530" s="661"/>
      <c r="I530" s="661"/>
      <c r="J530" s="661"/>
      <c r="K530" s="661"/>
      <c r="L530" s="661"/>
      <c r="M530" s="661"/>
      <c r="N530" s="661"/>
      <c r="O530" s="661"/>
      <c r="P530" s="661"/>
      <c r="Q530" s="661"/>
      <c r="R530" s="661"/>
      <c r="S530" s="661"/>
      <c r="T530" s="661"/>
      <c r="U530" s="661"/>
      <c r="V530" s="661"/>
      <c r="W530" s="661"/>
      <c r="X530" s="661"/>
      <c r="Y530" s="661"/>
      <c r="Z530" s="661"/>
      <c r="AA530" s="661"/>
      <c r="AB530" s="661"/>
    </row>
    <row r="531">
      <c r="A531" s="661"/>
      <c r="B531" s="661"/>
      <c r="C531" s="661"/>
      <c r="D531" s="662"/>
      <c r="E531" s="661"/>
      <c r="F531" s="661"/>
      <c r="G531" s="661"/>
      <c r="H531" s="661"/>
      <c r="I531" s="661"/>
      <c r="J531" s="661"/>
      <c r="K531" s="661"/>
      <c r="L531" s="661"/>
      <c r="M531" s="661"/>
      <c r="N531" s="661"/>
      <c r="O531" s="661"/>
      <c r="P531" s="661"/>
      <c r="Q531" s="661"/>
      <c r="R531" s="661"/>
      <c r="S531" s="661"/>
      <c r="T531" s="661"/>
      <c r="U531" s="661"/>
      <c r="V531" s="661"/>
      <c r="W531" s="661"/>
      <c r="X531" s="661"/>
      <c r="Y531" s="661"/>
      <c r="Z531" s="661"/>
      <c r="AA531" s="661"/>
      <c r="AB531" s="661"/>
    </row>
    <row r="532">
      <c r="A532" s="661"/>
      <c r="B532" s="661"/>
      <c r="C532" s="661"/>
      <c r="D532" s="662"/>
      <c r="E532" s="661"/>
      <c r="F532" s="661"/>
      <c r="G532" s="661"/>
      <c r="H532" s="661"/>
      <c r="I532" s="661"/>
      <c r="J532" s="661"/>
      <c r="K532" s="661"/>
      <c r="L532" s="661"/>
      <c r="M532" s="661"/>
      <c r="N532" s="661"/>
      <c r="O532" s="661"/>
      <c r="P532" s="661"/>
      <c r="Q532" s="661"/>
      <c r="R532" s="661"/>
      <c r="S532" s="661"/>
      <c r="T532" s="661"/>
      <c r="U532" s="661"/>
      <c r="V532" s="661"/>
      <c r="W532" s="661"/>
      <c r="X532" s="661"/>
      <c r="Y532" s="661"/>
      <c r="Z532" s="661"/>
      <c r="AA532" s="661"/>
      <c r="AB532" s="661"/>
    </row>
    <row r="533">
      <c r="A533" s="661"/>
      <c r="B533" s="661"/>
      <c r="C533" s="661"/>
      <c r="D533" s="662"/>
      <c r="E533" s="661"/>
      <c r="F533" s="661"/>
      <c r="G533" s="661"/>
      <c r="H533" s="661"/>
      <c r="I533" s="661"/>
      <c r="J533" s="661"/>
      <c r="K533" s="661"/>
      <c r="L533" s="661"/>
      <c r="M533" s="661"/>
      <c r="N533" s="661"/>
      <c r="O533" s="661"/>
      <c r="P533" s="661"/>
      <c r="Q533" s="661"/>
      <c r="R533" s="661"/>
      <c r="S533" s="661"/>
      <c r="T533" s="661"/>
      <c r="U533" s="661"/>
      <c r="V533" s="661"/>
      <c r="W533" s="661"/>
      <c r="X533" s="661"/>
      <c r="Y533" s="661"/>
      <c r="Z533" s="661"/>
      <c r="AA533" s="661"/>
      <c r="AB533" s="661"/>
    </row>
    <row r="534">
      <c r="A534" s="661"/>
      <c r="B534" s="661"/>
      <c r="C534" s="661"/>
      <c r="D534" s="662"/>
      <c r="E534" s="661"/>
      <c r="F534" s="661"/>
      <c r="G534" s="661"/>
      <c r="H534" s="661"/>
      <c r="I534" s="661"/>
      <c r="J534" s="661"/>
      <c r="K534" s="661"/>
      <c r="L534" s="661"/>
      <c r="M534" s="661"/>
      <c r="N534" s="661"/>
      <c r="O534" s="661"/>
      <c r="P534" s="661"/>
      <c r="Q534" s="661"/>
      <c r="R534" s="661"/>
      <c r="S534" s="661"/>
      <c r="T534" s="661"/>
      <c r="U534" s="661"/>
      <c r="V534" s="661"/>
      <c r="W534" s="661"/>
      <c r="X534" s="661"/>
      <c r="Y534" s="661"/>
      <c r="Z534" s="661"/>
      <c r="AA534" s="661"/>
      <c r="AB534" s="661"/>
    </row>
    <row r="535">
      <c r="A535" s="661"/>
      <c r="B535" s="661"/>
      <c r="C535" s="661"/>
      <c r="D535" s="662"/>
      <c r="E535" s="661"/>
      <c r="F535" s="661"/>
      <c r="G535" s="661"/>
      <c r="H535" s="661"/>
      <c r="I535" s="661"/>
      <c r="J535" s="661"/>
      <c r="K535" s="661"/>
      <c r="L535" s="661"/>
      <c r="M535" s="661"/>
      <c r="N535" s="661"/>
      <c r="O535" s="661"/>
      <c r="P535" s="661"/>
      <c r="Q535" s="661"/>
      <c r="R535" s="661"/>
      <c r="S535" s="661"/>
      <c r="T535" s="661"/>
      <c r="U535" s="661"/>
      <c r="V535" s="661"/>
      <c r="W535" s="661"/>
      <c r="X535" s="661"/>
      <c r="Y535" s="661"/>
      <c r="Z535" s="661"/>
      <c r="AA535" s="661"/>
      <c r="AB535" s="661"/>
    </row>
    <row r="536">
      <c r="A536" s="661"/>
      <c r="B536" s="661"/>
      <c r="C536" s="661"/>
      <c r="D536" s="662"/>
      <c r="E536" s="661"/>
      <c r="F536" s="661"/>
      <c r="G536" s="661"/>
      <c r="H536" s="661"/>
      <c r="I536" s="661"/>
      <c r="J536" s="661"/>
      <c r="K536" s="661"/>
      <c r="L536" s="661"/>
      <c r="M536" s="661"/>
      <c r="N536" s="661"/>
      <c r="O536" s="661"/>
      <c r="P536" s="661"/>
      <c r="Q536" s="661"/>
      <c r="R536" s="661"/>
      <c r="S536" s="661"/>
      <c r="T536" s="661"/>
      <c r="U536" s="661"/>
      <c r="V536" s="661"/>
      <c r="W536" s="661"/>
      <c r="X536" s="661"/>
      <c r="Y536" s="661"/>
      <c r="Z536" s="661"/>
      <c r="AA536" s="661"/>
      <c r="AB536" s="661"/>
    </row>
    <row r="537">
      <c r="A537" s="661"/>
      <c r="B537" s="661"/>
      <c r="C537" s="661"/>
      <c r="D537" s="662"/>
      <c r="E537" s="661"/>
      <c r="F537" s="661"/>
      <c r="G537" s="661"/>
      <c r="H537" s="661"/>
      <c r="I537" s="661"/>
      <c r="J537" s="661"/>
      <c r="K537" s="661"/>
      <c r="L537" s="661"/>
      <c r="M537" s="661"/>
      <c r="N537" s="661"/>
      <c r="O537" s="661"/>
      <c r="P537" s="661"/>
      <c r="Q537" s="661"/>
      <c r="R537" s="661"/>
      <c r="S537" s="661"/>
      <c r="T537" s="661"/>
      <c r="U537" s="661"/>
      <c r="V537" s="661"/>
      <c r="W537" s="661"/>
      <c r="X537" s="661"/>
      <c r="Y537" s="661"/>
      <c r="Z537" s="661"/>
      <c r="AA537" s="661"/>
      <c r="AB537" s="661"/>
    </row>
    <row r="538">
      <c r="A538" s="661"/>
      <c r="B538" s="661"/>
      <c r="C538" s="661"/>
      <c r="D538" s="662"/>
      <c r="E538" s="661"/>
      <c r="F538" s="661"/>
      <c r="G538" s="661"/>
      <c r="H538" s="661"/>
      <c r="I538" s="661"/>
      <c r="J538" s="661"/>
      <c r="K538" s="661"/>
      <c r="L538" s="661"/>
      <c r="M538" s="661"/>
      <c r="N538" s="661"/>
      <c r="O538" s="661"/>
      <c r="P538" s="661"/>
      <c r="Q538" s="661"/>
      <c r="R538" s="661"/>
      <c r="S538" s="661"/>
      <c r="T538" s="661"/>
      <c r="U538" s="661"/>
      <c r="V538" s="661"/>
      <c r="W538" s="661"/>
      <c r="X538" s="661"/>
      <c r="Y538" s="661"/>
      <c r="Z538" s="661"/>
      <c r="AA538" s="661"/>
      <c r="AB538" s="661"/>
    </row>
    <row r="539">
      <c r="A539" s="661"/>
      <c r="B539" s="661"/>
      <c r="C539" s="661"/>
      <c r="D539" s="662"/>
      <c r="E539" s="661"/>
      <c r="F539" s="661"/>
      <c r="G539" s="661"/>
      <c r="H539" s="661"/>
      <c r="I539" s="661"/>
      <c r="J539" s="661"/>
      <c r="K539" s="661"/>
      <c r="L539" s="661"/>
      <c r="M539" s="661"/>
      <c r="N539" s="661"/>
      <c r="O539" s="661"/>
      <c r="P539" s="661"/>
      <c r="Q539" s="661"/>
      <c r="R539" s="661"/>
      <c r="S539" s="661"/>
      <c r="T539" s="661"/>
      <c r="U539" s="661"/>
      <c r="V539" s="661"/>
      <c r="W539" s="661"/>
      <c r="X539" s="661"/>
      <c r="Y539" s="661"/>
      <c r="Z539" s="661"/>
      <c r="AA539" s="661"/>
      <c r="AB539" s="661"/>
    </row>
    <row r="540">
      <c r="A540" s="661"/>
      <c r="B540" s="661"/>
      <c r="C540" s="661"/>
      <c r="D540" s="662"/>
      <c r="E540" s="661"/>
      <c r="F540" s="661"/>
      <c r="G540" s="661"/>
      <c r="H540" s="661"/>
      <c r="I540" s="661"/>
      <c r="J540" s="661"/>
      <c r="K540" s="661"/>
      <c r="L540" s="661"/>
      <c r="M540" s="661"/>
      <c r="N540" s="661"/>
      <c r="O540" s="661"/>
      <c r="P540" s="661"/>
      <c r="Q540" s="661"/>
      <c r="R540" s="661"/>
      <c r="S540" s="661"/>
      <c r="T540" s="661"/>
      <c r="U540" s="661"/>
      <c r="V540" s="661"/>
      <c r="W540" s="661"/>
      <c r="X540" s="661"/>
      <c r="Y540" s="661"/>
      <c r="Z540" s="661"/>
      <c r="AA540" s="661"/>
      <c r="AB540" s="661"/>
    </row>
    <row r="541">
      <c r="A541" s="661"/>
      <c r="B541" s="661"/>
      <c r="C541" s="661"/>
      <c r="D541" s="662"/>
      <c r="E541" s="661"/>
      <c r="F541" s="661"/>
      <c r="G541" s="661"/>
      <c r="H541" s="661"/>
      <c r="I541" s="661"/>
      <c r="J541" s="661"/>
      <c r="K541" s="661"/>
      <c r="L541" s="661"/>
      <c r="M541" s="661"/>
      <c r="N541" s="661"/>
      <c r="O541" s="661"/>
      <c r="P541" s="661"/>
      <c r="Q541" s="661"/>
      <c r="R541" s="661"/>
      <c r="S541" s="661"/>
      <c r="T541" s="661"/>
      <c r="U541" s="661"/>
      <c r="V541" s="661"/>
      <c r="W541" s="661"/>
      <c r="X541" s="661"/>
      <c r="Y541" s="661"/>
      <c r="Z541" s="661"/>
      <c r="AA541" s="661"/>
      <c r="AB541" s="661"/>
    </row>
    <row r="542">
      <c r="A542" s="661"/>
      <c r="B542" s="661"/>
      <c r="C542" s="661"/>
      <c r="D542" s="662"/>
      <c r="E542" s="661"/>
      <c r="F542" s="661"/>
      <c r="G542" s="661"/>
      <c r="H542" s="661"/>
      <c r="I542" s="661"/>
      <c r="J542" s="661"/>
      <c r="K542" s="661"/>
      <c r="L542" s="661"/>
      <c r="M542" s="661"/>
      <c r="N542" s="661"/>
      <c r="O542" s="661"/>
      <c r="P542" s="661"/>
      <c r="Q542" s="661"/>
      <c r="R542" s="661"/>
      <c r="S542" s="661"/>
      <c r="T542" s="661"/>
      <c r="U542" s="661"/>
      <c r="V542" s="661"/>
      <c r="W542" s="661"/>
      <c r="X542" s="661"/>
      <c r="Y542" s="661"/>
      <c r="Z542" s="661"/>
      <c r="AA542" s="661"/>
      <c r="AB542" s="661"/>
    </row>
    <row r="543">
      <c r="A543" s="661"/>
      <c r="B543" s="661"/>
      <c r="C543" s="661"/>
      <c r="D543" s="662"/>
      <c r="E543" s="661"/>
      <c r="F543" s="661"/>
      <c r="G543" s="661"/>
      <c r="H543" s="661"/>
      <c r="I543" s="661"/>
      <c r="J543" s="661"/>
      <c r="K543" s="661"/>
      <c r="L543" s="661"/>
      <c r="M543" s="661"/>
      <c r="N543" s="661"/>
      <c r="O543" s="661"/>
      <c r="P543" s="661"/>
      <c r="Q543" s="661"/>
      <c r="R543" s="661"/>
      <c r="S543" s="661"/>
      <c r="T543" s="661"/>
      <c r="U543" s="661"/>
      <c r="V543" s="661"/>
      <c r="W543" s="661"/>
      <c r="X543" s="661"/>
      <c r="Y543" s="661"/>
      <c r="Z543" s="661"/>
      <c r="AA543" s="661"/>
      <c r="AB543" s="661"/>
    </row>
    <row r="544">
      <c r="A544" s="661"/>
      <c r="B544" s="661"/>
      <c r="C544" s="661"/>
      <c r="D544" s="662"/>
      <c r="E544" s="661"/>
      <c r="F544" s="661"/>
      <c r="G544" s="661"/>
      <c r="H544" s="661"/>
      <c r="I544" s="661"/>
      <c r="J544" s="661"/>
      <c r="K544" s="661"/>
      <c r="L544" s="661"/>
      <c r="M544" s="661"/>
      <c r="N544" s="661"/>
      <c r="O544" s="661"/>
      <c r="P544" s="661"/>
      <c r="Q544" s="661"/>
      <c r="R544" s="661"/>
      <c r="S544" s="661"/>
      <c r="T544" s="661"/>
      <c r="U544" s="661"/>
      <c r="V544" s="661"/>
      <c r="W544" s="661"/>
      <c r="X544" s="661"/>
      <c r="Y544" s="661"/>
      <c r="Z544" s="661"/>
      <c r="AA544" s="661"/>
      <c r="AB544" s="661"/>
    </row>
    <row r="545">
      <c r="A545" s="661"/>
      <c r="B545" s="661"/>
      <c r="C545" s="661"/>
      <c r="D545" s="662"/>
      <c r="E545" s="661"/>
      <c r="F545" s="661"/>
      <c r="G545" s="661"/>
      <c r="H545" s="661"/>
      <c r="I545" s="661"/>
      <c r="J545" s="661"/>
      <c r="K545" s="661"/>
      <c r="L545" s="661"/>
      <c r="M545" s="661"/>
      <c r="N545" s="661"/>
      <c r="O545" s="661"/>
      <c r="P545" s="661"/>
      <c r="Q545" s="661"/>
      <c r="R545" s="661"/>
      <c r="S545" s="661"/>
      <c r="T545" s="661"/>
      <c r="U545" s="661"/>
      <c r="V545" s="661"/>
      <c r="W545" s="661"/>
      <c r="X545" s="661"/>
      <c r="Y545" s="661"/>
      <c r="Z545" s="661"/>
      <c r="AA545" s="661"/>
      <c r="AB545" s="661"/>
    </row>
    <row r="546">
      <c r="A546" s="661"/>
      <c r="B546" s="661"/>
      <c r="C546" s="661"/>
      <c r="D546" s="662"/>
      <c r="E546" s="661"/>
      <c r="F546" s="661"/>
      <c r="G546" s="661"/>
      <c r="H546" s="661"/>
      <c r="I546" s="661"/>
      <c r="J546" s="661"/>
      <c r="K546" s="661"/>
      <c r="L546" s="661"/>
      <c r="M546" s="661"/>
      <c r="N546" s="661"/>
      <c r="O546" s="661"/>
      <c r="P546" s="661"/>
      <c r="Q546" s="661"/>
      <c r="R546" s="661"/>
      <c r="S546" s="661"/>
      <c r="T546" s="661"/>
      <c r="U546" s="661"/>
      <c r="V546" s="661"/>
      <c r="W546" s="661"/>
      <c r="X546" s="661"/>
      <c r="Y546" s="661"/>
      <c r="Z546" s="661"/>
      <c r="AA546" s="661"/>
      <c r="AB546" s="661"/>
    </row>
    <row r="547">
      <c r="A547" s="661"/>
      <c r="B547" s="661"/>
      <c r="C547" s="661"/>
      <c r="D547" s="662"/>
      <c r="E547" s="661"/>
      <c r="F547" s="661"/>
      <c r="G547" s="661"/>
      <c r="H547" s="661"/>
      <c r="I547" s="661"/>
      <c r="J547" s="661"/>
      <c r="K547" s="661"/>
      <c r="L547" s="661"/>
      <c r="M547" s="661"/>
      <c r="N547" s="661"/>
      <c r="O547" s="661"/>
      <c r="P547" s="661"/>
      <c r="Q547" s="661"/>
      <c r="R547" s="661"/>
      <c r="S547" s="661"/>
      <c r="T547" s="661"/>
      <c r="U547" s="661"/>
      <c r="V547" s="661"/>
      <c r="W547" s="661"/>
      <c r="X547" s="661"/>
      <c r="Y547" s="661"/>
      <c r="Z547" s="661"/>
      <c r="AA547" s="661"/>
      <c r="AB547" s="661"/>
    </row>
    <row r="548">
      <c r="A548" s="661"/>
      <c r="B548" s="661"/>
      <c r="C548" s="661"/>
      <c r="D548" s="662"/>
      <c r="E548" s="661"/>
      <c r="F548" s="661"/>
      <c r="G548" s="661"/>
      <c r="H548" s="661"/>
      <c r="I548" s="661"/>
      <c r="J548" s="661"/>
      <c r="K548" s="661"/>
      <c r="L548" s="661"/>
      <c r="M548" s="661"/>
      <c r="N548" s="661"/>
      <c r="O548" s="661"/>
      <c r="P548" s="661"/>
      <c r="Q548" s="661"/>
      <c r="R548" s="661"/>
      <c r="S548" s="661"/>
      <c r="T548" s="661"/>
      <c r="U548" s="661"/>
      <c r="V548" s="661"/>
      <c r="W548" s="661"/>
      <c r="X548" s="661"/>
      <c r="Y548" s="661"/>
      <c r="Z548" s="661"/>
      <c r="AA548" s="661"/>
      <c r="AB548" s="661"/>
    </row>
    <row r="549">
      <c r="A549" s="661"/>
      <c r="B549" s="661"/>
      <c r="C549" s="661"/>
      <c r="D549" s="662"/>
      <c r="E549" s="661"/>
      <c r="F549" s="661"/>
      <c r="G549" s="661"/>
      <c r="H549" s="661"/>
      <c r="I549" s="661"/>
      <c r="J549" s="661"/>
      <c r="K549" s="661"/>
      <c r="L549" s="661"/>
      <c r="M549" s="661"/>
      <c r="N549" s="661"/>
      <c r="O549" s="661"/>
      <c r="P549" s="661"/>
      <c r="Q549" s="661"/>
      <c r="R549" s="661"/>
      <c r="S549" s="661"/>
      <c r="T549" s="661"/>
      <c r="U549" s="661"/>
      <c r="V549" s="661"/>
      <c r="W549" s="661"/>
      <c r="X549" s="661"/>
      <c r="Y549" s="661"/>
      <c r="Z549" s="661"/>
      <c r="AA549" s="661"/>
      <c r="AB549" s="661"/>
    </row>
    <row r="550">
      <c r="A550" s="661"/>
      <c r="B550" s="661"/>
      <c r="C550" s="661"/>
      <c r="D550" s="662"/>
      <c r="E550" s="661"/>
      <c r="F550" s="661"/>
      <c r="G550" s="661"/>
      <c r="H550" s="661"/>
      <c r="I550" s="661"/>
      <c r="J550" s="661"/>
      <c r="K550" s="661"/>
      <c r="L550" s="661"/>
      <c r="M550" s="661"/>
      <c r="N550" s="661"/>
      <c r="O550" s="661"/>
      <c r="P550" s="661"/>
      <c r="Q550" s="661"/>
      <c r="R550" s="661"/>
      <c r="S550" s="661"/>
      <c r="T550" s="661"/>
      <c r="U550" s="661"/>
      <c r="V550" s="661"/>
      <c r="W550" s="661"/>
      <c r="X550" s="661"/>
      <c r="Y550" s="661"/>
      <c r="Z550" s="661"/>
      <c r="AA550" s="661"/>
      <c r="AB550" s="661"/>
    </row>
    <row r="551">
      <c r="A551" s="661"/>
      <c r="B551" s="661"/>
      <c r="C551" s="661"/>
      <c r="D551" s="662"/>
      <c r="E551" s="661"/>
      <c r="F551" s="661"/>
      <c r="G551" s="661"/>
      <c r="H551" s="661"/>
      <c r="I551" s="661"/>
      <c r="J551" s="661"/>
      <c r="K551" s="661"/>
      <c r="L551" s="661"/>
      <c r="M551" s="661"/>
      <c r="N551" s="661"/>
      <c r="O551" s="661"/>
      <c r="P551" s="661"/>
      <c r="Q551" s="661"/>
      <c r="R551" s="661"/>
      <c r="S551" s="661"/>
      <c r="T551" s="661"/>
      <c r="U551" s="661"/>
      <c r="V551" s="661"/>
      <c r="W551" s="661"/>
      <c r="X551" s="661"/>
      <c r="Y551" s="661"/>
      <c r="Z551" s="661"/>
      <c r="AA551" s="661"/>
      <c r="AB551" s="661"/>
    </row>
    <row r="552">
      <c r="A552" s="661"/>
      <c r="B552" s="661"/>
      <c r="C552" s="661"/>
      <c r="D552" s="662"/>
      <c r="E552" s="661"/>
      <c r="F552" s="661"/>
      <c r="G552" s="661"/>
      <c r="H552" s="661"/>
      <c r="I552" s="661"/>
      <c r="J552" s="661"/>
      <c r="K552" s="661"/>
      <c r="L552" s="661"/>
      <c r="M552" s="661"/>
      <c r="N552" s="661"/>
      <c r="O552" s="661"/>
      <c r="P552" s="661"/>
      <c r="Q552" s="661"/>
      <c r="R552" s="661"/>
      <c r="S552" s="661"/>
      <c r="T552" s="661"/>
      <c r="U552" s="661"/>
      <c r="V552" s="661"/>
      <c r="W552" s="661"/>
      <c r="X552" s="661"/>
      <c r="Y552" s="661"/>
      <c r="Z552" s="661"/>
      <c r="AA552" s="661"/>
      <c r="AB552" s="661"/>
    </row>
    <row r="553">
      <c r="A553" s="661"/>
      <c r="B553" s="661"/>
      <c r="C553" s="661"/>
      <c r="D553" s="662"/>
      <c r="E553" s="661"/>
      <c r="F553" s="661"/>
      <c r="G553" s="661"/>
      <c r="H553" s="661"/>
      <c r="I553" s="661"/>
      <c r="J553" s="661"/>
      <c r="K553" s="661"/>
      <c r="L553" s="661"/>
      <c r="M553" s="661"/>
      <c r="N553" s="661"/>
      <c r="O553" s="661"/>
      <c r="P553" s="661"/>
      <c r="Q553" s="661"/>
      <c r="R553" s="661"/>
      <c r="S553" s="661"/>
      <c r="T553" s="661"/>
      <c r="U553" s="661"/>
      <c r="V553" s="661"/>
      <c r="W553" s="661"/>
      <c r="X553" s="661"/>
      <c r="Y553" s="661"/>
      <c r="Z553" s="661"/>
      <c r="AA553" s="661"/>
      <c r="AB553" s="661"/>
    </row>
    <row r="554">
      <c r="A554" s="661"/>
      <c r="B554" s="661"/>
      <c r="C554" s="661"/>
      <c r="D554" s="662"/>
      <c r="E554" s="661"/>
      <c r="F554" s="661"/>
      <c r="G554" s="661"/>
      <c r="H554" s="661"/>
      <c r="I554" s="661"/>
      <c r="J554" s="661"/>
      <c r="K554" s="661"/>
      <c r="L554" s="661"/>
      <c r="M554" s="661"/>
      <c r="N554" s="661"/>
      <c r="O554" s="661"/>
      <c r="P554" s="661"/>
      <c r="Q554" s="661"/>
      <c r="R554" s="661"/>
      <c r="S554" s="661"/>
      <c r="T554" s="661"/>
      <c r="U554" s="661"/>
      <c r="V554" s="661"/>
      <c r="W554" s="661"/>
      <c r="X554" s="661"/>
      <c r="Y554" s="661"/>
      <c r="Z554" s="661"/>
      <c r="AA554" s="661"/>
      <c r="AB554" s="661"/>
    </row>
    <row r="555">
      <c r="A555" s="661"/>
      <c r="B555" s="661"/>
      <c r="C555" s="661"/>
      <c r="D555" s="662"/>
      <c r="E555" s="661"/>
      <c r="F555" s="661"/>
      <c r="G555" s="661"/>
      <c r="H555" s="661"/>
      <c r="I555" s="661"/>
      <c r="J555" s="661"/>
      <c r="K555" s="661"/>
      <c r="L555" s="661"/>
      <c r="M555" s="661"/>
      <c r="N555" s="661"/>
      <c r="O555" s="661"/>
      <c r="P555" s="661"/>
      <c r="Q555" s="661"/>
      <c r="R555" s="661"/>
      <c r="S555" s="661"/>
      <c r="T555" s="661"/>
      <c r="U555" s="661"/>
      <c r="V555" s="661"/>
      <c r="W555" s="661"/>
      <c r="X555" s="661"/>
      <c r="Y555" s="661"/>
      <c r="Z555" s="661"/>
      <c r="AA555" s="661"/>
      <c r="AB555" s="661"/>
    </row>
    <row r="556">
      <c r="A556" s="661"/>
      <c r="B556" s="661"/>
      <c r="C556" s="661"/>
      <c r="D556" s="662"/>
      <c r="E556" s="661"/>
      <c r="F556" s="661"/>
      <c r="G556" s="661"/>
      <c r="H556" s="661"/>
      <c r="I556" s="661"/>
      <c r="J556" s="661"/>
      <c r="K556" s="661"/>
      <c r="L556" s="661"/>
      <c r="M556" s="661"/>
      <c r="N556" s="661"/>
      <c r="O556" s="661"/>
      <c r="P556" s="661"/>
      <c r="Q556" s="661"/>
      <c r="R556" s="661"/>
      <c r="S556" s="661"/>
      <c r="T556" s="661"/>
      <c r="U556" s="661"/>
      <c r="V556" s="661"/>
      <c r="W556" s="661"/>
      <c r="X556" s="661"/>
      <c r="Y556" s="661"/>
      <c r="Z556" s="661"/>
      <c r="AA556" s="661"/>
      <c r="AB556" s="661"/>
    </row>
    <row r="557">
      <c r="A557" s="661"/>
      <c r="B557" s="661"/>
      <c r="C557" s="661"/>
      <c r="D557" s="662"/>
      <c r="E557" s="661"/>
      <c r="F557" s="661"/>
      <c r="G557" s="661"/>
      <c r="H557" s="661"/>
      <c r="I557" s="661"/>
      <c r="J557" s="661"/>
      <c r="K557" s="661"/>
      <c r="L557" s="661"/>
      <c r="M557" s="661"/>
      <c r="N557" s="661"/>
      <c r="O557" s="661"/>
      <c r="P557" s="661"/>
      <c r="Q557" s="661"/>
      <c r="R557" s="661"/>
      <c r="S557" s="661"/>
      <c r="T557" s="661"/>
      <c r="U557" s="661"/>
      <c r="V557" s="661"/>
      <c r="W557" s="661"/>
      <c r="X557" s="661"/>
      <c r="Y557" s="661"/>
      <c r="Z557" s="661"/>
      <c r="AA557" s="661"/>
      <c r="AB557" s="661"/>
    </row>
    <row r="558">
      <c r="A558" s="661"/>
      <c r="B558" s="661"/>
      <c r="C558" s="661"/>
      <c r="D558" s="662"/>
      <c r="E558" s="661"/>
      <c r="F558" s="661"/>
      <c r="G558" s="661"/>
      <c r="H558" s="661"/>
      <c r="I558" s="661"/>
      <c r="J558" s="661"/>
      <c r="K558" s="661"/>
      <c r="L558" s="661"/>
      <c r="M558" s="661"/>
      <c r="N558" s="661"/>
      <c r="O558" s="661"/>
      <c r="P558" s="661"/>
      <c r="Q558" s="661"/>
      <c r="R558" s="661"/>
      <c r="S558" s="661"/>
      <c r="T558" s="661"/>
      <c r="U558" s="661"/>
      <c r="V558" s="661"/>
      <c r="W558" s="661"/>
      <c r="X558" s="661"/>
      <c r="Y558" s="661"/>
      <c r="Z558" s="661"/>
      <c r="AA558" s="661"/>
      <c r="AB558" s="661"/>
    </row>
    <row r="559">
      <c r="A559" s="661"/>
      <c r="B559" s="661"/>
      <c r="C559" s="661"/>
      <c r="D559" s="662"/>
      <c r="E559" s="661"/>
      <c r="F559" s="661"/>
      <c r="G559" s="661"/>
      <c r="H559" s="661"/>
      <c r="I559" s="661"/>
      <c r="J559" s="661"/>
      <c r="K559" s="661"/>
      <c r="L559" s="661"/>
      <c r="M559" s="661"/>
      <c r="N559" s="661"/>
      <c r="O559" s="661"/>
      <c r="P559" s="661"/>
      <c r="Q559" s="661"/>
      <c r="R559" s="661"/>
      <c r="S559" s="661"/>
      <c r="T559" s="661"/>
      <c r="U559" s="661"/>
      <c r="V559" s="661"/>
      <c r="W559" s="661"/>
      <c r="X559" s="661"/>
      <c r="Y559" s="661"/>
      <c r="Z559" s="661"/>
      <c r="AA559" s="661"/>
      <c r="AB559" s="661"/>
    </row>
    <row r="560">
      <c r="A560" s="661"/>
      <c r="B560" s="661"/>
      <c r="C560" s="661"/>
      <c r="D560" s="662"/>
      <c r="E560" s="661"/>
      <c r="F560" s="661"/>
      <c r="G560" s="661"/>
      <c r="H560" s="661"/>
      <c r="I560" s="661"/>
      <c r="J560" s="661"/>
      <c r="K560" s="661"/>
      <c r="L560" s="661"/>
      <c r="M560" s="661"/>
      <c r="N560" s="661"/>
      <c r="O560" s="661"/>
      <c r="P560" s="661"/>
      <c r="Q560" s="661"/>
      <c r="R560" s="661"/>
      <c r="S560" s="661"/>
      <c r="T560" s="661"/>
      <c r="U560" s="661"/>
      <c r="V560" s="661"/>
      <c r="W560" s="661"/>
      <c r="X560" s="661"/>
      <c r="Y560" s="661"/>
      <c r="Z560" s="661"/>
      <c r="AA560" s="661"/>
      <c r="AB560" s="661"/>
    </row>
    <row r="561">
      <c r="A561" s="661"/>
      <c r="B561" s="661"/>
      <c r="C561" s="661"/>
      <c r="D561" s="662"/>
      <c r="E561" s="661"/>
      <c r="F561" s="661"/>
      <c r="G561" s="661"/>
      <c r="H561" s="661"/>
      <c r="I561" s="661"/>
      <c r="J561" s="661"/>
      <c r="K561" s="661"/>
      <c r="L561" s="661"/>
      <c r="M561" s="661"/>
      <c r="N561" s="661"/>
      <c r="O561" s="661"/>
      <c r="P561" s="661"/>
      <c r="Q561" s="661"/>
      <c r="R561" s="661"/>
      <c r="S561" s="661"/>
      <c r="T561" s="661"/>
      <c r="U561" s="661"/>
      <c r="V561" s="661"/>
      <c r="W561" s="661"/>
      <c r="X561" s="661"/>
      <c r="Y561" s="661"/>
      <c r="Z561" s="661"/>
      <c r="AA561" s="661"/>
      <c r="AB561" s="661"/>
    </row>
    <row r="562">
      <c r="A562" s="661"/>
      <c r="B562" s="661"/>
      <c r="C562" s="661"/>
      <c r="D562" s="662"/>
      <c r="E562" s="661"/>
      <c r="F562" s="661"/>
      <c r="G562" s="661"/>
      <c r="H562" s="661"/>
      <c r="I562" s="661"/>
      <c r="J562" s="661"/>
      <c r="K562" s="661"/>
      <c r="L562" s="661"/>
      <c r="M562" s="661"/>
      <c r="N562" s="661"/>
      <c r="O562" s="661"/>
      <c r="P562" s="661"/>
      <c r="Q562" s="661"/>
      <c r="R562" s="661"/>
      <c r="S562" s="661"/>
      <c r="T562" s="661"/>
      <c r="U562" s="661"/>
      <c r="V562" s="661"/>
      <c r="W562" s="661"/>
      <c r="X562" s="661"/>
      <c r="Y562" s="661"/>
      <c r="Z562" s="661"/>
      <c r="AA562" s="661"/>
      <c r="AB562" s="661"/>
    </row>
    <row r="563">
      <c r="A563" s="661"/>
      <c r="B563" s="661"/>
      <c r="C563" s="661"/>
      <c r="D563" s="662"/>
      <c r="E563" s="661"/>
      <c r="F563" s="661"/>
      <c r="G563" s="661"/>
      <c r="H563" s="661"/>
      <c r="I563" s="661"/>
      <c r="J563" s="661"/>
      <c r="K563" s="661"/>
      <c r="L563" s="661"/>
      <c r="M563" s="661"/>
      <c r="N563" s="661"/>
      <c r="O563" s="661"/>
      <c r="P563" s="661"/>
      <c r="Q563" s="661"/>
      <c r="R563" s="661"/>
      <c r="S563" s="661"/>
      <c r="T563" s="661"/>
      <c r="U563" s="661"/>
      <c r="V563" s="661"/>
      <c r="W563" s="661"/>
      <c r="X563" s="661"/>
      <c r="Y563" s="661"/>
      <c r="Z563" s="661"/>
      <c r="AA563" s="661"/>
      <c r="AB563" s="661"/>
    </row>
    <row r="564">
      <c r="A564" s="661"/>
      <c r="B564" s="661"/>
      <c r="C564" s="661"/>
      <c r="D564" s="662"/>
      <c r="E564" s="661"/>
      <c r="F564" s="661"/>
      <c r="G564" s="661"/>
      <c r="H564" s="661"/>
      <c r="I564" s="661"/>
      <c r="J564" s="661"/>
      <c r="K564" s="661"/>
      <c r="L564" s="661"/>
      <c r="M564" s="661"/>
      <c r="N564" s="661"/>
      <c r="O564" s="661"/>
      <c r="P564" s="661"/>
      <c r="Q564" s="661"/>
      <c r="R564" s="661"/>
      <c r="S564" s="661"/>
      <c r="T564" s="661"/>
      <c r="U564" s="661"/>
      <c r="V564" s="661"/>
      <c r="W564" s="661"/>
      <c r="X564" s="661"/>
      <c r="Y564" s="661"/>
      <c r="Z564" s="661"/>
      <c r="AA564" s="661"/>
      <c r="AB564" s="661"/>
    </row>
    <row r="565">
      <c r="A565" s="661"/>
      <c r="B565" s="661"/>
      <c r="C565" s="661"/>
      <c r="D565" s="662"/>
      <c r="E565" s="661"/>
      <c r="F565" s="661"/>
      <c r="G565" s="661"/>
      <c r="H565" s="661"/>
      <c r="I565" s="661"/>
      <c r="J565" s="661"/>
      <c r="K565" s="661"/>
      <c r="L565" s="661"/>
      <c r="M565" s="661"/>
      <c r="N565" s="661"/>
      <c r="O565" s="661"/>
      <c r="P565" s="661"/>
      <c r="Q565" s="661"/>
      <c r="R565" s="661"/>
      <c r="S565" s="661"/>
      <c r="T565" s="661"/>
      <c r="U565" s="661"/>
      <c r="V565" s="661"/>
      <c r="W565" s="661"/>
      <c r="X565" s="661"/>
      <c r="Y565" s="661"/>
      <c r="Z565" s="661"/>
      <c r="AA565" s="661"/>
      <c r="AB565" s="661"/>
    </row>
    <row r="566">
      <c r="A566" s="661"/>
      <c r="B566" s="661"/>
      <c r="C566" s="661"/>
      <c r="D566" s="662"/>
      <c r="E566" s="661"/>
      <c r="F566" s="661"/>
      <c r="G566" s="661"/>
      <c r="H566" s="661"/>
      <c r="I566" s="661"/>
      <c r="J566" s="661"/>
      <c r="K566" s="661"/>
      <c r="L566" s="661"/>
      <c r="M566" s="661"/>
      <c r="N566" s="661"/>
      <c r="O566" s="661"/>
      <c r="P566" s="661"/>
      <c r="Q566" s="661"/>
      <c r="R566" s="661"/>
      <c r="S566" s="661"/>
      <c r="T566" s="661"/>
      <c r="U566" s="661"/>
      <c r="V566" s="661"/>
      <c r="W566" s="661"/>
      <c r="X566" s="661"/>
      <c r="Y566" s="661"/>
      <c r="Z566" s="661"/>
      <c r="AA566" s="661"/>
      <c r="AB566" s="661"/>
    </row>
    <row r="567">
      <c r="A567" s="661"/>
      <c r="B567" s="661"/>
      <c r="C567" s="661"/>
      <c r="D567" s="662"/>
      <c r="E567" s="661"/>
      <c r="F567" s="661"/>
      <c r="G567" s="661"/>
      <c r="H567" s="661"/>
      <c r="I567" s="661"/>
      <c r="J567" s="661"/>
      <c r="K567" s="661"/>
      <c r="L567" s="661"/>
      <c r="M567" s="661"/>
      <c r="N567" s="661"/>
      <c r="O567" s="661"/>
      <c r="P567" s="661"/>
      <c r="Q567" s="661"/>
      <c r="R567" s="661"/>
      <c r="S567" s="661"/>
      <c r="T567" s="661"/>
      <c r="U567" s="661"/>
      <c r="V567" s="661"/>
      <c r="W567" s="661"/>
      <c r="X567" s="661"/>
      <c r="Y567" s="661"/>
      <c r="Z567" s="661"/>
      <c r="AA567" s="661"/>
      <c r="AB567" s="661"/>
    </row>
    <row r="568">
      <c r="A568" s="661"/>
      <c r="B568" s="661"/>
      <c r="C568" s="661"/>
      <c r="D568" s="662"/>
      <c r="E568" s="661"/>
      <c r="F568" s="661"/>
      <c r="G568" s="661"/>
      <c r="H568" s="661"/>
      <c r="I568" s="661"/>
      <c r="J568" s="661"/>
      <c r="K568" s="661"/>
      <c r="L568" s="661"/>
      <c r="M568" s="661"/>
      <c r="N568" s="661"/>
      <c r="O568" s="661"/>
      <c r="P568" s="661"/>
      <c r="Q568" s="661"/>
      <c r="R568" s="661"/>
      <c r="S568" s="661"/>
      <c r="T568" s="661"/>
      <c r="U568" s="661"/>
      <c r="V568" s="661"/>
      <c r="W568" s="661"/>
      <c r="X568" s="661"/>
      <c r="Y568" s="661"/>
      <c r="Z568" s="661"/>
      <c r="AA568" s="661"/>
      <c r="AB568" s="661"/>
    </row>
    <row r="569">
      <c r="A569" s="661"/>
      <c r="B569" s="661"/>
      <c r="C569" s="661"/>
      <c r="D569" s="662"/>
      <c r="E569" s="661"/>
      <c r="F569" s="661"/>
      <c r="G569" s="661"/>
      <c r="H569" s="661"/>
      <c r="I569" s="661"/>
      <c r="J569" s="661"/>
      <c r="K569" s="661"/>
      <c r="L569" s="661"/>
      <c r="M569" s="661"/>
      <c r="N569" s="661"/>
      <c r="O569" s="661"/>
      <c r="P569" s="661"/>
      <c r="Q569" s="661"/>
      <c r="R569" s="661"/>
      <c r="S569" s="661"/>
      <c r="T569" s="661"/>
      <c r="U569" s="661"/>
      <c r="V569" s="661"/>
      <c r="W569" s="661"/>
      <c r="X569" s="661"/>
      <c r="Y569" s="661"/>
      <c r="Z569" s="661"/>
      <c r="AA569" s="661"/>
      <c r="AB569" s="661"/>
    </row>
    <row r="570">
      <c r="A570" s="661"/>
      <c r="B570" s="661"/>
      <c r="C570" s="661"/>
      <c r="D570" s="662"/>
      <c r="E570" s="661"/>
      <c r="F570" s="661"/>
      <c r="G570" s="661"/>
      <c r="H570" s="661"/>
      <c r="I570" s="661"/>
      <c r="J570" s="661"/>
      <c r="K570" s="661"/>
      <c r="L570" s="661"/>
      <c r="M570" s="661"/>
      <c r="N570" s="661"/>
      <c r="O570" s="661"/>
      <c r="P570" s="661"/>
      <c r="Q570" s="661"/>
      <c r="R570" s="661"/>
      <c r="S570" s="661"/>
      <c r="T570" s="661"/>
      <c r="U570" s="661"/>
      <c r="V570" s="661"/>
      <c r="W570" s="661"/>
      <c r="X570" s="661"/>
      <c r="Y570" s="661"/>
      <c r="Z570" s="661"/>
      <c r="AA570" s="661"/>
      <c r="AB570" s="661"/>
    </row>
    <row r="571">
      <c r="A571" s="661"/>
      <c r="B571" s="661"/>
      <c r="C571" s="661"/>
      <c r="D571" s="662"/>
      <c r="E571" s="661"/>
      <c r="F571" s="661"/>
      <c r="G571" s="661"/>
      <c r="H571" s="661"/>
      <c r="I571" s="661"/>
      <c r="J571" s="661"/>
      <c r="K571" s="661"/>
      <c r="L571" s="661"/>
      <c r="M571" s="661"/>
      <c r="N571" s="661"/>
      <c r="O571" s="661"/>
      <c r="P571" s="661"/>
      <c r="Q571" s="661"/>
      <c r="R571" s="661"/>
      <c r="S571" s="661"/>
      <c r="T571" s="661"/>
      <c r="U571" s="661"/>
      <c r="V571" s="661"/>
      <c r="W571" s="661"/>
      <c r="X571" s="661"/>
      <c r="Y571" s="661"/>
      <c r="Z571" s="661"/>
      <c r="AA571" s="661"/>
      <c r="AB571" s="661"/>
    </row>
    <row r="572">
      <c r="A572" s="661"/>
      <c r="B572" s="661"/>
      <c r="C572" s="661"/>
      <c r="D572" s="662"/>
      <c r="E572" s="661"/>
      <c r="F572" s="661"/>
      <c r="G572" s="661"/>
      <c r="H572" s="661"/>
      <c r="I572" s="661"/>
      <c r="J572" s="661"/>
      <c r="K572" s="661"/>
      <c r="L572" s="661"/>
      <c r="M572" s="661"/>
      <c r="N572" s="661"/>
      <c r="O572" s="661"/>
      <c r="P572" s="661"/>
      <c r="Q572" s="661"/>
      <c r="R572" s="661"/>
      <c r="S572" s="661"/>
      <c r="T572" s="661"/>
      <c r="U572" s="661"/>
      <c r="V572" s="661"/>
      <c r="W572" s="661"/>
      <c r="X572" s="661"/>
      <c r="Y572" s="661"/>
      <c r="Z572" s="661"/>
      <c r="AA572" s="661"/>
      <c r="AB572" s="661"/>
    </row>
    <row r="573">
      <c r="A573" s="661"/>
      <c r="B573" s="661"/>
      <c r="C573" s="661"/>
      <c r="D573" s="662"/>
      <c r="E573" s="661"/>
      <c r="F573" s="661"/>
      <c r="G573" s="661"/>
      <c r="H573" s="661"/>
      <c r="I573" s="661"/>
      <c r="J573" s="661"/>
      <c r="K573" s="661"/>
      <c r="L573" s="661"/>
      <c r="M573" s="661"/>
      <c r="N573" s="661"/>
      <c r="O573" s="661"/>
      <c r="P573" s="661"/>
      <c r="Q573" s="661"/>
      <c r="R573" s="661"/>
      <c r="S573" s="661"/>
      <c r="T573" s="661"/>
      <c r="U573" s="661"/>
      <c r="V573" s="661"/>
      <c r="W573" s="661"/>
      <c r="X573" s="661"/>
      <c r="Y573" s="661"/>
      <c r="Z573" s="661"/>
      <c r="AA573" s="661"/>
      <c r="AB573" s="661"/>
    </row>
    <row r="574">
      <c r="A574" s="661"/>
      <c r="B574" s="661"/>
      <c r="C574" s="661"/>
      <c r="D574" s="662"/>
      <c r="E574" s="661"/>
      <c r="F574" s="661"/>
      <c r="G574" s="661"/>
      <c r="H574" s="661"/>
      <c r="I574" s="661"/>
      <c r="J574" s="661"/>
      <c r="K574" s="661"/>
      <c r="L574" s="661"/>
      <c r="M574" s="661"/>
      <c r="N574" s="661"/>
      <c r="O574" s="661"/>
      <c r="P574" s="661"/>
      <c r="Q574" s="661"/>
      <c r="R574" s="661"/>
      <c r="S574" s="661"/>
      <c r="T574" s="661"/>
      <c r="U574" s="661"/>
      <c r="V574" s="661"/>
      <c r="W574" s="661"/>
      <c r="X574" s="661"/>
      <c r="Y574" s="661"/>
      <c r="Z574" s="661"/>
      <c r="AA574" s="661"/>
      <c r="AB574" s="661"/>
    </row>
    <row r="575">
      <c r="A575" s="661"/>
      <c r="B575" s="661"/>
      <c r="C575" s="661"/>
      <c r="D575" s="662"/>
      <c r="E575" s="661"/>
      <c r="F575" s="661"/>
      <c r="G575" s="661"/>
      <c r="H575" s="661"/>
      <c r="I575" s="661"/>
      <c r="J575" s="661"/>
      <c r="K575" s="661"/>
      <c r="L575" s="661"/>
      <c r="M575" s="661"/>
      <c r="N575" s="661"/>
      <c r="O575" s="661"/>
      <c r="P575" s="661"/>
      <c r="Q575" s="661"/>
      <c r="R575" s="661"/>
      <c r="S575" s="661"/>
      <c r="T575" s="661"/>
      <c r="U575" s="661"/>
      <c r="V575" s="661"/>
      <c r="W575" s="661"/>
      <c r="X575" s="661"/>
      <c r="Y575" s="661"/>
      <c r="Z575" s="661"/>
      <c r="AA575" s="661"/>
      <c r="AB575" s="661"/>
    </row>
    <row r="576">
      <c r="A576" s="661"/>
      <c r="B576" s="661"/>
      <c r="C576" s="661"/>
      <c r="D576" s="662"/>
      <c r="E576" s="661"/>
      <c r="F576" s="661"/>
      <c r="G576" s="661"/>
      <c r="H576" s="661"/>
      <c r="I576" s="661"/>
      <c r="J576" s="661"/>
      <c r="K576" s="661"/>
      <c r="L576" s="661"/>
      <c r="M576" s="661"/>
      <c r="N576" s="661"/>
      <c r="O576" s="661"/>
      <c r="P576" s="661"/>
      <c r="Q576" s="661"/>
      <c r="R576" s="661"/>
      <c r="S576" s="661"/>
      <c r="T576" s="661"/>
      <c r="U576" s="661"/>
      <c r="V576" s="661"/>
      <c r="W576" s="661"/>
      <c r="X576" s="661"/>
      <c r="Y576" s="661"/>
      <c r="Z576" s="661"/>
      <c r="AA576" s="661"/>
      <c r="AB576" s="661"/>
    </row>
    <row r="577">
      <c r="A577" s="661"/>
      <c r="B577" s="661"/>
      <c r="C577" s="661"/>
      <c r="D577" s="662"/>
      <c r="E577" s="661"/>
      <c r="F577" s="661"/>
      <c r="G577" s="661"/>
      <c r="H577" s="661"/>
      <c r="I577" s="661"/>
      <c r="J577" s="661"/>
      <c r="K577" s="661"/>
      <c r="L577" s="661"/>
      <c r="M577" s="661"/>
      <c r="N577" s="661"/>
      <c r="O577" s="661"/>
      <c r="P577" s="661"/>
      <c r="Q577" s="661"/>
      <c r="R577" s="661"/>
      <c r="S577" s="661"/>
      <c r="T577" s="661"/>
      <c r="U577" s="661"/>
      <c r="V577" s="661"/>
      <c r="W577" s="661"/>
      <c r="X577" s="661"/>
      <c r="Y577" s="661"/>
      <c r="Z577" s="661"/>
      <c r="AA577" s="661"/>
      <c r="AB577" s="661"/>
    </row>
    <row r="578">
      <c r="A578" s="661"/>
      <c r="B578" s="661"/>
      <c r="C578" s="661"/>
      <c r="D578" s="662"/>
      <c r="E578" s="661"/>
      <c r="F578" s="661"/>
      <c r="G578" s="661"/>
      <c r="H578" s="661"/>
      <c r="I578" s="661"/>
      <c r="J578" s="661"/>
      <c r="K578" s="661"/>
      <c r="L578" s="661"/>
      <c r="M578" s="661"/>
      <c r="N578" s="661"/>
      <c r="O578" s="661"/>
      <c r="P578" s="661"/>
      <c r="Q578" s="661"/>
      <c r="R578" s="661"/>
      <c r="S578" s="661"/>
      <c r="T578" s="661"/>
      <c r="U578" s="661"/>
      <c r="V578" s="661"/>
      <c r="W578" s="661"/>
      <c r="X578" s="661"/>
      <c r="Y578" s="661"/>
      <c r="Z578" s="661"/>
      <c r="AA578" s="661"/>
      <c r="AB578" s="661"/>
    </row>
    <row r="579">
      <c r="A579" s="661"/>
      <c r="B579" s="661"/>
      <c r="C579" s="661"/>
      <c r="D579" s="662"/>
      <c r="E579" s="661"/>
      <c r="F579" s="661"/>
      <c r="G579" s="661"/>
      <c r="H579" s="661"/>
      <c r="I579" s="661"/>
      <c r="J579" s="661"/>
      <c r="K579" s="661"/>
      <c r="L579" s="661"/>
      <c r="M579" s="661"/>
      <c r="N579" s="661"/>
      <c r="O579" s="661"/>
      <c r="P579" s="661"/>
      <c r="Q579" s="661"/>
      <c r="R579" s="661"/>
      <c r="S579" s="661"/>
      <c r="T579" s="661"/>
      <c r="U579" s="661"/>
      <c r="V579" s="661"/>
      <c r="W579" s="661"/>
      <c r="X579" s="661"/>
      <c r="Y579" s="661"/>
      <c r="Z579" s="661"/>
      <c r="AA579" s="661"/>
      <c r="AB579" s="661"/>
    </row>
    <row r="580">
      <c r="A580" s="661"/>
      <c r="B580" s="661"/>
      <c r="C580" s="661"/>
      <c r="D580" s="662"/>
      <c r="E580" s="661"/>
      <c r="F580" s="661"/>
      <c r="G580" s="661"/>
      <c r="H580" s="661"/>
      <c r="I580" s="661"/>
      <c r="J580" s="661"/>
      <c r="K580" s="661"/>
      <c r="L580" s="661"/>
      <c r="M580" s="661"/>
      <c r="N580" s="661"/>
      <c r="O580" s="661"/>
      <c r="P580" s="661"/>
      <c r="Q580" s="661"/>
      <c r="R580" s="661"/>
      <c r="S580" s="661"/>
      <c r="T580" s="661"/>
      <c r="U580" s="661"/>
      <c r="V580" s="661"/>
      <c r="W580" s="661"/>
      <c r="X580" s="661"/>
      <c r="Y580" s="661"/>
      <c r="Z580" s="661"/>
      <c r="AA580" s="661"/>
      <c r="AB580" s="661"/>
    </row>
    <row r="581">
      <c r="A581" s="661"/>
      <c r="B581" s="661"/>
      <c r="C581" s="661"/>
      <c r="D581" s="662"/>
      <c r="E581" s="661"/>
      <c r="F581" s="661"/>
      <c r="G581" s="661"/>
      <c r="H581" s="661"/>
      <c r="I581" s="661"/>
      <c r="J581" s="661"/>
      <c r="K581" s="661"/>
      <c r="L581" s="661"/>
      <c r="M581" s="661"/>
      <c r="N581" s="661"/>
      <c r="O581" s="661"/>
      <c r="P581" s="661"/>
      <c r="Q581" s="661"/>
      <c r="R581" s="661"/>
      <c r="S581" s="661"/>
      <c r="T581" s="661"/>
      <c r="U581" s="661"/>
      <c r="V581" s="661"/>
      <c r="W581" s="661"/>
      <c r="X581" s="661"/>
      <c r="Y581" s="661"/>
      <c r="Z581" s="661"/>
      <c r="AA581" s="661"/>
      <c r="AB581" s="661"/>
    </row>
    <row r="582">
      <c r="A582" s="661"/>
      <c r="B582" s="661"/>
      <c r="C582" s="661"/>
      <c r="D582" s="662"/>
      <c r="E582" s="661"/>
      <c r="F582" s="661"/>
      <c r="G582" s="661"/>
      <c r="H582" s="661"/>
      <c r="I582" s="661"/>
      <c r="J582" s="661"/>
      <c r="K582" s="661"/>
      <c r="L582" s="661"/>
      <c r="M582" s="661"/>
      <c r="N582" s="661"/>
      <c r="O582" s="661"/>
      <c r="P582" s="661"/>
      <c r="Q582" s="661"/>
      <c r="R582" s="661"/>
      <c r="S582" s="661"/>
      <c r="T582" s="661"/>
      <c r="U582" s="661"/>
      <c r="V582" s="661"/>
      <c r="W582" s="661"/>
      <c r="X582" s="661"/>
      <c r="Y582" s="661"/>
      <c r="Z582" s="661"/>
      <c r="AA582" s="661"/>
      <c r="AB582" s="661"/>
    </row>
    <row r="583">
      <c r="A583" s="661"/>
      <c r="B583" s="661"/>
      <c r="C583" s="661"/>
      <c r="D583" s="662"/>
      <c r="E583" s="661"/>
      <c r="F583" s="661"/>
      <c r="G583" s="661"/>
      <c r="H583" s="661"/>
      <c r="I583" s="661"/>
      <c r="J583" s="661"/>
      <c r="K583" s="661"/>
      <c r="L583" s="661"/>
      <c r="M583" s="661"/>
      <c r="N583" s="661"/>
      <c r="O583" s="661"/>
      <c r="P583" s="661"/>
      <c r="Q583" s="661"/>
      <c r="R583" s="661"/>
      <c r="S583" s="661"/>
      <c r="T583" s="661"/>
      <c r="U583" s="661"/>
      <c r="V583" s="661"/>
      <c r="W583" s="661"/>
      <c r="X583" s="661"/>
      <c r="Y583" s="661"/>
      <c r="Z583" s="661"/>
      <c r="AA583" s="661"/>
      <c r="AB583" s="661"/>
    </row>
    <row r="584">
      <c r="A584" s="661"/>
      <c r="B584" s="661"/>
      <c r="C584" s="661"/>
      <c r="D584" s="662"/>
      <c r="E584" s="661"/>
      <c r="F584" s="661"/>
      <c r="G584" s="661"/>
      <c r="H584" s="661"/>
      <c r="I584" s="661"/>
      <c r="J584" s="661"/>
      <c r="K584" s="661"/>
      <c r="L584" s="661"/>
      <c r="M584" s="661"/>
      <c r="N584" s="661"/>
      <c r="O584" s="661"/>
      <c r="P584" s="661"/>
      <c r="Q584" s="661"/>
      <c r="R584" s="661"/>
      <c r="S584" s="661"/>
      <c r="T584" s="661"/>
      <c r="U584" s="661"/>
      <c r="V584" s="661"/>
      <c r="W584" s="661"/>
      <c r="X584" s="661"/>
      <c r="Y584" s="661"/>
      <c r="Z584" s="661"/>
      <c r="AA584" s="661"/>
      <c r="AB584" s="661"/>
    </row>
    <row r="585">
      <c r="A585" s="661"/>
      <c r="B585" s="661"/>
      <c r="C585" s="661"/>
      <c r="D585" s="662"/>
      <c r="E585" s="661"/>
      <c r="F585" s="661"/>
      <c r="G585" s="661"/>
      <c r="H585" s="661"/>
      <c r="I585" s="661"/>
      <c r="J585" s="661"/>
      <c r="K585" s="661"/>
      <c r="L585" s="661"/>
      <c r="M585" s="661"/>
      <c r="N585" s="661"/>
      <c r="O585" s="661"/>
      <c r="P585" s="661"/>
      <c r="Q585" s="661"/>
      <c r="R585" s="661"/>
      <c r="S585" s="661"/>
      <c r="T585" s="661"/>
      <c r="U585" s="661"/>
      <c r="V585" s="661"/>
      <c r="W585" s="661"/>
      <c r="X585" s="661"/>
      <c r="Y585" s="661"/>
      <c r="Z585" s="661"/>
      <c r="AA585" s="661"/>
      <c r="AB585" s="661"/>
    </row>
    <row r="586">
      <c r="A586" s="661"/>
      <c r="B586" s="661"/>
      <c r="C586" s="661"/>
      <c r="D586" s="662"/>
      <c r="E586" s="661"/>
      <c r="F586" s="661"/>
      <c r="G586" s="661"/>
      <c r="H586" s="661"/>
      <c r="I586" s="661"/>
      <c r="J586" s="661"/>
      <c r="K586" s="661"/>
      <c r="L586" s="661"/>
      <c r="M586" s="661"/>
      <c r="N586" s="661"/>
      <c r="O586" s="661"/>
      <c r="P586" s="661"/>
      <c r="Q586" s="661"/>
      <c r="R586" s="661"/>
      <c r="S586" s="661"/>
      <c r="T586" s="661"/>
      <c r="U586" s="661"/>
      <c r="V586" s="661"/>
      <c r="W586" s="661"/>
      <c r="X586" s="661"/>
      <c r="Y586" s="661"/>
      <c r="Z586" s="661"/>
      <c r="AA586" s="661"/>
      <c r="AB586" s="661"/>
    </row>
    <row r="587">
      <c r="A587" s="661"/>
      <c r="B587" s="661"/>
      <c r="C587" s="661"/>
      <c r="D587" s="662"/>
      <c r="E587" s="661"/>
      <c r="F587" s="661"/>
      <c r="G587" s="661"/>
      <c r="H587" s="661"/>
      <c r="I587" s="661"/>
      <c r="J587" s="661"/>
      <c r="K587" s="661"/>
      <c r="L587" s="661"/>
      <c r="M587" s="661"/>
      <c r="N587" s="661"/>
      <c r="O587" s="661"/>
      <c r="P587" s="661"/>
      <c r="Q587" s="661"/>
      <c r="R587" s="661"/>
      <c r="S587" s="661"/>
      <c r="T587" s="661"/>
      <c r="U587" s="661"/>
      <c r="V587" s="661"/>
      <c r="W587" s="661"/>
      <c r="X587" s="661"/>
      <c r="Y587" s="661"/>
      <c r="Z587" s="661"/>
      <c r="AA587" s="661"/>
      <c r="AB587" s="661"/>
    </row>
    <row r="588">
      <c r="A588" s="661"/>
      <c r="B588" s="661"/>
      <c r="C588" s="661"/>
      <c r="D588" s="662"/>
      <c r="E588" s="661"/>
      <c r="F588" s="661"/>
      <c r="G588" s="661"/>
      <c r="H588" s="661"/>
      <c r="I588" s="661"/>
      <c r="J588" s="661"/>
      <c r="K588" s="661"/>
      <c r="L588" s="661"/>
      <c r="M588" s="661"/>
      <c r="N588" s="661"/>
      <c r="O588" s="661"/>
      <c r="P588" s="661"/>
      <c r="Q588" s="661"/>
      <c r="R588" s="661"/>
      <c r="S588" s="661"/>
      <c r="T588" s="661"/>
      <c r="U588" s="661"/>
      <c r="V588" s="661"/>
      <c r="W588" s="661"/>
      <c r="X588" s="661"/>
      <c r="Y588" s="661"/>
      <c r="Z588" s="661"/>
      <c r="AA588" s="661"/>
      <c r="AB588" s="661"/>
    </row>
    <row r="589">
      <c r="A589" s="661"/>
      <c r="B589" s="661"/>
      <c r="C589" s="661"/>
      <c r="D589" s="662"/>
      <c r="E589" s="661"/>
      <c r="F589" s="661"/>
      <c r="G589" s="661"/>
      <c r="H589" s="661"/>
      <c r="I589" s="661"/>
      <c r="J589" s="661"/>
      <c r="K589" s="661"/>
      <c r="L589" s="661"/>
      <c r="M589" s="661"/>
      <c r="N589" s="661"/>
      <c r="O589" s="661"/>
      <c r="P589" s="661"/>
      <c r="Q589" s="661"/>
      <c r="R589" s="661"/>
      <c r="S589" s="661"/>
      <c r="T589" s="661"/>
      <c r="U589" s="661"/>
      <c r="V589" s="661"/>
      <c r="W589" s="661"/>
      <c r="X589" s="661"/>
      <c r="Y589" s="661"/>
      <c r="Z589" s="661"/>
      <c r="AA589" s="661"/>
      <c r="AB589" s="661"/>
    </row>
    <row r="590">
      <c r="A590" s="661"/>
      <c r="B590" s="661"/>
      <c r="C590" s="661"/>
      <c r="D590" s="662"/>
      <c r="E590" s="661"/>
      <c r="F590" s="661"/>
      <c r="G590" s="661"/>
      <c r="H590" s="661"/>
      <c r="I590" s="661"/>
      <c r="J590" s="661"/>
      <c r="K590" s="661"/>
      <c r="L590" s="661"/>
      <c r="M590" s="661"/>
      <c r="N590" s="661"/>
      <c r="O590" s="661"/>
      <c r="P590" s="661"/>
      <c r="Q590" s="661"/>
      <c r="R590" s="661"/>
      <c r="S590" s="661"/>
      <c r="T590" s="661"/>
      <c r="U590" s="661"/>
      <c r="V590" s="661"/>
      <c r="W590" s="661"/>
      <c r="X590" s="661"/>
      <c r="Y590" s="661"/>
      <c r="Z590" s="661"/>
      <c r="AA590" s="661"/>
      <c r="AB590" s="661"/>
    </row>
    <row r="591">
      <c r="A591" s="661"/>
      <c r="B591" s="661"/>
      <c r="C591" s="661"/>
      <c r="D591" s="662"/>
      <c r="E591" s="661"/>
      <c r="F591" s="661"/>
      <c r="G591" s="661"/>
      <c r="H591" s="661"/>
      <c r="I591" s="661"/>
      <c r="J591" s="661"/>
      <c r="K591" s="661"/>
      <c r="L591" s="661"/>
      <c r="M591" s="661"/>
      <c r="N591" s="661"/>
      <c r="O591" s="661"/>
      <c r="P591" s="661"/>
      <c r="Q591" s="661"/>
      <c r="R591" s="661"/>
      <c r="S591" s="661"/>
      <c r="T591" s="661"/>
      <c r="U591" s="661"/>
      <c r="V591" s="661"/>
      <c r="W591" s="661"/>
      <c r="X591" s="661"/>
      <c r="Y591" s="661"/>
      <c r="Z591" s="661"/>
      <c r="AA591" s="661"/>
      <c r="AB591" s="661"/>
    </row>
    <row r="592">
      <c r="A592" s="661"/>
      <c r="B592" s="661"/>
      <c r="C592" s="661"/>
      <c r="D592" s="662"/>
      <c r="E592" s="661"/>
      <c r="F592" s="661"/>
      <c r="G592" s="661"/>
      <c r="H592" s="661"/>
      <c r="I592" s="661"/>
      <c r="J592" s="661"/>
      <c r="K592" s="661"/>
      <c r="L592" s="661"/>
      <c r="M592" s="661"/>
      <c r="N592" s="661"/>
      <c r="O592" s="661"/>
      <c r="P592" s="661"/>
      <c r="Q592" s="661"/>
      <c r="R592" s="661"/>
      <c r="S592" s="661"/>
      <c r="T592" s="661"/>
      <c r="U592" s="661"/>
      <c r="V592" s="661"/>
      <c r="W592" s="661"/>
      <c r="X592" s="661"/>
      <c r="Y592" s="661"/>
      <c r="Z592" s="661"/>
      <c r="AA592" s="661"/>
      <c r="AB592" s="661"/>
    </row>
    <row r="593">
      <c r="A593" s="661"/>
      <c r="B593" s="661"/>
      <c r="C593" s="661"/>
      <c r="D593" s="662"/>
      <c r="E593" s="661"/>
      <c r="F593" s="661"/>
      <c r="G593" s="661"/>
      <c r="H593" s="661"/>
      <c r="I593" s="661"/>
      <c r="J593" s="661"/>
      <c r="K593" s="661"/>
      <c r="L593" s="661"/>
      <c r="M593" s="661"/>
      <c r="N593" s="661"/>
      <c r="O593" s="661"/>
      <c r="P593" s="661"/>
      <c r="Q593" s="661"/>
      <c r="R593" s="661"/>
      <c r="S593" s="661"/>
      <c r="T593" s="661"/>
      <c r="U593" s="661"/>
      <c r="V593" s="661"/>
      <c r="W593" s="661"/>
      <c r="X593" s="661"/>
      <c r="Y593" s="661"/>
      <c r="Z593" s="661"/>
      <c r="AA593" s="661"/>
      <c r="AB593" s="661"/>
    </row>
    <row r="594">
      <c r="A594" s="661"/>
      <c r="B594" s="661"/>
      <c r="C594" s="661"/>
      <c r="D594" s="662"/>
      <c r="E594" s="661"/>
      <c r="F594" s="661"/>
      <c r="G594" s="661"/>
      <c r="H594" s="661"/>
      <c r="I594" s="661"/>
      <c r="J594" s="661"/>
      <c r="K594" s="661"/>
      <c r="L594" s="661"/>
      <c r="M594" s="661"/>
      <c r="N594" s="661"/>
      <c r="O594" s="661"/>
      <c r="P594" s="661"/>
      <c r="Q594" s="661"/>
      <c r="R594" s="661"/>
      <c r="S594" s="661"/>
      <c r="T594" s="661"/>
      <c r="U594" s="661"/>
      <c r="V594" s="661"/>
      <c r="W594" s="661"/>
      <c r="X594" s="661"/>
      <c r="Y594" s="661"/>
      <c r="Z594" s="661"/>
      <c r="AA594" s="661"/>
      <c r="AB594" s="661"/>
    </row>
    <row r="595">
      <c r="A595" s="661"/>
      <c r="B595" s="661"/>
      <c r="C595" s="661"/>
      <c r="D595" s="662"/>
      <c r="E595" s="661"/>
      <c r="F595" s="661"/>
      <c r="G595" s="661"/>
      <c r="H595" s="661"/>
      <c r="I595" s="661"/>
      <c r="J595" s="661"/>
      <c r="K595" s="661"/>
      <c r="L595" s="661"/>
      <c r="M595" s="661"/>
      <c r="N595" s="661"/>
      <c r="O595" s="661"/>
      <c r="P595" s="661"/>
      <c r="Q595" s="661"/>
      <c r="R595" s="661"/>
      <c r="S595" s="661"/>
      <c r="T595" s="661"/>
      <c r="U595" s="661"/>
      <c r="V595" s="661"/>
      <c r="W595" s="661"/>
      <c r="X595" s="661"/>
      <c r="Y595" s="661"/>
      <c r="Z595" s="661"/>
      <c r="AA595" s="661"/>
      <c r="AB595" s="661"/>
    </row>
    <row r="596">
      <c r="A596" s="661"/>
      <c r="B596" s="661"/>
      <c r="C596" s="661"/>
      <c r="D596" s="662"/>
      <c r="E596" s="661"/>
      <c r="F596" s="661"/>
      <c r="G596" s="661"/>
      <c r="H596" s="661"/>
      <c r="I596" s="661"/>
      <c r="J596" s="661"/>
      <c r="K596" s="661"/>
      <c r="L596" s="661"/>
      <c r="M596" s="661"/>
      <c r="N596" s="661"/>
      <c r="O596" s="661"/>
      <c r="P596" s="661"/>
      <c r="Q596" s="661"/>
      <c r="R596" s="661"/>
      <c r="S596" s="661"/>
      <c r="T596" s="661"/>
      <c r="U596" s="661"/>
      <c r="V596" s="661"/>
      <c r="W596" s="661"/>
      <c r="X596" s="661"/>
      <c r="Y596" s="661"/>
      <c r="Z596" s="661"/>
      <c r="AA596" s="661"/>
      <c r="AB596" s="661"/>
    </row>
    <row r="597">
      <c r="A597" s="661"/>
      <c r="B597" s="661"/>
      <c r="C597" s="661"/>
      <c r="D597" s="662"/>
      <c r="E597" s="661"/>
      <c r="F597" s="661"/>
      <c r="G597" s="661"/>
      <c r="H597" s="661"/>
      <c r="I597" s="661"/>
      <c r="J597" s="661"/>
      <c r="K597" s="661"/>
      <c r="L597" s="661"/>
      <c r="M597" s="661"/>
      <c r="N597" s="661"/>
      <c r="O597" s="661"/>
      <c r="P597" s="661"/>
      <c r="Q597" s="661"/>
      <c r="R597" s="661"/>
      <c r="S597" s="661"/>
      <c r="T597" s="661"/>
      <c r="U597" s="661"/>
      <c r="V597" s="661"/>
      <c r="W597" s="661"/>
      <c r="X597" s="661"/>
      <c r="Y597" s="661"/>
      <c r="Z597" s="661"/>
      <c r="AA597" s="661"/>
      <c r="AB597" s="661"/>
    </row>
    <row r="598">
      <c r="A598" s="661"/>
      <c r="B598" s="661"/>
      <c r="C598" s="661"/>
      <c r="D598" s="662"/>
      <c r="E598" s="661"/>
      <c r="F598" s="661"/>
      <c r="G598" s="661"/>
      <c r="H598" s="661"/>
      <c r="I598" s="661"/>
      <c r="J598" s="661"/>
      <c r="K598" s="661"/>
      <c r="L598" s="661"/>
      <c r="M598" s="661"/>
      <c r="N598" s="661"/>
      <c r="O598" s="661"/>
      <c r="P598" s="661"/>
      <c r="Q598" s="661"/>
      <c r="R598" s="661"/>
      <c r="S598" s="661"/>
      <c r="T598" s="661"/>
      <c r="U598" s="661"/>
      <c r="V598" s="661"/>
      <c r="W598" s="661"/>
      <c r="X598" s="661"/>
      <c r="Y598" s="661"/>
      <c r="Z598" s="661"/>
      <c r="AA598" s="661"/>
      <c r="AB598" s="661"/>
    </row>
    <row r="599">
      <c r="A599" s="661"/>
      <c r="B599" s="661"/>
      <c r="C599" s="661"/>
      <c r="D599" s="662"/>
      <c r="E599" s="661"/>
      <c r="F599" s="661"/>
      <c r="G599" s="661"/>
      <c r="H599" s="661"/>
      <c r="I599" s="661"/>
      <c r="J599" s="661"/>
      <c r="K599" s="661"/>
      <c r="L599" s="661"/>
      <c r="M599" s="661"/>
      <c r="N599" s="661"/>
      <c r="O599" s="661"/>
      <c r="P599" s="661"/>
      <c r="Q599" s="661"/>
      <c r="R599" s="661"/>
      <c r="S599" s="661"/>
      <c r="T599" s="661"/>
      <c r="U599" s="661"/>
      <c r="V599" s="661"/>
      <c r="W599" s="661"/>
      <c r="X599" s="661"/>
      <c r="Y599" s="661"/>
      <c r="Z599" s="661"/>
      <c r="AA599" s="661"/>
      <c r="AB599" s="661"/>
    </row>
    <row r="600">
      <c r="A600" s="661"/>
      <c r="B600" s="661"/>
      <c r="C600" s="661"/>
      <c r="D600" s="662"/>
      <c r="E600" s="661"/>
      <c r="F600" s="661"/>
      <c r="G600" s="661"/>
      <c r="H600" s="661"/>
      <c r="I600" s="661"/>
      <c r="J600" s="661"/>
      <c r="K600" s="661"/>
      <c r="L600" s="661"/>
      <c r="M600" s="661"/>
      <c r="N600" s="661"/>
      <c r="O600" s="661"/>
      <c r="P600" s="661"/>
      <c r="Q600" s="661"/>
      <c r="R600" s="661"/>
      <c r="S600" s="661"/>
      <c r="T600" s="661"/>
      <c r="U600" s="661"/>
      <c r="V600" s="661"/>
      <c r="W600" s="661"/>
      <c r="X600" s="661"/>
      <c r="Y600" s="661"/>
      <c r="Z600" s="661"/>
      <c r="AA600" s="661"/>
      <c r="AB600" s="661"/>
    </row>
    <row r="601">
      <c r="A601" s="661"/>
      <c r="B601" s="661"/>
      <c r="C601" s="661"/>
      <c r="D601" s="662"/>
      <c r="E601" s="661"/>
      <c r="F601" s="661"/>
      <c r="G601" s="661"/>
      <c r="H601" s="661"/>
      <c r="I601" s="661"/>
      <c r="J601" s="661"/>
      <c r="K601" s="661"/>
      <c r="L601" s="661"/>
      <c r="M601" s="661"/>
      <c r="N601" s="661"/>
      <c r="O601" s="661"/>
      <c r="P601" s="661"/>
      <c r="Q601" s="661"/>
      <c r="R601" s="661"/>
      <c r="S601" s="661"/>
      <c r="T601" s="661"/>
      <c r="U601" s="661"/>
      <c r="V601" s="661"/>
      <c r="W601" s="661"/>
      <c r="X601" s="661"/>
      <c r="Y601" s="661"/>
      <c r="Z601" s="661"/>
      <c r="AA601" s="661"/>
      <c r="AB601" s="661"/>
    </row>
    <row r="602">
      <c r="A602" s="661"/>
      <c r="B602" s="661"/>
      <c r="C602" s="661"/>
      <c r="D602" s="662"/>
      <c r="E602" s="661"/>
      <c r="F602" s="661"/>
      <c r="G602" s="661"/>
      <c r="H602" s="661"/>
      <c r="I602" s="661"/>
      <c r="J602" s="661"/>
      <c r="K602" s="661"/>
      <c r="L602" s="661"/>
      <c r="M602" s="661"/>
      <c r="N602" s="661"/>
      <c r="O602" s="661"/>
      <c r="P602" s="661"/>
      <c r="Q602" s="661"/>
      <c r="R602" s="661"/>
      <c r="S602" s="661"/>
      <c r="T602" s="661"/>
      <c r="U602" s="661"/>
      <c r="V602" s="661"/>
      <c r="W602" s="661"/>
      <c r="X602" s="661"/>
      <c r="Y602" s="661"/>
      <c r="Z602" s="661"/>
      <c r="AA602" s="661"/>
      <c r="AB602" s="661"/>
    </row>
    <row r="603">
      <c r="A603" s="661"/>
      <c r="B603" s="661"/>
      <c r="C603" s="661"/>
      <c r="D603" s="662"/>
      <c r="E603" s="661"/>
      <c r="F603" s="661"/>
      <c r="G603" s="661"/>
      <c r="H603" s="661"/>
      <c r="I603" s="661"/>
      <c r="J603" s="661"/>
      <c r="K603" s="661"/>
      <c r="L603" s="661"/>
      <c r="M603" s="661"/>
      <c r="N603" s="661"/>
      <c r="O603" s="661"/>
      <c r="P603" s="661"/>
      <c r="Q603" s="661"/>
      <c r="R603" s="661"/>
      <c r="S603" s="661"/>
      <c r="T603" s="661"/>
      <c r="U603" s="661"/>
      <c r="V603" s="661"/>
      <c r="W603" s="661"/>
      <c r="X603" s="661"/>
      <c r="Y603" s="661"/>
      <c r="Z603" s="661"/>
      <c r="AA603" s="661"/>
      <c r="AB603" s="661"/>
    </row>
    <row r="604">
      <c r="A604" s="661"/>
      <c r="B604" s="661"/>
      <c r="C604" s="661"/>
      <c r="D604" s="662"/>
      <c r="E604" s="661"/>
      <c r="F604" s="661"/>
      <c r="G604" s="661"/>
      <c r="H604" s="661"/>
      <c r="I604" s="661"/>
      <c r="J604" s="661"/>
      <c r="K604" s="661"/>
      <c r="L604" s="661"/>
      <c r="M604" s="661"/>
      <c r="N604" s="661"/>
      <c r="O604" s="661"/>
      <c r="P604" s="661"/>
      <c r="Q604" s="661"/>
      <c r="R604" s="661"/>
      <c r="S604" s="661"/>
      <c r="T604" s="661"/>
      <c r="U604" s="661"/>
      <c r="V604" s="661"/>
      <c r="W604" s="661"/>
      <c r="X604" s="661"/>
      <c r="Y604" s="661"/>
      <c r="Z604" s="661"/>
      <c r="AA604" s="661"/>
      <c r="AB604" s="661"/>
    </row>
    <row r="605">
      <c r="A605" s="661"/>
      <c r="B605" s="661"/>
      <c r="C605" s="661"/>
      <c r="D605" s="662"/>
      <c r="E605" s="661"/>
      <c r="F605" s="661"/>
      <c r="G605" s="661"/>
      <c r="H605" s="661"/>
      <c r="I605" s="661"/>
      <c r="J605" s="661"/>
      <c r="K605" s="661"/>
      <c r="L605" s="661"/>
      <c r="M605" s="661"/>
      <c r="N605" s="661"/>
      <c r="O605" s="661"/>
      <c r="P605" s="661"/>
      <c r="Q605" s="661"/>
      <c r="R605" s="661"/>
      <c r="S605" s="661"/>
      <c r="T605" s="661"/>
      <c r="U605" s="661"/>
      <c r="V605" s="661"/>
      <c r="W605" s="661"/>
      <c r="X605" s="661"/>
      <c r="Y605" s="661"/>
      <c r="Z605" s="661"/>
      <c r="AA605" s="661"/>
      <c r="AB605" s="661"/>
    </row>
    <row r="606">
      <c r="A606" s="661"/>
      <c r="B606" s="661"/>
      <c r="C606" s="661"/>
      <c r="D606" s="662"/>
      <c r="E606" s="661"/>
      <c r="F606" s="661"/>
      <c r="G606" s="661"/>
      <c r="H606" s="661"/>
      <c r="I606" s="661"/>
      <c r="J606" s="661"/>
      <c r="K606" s="661"/>
      <c r="L606" s="661"/>
      <c r="M606" s="661"/>
      <c r="N606" s="661"/>
      <c r="O606" s="661"/>
      <c r="P606" s="661"/>
      <c r="Q606" s="661"/>
      <c r="R606" s="661"/>
      <c r="S606" s="661"/>
      <c r="T606" s="661"/>
      <c r="U606" s="661"/>
      <c r="V606" s="661"/>
      <c r="W606" s="661"/>
      <c r="X606" s="661"/>
      <c r="Y606" s="661"/>
      <c r="Z606" s="661"/>
      <c r="AA606" s="661"/>
      <c r="AB606" s="661"/>
    </row>
    <row r="607">
      <c r="A607" s="661"/>
      <c r="B607" s="661"/>
      <c r="C607" s="661"/>
      <c r="D607" s="662"/>
      <c r="E607" s="661"/>
      <c r="F607" s="661"/>
      <c r="G607" s="661"/>
      <c r="H607" s="661"/>
      <c r="I607" s="661"/>
      <c r="J607" s="661"/>
      <c r="K607" s="661"/>
      <c r="L607" s="661"/>
      <c r="M607" s="661"/>
      <c r="N607" s="661"/>
      <c r="O607" s="661"/>
      <c r="P607" s="661"/>
      <c r="Q607" s="661"/>
      <c r="R607" s="661"/>
      <c r="S607" s="661"/>
      <c r="T607" s="661"/>
      <c r="U607" s="661"/>
      <c r="V607" s="661"/>
      <c r="W607" s="661"/>
      <c r="X607" s="661"/>
      <c r="Y607" s="661"/>
      <c r="Z607" s="661"/>
      <c r="AA607" s="661"/>
      <c r="AB607" s="661"/>
    </row>
    <row r="608">
      <c r="A608" s="661"/>
      <c r="B608" s="661"/>
      <c r="C608" s="661"/>
      <c r="D608" s="662"/>
      <c r="E608" s="661"/>
      <c r="F608" s="661"/>
      <c r="G608" s="661"/>
      <c r="H608" s="661"/>
      <c r="I608" s="661"/>
      <c r="J608" s="661"/>
      <c r="K608" s="661"/>
      <c r="L608" s="661"/>
      <c r="M608" s="661"/>
      <c r="N608" s="661"/>
      <c r="O608" s="661"/>
      <c r="P608" s="661"/>
      <c r="Q608" s="661"/>
      <c r="R608" s="661"/>
      <c r="S608" s="661"/>
      <c r="T608" s="661"/>
      <c r="U608" s="661"/>
      <c r="V608" s="661"/>
      <c r="W608" s="661"/>
      <c r="X608" s="661"/>
      <c r="Y608" s="661"/>
      <c r="Z608" s="661"/>
      <c r="AA608" s="661"/>
      <c r="AB608" s="661"/>
    </row>
    <row r="609">
      <c r="A609" s="661"/>
      <c r="B609" s="661"/>
      <c r="C609" s="661"/>
      <c r="D609" s="662"/>
      <c r="E609" s="661"/>
      <c r="F609" s="661"/>
      <c r="G609" s="661"/>
      <c r="H609" s="661"/>
      <c r="I609" s="661"/>
      <c r="J609" s="661"/>
      <c r="K609" s="661"/>
      <c r="L609" s="661"/>
      <c r="M609" s="661"/>
      <c r="N609" s="661"/>
      <c r="O609" s="661"/>
      <c r="P609" s="661"/>
      <c r="Q609" s="661"/>
      <c r="R609" s="661"/>
      <c r="S609" s="661"/>
      <c r="T609" s="661"/>
      <c r="U609" s="661"/>
      <c r="V609" s="661"/>
      <c r="W609" s="661"/>
      <c r="X609" s="661"/>
      <c r="Y609" s="661"/>
      <c r="Z609" s="661"/>
      <c r="AA609" s="661"/>
      <c r="AB609" s="661"/>
    </row>
    <row r="610">
      <c r="A610" s="661"/>
      <c r="B610" s="661"/>
      <c r="C610" s="661"/>
      <c r="D610" s="662"/>
      <c r="E610" s="661"/>
      <c r="F610" s="661"/>
      <c r="G610" s="661"/>
      <c r="H610" s="661"/>
      <c r="I610" s="661"/>
      <c r="J610" s="661"/>
      <c r="K610" s="661"/>
      <c r="L610" s="661"/>
      <c r="M610" s="661"/>
      <c r="N610" s="661"/>
      <c r="O610" s="661"/>
      <c r="P610" s="661"/>
      <c r="Q610" s="661"/>
      <c r="R610" s="661"/>
      <c r="S610" s="661"/>
      <c r="T610" s="661"/>
      <c r="U610" s="661"/>
      <c r="V610" s="661"/>
      <c r="W610" s="661"/>
      <c r="X610" s="661"/>
      <c r="Y610" s="661"/>
      <c r="Z610" s="661"/>
      <c r="AA610" s="661"/>
      <c r="AB610" s="661"/>
    </row>
    <row r="611">
      <c r="A611" s="661"/>
      <c r="B611" s="661"/>
      <c r="C611" s="661"/>
      <c r="D611" s="662"/>
      <c r="E611" s="661"/>
      <c r="F611" s="661"/>
      <c r="G611" s="661"/>
      <c r="H611" s="661"/>
      <c r="I611" s="661"/>
      <c r="J611" s="661"/>
      <c r="K611" s="661"/>
      <c r="L611" s="661"/>
      <c r="M611" s="661"/>
      <c r="N611" s="661"/>
      <c r="O611" s="661"/>
      <c r="P611" s="661"/>
      <c r="Q611" s="661"/>
      <c r="R611" s="661"/>
      <c r="S611" s="661"/>
      <c r="T611" s="661"/>
      <c r="U611" s="661"/>
      <c r="V611" s="661"/>
      <c r="W611" s="661"/>
      <c r="X611" s="661"/>
      <c r="Y611" s="661"/>
      <c r="Z611" s="661"/>
      <c r="AA611" s="661"/>
      <c r="AB611" s="661"/>
    </row>
    <row r="612">
      <c r="A612" s="661"/>
      <c r="B612" s="661"/>
      <c r="C612" s="661"/>
      <c r="D612" s="662"/>
      <c r="E612" s="661"/>
      <c r="F612" s="661"/>
      <c r="G612" s="661"/>
      <c r="H612" s="661"/>
      <c r="I612" s="661"/>
      <c r="J612" s="661"/>
      <c r="K612" s="661"/>
      <c r="L612" s="661"/>
      <c r="M612" s="661"/>
      <c r="N612" s="661"/>
      <c r="O612" s="661"/>
      <c r="P612" s="661"/>
      <c r="Q612" s="661"/>
      <c r="R612" s="661"/>
      <c r="S612" s="661"/>
      <c r="T612" s="661"/>
      <c r="U612" s="661"/>
      <c r="V612" s="661"/>
      <c r="W612" s="661"/>
      <c r="X612" s="661"/>
      <c r="Y612" s="661"/>
      <c r="Z612" s="661"/>
      <c r="AA612" s="661"/>
      <c r="AB612" s="661"/>
    </row>
    <row r="613">
      <c r="A613" s="661"/>
      <c r="B613" s="661"/>
      <c r="C613" s="661"/>
      <c r="D613" s="662"/>
      <c r="E613" s="661"/>
      <c r="F613" s="661"/>
      <c r="G613" s="661"/>
      <c r="H613" s="661"/>
      <c r="I613" s="661"/>
      <c r="J613" s="661"/>
      <c r="K613" s="661"/>
      <c r="L613" s="661"/>
      <c r="M613" s="661"/>
      <c r="N613" s="661"/>
      <c r="O613" s="661"/>
      <c r="P613" s="661"/>
      <c r="Q613" s="661"/>
      <c r="R613" s="661"/>
      <c r="S613" s="661"/>
      <c r="T613" s="661"/>
      <c r="U613" s="661"/>
      <c r="V613" s="661"/>
      <c r="W613" s="661"/>
      <c r="X613" s="661"/>
      <c r="Y613" s="661"/>
      <c r="Z613" s="661"/>
      <c r="AA613" s="661"/>
      <c r="AB613" s="661"/>
    </row>
    <row r="614">
      <c r="A614" s="661"/>
      <c r="B614" s="661"/>
      <c r="C614" s="661"/>
      <c r="D614" s="662"/>
      <c r="E614" s="661"/>
      <c r="F614" s="661"/>
      <c r="G614" s="661"/>
      <c r="H614" s="661"/>
      <c r="I614" s="661"/>
      <c r="J614" s="661"/>
      <c r="K614" s="661"/>
      <c r="L614" s="661"/>
      <c r="M614" s="661"/>
      <c r="N614" s="661"/>
      <c r="O614" s="661"/>
      <c r="P614" s="661"/>
      <c r="Q614" s="661"/>
      <c r="R614" s="661"/>
      <c r="S614" s="661"/>
      <c r="T614" s="661"/>
      <c r="U614" s="661"/>
      <c r="V614" s="661"/>
      <c r="W614" s="661"/>
      <c r="X614" s="661"/>
      <c r="Y614" s="661"/>
      <c r="Z614" s="661"/>
      <c r="AA614" s="661"/>
      <c r="AB614" s="661"/>
    </row>
    <row r="615">
      <c r="A615" s="661"/>
      <c r="B615" s="661"/>
      <c r="C615" s="661"/>
      <c r="D615" s="662"/>
      <c r="E615" s="661"/>
      <c r="F615" s="661"/>
      <c r="G615" s="661"/>
      <c r="H615" s="661"/>
      <c r="I615" s="661"/>
      <c r="J615" s="661"/>
      <c r="K615" s="661"/>
      <c r="L615" s="661"/>
      <c r="M615" s="661"/>
      <c r="N615" s="661"/>
      <c r="O615" s="661"/>
      <c r="P615" s="661"/>
      <c r="Q615" s="661"/>
      <c r="R615" s="661"/>
      <c r="S615" s="661"/>
      <c r="T615" s="661"/>
      <c r="U615" s="661"/>
      <c r="V615" s="661"/>
      <c r="W615" s="661"/>
      <c r="X615" s="661"/>
      <c r="Y615" s="661"/>
      <c r="Z615" s="661"/>
      <c r="AA615" s="661"/>
      <c r="AB615" s="661"/>
    </row>
    <row r="616">
      <c r="A616" s="661"/>
      <c r="B616" s="661"/>
      <c r="C616" s="661"/>
      <c r="D616" s="662"/>
      <c r="E616" s="661"/>
      <c r="F616" s="661"/>
      <c r="G616" s="661"/>
      <c r="H616" s="661"/>
      <c r="I616" s="661"/>
      <c r="J616" s="661"/>
      <c r="K616" s="661"/>
      <c r="L616" s="661"/>
      <c r="M616" s="661"/>
      <c r="N616" s="661"/>
      <c r="O616" s="661"/>
      <c r="P616" s="661"/>
      <c r="Q616" s="661"/>
      <c r="R616" s="661"/>
      <c r="S616" s="661"/>
      <c r="T616" s="661"/>
      <c r="U616" s="661"/>
      <c r="V616" s="661"/>
      <c r="W616" s="661"/>
      <c r="X616" s="661"/>
      <c r="Y616" s="661"/>
      <c r="Z616" s="661"/>
      <c r="AA616" s="661"/>
      <c r="AB616" s="661"/>
    </row>
    <row r="617">
      <c r="A617" s="661"/>
      <c r="B617" s="661"/>
      <c r="C617" s="661"/>
      <c r="D617" s="662"/>
      <c r="E617" s="661"/>
      <c r="F617" s="661"/>
      <c r="G617" s="661"/>
      <c r="H617" s="661"/>
      <c r="I617" s="661"/>
      <c r="J617" s="661"/>
      <c r="K617" s="661"/>
      <c r="L617" s="661"/>
      <c r="M617" s="661"/>
      <c r="N617" s="661"/>
      <c r="O617" s="661"/>
      <c r="P617" s="661"/>
      <c r="Q617" s="661"/>
      <c r="R617" s="661"/>
      <c r="S617" s="661"/>
      <c r="T617" s="661"/>
      <c r="U617" s="661"/>
      <c r="V617" s="661"/>
      <c r="W617" s="661"/>
      <c r="X617" s="661"/>
      <c r="Y617" s="661"/>
      <c r="Z617" s="661"/>
      <c r="AA617" s="661"/>
      <c r="AB617" s="661"/>
    </row>
    <row r="618">
      <c r="A618" s="661"/>
      <c r="B618" s="661"/>
      <c r="C618" s="661"/>
      <c r="D618" s="662"/>
      <c r="E618" s="661"/>
      <c r="F618" s="661"/>
      <c r="G618" s="661"/>
      <c r="H618" s="661"/>
      <c r="I618" s="661"/>
      <c r="J618" s="661"/>
      <c r="K618" s="661"/>
      <c r="L618" s="661"/>
      <c r="M618" s="661"/>
      <c r="N618" s="661"/>
      <c r="O618" s="661"/>
      <c r="P618" s="661"/>
      <c r="Q618" s="661"/>
      <c r="R618" s="661"/>
      <c r="S618" s="661"/>
      <c r="T618" s="661"/>
      <c r="U618" s="661"/>
      <c r="V618" s="661"/>
      <c r="W618" s="661"/>
      <c r="X618" s="661"/>
      <c r="Y618" s="661"/>
      <c r="Z618" s="661"/>
      <c r="AA618" s="661"/>
      <c r="AB618" s="661"/>
    </row>
    <row r="619">
      <c r="A619" s="661"/>
      <c r="B619" s="661"/>
      <c r="C619" s="661"/>
      <c r="D619" s="662"/>
      <c r="E619" s="661"/>
      <c r="F619" s="661"/>
      <c r="G619" s="661"/>
      <c r="H619" s="661"/>
      <c r="I619" s="661"/>
      <c r="J619" s="661"/>
      <c r="K619" s="661"/>
      <c r="L619" s="661"/>
      <c r="M619" s="661"/>
      <c r="N619" s="661"/>
      <c r="O619" s="661"/>
      <c r="P619" s="661"/>
      <c r="Q619" s="661"/>
      <c r="R619" s="661"/>
      <c r="S619" s="661"/>
      <c r="T619" s="661"/>
      <c r="U619" s="661"/>
      <c r="V619" s="661"/>
      <c r="W619" s="661"/>
      <c r="X619" s="661"/>
      <c r="Y619" s="661"/>
      <c r="Z619" s="661"/>
      <c r="AA619" s="661"/>
      <c r="AB619" s="661"/>
    </row>
    <row r="620">
      <c r="A620" s="661"/>
      <c r="B620" s="661"/>
      <c r="C620" s="661"/>
      <c r="D620" s="662"/>
      <c r="E620" s="661"/>
      <c r="F620" s="661"/>
      <c r="G620" s="661"/>
      <c r="H620" s="661"/>
      <c r="I620" s="661"/>
      <c r="J620" s="661"/>
      <c r="K620" s="661"/>
      <c r="L620" s="661"/>
      <c r="M620" s="661"/>
      <c r="N620" s="661"/>
      <c r="O620" s="661"/>
      <c r="P620" s="661"/>
      <c r="Q620" s="661"/>
      <c r="R620" s="661"/>
      <c r="S620" s="661"/>
      <c r="T620" s="661"/>
      <c r="U620" s="661"/>
      <c r="V620" s="661"/>
      <c r="W620" s="661"/>
      <c r="X620" s="661"/>
      <c r="Y620" s="661"/>
      <c r="Z620" s="661"/>
      <c r="AA620" s="661"/>
      <c r="AB620" s="661"/>
    </row>
    <row r="621">
      <c r="A621" s="661"/>
      <c r="B621" s="661"/>
      <c r="C621" s="661"/>
      <c r="D621" s="662"/>
      <c r="E621" s="661"/>
      <c r="F621" s="661"/>
      <c r="G621" s="661"/>
      <c r="H621" s="661"/>
      <c r="I621" s="661"/>
      <c r="J621" s="661"/>
      <c r="K621" s="661"/>
      <c r="L621" s="661"/>
      <c r="M621" s="661"/>
      <c r="N621" s="661"/>
      <c r="O621" s="661"/>
      <c r="P621" s="661"/>
      <c r="Q621" s="661"/>
      <c r="R621" s="661"/>
      <c r="S621" s="661"/>
      <c r="T621" s="661"/>
      <c r="U621" s="661"/>
      <c r="V621" s="661"/>
      <c r="W621" s="661"/>
      <c r="X621" s="661"/>
      <c r="Y621" s="661"/>
      <c r="Z621" s="661"/>
      <c r="AA621" s="661"/>
      <c r="AB621" s="661"/>
    </row>
    <row r="622">
      <c r="A622" s="661"/>
      <c r="B622" s="661"/>
      <c r="C622" s="661"/>
      <c r="D622" s="662"/>
      <c r="E622" s="661"/>
      <c r="F622" s="661"/>
      <c r="G622" s="661"/>
      <c r="H622" s="661"/>
      <c r="I622" s="661"/>
      <c r="J622" s="661"/>
      <c r="K622" s="661"/>
      <c r="L622" s="661"/>
      <c r="M622" s="661"/>
      <c r="N622" s="661"/>
      <c r="O622" s="661"/>
      <c r="P622" s="661"/>
      <c r="Q622" s="661"/>
      <c r="R622" s="661"/>
      <c r="S622" s="661"/>
      <c r="T622" s="661"/>
      <c r="U622" s="661"/>
      <c r="V622" s="661"/>
      <c r="W622" s="661"/>
      <c r="X622" s="661"/>
      <c r="Y622" s="661"/>
      <c r="Z622" s="661"/>
      <c r="AA622" s="661"/>
      <c r="AB622" s="661"/>
    </row>
    <row r="623">
      <c r="A623" s="661"/>
      <c r="B623" s="661"/>
      <c r="C623" s="661"/>
      <c r="D623" s="662"/>
      <c r="E623" s="661"/>
      <c r="F623" s="661"/>
      <c r="G623" s="661"/>
      <c r="H623" s="661"/>
      <c r="I623" s="661"/>
      <c r="J623" s="661"/>
      <c r="K623" s="661"/>
      <c r="L623" s="661"/>
      <c r="M623" s="661"/>
      <c r="N623" s="661"/>
      <c r="O623" s="661"/>
      <c r="P623" s="661"/>
      <c r="Q623" s="661"/>
      <c r="R623" s="661"/>
      <c r="S623" s="661"/>
      <c r="T623" s="661"/>
      <c r="U623" s="661"/>
      <c r="V623" s="661"/>
      <c r="W623" s="661"/>
      <c r="X623" s="661"/>
      <c r="Y623" s="661"/>
      <c r="Z623" s="661"/>
      <c r="AA623" s="661"/>
      <c r="AB623" s="661"/>
    </row>
    <row r="624">
      <c r="A624" s="661"/>
      <c r="B624" s="661"/>
      <c r="C624" s="661"/>
      <c r="D624" s="662"/>
      <c r="E624" s="661"/>
      <c r="F624" s="661"/>
      <c r="G624" s="661"/>
      <c r="H624" s="661"/>
      <c r="I624" s="661"/>
      <c r="J624" s="661"/>
      <c r="K624" s="661"/>
      <c r="L624" s="661"/>
      <c r="M624" s="661"/>
      <c r="N624" s="661"/>
      <c r="O624" s="661"/>
      <c r="P624" s="661"/>
      <c r="Q624" s="661"/>
      <c r="R624" s="661"/>
      <c r="S624" s="661"/>
      <c r="T624" s="661"/>
      <c r="U624" s="661"/>
      <c r="V624" s="661"/>
      <c r="W624" s="661"/>
      <c r="X624" s="661"/>
      <c r="Y624" s="661"/>
      <c r="Z624" s="661"/>
      <c r="AA624" s="661"/>
      <c r="AB624" s="661"/>
    </row>
    <row r="625">
      <c r="A625" s="661"/>
      <c r="B625" s="661"/>
      <c r="C625" s="661"/>
      <c r="D625" s="662"/>
      <c r="E625" s="661"/>
      <c r="F625" s="661"/>
      <c r="G625" s="661"/>
      <c r="H625" s="661"/>
      <c r="I625" s="661"/>
      <c r="J625" s="661"/>
      <c r="K625" s="661"/>
      <c r="L625" s="661"/>
      <c r="M625" s="661"/>
      <c r="N625" s="661"/>
      <c r="O625" s="661"/>
      <c r="P625" s="661"/>
      <c r="Q625" s="661"/>
      <c r="R625" s="661"/>
      <c r="S625" s="661"/>
      <c r="T625" s="661"/>
      <c r="U625" s="661"/>
      <c r="V625" s="661"/>
      <c r="W625" s="661"/>
      <c r="X625" s="661"/>
      <c r="Y625" s="661"/>
      <c r="Z625" s="661"/>
      <c r="AA625" s="661"/>
      <c r="AB625" s="661"/>
    </row>
    <row r="626">
      <c r="A626" s="661"/>
      <c r="B626" s="661"/>
      <c r="C626" s="661"/>
      <c r="D626" s="662"/>
      <c r="E626" s="661"/>
      <c r="F626" s="661"/>
      <c r="G626" s="661"/>
      <c r="H626" s="661"/>
      <c r="I626" s="661"/>
      <c r="J626" s="661"/>
      <c r="K626" s="661"/>
      <c r="L626" s="661"/>
      <c r="M626" s="661"/>
      <c r="N626" s="661"/>
      <c r="O626" s="661"/>
      <c r="P626" s="661"/>
      <c r="Q626" s="661"/>
      <c r="R626" s="661"/>
      <c r="S626" s="661"/>
      <c r="T626" s="661"/>
      <c r="U626" s="661"/>
      <c r="V626" s="661"/>
      <c r="W626" s="661"/>
      <c r="X626" s="661"/>
      <c r="Y626" s="661"/>
      <c r="Z626" s="661"/>
      <c r="AA626" s="661"/>
      <c r="AB626" s="661"/>
    </row>
    <row r="627">
      <c r="A627" s="661"/>
      <c r="B627" s="661"/>
      <c r="C627" s="661"/>
      <c r="D627" s="662"/>
      <c r="E627" s="661"/>
      <c r="F627" s="661"/>
      <c r="G627" s="661"/>
      <c r="H627" s="661"/>
      <c r="I627" s="661"/>
      <c r="J627" s="661"/>
      <c r="K627" s="661"/>
      <c r="L627" s="661"/>
      <c r="M627" s="661"/>
      <c r="N627" s="661"/>
      <c r="O627" s="661"/>
      <c r="P627" s="661"/>
      <c r="Q627" s="661"/>
      <c r="R627" s="661"/>
      <c r="S627" s="661"/>
      <c r="T627" s="661"/>
      <c r="U627" s="661"/>
      <c r="V627" s="661"/>
      <c r="W627" s="661"/>
      <c r="X627" s="661"/>
      <c r="Y627" s="661"/>
      <c r="Z627" s="661"/>
      <c r="AA627" s="661"/>
      <c r="AB627" s="661"/>
    </row>
    <row r="628">
      <c r="A628" s="661"/>
      <c r="B628" s="661"/>
      <c r="C628" s="661"/>
      <c r="D628" s="662"/>
      <c r="E628" s="661"/>
      <c r="F628" s="661"/>
      <c r="G628" s="661"/>
      <c r="H628" s="661"/>
      <c r="I628" s="661"/>
      <c r="J628" s="661"/>
      <c r="K628" s="661"/>
      <c r="L628" s="661"/>
      <c r="M628" s="661"/>
      <c r="N628" s="661"/>
      <c r="O628" s="661"/>
      <c r="P628" s="661"/>
      <c r="Q628" s="661"/>
      <c r="R628" s="661"/>
      <c r="S628" s="661"/>
      <c r="T628" s="661"/>
      <c r="U628" s="661"/>
      <c r="V628" s="661"/>
      <c r="W628" s="661"/>
      <c r="X628" s="661"/>
      <c r="Y628" s="661"/>
      <c r="Z628" s="661"/>
      <c r="AA628" s="661"/>
      <c r="AB628" s="661"/>
    </row>
    <row r="629">
      <c r="A629" s="661"/>
      <c r="B629" s="661"/>
      <c r="C629" s="661"/>
      <c r="D629" s="662"/>
      <c r="E629" s="661"/>
      <c r="F629" s="661"/>
      <c r="G629" s="661"/>
      <c r="H629" s="661"/>
      <c r="I629" s="661"/>
      <c r="J629" s="661"/>
      <c r="K629" s="661"/>
      <c r="L629" s="661"/>
      <c r="M629" s="661"/>
      <c r="N629" s="661"/>
      <c r="O629" s="661"/>
      <c r="P629" s="661"/>
      <c r="Q629" s="661"/>
      <c r="R629" s="661"/>
      <c r="S629" s="661"/>
      <c r="T629" s="661"/>
      <c r="U629" s="661"/>
      <c r="V629" s="661"/>
      <c r="W629" s="661"/>
      <c r="X629" s="661"/>
      <c r="Y629" s="661"/>
      <c r="Z629" s="661"/>
      <c r="AA629" s="661"/>
      <c r="AB629" s="661"/>
    </row>
    <row r="630">
      <c r="A630" s="661"/>
      <c r="B630" s="661"/>
      <c r="C630" s="661"/>
      <c r="D630" s="662"/>
      <c r="E630" s="661"/>
      <c r="F630" s="661"/>
      <c r="G630" s="661"/>
      <c r="H630" s="661"/>
      <c r="I630" s="661"/>
      <c r="J630" s="661"/>
      <c r="K630" s="661"/>
      <c r="L630" s="661"/>
      <c r="M630" s="661"/>
      <c r="N630" s="661"/>
      <c r="O630" s="661"/>
      <c r="P630" s="661"/>
      <c r="Q630" s="661"/>
      <c r="R630" s="661"/>
      <c r="S630" s="661"/>
      <c r="T630" s="661"/>
      <c r="U630" s="661"/>
      <c r="V630" s="661"/>
      <c r="W630" s="661"/>
      <c r="X630" s="661"/>
      <c r="Y630" s="661"/>
      <c r="Z630" s="661"/>
      <c r="AA630" s="661"/>
      <c r="AB630" s="661"/>
    </row>
    <row r="631">
      <c r="A631" s="661"/>
      <c r="B631" s="661"/>
      <c r="C631" s="661"/>
      <c r="D631" s="662"/>
      <c r="E631" s="661"/>
      <c r="F631" s="661"/>
      <c r="G631" s="661"/>
      <c r="H631" s="661"/>
      <c r="I631" s="661"/>
      <c r="J631" s="661"/>
      <c r="K631" s="661"/>
      <c r="L631" s="661"/>
      <c r="M631" s="661"/>
      <c r="N631" s="661"/>
      <c r="O631" s="661"/>
      <c r="P631" s="661"/>
      <c r="Q631" s="661"/>
      <c r="R631" s="661"/>
      <c r="S631" s="661"/>
      <c r="T631" s="661"/>
      <c r="U631" s="661"/>
      <c r="V631" s="661"/>
      <c r="W631" s="661"/>
      <c r="X631" s="661"/>
      <c r="Y631" s="661"/>
      <c r="Z631" s="661"/>
      <c r="AA631" s="661"/>
      <c r="AB631" s="661"/>
    </row>
    <row r="632">
      <c r="A632" s="661"/>
      <c r="B632" s="661"/>
      <c r="C632" s="661"/>
      <c r="D632" s="662"/>
      <c r="E632" s="661"/>
      <c r="F632" s="661"/>
      <c r="G632" s="661"/>
      <c r="H632" s="661"/>
      <c r="I632" s="661"/>
      <c r="J632" s="661"/>
      <c r="K632" s="661"/>
      <c r="L632" s="661"/>
      <c r="M632" s="661"/>
      <c r="N632" s="661"/>
      <c r="O632" s="661"/>
      <c r="P632" s="661"/>
      <c r="Q632" s="661"/>
      <c r="R632" s="661"/>
      <c r="S632" s="661"/>
      <c r="T632" s="661"/>
      <c r="U632" s="661"/>
      <c r="V632" s="661"/>
      <c r="W632" s="661"/>
      <c r="X632" s="661"/>
      <c r="Y632" s="661"/>
      <c r="Z632" s="661"/>
      <c r="AA632" s="661"/>
      <c r="AB632" s="661"/>
    </row>
    <row r="633">
      <c r="A633" s="661"/>
      <c r="B633" s="661"/>
      <c r="C633" s="661"/>
      <c r="D633" s="662"/>
      <c r="E633" s="661"/>
      <c r="F633" s="661"/>
      <c r="G633" s="661"/>
      <c r="H633" s="661"/>
      <c r="I633" s="661"/>
      <c r="J633" s="661"/>
      <c r="K633" s="661"/>
      <c r="L633" s="661"/>
      <c r="M633" s="661"/>
      <c r="N633" s="661"/>
      <c r="O633" s="661"/>
      <c r="P633" s="661"/>
      <c r="Q633" s="661"/>
      <c r="R633" s="661"/>
      <c r="S633" s="661"/>
      <c r="T633" s="661"/>
      <c r="U633" s="661"/>
      <c r="V633" s="661"/>
      <c r="W633" s="661"/>
      <c r="X633" s="661"/>
      <c r="Y633" s="661"/>
      <c r="Z633" s="661"/>
      <c r="AA633" s="661"/>
      <c r="AB633" s="661"/>
    </row>
    <row r="634">
      <c r="A634" s="661"/>
      <c r="B634" s="661"/>
      <c r="C634" s="661"/>
      <c r="D634" s="662"/>
      <c r="E634" s="661"/>
      <c r="F634" s="661"/>
      <c r="G634" s="661"/>
      <c r="H634" s="661"/>
      <c r="I634" s="661"/>
      <c r="J634" s="661"/>
      <c r="K634" s="661"/>
      <c r="L634" s="661"/>
      <c r="M634" s="661"/>
      <c r="N634" s="661"/>
      <c r="O634" s="661"/>
      <c r="P634" s="661"/>
      <c r="Q634" s="661"/>
      <c r="R634" s="661"/>
      <c r="S634" s="661"/>
      <c r="T634" s="661"/>
      <c r="U634" s="661"/>
      <c r="V634" s="661"/>
      <c r="W634" s="661"/>
      <c r="X634" s="661"/>
      <c r="Y634" s="661"/>
      <c r="Z634" s="661"/>
      <c r="AA634" s="661"/>
      <c r="AB634" s="661"/>
    </row>
    <row r="635">
      <c r="A635" s="661"/>
      <c r="B635" s="661"/>
      <c r="C635" s="661"/>
      <c r="D635" s="662"/>
      <c r="E635" s="661"/>
      <c r="F635" s="661"/>
      <c r="G635" s="661"/>
      <c r="H635" s="661"/>
      <c r="I635" s="661"/>
      <c r="J635" s="661"/>
      <c r="K635" s="661"/>
      <c r="L635" s="661"/>
      <c r="M635" s="661"/>
      <c r="N635" s="661"/>
      <c r="O635" s="661"/>
      <c r="P635" s="661"/>
      <c r="Q635" s="661"/>
      <c r="R635" s="661"/>
      <c r="S635" s="661"/>
      <c r="T635" s="661"/>
      <c r="U635" s="661"/>
      <c r="V635" s="661"/>
      <c r="W635" s="661"/>
      <c r="X635" s="661"/>
      <c r="Y635" s="661"/>
      <c r="Z635" s="661"/>
      <c r="AA635" s="661"/>
      <c r="AB635" s="661"/>
    </row>
    <row r="636">
      <c r="A636" s="661"/>
      <c r="B636" s="661"/>
      <c r="C636" s="661"/>
      <c r="D636" s="662"/>
      <c r="E636" s="661"/>
      <c r="F636" s="661"/>
      <c r="G636" s="661"/>
      <c r="H636" s="661"/>
      <c r="I636" s="661"/>
      <c r="J636" s="661"/>
      <c r="K636" s="661"/>
      <c r="L636" s="661"/>
      <c r="M636" s="661"/>
      <c r="N636" s="661"/>
      <c r="O636" s="661"/>
      <c r="P636" s="661"/>
      <c r="Q636" s="661"/>
      <c r="R636" s="661"/>
      <c r="S636" s="661"/>
      <c r="T636" s="661"/>
      <c r="U636" s="661"/>
      <c r="V636" s="661"/>
      <c r="W636" s="661"/>
      <c r="X636" s="661"/>
      <c r="Y636" s="661"/>
      <c r="Z636" s="661"/>
      <c r="AA636" s="661"/>
      <c r="AB636" s="661"/>
    </row>
    <row r="637">
      <c r="A637" s="661"/>
      <c r="B637" s="661"/>
      <c r="C637" s="661"/>
      <c r="D637" s="662"/>
      <c r="E637" s="661"/>
      <c r="F637" s="661"/>
      <c r="G637" s="661"/>
      <c r="H637" s="661"/>
      <c r="I637" s="661"/>
      <c r="J637" s="661"/>
      <c r="K637" s="661"/>
      <c r="L637" s="661"/>
      <c r="M637" s="661"/>
      <c r="N637" s="661"/>
      <c r="O637" s="661"/>
      <c r="P637" s="661"/>
      <c r="Q637" s="661"/>
      <c r="R637" s="661"/>
      <c r="S637" s="661"/>
      <c r="T637" s="661"/>
      <c r="U637" s="661"/>
      <c r="V637" s="661"/>
      <c r="W637" s="661"/>
      <c r="X637" s="661"/>
      <c r="Y637" s="661"/>
      <c r="Z637" s="661"/>
      <c r="AA637" s="661"/>
      <c r="AB637" s="661"/>
    </row>
    <row r="638">
      <c r="A638" s="661"/>
      <c r="B638" s="661"/>
      <c r="C638" s="661"/>
      <c r="D638" s="662"/>
      <c r="E638" s="661"/>
      <c r="F638" s="661"/>
      <c r="G638" s="661"/>
      <c r="H638" s="661"/>
      <c r="I638" s="661"/>
      <c r="J638" s="661"/>
      <c r="K638" s="661"/>
      <c r="L638" s="661"/>
      <c r="M638" s="661"/>
      <c r="N638" s="661"/>
      <c r="O638" s="661"/>
      <c r="P638" s="661"/>
      <c r="Q638" s="661"/>
      <c r="R638" s="661"/>
      <c r="S638" s="661"/>
      <c r="T638" s="661"/>
      <c r="U638" s="661"/>
      <c r="V638" s="661"/>
      <c r="W638" s="661"/>
      <c r="X638" s="661"/>
      <c r="Y638" s="661"/>
      <c r="Z638" s="661"/>
      <c r="AA638" s="661"/>
      <c r="AB638" s="661"/>
    </row>
    <row r="639">
      <c r="A639" s="661"/>
      <c r="B639" s="661"/>
      <c r="C639" s="661"/>
      <c r="D639" s="662"/>
      <c r="E639" s="661"/>
      <c r="F639" s="661"/>
      <c r="G639" s="661"/>
      <c r="H639" s="661"/>
      <c r="I639" s="661"/>
      <c r="J639" s="661"/>
      <c r="K639" s="661"/>
      <c r="L639" s="661"/>
      <c r="M639" s="661"/>
      <c r="N639" s="661"/>
      <c r="O639" s="661"/>
      <c r="P639" s="661"/>
      <c r="Q639" s="661"/>
      <c r="R639" s="661"/>
      <c r="S639" s="661"/>
      <c r="T639" s="661"/>
      <c r="U639" s="661"/>
      <c r="V639" s="661"/>
      <c r="W639" s="661"/>
      <c r="X639" s="661"/>
      <c r="Y639" s="661"/>
      <c r="Z639" s="661"/>
      <c r="AA639" s="661"/>
      <c r="AB639" s="661"/>
    </row>
    <row r="640">
      <c r="A640" s="661"/>
      <c r="B640" s="661"/>
      <c r="C640" s="661"/>
      <c r="D640" s="662"/>
      <c r="E640" s="661"/>
      <c r="F640" s="661"/>
      <c r="G640" s="661"/>
      <c r="H640" s="661"/>
      <c r="I640" s="661"/>
      <c r="J640" s="661"/>
      <c r="K640" s="661"/>
      <c r="L640" s="661"/>
      <c r="M640" s="661"/>
      <c r="N640" s="661"/>
      <c r="O640" s="661"/>
      <c r="P640" s="661"/>
      <c r="Q640" s="661"/>
      <c r="R640" s="661"/>
      <c r="S640" s="661"/>
      <c r="T640" s="661"/>
      <c r="U640" s="661"/>
      <c r="V640" s="661"/>
      <c r="W640" s="661"/>
      <c r="X640" s="661"/>
      <c r="Y640" s="661"/>
      <c r="Z640" s="661"/>
      <c r="AA640" s="661"/>
      <c r="AB640" s="661"/>
    </row>
    <row r="641">
      <c r="A641" s="661"/>
      <c r="B641" s="661"/>
      <c r="C641" s="661"/>
      <c r="D641" s="662"/>
      <c r="E641" s="661"/>
      <c r="F641" s="661"/>
      <c r="G641" s="661"/>
      <c r="H641" s="661"/>
      <c r="I641" s="661"/>
      <c r="J641" s="661"/>
      <c r="K641" s="661"/>
      <c r="L641" s="661"/>
      <c r="M641" s="661"/>
      <c r="N641" s="661"/>
      <c r="O641" s="661"/>
      <c r="P641" s="661"/>
      <c r="Q641" s="661"/>
      <c r="R641" s="661"/>
      <c r="S641" s="661"/>
      <c r="T641" s="661"/>
      <c r="U641" s="661"/>
      <c r="V641" s="661"/>
      <c r="W641" s="661"/>
      <c r="X641" s="661"/>
      <c r="Y641" s="661"/>
      <c r="Z641" s="661"/>
      <c r="AA641" s="661"/>
      <c r="AB641" s="661"/>
    </row>
    <row r="642">
      <c r="A642" s="661"/>
      <c r="B642" s="661"/>
      <c r="C642" s="661"/>
      <c r="D642" s="662"/>
      <c r="E642" s="661"/>
      <c r="F642" s="661"/>
      <c r="G642" s="661"/>
      <c r="H642" s="661"/>
      <c r="I642" s="661"/>
      <c r="J642" s="661"/>
      <c r="K642" s="661"/>
      <c r="L642" s="661"/>
      <c r="M642" s="661"/>
      <c r="N642" s="661"/>
      <c r="O642" s="661"/>
      <c r="P642" s="661"/>
      <c r="Q642" s="661"/>
      <c r="R642" s="661"/>
      <c r="S642" s="661"/>
      <c r="T642" s="661"/>
      <c r="U642" s="661"/>
      <c r="V642" s="661"/>
      <c r="W642" s="661"/>
      <c r="X642" s="661"/>
      <c r="Y642" s="661"/>
      <c r="Z642" s="661"/>
      <c r="AA642" s="661"/>
      <c r="AB642" s="661"/>
    </row>
    <row r="643">
      <c r="A643" s="661"/>
      <c r="B643" s="661"/>
      <c r="C643" s="661"/>
      <c r="D643" s="662"/>
      <c r="E643" s="661"/>
      <c r="F643" s="661"/>
      <c r="G643" s="661"/>
      <c r="H643" s="661"/>
      <c r="I643" s="661"/>
      <c r="J643" s="661"/>
      <c r="K643" s="661"/>
      <c r="L643" s="661"/>
      <c r="M643" s="661"/>
      <c r="N643" s="661"/>
      <c r="O643" s="661"/>
      <c r="P643" s="661"/>
      <c r="Q643" s="661"/>
      <c r="R643" s="661"/>
      <c r="S643" s="661"/>
      <c r="T643" s="661"/>
      <c r="U643" s="661"/>
      <c r="V643" s="661"/>
      <c r="W643" s="661"/>
      <c r="X643" s="661"/>
      <c r="Y643" s="661"/>
      <c r="Z643" s="661"/>
      <c r="AA643" s="661"/>
      <c r="AB643" s="661"/>
    </row>
    <row r="644">
      <c r="A644" s="661"/>
      <c r="B644" s="661"/>
      <c r="C644" s="661"/>
      <c r="D644" s="662"/>
      <c r="E644" s="661"/>
      <c r="F644" s="661"/>
      <c r="G644" s="661"/>
      <c r="H644" s="661"/>
      <c r="I644" s="661"/>
      <c r="J644" s="661"/>
      <c r="K644" s="661"/>
      <c r="L644" s="661"/>
      <c r="M644" s="661"/>
      <c r="N644" s="661"/>
      <c r="O644" s="661"/>
      <c r="P644" s="661"/>
      <c r="Q644" s="661"/>
      <c r="R644" s="661"/>
      <c r="S644" s="661"/>
      <c r="T644" s="661"/>
      <c r="U644" s="661"/>
      <c r="V644" s="661"/>
      <c r="W644" s="661"/>
      <c r="X644" s="661"/>
      <c r="Y644" s="661"/>
      <c r="Z644" s="661"/>
      <c r="AA644" s="661"/>
      <c r="AB644" s="661"/>
    </row>
    <row r="645">
      <c r="A645" s="661"/>
      <c r="B645" s="661"/>
      <c r="C645" s="661"/>
      <c r="D645" s="662"/>
      <c r="E645" s="661"/>
      <c r="F645" s="661"/>
      <c r="G645" s="661"/>
      <c r="H645" s="661"/>
      <c r="I645" s="661"/>
      <c r="J645" s="661"/>
      <c r="K645" s="661"/>
      <c r="L645" s="661"/>
      <c r="M645" s="661"/>
      <c r="N645" s="661"/>
      <c r="O645" s="661"/>
      <c r="P645" s="661"/>
      <c r="Q645" s="661"/>
      <c r="R645" s="661"/>
      <c r="S645" s="661"/>
      <c r="T645" s="661"/>
      <c r="U645" s="661"/>
      <c r="V645" s="661"/>
      <c r="W645" s="661"/>
      <c r="X645" s="661"/>
      <c r="Y645" s="661"/>
      <c r="Z645" s="661"/>
      <c r="AA645" s="661"/>
      <c r="AB645" s="661"/>
    </row>
    <row r="646">
      <c r="A646" s="661"/>
      <c r="B646" s="661"/>
      <c r="C646" s="661"/>
      <c r="D646" s="662"/>
      <c r="E646" s="661"/>
      <c r="F646" s="661"/>
      <c r="G646" s="661"/>
      <c r="H646" s="661"/>
      <c r="I646" s="661"/>
      <c r="J646" s="661"/>
      <c r="K646" s="661"/>
      <c r="L646" s="661"/>
      <c r="M646" s="661"/>
      <c r="N646" s="661"/>
      <c r="O646" s="661"/>
      <c r="P646" s="661"/>
      <c r="Q646" s="661"/>
      <c r="R646" s="661"/>
      <c r="S646" s="661"/>
      <c r="T646" s="661"/>
      <c r="U646" s="661"/>
      <c r="V646" s="661"/>
      <c r="W646" s="661"/>
      <c r="X646" s="661"/>
      <c r="Y646" s="661"/>
      <c r="Z646" s="661"/>
      <c r="AA646" s="661"/>
      <c r="AB646" s="661"/>
    </row>
    <row r="647">
      <c r="A647" s="661"/>
      <c r="B647" s="661"/>
      <c r="C647" s="661"/>
      <c r="D647" s="662"/>
      <c r="E647" s="661"/>
      <c r="F647" s="661"/>
      <c r="G647" s="661"/>
      <c r="H647" s="661"/>
      <c r="I647" s="661"/>
      <c r="J647" s="661"/>
      <c r="K647" s="661"/>
      <c r="L647" s="661"/>
      <c r="M647" s="661"/>
      <c r="N647" s="661"/>
      <c r="O647" s="661"/>
      <c r="P647" s="661"/>
      <c r="Q647" s="661"/>
      <c r="R647" s="661"/>
      <c r="S647" s="661"/>
      <c r="T647" s="661"/>
      <c r="U647" s="661"/>
      <c r="V647" s="661"/>
      <c r="W647" s="661"/>
      <c r="X647" s="661"/>
      <c r="Y647" s="661"/>
      <c r="Z647" s="661"/>
      <c r="AA647" s="661"/>
      <c r="AB647" s="661"/>
    </row>
    <row r="648">
      <c r="A648" s="661"/>
      <c r="B648" s="661"/>
      <c r="C648" s="661"/>
      <c r="D648" s="662"/>
      <c r="E648" s="661"/>
      <c r="F648" s="661"/>
      <c r="G648" s="661"/>
      <c r="H648" s="661"/>
      <c r="I648" s="661"/>
      <c r="J648" s="661"/>
      <c r="K648" s="661"/>
      <c r="L648" s="661"/>
      <c r="M648" s="661"/>
      <c r="N648" s="661"/>
      <c r="O648" s="661"/>
      <c r="P648" s="661"/>
      <c r="Q648" s="661"/>
      <c r="R648" s="661"/>
      <c r="S648" s="661"/>
      <c r="T648" s="661"/>
      <c r="U648" s="661"/>
      <c r="V648" s="661"/>
      <c r="W648" s="661"/>
      <c r="X648" s="661"/>
      <c r="Y648" s="661"/>
      <c r="Z648" s="661"/>
      <c r="AA648" s="661"/>
      <c r="AB648" s="661"/>
    </row>
    <row r="649">
      <c r="A649" s="661"/>
      <c r="B649" s="661"/>
      <c r="C649" s="661"/>
      <c r="D649" s="662"/>
      <c r="E649" s="661"/>
      <c r="F649" s="661"/>
      <c r="G649" s="661"/>
      <c r="H649" s="661"/>
      <c r="I649" s="661"/>
      <c r="J649" s="661"/>
      <c r="K649" s="661"/>
      <c r="L649" s="661"/>
      <c r="M649" s="661"/>
      <c r="N649" s="661"/>
      <c r="O649" s="661"/>
      <c r="P649" s="661"/>
      <c r="Q649" s="661"/>
      <c r="R649" s="661"/>
      <c r="S649" s="661"/>
      <c r="T649" s="661"/>
      <c r="U649" s="661"/>
      <c r="V649" s="661"/>
      <c r="W649" s="661"/>
      <c r="X649" s="661"/>
      <c r="Y649" s="661"/>
      <c r="Z649" s="661"/>
      <c r="AA649" s="661"/>
      <c r="AB649" s="661"/>
    </row>
    <row r="650">
      <c r="A650" s="661"/>
      <c r="B650" s="661"/>
      <c r="C650" s="661"/>
      <c r="D650" s="662"/>
      <c r="E650" s="661"/>
      <c r="F650" s="661"/>
      <c r="G650" s="661"/>
      <c r="H650" s="661"/>
      <c r="I650" s="661"/>
      <c r="J650" s="661"/>
      <c r="K650" s="661"/>
      <c r="L650" s="661"/>
      <c r="M650" s="661"/>
      <c r="N650" s="661"/>
      <c r="O650" s="661"/>
      <c r="P650" s="661"/>
      <c r="Q650" s="661"/>
      <c r="R650" s="661"/>
      <c r="S650" s="661"/>
      <c r="T650" s="661"/>
      <c r="U650" s="661"/>
      <c r="V650" s="661"/>
      <c r="W650" s="661"/>
      <c r="X650" s="661"/>
      <c r="Y650" s="661"/>
      <c r="Z650" s="661"/>
      <c r="AA650" s="661"/>
      <c r="AB650" s="661"/>
    </row>
    <row r="651">
      <c r="A651" s="661"/>
      <c r="B651" s="661"/>
      <c r="C651" s="661"/>
      <c r="D651" s="662"/>
      <c r="E651" s="661"/>
      <c r="F651" s="661"/>
      <c r="G651" s="661"/>
      <c r="H651" s="661"/>
      <c r="I651" s="661"/>
      <c r="J651" s="661"/>
      <c r="K651" s="661"/>
      <c r="L651" s="661"/>
      <c r="M651" s="661"/>
      <c r="N651" s="661"/>
      <c r="O651" s="661"/>
      <c r="P651" s="661"/>
      <c r="Q651" s="661"/>
      <c r="R651" s="661"/>
      <c r="S651" s="661"/>
      <c r="T651" s="661"/>
      <c r="U651" s="661"/>
      <c r="V651" s="661"/>
      <c r="W651" s="661"/>
      <c r="X651" s="661"/>
      <c r="Y651" s="661"/>
      <c r="Z651" s="661"/>
      <c r="AA651" s="661"/>
      <c r="AB651" s="661"/>
    </row>
    <row r="652">
      <c r="A652" s="661"/>
      <c r="B652" s="661"/>
      <c r="C652" s="661"/>
      <c r="D652" s="662"/>
      <c r="E652" s="661"/>
      <c r="F652" s="661"/>
      <c r="G652" s="661"/>
      <c r="H652" s="661"/>
      <c r="I652" s="661"/>
      <c r="J652" s="661"/>
      <c r="K652" s="661"/>
      <c r="L652" s="661"/>
      <c r="M652" s="661"/>
      <c r="N652" s="661"/>
      <c r="O652" s="661"/>
      <c r="P652" s="661"/>
      <c r="Q652" s="661"/>
      <c r="R652" s="661"/>
      <c r="S652" s="661"/>
      <c r="T652" s="661"/>
      <c r="U652" s="661"/>
      <c r="V652" s="661"/>
      <c r="W652" s="661"/>
      <c r="X652" s="661"/>
      <c r="Y652" s="661"/>
      <c r="Z652" s="661"/>
      <c r="AA652" s="661"/>
      <c r="AB652" s="661"/>
    </row>
    <row r="653">
      <c r="A653" s="661"/>
      <c r="B653" s="661"/>
      <c r="C653" s="661"/>
      <c r="D653" s="662"/>
      <c r="E653" s="661"/>
      <c r="F653" s="661"/>
      <c r="G653" s="661"/>
      <c r="H653" s="661"/>
      <c r="I653" s="661"/>
      <c r="J653" s="661"/>
      <c r="K653" s="661"/>
      <c r="L653" s="661"/>
      <c r="M653" s="661"/>
      <c r="N653" s="661"/>
      <c r="O653" s="661"/>
      <c r="P653" s="661"/>
      <c r="Q653" s="661"/>
      <c r="R653" s="661"/>
      <c r="S653" s="661"/>
      <c r="T653" s="661"/>
      <c r="U653" s="661"/>
      <c r="V653" s="661"/>
      <c r="W653" s="661"/>
      <c r="X653" s="661"/>
      <c r="Y653" s="661"/>
      <c r="Z653" s="661"/>
      <c r="AA653" s="661"/>
      <c r="AB653" s="661"/>
    </row>
    <row r="654">
      <c r="A654" s="661"/>
      <c r="B654" s="661"/>
      <c r="C654" s="661"/>
      <c r="D654" s="662"/>
      <c r="E654" s="661"/>
      <c r="F654" s="661"/>
      <c r="G654" s="661"/>
      <c r="H654" s="661"/>
      <c r="I654" s="661"/>
      <c r="J654" s="661"/>
      <c r="K654" s="661"/>
      <c r="L654" s="661"/>
      <c r="M654" s="661"/>
      <c r="N654" s="661"/>
      <c r="O654" s="661"/>
      <c r="P654" s="661"/>
      <c r="Q654" s="661"/>
      <c r="R654" s="661"/>
      <c r="S654" s="661"/>
      <c r="T654" s="661"/>
      <c r="U654" s="661"/>
      <c r="V654" s="661"/>
      <c r="W654" s="661"/>
      <c r="X654" s="661"/>
      <c r="Y654" s="661"/>
      <c r="Z654" s="661"/>
      <c r="AA654" s="661"/>
      <c r="AB654" s="661"/>
    </row>
    <row r="655">
      <c r="A655" s="661"/>
      <c r="B655" s="661"/>
      <c r="C655" s="661"/>
      <c r="D655" s="662"/>
      <c r="E655" s="661"/>
      <c r="F655" s="661"/>
      <c r="G655" s="661"/>
      <c r="H655" s="661"/>
      <c r="I655" s="661"/>
      <c r="J655" s="661"/>
      <c r="K655" s="661"/>
      <c r="L655" s="661"/>
      <c r="M655" s="661"/>
      <c r="N655" s="661"/>
      <c r="O655" s="661"/>
      <c r="P655" s="661"/>
      <c r="Q655" s="661"/>
      <c r="R655" s="661"/>
      <c r="S655" s="661"/>
      <c r="T655" s="661"/>
      <c r="U655" s="661"/>
      <c r="V655" s="661"/>
      <c r="W655" s="661"/>
      <c r="X655" s="661"/>
      <c r="Y655" s="661"/>
      <c r="Z655" s="661"/>
      <c r="AA655" s="661"/>
      <c r="AB655" s="661"/>
    </row>
    <row r="656">
      <c r="A656" s="661"/>
      <c r="B656" s="661"/>
      <c r="C656" s="661"/>
      <c r="D656" s="662"/>
      <c r="E656" s="661"/>
      <c r="F656" s="661"/>
      <c r="G656" s="661"/>
      <c r="H656" s="661"/>
      <c r="I656" s="661"/>
      <c r="J656" s="661"/>
      <c r="K656" s="661"/>
      <c r="L656" s="661"/>
      <c r="M656" s="661"/>
      <c r="N656" s="661"/>
      <c r="O656" s="661"/>
      <c r="P656" s="661"/>
      <c r="Q656" s="661"/>
      <c r="R656" s="661"/>
      <c r="S656" s="661"/>
      <c r="T656" s="661"/>
      <c r="U656" s="661"/>
      <c r="V656" s="661"/>
      <c r="W656" s="661"/>
      <c r="X656" s="661"/>
      <c r="Y656" s="661"/>
      <c r="Z656" s="661"/>
      <c r="AA656" s="661"/>
      <c r="AB656" s="661"/>
    </row>
    <row r="657">
      <c r="A657" s="661"/>
      <c r="B657" s="661"/>
      <c r="C657" s="661"/>
      <c r="D657" s="662"/>
      <c r="E657" s="661"/>
      <c r="F657" s="661"/>
      <c r="G657" s="661"/>
      <c r="H657" s="661"/>
      <c r="I657" s="661"/>
      <c r="J657" s="661"/>
      <c r="K657" s="661"/>
      <c r="L657" s="661"/>
      <c r="M657" s="661"/>
      <c r="N657" s="661"/>
      <c r="O657" s="661"/>
      <c r="P657" s="661"/>
      <c r="Q657" s="661"/>
      <c r="R657" s="661"/>
      <c r="S657" s="661"/>
      <c r="T657" s="661"/>
      <c r="U657" s="661"/>
      <c r="V657" s="661"/>
      <c r="W657" s="661"/>
      <c r="X657" s="661"/>
      <c r="Y657" s="661"/>
      <c r="Z657" s="661"/>
      <c r="AA657" s="661"/>
      <c r="AB657" s="661"/>
    </row>
    <row r="658">
      <c r="A658" s="661"/>
      <c r="B658" s="661"/>
      <c r="C658" s="661"/>
      <c r="D658" s="662"/>
      <c r="E658" s="661"/>
      <c r="F658" s="661"/>
      <c r="G658" s="661"/>
      <c r="H658" s="661"/>
      <c r="I658" s="661"/>
      <c r="J658" s="661"/>
      <c r="K658" s="661"/>
      <c r="L658" s="661"/>
      <c r="M658" s="661"/>
      <c r="N658" s="661"/>
      <c r="O658" s="661"/>
      <c r="P658" s="661"/>
      <c r="Q658" s="661"/>
      <c r="R658" s="661"/>
      <c r="S658" s="661"/>
      <c r="T658" s="661"/>
      <c r="U658" s="661"/>
      <c r="V658" s="661"/>
      <c r="W658" s="661"/>
      <c r="X658" s="661"/>
      <c r="Y658" s="661"/>
      <c r="Z658" s="661"/>
      <c r="AA658" s="661"/>
      <c r="AB658" s="661"/>
    </row>
    <row r="659">
      <c r="A659" s="661"/>
      <c r="B659" s="661"/>
      <c r="C659" s="661"/>
      <c r="D659" s="662"/>
      <c r="E659" s="661"/>
      <c r="F659" s="661"/>
      <c r="G659" s="661"/>
      <c r="H659" s="661"/>
      <c r="I659" s="661"/>
      <c r="J659" s="661"/>
      <c r="K659" s="661"/>
      <c r="L659" s="661"/>
      <c r="M659" s="661"/>
      <c r="N659" s="661"/>
      <c r="O659" s="661"/>
      <c r="P659" s="661"/>
      <c r="Q659" s="661"/>
      <c r="R659" s="661"/>
      <c r="S659" s="661"/>
      <c r="T659" s="661"/>
      <c r="U659" s="661"/>
      <c r="V659" s="661"/>
      <c r="W659" s="661"/>
      <c r="X659" s="661"/>
      <c r="Y659" s="661"/>
      <c r="Z659" s="661"/>
      <c r="AA659" s="661"/>
      <c r="AB659" s="661"/>
    </row>
    <row r="660">
      <c r="A660" s="661"/>
      <c r="B660" s="661"/>
      <c r="C660" s="661"/>
      <c r="D660" s="662"/>
      <c r="E660" s="661"/>
      <c r="F660" s="661"/>
      <c r="G660" s="661"/>
      <c r="H660" s="661"/>
      <c r="I660" s="661"/>
      <c r="J660" s="661"/>
      <c r="K660" s="661"/>
      <c r="L660" s="661"/>
      <c r="M660" s="661"/>
      <c r="N660" s="661"/>
      <c r="O660" s="661"/>
      <c r="P660" s="661"/>
      <c r="Q660" s="661"/>
      <c r="R660" s="661"/>
      <c r="S660" s="661"/>
      <c r="T660" s="661"/>
      <c r="U660" s="661"/>
      <c r="V660" s="661"/>
      <c r="W660" s="661"/>
      <c r="X660" s="661"/>
      <c r="Y660" s="661"/>
      <c r="Z660" s="661"/>
      <c r="AA660" s="661"/>
      <c r="AB660" s="661"/>
    </row>
    <row r="661">
      <c r="A661" s="661"/>
      <c r="B661" s="661"/>
      <c r="C661" s="661"/>
      <c r="D661" s="662"/>
      <c r="E661" s="661"/>
      <c r="F661" s="661"/>
      <c r="G661" s="661"/>
      <c r="H661" s="661"/>
      <c r="I661" s="661"/>
      <c r="J661" s="661"/>
      <c r="K661" s="661"/>
      <c r="L661" s="661"/>
      <c r="M661" s="661"/>
      <c r="N661" s="661"/>
      <c r="O661" s="661"/>
      <c r="P661" s="661"/>
      <c r="Q661" s="661"/>
      <c r="R661" s="661"/>
      <c r="S661" s="661"/>
      <c r="T661" s="661"/>
      <c r="U661" s="661"/>
      <c r="V661" s="661"/>
      <c r="W661" s="661"/>
      <c r="X661" s="661"/>
      <c r="Y661" s="661"/>
      <c r="Z661" s="661"/>
      <c r="AA661" s="661"/>
      <c r="AB661" s="661"/>
    </row>
    <row r="662">
      <c r="A662" s="661"/>
      <c r="B662" s="661"/>
      <c r="C662" s="661"/>
      <c r="D662" s="662"/>
      <c r="E662" s="661"/>
      <c r="F662" s="661"/>
      <c r="G662" s="661"/>
      <c r="H662" s="661"/>
      <c r="I662" s="661"/>
      <c r="J662" s="661"/>
      <c r="K662" s="661"/>
      <c r="L662" s="661"/>
      <c r="M662" s="661"/>
      <c r="N662" s="661"/>
      <c r="O662" s="661"/>
      <c r="P662" s="661"/>
      <c r="Q662" s="661"/>
      <c r="R662" s="661"/>
      <c r="S662" s="661"/>
      <c r="T662" s="661"/>
      <c r="U662" s="661"/>
      <c r="V662" s="661"/>
      <c r="W662" s="661"/>
      <c r="X662" s="661"/>
      <c r="Y662" s="661"/>
      <c r="Z662" s="661"/>
      <c r="AA662" s="661"/>
      <c r="AB662" s="661"/>
    </row>
    <row r="663">
      <c r="A663" s="661"/>
      <c r="B663" s="661"/>
      <c r="C663" s="661"/>
      <c r="D663" s="662"/>
      <c r="E663" s="661"/>
      <c r="F663" s="661"/>
      <c r="G663" s="661"/>
      <c r="H663" s="661"/>
      <c r="I663" s="661"/>
      <c r="J663" s="661"/>
      <c r="K663" s="661"/>
      <c r="L663" s="661"/>
      <c r="M663" s="661"/>
      <c r="N663" s="661"/>
      <c r="O663" s="661"/>
      <c r="P663" s="661"/>
      <c r="Q663" s="661"/>
      <c r="R663" s="661"/>
      <c r="S663" s="661"/>
      <c r="T663" s="661"/>
      <c r="U663" s="661"/>
      <c r="V663" s="661"/>
      <c r="W663" s="661"/>
      <c r="X663" s="661"/>
      <c r="Y663" s="661"/>
      <c r="Z663" s="661"/>
      <c r="AA663" s="661"/>
      <c r="AB663" s="661"/>
    </row>
    <row r="664">
      <c r="A664" s="661"/>
      <c r="B664" s="661"/>
      <c r="C664" s="661"/>
      <c r="D664" s="662"/>
      <c r="E664" s="661"/>
      <c r="F664" s="661"/>
      <c r="G664" s="661"/>
      <c r="H664" s="661"/>
      <c r="I664" s="661"/>
      <c r="J664" s="661"/>
      <c r="K664" s="661"/>
      <c r="L664" s="661"/>
      <c r="M664" s="661"/>
      <c r="N664" s="661"/>
      <c r="O664" s="661"/>
      <c r="P664" s="661"/>
      <c r="Q664" s="661"/>
      <c r="R664" s="661"/>
      <c r="S664" s="661"/>
      <c r="T664" s="661"/>
      <c r="U664" s="661"/>
      <c r="V664" s="661"/>
      <c r="W664" s="661"/>
      <c r="X664" s="661"/>
      <c r="Y664" s="661"/>
      <c r="Z664" s="661"/>
      <c r="AA664" s="661"/>
      <c r="AB664" s="661"/>
    </row>
    <row r="665">
      <c r="A665" s="661"/>
      <c r="B665" s="661"/>
      <c r="C665" s="661"/>
      <c r="D665" s="662"/>
      <c r="E665" s="661"/>
      <c r="F665" s="661"/>
      <c r="G665" s="661"/>
      <c r="H665" s="661"/>
      <c r="I665" s="661"/>
      <c r="J665" s="661"/>
      <c r="K665" s="661"/>
      <c r="L665" s="661"/>
      <c r="M665" s="661"/>
      <c r="N665" s="661"/>
      <c r="O665" s="661"/>
      <c r="P665" s="661"/>
      <c r="Q665" s="661"/>
      <c r="R665" s="661"/>
      <c r="S665" s="661"/>
      <c r="T665" s="661"/>
      <c r="U665" s="661"/>
      <c r="V665" s="661"/>
      <c r="W665" s="661"/>
      <c r="X665" s="661"/>
      <c r="Y665" s="661"/>
      <c r="Z665" s="661"/>
      <c r="AA665" s="661"/>
      <c r="AB665" s="661"/>
    </row>
    <row r="666">
      <c r="A666" s="661"/>
      <c r="B666" s="661"/>
      <c r="C666" s="661"/>
      <c r="D666" s="662"/>
      <c r="E666" s="661"/>
      <c r="F666" s="661"/>
      <c r="G666" s="661"/>
      <c r="H666" s="661"/>
      <c r="I666" s="661"/>
      <c r="J666" s="661"/>
      <c r="K666" s="661"/>
      <c r="L666" s="661"/>
      <c r="M666" s="661"/>
      <c r="N666" s="661"/>
      <c r="O666" s="661"/>
      <c r="P666" s="661"/>
      <c r="Q666" s="661"/>
      <c r="R666" s="661"/>
      <c r="S666" s="661"/>
      <c r="T666" s="661"/>
      <c r="U666" s="661"/>
      <c r="V666" s="661"/>
      <c r="W666" s="661"/>
      <c r="X666" s="661"/>
      <c r="Y666" s="661"/>
      <c r="Z666" s="661"/>
      <c r="AA666" s="661"/>
      <c r="AB666" s="661"/>
    </row>
    <row r="667">
      <c r="A667" s="661"/>
      <c r="B667" s="661"/>
      <c r="C667" s="661"/>
      <c r="D667" s="662"/>
      <c r="E667" s="661"/>
      <c r="F667" s="661"/>
      <c r="G667" s="661"/>
      <c r="H667" s="661"/>
      <c r="I667" s="661"/>
      <c r="J667" s="661"/>
      <c r="K667" s="661"/>
      <c r="L667" s="661"/>
      <c r="M667" s="661"/>
      <c r="N667" s="661"/>
      <c r="O667" s="661"/>
      <c r="P667" s="661"/>
      <c r="Q667" s="661"/>
      <c r="R667" s="661"/>
      <c r="S667" s="661"/>
      <c r="T667" s="661"/>
      <c r="U667" s="661"/>
      <c r="V667" s="661"/>
      <c r="W667" s="661"/>
      <c r="X667" s="661"/>
      <c r="Y667" s="661"/>
      <c r="Z667" s="661"/>
      <c r="AA667" s="661"/>
      <c r="AB667" s="661"/>
    </row>
    <row r="668">
      <c r="A668" s="661"/>
      <c r="B668" s="661"/>
      <c r="C668" s="661"/>
      <c r="D668" s="662"/>
      <c r="E668" s="661"/>
      <c r="F668" s="661"/>
      <c r="G668" s="661"/>
      <c r="H668" s="661"/>
      <c r="I668" s="661"/>
      <c r="J668" s="661"/>
      <c r="K668" s="661"/>
      <c r="L668" s="661"/>
      <c r="M668" s="661"/>
      <c r="N668" s="661"/>
      <c r="O668" s="661"/>
      <c r="P668" s="661"/>
      <c r="Q668" s="661"/>
      <c r="R668" s="661"/>
      <c r="S668" s="661"/>
      <c r="T668" s="661"/>
      <c r="U668" s="661"/>
      <c r="V668" s="661"/>
      <c r="W668" s="661"/>
      <c r="X668" s="661"/>
      <c r="Y668" s="661"/>
      <c r="Z668" s="661"/>
      <c r="AA668" s="661"/>
      <c r="AB668" s="661"/>
    </row>
    <row r="669">
      <c r="A669" s="661"/>
      <c r="B669" s="661"/>
      <c r="C669" s="661"/>
      <c r="D669" s="662"/>
      <c r="E669" s="661"/>
      <c r="F669" s="661"/>
      <c r="G669" s="661"/>
      <c r="H669" s="661"/>
      <c r="I669" s="661"/>
      <c r="J669" s="661"/>
      <c r="K669" s="661"/>
      <c r="L669" s="661"/>
      <c r="M669" s="661"/>
      <c r="N669" s="661"/>
      <c r="O669" s="661"/>
      <c r="P669" s="661"/>
      <c r="Q669" s="661"/>
      <c r="R669" s="661"/>
      <c r="S669" s="661"/>
      <c r="T669" s="661"/>
      <c r="U669" s="661"/>
      <c r="V669" s="661"/>
      <c r="W669" s="661"/>
      <c r="X669" s="661"/>
      <c r="Y669" s="661"/>
      <c r="Z669" s="661"/>
      <c r="AA669" s="661"/>
      <c r="AB669" s="661"/>
    </row>
    <row r="670">
      <c r="A670" s="661"/>
      <c r="B670" s="661"/>
      <c r="C670" s="661"/>
      <c r="D670" s="662"/>
      <c r="E670" s="661"/>
      <c r="F670" s="661"/>
      <c r="G670" s="661"/>
      <c r="H670" s="661"/>
      <c r="I670" s="661"/>
      <c r="J670" s="661"/>
      <c r="K670" s="661"/>
      <c r="L670" s="661"/>
      <c r="M670" s="661"/>
      <c r="N670" s="661"/>
      <c r="O670" s="661"/>
      <c r="P670" s="661"/>
      <c r="Q670" s="661"/>
      <c r="R670" s="661"/>
      <c r="S670" s="661"/>
      <c r="T670" s="661"/>
      <c r="U670" s="661"/>
      <c r="V670" s="661"/>
      <c r="W670" s="661"/>
      <c r="X670" s="661"/>
      <c r="Y670" s="661"/>
      <c r="Z670" s="661"/>
      <c r="AA670" s="661"/>
      <c r="AB670" s="661"/>
    </row>
    <row r="671">
      <c r="A671" s="661"/>
      <c r="B671" s="661"/>
      <c r="C671" s="661"/>
      <c r="D671" s="662"/>
      <c r="E671" s="661"/>
      <c r="F671" s="661"/>
      <c r="G671" s="661"/>
      <c r="H671" s="661"/>
      <c r="I671" s="661"/>
      <c r="J671" s="661"/>
      <c r="K671" s="661"/>
      <c r="L671" s="661"/>
      <c r="M671" s="661"/>
      <c r="N671" s="661"/>
      <c r="O671" s="661"/>
      <c r="P671" s="661"/>
      <c r="Q671" s="661"/>
      <c r="R671" s="661"/>
      <c r="S671" s="661"/>
      <c r="T671" s="661"/>
      <c r="U671" s="661"/>
      <c r="V671" s="661"/>
      <c r="W671" s="661"/>
      <c r="X671" s="661"/>
      <c r="Y671" s="661"/>
      <c r="Z671" s="661"/>
      <c r="AA671" s="661"/>
      <c r="AB671" s="661"/>
    </row>
    <row r="672">
      <c r="A672" s="661"/>
      <c r="B672" s="661"/>
      <c r="C672" s="661"/>
      <c r="D672" s="662"/>
      <c r="E672" s="661"/>
      <c r="F672" s="661"/>
      <c r="G672" s="661"/>
      <c r="H672" s="661"/>
      <c r="I672" s="661"/>
      <c r="J672" s="661"/>
      <c r="K672" s="661"/>
      <c r="L672" s="661"/>
      <c r="M672" s="661"/>
      <c r="N672" s="661"/>
      <c r="O672" s="661"/>
      <c r="P672" s="661"/>
      <c r="Q672" s="661"/>
      <c r="R672" s="661"/>
      <c r="S672" s="661"/>
      <c r="T672" s="661"/>
      <c r="U672" s="661"/>
      <c r="V672" s="661"/>
      <c r="W672" s="661"/>
      <c r="X672" s="661"/>
      <c r="Y672" s="661"/>
      <c r="Z672" s="661"/>
      <c r="AA672" s="661"/>
      <c r="AB672" s="661"/>
    </row>
    <row r="673">
      <c r="A673" s="661"/>
      <c r="B673" s="661"/>
      <c r="C673" s="661"/>
      <c r="D673" s="662"/>
      <c r="E673" s="661"/>
      <c r="F673" s="661"/>
      <c r="G673" s="661"/>
      <c r="H673" s="661"/>
      <c r="I673" s="661"/>
      <c r="J673" s="661"/>
      <c r="K673" s="661"/>
      <c r="L673" s="661"/>
      <c r="M673" s="661"/>
      <c r="N673" s="661"/>
      <c r="O673" s="661"/>
      <c r="P673" s="661"/>
      <c r="Q673" s="661"/>
      <c r="R673" s="661"/>
      <c r="S673" s="661"/>
      <c r="T673" s="661"/>
      <c r="U673" s="661"/>
      <c r="V673" s="661"/>
      <c r="W673" s="661"/>
      <c r="X673" s="661"/>
      <c r="Y673" s="661"/>
      <c r="Z673" s="661"/>
      <c r="AA673" s="661"/>
      <c r="AB673" s="661"/>
    </row>
    <row r="674">
      <c r="A674" s="661"/>
      <c r="B674" s="661"/>
      <c r="C674" s="661"/>
      <c r="D674" s="662"/>
      <c r="E674" s="661"/>
      <c r="F674" s="661"/>
      <c r="G674" s="661"/>
      <c r="H674" s="661"/>
      <c r="I674" s="661"/>
      <c r="J674" s="661"/>
      <c r="K674" s="661"/>
      <c r="L674" s="661"/>
      <c r="M674" s="661"/>
      <c r="N674" s="661"/>
      <c r="O674" s="661"/>
      <c r="P674" s="661"/>
      <c r="Q674" s="661"/>
      <c r="R674" s="661"/>
      <c r="S674" s="661"/>
      <c r="T674" s="661"/>
      <c r="U674" s="661"/>
      <c r="V674" s="661"/>
      <c r="W674" s="661"/>
      <c r="X674" s="661"/>
      <c r="Y674" s="661"/>
      <c r="Z674" s="661"/>
      <c r="AA674" s="661"/>
      <c r="AB674" s="661"/>
    </row>
    <row r="675">
      <c r="A675" s="661"/>
      <c r="B675" s="661"/>
      <c r="C675" s="661"/>
      <c r="D675" s="662"/>
      <c r="E675" s="661"/>
      <c r="F675" s="661"/>
      <c r="G675" s="661"/>
      <c r="H675" s="661"/>
      <c r="I675" s="661"/>
      <c r="J675" s="661"/>
      <c r="K675" s="661"/>
      <c r="L675" s="661"/>
      <c r="M675" s="661"/>
      <c r="N675" s="661"/>
      <c r="O675" s="661"/>
      <c r="P675" s="661"/>
      <c r="Q675" s="661"/>
      <c r="R675" s="661"/>
      <c r="S675" s="661"/>
      <c r="T675" s="661"/>
      <c r="U675" s="661"/>
      <c r="V675" s="661"/>
      <c r="W675" s="661"/>
      <c r="X675" s="661"/>
      <c r="Y675" s="661"/>
      <c r="Z675" s="661"/>
      <c r="AA675" s="661"/>
      <c r="AB675" s="661"/>
    </row>
    <row r="676">
      <c r="A676" s="661"/>
      <c r="B676" s="661"/>
      <c r="C676" s="661"/>
      <c r="D676" s="662"/>
      <c r="E676" s="661"/>
      <c r="F676" s="661"/>
      <c r="G676" s="661"/>
      <c r="H676" s="661"/>
      <c r="I676" s="661"/>
      <c r="J676" s="661"/>
      <c r="K676" s="661"/>
      <c r="L676" s="661"/>
      <c r="M676" s="661"/>
      <c r="N676" s="661"/>
      <c r="O676" s="661"/>
      <c r="P676" s="661"/>
      <c r="Q676" s="661"/>
      <c r="R676" s="661"/>
      <c r="S676" s="661"/>
      <c r="T676" s="661"/>
      <c r="U676" s="661"/>
      <c r="V676" s="661"/>
      <c r="W676" s="661"/>
      <c r="X676" s="661"/>
      <c r="Y676" s="661"/>
      <c r="Z676" s="661"/>
      <c r="AA676" s="661"/>
      <c r="AB676" s="661"/>
    </row>
    <row r="677">
      <c r="A677" s="661"/>
      <c r="B677" s="661"/>
      <c r="C677" s="661"/>
      <c r="D677" s="662"/>
      <c r="E677" s="661"/>
      <c r="F677" s="661"/>
      <c r="G677" s="661"/>
      <c r="H677" s="661"/>
      <c r="I677" s="661"/>
      <c r="J677" s="661"/>
      <c r="K677" s="661"/>
      <c r="L677" s="661"/>
      <c r="M677" s="661"/>
      <c r="N677" s="661"/>
      <c r="O677" s="661"/>
      <c r="P677" s="661"/>
      <c r="Q677" s="661"/>
      <c r="R677" s="661"/>
      <c r="S677" s="661"/>
      <c r="T677" s="661"/>
      <c r="U677" s="661"/>
      <c r="V677" s="661"/>
      <c r="W677" s="661"/>
      <c r="X677" s="661"/>
      <c r="Y677" s="661"/>
      <c r="Z677" s="661"/>
      <c r="AA677" s="661"/>
      <c r="AB677" s="661"/>
    </row>
    <row r="678">
      <c r="A678" s="661"/>
      <c r="B678" s="661"/>
      <c r="C678" s="661"/>
      <c r="D678" s="662"/>
      <c r="E678" s="661"/>
      <c r="F678" s="661"/>
      <c r="G678" s="661"/>
      <c r="H678" s="661"/>
      <c r="I678" s="661"/>
      <c r="J678" s="661"/>
      <c r="K678" s="661"/>
      <c r="L678" s="661"/>
      <c r="M678" s="661"/>
      <c r="N678" s="661"/>
      <c r="O678" s="661"/>
      <c r="P678" s="661"/>
      <c r="Q678" s="661"/>
      <c r="R678" s="661"/>
      <c r="S678" s="661"/>
      <c r="T678" s="661"/>
      <c r="U678" s="661"/>
      <c r="V678" s="661"/>
      <c r="W678" s="661"/>
      <c r="X678" s="661"/>
      <c r="Y678" s="661"/>
      <c r="Z678" s="661"/>
      <c r="AA678" s="661"/>
      <c r="AB678" s="661"/>
    </row>
    <row r="679">
      <c r="A679" s="661"/>
      <c r="B679" s="661"/>
      <c r="C679" s="661"/>
      <c r="D679" s="662"/>
      <c r="E679" s="661"/>
      <c r="F679" s="661"/>
      <c r="G679" s="661"/>
      <c r="H679" s="661"/>
      <c r="I679" s="661"/>
      <c r="J679" s="661"/>
      <c r="K679" s="661"/>
      <c r="L679" s="661"/>
      <c r="M679" s="661"/>
      <c r="N679" s="661"/>
      <c r="O679" s="661"/>
      <c r="P679" s="661"/>
      <c r="Q679" s="661"/>
      <c r="R679" s="661"/>
      <c r="S679" s="661"/>
      <c r="T679" s="661"/>
      <c r="U679" s="661"/>
      <c r="V679" s="661"/>
      <c r="W679" s="661"/>
      <c r="X679" s="661"/>
      <c r="Y679" s="661"/>
      <c r="Z679" s="661"/>
      <c r="AA679" s="661"/>
      <c r="AB679" s="661"/>
    </row>
    <row r="680">
      <c r="A680" s="661"/>
      <c r="B680" s="661"/>
      <c r="C680" s="661"/>
      <c r="D680" s="662"/>
      <c r="E680" s="661"/>
      <c r="F680" s="661"/>
      <c r="G680" s="661"/>
      <c r="H680" s="661"/>
      <c r="I680" s="661"/>
      <c r="J680" s="661"/>
      <c r="K680" s="661"/>
      <c r="L680" s="661"/>
      <c r="M680" s="661"/>
      <c r="N680" s="661"/>
      <c r="O680" s="661"/>
      <c r="P680" s="661"/>
      <c r="Q680" s="661"/>
      <c r="R680" s="661"/>
      <c r="S680" s="661"/>
      <c r="T680" s="661"/>
      <c r="U680" s="661"/>
      <c r="V680" s="661"/>
      <c r="W680" s="661"/>
      <c r="X680" s="661"/>
      <c r="Y680" s="661"/>
      <c r="Z680" s="661"/>
      <c r="AA680" s="661"/>
      <c r="AB680" s="661"/>
    </row>
    <row r="681">
      <c r="A681" s="661"/>
      <c r="B681" s="661"/>
      <c r="C681" s="661"/>
      <c r="D681" s="662"/>
      <c r="E681" s="661"/>
      <c r="F681" s="661"/>
      <c r="G681" s="661"/>
      <c r="H681" s="661"/>
      <c r="I681" s="661"/>
      <c r="J681" s="661"/>
      <c r="K681" s="661"/>
      <c r="L681" s="661"/>
      <c r="M681" s="661"/>
      <c r="N681" s="661"/>
      <c r="O681" s="661"/>
      <c r="P681" s="661"/>
      <c r="Q681" s="661"/>
      <c r="R681" s="661"/>
      <c r="S681" s="661"/>
      <c r="T681" s="661"/>
      <c r="U681" s="661"/>
      <c r="V681" s="661"/>
      <c r="W681" s="661"/>
      <c r="X681" s="661"/>
      <c r="Y681" s="661"/>
      <c r="Z681" s="661"/>
      <c r="AA681" s="661"/>
      <c r="AB681" s="661"/>
    </row>
    <row r="682">
      <c r="A682" s="661"/>
      <c r="B682" s="661"/>
      <c r="C682" s="661"/>
      <c r="D682" s="662"/>
      <c r="E682" s="661"/>
      <c r="F682" s="661"/>
      <c r="G682" s="661"/>
      <c r="H682" s="661"/>
      <c r="I682" s="661"/>
      <c r="J682" s="661"/>
      <c r="K682" s="661"/>
      <c r="L682" s="661"/>
      <c r="M682" s="661"/>
      <c r="N682" s="661"/>
      <c r="O682" s="661"/>
      <c r="P682" s="661"/>
      <c r="Q682" s="661"/>
      <c r="R682" s="661"/>
      <c r="S682" s="661"/>
      <c r="T682" s="661"/>
      <c r="U682" s="661"/>
      <c r="V682" s="661"/>
      <c r="W682" s="661"/>
      <c r="X682" s="661"/>
      <c r="Y682" s="661"/>
      <c r="Z682" s="661"/>
      <c r="AA682" s="661"/>
      <c r="AB682" s="661"/>
    </row>
    <row r="683">
      <c r="A683" s="661"/>
      <c r="B683" s="661"/>
      <c r="C683" s="661"/>
      <c r="D683" s="662"/>
      <c r="E683" s="661"/>
      <c r="F683" s="661"/>
      <c r="G683" s="661"/>
      <c r="H683" s="661"/>
      <c r="I683" s="661"/>
      <c r="J683" s="661"/>
      <c r="K683" s="661"/>
      <c r="L683" s="661"/>
      <c r="M683" s="661"/>
      <c r="N683" s="661"/>
      <c r="O683" s="661"/>
      <c r="P683" s="661"/>
      <c r="Q683" s="661"/>
      <c r="R683" s="661"/>
      <c r="S683" s="661"/>
      <c r="T683" s="661"/>
      <c r="U683" s="661"/>
      <c r="V683" s="661"/>
      <c r="W683" s="661"/>
      <c r="X683" s="661"/>
      <c r="Y683" s="661"/>
      <c r="Z683" s="661"/>
      <c r="AA683" s="661"/>
      <c r="AB683" s="661"/>
    </row>
    <row r="684">
      <c r="A684" s="661"/>
      <c r="B684" s="661"/>
      <c r="C684" s="661"/>
      <c r="D684" s="662"/>
      <c r="E684" s="661"/>
      <c r="F684" s="661"/>
      <c r="G684" s="661"/>
      <c r="H684" s="661"/>
      <c r="I684" s="661"/>
      <c r="J684" s="661"/>
      <c r="K684" s="661"/>
      <c r="L684" s="661"/>
      <c r="M684" s="661"/>
      <c r="N684" s="661"/>
      <c r="O684" s="661"/>
      <c r="P684" s="661"/>
      <c r="Q684" s="661"/>
      <c r="R684" s="661"/>
      <c r="S684" s="661"/>
      <c r="T684" s="661"/>
      <c r="U684" s="661"/>
      <c r="V684" s="661"/>
      <c r="W684" s="661"/>
      <c r="X684" s="661"/>
      <c r="Y684" s="661"/>
      <c r="Z684" s="661"/>
      <c r="AA684" s="661"/>
      <c r="AB684" s="661"/>
    </row>
    <row r="685">
      <c r="A685" s="661"/>
      <c r="B685" s="661"/>
      <c r="C685" s="661"/>
      <c r="D685" s="662"/>
      <c r="E685" s="661"/>
      <c r="F685" s="661"/>
      <c r="G685" s="661"/>
      <c r="H685" s="661"/>
      <c r="I685" s="661"/>
      <c r="J685" s="661"/>
      <c r="K685" s="661"/>
      <c r="L685" s="661"/>
      <c r="M685" s="661"/>
      <c r="N685" s="661"/>
      <c r="O685" s="661"/>
      <c r="P685" s="661"/>
      <c r="Q685" s="661"/>
      <c r="R685" s="661"/>
      <c r="S685" s="661"/>
      <c r="T685" s="661"/>
      <c r="U685" s="661"/>
      <c r="V685" s="661"/>
      <c r="W685" s="661"/>
      <c r="X685" s="661"/>
      <c r="Y685" s="661"/>
      <c r="Z685" s="661"/>
      <c r="AA685" s="661"/>
      <c r="AB685" s="661"/>
    </row>
    <row r="686">
      <c r="A686" s="661"/>
      <c r="B686" s="661"/>
      <c r="C686" s="661"/>
      <c r="D686" s="662"/>
      <c r="E686" s="661"/>
      <c r="F686" s="661"/>
      <c r="G686" s="661"/>
      <c r="H686" s="661"/>
      <c r="I686" s="661"/>
      <c r="J686" s="661"/>
      <c r="K686" s="661"/>
      <c r="L686" s="661"/>
      <c r="M686" s="661"/>
      <c r="N686" s="661"/>
      <c r="O686" s="661"/>
      <c r="P686" s="661"/>
      <c r="Q686" s="661"/>
      <c r="R686" s="661"/>
      <c r="S686" s="661"/>
      <c r="T686" s="661"/>
      <c r="U686" s="661"/>
      <c r="V686" s="661"/>
      <c r="W686" s="661"/>
      <c r="X686" s="661"/>
      <c r="Y686" s="661"/>
      <c r="Z686" s="661"/>
      <c r="AA686" s="661"/>
      <c r="AB686" s="661"/>
    </row>
    <row r="687">
      <c r="A687" s="661"/>
      <c r="B687" s="661"/>
      <c r="C687" s="661"/>
      <c r="D687" s="662"/>
      <c r="E687" s="661"/>
      <c r="F687" s="661"/>
      <c r="G687" s="661"/>
      <c r="H687" s="661"/>
      <c r="I687" s="661"/>
      <c r="J687" s="661"/>
      <c r="K687" s="661"/>
      <c r="L687" s="661"/>
      <c r="M687" s="661"/>
      <c r="N687" s="661"/>
      <c r="O687" s="661"/>
      <c r="P687" s="661"/>
      <c r="Q687" s="661"/>
      <c r="R687" s="661"/>
      <c r="S687" s="661"/>
      <c r="T687" s="661"/>
      <c r="U687" s="661"/>
      <c r="V687" s="661"/>
      <c r="W687" s="661"/>
      <c r="X687" s="661"/>
      <c r="Y687" s="661"/>
      <c r="Z687" s="661"/>
      <c r="AA687" s="661"/>
      <c r="AB687" s="661"/>
    </row>
    <row r="688">
      <c r="A688" s="661"/>
      <c r="B688" s="661"/>
      <c r="C688" s="661"/>
      <c r="D688" s="662"/>
      <c r="E688" s="661"/>
      <c r="F688" s="661"/>
      <c r="G688" s="661"/>
      <c r="H688" s="661"/>
      <c r="I688" s="661"/>
      <c r="J688" s="661"/>
      <c r="K688" s="661"/>
      <c r="L688" s="661"/>
      <c r="M688" s="661"/>
      <c r="N688" s="661"/>
      <c r="O688" s="661"/>
      <c r="P688" s="661"/>
      <c r="Q688" s="661"/>
      <c r="R688" s="661"/>
      <c r="S688" s="661"/>
      <c r="T688" s="661"/>
      <c r="U688" s="661"/>
      <c r="V688" s="661"/>
      <c r="W688" s="661"/>
      <c r="X688" s="661"/>
      <c r="Y688" s="661"/>
      <c r="Z688" s="661"/>
      <c r="AA688" s="661"/>
      <c r="AB688" s="661"/>
    </row>
    <row r="689">
      <c r="A689" s="661"/>
      <c r="B689" s="661"/>
      <c r="C689" s="661"/>
      <c r="D689" s="662"/>
      <c r="E689" s="661"/>
      <c r="F689" s="661"/>
      <c r="G689" s="661"/>
      <c r="H689" s="661"/>
      <c r="I689" s="661"/>
      <c r="J689" s="661"/>
      <c r="K689" s="661"/>
      <c r="L689" s="661"/>
      <c r="M689" s="661"/>
      <c r="N689" s="661"/>
      <c r="O689" s="661"/>
      <c r="P689" s="661"/>
      <c r="Q689" s="661"/>
      <c r="R689" s="661"/>
      <c r="S689" s="661"/>
      <c r="T689" s="661"/>
      <c r="U689" s="661"/>
      <c r="V689" s="661"/>
      <c r="W689" s="661"/>
      <c r="X689" s="661"/>
      <c r="Y689" s="661"/>
      <c r="Z689" s="661"/>
      <c r="AA689" s="661"/>
      <c r="AB689" s="661"/>
    </row>
    <row r="690">
      <c r="A690" s="661"/>
      <c r="B690" s="661"/>
      <c r="C690" s="661"/>
      <c r="D690" s="662"/>
      <c r="E690" s="661"/>
      <c r="F690" s="661"/>
      <c r="G690" s="661"/>
      <c r="H690" s="661"/>
      <c r="I690" s="661"/>
      <c r="J690" s="661"/>
      <c r="K690" s="661"/>
      <c r="L690" s="661"/>
      <c r="M690" s="661"/>
      <c r="N690" s="661"/>
      <c r="O690" s="661"/>
      <c r="P690" s="661"/>
      <c r="Q690" s="661"/>
      <c r="R690" s="661"/>
      <c r="S690" s="661"/>
      <c r="T690" s="661"/>
      <c r="U690" s="661"/>
      <c r="V690" s="661"/>
      <c r="W690" s="661"/>
      <c r="X690" s="661"/>
      <c r="Y690" s="661"/>
      <c r="Z690" s="661"/>
      <c r="AA690" s="661"/>
      <c r="AB690" s="661"/>
    </row>
    <row r="691">
      <c r="A691" s="661"/>
      <c r="B691" s="661"/>
      <c r="C691" s="661"/>
      <c r="D691" s="662"/>
      <c r="E691" s="661"/>
      <c r="F691" s="661"/>
      <c r="G691" s="661"/>
      <c r="H691" s="661"/>
      <c r="I691" s="661"/>
      <c r="J691" s="661"/>
      <c r="K691" s="661"/>
      <c r="L691" s="661"/>
      <c r="M691" s="661"/>
      <c r="N691" s="661"/>
      <c r="O691" s="661"/>
      <c r="P691" s="661"/>
      <c r="Q691" s="661"/>
      <c r="R691" s="661"/>
      <c r="S691" s="661"/>
      <c r="T691" s="661"/>
      <c r="U691" s="661"/>
      <c r="V691" s="661"/>
      <c r="W691" s="661"/>
      <c r="X691" s="661"/>
      <c r="Y691" s="661"/>
      <c r="Z691" s="661"/>
      <c r="AA691" s="661"/>
      <c r="AB691" s="661"/>
    </row>
    <row r="692">
      <c r="A692" s="661"/>
      <c r="B692" s="661"/>
      <c r="C692" s="661"/>
      <c r="D692" s="662"/>
      <c r="E692" s="661"/>
      <c r="F692" s="661"/>
      <c r="G692" s="661"/>
      <c r="H692" s="661"/>
      <c r="I692" s="661"/>
      <c r="J692" s="661"/>
      <c r="K692" s="661"/>
      <c r="L692" s="661"/>
      <c r="M692" s="661"/>
      <c r="N692" s="661"/>
      <c r="O692" s="661"/>
      <c r="P692" s="661"/>
      <c r="Q692" s="661"/>
      <c r="R692" s="661"/>
      <c r="S692" s="661"/>
      <c r="T692" s="661"/>
      <c r="U692" s="661"/>
      <c r="V692" s="661"/>
      <c r="W692" s="661"/>
      <c r="X692" s="661"/>
      <c r="Y692" s="661"/>
      <c r="Z692" s="661"/>
      <c r="AA692" s="661"/>
      <c r="AB692" s="661"/>
    </row>
    <row r="693">
      <c r="A693" s="661"/>
      <c r="B693" s="661"/>
      <c r="C693" s="661"/>
      <c r="D693" s="662"/>
      <c r="E693" s="661"/>
      <c r="F693" s="661"/>
      <c r="G693" s="661"/>
      <c r="H693" s="661"/>
      <c r="I693" s="661"/>
      <c r="J693" s="661"/>
      <c r="K693" s="661"/>
      <c r="L693" s="661"/>
      <c r="M693" s="661"/>
      <c r="N693" s="661"/>
      <c r="O693" s="661"/>
      <c r="P693" s="661"/>
      <c r="Q693" s="661"/>
      <c r="R693" s="661"/>
      <c r="S693" s="661"/>
      <c r="T693" s="661"/>
      <c r="U693" s="661"/>
      <c r="V693" s="661"/>
      <c r="W693" s="661"/>
      <c r="X693" s="661"/>
      <c r="Y693" s="661"/>
      <c r="Z693" s="661"/>
      <c r="AA693" s="661"/>
      <c r="AB693" s="661"/>
    </row>
    <row r="694">
      <c r="A694" s="661"/>
      <c r="B694" s="661"/>
      <c r="C694" s="661"/>
      <c r="D694" s="662"/>
      <c r="E694" s="661"/>
      <c r="F694" s="661"/>
      <c r="G694" s="661"/>
      <c r="H694" s="661"/>
      <c r="I694" s="661"/>
      <c r="J694" s="661"/>
      <c r="K694" s="661"/>
      <c r="L694" s="661"/>
      <c r="M694" s="661"/>
      <c r="N694" s="661"/>
      <c r="O694" s="661"/>
      <c r="P694" s="661"/>
      <c r="Q694" s="661"/>
      <c r="R694" s="661"/>
      <c r="S694" s="661"/>
      <c r="T694" s="661"/>
      <c r="U694" s="661"/>
      <c r="V694" s="661"/>
      <c r="W694" s="661"/>
      <c r="X694" s="661"/>
      <c r="Y694" s="661"/>
      <c r="Z694" s="661"/>
      <c r="AA694" s="661"/>
      <c r="AB694" s="661"/>
    </row>
    <row r="695">
      <c r="A695" s="661"/>
      <c r="B695" s="661"/>
      <c r="C695" s="661"/>
      <c r="D695" s="662"/>
      <c r="E695" s="661"/>
      <c r="F695" s="661"/>
      <c r="G695" s="661"/>
      <c r="H695" s="661"/>
      <c r="I695" s="661"/>
      <c r="J695" s="661"/>
      <c r="K695" s="661"/>
      <c r="L695" s="661"/>
      <c r="M695" s="661"/>
      <c r="N695" s="661"/>
      <c r="O695" s="661"/>
      <c r="P695" s="661"/>
      <c r="Q695" s="661"/>
      <c r="R695" s="661"/>
      <c r="S695" s="661"/>
      <c r="T695" s="661"/>
      <c r="U695" s="661"/>
      <c r="V695" s="661"/>
      <c r="W695" s="661"/>
      <c r="X695" s="661"/>
      <c r="Y695" s="661"/>
      <c r="Z695" s="661"/>
      <c r="AA695" s="661"/>
      <c r="AB695" s="661"/>
    </row>
    <row r="696">
      <c r="A696" s="661"/>
      <c r="B696" s="661"/>
      <c r="C696" s="661"/>
      <c r="D696" s="662"/>
      <c r="E696" s="661"/>
      <c r="F696" s="661"/>
      <c r="G696" s="661"/>
      <c r="H696" s="661"/>
      <c r="I696" s="661"/>
      <c r="J696" s="661"/>
      <c r="K696" s="661"/>
      <c r="L696" s="661"/>
      <c r="M696" s="661"/>
      <c r="N696" s="661"/>
      <c r="O696" s="661"/>
      <c r="P696" s="661"/>
      <c r="Q696" s="661"/>
      <c r="R696" s="661"/>
      <c r="S696" s="661"/>
      <c r="T696" s="661"/>
      <c r="U696" s="661"/>
      <c r="V696" s="661"/>
      <c r="W696" s="661"/>
      <c r="X696" s="661"/>
      <c r="Y696" s="661"/>
      <c r="Z696" s="661"/>
      <c r="AA696" s="661"/>
      <c r="AB696" s="661"/>
    </row>
    <row r="697">
      <c r="A697" s="661"/>
      <c r="B697" s="661"/>
      <c r="C697" s="661"/>
      <c r="D697" s="662"/>
      <c r="E697" s="661"/>
      <c r="F697" s="661"/>
      <c r="G697" s="661"/>
      <c r="H697" s="661"/>
      <c r="I697" s="661"/>
      <c r="J697" s="661"/>
      <c r="K697" s="661"/>
      <c r="L697" s="661"/>
      <c r="M697" s="661"/>
      <c r="N697" s="661"/>
      <c r="O697" s="661"/>
      <c r="P697" s="661"/>
      <c r="Q697" s="661"/>
      <c r="R697" s="661"/>
      <c r="S697" s="661"/>
      <c r="T697" s="661"/>
      <c r="U697" s="661"/>
      <c r="V697" s="661"/>
      <c r="W697" s="661"/>
      <c r="X697" s="661"/>
      <c r="Y697" s="661"/>
      <c r="Z697" s="661"/>
      <c r="AA697" s="661"/>
      <c r="AB697" s="661"/>
    </row>
    <row r="698">
      <c r="A698" s="661"/>
      <c r="B698" s="661"/>
      <c r="C698" s="661"/>
      <c r="D698" s="662"/>
      <c r="E698" s="661"/>
      <c r="F698" s="661"/>
      <c r="G698" s="661"/>
      <c r="H698" s="661"/>
      <c r="I698" s="661"/>
      <c r="J698" s="661"/>
      <c r="K698" s="661"/>
      <c r="L698" s="661"/>
      <c r="M698" s="661"/>
      <c r="N698" s="661"/>
      <c r="O698" s="661"/>
      <c r="P698" s="661"/>
      <c r="Q698" s="661"/>
      <c r="R698" s="661"/>
      <c r="S698" s="661"/>
      <c r="T698" s="661"/>
      <c r="U698" s="661"/>
      <c r="V698" s="661"/>
      <c r="W698" s="661"/>
      <c r="X698" s="661"/>
      <c r="Y698" s="661"/>
      <c r="Z698" s="661"/>
      <c r="AA698" s="661"/>
      <c r="AB698" s="661"/>
    </row>
    <row r="699">
      <c r="A699" s="661"/>
      <c r="B699" s="661"/>
      <c r="C699" s="661"/>
      <c r="D699" s="662"/>
      <c r="E699" s="661"/>
      <c r="F699" s="661"/>
      <c r="G699" s="661"/>
      <c r="H699" s="661"/>
      <c r="I699" s="661"/>
      <c r="J699" s="661"/>
      <c r="K699" s="661"/>
      <c r="L699" s="661"/>
      <c r="M699" s="661"/>
      <c r="N699" s="661"/>
      <c r="O699" s="661"/>
      <c r="P699" s="661"/>
      <c r="Q699" s="661"/>
      <c r="R699" s="661"/>
      <c r="S699" s="661"/>
      <c r="T699" s="661"/>
      <c r="U699" s="661"/>
      <c r="V699" s="661"/>
      <c r="W699" s="661"/>
      <c r="X699" s="661"/>
      <c r="Y699" s="661"/>
      <c r="Z699" s="661"/>
      <c r="AA699" s="661"/>
      <c r="AB699" s="661"/>
    </row>
    <row r="700">
      <c r="A700" s="661"/>
      <c r="B700" s="661"/>
      <c r="C700" s="661"/>
      <c r="D700" s="662"/>
      <c r="E700" s="661"/>
      <c r="F700" s="661"/>
      <c r="G700" s="661"/>
      <c r="H700" s="661"/>
      <c r="I700" s="661"/>
      <c r="J700" s="661"/>
      <c r="K700" s="661"/>
      <c r="L700" s="661"/>
      <c r="M700" s="661"/>
      <c r="N700" s="661"/>
      <c r="O700" s="661"/>
      <c r="P700" s="661"/>
      <c r="Q700" s="661"/>
      <c r="R700" s="661"/>
      <c r="S700" s="661"/>
      <c r="T700" s="661"/>
      <c r="U700" s="661"/>
      <c r="V700" s="661"/>
      <c r="W700" s="661"/>
      <c r="X700" s="661"/>
      <c r="Y700" s="661"/>
      <c r="Z700" s="661"/>
      <c r="AA700" s="661"/>
      <c r="AB700" s="661"/>
    </row>
    <row r="701">
      <c r="A701" s="661"/>
      <c r="B701" s="661"/>
      <c r="C701" s="661"/>
      <c r="D701" s="662"/>
      <c r="E701" s="661"/>
      <c r="F701" s="661"/>
      <c r="G701" s="661"/>
      <c r="H701" s="661"/>
      <c r="I701" s="661"/>
      <c r="J701" s="661"/>
      <c r="K701" s="661"/>
      <c r="L701" s="661"/>
      <c r="M701" s="661"/>
      <c r="N701" s="661"/>
      <c r="O701" s="661"/>
      <c r="P701" s="661"/>
      <c r="Q701" s="661"/>
      <c r="R701" s="661"/>
      <c r="S701" s="661"/>
      <c r="T701" s="661"/>
      <c r="U701" s="661"/>
      <c r="V701" s="661"/>
      <c r="W701" s="661"/>
      <c r="X701" s="661"/>
      <c r="Y701" s="661"/>
      <c r="Z701" s="661"/>
      <c r="AA701" s="661"/>
      <c r="AB701" s="661"/>
    </row>
    <row r="702">
      <c r="A702" s="661"/>
      <c r="B702" s="661"/>
      <c r="C702" s="661"/>
      <c r="D702" s="662"/>
      <c r="E702" s="661"/>
      <c r="F702" s="661"/>
      <c r="G702" s="661"/>
      <c r="H702" s="661"/>
      <c r="I702" s="661"/>
      <c r="J702" s="661"/>
      <c r="K702" s="661"/>
      <c r="L702" s="661"/>
      <c r="M702" s="661"/>
      <c r="N702" s="661"/>
      <c r="O702" s="661"/>
      <c r="P702" s="661"/>
      <c r="Q702" s="661"/>
      <c r="R702" s="661"/>
      <c r="S702" s="661"/>
      <c r="T702" s="661"/>
      <c r="U702" s="661"/>
      <c r="V702" s="661"/>
      <c r="W702" s="661"/>
      <c r="X702" s="661"/>
      <c r="Y702" s="661"/>
      <c r="Z702" s="661"/>
      <c r="AA702" s="661"/>
      <c r="AB702" s="661"/>
    </row>
    <row r="703">
      <c r="A703" s="661"/>
      <c r="B703" s="661"/>
      <c r="C703" s="661"/>
      <c r="D703" s="662"/>
      <c r="E703" s="661"/>
      <c r="F703" s="661"/>
      <c r="G703" s="661"/>
      <c r="H703" s="661"/>
      <c r="I703" s="661"/>
      <c r="J703" s="661"/>
      <c r="K703" s="661"/>
      <c r="L703" s="661"/>
      <c r="M703" s="661"/>
      <c r="N703" s="661"/>
      <c r="O703" s="661"/>
      <c r="P703" s="661"/>
      <c r="Q703" s="661"/>
      <c r="R703" s="661"/>
      <c r="S703" s="661"/>
      <c r="T703" s="661"/>
      <c r="U703" s="661"/>
      <c r="V703" s="661"/>
      <c r="W703" s="661"/>
      <c r="X703" s="661"/>
      <c r="Y703" s="661"/>
      <c r="Z703" s="661"/>
      <c r="AA703" s="661"/>
      <c r="AB703" s="661"/>
    </row>
    <row r="704">
      <c r="A704" s="661"/>
      <c r="B704" s="661"/>
      <c r="C704" s="661"/>
      <c r="D704" s="662"/>
      <c r="E704" s="661"/>
      <c r="F704" s="661"/>
      <c r="G704" s="661"/>
      <c r="H704" s="661"/>
      <c r="I704" s="661"/>
      <c r="J704" s="661"/>
      <c r="K704" s="661"/>
      <c r="L704" s="661"/>
      <c r="M704" s="661"/>
      <c r="N704" s="661"/>
      <c r="O704" s="661"/>
      <c r="P704" s="661"/>
      <c r="Q704" s="661"/>
      <c r="R704" s="661"/>
      <c r="S704" s="661"/>
      <c r="T704" s="661"/>
      <c r="U704" s="661"/>
      <c r="V704" s="661"/>
      <c r="W704" s="661"/>
      <c r="X704" s="661"/>
      <c r="Y704" s="661"/>
      <c r="Z704" s="661"/>
      <c r="AA704" s="661"/>
      <c r="AB704" s="661"/>
    </row>
    <row r="705">
      <c r="A705" s="661"/>
      <c r="B705" s="661"/>
      <c r="C705" s="661"/>
      <c r="D705" s="662"/>
      <c r="E705" s="661"/>
      <c r="F705" s="661"/>
      <c r="G705" s="661"/>
      <c r="H705" s="661"/>
      <c r="I705" s="661"/>
      <c r="J705" s="661"/>
      <c r="K705" s="661"/>
      <c r="L705" s="661"/>
      <c r="M705" s="661"/>
      <c r="N705" s="661"/>
      <c r="O705" s="661"/>
      <c r="P705" s="661"/>
      <c r="Q705" s="661"/>
      <c r="R705" s="661"/>
      <c r="S705" s="661"/>
      <c r="T705" s="661"/>
      <c r="U705" s="661"/>
      <c r="V705" s="661"/>
      <c r="W705" s="661"/>
      <c r="X705" s="661"/>
      <c r="Y705" s="661"/>
      <c r="Z705" s="661"/>
      <c r="AA705" s="661"/>
      <c r="AB705" s="661"/>
    </row>
    <row r="706">
      <c r="A706" s="661"/>
      <c r="B706" s="661"/>
      <c r="C706" s="661"/>
      <c r="D706" s="662"/>
      <c r="E706" s="661"/>
      <c r="F706" s="661"/>
      <c r="G706" s="661"/>
      <c r="H706" s="661"/>
      <c r="I706" s="661"/>
      <c r="J706" s="661"/>
      <c r="K706" s="661"/>
      <c r="L706" s="661"/>
      <c r="M706" s="661"/>
      <c r="N706" s="661"/>
      <c r="O706" s="661"/>
      <c r="P706" s="661"/>
      <c r="Q706" s="661"/>
      <c r="R706" s="661"/>
      <c r="S706" s="661"/>
      <c r="T706" s="661"/>
      <c r="U706" s="661"/>
      <c r="V706" s="661"/>
      <c r="W706" s="661"/>
      <c r="X706" s="661"/>
      <c r="Y706" s="661"/>
      <c r="Z706" s="661"/>
      <c r="AA706" s="661"/>
      <c r="AB706" s="661"/>
    </row>
    <row r="707">
      <c r="A707" s="661"/>
      <c r="B707" s="661"/>
      <c r="C707" s="661"/>
      <c r="D707" s="662"/>
      <c r="E707" s="661"/>
      <c r="F707" s="661"/>
      <c r="G707" s="661"/>
      <c r="H707" s="661"/>
      <c r="I707" s="661"/>
      <c r="J707" s="661"/>
      <c r="K707" s="661"/>
      <c r="L707" s="661"/>
      <c r="M707" s="661"/>
      <c r="N707" s="661"/>
      <c r="O707" s="661"/>
      <c r="P707" s="661"/>
      <c r="Q707" s="661"/>
      <c r="R707" s="661"/>
      <c r="S707" s="661"/>
      <c r="T707" s="661"/>
      <c r="U707" s="661"/>
      <c r="V707" s="661"/>
      <c r="W707" s="661"/>
      <c r="X707" s="661"/>
      <c r="Y707" s="661"/>
      <c r="Z707" s="661"/>
      <c r="AA707" s="661"/>
      <c r="AB707" s="661"/>
    </row>
    <row r="708">
      <c r="A708" s="661"/>
      <c r="B708" s="661"/>
      <c r="C708" s="661"/>
      <c r="D708" s="662"/>
      <c r="E708" s="661"/>
      <c r="F708" s="661"/>
      <c r="G708" s="661"/>
      <c r="H708" s="661"/>
      <c r="I708" s="661"/>
      <c r="J708" s="661"/>
      <c r="K708" s="661"/>
      <c r="L708" s="661"/>
      <c r="M708" s="661"/>
      <c r="N708" s="661"/>
      <c r="O708" s="661"/>
      <c r="P708" s="661"/>
      <c r="Q708" s="661"/>
      <c r="R708" s="661"/>
      <c r="S708" s="661"/>
      <c r="T708" s="661"/>
      <c r="U708" s="661"/>
      <c r="V708" s="661"/>
      <c r="W708" s="661"/>
      <c r="X708" s="661"/>
      <c r="Y708" s="661"/>
      <c r="Z708" s="661"/>
      <c r="AA708" s="661"/>
      <c r="AB708" s="661"/>
    </row>
    <row r="709">
      <c r="A709" s="661"/>
      <c r="B709" s="661"/>
      <c r="C709" s="661"/>
      <c r="D709" s="662"/>
      <c r="E709" s="661"/>
      <c r="F709" s="661"/>
      <c r="G709" s="661"/>
      <c r="H709" s="661"/>
      <c r="I709" s="661"/>
      <c r="J709" s="661"/>
      <c r="K709" s="661"/>
      <c r="L709" s="661"/>
      <c r="M709" s="661"/>
      <c r="N709" s="661"/>
      <c r="O709" s="661"/>
      <c r="P709" s="661"/>
      <c r="Q709" s="661"/>
      <c r="R709" s="661"/>
      <c r="S709" s="661"/>
      <c r="T709" s="661"/>
      <c r="U709" s="661"/>
      <c r="V709" s="661"/>
      <c r="W709" s="661"/>
      <c r="X709" s="661"/>
      <c r="Y709" s="661"/>
      <c r="Z709" s="661"/>
      <c r="AA709" s="661"/>
      <c r="AB709" s="661"/>
    </row>
    <row r="710">
      <c r="A710" s="661"/>
      <c r="B710" s="661"/>
      <c r="C710" s="661"/>
      <c r="D710" s="662"/>
      <c r="E710" s="661"/>
      <c r="F710" s="661"/>
      <c r="G710" s="661"/>
      <c r="H710" s="661"/>
      <c r="I710" s="661"/>
      <c r="J710" s="661"/>
      <c r="K710" s="661"/>
      <c r="L710" s="661"/>
      <c r="M710" s="661"/>
      <c r="N710" s="661"/>
      <c r="O710" s="661"/>
      <c r="P710" s="661"/>
      <c r="Q710" s="661"/>
      <c r="R710" s="661"/>
      <c r="S710" s="661"/>
      <c r="T710" s="661"/>
      <c r="U710" s="661"/>
      <c r="V710" s="661"/>
      <c r="W710" s="661"/>
      <c r="X710" s="661"/>
      <c r="Y710" s="661"/>
      <c r="Z710" s="661"/>
      <c r="AA710" s="661"/>
      <c r="AB710" s="661"/>
    </row>
    <row r="711">
      <c r="A711" s="661"/>
      <c r="B711" s="661"/>
      <c r="C711" s="661"/>
      <c r="D711" s="662"/>
      <c r="E711" s="661"/>
      <c r="F711" s="661"/>
      <c r="G711" s="661"/>
      <c r="H711" s="661"/>
      <c r="I711" s="661"/>
      <c r="J711" s="661"/>
      <c r="K711" s="661"/>
      <c r="L711" s="661"/>
      <c r="M711" s="661"/>
      <c r="N711" s="661"/>
      <c r="O711" s="661"/>
      <c r="P711" s="661"/>
      <c r="Q711" s="661"/>
      <c r="R711" s="661"/>
      <c r="S711" s="661"/>
      <c r="T711" s="661"/>
      <c r="U711" s="661"/>
      <c r="V711" s="661"/>
      <c r="W711" s="661"/>
      <c r="X711" s="661"/>
      <c r="Y711" s="661"/>
      <c r="Z711" s="661"/>
      <c r="AA711" s="661"/>
      <c r="AB711" s="661"/>
    </row>
    <row r="712">
      <c r="A712" s="661"/>
      <c r="B712" s="661"/>
      <c r="C712" s="661"/>
      <c r="D712" s="662"/>
      <c r="E712" s="661"/>
      <c r="F712" s="661"/>
      <c r="G712" s="661"/>
      <c r="H712" s="661"/>
      <c r="I712" s="661"/>
      <c r="J712" s="661"/>
      <c r="K712" s="661"/>
      <c r="L712" s="661"/>
      <c r="M712" s="661"/>
      <c r="N712" s="661"/>
      <c r="O712" s="661"/>
      <c r="P712" s="661"/>
      <c r="Q712" s="661"/>
      <c r="R712" s="661"/>
      <c r="S712" s="661"/>
      <c r="T712" s="661"/>
      <c r="U712" s="661"/>
      <c r="V712" s="661"/>
      <c r="W712" s="661"/>
      <c r="X712" s="661"/>
      <c r="Y712" s="661"/>
      <c r="Z712" s="661"/>
      <c r="AA712" s="661"/>
      <c r="AB712" s="661"/>
    </row>
    <row r="713">
      <c r="A713" s="661"/>
      <c r="B713" s="661"/>
      <c r="C713" s="661"/>
      <c r="D713" s="662"/>
      <c r="E713" s="661"/>
      <c r="F713" s="661"/>
      <c r="G713" s="661"/>
      <c r="H713" s="661"/>
      <c r="I713" s="661"/>
      <c r="J713" s="661"/>
      <c r="K713" s="661"/>
      <c r="L713" s="661"/>
      <c r="M713" s="661"/>
      <c r="N713" s="661"/>
      <c r="O713" s="661"/>
      <c r="P713" s="661"/>
      <c r="Q713" s="661"/>
      <c r="R713" s="661"/>
      <c r="S713" s="661"/>
      <c r="T713" s="661"/>
      <c r="U713" s="661"/>
      <c r="V713" s="661"/>
      <c r="W713" s="661"/>
      <c r="X713" s="661"/>
      <c r="Y713" s="661"/>
      <c r="Z713" s="661"/>
      <c r="AA713" s="661"/>
      <c r="AB713" s="661"/>
    </row>
    <row r="714">
      <c r="A714" s="661"/>
      <c r="B714" s="661"/>
      <c r="C714" s="661"/>
      <c r="D714" s="662"/>
      <c r="E714" s="661"/>
      <c r="F714" s="661"/>
      <c r="G714" s="661"/>
      <c r="H714" s="661"/>
      <c r="I714" s="661"/>
      <c r="J714" s="661"/>
      <c r="K714" s="661"/>
      <c r="L714" s="661"/>
      <c r="M714" s="661"/>
      <c r="N714" s="661"/>
      <c r="O714" s="661"/>
      <c r="P714" s="661"/>
      <c r="Q714" s="661"/>
      <c r="R714" s="661"/>
      <c r="S714" s="661"/>
      <c r="T714" s="661"/>
      <c r="U714" s="661"/>
      <c r="V714" s="661"/>
      <c r="W714" s="661"/>
      <c r="X714" s="661"/>
      <c r="Y714" s="661"/>
      <c r="Z714" s="661"/>
      <c r="AA714" s="661"/>
      <c r="AB714" s="661"/>
    </row>
    <row r="715">
      <c r="A715" s="661"/>
      <c r="B715" s="661"/>
      <c r="C715" s="661"/>
      <c r="D715" s="662"/>
      <c r="E715" s="661"/>
      <c r="F715" s="661"/>
      <c r="G715" s="661"/>
      <c r="H715" s="661"/>
      <c r="I715" s="661"/>
      <c r="J715" s="661"/>
      <c r="K715" s="661"/>
      <c r="L715" s="661"/>
      <c r="M715" s="661"/>
      <c r="N715" s="661"/>
      <c r="O715" s="661"/>
      <c r="P715" s="661"/>
      <c r="Q715" s="661"/>
      <c r="R715" s="661"/>
      <c r="S715" s="661"/>
      <c r="T715" s="661"/>
      <c r="U715" s="661"/>
      <c r="V715" s="661"/>
      <c r="W715" s="661"/>
      <c r="X715" s="661"/>
      <c r="Y715" s="661"/>
      <c r="Z715" s="661"/>
      <c r="AA715" s="661"/>
      <c r="AB715" s="661"/>
    </row>
    <row r="716">
      <c r="A716" s="661"/>
      <c r="B716" s="661"/>
      <c r="C716" s="661"/>
      <c r="D716" s="662"/>
      <c r="E716" s="661"/>
      <c r="F716" s="661"/>
      <c r="G716" s="661"/>
      <c r="H716" s="661"/>
      <c r="I716" s="661"/>
      <c r="J716" s="661"/>
      <c r="K716" s="661"/>
      <c r="L716" s="661"/>
      <c r="M716" s="661"/>
      <c r="N716" s="661"/>
      <c r="O716" s="661"/>
      <c r="P716" s="661"/>
      <c r="Q716" s="661"/>
      <c r="R716" s="661"/>
      <c r="S716" s="661"/>
      <c r="T716" s="661"/>
      <c r="U716" s="661"/>
      <c r="V716" s="661"/>
      <c r="W716" s="661"/>
      <c r="X716" s="661"/>
      <c r="Y716" s="661"/>
      <c r="Z716" s="661"/>
      <c r="AA716" s="661"/>
      <c r="AB716" s="661"/>
    </row>
    <row r="717">
      <c r="A717" s="661"/>
      <c r="B717" s="661"/>
      <c r="C717" s="661"/>
      <c r="D717" s="662"/>
      <c r="E717" s="661"/>
      <c r="F717" s="661"/>
      <c r="G717" s="661"/>
      <c r="H717" s="661"/>
      <c r="I717" s="661"/>
      <c r="J717" s="661"/>
      <c r="K717" s="661"/>
      <c r="L717" s="661"/>
      <c r="M717" s="661"/>
      <c r="N717" s="661"/>
      <c r="O717" s="661"/>
      <c r="P717" s="661"/>
      <c r="Q717" s="661"/>
      <c r="R717" s="661"/>
      <c r="S717" s="661"/>
      <c r="T717" s="661"/>
      <c r="U717" s="661"/>
      <c r="V717" s="661"/>
      <c r="W717" s="661"/>
      <c r="X717" s="661"/>
      <c r="Y717" s="661"/>
      <c r="Z717" s="661"/>
      <c r="AA717" s="661"/>
      <c r="AB717" s="661"/>
    </row>
    <row r="718">
      <c r="A718" s="661"/>
      <c r="B718" s="661"/>
      <c r="C718" s="661"/>
      <c r="D718" s="662"/>
      <c r="E718" s="661"/>
      <c r="F718" s="661"/>
      <c r="G718" s="661"/>
      <c r="H718" s="661"/>
      <c r="I718" s="661"/>
      <c r="J718" s="661"/>
      <c r="K718" s="661"/>
      <c r="L718" s="661"/>
      <c r="M718" s="661"/>
      <c r="N718" s="661"/>
      <c r="O718" s="661"/>
      <c r="P718" s="661"/>
      <c r="Q718" s="661"/>
      <c r="R718" s="661"/>
      <c r="S718" s="661"/>
      <c r="T718" s="661"/>
      <c r="U718" s="661"/>
      <c r="V718" s="661"/>
      <c r="W718" s="661"/>
      <c r="X718" s="661"/>
      <c r="Y718" s="661"/>
      <c r="Z718" s="661"/>
      <c r="AA718" s="661"/>
      <c r="AB718" s="661"/>
    </row>
    <row r="719">
      <c r="A719" s="661"/>
      <c r="B719" s="661"/>
      <c r="C719" s="661"/>
      <c r="D719" s="662"/>
      <c r="E719" s="661"/>
      <c r="F719" s="661"/>
      <c r="G719" s="661"/>
      <c r="H719" s="661"/>
      <c r="I719" s="661"/>
      <c r="J719" s="661"/>
      <c r="K719" s="661"/>
      <c r="L719" s="661"/>
      <c r="M719" s="661"/>
      <c r="N719" s="661"/>
      <c r="O719" s="661"/>
      <c r="P719" s="661"/>
      <c r="Q719" s="661"/>
      <c r="R719" s="661"/>
      <c r="S719" s="661"/>
      <c r="T719" s="661"/>
      <c r="U719" s="661"/>
      <c r="V719" s="661"/>
      <c r="W719" s="661"/>
      <c r="X719" s="661"/>
      <c r="Y719" s="661"/>
      <c r="Z719" s="661"/>
      <c r="AA719" s="661"/>
      <c r="AB719" s="661"/>
    </row>
    <row r="720">
      <c r="A720" s="661"/>
      <c r="B720" s="661"/>
      <c r="C720" s="661"/>
      <c r="D720" s="662"/>
      <c r="E720" s="661"/>
      <c r="F720" s="661"/>
      <c r="G720" s="661"/>
      <c r="H720" s="661"/>
      <c r="I720" s="661"/>
      <c r="J720" s="661"/>
      <c r="K720" s="661"/>
      <c r="L720" s="661"/>
      <c r="M720" s="661"/>
      <c r="N720" s="661"/>
      <c r="O720" s="661"/>
      <c r="P720" s="661"/>
      <c r="Q720" s="661"/>
      <c r="R720" s="661"/>
      <c r="S720" s="661"/>
      <c r="T720" s="661"/>
      <c r="U720" s="661"/>
      <c r="V720" s="661"/>
      <c r="W720" s="661"/>
      <c r="X720" s="661"/>
      <c r="Y720" s="661"/>
      <c r="Z720" s="661"/>
      <c r="AA720" s="661"/>
      <c r="AB720" s="661"/>
    </row>
    <row r="721">
      <c r="A721" s="661"/>
      <c r="B721" s="661"/>
      <c r="C721" s="661"/>
      <c r="D721" s="662"/>
      <c r="E721" s="661"/>
      <c r="F721" s="661"/>
      <c r="G721" s="661"/>
      <c r="H721" s="661"/>
      <c r="I721" s="661"/>
      <c r="J721" s="661"/>
      <c r="K721" s="661"/>
      <c r="L721" s="661"/>
      <c r="M721" s="661"/>
      <c r="N721" s="661"/>
      <c r="O721" s="661"/>
      <c r="P721" s="661"/>
      <c r="Q721" s="661"/>
      <c r="R721" s="661"/>
      <c r="S721" s="661"/>
      <c r="T721" s="661"/>
      <c r="U721" s="661"/>
      <c r="V721" s="661"/>
      <c r="W721" s="661"/>
      <c r="X721" s="661"/>
      <c r="Y721" s="661"/>
      <c r="Z721" s="661"/>
      <c r="AA721" s="661"/>
      <c r="AB721" s="661"/>
    </row>
    <row r="722">
      <c r="A722" s="661"/>
      <c r="B722" s="661"/>
      <c r="C722" s="661"/>
      <c r="D722" s="662"/>
      <c r="E722" s="661"/>
      <c r="F722" s="661"/>
      <c r="G722" s="661"/>
      <c r="H722" s="661"/>
      <c r="I722" s="661"/>
      <c r="J722" s="661"/>
      <c r="K722" s="661"/>
      <c r="L722" s="661"/>
      <c r="M722" s="661"/>
      <c r="N722" s="661"/>
      <c r="O722" s="661"/>
      <c r="P722" s="661"/>
      <c r="Q722" s="661"/>
      <c r="R722" s="661"/>
      <c r="S722" s="661"/>
      <c r="T722" s="661"/>
      <c r="U722" s="661"/>
      <c r="V722" s="661"/>
      <c r="W722" s="661"/>
      <c r="X722" s="661"/>
      <c r="Y722" s="661"/>
      <c r="Z722" s="661"/>
      <c r="AA722" s="661"/>
      <c r="AB722" s="661"/>
    </row>
    <row r="723">
      <c r="A723" s="661"/>
      <c r="B723" s="661"/>
      <c r="C723" s="661"/>
      <c r="D723" s="662"/>
      <c r="E723" s="661"/>
      <c r="F723" s="661"/>
      <c r="G723" s="661"/>
      <c r="H723" s="661"/>
      <c r="I723" s="661"/>
      <c r="J723" s="661"/>
      <c r="K723" s="661"/>
      <c r="L723" s="661"/>
      <c r="M723" s="661"/>
      <c r="N723" s="661"/>
      <c r="O723" s="661"/>
      <c r="P723" s="661"/>
      <c r="Q723" s="661"/>
      <c r="R723" s="661"/>
      <c r="S723" s="661"/>
      <c r="T723" s="661"/>
      <c r="U723" s="661"/>
      <c r="V723" s="661"/>
      <c r="W723" s="661"/>
      <c r="X723" s="661"/>
      <c r="Y723" s="661"/>
      <c r="Z723" s="661"/>
      <c r="AA723" s="661"/>
      <c r="AB723" s="661"/>
    </row>
    <row r="724">
      <c r="A724" s="661"/>
      <c r="B724" s="661"/>
      <c r="C724" s="661"/>
      <c r="D724" s="662"/>
      <c r="E724" s="661"/>
      <c r="F724" s="661"/>
      <c r="G724" s="661"/>
      <c r="H724" s="661"/>
      <c r="I724" s="661"/>
      <c r="J724" s="661"/>
      <c r="K724" s="661"/>
      <c r="L724" s="661"/>
      <c r="M724" s="661"/>
      <c r="N724" s="661"/>
      <c r="O724" s="661"/>
      <c r="P724" s="661"/>
      <c r="Q724" s="661"/>
      <c r="R724" s="661"/>
      <c r="S724" s="661"/>
      <c r="T724" s="661"/>
      <c r="U724" s="661"/>
      <c r="V724" s="661"/>
      <c r="W724" s="661"/>
      <c r="X724" s="661"/>
      <c r="Y724" s="661"/>
      <c r="Z724" s="661"/>
      <c r="AA724" s="661"/>
      <c r="AB724" s="661"/>
    </row>
    <row r="725">
      <c r="A725" s="661"/>
      <c r="B725" s="661"/>
      <c r="C725" s="661"/>
      <c r="D725" s="662"/>
      <c r="E725" s="661"/>
      <c r="F725" s="661"/>
      <c r="G725" s="661"/>
      <c r="H725" s="661"/>
      <c r="I725" s="661"/>
      <c r="J725" s="661"/>
      <c r="K725" s="661"/>
      <c r="L725" s="661"/>
      <c r="M725" s="661"/>
      <c r="N725" s="661"/>
      <c r="O725" s="661"/>
      <c r="P725" s="661"/>
      <c r="Q725" s="661"/>
      <c r="R725" s="661"/>
      <c r="S725" s="661"/>
      <c r="T725" s="661"/>
      <c r="U725" s="661"/>
      <c r="V725" s="661"/>
      <c r="W725" s="661"/>
      <c r="X725" s="661"/>
      <c r="Y725" s="661"/>
      <c r="Z725" s="661"/>
      <c r="AA725" s="661"/>
      <c r="AB725" s="661"/>
    </row>
    <row r="726">
      <c r="A726" s="661"/>
      <c r="B726" s="661"/>
      <c r="C726" s="661"/>
      <c r="D726" s="662"/>
      <c r="E726" s="661"/>
      <c r="F726" s="661"/>
      <c r="G726" s="661"/>
      <c r="H726" s="661"/>
      <c r="I726" s="661"/>
      <c r="J726" s="661"/>
      <c r="K726" s="661"/>
      <c r="L726" s="661"/>
      <c r="M726" s="661"/>
      <c r="N726" s="661"/>
      <c r="O726" s="661"/>
      <c r="P726" s="661"/>
      <c r="Q726" s="661"/>
      <c r="R726" s="661"/>
      <c r="S726" s="661"/>
      <c r="T726" s="661"/>
      <c r="U726" s="661"/>
      <c r="V726" s="661"/>
      <c r="W726" s="661"/>
      <c r="X726" s="661"/>
      <c r="Y726" s="661"/>
      <c r="Z726" s="661"/>
      <c r="AA726" s="661"/>
      <c r="AB726" s="661"/>
    </row>
    <row r="727">
      <c r="A727" s="661"/>
      <c r="B727" s="661"/>
      <c r="C727" s="661"/>
      <c r="D727" s="662"/>
      <c r="E727" s="661"/>
      <c r="F727" s="661"/>
      <c r="G727" s="661"/>
      <c r="H727" s="661"/>
      <c r="I727" s="661"/>
      <c r="J727" s="661"/>
      <c r="K727" s="661"/>
      <c r="L727" s="661"/>
      <c r="M727" s="661"/>
      <c r="N727" s="661"/>
      <c r="O727" s="661"/>
      <c r="P727" s="661"/>
      <c r="Q727" s="661"/>
      <c r="R727" s="661"/>
      <c r="S727" s="661"/>
      <c r="T727" s="661"/>
      <c r="U727" s="661"/>
      <c r="V727" s="661"/>
      <c r="W727" s="661"/>
      <c r="X727" s="661"/>
      <c r="Y727" s="661"/>
      <c r="Z727" s="661"/>
      <c r="AA727" s="661"/>
      <c r="AB727" s="661"/>
    </row>
    <row r="728">
      <c r="A728" s="661"/>
      <c r="B728" s="661"/>
      <c r="C728" s="661"/>
      <c r="D728" s="662"/>
      <c r="E728" s="661"/>
      <c r="F728" s="661"/>
      <c r="G728" s="661"/>
      <c r="H728" s="661"/>
      <c r="I728" s="661"/>
      <c r="J728" s="661"/>
      <c r="K728" s="661"/>
      <c r="L728" s="661"/>
      <c r="M728" s="661"/>
      <c r="N728" s="661"/>
      <c r="O728" s="661"/>
      <c r="P728" s="661"/>
      <c r="Q728" s="661"/>
      <c r="R728" s="661"/>
      <c r="S728" s="661"/>
      <c r="T728" s="661"/>
      <c r="U728" s="661"/>
      <c r="V728" s="661"/>
      <c r="W728" s="661"/>
      <c r="X728" s="661"/>
      <c r="Y728" s="661"/>
      <c r="Z728" s="661"/>
      <c r="AA728" s="661"/>
      <c r="AB728" s="661"/>
    </row>
    <row r="729">
      <c r="A729" s="661"/>
      <c r="B729" s="661"/>
      <c r="C729" s="661"/>
      <c r="D729" s="662"/>
      <c r="E729" s="661"/>
      <c r="F729" s="661"/>
      <c r="G729" s="661"/>
      <c r="H729" s="661"/>
      <c r="I729" s="661"/>
      <c r="J729" s="661"/>
      <c r="K729" s="661"/>
      <c r="L729" s="661"/>
      <c r="M729" s="661"/>
      <c r="N729" s="661"/>
      <c r="O729" s="661"/>
      <c r="P729" s="661"/>
      <c r="Q729" s="661"/>
      <c r="R729" s="661"/>
      <c r="S729" s="661"/>
      <c r="T729" s="661"/>
      <c r="U729" s="661"/>
      <c r="V729" s="661"/>
      <c r="W729" s="661"/>
      <c r="X729" s="661"/>
      <c r="Y729" s="661"/>
      <c r="Z729" s="661"/>
      <c r="AA729" s="661"/>
      <c r="AB729" s="661"/>
    </row>
    <row r="730">
      <c r="A730" s="661"/>
      <c r="B730" s="661"/>
      <c r="C730" s="661"/>
      <c r="D730" s="662"/>
      <c r="E730" s="661"/>
      <c r="F730" s="661"/>
      <c r="G730" s="661"/>
      <c r="H730" s="661"/>
      <c r="I730" s="661"/>
      <c r="J730" s="661"/>
      <c r="K730" s="661"/>
      <c r="L730" s="661"/>
      <c r="M730" s="661"/>
      <c r="N730" s="661"/>
      <c r="O730" s="661"/>
      <c r="P730" s="661"/>
      <c r="Q730" s="661"/>
      <c r="R730" s="661"/>
      <c r="S730" s="661"/>
      <c r="T730" s="661"/>
      <c r="U730" s="661"/>
      <c r="V730" s="661"/>
      <c r="W730" s="661"/>
      <c r="X730" s="661"/>
      <c r="Y730" s="661"/>
      <c r="Z730" s="661"/>
      <c r="AA730" s="661"/>
      <c r="AB730" s="661"/>
    </row>
    <row r="731">
      <c r="A731" s="661"/>
      <c r="B731" s="661"/>
      <c r="C731" s="661"/>
      <c r="D731" s="662"/>
      <c r="E731" s="661"/>
      <c r="F731" s="661"/>
      <c r="G731" s="661"/>
      <c r="H731" s="661"/>
      <c r="I731" s="661"/>
      <c r="J731" s="661"/>
      <c r="K731" s="661"/>
      <c r="L731" s="661"/>
      <c r="M731" s="661"/>
      <c r="N731" s="661"/>
      <c r="O731" s="661"/>
      <c r="P731" s="661"/>
      <c r="Q731" s="661"/>
      <c r="R731" s="661"/>
      <c r="S731" s="661"/>
      <c r="T731" s="661"/>
      <c r="U731" s="661"/>
      <c r="V731" s="661"/>
      <c r="W731" s="661"/>
      <c r="X731" s="661"/>
      <c r="Y731" s="661"/>
      <c r="Z731" s="661"/>
      <c r="AA731" s="661"/>
      <c r="AB731" s="661"/>
    </row>
    <row r="732">
      <c r="A732" s="661"/>
      <c r="B732" s="661"/>
      <c r="C732" s="661"/>
      <c r="D732" s="662"/>
      <c r="E732" s="661"/>
      <c r="F732" s="661"/>
      <c r="G732" s="661"/>
      <c r="H732" s="661"/>
      <c r="I732" s="661"/>
      <c r="J732" s="661"/>
      <c r="K732" s="661"/>
      <c r="L732" s="661"/>
      <c r="M732" s="661"/>
      <c r="N732" s="661"/>
      <c r="O732" s="661"/>
      <c r="P732" s="661"/>
      <c r="Q732" s="661"/>
      <c r="R732" s="661"/>
      <c r="S732" s="661"/>
      <c r="T732" s="661"/>
      <c r="U732" s="661"/>
      <c r="V732" s="661"/>
      <c r="W732" s="661"/>
      <c r="X732" s="661"/>
      <c r="Y732" s="661"/>
      <c r="Z732" s="661"/>
      <c r="AA732" s="661"/>
      <c r="AB732" s="661"/>
    </row>
    <row r="733">
      <c r="A733" s="661"/>
      <c r="B733" s="661"/>
      <c r="C733" s="661"/>
      <c r="D733" s="662"/>
      <c r="E733" s="661"/>
      <c r="F733" s="661"/>
      <c r="G733" s="661"/>
      <c r="H733" s="661"/>
      <c r="I733" s="661"/>
      <c r="J733" s="661"/>
      <c r="K733" s="661"/>
      <c r="L733" s="661"/>
      <c r="M733" s="661"/>
      <c r="N733" s="661"/>
      <c r="O733" s="661"/>
      <c r="P733" s="661"/>
      <c r="Q733" s="661"/>
      <c r="R733" s="661"/>
      <c r="S733" s="661"/>
      <c r="T733" s="661"/>
      <c r="U733" s="661"/>
      <c r="V733" s="661"/>
      <c r="W733" s="661"/>
      <c r="X733" s="661"/>
      <c r="Y733" s="661"/>
      <c r="Z733" s="661"/>
      <c r="AA733" s="661"/>
      <c r="AB733" s="661"/>
    </row>
    <row r="734">
      <c r="A734" s="661"/>
      <c r="B734" s="661"/>
      <c r="C734" s="661"/>
      <c r="D734" s="662"/>
      <c r="E734" s="661"/>
      <c r="F734" s="661"/>
      <c r="G734" s="661"/>
      <c r="H734" s="661"/>
      <c r="I734" s="661"/>
      <c r="J734" s="661"/>
      <c r="K734" s="661"/>
      <c r="L734" s="661"/>
      <c r="M734" s="661"/>
      <c r="N734" s="661"/>
      <c r="O734" s="661"/>
      <c r="P734" s="661"/>
      <c r="Q734" s="661"/>
      <c r="R734" s="661"/>
      <c r="S734" s="661"/>
      <c r="T734" s="661"/>
      <c r="U734" s="661"/>
      <c r="V734" s="661"/>
      <c r="W734" s="661"/>
      <c r="X734" s="661"/>
      <c r="Y734" s="661"/>
      <c r="Z734" s="661"/>
      <c r="AA734" s="661"/>
      <c r="AB734" s="661"/>
    </row>
    <row r="735">
      <c r="A735" s="661"/>
      <c r="B735" s="661"/>
      <c r="C735" s="661"/>
      <c r="D735" s="662"/>
      <c r="E735" s="661"/>
      <c r="F735" s="661"/>
      <c r="G735" s="661"/>
      <c r="H735" s="661"/>
      <c r="I735" s="661"/>
      <c r="J735" s="661"/>
      <c r="K735" s="661"/>
      <c r="L735" s="661"/>
      <c r="M735" s="661"/>
      <c r="N735" s="661"/>
      <c r="O735" s="661"/>
      <c r="P735" s="661"/>
      <c r="Q735" s="661"/>
      <c r="R735" s="661"/>
      <c r="S735" s="661"/>
      <c r="T735" s="661"/>
      <c r="U735" s="661"/>
      <c r="V735" s="661"/>
      <c r="W735" s="661"/>
      <c r="X735" s="661"/>
      <c r="Y735" s="661"/>
      <c r="Z735" s="661"/>
      <c r="AA735" s="661"/>
      <c r="AB735" s="661"/>
    </row>
    <row r="736">
      <c r="A736" s="661"/>
      <c r="B736" s="661"/>
      <c r="C736" s="661"/>
      <c r="D736" s="662"/>
      <c r="E736" s="661"/>
      <c r="F736" s="661"/>
      <c r="G736" s="661"/>
      <c r="H736" s="661"/>
      <c r="I736" s="661"/>
      <c r="J736" s="661"/>
      <c r="K736" s="661"/>
      <c r="L736" s="661"/>
      <c r="M736" s="661"/>
      <c r="N736" s="661"/>
      <c r="O736" s="661"/>
      <c r="P736" s="661"/>
      <c r="Q736" s="661"/>
      <c r="R736" s="661"/>
      <c r="S736" s="661"/>
      <c r="T736" s="661"/>
      <c r="U736" s="661"/>
      <c r="V736" s="661"/>
      <c r="W736" s="661"/>
      <c r="X736" s="661"/>
      <c r="Y736" s="661"/>
      <c r="Z736" s="661"/>
      <c r="AA736" s="661"/>
      <c r="AB736" s="661"/>
    </row>
    <row r="737">
      <c r="A737" s="661"/>
      <c r="B737" s="661"/>
      <c r="C737" s="661"/>
      <c r="D737" s="662"/>
      <c r="E737" s="661"/>
      <c r="F737" s="661"/>
      <c r="G737" s="661"/>
      <c r="H737" s="661"/>
      <c r="I737" s="661"/>
      <c r="J737" s="661"/>
      <c r="K737" s="661"/>
      <c r="L737" s="661"/>
      <c r="M737" s="661"/>
      <c r="N737" s="661"/>
      <c r="O737" s="661"/>
      <c r="P737" s="661"/>
      <c r="Q737" s="661"/>
      <c r="R737" s="661"/>
      <c r="S737" s="661"/>
      <c r="T737" s="661"/>
      <c r="U737" s="661"/>
      <c r="V737" s="661"/>
      <c r="W737" s="661"/>
      <c r="X737" s="661"/>
      <c r="Y737" s="661"/>
      <c r="Z737" s="661"/>
      <c r="AA737" s="661"/>
      <c r="AB737" s="661"/>
    </row>
    <row r="738">
      <c r="A738" s="661"/>
      <c r="B738" s="661"/>
      <c r="C738" s="661"/>
      <c r="D738" s="662"/>
      <c r="E738" s="661"/>
      <c r="F738" s="661"/>
      <c r="G738" s="661"/>
      <c r="H738" s="661"/>
      <c r="I738" s="661"/>
      <c r="J738" s="661"/>
      <c r="K738" s="661"/>
      <c r="L738" s="661"/>
      <c r="M738" s="661"/>
      <c r="N738" s="661"/>
      <c r="O738" s="661"/>
      <c r="P738" s="661"/>
      <c r="Q738" s="661"/>
      <c r="R738" s="661"/>
      <c r="S738" s="661"/>
      <c r="T738" s="661"/>
      <c r="U738" s="661"/>
      <c r="V738" s="661"/>
      <c r="W738" s="661"/>
      <c r="X738" s="661"/>
      <c r="Y738" s="661"/>
      <c r="Z738" s="661"/>
      <c r="AA738" s="661"/>
      <c r="AB738" s="661"/>
    </row>
    <row r="739">
      <c r="A739" s="661"/>
      <c r="B739" s="661"/>
      <c r="C739" s="661"/>
      <c r="D739" s="662"/>
      <c r="E739" s="661"/>
      <c r="F739" s="661"/>
      <c r="G739" s="661"/>
      <c r="H739" s="661"/>
      <c r="I739" s="661"/>
      <c r="J739" s="661"/>
      <c r="K739" s="661"/>
      <c r="L739" s="661"/>
      <c r="M739" s="661"/>
      <c r="N739" s="661"/>
      <c r="O739" s="661"/>
      <c r="P739" s="661"/>
      <c r="Q739" s="661"/>
      <c r="R739" s="661"/>
      <c r="S739" s="661"/>
      <c r="T739" s="661"/>
      <c r="U739" s="661"/>
      <c r="V739" s="661"/>
      <c r="W739" s="661"/>
      <c r="X739" s="661"/>
      <c r="Y739" s="661"/>
      <c r="Z739" s="661"/>
      <c r="AA739" s="661"/>
      <c r="AB739" s="661"/>
    </row>
    <row r="740">
      <c r="A740" s="661"/>
      <c r="B740" s="661"/>
      <c r="C740" s="661"/>
      <c r="D740" s="662"/>
      <c r="E740" s="661"/>
      <c r="F740" s="661"/>
      <c r="G740" s="661"/>
      <c r="H740" s="661"/>
      <c r="I740" s="661"/>
      <c r="J740" s="661"/>
      <c r="K740" s="661"/>
      <c r="L740" s="661"/>
      <c r="M740" s="661"/>
      <c r="N740" s="661"/>
      <c r="O740" s="661"/>
      <c r="P740" s="661"/>
      <c r="Q740" s="661"/>
      <c r="R740" s="661"/>
      <c r="S740" s="661"/>
      <c r="T740" s="661"/>
      <c r="U740" s="661"/>
      <c r="V740" s="661"/>
      <c r="W740" s="661"/>
      <c r="X740" s="661"/>
      <c r="Y740" s="661"/>
      <c r="Z740" s="661"/>
      <c r="AA740" s="661"/>
      <c r="AB740" s="661"/>
    </row>
    <row r="741">
      <c r="A741" s="661"/>
      <c r="B741" s="661"/>
      <c r="C741" s="661"/>
      <c r="D741" s="662"/>
      <c r="E741" s="661"/>
      <c r="F741" s="661"/>
      <c r="G741" s="661"/>
      <c r="H741" s="661"/>
      <c r="I741" s="661"/>
      <c r="J741" s="661"/>
      <c r="K741" s="661"/>
      <c r="L741" s="661"/>
      <c r="M741" s="661"/>
      <c r="N741" s="661"/>
      <c r="O741" s="661"/>
      <c r="P741" s="661"/>
      <c r="Q741" s="661"/>
      <c r="R741" s="661"/>
      <c r="S741" s="661"/>
      <c r="T741" s="661"/>
      <c r="U741" s="661"/>
      <c r="V741" s="661"/>
      <c r="W741" s="661"/>
      <c r="X741" s="661"/>
      <c r="Y741" s="661"/>
      <c r="Z741" s="661"/>
      <c r="AA741" s="661"/>
      <c r="AB741" s="661"/>
    </row>
    <row r="742">
      <c r="A742" s="661"/>
      <c r="B742" s="661"/>
      <c r="C742" s="661"/>
      <c r="D742" s="662"/>
      <c r="E742" s="661"/>
      <c r="F742" s="661"/>
      <c r="G742" s="661"/>
      <c r="H742" s="661"/>
      <c r="I742" s="661"/>
      <c r="J742" s="661"/>
      <c r="K742" s="661"/>
      <c r="L742" s="661"/>
      <c r="M742" s="661"/>
      <c r="N742" s="661"/>
      <c r="O742" s="661"/>
      <c r="P742" s="661"/>
      <c r="Q742" s="661"/>
      <c r="R742" s="661"/>
      <c r="S742" s="661"/>
      <c r="T742" s="661"/>
      <c r="U742" s="661"/>
      <c r="V742" s="661"/>
      <c r="W742" s="661"/>
      <c r="X742" s="661"/>
      <c r="Y742" s="661"/>
      <c r="Z742" s="661"/>
      <c r="AA742" s="661"/>
      <c r="AB742" s="661"/>
    </row>
    <row r="743">
      <c r="A743" s="661"/>
      <c r="B743" s="661"/>
      <c r="C743" s="661"/>
      <c r="D743" s="662"/>
      <c r="E743" s="661"/>
      <c r="F743" s="661"/>
      <c r="G743" s="661"/>
      <c r="H743" s="661"/>
      <c r="I743" s="661"/>
      <c r="J743" s="661"/>
      <c r="K743" s="661"/>
      <c r="L743" s="661"/>
      <c r="M743" s="661"/>
      <c r="N743" s="661"/>
      <c r="O743" s="661"/>
      <c r="P743" s="661"/>
      <c r="Q743" s="661"/>
      <c r="R743" s="661"/>
      <c r="S743" s="661"/>
      <c r="T743" s="661"/>
      <c r="U743" s="661"/>
      <c r="V743" s="661"/>
      <c r="W743" s="661"/>
      <c r="X743" s="661"/>
      <c r="Y743" s="661"/>
      <c r="Z743" s="661"/>
      <c r="AA743" s="661"/>
      <c r="AB743" s="661"/>
    </row>
    <row r="744">
      <c r="A744" s="661"/>
      <c r="B744" s="661"/>
      <c r="C744" s="661"/>
      <c r="D744" s="662"/>
      <c r="E744" s="661"/>
      <c r="F744" s="661"/>
      <c r="G744" s="661"/>
      <c r="H744" s="661"/>
      <c r="I744" s="661"/>
      <c r="J744" s="661"/>
      <c r="K744" s="661"/>
      <c r="L744" s="661"/>
      <c r="M744" s="661"/>
      <c r="N744" s="661"/>
      <c r="O744" s="661"/>
      <c r="P744" s="661"/>
      <c r="Q744" s="661"/>
      <c r="R744" s="661"/>
      <c r="S744" s="661"/>
      <c r="T744" s="661"/>
      <c r="U744" s="661"/>
      <c r="V744" s="661"/>
      <c r="W744" s="661"/>
      <c r="X744" s="661"/>
      <c r="Y744" s="661"/>
      <c r="Z744" s="661"/>
      <c r="AA744" s="661"/>
      <c r="AB744" s="661"/>
    </row>
    <row r="745">
      <c r="A745" s="661"/>
      <c r="B745" s="661"/>
      <c r="C745" s="661"/>
      <c r="D745" s="662"/>
      <c r="E745" s="661"/>
      <c r="F745" s="661"/>
      <c r="G745" s="661"/>
      <c r="H745" s="661"/>
      <c r="I745" s="661"/>
      <c r="J745" s="661"/>
      <c r="K745" s="661"/>
      <c r="L745" s="661"/>
      <c r="M745" s="661"/>
      <c r="N745" s="661"/>
      <c r="O745" s="661"/>
      <c r="P745" s="661"/>
      <c r="Q745" s="661"/>
      <c r="R745" s="661"/>
      <c r="S745" s="661"/>
      <c r="T745" s="661"/>
      <c r="U745" s="661"/>
      <c r="V745" s="661"/>
      <c r="W745" s="661"/>
      <c r="X745" s="661"/>
      <c r="Y745" s="661"/>
      <c r="Z745" s="661"/>
      <c r="AA745" s="661"/>
      <c r="AB745" s="661"/>
    </row>
    <row r="746">
      <c r="A746" s="661"/>
      <c r="B746" s="661"/>
      <c r="C746" s="661"/>
      <c r="D746" s="662"/>
      <c r="E746" s="661"/>
      <c r="F746" s="661"/>
      <c r="G746" s="661"/>
      <c r="H746" s="661"/>
      <c r="I746" s="661"/>
      <c r="J746" s="661"/>
      <c r="K746" s="661"/>
      <c r="L746" s="661"/>
      <c r="M746" s="661"/>
      <c r="N746" s="661"/>
      <c r="O746" s="661"/>
      <c r="P746" s="661"/>
      <c r="Q746" s="661"/>
      <c r="R746" s="661"/>
      <c r="S746" s="661"/>
      <c r="T746" s="661"/>
      <c r="U746" s="661"/>
      <c r="V746" s="661"/>
      <c r="W746" s="661"/>
      <c r="X746" s="661"/>
      <c r="Y746" s="661"/>
      <c r="Z746" s="661"/>
      <c r="AA746" s="661"/>
      <c r="AB746" s="661"/>
    </row>
    <row r="747">
      <c r="A747" s="661"/>
      <c r="B747" s="661"/>
      <c r="C747" s="661"/>
      <c r="D747" s="662"/>
      <c r="E747" s="661"/>
      <c r="F747" s="661"/>
      <c r="G747" s="661"/>
      <c r="H747" s="661"/>
      <c r="I747" s="661"/>
      <c r="J747" s="661"/>
      <c r="K747" s="661"/>
      <c r="L747" s="661"/>
      <c r="M747" s="661"/>
      <c r="N747" s="661"/>
      <c r="O747" s="661"/>
      <c r="P747" s="661"/>
      <c r="Q747" s="661"/>
      <c r="R747" s="661"/>
      <c r="S747" s="661"/>
      <c r="T747" s="661"/>
      <c r="U747" s="661"/>
      <c r="V747" s="661"/>
      <c r="W747" s="661"/>
      <c r="X747" s="661"/>
      <c r="Y747" s="661"/>
      <c r="Z747" s="661"/>
      <c r="AA747" s="661"/>
      <c r="AB747" s="661"/>
    </row>
    <row r="748">
      <c r="A748" s="661"/>
      <c r="B748" s="661"/>
      <c r="C748" s="661"/>
      <c r="D748" s="662"/>
      <c r="E748" s="661"/>
      <c r="F748" s="661"/>
      <c r="G748" s="661"/>
      <c r="H748" s="661"/>
      <c r="I748" s="661"/>
      <c r="J748" s="661"/>
      <c r="K748" s="661"/>
      <c r="L748" s="661"/>
      <c r="M748" s="661"/>
      <c r="N748" s="661"/>
      <c r="O748" s="661"/>
      <c r="P748" s="661"/>
      <c r="Q748" s="661"/>
      <c r="R748" s="661"/>
      <c r="S748" s="661"/>
      <c r="T748" s="661"/>
      <c r="U748" s="661"/>
      <c r="V748" s="661"/>
      <c r="W748" s="661"/>
      <c r="X748" s="661"/>
      <c r="Y748" s="661"/>
      <c r="Z748" s="661"/>
      <c r="AA748" s="661"/>
      <c r="AB748" s="661"/>
    </row>
    <row r="749">
      <c r="A749" s="661"/>
      <c r="B749" s="661"/>
      <c r="C749" s="661"/>
      <c r="D749" s="662"/>
      <c r="E749" s="661"/>
      <c r="F749" s="661"/>
      <c r="G749" s="661"/>
      <c r="H749" s="661"/>
      <c r="I749" s="661"/>
      <c r="J749" s="661"/>
      <c r="K749" s="661"/>
      <c r="L749" s="661"/>
      <c r="M749" s="661"/>
      <c r="N749" s="661"/>
      <c r="O749" s="661"/>
      <c r="P749" s="661"/>
      <c r="Q749" s="661"/>
      <c r="R749" s="661"/>
      <c r="S749" s="661"/>
      <c r="T749" s="661"/>
      <c r="U749" s="661"/>
      <c r="V749" s="661"/>
      <c r="W749" s="661"/>
      <c r="X749" s="661"/>
      <c r="Y749" s="661"/>
      <c r="Z749" s="661"/>
      <c r="AA749" s="661"/>
      <c r="AB749" s="661"/>
    </row>
    <row r="750">
      <c r="A750" s="661"/>
      <c r="B750" s="661"/>
      <c r="C750" s="661"/>
      <c r="D750" s="662"/>
      <c r="E750" s="661"/>
      <c r="F750" s="661"/>
      <c r="G750" s="661"/>
      <c r="H750" s="661"/>
      <c r="I750" s="661"/>
      <c r="J750" s="661"/>
      <c r="K750" s="661"/>
      <c r="L750" s="661"/>
      <c r="M750" s="661"/>
      <c r="N750" s="661"/>
      <c r="O750" s="661"/>
      <c r="P750" s="661"/>
      <c r="Q750" s="661"/>
      <c r="R750" s="661"/>
      <c r="S750" s="661"/>
      <c r="T750" s="661"/>
      <c r="U750" s="661"/>
      <c r="V750" s="661"/>
      <c r="W750" s="661"/>
      <c r="X750" s="661"/>
      <c r="Y750" s="661"/>
      <c r="Z750" s="661"/>
      <c r="AA750" s="661"/>
      <c r="AB750" s="661"/>
    </row>
    <row r="751">
      <c r="A751" s="661"/>
      <c r="B751" s="661"/>
      <c r="C751" s="661"/>
      <c r="D751" s="662"/>
      <c r="E751" s="661"/>
      <c r="F751" s="661"/>
      <c r="G751" s="661"/>
      <c r="H751" s="661"/>
      <c r="I751" s="661"/>
      <c r="J751" s="661"/>
      <c r="K751" s="661"/>
      <c r="L751" s="661"/>
      <c r="M751" s="661"/>
      <c r="N751" s="661"/>
      <c r="O751" s="661"/>
      <c r="P751" s="661"/>
      <c r="Q751" s="661"/>
      <c r="R751" s="661"/>
      <c r="S751" s="661"/>
      <c r="T751" s="661"/>
      <c r="U751" s="661"/>
      <c r="V751" s="661"/>
      <c r="W751" s="661"/>
      <c r="X751" s="661"/>
      <c r="Y751" s="661"/>
      <c r="Z751" s="661"/>
      <c r="AA751" s="661"/>
      <c r="AB751" s="661"/>
    </row>
    <row r="752">
      <c r="A752" s="661"/>
      <c r="B752" s="661"/>
      <c r="C752" s="661"/>
      <c r="D752" s="662"/>
      <c r="E752" s="661"/>
      <c r="F752" s="661"/>
      <c r="G752" s="661"/>
      <c r="H752" s="661"/>
      <c r="I752" s="661"/>
      <c r="J752" s="661"/>
      <c r="K752" s="661"/>
      <c r="L752" s="661"/>
      <c r="M752" s="661"/>
      <c r="N752" s="661"/>
      <c r="O752" s="661"/>
      <c r="P752" s="661"/>
      <c r="Q752" s="661"/>
      <c r="R752" s="661"/>
      <c r="S752" s="661"/>
      <c r="T752" s="661"/>
      <c r="U752" s="661"/>
      <c r="V752" s="661"/>
      <c r="W752" s="661"/>
      <c r="X752" s="661"/>
      <c r="Y752" s="661"/>
      <c r="Z752" s="661"/>
      <c r="AA752" s="661"/>
      <c r="AB752" s="661"/>
    </row>
    <row r="753">
      <c r="A753" s="661"/>
      <c r="B753" s="661"/>
      <c r="C753" s="661"/>
      <c r="D753" s="662"/>
      <c r="E753" s="661"/>
      <c r="F753" s="661"/>
      <c r="G753" s="661"/>
      <c r="H753" s="661"/>
      <c r="I753" s="661"/>
      <c r="J753" s="661"/>
      <c r="K753" s="661"/>
      <c r="L753" s="661"/>
      <c r="M753" s="661"/>
      <c r="N753" s="661"/>
      <c r="O753" s="661"/>
      <c r="P753" s="661"/>
      <c r="Q753" s="661"/>
      <c r="R753" s="661"/>
      <c r="S753" s="661"/>
      <c r="T753" s="661"/>
      <c r="U753" s="661"/>
      <c r="V753" s="661"/>
      <c r="W753" s="661"/>
      <c r="X753" s="661"/>
      <c r="Y753" s="661"/>
      <c r="Z753" s="661"/>
      <c r="AA753" s="661"/>
      <c r="AB753" s="661"/>
    </row>
    <row r="754">
      <c r="A754" s="661"/>
      <c r="B754" s="661"/>
      <c r="C754" s="661"/>
      <c r="D754" s="662"/>
      <c r="E754" s="661"/>
      <c r="F754" s="661"/>
      <c r="G754" s="661"/>
      <c r="H754" s="661"/>
      <c r="I754" s="661"/>
      <c r="J754" s="661"/>
      <c r="K754" s="661"/>
      <c r="L754" s="661"/>
      <c r="M754" s="661"/>
      <c r="N754" s="661"/>
      <c r="O754" s="661"/>
      <c r="P754" s="661"/>
      <c r="Q754" s="661"/>
      <c r="R754" s="661"/>
      <c r="S754" s="661"/>
      <c r="T754" s="661"/>
      <c r="U754" s="661"/>
      <c r="V754" s="661"/>
      <c r="W754" s="661"/>
      <c r="X754" s="661"/>
      <c r="Y754" s="661"/>
      <c r="Z754" s="661"/>
      <c r="AA754" s="661"/>
      <c r="AB754" s="661"/>
    </row>
    <row r="755">
      <c r="A755" s="661"/>
      <c r="B755" s="661"/>
      <c r="C755" s="661"/>
      <c r="D755" s="662"/>
      <c r="E755" s="661"/>
      <c r="F755" s="661"/>
      <c r="G755" s="661"/>
      <c r="H755" s="661"/>
      <c r="I755" s="661"/>
      <c r="J755" s="661"/>
      <c r="K755" s="661"/>
      <c r="L755" s="661"/>
      <c r="M755" s="661"/>
      <c r="N755" s="661"/>
      <c r="O755" s="661"/>
      <c r="P755" s="661"/>
      <c r="Q755" s="661"/>
      <c r="R755" s="661"/>
      <c r="S755" s="661"/>
      <c r="T755" s="661"/>
      <c r="U755" s="661"/>
      <c r="V755" s="661"/>
      <c r="W755" s="661"/>
      <c r="X755" s="661"/>
      <c r="Y755" s="661"/>
      <c r="Z755" s="661"/>
      <c r="AA755" s="661"/>
      <c r="AB755" s="661"/>
    </row>
    <row r="756">
      <c r="A756" s="661"/>
      <c r="B756" s="661"/>
      <c r="C756" s="661"/>
      <c r="D756" s="662"/>
      <c r="E756" s="661"/>
      <c r="F756" s="661"/>
      <c r="G756" s="661"/>
      <c r="H756" s="661"/>
      <c r="I756" s="661"/>
      <c r="J756" s="661"/>
      <c r="K756" s="661"/>
      <c r="L756" s="661"/>
      <c r="M756" s="661"/>
      <c r="N756" s="661"/>
      <c r="O756" s="661"/>
      <c r="P756" s="661"/>
      <c r="Q756" s="661"/>
      <c r="R756" s="661"/>
      <c r="S756" s="661"/>
      <c r="T756" s="661"/>
      <c r="U756" s="661"/>
      <c r="V756" s="661"/>
      <c r="W756" s="661"/>
      <c r="X756" s="661"/>
      <c r="Y756" s="661"/>
      <c r="Z756" s="661"/>
      <c r="AA756" s="661"/>
      <c r="AB756" s="661"/>
    </row>
    <row r="757">
      <c r="A757" s="661"/>
      <c r="B757" s="661"/>
      <c r="C757" s="661"/>
      <c r="D757" s="662"/>
      <c r="E757" s="661"/>
      <c r="F757" s="661"/>
      <c r="G757" s="661"/>
      <c r="H757" s="661"/>
      <c r="I757" s="661"/>
      <c r="J757" s="661"/>
      <c r="K757" s="661"/>
      <c r="L757" s="661"/>
      <c r="M757" s="661"/>
      <c r="N757" s="661"/>
      <c r="O757" s="661"/>
      <c r="P757" s="661"/>
      <c r="Q757" s="661"/>
      <c r="R757" s="661"/>
      <c r="S757" s="661"/>
      <c r="T757" s="661"/>
      <c r="U757" s="661"/>
      <c r="V757" s="661"/>
      <c r="W757" s="661"/>
      <c r="X757" s="661"/>
      <c r="Y757" s="661"/>
      <c r="Z757" s="661"/>
      <c r="AA757" s="661"/>
      <c r="AB757" s="661"/>
    </row>
    <row r="758">
      <c r="A758" s="661"/>
      <c r="B758" s="661"/>
      <c r="C758" s="661"/>
      <c r="D758" s="662"/>
      <c r="E758" s="661"/>
      <c r="F758" s="661"/>
      <c r="G758" s="661"/>
      <c r="H758" s="661"/>
      <c r="I758" s="661"/>
      <c r="J758" s="661"/>
      <c r="K758" s="661"/>
      <c r="L758" s="661"/>
      <c r="M758" s="661"/>
      <c r="N758" s="661"/>
      <c r="O758" s="661"/>
      <c r="P758" s="661"/>
      <c r="Q758" s="661"/>
      <c r="R758" s="661"/>
      <c r="S758" s="661"/>
      <c r="T758" s="661"/>
      <c r="U758" s="661"/>
      <c r="V758" s="661"/>
      <c r="W758" s="661"/>
      <c r="X758" s="661"/>
      <c r="Y758" s="661"/>
      <c r="Z758" s="661"/>
      <c r="AA758" s="661"/>
      <c r="AB758" s="661"/>
    </row>
    <row r="759">
      <c r="A759" s="661"/>
      <c r="B759" s="661"/>
      <c r="C759" s="661"/>
      <c r="D759" s="662"/>
      <c r="E759" s="661"/>
      <c r="F759" s="661"/>
      <c r="G759" s="661"/>
      <c r="H759" s="661"/>
      <c r="I759" s="661"/>
      <c r="J759" s="661"/>
      <c r="K759" s="661"/>
      <c r="L759" s="661"/>
      <c r="M759" s="661"/>
      <c r="N759" s="661"/>
      <c r="O759" s="661"/>
      <c r="P759" s="661"/>
      <c r="Q759" s="661"/>
      <c r="R759" s="661"/>
      <c r="S759" s="661"/>
      <c r="T759" s="661"/>
      <c r="U759" s="661"/>
      <c r="V759" s="661"/>
      <c r="W759" s="661"/>
      <c r="X759" s="661"/>
      <c r="Y759" s="661"/>
      <c r="Z759" s="661"/>
      <c r="AA759" s="661"/>
      <c r="AB759" s="661"/>
    </row>
    <row r="760">
      <c r="A760" s="661"/>
      <c r="B760" s="661"/>
      <c r="C760" s="661"/>
      <c r="D760" s="662"/>
      <c r="E760" s="661"/>
      <c r="F760" s="661"/>
      <c r="G760" s="661"/>
      <c r="H760" s="661"/>
      <c r="I760" s="661"/>
      <c r="J760" s="661"/>
      <c r="K760" s="661"/>
      <c r="L760" s="661"/>
      <c r="M760" s="661"/>
      <c r="N760" s="661"/>
      <c r="O760" s="661"/>
      <c r="P760" s="661"/>
      <c r="Q760" s="661"/>
      <c r="R760" s="661"/>
      <c r="S760" s="661"/>
      <c r="T760" s="661"/>
      <c r="U760" s="661"/>
      <c r="V760" s="661"/>
      <c r="W760" s="661"/>
      <c r="X760" s="661"/>
      <c r="Y760" s="661"/>
      <c r="Z760" s="661"/>
      <c r="AA760" s="661"/>
      <c r="AB760" s="661"/>
    </row>
    <row r="761">
      <c r="A761" s="661"/>
      <c r="B761" s="661"/>
      <c r="C761" s="661"/>
      <c r="D761" s="662"/>
      <c r="E761" s="661"/>
      <c r="F761" s="661"/>
      <c r="G761" s="661"/>
      <c r="H761" s="661"/>
      <c r="I761" s="661"/>
      <c r="J761" s="661"/>
      <c r="K761" s="661"/>
      <c r="L761" s="661"/>
      <c r="M761" s="661"/>
      <c r="N761" s="661"/>
      <c r="O761" s="661"/>
      <c r="P761" s="661"/>
      <c r="Q761" s="661"/>
      <c r="R761" s="661"/>
      <c r="S761" s="661"/>
      <c r="T761" s="661"/>
      <c r="U761" s="661"/>
      <c r="V761" s="661"/>
      <c r="W761" s="661"/>
      <c r="X761" s="661"/>
      <c r="Y761" s="661"/>
      <c r="Z761" s="661"/>
      <c r="AA761" s="661"/>
      <c r="AB761" s="661"/>
    </row>
    <row r="762">
      <c r="A762" s="661"/>
      <c r="B762" s="661"/>
      <c r="C762" s="661"/>
      <c r="D762" s="662"/>
      <c r="E762" s="661"/>
      <c r="F762" s="661"/>
      <c r="G762" s="661"/>
      <c r="H762" s="661"/>
      <c r="I762" s="661"/>
      <c r="J762" s="661"/>
      <c r="K762" s="661"/>
      <c r="L762" s="661"/>
      <c r="M762" s="661"/>
      <c r="N762" s="661"/>
      <c r="O762" s="661"/>
      <c r="P762" s="661"/>
      <c r="Q762" s="661"/>
      <c r="R762" s="661"/>
      <c r="S762" s="661"/>
      <c r="T762" s="661"/>
      <c r="U762" s="661"/>
      <c r="V762" s="661"/>
      <c r="W762" s="661"/>
      <c r="X762" s="661"/>
      <c r="Y762" s="661"/>
      <c r="Z762" s="661"/>
      <c r="AA762" s="661"/>
      <c r="AB762" s="661"/>
    </row>
    <row r="763">
      <c r="A763" s="661"/>
      <c r="B763" s="661"/>
      <c r="C763" s="661"/>
      <c r="D763" s="662"/>
      <c r="E763" s="661"/>
      <c r="F763" s="661"/>
      <c r="G763" s="661"/>
      <c r="H763" s="661"/>
      <c r="I763" s="661"/>
      <c r="J763" s="661"/>
      <c r="K763" s="661"/>
      <c r="L763" s="661"/>
      <c r="M763" s="661"/>
      <c r="N763" s="661"/>
      <c r="O763" s="661"/>
      <c r="P763" s="661"/>
      <c r="Q763" s="661"/>
      <c r="R763" s="661"/>
      <c r="S763" s="661"/>
      <c r="T763" s="661"/>
      <c r="U763" s="661"/>
      <c r="V763" s="661"/>
      <c r="W763" s="661"/>
      <c r="X763" s="661"/>
      <c r="Y763" s="661"/>
      <c r="Z763" s="661"/>
      <c r="AA763" s="661"/>
      <c r="AB763" s="661"/>
    </row>
    <row r="764">
      <c r="A764" s="661"/>
      <c r="B764" s="661"/>
      <c r="C764" s="661"/>
      <c r="D764" s="662"/>
      <c r="E764" s="661"/>
      <c r="F764" s="661"/>
      <c r="G764" s="661"/>
      <c r="H764" s="661"/>
      <c r="I764" s="661"/>
      <c r="J764" s="661"/>
      <c r="K764" s="661"/>
      <c r="L764" s="661"/>
      <c r="M764" s="661"/>
      <c r="N764" s="661"/>
      <c r="O764" s="661"/>
      <c r="P764" s="661"/>
      <c r="Q764" s="661"/>
      <c r="R764" s="661"/>
      <c r="S764" s="661"/>
      <c r="T764" s="661"/>
      <c r="U764" s="661"/>
      <c r="V764" s="661"/>
      <c r="W764" s="661"/>
      <c r="X764" s="661"/>
      <c r="Y764" s="661"/>
      <c r="Z764" s="661"/>
      <c r="AA764" s="661"/>
      <c r="AB764" s="661"/>
    </row>
    <row r="765">
      <c r="A765" s="661"/>
      <c r="B765" s="661"/>
      <c r="C765" s="661"/>
      <c r="D765" s="662"/>
      <c r="E765" s="661"/>
      <c r="F765" s="661"/>
      <c r="G765" s="661"/>
      <c r="H765" s="661"/>
      <c r="I765" s="661"/>
      <c r="J765" s="661"/>
      <c r="K765" s="661"/>
      <c r="L765" s="661"/>
      <c r="M765" s="661"/>
      <c r="N765" s="661"/>
      <c r="O765" s="661"/>
      <c r="P765" s="661"/>
      <c r="Q765" s="661"/>
      <c r="R765" s="661"/>
      <c r="S765" s="661"/>
      <c r="T765" s="661"/>
      <c r="U765" s="661"/>
      <c r="V765" s="661"/>
      <c r="W765" s="661"/>
      <c r="X765" s="661"/>
      <c r="Y765" s="661"/>
      <c r="Z765" s="661"/>
      <c r="AA765" s="661"/>
      <c r="AB765" s="661"/>
    </row>
    <row r="766">
      <c r="A766" s="661"/>
      <c r="B766" s="661"/>
      <c r="C766" s="661"/>
      <c r="D766" s="662"/>
      <c r="E766" s="661"/>
      <c r="F766" s="661"/>
      <c r="G766" s="661"/>
      <c r="H766" s="661"/>
      <c r="I766" s="661"/>
      <c r="J766" s="661"/>
      <c r="K766" s="661"/>
      <c r="L766" s="661"/>
      <c r="M766" s="661"/>
      <c r="N766" s="661"/>
      <c r="O766" s="661"/>
      <c r="P766" s="661"/>
      <c r="Q766" s="661"/>
      <c r="R766" s="661"/>
      <c r="S766" s="661"/>
      <c r="T766" s="661"/>
      <c r="U766" s="661"/>
      <c r="V766" s="661"/>
      <c r="W766" s="661"/>
      <c r="X766" s="661"/>
      <c r="Y766" s="661"/>
      <c r="Z766" s="661"/>
      <c r="AA766" s="661"/>
      <c r="AB766" s="661"/>
    </row>
    <row r="767">
      <c r="A767" s="661"/>
      <c r="B767" s="661"/>
      <c r="C767" s="661"/>
      <c r="D767" s="662"/>
      <c r="E767" s="661"/>
      <c r="F767" s="661"/>
      <c r="G767" s="661"/>
      <c r="H767" s="661"/>
      <c r="I767" s="661"/>
      <c r="J767" s="661"/>
      <c r="K767" s="661"/>
      <c r="L767" s="661"/>
      <c r="M767" s="661"/>
      <c r="N767" s="661"/>
      <c r="O767" s="661"/>
      <c r="P767" s="661"/>
      <c r="Q767" s="661"/>
      <c r="R767" s="661"/>
      <c r="S767" s="661"/>
      <c r="T767" s="661"/>
      <c r="U767" s="661"/>
      <c r="V767" s="661"/>
      <c r="W767" s="661"/>
      <c r="X767" s="661"/>
      <c r="Y767" s="661"/>
      <c r="Z767" s="661"/>
      <c r="AA767" s="661"/>
      <c r="AB767" s="661"/>
    </row>
    <row r="768">
      <c r="A768" s="661"/>
      <c r="B768" s="661"/>
      <c r="C768" s="661"/>
      <c r="D768" s="662"/>
      <c r="E768" s="661"/>
      <c r="F768" s="661"/>
      <c r="G768" s="661"/>
      <c r="H768" s="661"/>
      <c r="I768" s="661"/>
      <c r="J768" s="661"/>
      <c r="K768" s="661"/>
      <c r="L768" s="661"/>
      <c r="M768" s="661"/>
      <c r="N768" s="661"/>
      <c r="O768" s="661"/>
      <c r="P768" s="661"/>
      <c r="Q768" s="661"/>
      <c r="R768" s="661"/>
      <c r="S768" s="661"/>
      <c r="T768" s="661"/>
      <c r="U768" s="661"/>
      <c r="V768" s="661"/>
      <c r="W768" s="661"/>
      <c r="X768" s="661"/>
      <c r="Y768" s="661"/>
      <c r="Z768" s="661"/>
      <c r="AA768" s="661"/>
      <c r="AB768" s="661"/>
    </row>
    <row r="769">
      <c r="A769" s="661"/>
      <c r="B769" s="661"/>
      <c r="C769" s="661"/>
      <c r="D769" s="662"/>
      <c r="E769" s="661"/>
      <c r="F769" s="661"/>
      <c r="G769" s="661"/>
      <c r="H769" s="661"/>
      <c r="I769" s="661"/>
      <c r="J769" s="661"/>
      <c r="K769" s="661"/>
      <c r="L769" s="661"/>
      <c r="M769" s="661"/>
      <c r="N769" s="661"/>
      <c r="O769" s="661"/>
      <c r="P769" s="661"/>
      <c r="Q769" s="661"/>
      <c r="R769" s="661"/>
      <c r="S769" s="661"/>
      <c r="T769" s="661"/>
      <c r="U769" s="661"/>
      <c r="V769" s="661"/>
      <c r="W769" s="661"/>
      <c r="X769" s="661"/>
      <c r="Y769" s="661"/>
      <c r="Z769" s="661"/>
      <c r="AA769" s="661"/>
      <c r="AB769" s="661"/>
    </row>
    <row r="770">
      <c r="A770" s="661"/>
      <c r="B770" s="661"/>
      <c r="C770" s="661"/>
      <c r="D770" s="662"/>
      <c r="E770" s="661"/>
      <c r="F770" s="661"/>
      <c r="G770" s="661"/>
      <c r="H770" s="661"/>
      <c r="I770" s="661"/>
      <c r="J770" s="661"/>
      <c r="K770" s="661"/>
      <c r="L770" s="661"/>
      <c r="M770" s="661"/>
      <c r="N770" s="661"/>
      <c r="O770" s="661"/>
      <c r="P770" s="661"/>
      <c r="Q770" s="661"/>
      <c r="R770" s="661"/>
      <c r="S770" s="661"/>
      <c r="T770" s="661"/>
      <c r="U770" s="661"/>
      <c r="V770" s="661"/>
      <c r="W770" s="661"/>
      <c r="X770" s="661"/>
      <c r="Y770" s="661"/>
      <c r="Z770" s="661"/>
      <c r="AA770" s="661"/>
      <c r="AB770" s="661"/>
    </row>
    <row r="771">
      <c r="A771" s="661"/>
      <c r="B771" s="661"/>
      <c r="C771" s="661"/>
      <c r="D771" s="662"/>
      <c r="E771" s="661"/>
      <c r="F771" s="661"/>
      <c r="G771" s="661"/>
      <c r="H771" s="661"/>
      <c r="I771" s="661"/>
      <c r="J771" s="661"/>
      <c r="K771" s="661"/>
      <c r="L771" s="661"/>
      <c r="M771" s="661"/>
      <c r="N771" s="661"/>
      <c r="O771" s="661"/>
      <c r="P771" s="661"/>
      <c r="Q771" s="661"/>
      <c r="R771" s="661"/>
      <c r="S771" s="661"/>
      <c r="T771" s="661"/>
      <c r="U771" s="661"/>
      <c r="V771" s="661"/>
      <c r="W771" s="661"/>
      <c r="X771" s="661"/>
      <c r="Y771" s="661"/>
      <c r="Z771" s="661"/>
      <c r="AA771" s="661"/>
      <c r="AB771" s="661"/>
    </row>
    <row r="772">
      <c r="A772" s="661"/>
      <c r="B772" s="661"/>
      <c r="C772" s="661"/>
      <c r="D772" s="662"/>
      <c r="E772" s="661"/>
      <c r="F772" s="661"/>
      <c r="G772" s="661"/>
      <c r="H772" s="661"/>
      <c r="I772" s="661"/>
      <c r="J772" s="661"/>
      <c r="K772" s="661"/>
      <c r="L772" s="661"/>
      <c r="M772" s="661"/>
      <c r="N772" s="661"/>
      <c r="O772" s="661"/>
      <c r="P772" s="661"/>
      <c r="Q772" s="661"/>
      <c r="R772" s="661"/>
      <c r="S772" s="661"/>
      <c r="T772" s="661"/>
      <c r="U772" s="661"/>
      <c r="V772" s="661"/>
      <c r="W772" s="661"/>
      <c r="X772" s="661"/>
      <c r="Y772" s="661"/>
      <c r="Z772" s="661"/>
      <c r="AA772" s="661"/>
      <c r="AB772" s="661"/>
    </row>
    <row r="773">
      <c r="A773" s="661"/>
      <c r="B773" s="661"/>
      <c r="C773" s="661"/>
      <c r="D773" s="662"/>
      <c r="E773" s="661"/>
      <c r="F773" s="661"/>
      <c r="G773" s="661"/>
      <c r="H773" s="661"/>
      <c r="I773" s="661"/>
      <c r="J773" s="661"/>
      <c r="K773" s="661"/>
      <c r="L773" s="661"/>
      <c r="M773" s="661"/>
      <c r="N773" s="661"/>
      <c r="O773" s="661"/>
      <c r="P773" s="661"/>
      <c r="Q773" s="661"/>
      <c r="R773" s="661"/>
      <c r="S773" s="661"/>
      <c r="T773" s="661"/>
      <c r="U773" s="661"/>
      <c r="V773" s="661"/>
      <c r="W773" s="661"/>
      <c r="X773" s="661"/>
      <c r="Y773" s="661"/>
      <c r="Z773" s="661"/>
      <c r="AA773" s="661"/>
      <c r="AB773" s="661"/>
    </row>
    <row r="774">
      <c r="A774" s="661"/>
      <c r="B774" s="661"/>
      <c r="C774" s="661"/>
      <c r="D774" s="662"/>
      <c r="E774" s="661"/>
      <c r="F774" s="661"/>
      <c r="G774" s="661"/>
      <c r="H774" s="661"/>
      <c r="I774" s="661"/>
      <c r="J774" s="661"/>
      <c r="K774" s="661"/>
      <c r="L774" s="661"/>
      <c r="M774" s="661"/>
      <c r="N774" s="661"/>
      <c r="O774" s="661"/>
      <c r="P774" s="661"/>
      <c r="Q774" s="661"/>
      <c r="R774" s="661"/>
      <c r="S774" s="661"/>
      <c r="T774" s="661"/>
      <c r="U774" s="661"/>
      <c r="V774" s="661"/>
      <c r="W774" s="661"/>
      <c r="X774" s="661"/>
      <c r="Y774" s="661"/>
      <c r="Z774" s="661"/>
      <c r="AA774" s="661"/>
      <c r="AB774" s="661"/>
    </row>
    <row r="775">
      <c r="A775" s="661"/>
      <c r="B775" s="661"/>
      <c r="C775" s="661"/>
      <c r="D775" s="662"/>
      <c r="E775" s="661"/>
      <c r="F775" s="661"/>
      <c r="G775" s="661"/>
      <c r="H775" s="661"/>
      <c r="I775" s="661"/>
      <c r="J775" s="661"/>
      <c r="K775" s="661"/>
      <c r="L775" s="661"/>
      <c r="M775" s="661"/>
      <c r="N775" s="661"/>
      <c r="O775" s="661"/>
      <c r="P775" s="661"/>
      <c r="Q775" s="661"/>
      <c r="R775" s="661"/>
      <c r="S775" s="661"/>
      <c r="T775" s="661"/>
      <c r="U775" s="661"/>
      <c r="V775" s="661"/>
      <c r="W775" s="661"/>
      <c r="X775" s="661"/>
      <c r="Y775" s="661"/>
      <c r="Z775" s="661"/>
      <c r="AA775" s="661"/>
      <c r="AB775" s="661"/>
    </row>
    <row r="776">
      <c r="A776" s="661"/>
      <c r="B776" s="661"/>
      <c r="C776" s="661"/>
      <c r="D776" s="662"/>
      <c r="E776" s="661"/>
      <c r="F776" s="661"/>
      <c r="G776" s="661"/>
      <c r="H776" s="661"/>
      <c r="I776" s="661"/>
      <c r="J776" s="661"/>
      <c r="K776" s="661"/>
      <c r="L776" s="661"/>
      <c r="M776" s="661"/>
      <c r="N776" s="661"/>
      <c r="O776" s="661"/>
      <c r="P776" s="661"/>
      <c r="Q776" s="661"/>
      <c r="R776" s="661"/>
      <c r="S776" s="661"/>
      <c r="T776" s="661"/>
      <c r="U776" s="661"/>
      <c r="V776" s="661"/>
      <c r="W776" s="661"/>
      <c r="X776" s="661"/>
      <c r="Y776" s="661"/>
      <c r="Z776" s="661"/>
      <c r="AA776" s="661"/>
      <c r="AB776" s="661"/>
    </row>
    <row r="777">
      <c r="A777" s="661"/>
      <c r="B777" s="661"/>
      <c r="C777" s="661"/>
      <c r="D777" s="662"/>
      <c r="E777" s="661"/>
      <c r="F777" s="661"/>
      <c r="G777" s="661"/>
      <c r="H777" s="661"/>
      <c r="I777" s="661"/>
      <c r="J777" s="661"/>
      <c r="K777" s="661"/>
      <c r="L777" s="661"/>
      <c r="M777" s="661"/>
      <c r="N777" s="661"/>
      <c r="O777" s="661"/>
      <c r="P777" s="661"/>
      <c r="Q777" s="661"/>
      <c r="R777" s="661"/>
      <c r="S777" s="661"/>
      <c r="T777" s="661"/>
      <c r="U777" s="661"/>
      <c r="V777" s="661"/>
      <c r="W777" s="661"/>
      <c r="X777" s="661"/>
      <c r="Y777" s="661"/>
      <c r="Z777" s="661"/>
      <c r="AA777" s="661"/>
      <c r="AB777" s="661"/>
    </row>
    <row r="778">
      <c r="A778" s="661"/>
      <c r="B778" s="661"/>
      <c r="C778" s="661"/>
      <c r="D778" s="662"/>
      <c r="E778" s="661"/>
      <c r="F778" s="661"/>
      <c r="G778" s="661"/>
      <c r="H778" s="661"/>
      <c r="I778" s="661"/>
      <c r="J778" s="661"/>
      <c r="K778" s="661"/>
      <c r="L778" s="661"/>
      <c r="M778" s="661"/>
      <c r="N778" s="661"/>
      <c r="O778" s="661"/>
      <c r="P778" s="661"/>
      <c r="Q778" s="661"/>
      <c r="R778" s="661"/>
      <c r="S778" s="661"/>
      <c r="T778" s="661"/>
      <c r="U778" s="661"/>
      <c r="V778" s="661"/>
      <c r="W778" s="661"/>
      <c r="X778" s="661"/>
      <c r="Y778" s="661"/>
      <c r="Z778" s="661"/>
      <c r="AA778" s="661"/>
      <c r="AB778" s="661"/>
    </row>
    <row r="779">
      <c r="A779" s="661"/>
      <c r="B779" s="661"/>
      <c r="C779" s="661"/>
      <c r="D779" s="662"/>
      <c r="E779" s="661"/>
      <c r="F779" s="661"/>
      <c r="G779" s="661"/>
      <c r="H779" s="661"/>
      <c r="I779" s="661"/>
      <c r="J779" s="661"/>
      <c r="K779" s="661"/>
      <c r="L779" s="661"/>
      <c r="M779" s="661"/>
      <c r="N779" s="661"/>
      <c r="O779" s="661"/>
      <c r="P779" s="661"/>
      <c r="Q779" s="661"/>
      <c r="R779" s="661"/>
      <c r="S779" s="661"/>
      <c r="T779" s="661"/>
      <c r="U779" s="661"/>
      <c r="V779" s="661"/>
      <c r="W779" s="661"/>
      <c r="X779" s="661"/>
      <c r="Y779" s="661"/>
      <c r="Z779" s="661"/>
      <c r="AA779" s="661"/>
      <c r="AB779" s="661"/>
    </row>
    <row r="780">
      <c r="A780" s="661"/>
      <c r="B780" s="661"/>
      <c r="C780" s="661"/>
      <c r="D780" s="662"/>
      <c r="E780" s="661"/>
      <c r="F780" s="661"/>
      <c r="G780" s="661"/>
      <c r="H780" s="661"/>
      <c r="I780" s="661"/>
      <c r="J780" s="661"/>
      <c r="K780" s="661"/>
      <c r="L780" s="661"/>
      <c r="M780" s="661"/>
      <c r="N780" s="661"/>
      <c r="O780" s="661"/>
      <c r="P780" s="661"/>
      <c r="Q780" s="661"/>
      <c r="R780" s="661"/>
      <c r="S780" s="661"/>
      <c r="T780" s="661"/>
      <c r="U780" s="661"/>
      <c r="V780" s="661"/>
      <c r="W780" s="661"/>
      <c r="X780" s="661"/>
      <c r="Y780" s="661"/>
      <c r="Z780" s="661"/>
      <c r="AA780" s="661"/>
      <c r="AB780" s="661"/>
    </row>
    <row r="781">
      <c r="A781" s="661"/>
      <c r="B781" s="661"/>
      <c r="C781" s="661"/>
      <c r="D781" s="662"/>
      <c r="E781" s="661"/>
      <c r="F781" s="661"/>
      <c r="G781" s="661"/>
      <c r="H781" s="661"/>
      <c r="I781" s="661"/>
      <c r="J781" s="661"/>
      <c r="K781" s="661"/>
      <c r="L781" s="661"/>
      <c r="M781" s="661"/>
      <c r="N781" s="661"/>
      <c r="O781" s="661"/>
      <c r="P781" s="661"/>
      <c r="Q781" s="661"/>
      <c r="R781" s="661"/>
      <c r="S781" s="661"/>
      <c r="T781" s="661"/>
      <c r="U781" s="661"/>
      <c r="V781" s="661"/>
      <c r="W781" s="661"/>
      <c r="X781" s="661"/>
      <c r="Y781" s="661"/>
      <c r="Z781" s="661"/>
      <c r="AA781" s="661"/>
      <c r="AB781" s="661"/>
    </row>
    <row r="782">
      <c r="A782" s="661"/>
      <c r="B782" s="661"/>
      <c r="C782" s="661"/>
      <c r="D782" s="662"/>
      <c r="E782" s="661"/>
      <c r="F782" s="661"/>
      <c r="G782" s="661"/>
      <c r="H782" s="661"/>
      <c r="I782" s="661"/>
      <c r="J782" s="661"/>
      <c r="K782" s="661"/>
      <c r="L782" s="661"/>
      <c r="M782" s="661"/>
      <c r="N782" s="661"/>
      <c r="O782" s="661"/>
      <c r="P782" s="661"/>
      <c r="Q782" s="661"/>
      <c r="R782" s="661"/>
      <c r="S782" s="661"/>
      <c r="T782" s="661"/>
      <c r="U782" s="661"/>
      <c r="V782" s="661"/>
      <c r="W782" s="661"/>
      <c r="X782" s="661"/>
      <c r="Y782" s="661"/>
      <c r="Z782" s="661"/>
      <c r="AA782" s="661"/>
      <c r="AB782" s="661"/>
    </row>
    <row r="783">
      <c r="A783" s="661"/>
      <c r="B783" s="661"/>
      <c r="C783" s="661"/>
      <c r="D783" s="662"/>
      <c r="E783" s="661"/>
      <c r="F783" s="661"/>
      <c r="G783" s="661"/>
      <c r="H783" s="661"/>
      <c r="I783" s="661"/>
      <c r="J783" s="661"/>
      <c r="K783" s="661"/>
      <c r="L783" s="661"/>
      <c r="M783" s="661"/>
      <c r="N783" s="661"/>
      <c r="O783" s="661"/>
      <c r="P783" s="661"/>
      <c r="Q783" s="661"/>
      <c r="R783" s="661"/>
      <c r="S783" s="661"/>
      <c r="T783" s="661"/>
      <c r="U783" s="661"/>
      <c r="V783" s="661"/>
      <c r="W783" s="661"/>
      <c r="X783" s="661"/>
      <c r="Y783" s="661"/>
      <c r="Z783" s="661"/>
      <c r="AA783" s="661"/>
      <c r="AB783" s="661"/>
    </row>
    <row r="784">
      <c r="A784" s="661"/>
      <c r="B784" s="661"/>
      <c r="C784" s="661"/>
      <c r="D784" s="662"/>
      <c r="E784" s="661"/>
      <c r="F784" s="661"/>
      <c r="G784" s="661"/>
      <c r="H784" s="661"/>
      <c r="I784" s="661"/>
      <c r="J784" s="661"/>
      <c r="K784" s="661"/>
      <c r="L784" s="661"/>
      <c r="M784" s="661"/>
      <c r="N784" s="661"/>
      <c r="O784" s="661"/>
      <c r="P784" s="661"/>
      <c r="Q784" s="661"/>
      <c r="R784" s="661"/>
      <c r="S784" s="661"/>
      <c r="T784" s="661"/>
      <c r="U784" s="661"/>
      <c r="V784" s="661"/>
      <c r="W784" s="661"/>
      <c r="X784" s="661"/>
      <c r="Y784" s="661"/>
      <c r="Z784" s="661"/>
      <c r="AA784" s="661"/>
      <c r="AB784" s="661"/>
    </row>
    <row r="785">
      <c r="A785" s="661"/>
      <c r="B785" s="661"/>
      <c r="C785" s="661"/>
      <c r="D785" s="662"/>
      <c r="E785" s="661"/>
      <c r="F785" s="661"/>
      <c r="G785" s="661"/>
      <c r="H785" s="661"/>
      <c r="I785" s="661"/>
      <c r="J785" s="661"/>
      <c r="K785" s="661"/>
      <c r="L785" s="661"/>
      <c r="M785" s="661"/>
      <c r="N785" s="661"/>
      <c r="O785" s="661"/>
      <c r="P785" s="661"/>
      <c r="Q785" s="661"/>
      <c r="R785" s="661"/>
      <c r="S785" s="661"/>
      <c r="T785" s="661"/>
      <c r="U785" s="661"/>
      <c r="V785" s="661"/>
      <c r="W785" s="661"/>
      <c r="X785" s="661"/>
      <c r="Y785" s="661"/>
      <c r="Z785" s="661"/>
      <c r="AA785" s="661"/>
      <c r="AB785" s="661"/>
    </row>
    <row r="786">
      <c r="A786" s="661"/>
      <c r="B786" s="661"/>
      <c r="C786" s="661"/>
      <c r="D786" s="662"/>
      <c r="E786" s="661"/>
      <c r="F786" s="661"/>
      <c r="G786" s="661"/>
      <c r="H786" s="661"/>
      <c r="I786" s="661"/>
      <c r="J786" s="661"/>
      <c r="K786" s="661"/>
      <c r="L786" s="661"/>
      <c r="M786" s="661"/>
      <c r="N786" s="661"/>
      <c r="O786" s="661"/>
      <c r="P786" s="661"/>
      <c r="Q786" s="661"/>
      <c r="R786" s="661"/>
      <c r="S786" s="661"/>
      <c r="T786" s="661"/>
      <c r="U786" s="661"/>
      <c r="V786" s="661"/>
      <c r="W786" s="661"/>
      <c r="X786" s="661"/>
      <c r="Y786" s="661"/>
      <c r="Z786" s="661"/>
      <c r="AA786" s="661"/>
      <c r="AB786" s="661"/>
    </row>
    <row r="787">
      <c r="A787" s="661"/>
      <c r="B787" s="661"/>
      <c r="C787" s="661"/>
      <c r="D787" s="662"/>
      <c r="E787" s="661"/>
      <c r="F787" s="661"/>
      <c r="G787" s="661"/>
      <c r="H787" s="661"/>
      <c r="I787" s="661"/>
      <c r="J787" s="661"/>
      <c r="K787" s="661"/>
      <c r="L787" s="661"/>
      <c r="M787" s="661"/>
      <c r="N787" s="661"/>
      <c r="O787" s="661"/>
      <c r="P787" s="661"/>
      <c r="Q787" s="661"/>
      <c r="R787" s="661"/>
      <c r="S787" s="661"/>
      <c r="T787" s="661"/>
      <c r="U787" s="661"/>
      <c r="V787" s="661"/>
      <c r="W787" s="661"/>
      <c r="X787" s="661"/>
      <c r="Y787" s="661"/>
      <c r="Z787" s="661"/>
      <c r="AA787" s="661"/>
      <c r="AB787" s="661"/>
    </row>
    <row r="788">
      <c r="A788" s="661"/>
      <c r="B788" s="661"/>
      <c r="C788" s="661"/>
      <c r="D788" s="662"/>
      <c r="E788" s="661"/>
      <c r="F788" s="661"/>
      <c r="G788" s="661"/>
      <c r="H788" s="661"/>
      <c r="I788" s="661"/>
      <c r="J788" s="661"/>
      <c r="K788" s="661"/>
      <c r="L788" s="661"/>
      <c r="M788" s="661"/>
      <c r="N788" s="661"/>
      <c r="O788" s="661"/>
      <c r="P788" s="661"/>
      <c r="Q788" s="661"/>
      <c r="R788" s="661"/>
      <c r="S788" s="661"/>
      <c r="T788" s="661"/>
      <c r="U788" s="661"/>
      <c r="V788" s="661"/>
      <c r="W788" s="661"/>
      <c r="X788" s="661"/>
      <c r="Y788" s="661"/>
      <c r="Z788" s="661"/>
      <c r="AA788" s="661"/>
      <c r="AB788" s="661"/>
    </row>
    <row r="789">
      <c r="A789" s="661"/>
      <c r="B789" s="661"/>
      <c r="C789" s="661"/>
      <c r="D789" s="662"/>
      <c r="E789" s="661"/>
      <c r="F789" s="661"/>
      <c r="G789" s="661"/>
      <c r="H789" s="661"/>
      <c r="I789" s="661"/>
      <c r="J789" s="661"/>
      <c r="K789" s="661"/>
      <c r="L789" s="661"/>
      <c r="M789" s="661"/>
      <c r="N789" s="661"/>
      <c r="O789" s="661"/>
      <c r="P789" s="661"/>
      <c r="Q789" s="661"/>
      <c r="R789" s="661"/>
      <c r="S789" s="661"/>
      <c r="T789" s="661"/>
      <c r="U789" s="661"/>
      <c r="V789" s="661"/>
      <c r="W789" s="661"/>
      <c r="X789" s="661"/>
      <c r="Y789" s="661"/>
      <c r="Z789" s="661"/>
      <c r="AA789" s="661"/>
      <c r="AB789" s="661"/>
    </row>
    <row r="790">
      <c r="A790" s="661"/>
      <c r="B790" s="661"/>
      <c r="C790" s="661"/>
      <c r="D790" s="662"/>
      <c r="E790" s="661"/>
      <c r="F790" s="661"/>
      <c r="G790" s="661"/>
      <c r="H790" s="661"/>
      <c r="I790" s="661"/>
      <c r="J790" s="661"/>
      <c r="K790" s="661"/>
      <c r="L790" s="661"/>
      <c r="M790" s="661"/>
      <c r="N790" s="661"/>
      <c r="O790" s="661"/>
      <c r="P790" s="661"/>
      <c r="Q790" s="661"/>
      <c r="R790" s="661"/>
      <c r="S790" s="661"/>
      <c r="T790" s="661"/>
      <c r="U790" s="661"/>
      <c r="V790" s="661"/>
      <c r="W790" s="661"/>
      <c r="X790" s="661"/>
      <c r="Y790" s="661"/>
      <c r="Z790" s="661"/>
      <c r="AA790" s="661"/>
      <c r="AB790" s="661"/>
    </row>
    <row r="791">
      <c r="A791" s="661"/>
      <c r="B791" s="661"/>
      <c r="C791" s="661"/>
      <c r="D791" s="662"/>
      <c r="E791" s="661"/>
      <c r="F791" s="661"/>
      <c r="G791" s="661"/>
      <c r="H791" s="661"/>
      <c r="I791" s="661"/>
      <c r="J791" s="661"/>
      <c r="K791" s="661"/>
      <c r="L791" s="661"/>
      <c r="M791" s="661"/>
      <c r="N791" s="661"/>
      <c r="O791" s="661"/>
      <c r="P791" s="661"/>
      <c r="Q791" s="661"/>
      <c r="R791" s="661"/>
      <c r="S791" s="661"/>
      <c r="T791" s="661"/>
      <c r="U791" s="661"/>
      <c r="V791" s="661"/>
      <c r="W791" s="661"/>
      <c r="X791" s="661"/>
      <c r="Y791" s="661"/>
      <c r="Z791" s="661"/>
      <c r="AA791" s="661"/>
      <c r="AB791" s="661"/>
    </row>
    <row r="792">
      <c r="A792" s="661"/>
      <c r="B792" s="661"/>
      <c r="C792" s="661"/>
      <c r="D792" s="662"/>
      <c r="E792" s="661"/>
      <c r="F792" s="661"/>
      <c r="G792" s="661"/>
      <c r="H792" s="661"/>
      <c r="I792" s="661"/>
      <c r="J792" s="661"/>
      <c r="K792" s="661"/>
      <c r="L792" s="661"/>
      <c r="M792" s="661"/>
      <c r="N792" s="661"/>
      <c r="O792" s="661"/>
      <c r="P792" s="661"/>
      <c r="Q792" s="661"/>
      <c r="R792" s="661"/>
      <c r="S792" s="661"/>
      <c r="T792" s="661"/>
      <c r="U792" s="661"/>
      <c r="V792" s="661"/>
      <c r="W792" s="661"/>
      <c r="X792" s="661"/>
      <c r="Y792" s="661"/>
      <c r="Z792" s="661"/>
      <c r="AA792" s="661"/>
      <c r="AB792" s="661"/>
    </row>
    <row r="793">
      <c r="A793" s="661"/>
      <c r="B793" s="661"/>
      <c r="C793" s="661"/>
      <c r="D793" s="662"/>
      <c r="E793" s="661"/>
      <c r="F793" s="661"/>
      <c r="G793" s="661"/>
      <c r="H793" s="661"/>
      <c r="I793" s="661"/>
      <c r="J793" s="661"/>
      <c r="K793" s="661"/>
      <c r="L793" s="661"/>
      <c r="M793" s="661"/>
      <c r="N793" s="661"/>
      <c r="O793" s="661"/>
      <c r="P793" s="661"/>
      <c r="Q793" s="661"/>
      <c r="R793" s="661"/>
      <c r="S793" s="661"/>
      <c r="T793" s="661"/>
      <c r="U793" s="661"/>
      <c r="V793" s="661"/>
      <c r="W793" s="661"/>
      <c r="X793" s="661"/>
      <c r="Y793" s="661"/>
      <c r="Z793" s="661"/>
      <c r="AA793" s="661"/>
      <c r="AB793" s="661"/>
    </row>
    <row r="794">
      <c r="A794" s="661"/>
      <c r="B794" s="661"/>
      <c r="C794" s="661"/>
      <c r="D794" s="662"/>
      <c r="E794" s="661"/>
      <c r="F794" s="661"/>
      <c r="G794" s="661"/>
      <c r="H794" s="661"/>
      <c r="I794" s="661"/>
      <c r="J794" s="661"/>
      <c r="K794" s="661"/>
      <c r="L794" s="661"/>
      <c r="M794" s="661"/>
      <c r="N794" s="661"/>
      <c r="O794" s="661"/>
      <c r="P794" s="661"/>
      <c r="Q794" s="661"/>
      <c r="R794" s="661"/>
      <c r="S794" s="661"/>
      <c r="T794" s="661"/>
      <c r="U794" s="661"/>
      <c r="V794" s="661"/>
      <c r="W794" s="661"/>
      <c r="X794" s="661"/>
      <c r="Y794" s="661"/>
      <c r="Z794" s="661"/>
      <c r="AA794" s="661"/>
      <c r="AB794" s="661"/>
    </row>
    <row r="795">
      <c r="A795" s="661"/>
      <c r="B795" s="661"/>
      <c r="C795" s="661"/>
      <c r="D795" s="662"/>
      <c r="E795" s="661"/>
      <c r="F795" s="661"/>
      <c r="G795" s="661"/>
      <c r="H795" s="661"/>
      <c r="I795" s="661"/>
      <c r="J795" s="661"/>
      <c r="K795" s="661"/>
      <c r="L795" s="661"/>
      <c r="M795" s="661"/>
      <c r="N795" s="661"/>
      <c r="O795" s="661"/>
      <c r="P795" s="661"/>
      <c r="Q795" s="661"/>
      <c r="R795" s="661"/>
      <c r="S795" s="661"/>
      <c r="T795" s="661"/>
      <c r="U795" s="661"/>
      <c r="V795" s="661"/>
      <c r="W795" s="661"/>
      <c r="X795" s="661"/>
      <c r="Y795" s="661"/>
      <c r="Z795" s="661"/>
      <c r="AA795" s="661"/>
      <c r="AB795" s="661"/>
    </row>
    <row r="796">
      <c r="A796" s="661"/>
      <c r="B796" s="661"/>
      <c r="C796" s="661"/>
      <c r="D796" s="662"/>
      <c r="E796" s="661"/>
      <c r="F796" s="661"/>
      <c r="G796" s="661"/>
      <c r="H796" s="661"/>
      <c r="I796" s="661"/>
      <c r="J796" s="661"/>
      <c r="K796" s="661"/>
      <c r="L796" s="661"/>
      <c r="M796" s="661"/>
      <c r="N796" s="661"/>
      <c r="O796" s="661"/>
      <c r="P796" s="661"/>
      <c r="Q796" s="661"/>
      <c r="R796" s="661"/>
      <c r="S796" s="661"/>
      <c r="T796" s="661"/>
      <c r="U796" s="661"/>
      <c r="V796" s="661"/>
      <c r="W796" s="661"/>
      <c r="X796" s="661"/>
      <c r="Y796" s="661"/>
      <c r="Z796" s="661"/>
      <c r="AA796" s="661"/>
      <c r="AB796" s="661"/>
    </row>
    <row r="797">
      <c r="A797" s="661"/>
      <c r="B797" s="661"/>
      <c r="C797" s="661"/>
      <c r="D797" s="662"/>
      <c r="E797" s="661"/>
      <c r="F797" s="661"/>
      <c r="G797" s="661"/>
      <c r="H797" s="661"/>
      <c r="I797" s="661"/>
      <c r="J797" s="661"/>
      <c r="K797" s="661"/>
      <c r="L797" s="661"/>
      <c r="M797" s="661"/>
      <c r="N797" s="661"/>
      <c r="O797" s="661"/>
      <c r="P797" s="661"/>
      <c r="Q797" s="661"/>
      <c r="R797" s="661"/>
      <c r="S797" s="661"/>
      <c r="T797" s="661"/>
      <c r="U797" s="661"/>
      <c r="V797" s="661"/>
      <c r="W797" s="661"/>
      <c r="X797" s="661"/>
      <c r="Y797" s="661"/>
      <c r="Z797" s="661"/>
      <c r="AA797" s="661"/>
      <c r="AB797" s="661"/>
    </row>
    <row r="798">
      <c r="A798" s="661"/>
      <c r="B798" s="661"/>
      <c r="C798" s="661"/>
      <c r="D798" s="662"/>
      <c r="E798" s="661"/>
      <c r="F798" s="661"/>
      <c r="G798" s="661"/>
      <c r="H798" s="661"/>
      <c r="I798" s="661"/>
      <c r="J798" s="661"/>
      <c r="K798" s="661"/>
      <c r="L798" s="661"/>
      <c r="M798" s="661"/>
      <c r="N798" s="661"/>
      <c r="O798" s="661"/>
      <c r="P798" s="661"/>
      <c r="Q798" s="661"/>
      <c r="R798" s="661"/>
      <c r="S798" s="661"/>
      <c r="T798" s="661"/>
      <c r="U798" s="661"/>
      <c r="V798" s="661"/>
      <c r="W798" s="661"/>
      <c r="X798" s="661"/>
      <c r="Y798" s="661"/>
      <c r="Z798" s="661"/>
      <c r="AA798" s="661"/>
      <c r="AB798" s="661"/>
    </row>
    <row r="799">
      <c r="A799" s="661"/>
      <c r="B799" s="661"/>
      <c r="C799" s="661"/>
      <c r="D799" s="662"/>
      <c r="E799" s="661"/>
      <c r="F799" s="661"/>
      <c r="G799" s="661"/>
      <c r="H799" s="661"/>
      <c r="I799" s="661"/>
      <c r="J799" s="661"/>
      <c r="K799" s="661"/>
      <c r="L799" s="661"/>
      <c r="M799" s="661"/>
      <c r="N799" s="661"/>
      <c r="O799" s="661"/>
      <c r="P799" s="661"/>
      <c r="Q799" s="661"/>
      <c r="R799" s="661"/>
      <c r="S799" s="661"/>
      <c r="T799" s="661"/>
      <c r="U799" s="661"/>
      <c r="V799" s="661"/>
      <c r="W799" s="661"/>
      <c r="X799" s="661"/>
      <c r="Y799" s="661"/>
      <c r="Z799" s="661"/>
      <c r="AA799" s="661"/>
      <c r="AB799" s="661"/>
    </row>
    <row r="800">
      <c r="A800" s="661"/>
      <c r="B800" s="661"/>
      <c r="C800" s="661"/>
      <c r="D800" s="662"/>
      <c r="E800" s="661"/>
      <c r="F800" s="661"/>
      <c r="G800" s="661"/>
      <c r="H800" s="661"/>
      <c r="I800" s="661"/>
      <c r="J800" s="661"/>
      <c r="K800" s="661"/>
      <c r="L800" s="661"/>
      <c r="M800" s="661"/>
      <c r="N800" s="661"/>
      <c r="O800" s="661"/>
      <c r="P800" s="661"/>
      <c r="Q800" s="661"/>
      <c r="R800" s="661"/>
      <c r="S800" s="661"/>
      <c r="T800" s="661"/>
      <c r="U800" s="661"/>
      <c r="V800" s="661"/>
      <c r="W800" s="661"/>
      <c r="X800" s="661"/>
      <c r="Y800" s="661"/>
      <c r="Z800" s="661"/>
      <c r="AA800" s="661"/>
      <c r="AB800" s="661"/>
    </row>
    <row r="801">
      <c r="A801" s="661"/>
      <c r="B801" s="661"/>
      <c r="C801" s="661"/>
      <c r="D801" s="662"/>
      <c r="E801" s="661"/>
      <c r="F801" s="661"/>
      <c r="G801" s="661"/>
      <c r="H801" s="661"/>
      <c r="I801" s="661"/>
      <c r="J801" s="661"/>
      <c r="K801" s="661"/>
      <c r="L801" s="661"/>
      <c r="M801" s="661"/>
      <c r="N801" s="661"/>
      <c r="O801" s="661"/>
      <c r="P801" s="661"/>
      <c r="Q801" s="661"/>
      <c r="R801" s="661"/>
      <c r="S801" s="661"/>
      <c r="T801" s="661"/>
      <c r="U801" s="661"/>
      <c r="V801" s="661"/>
      <c r="W801" s="661"/>
      <c r="X801" s="661"/>
      <c r="Y801" s="661"/>
      <c r="Z801" s="661"/>
      <c r="AA801" s="661"/>
      <c r="AB801" s="661"/>
    </row>
    <row r="802">
      <c r="A802" s="661"/>
      <c r="B802" s="661"/>
      <c r="C802" s="661"/>
      <c r="D802" s="662"/>
      <c r="E802" s="661"/>
      <c r="F802" s="661"/>
      <c r="G802" s="661"/>
      <c r="H802" s="661"/>
      <c r="I802" s="661"/>
      <c r="J802" s="661"/>
      <c r="K802" s="661"/>
      <c r="L802" s="661"/>
      <c r="M802" s="661"/>
      <c r="N802" s="661"/>
      <c r="O802" s="661"/>
      <c r="P802" s="661"/>
      <c r="Q802" s="661"/>
      <c r="R802" s="661"/>
      <c r="S802" s="661"/>
      <c r="T802" s="661"/>
      <c r="U802" s="661"/>
      <c r="V802" s="661"/>
      <c r="W802" s="661"/>
      <c r="X802" s="661"/>
      <c r="Y802" s="661"/>
      <c r="Z802" s="661"/>
      <c r="AA802" s="661"/>
      <c r="AB802" s="661"/>
    </row>
    <row r="803">
      <c r="A803" s="661"/>
      <c r="B803" s="661"/>
      <c r="C803" s="661"/>
      <c r="D803" s="662"/>
      <c r="E803" s="661"/>
      <c r="F803" s="661"/>
      <c r="G803" s="661"/>
      <c r="H803" s="661"/>
      <c r="I803" s="661"/>
      <c r="J803" s="661"/>
      <c r="K803" s="661"/>
      <c r="L803" s="661"/>
      <c r="M803" s="661"/>
      <c r="N803" s="661"/>
      <c r="O803" s="661"/>
      <c r="P803" s="661"/>
      <c r="Q803" s="661"/>
      <c r="R803" s="661"/>
      <c r="S803" s="661"/>
      <c r="T803" s="661"/>
      <c r="U803" s="661"/>
      <c r="V803" s="661"/>
      <c r="W803" s="661"/>
      <c r="X803" s="661"/>
      <c r="Y803" s="661"/>
      <c r="Z803" s="661"/>
      <c r="AA803" s="661"/>
      <c r="AB803" s="661"/>
    </row>
    <row r="804">
      <c r="A804" s="661"/>
      <c r="B804" s="661"/>
      <c r="C804" s="661"/>
      <c r="D804" s="662"/>
      <c r="E804" s="661"/>
      <c r="F804" s="661"/>
      <c r="G804" s="661"/>
      <c r="H804" s="661"/>
      <c r="I804" s="661"/>
      <c r="J804" s="661"/>
      <c r="K804" s="661"/>
      <c r="L804" s="661"/>
      <c r="M804" s="661"/>
      <c r="N804" s="661"/>
      <c r="O804" s="661"/>
      <c r="P804" s="661"/>
      <c r="Q804" s="661"/>
      <c r="R804" s="661"/>
      <c r="S804" s="661"/>
      <c r="T804" s="661"/>
      <c r="U804" s="661"/>
      <c r="V804" s="661"/>
      <c r="W804" s="661"/>
      <c r="X804" s="661"/>
      <c r="Y804" s="661"/>
      <c r="Z804" s="661"/>
      <c r="AA804" s="661"/>
      <c r="AB804" s="661"/>
    </row>
    <row r="805">
      <c r="A805" s="661"/>
      <c r="B805" s="661"/>
      <c r="C805" s="661"/>
      <c r="D805" s="662"/>
      <c r="E805" s="661"/>
      <c r="F805" s="661"/>
      <c r="G805" s="661"/>
      <c r="H805" s="661"/>
      <c r="I805" s="661"/>
      <c r="J805" s="661"/>
      <c r="K805" s="661"/>
      <c r="L805" s="661"/>
      <c r="M805" s="661"/>
      <c r="N805" s="661"/>
      <c r="O805" s="661"/>
      <c r="P805" s="661"/>
      <c r="Q805" s="661"/>
      <c r="R805" s="661"/>
      <c r="S805" s="661"/>
      <c r="T805" s="661"/>
      <c r="U805" s="661"/>
      <c r="V805" s="661"/>
      <c r="W805" s="661"/>
      <c r="X805" s="661"/>
      <c r="Y805" s="661"/>
      <c r="Z805" s="661"/>
      <c r="AA805" s="661"/>
      <c r="AB805" s="661"/>
    </row>
    <row r="806">
      <c r="A806" s="661"/>
      <c r="B806" s="661"/>
      <c r="C806" s="661"/>
      <c r="D806" s="662"/>
      <c r="E806" s="661"/>
      <c r="F806" s="661"/>
      <c r="G806" s="661"/>
      <c r="H806" s="661"/>
      <c r="I806" s="661"/>
      <c r="J806" s="661"/>
      <c r="K806" s="661"/>
      <c r="L806" s="661"/>
      <c r="M806" s="661"/>
      <c r="N806" s="661"/>
      <c r="O806" s="661"/>
      <c r="P806" s="661"/>
      <c r="Q806" s="661"/>
      <c r="R806" s="661"/>
      <c r="S806" s="661"/>
      <c r="T806" s="661"/>
      <c r="U806" s="661"/>
      <c r="V806" s="661"/>
      <c r="W806" s="661"/>
      <c r="X806" s="661"/>
      <c r="Y806" s="661"/>
      <c r="Z806" s="661"/>
      <c r="AA806" s="661"/>
      <c r="AB806" s="661"/>
    </row>
    <row r="807">
      <c r="A807" s="661"/>
      <c r="B807" s="661"/>
      <c r="C807" s="661"/>
      <c r="D807" s="662"/>
      <c r="E807" s="661"/>
      <c r="F807" s="661"/>
      <c r="G807" s="661"/>
      <c r="H807" s="661"/>
      <c r="I807" s="661"/>
      <c r="J807" s="661"/>
      <c r="K807" s="661"/>
      <c r="L807" s="661"/>
      <c r="M807" s="661"/>
      <c r="N807" s="661"/>
      <c r="O807" s="661"/>
      <c r="P807" s="661"/>
      <c r="Q807" s="661"/>
      <c r="R807" s="661"/>
      <c r="S807" s="661"/>
      <c r="T807" s="661"/>
      <c r="U807" s="661"/>
      <c r="V807" s="661"/>
      <c r="W807" s="661"/>
      <c r="X807" s="661"/>
      <c r="Y807" s="661"/>
      <c r="Z807" s="661"/>
      <c r="AA807" s="661"/>
      <c r="AB807" s="661"/>
    </row>
    <row r="808">
      <c r="A808" s="661"/>
      <c r="B808" s="661"/>
      <c r="C808" s="661"/>
      <c r="D808" s="662"/>
      <c r="E808" s="661"/>
      <c r="F808" s="661"/>
      <c r="G808" s="661"/>
      <c r="H808" s="661"/>
      <c r="I808" s="661"/>
      <c r="J808" s="661"/>
      <c r="K808" s="661"/>
      <c r="L808" s="661"/>
      <c r="M808" s="661"/>
      <c r="N808" s="661"/>
      <c r="O808" s="661"/>
      <c r="P808" s="661"/>
      <c r="Q808" s="661"/>
      <c r="R808" s="661"/>
      <c r="S808" s="661"/>
      <c r="T808" s="661"/>
      <c r="U808" s="661"/>
      <c r="V808" s="661"/>
      <c r="W808" s="661"/>
      <c r="X808" s="661"/>
      <c r="Y808" s="661"/>
      <c r="Z808" s="661"/>
      <c r="AA808" s="661"/>
      <c r="AB808" s="661"/>
    </row>
    <row r="809">
      <c r="A809" s="661"/>
      <c r="B809" s="661"/>
      <c r="C809" s="661"/>
      <c r="D809" s="662"/>
      <c r="E809" s="661"/>
      <c r="F809" s="661"/>
      <c r="G809" s="661"/>
      <c r="H809" s="661"/>
      <c r="I809" s="661"/>
      <c r="J809" s="661"/>
      <c r="K809" s="661"/>
      <c r="L809" s="661"/>
      <c r="M809" s="661"/>
      <c r="N809" s="661"/>
      <c r="O809" s="661"/>
      <c r="P809" s="661"/>
      <c r="Q809" s="661"/>
      <c r="R809" s="661"/>
      <c r="S809" s="661"/>
      <c r="T809" s="661"/>
      <c r="U809" s="661"/>
      <c r="V809" s="661"/>
      <c r="W809" s="661"/>
      <c r="X809" s="661"/>
      <c r="Y809" s="661"/>
      <c r="Z809" s="661"/>
      <c r="AA809" s="661"/>
      <c r="AB809" s="661"/>
    </row>
    <row r="810">
      <c r="A810" s="661"/>
      <c r="B810" s="661"/>
      <c r="C810" s="661"/>
      <c r="D810" s="662"/>
      <c r="E810" s="661"/>
      <c r="F810" s="661"/>
      <c r="G810" s="661"/>
      <c r="H810" s="661"/>
      <c r="I810" s="661"/>
      <c r="J810" s="661"/>
      <c r="K810" s="661"/>
      <c r="L810" s="661"/>
      <c r="M810" s="661"/>
      <c r="N810" s="661"/>
      <c r="O810" s="661"/>
      <c r="P810" s="661"/>
      <c r="Q810" s="661"/>
      <c r="R810" s="661"/>
      <c r="S810" s="661"/>
      <c r="T810" s="661"/>
      <c r="U810" s="661"/>
      <c r="V810" s="661"/>
      <c r="W810" s="661"/>
      <c r="X810" s="661"/>
      <c r="Y810" s="661"/>
      <c r="Z810" s="661"/>
      <c r="AA810" s="661"/>
      <c r="AB810" s="661"/>
    </row>
    <row r="811">
      <c r="A811" s="661"/>
      <c r="B811" s="661"/>
      <c r="C811" s="661"/>
      <c r="D811" s="662"/>
      <c r="E811" s="661"/>
      <c r="F811" s="661"/>
      <c r="G811" s="661"/>
      <c r="H811" s="661"/>
      <c r="I811" s="661"/>
      <c r="J811" s="661"/>
      <c r="K811" s="661"/>
      <c r="L811" s="661"/>
      <c r="M811" s="661"/>
      <c r="N811" s="661"/>
      <c r="O811" s="661"/>
      <c r="P811" s="661"/>
      <c r="Q811" s="661"/>
      <c r="R811" s="661"/>
      <c r="S811" s="661"/>
      <c r="T811" s="661"/>
      <c r="U811" s="661"/>
      <c r="V811" s="661"/>
      <c r="W811" s="661"/>
      <c r="X811" s="661"/>
      <c r="Y811" s="661"/>
      <c r="Z811" s="661"/>
      <c r="AA811" s="661"/>
      <c r="AB811" s="661"/>
    </row>
    <row r="812">
      <c r="A812" s="661"/>
      <c r="B812" s="661"/>
      <c r="C812" s="661"/>
      <c r="D812" s="662"/>
      <c r="E812" s="661"/>
      <c r="F812" s="661"/>
      <c r="G812" s="661"/>
      <c r="H812" s="661"/>
      <c r="I812" s="661"/>
      <c r="J812" s="661"/>
      <c r="K812" s="661"/>
      <c r="L812" s="661"/>
      <c r="M812" s="661"/>
      <c r="N812" s="661"/>
      <c r="O812" s="661"/>
      <c r="P812" s="661"/>
      <c r="Q812" s="661"/>
      <c r="R812" s="661"/>
      <c r="S812" s="661"/>
      <c r="T812" s="661"/>
      <c r="U812" s="661"/>
      <c r="V812" s="661"/>
      <c r="W812" s="661"/>
      <c r="X812" s="661"/>
      <c r="Y812" s="661"/>
      <c r="Z812" s="661"/>
      <c r="AA812" s="661"/>
      <c r="AB812" s="661"/>
    </row>
    <row r="813">
      <c r="A813" s="661"/>
      <c r="B813" s="661"/>
      <c r="C813" s="661"/>
      <c r="D813" s="662"/>
      <c r="E813" s="661"/>
      <c r="F813" s="661"/>
      <c r="G813" s="661"/>
      <c r="H813" s="661"/>
      <c r="I813" s="661"/>
      <c r="J813" s="661"/>
      <c r="K813" s="661"/>
      <c r="L813" s="661"/>
      <c r="M813" s="661"/>
      <c r="N813" s="661"/>
      <c r="O813" s="661"/>
      <c r="P813" s="661"/>
      <c r="Q813" s="661"/>
      <c r="R813" s="661"/>
      <c r="S813" s="661"/>
      <c r="T813" s="661"/>
      <c r="U813" s="661"/>
      <c r="V813" s="661"/>
      <c r="W813" s="661"/>
      <c r="X813" s="661"/>
      <c r="Y813" s="661"/>
      <c r="Z813" s="661"/>
      <c r="AA813" s="661"/>
      <c r="AB813" s="661"/>
    </row>
    <row r="814">
      <c r="A814" s="661"/>
      <c r="B814" s="661"/>
      <c r="C814" s="661"/>
      <c r="D814" s="662"/>
      <c r="E814" s="661"/>
      <c r="F814" s="661"/>
      <c r="G814" s="661"/>
      <c r="H814" s="661"/>
      <c r="I814" s="661"/>
      <c r="J814" s="661"/>
      <c r="K814" s="661"/>
      <c r="L814" s="661"/>
      <c r="M814" s="661"/>
      <c r="N814" s="661"/>
      <c r="O814" s="661"/>
      <c r="P814" s="661"/>
      <c r="Q814" s="661"/>
      <c r="R814" s="661"/>
      <c r="S814" s="661"/>
      <c r="T814" s="661"/>
      <c r="U814" s="661"/>
      <c r="V814" s="661"/>
      <c r="W814" s="661"/>
      <c r="X814" s="661"/>
      <c r="Y814" s="661"/>
      <c r="Z814" s="661"/>
      <c r="AA814" s="661"/>
      <c r="AB814" s="661"/>
    </row>
    <row r="815">
      <c r="A815" s="661"/>
      <c r="B815" s="661"/>
      <c r="C815" s="661"/>
      <c r="D815" s="662"/>
      <c r="E815" s="661"/>
      <c r="F815" s="661"/>
      <c r="G815" s="661"/>
      <c r="H815" s="661"/>
      <c r="I815" s="661"/>
      <c r="J815" s="661"/>
      <c r="K815" s="661"/>
      <c r="L815" s="661"/>
      <c r="M815" s="661"/>
      <c r="N815" s="661"/>
      <c r="O815" s="661"/>
      <c r="P815" s="661"/>
      <c r="Q815" s="661"/>
      <c r="R815" s="661"/>
      <c r="S815" s="661"/>
      <c r="T815" s="661"/>
      <c r="U815" s="661"/>
      <c r="V815" s="661"/>
      <c r="W815" s="661"/>
      <c r="X815" s="661"/>
      <c r="Y815" s="661"/>
      <c r="Z815" s="661"/>
      <c r="AA815" s="661"/>
      <c r="AB815" s="661"/>
    </row>
    <row r="816">
      <c r="A816" s="661"/>
      <c r="B816" s="661"/>
      <c r="C816" s="661"/>
      <c r="D816" s="662"/>
      <c r="E816" s="661"/>
      <c r="F816" s="661"/>
      <c r="G816" s="661"/>
      <c r="H816" s="661"/>
      <c r="I816" s="661"/>
      <c r="J816" s="661"/>
      <c r="K816" s="661"/>
      <c r="L816" s="661"/>
      <c r="M816" s="661"/>
      <c r="N816" s="661"/>
      <c r="O816" s="661"/>
      <c r="P816" s="661"/>
      <c r="Q816" s="661"/>
      <c r="R816" s="661"/>
      <c r="S816" s="661"/>
      <c r="T816" s="661"/>
      <c r="U816" s="661"/>
      <c r="V816" s="661"/>
      <c r="W816" s="661"/>
      <c r="X816" s="661"/>
      <c r="Y816" s="661"/>
      <c r="Z816" s="661"/>
      <c r="AA816" s="661"/>
      <c r="AB816" s="661"/>
    </row>
    <row r="817">
      <c r="A817" s="661"/>
      <c r="B817" s="661"/>
      <c r="C817" s="661"/>
      <c r="D817" s="662"/>
      <c r="E817" s="661"/>
      <c r="F817" s="661"/>
      <c r="G817" s="661"/>
      <c r="H817" s="661"/>
      <c r="I817" s="661"/>
      <c r="J817" s="661"/>
      <c r="K817" s="661"/>
      <c r="L817" s="661"/>
      <c r="M817" s="661"/>
      <c r="N817" s="661"/>
      <c r="O817" s="661"/>
      <c r="P817" s="661"/>
      <c r="Q817" s="661"/>
      <c r="R817" s="661"/>
      <c r="S817" s="661"/>
      <c r="T817" s="661"/>
      <c r="U817" s="661"/>
      <c r="V817" s="661"/>
      <c r="W817" s="661"/>
      <c r="X817" s="661"/>
      <c r="Y817" s="661"/>
      <c r="Z817" s="661"/>
      <c r="AA817" s="661"/>
      <c r="AB817" s="661"/>
    </row>
    <row r="818">
      <c r="A818" s="661"/>
      <c r="B818" s="661"/>
      <c r="C818" s="661"/>
      <c r="D818" s="662"/>
      <c r="E818" s="661"/>
      <c r="F818" s="661"/>
      <c r="G818" s="661"/>
      <c r="H818" s="661"/>
      <c r="I818" s="661"/>
      <c r="J818" s="661"/>
      <c r="K818" s="661"/>
      <c r="L818" s="661"/>
      <c r="M818" s="661"/>
      <c r="N818" s="661"/>
      <c r="O818" s="661"/>
      <c r="P818" s="661"/>
      <c r="Q818" s="661"/>
      <c r="R818" s="661"/>
      <c r="S818" s="661"/>
      <c r="T818" s="661"/>
      <c r="U818" s="661"/>
      <c r="V818" s="661"/>
      <c r="W818" s="661"/>
      <c r="X818" s="661"/>
      <c r="Y818" s="661"/>
      <c r="Z818" s="661"/>
      <c r="AA818" s="661"/>
      <c r="AB818" s="661"/>
    </row>
    <row r="819">
      <c r="A819" s="661"/>
      <c r="B819" s="661"/>
      <c r="C819" s="661"/>
      <c r="D819" s="662"/>
      <c r="E819" s="661"/>
      <c r="F819" s="661"/>
      <c r="G819" s="661"/>
      <c r="H819" s="661"/>
      <c r="I819" s="661"/>
      <c r="J819" s="661"/>
      <c r="K819" s="661"/>
      <c r="L819" s="661"/>
      <c r="M819" s="661"/>
      <c r="N819" s="661"/>
      <c r="O819" s="661"/>
      <c r="P819" s="661"/>
      <c r="Q819" s="661"/>
      <c r="R819" s="661"/>
      <c r="S819" s="661"/>
      <c r="T819" s="661"/>
      <c r="U819" s="661"/>
      <c r="V819" s="661"/>
      <c r="W819" s="661"/>
      <c r="X819" s="661"/>
      <c r="Y819" s="661"/>
      <c r="Z819" s="661"/>
      <c r="AA819" s="661"/>
      <c r="AB819" s="661"/>
    </row>
    <row r="820">
      <c r="A820" s="661"/>
      <c r="B820" s="661"/>
      <c r="C820" s="661"/>
      <c r="D820" s="662"/>
      <c r="E820" s="661"/>
      <c r="F820" s="661"/>
      <c r="G820" s="661"/>
      <c r="H820" s="661"/>
      <c r="I820" s="661"/>
      <c r="J820" s="661"/>
      <c r="K820" s="661"/>
      <c r="L820" s="661"/>
      <c r="M820" s="661"/>
      <c r="N820" s="661"/>
      <c r="O820" s="661"/>
      <c r="P820" s="661"/>
      <c r="Q820" s="661"/>
      <c r="R820" s="661"/>
      <c r="S820" s="661"/>
      <c r="T820" s="661"/>
      <c r="U820" s="661"/>
      <c r="V820" s="661"/>
      <c r="W820" s="661"/>
      <c r="X820" s="661"/>
      <c r="Y820" s="661"/>
      <c r="Z820" s="661"/>
      <c r="AA820" s="661"/>
      <c r="AB820" s="661"/>
    </row>
    <row r="821">
      <c r="A821" s="661"/>
      <c r="B821" s="661"/>
      <c r="C821" s="661"/>
      <c r="D821" s="662"/>
      <c r="E821" s="661"/>
      <c r="F821" s="661"/>
      <c r="G821" s="661"/>
      <c r="H821" s="661"/>
      <c r="I821" s="661"/>
      <c r="J821" s="661"/>
      <c r="K821" s="661"/>
      <c r="L821" s="661"/>
      <c r="M821" s="661"/>
      <c r="N821" s="661"/>
      <c r="O821" s="661"/>
      <c r="P821" s="661"/>
      <c r="Q821" s="661"/>
      <c r="R821" s="661"/>
      <c r="S821" s="661"/>
      <c r="T821" s="661"/>
      <c r="U821" s="661"/>
      <c r="V821" s="661"/>
      <c r="W821" s="661"/>
      <c r="X821" s="661"/>
      <c r="Y821" s="661"/>
      <c r="Z821" s="661"/>
      <c r="AA821" s="661"/>
      <c r="AB821" s="661"/>
    </row>
    <row r="822">
      <c r="A822" s="661"/>
      <c r="B822" s="661"/>
      <c r="C822" s="661"/>
      <c r="D822" s="662"/>
      <c r="E822" s="661"/>
      <c r="F822" s="661"/>
      <c r="G822" s="661"/>
      <c r="H822" s="661"/>
      <c r="I822" s="661"/>
      <c r="J822" s="661"/>
      <c r="K822" s="661"/>
      <c r="L822" s="661"/>
      <c r="M822" s="661"/>
      <c r="N822" s="661"/>
      <c r="O822" s="661"/>
      <c r="P822" s="661"/>
      <c r="Q822" s="661"/>
      <c r="R822" s="661"/>
      <c r="S822" s="661"/>
      <c r="T822" s="661"/>
      <c r="U822" s="661"/>
      <c r="V822" s="661"/>
      <c r="W822" s="661"/>
      <c r="X822" s="661"/>
      <c r="Y822" s="661"/>
      <c r="Z822" s="661"/>
      <c r="AA822" s="661"/>
      <c r="AB822" s="661"/>
    </row>
    <row r="823">
      <c r="A823" s="661"/>
      <c r="B823" s="661"/>
      <c r="C823" s="661"/>
      <c r="D823" s="662"/>
      <c r="E823" s="661"/>
      <c r="F823" s="661"/>
      <c r="G823" s="661"/>
      <c r="H823" s="661"/>
      <c r="I823" s="661"/>
      <c r="J823" s="661"/>
      <c r="K823" s="661"/>
      <c r="L823" s="661"/>
      <c r="M823" s="661"/>
      <c r="N823" s="661"/>
      <c r="O823" s="661"/>
      <c r="P823" s="661"/>
      <c r="Q823" s="661"/>
      <c r="R823" s="661"/>
      <c r="S823" s="661"/>
      <c r="T823" s="661"/>
      <c r="U823" s="661"/>
      <c r="V823" s="661"/>
      <c r="W823" s="661"/>
      <c r="X823" s="661"/>
      <c r="Y823" s="661"/>
      <c r="Z823" s="661"/>
      <c r="AA823" s="661"/>
      <c r="AB823" s="661"/>
    </row>
    <row r="824">
      <c r="A824" s="661"/>
      <c r="B824" s="661"/>
      <c r="C824" s="661"/>
      <c r="D824" s="662"/>
      <c r="E824" s="661"/>
      <c r="F824" s="661"/>
      <c r="G824" s="661"/>
      <c r="H824" s="661"/>
      <c r="I824" s="661"/>
      <c r="J824" s="661"/>
      <c r="K824" s="661"/>
      <c r="L824" s="661"/>
      <c r="M824" s="661"/>
      <c r="N824" s="661"/>
      <c r="O824" s="661"/>
      <c r="P824" s="661"/>
      <c r="Q824" s="661"/>
      <c r="R824" s="661"/>
      <c r="S824" s="661"/>
      <c r="T824" s="661"/>
      <c r="U824" s="661"/>
      <c r="V824" s="661"/>
      <c r="W824" s="661"/>
      <c r="X824" s="661"/>
      <c r="Y824" s="661"/>
      <c r="Z824" s="661"/>
      <c r="AA824" s="661"/>
      <c r="AB824" s="661"/>
    </row>
    <row r="825">
      <c r="A825" s="661"/>
      <c r="B825" s="661"/>
      <c r="C825" s="661"/>
      <c r="D825" s="662"/>
      <c r="E825" s="661"/>
      <c r="F825" s="661"/>
      <c r="G825" s="661"/>
      <c r="H825" s="661"/>
      <c r="I825" s="661"/>
      <c r="J825" s="661"/>
      <c r="K825" s="661"/>
      <c r="L825" s="661"/>
      <c r="M825" s="661"/>
      <c r="N825" s="661"/>
      <c r="O825" s="661"/>
      <c r="P825" s="661"/>
      <c r="Q825" s="661"/>
      <c r="R825" s="661"/>
      <c r="S825" s="661"/>
      <c r="T825" s="661"/>
      <c r="U825" s="661"/>
      <c r="V825" s="661"/>
      <c r="W825" s="661"/>
      <c r="X825" s="661"/>
      <c r="Y825" s="661"/>
      <c r="Z825" s="661"/>
      <c r="AA825" s="661"/>
      <c r="AB825" s="661"/>
    </row>
    <row r="826">
      <c r="A826" s="661"/>
      <c r="B826" s="661"/>
      <c r="C826" s="661"/>
      <c r="D826" s="662"/>
      <c r="E826" s="661"/>
      <c r="F826" s="661"/>
      <c r="G826" s="661"/>
      <c r="H826" s="661"/>
      <c r="I826" s="661"/>
      <c r="J826" s="661"/>
      <c r="K826" s="661"/>
      <c r="L826" s="661"/>
      <c r="M826" s="661"/>
      <c r="N826" s="661"/>
      <c r="O826" s="661"/>
      <c r="P826" s="661"/>
      <c r="Q826" s="661"/>
      <c r="R826" s="661"/>
      <c r="S826" s="661"/>
      <c r="T826" s="661"/>
      <c r="U826" s="661"/>
      <c r="V826" s="661"/>
      <c r="W826" s="661"/>
      <c r="X826" s="661"/>
      <c r="Y826" s="661"/>
      <c r="Z826" s="661"/>
      <c r="AA826" s="661"/>
      <c r="AB826" s="661"/>
    </row>
    <row r="827">
      <c r="A827" s="661"/>
      <c r="B827" s="661"/>
      <c r="C827" s="661"/>
      <c r="D827" s="662"/>
      <c r="E827" s="661"/>
      <c r="F827" s="661"/>
      <c r="G827" s="661"/>
      <c r="H827" s="661"/>
      <c r="I827" s="661"/>
      <c r="J827" s="661"/>
      <c r="K827" s="661"/>
      <c r="L827" s="661"/>
      <c r="M827" s="661"/>
      <c r="N827" s="661"/>
      <c r="O827" s="661"/>
      <c r="P827" s="661"/>
      <c r="Q827" s="661"/>
      <c r="R827" s="661"/>
      <c r="S827" s="661"/>
      <c r="T827" s="661"/>
      <c r="U827" s="661"/>
      <c r="V827" s="661"/>
      <c r="W827" s="661"/>
      <c r="X827" s="661"/>
      <c r="Y827" s="661"/>
      <c r="Z827" s="661"/>
      <c r="AA827" s="661"/>
      <c r="AB827" s="661"/>
    </row>
    <row r="828">
      <c r="A828" s="661"/>
      <c r="B828" s="661"/>
      <c r="C828" s="661"/>
      <c r="D828" s="662"/>
      <c r="E828" s="661"/>
      <c r="F828" s="661"/>
      <c r="G828" s="661"/>
      <c r="H828" s="661"/>
      <c r="I828" s="661"/>
      <c r="J828" s="661"/>
      <c r="K828" s="661"/>
      <c r="L828" s="661"/>
      <c r="M828" s="661"/>
      <c r="N828" s="661"/>
      <c r="O828" s="661"/>
      <c r="P828" s="661"/>
      <c r="Q828" s="661"/>
      <c r="R828" s="661"/>
      <c r="S828" s="661"/>
      <c r="T828" s="661"/>
      <c r="U828" s="661"/>
      <c r="V828" s="661"/>
      <c r="W828" s="661"/>
      <c r="X828" s="661"/>
      <c r="Y828" s="661"/>
      <c r="Z828" s="661"/>
      <c r="AA828" s="661"/>
      <c r="AB828" s="661"/>
    </row>
    <row r="829">
      <c r="A829" s="661"/>
      <c r="B829" s="661"/>
      <c r="C829" s="661"/>
      <c r="D829" s="662"/>
      <c r="E829" s="661"/>
      <c r="F829" s="661"/>
      <c r="G829" s="661"/>
      <c r="H829" s="661"/>
      <c r="I829" s="661"/>
      <c r="J829" s="661"/>
      <c r="K829" s="661"/>
      <c r="L829" s="661"/>
      <c r="M829" s="661"/>
      <c r="N829" s="661"/>
      <c r="O829" s="661"/>
      <c r="P829" s="661"/>
      <c r="Q829" s="661"/>
      <c r="R829" s="661"/>
      <c r="S829" s="661"/>
      <c r="T829" s="661"/>
      <c r="U829" s="661"/>
      <c r="V829" s="661"/>
      <c r="W829" s="661"/>
      <c r="X829" s="661"/>
      <c r="Y829" s="661"/>
      <c r="Z829" s="661"/>
      <c r="AA829" s="661"/>
      <c r="AB829" s="661"/>
    </row>
    <row r="830">
      <c r="A830" s="661"/>
      <c r="B830" s="661"/>
      <c r="C830" s="661"/>
      <c r="D830" s="662"/>
      <c r="E830" s="661"/>
      <c r="F830" s="661"/>
      <c r="G830" s="661"/>
      <c r="H830" s="661"/>
      <c r="I830" s="661"/>
      <c r="J830" s="661"/>
      <c r="K830" s="661"/>
      <c r="L830" s="661"/>
      <c r="M830" s="661"/>
      <c r="N830" s="661"/>
      <c r="O830" s="661"/>
      <c r="P830" s="661"/>
      <c r="Q830" s="661"/>
      <c r="R830" s="661"/>
      <c r="S830" s="661"/>
      <c r="T830" s="661"/>
      <c r="U830" s="661"/>
      <c r="V830" s="661"/>
      <c r="W830" s="661"/>
      <c r="X830" s="661"/>
      <c r="Y830" s="661"/>
      <c r="Z830" s="661"/>
      <c r="AA830" s="661"/>
      <c r="AB830" s="661"/>
    </row>
    <row r="831">
      <c r="A831" s="661"/>
      <c r="B831" s="661"/>
      <c r="C831" s="661"/>
      <c r="D831" s="662"/>
      <c r="E831" s="661"/>
      <c r="F831" s="661"/>
      <c r="G831" s="661"/>
      <c r="H831" s="661"/>
      <c r="I831" s="661"/>
      <c r="J831" s="661"/>
      <c r="K831" s="661"/>
      <c r="L831" s="661"/>
      <c r="M831" s="661"/>
      <c r="N831" s="661"/>
      <c r="O831" s="661"/>
      <c r="P831" s="661"/>
      <c r="Q831" s="661"/>
      <c r="R831" s="661"/>
      <c r="S831" s="661"/>
      <c r="T831" s="661"/>
      <c r="U831" s="661"/>
      <c r="V831" s="661"/>
      <c r="W831" s="661"/>
      <c r="X831" s="661"/>
      <c r="Y831" s="661"/>
      <c r="Z831" s="661"/>
      <c r="AA831" s="661"/>
      <c r="AB831" s="661"/>
    </row>
    <row r="832">
      <c r="A832" s="661"/>
      <c r="B832" s="661"/>
      <c r="C832" s="661"/>
      <c r="D832" s="662"/>
      <c r="E832" s="661"/>
      <c r="F832" s="661"/>
      <c r="G832" s="661"/>
      <c r="H832" s="661"/>
      <c r="I832" s="661"/>
      <c r="J832" s="661"/>
      <c r="K832" s="661"/>
      <c r="L832" s="661"/>
      <c r="M832" s="661"/>
      <c r="N832" s="661"/>
      <c r="O832" s="661"/>
      <c r="P832" s="661"/>
      <c r="Q832" s="661"/>
      <c r="R832" s="661"/>
      <c r="S832" s="661"/>
      <c r="T832" s="661"/>
      <c r="U832" s="661"/>
      <c r="V832" s="661"/>
      <c r="W832" s="661"/>
      <c r="X832" s="661"/>
      <c r="Y832" s="661"/>
      <c r="Z832" s="661"/>
      <c r="AA832" s="661"/>
      <c r="AB832" s="661"/>
    </row>
    <row r="833">
      <c r="A833" s="661"/>
      <c r="B833" s="661"/>
      <c r="C833" s="661"/>
      <c r="D833" s="662"/>
      <c r="E833" s="661"/>
      <c r="F833" s="661"/>
      <c r="G833" s="661"/>
      <c r="H833" s="661"/>
      <c r="I833" s="661"/>
      <c r="J833" s="661"/>
      <c r="K833" s="661"/>
      <c r="L833" s="661"/>
      <c r="M833" s="661"/>
      <c r="N833" s="661"/>
      <c r="O833" s="661"/>
      <c r="P833" s="661"/>
      <c r="Q833" s="661"/>
      <c r="R833" s="661"/>
      <c r="S833" s="661"/>
      <c r="T833" s="661"/>
      <c r="U833" s="661"/>
      <c r="V833" s="661"/>
      <c r="W833" s="661"/>
      <c r="X833" s="661"/>
      <c r="Y833" s="661"/>
      <c r="Z833" s="661"/>
      <c r="AA833" s="661"/>
      <c r="AB833" s="661"/>
    </row>
    <row r="834">
      <c r="A834" s="661"/>
      <c r="B834" s="661"/>
      <c r="C834" s="661"/>
      <c r="D834" s="662"/>
      <c r="E834" s="661"/>
      <c r="F834" s="661"/>
      <c r="G834" s="661"/>
      <c r="H834" s="661"/>
      <c r="I834" s="661"/>
      <c r="J834" s="661"/>
      <c r="K834" s="661"/>
      <c r="L834" s="661"/>
      <c r="M834" s="661"/>
      <c r="N834" s="661"/>
      <c r="O834" s="661"/>
      <c r="P834" s="661"/>
      <c r="Q834" s="661"/>
      <c r="R834" s="661"/>
      <c r="S834" s="661"/>
      <c r="T834" s="661"/>
      <c r="U834" s="661"/>
      <c r="V834" s="661"/>
      <c r="W834" s="661"/>
      <c r="X834" s="661"/>
      <c r="Y834" s="661"/>
      <c r="Z834" s="661"/>
      <c r="AA834" s="661"/>
      <c r="AB834" s="661"/>
    </row>
    <row r="835">
      <c r="A835" s="661"/>
      <c r="B835" s="661"/>
      <c r="C835" s="661"/>
      <c r="D835" s="662"/>
      <c r="E835" s="661"/>
      <c r="F835" s="661"/>
      <c r="G835" s="661"/>
      <c r="H835" s="661"/>
      <c r="I835" s="661"/>
      <c r="J835" s="661"/>
      <c r="K835" s="661"/>
      <c r="L835" s="661"/>
      <c r="M835" s="661"/>
      <c r="N835" s="661"/>
      <c r="O835" s="661"/>
      <c r="P835" s="661"/>
      <c r="Q835" s="661"/>
      <c r="R835" s="661"/>
      <c r="S835" s="661"/>
      <c r="T835" s="661"/>
      <c r="U835" s="661"/>
      <c r="V835" s="661"/>
      <c r="W835" s="661"/>
      <c r="X835" s="661"/>
      <c r="Y835" s="661"/>
      <c r="Z835" s="661"/>
      <c r="AA835" s="661"/>
      <c r="AB835" s="661"/>
    </row>
    <row r="836">
      <c r="A836" s="661"/>
      <c r="B836" s="661"/>
      <c r="C836" s="661"/>
      <c r="D836" s="662"/>
      <c r="E836" s="661"/>
      <c r="F836" s="661"/>
      <c r="G836" s="661"/>
      <c r="H836" s="661"/>
      <c r="I836" s="661"/>
      <c r="J836" s="661"/>
      <c r="K836" s="661"/>
      <c r="L836" s="661"/>
      <c r="M836" s="661"/>
      <c r="N836" s="661"/>
      <c r="O836" s="661"/>
      <c r="P836" s="661"/>
      <c r="Q836" s="661"/>
      <c r="R836" s="661"/>
      <c r="S836" s="661"/>
      <c r="T836" s="661"/>
      <c r="U836" s="661"/>
      <c r="V836" s="661"/>
      <c r="W836" s="661"/>
      <c r="X836" s="661"/>
      <c r="Y836" s="661"/>
      <c r="Z836" s="661"/>
      <c r="AA836" s="661"/>
      <c r="AB836" s="661"/>
    </row>
    <row r="837">
      <c r="A837" s="661"/>
      <c r="B837" s="661"/>
      <c r="C837" s="661"/>
      <c r="D837" s="662"/>
      <c r="E837" s="661"/>
      <c r="F837" s="661"/>
      <c r="G837" s="661"/>
      <c r="H837" s="661"/>
      <c r="I837" s="661"/>
      <c r="J837" s="661"/>
      <c r="K837" s="661"/>
      <c r="L837" s="661"/>
      <c r="M837" s="661"/>
      <c r="N837" s="661"/>
      <c r="O837" s="661"/>
      <c r="P837" s="661"/>
      <c r="Q837" s="661"/>
      <c r="R837" s="661"/>
      <c r="S837" s="661"/>
      <c r="T837" s="661"/>
      <c r="U837" s="661"/>
      <c r="V837" s="661"/>
      <c r="W837" s="661"/>
      <c r="X837" s="661"/>
      <c r="Y837" s="661"/>
      <c r="Z837" s="661"/>
      <c r="AA837" s="661"/>
      <c r="AB837" s="661"/>
    </row>
    <row r="838">
      <c r="A838" s="661"/>
      <c r="B838" s="661"/>
      <c r="C838" s="661"/>
      <c r="D838" s="662"/>
      <c r="E838" s="661"/>
      <c r="F838" s="661"/>
      <c r="G838" s="661"/>
      <c r="H838" s="661"/>
      <c r="I838" s="661"/>
      <c r="J838" s="661"/>
      <c r="K838" s="661"/>
      <c r="L838" s="661"/>
      <c r="M838" s="661"/>
      <c r="N838" s="661"/>
      <c r="O838" s="661"/>
      <c r="P838" s="661"/>
      <c r="Q838" s="661"/>
      <c r="R838" s="661"/>
      <c r="S838" s="661"/>
      <c r="T838" s="661"/>
      <c r="U838" s="661"/>
      <c r="V838" s="661"/>
      <c r="W838" s="661"/>
      <c r="X838" s="661"/>
      <c r="Y838" s="661"/>
      <c r="Z838" s="661"/>
      <c r="AA838" s="661"/>
      <c r="AB838" s="661"/>
    </row>
    <row r="839">
      <c r="A839" s="661"/>
      <c r="B839" s="661"/>
      <c r="C839" s="661"/>
      <c r="D839" s="662"/>
      <c r="E839" s="661"/>
      <c r="F839" s="661"/>
      <c r="G839" s="661"/>
      <c r="H839" s="661"/>
      <c r="I839" s="661"/>
      <c r="J839" s="661"/>
      <c r="K839" s="661"/>
      <c r="L839" s="661"/>
      <c r="M839" s="661"/>
      <c r="N839" s="661"/>
      <c r="O839" s="661"/>
      <c r="P839" s="661"/>
      <c r="Q839" s="661"/>
      <c r="R839" s="661"/>
      <c r="S839" s="661"/>
      <c r="T839" s="661"/>
      <c r="U839" s="661"/>
      <c r="V839" s="661"/>
      <c r="W839" s="661"/>
      <c r="X839" s="661"/>
      <c r="Y839" s="661"/>
      <c r="Z839" s="661"/>
      <c r="AA839" s="661"/>
      <c r="AB839" s="661"/>
    </row>
    <row r="840">
      <c r="A840" s="661"/>
      <c r="B840" s="661"/>
      <c r="C840" s="661"/>
      <c r="D840" s="662"/>
      <c r="E840" s="661"/>
      <c r="F840" s="661"/>
      <c r="G840" s="661"/>
      <c r="H840" s="661"/>
      <c r="I840" s="661"/>
      <c r="J840" s="661"/>
      <c r="K840" s="661"/>
      <c r="L840" s="661"/>
      <c r="M840" s="661"/>
      <c r="N840" s="661"/>
      <c r="O840" s="661"/>
      <c r="P840" s="661"/>
      <c r="Q840" s="661"/>
      <c r="R840" s="661"/>
      <c r="S840" s="661"/>
      <c r="T840" s="661"/>
      <c r="U840" s="661"/>
      <c r="V840" s="661"/>
      <c r="W840" s="661"/>
      <c r="X840" s="661"/>
      <c r="Y840" s="661"/>
      <c r="Z840" s="661"/>
      <c r="AA840" s="661"/>
      <c r="AB840" s="661"/>
    </row>
    <row r="841">
      <c r="A841" s="661"/>
      <c r="B841" s="661"/>
      <c r="C841" s="661"/>
      <c r="D841" s="662"/>
      <c r="E841" s="661"/>
      <c r="F841" s="661"/>
      <c r="G841" s="661"/>
      <c r="H841" s="661"/>
      <c r="I841" s="661"/>
      <c r="J841" s="661"/>
      <c r="K841" s="661"/>
      <c r="L841" s="661"/>
      <c r="M841" s="661"/>
      <c r="N841" s="661"/>
      <c r="O841" s="661"/>
      <c r="P841" s="661"/>
      <c r="Q841" s="661"/>
      <c r="R841" s="661"/>
      <c r="S841" s="661"/>
      <c r="T841" s="661"/>
      <c r="U841" s="661"/>
      <c r="V841" s="661"/>
      <c r="W841" s="661"/>
      <c r="X841" s="661"/>
      <c r="Y841" s="661"/>
      <c r="Z841" s="661"/>
      <c r="AA841" s="661"/>
      <c r="AB841" s="661"/>
    </row>
    <row r="842">
      <c r="A842" s="661"/>
      <c r="B842" s="661"/>
      <c r="C842" s="661"/>
      <c r="D842" s="662"/>
      <c r="E842" s="661"/>
      <c r="F842" s="661"/>
      <c r="G842" s="661"/>
      <c r="H842" s="661"/>
      <c r="I842" s="661"/>
      <c r="J842" s="661"/>
      <c r="K842" s="661"/>
      <c r="L842" s="661"/>
      <c r="M842" s="661"/>
      <c r="N842" s="661"/>
      <c r="O842" s="661"/>
      <c r="P842" s="661"/>
      <c r="Q842" s="661"/>
      <c r="R842" s="661"/>
      <c r="S842" s="661"/>
      <c r="T842" s="661"/>
      <c r="U842" s="661"/>
      <c r="V842" s="661"/>
      <c r="W842" s="661"/>
      <c r="X842" s="661"/>
      <c r="Y842" s="661"/>
      <c r="Z842" s="661"/>
      <c r="AA842" s="661"/>
      <c r="AB842" s="661"/>
    </row>
    <row r="843">
      <c r="A843" s="661"/>
      <c r="B843" s="661"/>
      <c r="C843" s="661"/>
      <c r="D843" s="662"/>
      <c r="E843" s="661"/>
      <c r="F843" s="661"/>
      <c r="G843" s="661"/>
      <c r="H843" s="661"/>
      <c r="I843" s="661"/>
      <c r="J843" s="661"/>
      <c r="K843" s="661"/>
      <c r="L843" s="661"/>
      <c r="M843" s="661"/>
      <c r="N843" s="661"/>
      <c r="O843" s="661"/>
      <c r="P843" s="661"/>
      <c r="Q843" s="661"/>
      <c r="R843" s="661"/>
      <c r="S843" s="661"/>
      <c r="T843" s="661"/>
      <c r="U843" s="661"/>
      <c r="V843" s="661"/>
      <c r="W843" s="661"/>
      <c r="X843" s="661"/>
      <c r="Y843" s="661"/>
      <c r="Z843" s="661"/>
      <c r="AA843" s="661"/>
      <c r="AB843" s="661"/>
    </row>
    <row r="844">
      <c r="A844" s="661"/>
      <c r="B844" s="661"/>
      <c r="C844" s="661"/>
      <c r="D844" s="662"/>
      <c r="E844" s="661"/>
      <c r="F844" s="661"/>
      <c r="G844" s="661"/>
      <c r="H844" s="661"/>
      <c r="I844" s="661"/>
      <c r="J844" s="661"/>
      <c r="K844" s="661"/>
      <c r="L844" s="661"/>
      <c r="M844" s="661"/>
      <c r="N844" s="661"/>
      <c r="O844" s="661"/>
      <c r="P844" s="661"/>
      <c r="Q844" s="661"/>
      <c r="R844" s="661"/>
      <c r="S844" s="661"/>
      <c r="T844" s="661"/>
      <c r="U844" s="661"/>
      <c r="V844" s="661"/>
      <c r="W844" s="661"/>
      <c r="X844" s="661"/>
      <c r="Y844" s="661"/>
      <c r="Z844" s="661"/>
      <c r="AA844" s="661"/>
      <c r="AB844" s="661"/>
    </row>
    <row r="845">
      <c r="A845" s="661"/>
      <c r="B845" s="661"/>
      <c r="C845" s="661"/>
      <c r="D845" s="662"/>
      <c r="E845" s="661"/>
      <c r="F845" s="661"/>
      <c r="G845" s="661"/>
      <c r="H845" s="661"/>
      <c r="I845" s="661"/>
      <c r="J845" s="661"/>
      <c r="K845" s="661"/>
      <c r="L845" s="661"/>
      <c r="M845" s="661"/>
      <c r="N845" s="661"/>
      <c r="O845" s="661"/>
      <c r="P845" s="661"/>
      <c r="Q845" s="661"/>
      <c r="R845" s="661"/>
      <c r="S845" s="661"/>
      <c r="T845" s="661"/>
      <c r="U845" s="661"/>
      <c r="V845" s="661"/>
      <c r="W845" s="661"/>
      <c r="X845" s="661"/>
      <c r="Y845" s="661"/>
      <c r="Z845" s="661"/>
      <c r="AA845" s="661"/>
      <c r="AB845" s="661"/>
    </row>
    <row r="846">
      <c r="A846" s="661"/>
      <c r="B846" s="661"/>
      <c r="C846" s="661"/>
      <c r="D846" s="662"/>
      <c r="E846" s="661"/>
      <c r="F846" s="661"/>
      <c r="G846" s="661"/>
      <c r="H846" s="661"/>
      <c r="I846" s="661"/>
      <c r="J846" s="661"/>
      <c r="K846" s="661"/>
      <c r="L846" s="661"/>
      <c r="M846" s="661"/>
      <c r="N846" s="661"/>
      <c r="O846" s="661"/>
      <c r="P846" s="661"/>
      <c r="Q846" s="661"/>
      <c r="R846" s="661"/>
      <c r="S846" s="661"/>
      <c r="T846" s="661"/>
      <c r="U846" s="661"/>
      <c r="V846" s="661"/>
      <c r="W846" s="661"/>
      <c r="X846" s="661"/>
      <c r="Y846" s="661"/>
      <c r="Z846" s="661"/>
      <c r="AA846" s="661"/>
      <c r="AB846" s="661"/>
    </row>
    <row r="847">
      <c r="A847" s="661"/>
      <c r="B847" s="661"/>
      <c r="C847" s="661"/>
      <c r="D847" s="662"/>
      <c r="E847" s="661"/>
      <c r="F847" s="661"/>
      <c r="G847" s="661"/>
      <c r="H847" s="661"/>
      <c r="I847" s="661"/>
      <c r="J847" s="661"/>
      <c r="K847" s="661"/>
      <c r="L847" s="661"/>
      <c r="M847" s="661"/>
      <c r="N847" s="661"/>
      <c r="O847" s="661"/>
      <c r="P847" s="661"/>
      <c r="Q847" s="661"/>
      <c r="R847" s="661"/>
      <c r="S847" s="661"/>
      <c r="T847" s="661"/>
      <c r="U847" s="661"/>
      <c r="V847" s="661"/>
      <c r="W847" s="661"/>
      <c r="X847" s="661"/>
      <c r="Y847" s="661"/>
      <c r="Z847" s="661"/>
      <c r="AA847" s="661"/>
      <c r="AB847" s="661"/>
    </row>
    <row r="848">
      <c r="A848" s="661"/>
      <c r="B848" s="661"/>
      <c r="C848" s="661"/>
      <c r="D848" s="662"/>
      <c r="E848" s="661"/>
      <c r="F848" s="661"/>
      <c r="G848" s="661"/>
      <c r="H848" s="661"/>
      <c r="I848" s="661"/>
      <c r="J848" s="661"/>
      <c r="K848" s="661"/>
      <c r="L848" s="661"/>
      <c r="M848" s="661"/>
      <c r="N848" s="661"/>
      <c r="O848" s="661"/>
      <c r="P848" s="661"/>
      <c r="Q848" s="661"/>
      <c r="R848" s="661"/>
      <c r="S848" s="661"/>
      <c r="T848" s="661"/>
      <c r="U848" s="661"/>
      <c r="V848" s="661"/>
      <c r="W848" s="661"/>
      <c r="X848" s="661"/>
      <c r="Y848" s="661"/>
      <c r="Z848" s="661"/>
      <c r="AA848" s="661"/>
      <c r="AB848" s="661"/>
    </row>
    <row r="849">
      <c r="A849" s="661"/>
      <c r="B849" s="661"/>
      <c r="C849" s="661"/>
      <c r="D849" s="662"/>
      <c r="E849" s="661"/>
      <c r="F849" s="661"/>
      <c r="G849" s="661"/>
      <c r="H849" s="661"/>
      <c r="I849" s="661"/>
      <c r="J849" s="661"/>
      <c r="K849" s="661"/>
      <c r="L849" s="661"/>
      <c r="M849" s="661"/>
      <c r="N849" s="661"/>
      <c r="O849" s="661"/>
      <c r="P849" s="661"/>
      <c r="Q849" s="661"/>
      <c r="R849" s="661"/>
      <c r="S849" s="661"/>
      <c r="T849" s="661"/>
      <c r="U849" s="661"/>
      <c r="V849" s="661"/>
      <c r="W849" s="661"/>
      <c r="X849" s="661"/>
      <c r="Y849" s="661"/>
      <c r="Z849" s="661"/>
      <c r="AA849" s="661"/>
      <c r="AB849" s="661"/>
    </row>
    <row r="850">
      <c r="A850" s="661"/>
      <c r="B850" s="661"/>
      <c r="C850" s="661"/>
      <c r="D850" s="662"/>
      <c r="E850" s="661"/>
      <c r="F850" s="661"/>
      <c r="G850" s="661"/>
      <c r="H850" s="661"/>
      <c r="I850" s="661"/>
      <c r="J850" s="661"/>
      <c r="K850" s="661"/>
      <c r="L850" s="661"/>
      <c r="M850" s="661"/>
      <c r="N850" s="661"/>
      <c r="O850" s="661"/>
      <c r="P850" s="661"/>
      <c r="Q850" s="661"/>
      <c r="R850" s="661"/>
      <c r="S850" s="661"/>
      <c r="T850" s="661"/>
      <c r="U850" s="661"/>
      <c r="V850" s="661"/>
      <c r="W850" s="661"/>
      <c r="X850" s="661"/>
      <c r="Y850" s="661"/>
      <c r="Z850" s="661"/>
      <c r="AA850" s="661"/>
      <c r="AB850" s="661"/>
    </row>
    <row r="851">
      <c r="A851" s="661"/>
      <c r="B851" s="661"/>
      <c r="C851" s="661"/>
      <c r="D851" s="662"/>
      <c r="E851" s="661"/>
      <c r="F851" s="661"/>
      <c r="G851" s="661"/>
      <c r="H851" s="661"/>
      <c r="I851" s="661"/>
      <c r="J851" s="661"/>
      <c r="K851" s="661"/>
      <c r="L851" s="661"/>
      <c r="M851" s="661"/>
      <c r="N851" s="661"/>
      <c r="O851" s="661"/>
      <c r="P851" s="661"/>
      <c r="Q851" s="661"/>
      <c r="R851" s="661"/>
      <c r="S851" s="661"/>
      <c r="T851" s="661"/>
      <c r="U851" s="661"/>
      <c r="V851" s="661"/>
      <c r="W851" s="661"/>
      <c r="X851" s="661"/>
      <c r="Y851" s="661"/>
      <c r="Z851" s="661"/>
      <c r="AA851" s="661"/>
      <c r="AB851" s="661"/>
    </row>
    <row r="852">
      <c r="A852" s="661"/>
      <c r="B852" s="661"/>
      <c r="C852" s="661"/>
      <c r="D852" s="662"/>
      <c r="E852" s="661"/>
      <c r="F852" s="661"/>
      <c r="G852" s="661"/>
      <c r="H852" s="661"/>
      <c r="I852" s="661"/>
      <c r="J852" s="661"/>
      <c r="K852" s="661"/>
      <c r="L852" s="661"/>
      <c r="M852" s="661"/>
      <c r="N852" s="661"/>
      <c r="O852" s="661"/>
      <c r="P852" s="661"/>
      <c r="Q852" s="661"/>
      <c r="R852" s="661"/>
      <c r="S852" s="661"/>
      <c r="T852" s="661"/>
      <c r="U852" s="661"/>
      <c r="V852" s="661"/>
      <c r="W852" s="661"/>
      <c r="X852" s="661"/>
      <c r="Y852" s="661"/>
      <c r="Z852" s="661"/>
      <c r="AA852" s="661"/>
      <c r="AB852" s="661"/>
    </row>
    <row r="853">
      <c r="A853" s="661"/>
      <c r="B853" s="661"/>
      <c r="C853" s="661"/>
      <c r="D853" s="662"/>
      <c r="E853" s="661"/>
      <c r="F853" s="661"/>
      <c r="G853" s="661"/>
      <c r="H853" s="661"/>
      <c r="I853" s="661"/>
      <c r="J853" s="661"/>
      <c r="K853" s="661"/>
      <c r="L853" s="661"/>
      <c r="M853" s="661"/>
      <c r="N853" s="661"/>
      <c r="O853" s="661"/>
      <c r="P853" s="661"/>
      <c r="Q853" s="661"/>
      <c r="R853" s="661"/>
      <c r="S853" s="661"/>
      <c r="T853" s="661"/>
      <c r="U853" s="661"/>
      <c r="V853" s="661"/>
      <c r="W853" s="661"/>
      <c r="X853" s="661"/>
      <c r="Y853" s="661"/>
      <c r="Z853" s="661"/>
      <c r="AA853" s="661"/>
      <c r="AB853" s="661"/>
    </row>
    <row r="854">
      <c r="A854" s="661"/>
      <c r="B854" s="661"/>
      <c r="C854" s="661"/>
      <c r="D854" s="662"/>
      <c r="E854" s="661"/>
      <c r="F854" s="661"/>
      <c r="G854" s="661"/>
      <c r="H854" s="661"/>
      <c r="I854" s="661"/>
      <c r="J854" s="661"/>
      <c r="K854" s="661"/>
      <c r="L854" s="661"/>
      <c r="M854" s="661"/>
      <c r="N854" s="661"/>
      <c r="O854" s="661"/>
      <c r="P854" s="661"/>
      <c r="Q854" s="661"/>
      <c r="R854" s="661"/>
      <c r="S854" s="661"/>
      <c r="T854" s="661"/>
      <c r="U854" s="661"/>
      <c r="V854" s="661"/>
      <c r="W854" s="661"/>
      <c r="X854" s="661"/>
      <c r="Y854" s="661"/>
      <c r="Z854" s="661"/>
      <c r="AA854" s="661"/>
      <c r="AB854" s="661"/>
    </row>
    <row r="855">
      <c r="A855" s="661"/>
      <c r="B855" s="661"/>
      <c r="C855" s="661"/>
      <c r="D855" s="662"/>
      <c r="E855" s="661"/>
      <c r="F855" s="661"/>
      <c r="G855" s="661"/>
      <c r="H855" s="661"/>
      <c r="I855" s="661"/>
      <c r="J855" s="661"/>
      <c r="K855" s="661"/>
      <c r="L855" s="661"/>
      <c r="M855" s="661"/>
      <c r="N855" s="661"/>
      <c r="O855" s="661"/>
      <c r="P855" s="661"/>
      <c r="Q855" s="661"/>
      <c r="R855" s="661"/>
      <c r="S855" s="661"/>
      <c r="T855" s="661"/>
      <c r="U855" s="661"/>
      <c r="V855" s="661"/>
      <c r="W855" s="661"/>
      <c r="X855" s="661"/>
      <c r="Y855" s="661"/>
      <c r="Z855" s="661"/>
      <c r="AA855" s="661"/>
      <c r="AB855" s="661"/>
    </row>
    <row r="856">
      <c r="A856" s="661"/>
      <c r="B856" s="661"/>
      <c r="C856" s="661"/>
      <c r="D856" s="662"/>
      <c r="E856" s="661"/>
      <c r="F856" s="661"/>
      <c r="G856" s="661"/>
      <c r="H856" s="661"/>
      <c r="I856" s="661"/>
      <c r="J856" s="661"/>
      <c r="K856" s="661"/>
      <c r="L856" s="661"/>
      <c r="M856" s="661"/>
      <c r="N856" s="661"/>
      <c r="O856" s="661"/>
      <c r="P856" s="661"/>
      <c r="Q856" s="661"/>
      <c r="R856" s="661"/>
      <c r="S856" s="661"/>
      <c r="T856" s="661"/>
      <c r="U856" s="661"/>
      <c r="V856" s="661"/>
      <c r="W856" s="661"/>
      <c r="X856" s="661"/>
      <c r="Y856" s="661"/>
      <c r="Z856" s="661"/>
      <c r="AA856" s="661"/>
      <c r="AB856" s="661"/>
    </row>
    <row r="857">
      <c r="A857" s="661"/>
      <c r="B857" s="661"/>
      <c r="C857" s="661"/>
      <c r="D857" s="662"/>
      <c r="E857" s="661"/>
      <c r="F857" s="661"/>
      <c r="G857" s="661"/>
      <c r="H857" s="661"/>
      <c r="I857" s="661"/>
      <c r="J857" s="661"/>
      <c r="K857" s="661"/>
      <c r="L857" s="661"/>
      <c r="M857" s="661"/>
      <c r="N857" s="661"/>
      <c r="O857" s="661"/>
      <c r="P857" s="661"/>
      <c r="Q857" s="661"/>
      <c r="R857" s="661"/>
      <c r="S857" s="661"/>
      <c r="T857" s="661"/>
      <c r="U857" s="661"/>
      <c r="V857" s="661"/>
      <c r="W857" s="661"/>
      <c r="X857" s="661"/>
      <c r="Y857" s="661"/>
      <c r="Z857" s="661"/>
      <c r="AA857" s="661"/>
      <c r="AB857" s="661"/>
    </row>
    <row r="858">
      <c r="A858" s="661"/>
      <c r="B858" s="661"/>
      <c r="C858" s="661"/>
      <c r="D858" s="662"/>
      <c r="E858" s="661"/>
      <c r="F858" s="661"/>
      <c r="G858" s="661"/>
      <c r="H858" s="661"/>
      <c r="I858" s="661"/>
      <c r="J858" s="661"/>
      <c r="K858" s="661"/>
      <c r="L858" s="661"/>
      <c r="M858" s="661"/>
      <c r="N858" s="661"/>
      <c r="O858" s="661"/>
      <c r="P858" s="661"/>
      <c r="Q858" s="661"/>
      <c r="R858" s="661"/>
      <c r="S858" s="661"/>
      <c r="T858" s="661"/>
      <c r="U858" s="661"/>
      <c r="V858" s="661"/>
      <c r="W858" s="661"/>
      <c r="X858" s="661"/>
      <c r="Y858" s="661"/>
      <c r="Z858" s="661"/>
      <c r="AA858" s="661"/>
      <c r="AB858" s="661"/>
    </row>
    <row r="859">
      <c r="A859" s="661"/>
      <c r="B859" s="661"/>
      <c r="C859" s="661"/>
      <c r="D859" s="662"/>
      <c r="E859" s="661"/>
      <c r="F859" s="661"/>
      <c r="G859" s="661"/>
      <c r="H859" s="661"/>
      <c r="I859" s="661"/>
      <c r="J859" s="661"/>
      <c r="K859" s="661"/>
      <c r="L859" s="661"/>
      <c r="M859" s="661"/>
      <c r="N859" s="661"/>
      <c r="O859" s="661"/>
      <c r="P859" s="661"/>
      <c r="Q859" s="661"/>
      <c r="R859" s="661"/>
      <c r="S859" s="661"/>
      <c r="T859" s="661"/>
      <c r="U859" s="661"/>
      <c r="V859" s="661"/>
      <c r="W859" s="661"/>
      <c r="X859" s="661"/>
      <c r="Y859" s="661"/>
      <c r="Z859" s="661"/>
      <c r="AA859" s="661"/>
      <c r="AB859" s="661"/>
    </row>
    <row r="860">
      <c r="A860" s="661"/>
      <c r="B860" s="661"/>
      <c r="C860" s="661"/>
      <c r="D860" s="662"/>
      <c r="E860" s="661"/>
      <c r="F860" s="661"/>
      <c r="G860" s="661"/>
      <c r="H860" s="661"/>
      <c r="I860" s="661"/>
      <c r="J860" s="661"/>
      <c r="K860" s="661"/>
      <c r="L860" s="661"/>
      <c r="M860" s="661"/>
      <c r="N860" s="661"/>
      <c r="O860" s="661"/>
      <c r="P860" s="661"/>
      <c r="Q860" s="661"/>
      <c r="R860" s="661"/>
      <c r="S860" s="661"/>
      <c r="T860" s="661"/>
      <c r="U860" s="661"/>
      <c r="V860" s="661"/>
      <c r="W860" s="661"/>
      <c r="X860" s="661"/>
      <c r="Y860" s="661"/>
      <c r="Z860" s="661"/>
      <c r="AA860" s="661"/>
      <c r="AB860" s="661"/>
    </row>
    <row r="861">
      <c r="A861" s="661"/>
      <c r="B861" s="661"/>
      <c r="C861" s="661"/>
      <c r="D861" s="662"/>
      <c r="E861" s="661"/>
      <c r="F861" s="661"/>
      <c r="G861" s="661"/>
      <c r="H861" s="661"/>
      <c r="I861" s="661"/>
      <c r="J861" s="661"/>
      <c r="K861" s="661"/>
      <c r="L861" s="661"/>
      <c r="M861" s="661"/>
      <c r="N861" s="661"/>
      <c r="O861" s="661"/>
      <c r="P861" s="661"/>
      <c r="Q861" s="661"/>
      <c r="R861" s="661"/>
      <c r="S861" s="661"/>
      <c r="T861" s="661"/>
      <c r="U861" s="661"/>
      <c r="V861" s="661"/>
      <c r="W861" s="661"/>
      <c r="X861" s="661"/>
      <c r="Y861" s="661"/>
      <c r="Z861" s="661"/>
      <c r="AA861" s="661"/>
      <c r="AB861" s="661"/>
    </row>
    <row r="862">
      <c r="A862" s="661"/>
      <c r="B862" s="661"/>
      <c r="C862" s="661"/>
      <c r="D862" s="662"/>
      <c r="E862" s="661"/>
      <c r="F862" s="661"/>
      <c r="G862" s="661"/>
      <c r="H862" s="661"/>
      <c r="I862" s="661"/>
      <c r="J862" s="661"/>
      <c r="K862" s="661"/>
      <c r="L862" s="661"/>
      <c r="M862" s="661"/>
      <c r="N862" s="661"/>
      <c r="O862" s="661"/>
      <c r="P862" s="661"/>
      <c r="Q862" s="661"/>
      <c r="R862" s="661"/>
      <c r="S862" s="661"/>
      <c r="T862" s="661"/>
      <c r="U862" s="661"/>
      <c r="V862" s="661"/>
      <c r="W862" s="661"/>
      <c r="X862" s="661"/>
      <c r="Y862" s="661"/>
      <c r="Z862" s="661"/>
      <c r="AA862" s="661"/>
      <c r="AB862" s="661"/>
    </row>
    <row r="863">
      <c r="A863" s="661"/>
      <c r="B863" s="661"/>
      <c r="C863" s="661"/>
      <c r="D863" s="662"/>
      <c r="E863" s="661"/>
      <c r="F863" s="661"/>
      <c r="G863" s="661"/>
      <c r="H863" s="661"/>
      <c r="I863" s="661"/>
      <c r="J863" s="661"/>
      <c r="K863" s="661"/>
      <c r="L863" s="661"/>
      <c r="M863" s="661"/>
      <c r="N863" s="661"/>
      <c r="O863" s="661"/>
      <c r="P863" s="661"/>
      <c r="Q863" s="661"/>
      <c r="R863" s="661"/>
      <c r="S863" s="661"/>
      <c r="T863" s="661"/>
      <c r="U863" s="661"/>
      <c r="V863" s="661"/>
      <c r="W863" s="661"/>
      <c r="X863" s="661"/>
      <c r="Y863" s="661"/>
      <c r="Z863" s="661"/>
      <c r="AA863" s="661"/>
      <c r="AB863" s="661"/>
    </row>
    <row r="864">
      <c r="A864" s="661"/>
      <c r="B864" s="661"/>
      <c r="C864" s="661"/>
      <c r="D864" s="662"/>
      <c r="E864" s="661"/>
      <c r="F864" s="661"/>
      <c r="G864" s="661"/>
      <c r="H864" s="661"/>
      <c r="I864" s="661"/>
      <c r="J864" s="661"/>
      <c r="K864" s="661"/>
      <c r="L864" s="661"/>
      <c r="M864" s="661"/>
      <c r="N864" s="661"/>
      <c r="O864" s="661"/>
      <c r="P864" s="661"/>
      <c r="Q864" s="661"/>
      <c r="R864" s="661"/>
      <c r="S864" s="661"/>
      <c r="T864" s="661"/>
      <c r="U864" s="661"/>
      <c r="V864" s="661"/>
      <c r="W864" s="661"/>
      <c r="X864" s="661"/>
      <c r="Y864" s="661"/>
      <c r="Z864" s="661"/>
      <c r="AA864" s="661"/>
      <c r="AB864" s="661"/>
    </row>
    <row r="865">
      <c r="A865" s="661"/>
      <c r="B865" s="661"/>
      <c r="C865" s="661"/>
      <c r="D865" s="662"/>
      <c r="E865" s="661"/>
      <c r="F865" s="661"/>
      <c r="G865" s="661"/>
      <c r="H865" s="661"/>
      <c r="I865" s="661"/>
      <c r="J865" s="661"/>
      <c r="K865" s="661"/>
      <c r="L865" s="661"/>
      <c r="M865" s="661"/>
      <c r="N865" s="661"/>
      <c r="O865" s="661"/>
      <c r="P865" s="661"/>
      <c r="Q865" s="661"/>
      <c r="R865" s="661"/>
      <c r="S865" s="661"/>
      <c r="T865" s="661"/>
      <c r="U865" s="661"/>
      <c r="V865" s="661"/>
      <c r="W865" s="661"/>
      <c r="X865" s="661"/>
      <c r="Y865" s="661"/>
      <c r="Z865" s="661"/>
      <c r="AA865" s="661"/>
      <c r="AB865" s="661"/>
    </row>
    <row r="866">
      <c r="A866" s="661"/>
      <c r="B866" s="661"/>
      <c r="C866" s="661"/>
      <c r="D866" s="662"/>
      <c r="E866" s="661"/>
      <c r="F866" s="661"/>
      <c r="G866" s="661"/>
      <c r="H866" s="661"/>
      <c r="I866" s="661"/>
      <c r="J866" s="661"/>
      <c r="K866" s="661"/>
      <c r="L866" s="661"/>
      <c r="M866" s="661"/>
      <c r="N866" s="661"/>
      <c r="O866" s="661"/>
      <c r="P866" s="661"/>
      <c r="Q866" s="661"/>
      <c r="R866" s="661"/>
      <c r="S866" s="661"/>
      <c r="T866" s="661"/>
      <c r="U866" s="661"/>
      <c r="V866" s="661"/>
      <c r="W866" s="661"/>
      <c r="X866" s="661"/>
      <c r="Y866" s="661"/>
      <c r="Z866" s="661"/>
      <c r="AA866" s="661"/>
      <c r="AB866" s="661"/>
    </row>
    <row r="867">
      <c r="A867" s="661"/>
      <c r="B867" s="661"/>
      <c r="C867" s="661"/>
      <c r="D867" s="662"/>
      <c r="E867" s="661"/>
      <c r="F867" s="661"/>
      <c r="G867" s="661"/>
      <c r="H867" s="661"/>
      <c r="I867" s="661"/>
      <c r="J867" s="661"/>
      <c r="K867" s="661"/>
      <c r="L867" s="661"/>
      <c r="M867" s="661"/>
      <c r="N867" s="661"/>
      <c r="O867" s="661"/>
      <c r="P867" s="661"/>
      <c r="Q867" s="661"/>
      <c r="R867" s="661"/>
      <c r="S867" s="661"/>
      <c r="T867" s="661"/>
      <c r="U867" s="661"/>
      <c r="V867" s="661"/>
      <c r="W867" s="661"/>
      <c r="X867" s="661"/>
      <c r="Y867" s="661"/>
      <c r="Z867" s="661"/>
      <c r="AA867" s="661"/>
      <c r="AB867" s="661"/>
    </row>
    <row r="868">
      <c r="A868" s="661"/>
      <c r="B868" s="661"/>
      <c r="C868" s="661"/>
      <c r="D868" s="662"/>
      <c r="E868" s="661"/>
      <c r="F868" s="661"/>
      <c r="G868" s="661"/>
      <c r="H868" s="661"/>
      <c r="I868" s="661"/>
      <c r="J868" s="661"/>
      <c r="K868" s="661"/>
      <c r="L868" s="661"/>
      <c r="M868" s="661"/>
      <c r="N868" s="661"/>
      <c r="O868" s="661"/>
      <c r="P868" s="661"/>
      <c r="Q868" s="661"/>
      <c r="R868" s="661"/>
      <c r="S868" s="661"/>
      <c r="T868" s="661"/>
      <c r="U868" s="661"/>
      <c r="V868" s="661"/>
      <c r="W868" s="661"/>
      <c r="X868" s="661"/>
      <c r="Y868" s="661"/>
      <c r="Z868" s="661"/>
      <c r="AA868" s="661"/>
      <c r="AB868" s="661"/>
    </row>
    <row r="869">
      <c r="A869" s="661"/>
      <c r="B869" s="661"/>
      <c r="C869" s="661"/>
      <c r="D869" s="662"/>
      <c r="E869" s="661"/>
      <c r="F869" s="661"/>
      <c r="G869" s="661"/>
      <c r="H869" s="661"/>
      <c r="I869" s="661"/>
      <c r="J869" s="661"/>
      <c r="K869" s="661"/>
      <c r="L869" s="661"/>
      <c r="M869" s="661"/>
      <c r="N869" s="661"/>
      <c r="O869" s="661"/>
      <c r="P869" s="661"/>
      <c r="Q869" s="661"/>
      <c r="R869" s="661"/>
      <c r="S869" s="661"/>
      <c r="T869" s="661"/>
      <c r="U869" s="661"/>
      <c r="V869" s="661"/>
      <c r="W869" s="661"/>
      <c r="X869" s="661"/>
      <c r="Y869" s="661"/>
      <c r="Z869" s="661"/>
      <c r="AA869" s="661"/>
      <c r="AB869" s="661"/>
    </row>
    <row r="870">
      <c r="A870" s="661"/>
      <c r="B870" s="661"/>
      <c r="C870" s="661"/>
      <c r="D870" s="662"/>
      <c r="E870" s="661"/>
      <c r="F870" s="661"/>
      <c r="G870" s="661"/>
      <c r="H870" s="661"/>
      <c r="I870" s="661"/>
      <c r="J870" s="661"/>
      <c r="K870" s="661"/>
      <c r="L870" s="661"/>
      <c r="M870" s="661"/>
      <c r="N870" s="661"/>
      <c r="O870" s="661"/>
      <c r="P870" s="661"/>
      <c r="Q870" s="661"/>
      <c r="R870" s="661"/>
      <c r="S870" s="661"/>
      <c r="T870" s="661"/>
      <c r="U870" s="661"/>
      <c r="V870" s="661"/>
      <c r="W870" s="661"/>
      <c r="X870" s="661"/>
      <c r="Y870" s="661"/>
      <c r="Z870" s="661"/>
      <c r="AA870" s="661"/>
      <c r="AB870" s="661"/>
    </row>
    <row r="871">
      <c r="A871" s="661"/>
      <c r="B871" s="661"/>
      <c r="C871" s="661"/>
      <c r="D871" s="662"/>
      <c r="E871" s="661"/>
      <c r="F871" s="661"/>
      <c r="G871" s="661"/>
      <c r="H871" s="661"/>
      <c r="I871" s="661"/>
      <c r="J871" s="661"/>
      <c r="K871" s="661"/>
      <c r="L871" s="661"/>
      <c r="M871" s="661"/>
      <c r="N871" s="661"/>
      <c r="O871" s="661"/>
      <c r="P871" s="661"/>
      <c r="Q871" s="661"/>
      <c r="R871" s="661"/>
      <c r="S871" s="661"/>
      <c r="T871" s="661"/>
      <c r="U871" s="661"/>
      <c r="V871" s="661"/>
      <c r="W871" s="661"/>
      <c r="X871" s="661"/>
      <c r="Y871" s="661"/>
      <c r="Z871" s="661"/>
      <c r="AA871" s="661"/>
      <c r="AB871" s="661"/>
    </row>
    <row r="872">
      <c r="A872" s="661"/>
      <c r="B872" s="661"/>
      <c r="C872" s="661"/>
      <c r="D872" s="662"/>
      <c r="E872" s="661"/>
      <c r="F872" s="661"/>
      <c r="G872" s="661"/>
      <c r="H872" s="661"/>
      <c r="I872" s="661"/>
      <c r="J872" s="661"/>
      <c r="K872" s="661"/>
      <c r="L872" s="661"/>
      <c r="M872" s="661"/>
      <c r="N872" s="661"/>
      <c r="O872" s="661"/>
      <c r="P872" s="661"/>
      <c r="Q872" s="661"/>
      <c r="R872" s="661"/>
      <c r="S872" s="661"/>
      <c r="T872" s="661"/>
      <c r="U872" s="661"/>
      <c r="V872" s="661"/>
      <c r="W872" s="661"/>
      <c r="X872" s="661"/>
      <c r="Y872" s="661"/>
      <c r="Z872" s="661"/>
      <c r="AA872" s="661"/>
      <c r="AB872" s="661"/>
    </row>
    <row r="873">
      <c r="A873" s="661"/>
      <c r="B873" s="661"/>
      <c r="C873" s="661"/>
      <c r="D873" s="662"/>
      <c r="E873" s="661"/>
      <c r="F873" s="661"/>
      <c r="G873" s="661"/>
      <c r="H873" s="661"/>
      <c r="I873" s="661"/>
      <c r="J873" s="661"/>
      <c r="K873" s="661"/>
      <c r="L873" s="661"/>
      <c r="M873" s="661"/>
      <c r="N873" s="661"/>
      <c r="O873" s="661"/>
      <c r="P873" s="661"/>
      <c r="Q873" s="661"/>
      <c r="R873" s="661"/>
      <c r="S873" s="661"/>
      <c r="T873" s="661"/>
      <c r="U873" s="661"/>
      <c r="V873" s="661"/>
      <c r="W873" s="661"/>
      <c r="X873" s="661"/>
      <c r="Y873" s="661"/>
      <c r="Z873" s="661"/>
      <c r="AA873" s="661"/>
      <c r="AB873" s="661"/>
    </row>
    <row r="874">
      <c r="A874" s="661"/>
      <c r="B874" s="661"/>
      <c r="C874" s="661"/>
      <c r="D874" s="662"/>
      <c r="E874" s="661"/>
      <c r="F874" s="661"/>
      <c r="G874" s="661"/>
      <c r="H874" s="661"/>
      <c r="I874" s="661"/>
      <c r="J874" s="661"/>
      <c r="K874" s="661"/>
      <c r="L874" s="661"/>
      <c r="M874" s="661"/>
      <c r="N874" s="661"/>
      <c r="O874" s="661"/>
      <c r="P874" s="661"/>
      <c r="Q874" s="661"/>
      <c r="R874" s="661"/>
      <c r="S874" s="661"/>
      <c r="T874" s="661"/>
      <c r="U874" s="661"/>
      <c r="V874" s="661"/>
      <c r="W874" s="661"/>
      <c r="X874" s="661"/>
      <c r="Y874" s="661"/>
      <c r="Z874" s="661"/>
      <c r="AA874" s="661"/>
      <c r="AB874" s="661"/>
    </row>
    <row r="875">
      <c r="A875" s="661"/>
      <c r="B875" s="661"/>
      <c r="C875" s="661"/>
      <c r="D875" s="662"/>
      <c r="E875" s="661"/>
      <c r="F875" s="661"/>
      <c r="G875" s="661"/>
      <c r="H875" s="661"/>
      <c r="I875" s="661"/>
      <c r="J875" s="661"/>
      <c r="K875" s="661"/>
      <c r="L875" s="661"/>
      <c r="M875" s="661"/>
      <c r="N875" s="661"/>
      <c r="O875" s="661"/>
      <c r="P875" s="661"/>
      <c r="Q875" s="661"/>
      <c r="R875" s="661"/>
      <c r="S875" s="661"/>
      <c r="T875" s="661"/>
      <c r="U875" s="661"/>
      <c r="V875" s="661"/>
      <c r="W875" s="661"/>
      <c r="X875" s="661"/>
      <c r="Y875" s="661"/>
      <c r="Z875" s="661"/>
      <c r="AA875" s="661"/>
      <c r="AB875" s="661"/>
    </row>
    <row r="876">
      <c r="A876" s="661"/>
      <c r="B876" s="661"/>
      <c r="C876" s="661"/>
      <c r="D876" s="662"/>
      <c r="E876" s="661"/>
      <c r="F876" s="661"/>
      <c r="G876" s="661"/>
      <c r="H876" s="661"/>
      <c r="I876" s="661"/>
      <c r="J876" s="661"/>
      <c r="K876" s="661"/>
      <c r="L876" s="661"/>
      <c r="M876" s="661"/>
      <c r="N876" s="661"/>
      <c r="O876" s="661"/>
      <c r="P876" s="661"/>
      <c r="Q876" s="661"/>
      <c r="R876" s="661"/>
      <c r="S876" s="661"/>
      <c r="T876" s="661"/>
      <c r="U876" s="661"/>
      <c r="V876" s="661"/>
      <c r="W876" s="661"/>
      <c r="X876" s="661"/>
      <c r="Y876" s="661"/>
      <c r="Z876" s="661"/>
      <c r="AA876" s="661"/>
      <c r="AB876" s="661"/>
    </row>
    <row r="877">
      <c r="A877" s="661"/>
      <c r="B877" s="661"/>
      <c r="C877" s="661"/>
      <c r="D877" s="662"/>
      <c r="E877" s="661"/>
      <c r="F877" s="661"/>
      <c r="G877" s="661"/>
      <c r="H877" s="661"/>
      <c r="I877" s="661"/>
      <c r="J877" s="661"/>
      <c r="K877" s="661"/>
      <c r="L877" s="661"/>
      <c r="M877" s="661"/>
      <c r="N877" s="661"/>
      <c r="O877" s="661"/>
      <c r="P877" s="661"/>
      <c r="Q877" s="661"/>
      <c r="R877" s="661"/>
      <c r="S877" s="661"/>
      <c r="T877" s="661"/>
      <c r="U877" s="661"/>
      <c r="V877" s="661"/>
      <c r="W877" s="661"/>
      <c r="X877" s="661"/>
      <c r="Y877" s="661"/>
      <c r="Z877" s="661"/>
      <c r="AA877" s="661"/>
      <c r="AB877" s="661"/>
    </row>
    <row r="878">
      <c r="A878" s="661"/>
      <c r="B878" s="661"/>
      <c r="C878" s="661"/>
      <c r="D878" s="662"/>
      <c r="E878" s="661"/>
      <c r="F878" s="661"/>
      <c r="G878" s="661"/>
      <c r="H878" s="661"/>
      <c r="I878" s="661"/>
      <c r="J878" s="661"/>
      <c r="K878" s="661"/>
      <c r="L878" s="661"/>
      <c r="M878" s="661"/>
      <c r="N878" s="661"/>
      <c r="O878" s="661"/>
      <c r="P878" s="661"/>
      <c r="Q878" s="661"/>
      <c r="R878" s="661"/>
      <c r="S878" s="661"/>
      <c r="T878" s="661"/>
      <c r="U878" s="661"/>
      <c r="V878" s="661"/>
      <c r="W878" s="661"/>
      <c r="X878" s="661"/>
      <c r="Y878" s="661"/>
      <c r="Z878" s="661"/>
      <c r="AA878" s="661"/>
      <c r="AB878" s="661"/>
    </row>
    <row r="879">
      <c r="A879" s="661"/>
      <c r="B879" s="661"/>
      <c r="C879" s="661"/>
      <c r="D879" s="662"/>
      <c r="E879" s="661"/>
      <c r="F879" s="661"/>
      <c r="G879" s="661"/>
      <c r="H879" s="661"/>
      <c r="I879" s="661"/>
      <c r="J879" s="661"/>
      <c r="K879" s="661"/>
      <c r="L879" s="661"/>
      <c r="M879" s="661"/>
      <c r="N879" s="661"/>
      <c r="O879" s="661"/>
      <c r="P879" s="661"/>
      <c r="Q879" s="661"/>
      <c r="R879" s="661"/>
      <c r="S879" s="661"/>
      <c r="T879" s="661"/>
      <c r="U879" s="661"/>
      <c r="V879" s="661"/>
      <c r="W879" s="661"/>
      <c r="X879" s="661"/>
      <c r="Y879" s="661"/>
      <c r="Z879" s="661"/>
      <c r="AA879" s="661"/>
      <c r="AB879" s="661"/>
    </row>
    <row r="880">
      <c r="A880" s="661"/>
      <c r="B880" s="661"/>
      <c r="C880" s="661"/>
      <c r="D880" s="662"/>
      <c r="E880" s="661"/>
      <c r="F880" s="661"/>
      <c r="G880" s="661"/>
      <c r="H880" s="661"/>
      <c r="I880" s="661"/>
      <c r="J880" s="661"/>
      <c r="K880" s="661"/>
      <c r="L880" s="661"/>
      <c r="M880" s="661"/>
      <c r="N880" s="661"/>
      <c r="O880" s="661"/>
      <c r="P880" s="661"/>
      <c r="Q880" s="661"/>
      <c r="R880" s="661"/>
      <c r="S880" s="661"/>
      <c r="T880" s="661"/>
      <c r="U880" s="661"/>
      <c r="V880" s="661"/>
      <c r="W880" s="661"/>
      <c r="X880" s="661"/>
      <c r="Y880" s="661"/>
      <c r="Z880" s="661"/>
      <c r="AA880" s="661"/>
      <c r="AB880" s="661"/>
    </row>
    <row r="881">
      <c r="A881" s="661"/>
      <c r="B881" s="661"/>
      <c r="C881" s="661"/>
      <c r="D881" s="662"/>
      <c r="E881" s="661"/>
      <c r="F881" s="661"/>
      <c r="G881" s="661"/>
      <c r="H881" s="661"/>
      <c r="I881" s="661"/>
      <c r="J881" s="661"/>
      <c r="K881" s="661"/>
      <c r="L881" s="661"/>
      <c r="M881" s="661"/>
      <c r="N881" s="661"/>
      <c r="O881" s="661"/>
      <c r="P881" s="661"/>
      <c r="Q881" s="661"/>
      <c r="R881" s="661"/>
      <c r="S881" s="661"/>
      <c r="T881" s="661"/>
      <c r="U881" s="661"/>
      <c r="V881" s="661"/>
      <c r="W881" s="661"/>
      <c r="X881" s="661"/>
      <c r="Y881" s="661"/>
      <c r="Z881" s="661"/>
      <c r="AA881" s="661"/>
      <c r="AB881" s="661"/>
    </row>
    <row r="882">
      <c r="A882" s="661"/>
      <c r="B882" s="661"/>
      <c r="C882" s="661"/>
      <c r="D882" s="662"/>
      <c r="E882" s="661"/>
      <c r="F882" s="661"/>
      <c r="G882" s="661"/>
      <c r="H882" s="661"/>
      <c r="I882" s="661"/>
      <c r="J882" s="661"/>
      <c r="K882" s="661"/>
      <c r="L882" s="661"/>
      <c r="M882" s="661"/>
      <c r="N882" s="661"/>
      <c r="O882" s="661"/>
      <c r="P882" s="661"/>
      <c r="Q882" s="661"/>
      <c r="R882" s="661"/>
      <c r="S882" s="661"/>
      <c r="T882" s="661"/>
      <c r="U882" s="661"/>
      <c r="V882" s="661"/>
      <c r="W882" s="661"/>
      <c r="X882" s="661"/>
      <c r="Y882" s="661"/>
      <c r="Z882" s="661"/>
      <c r="AA882" s="661"/>
      <c r="AB882" s="661"/>
    </row>
    <row r="883">
      <c r="A883" s="661"/>
      <c r="B883" s="661"/>
      <c r="C883" s="661"/>
      <c r="D883" s="662"/>
      <c r="E883" s="661"/>
      <c r="F883" s="661"/>
      <c r="G883" s="661"/>
      <c r="H883" s="661"/>
      <c r="I883" s="661"/>
      <c r="J883" s="661"/>
      <c r="K883" s="661"/>
      <c r="L883" s="661"/>
      <c r="M883" s="661"/>
      <c r="N883" s="661"/>
      <c r="O883" s="661"/>
      <c r="P883" s="661"/>
      <c r="Q883" s="661"/>
      <c r="R883" s="661"/>
      <c r="S883" s="661"/>
      <c r="T883" s="661"/>
      <c r="U883" s="661"/>
      <c r="V883" s="661"/>
      <c r="W883" s="661"/>
      <c r="X883" s="661"/>
      <c r="Y883" s="661"/>
      <c r="Z883" s="661"/>
      <c r="AA883" s="661"/>
      <c r="AB883" s="661"/>
    </row>
    <row r="884">
      <c r="A884" s="661"/>
      <c r="B884" s="661"/>
      <c r="C884" s="661"/>
      <c r="D884" s="662"/>
      <c r="E884" s="661"/>
      <c r="F884" s="661"/>
      <c r="G884" s="661"/>
      <c r="H884" s="661"/>
      <c r="I884" s="661"/>
      <c r="J884" s="661"/>
      <c r="K884" s="661"/>
      <c r="L884" s="661"/>
      <c r="M884" s="661"/>
      <c r="N884" s="661"/>
      <c r="O884" s="661"/>
      <c r="P884" s="661"/>
      <c r="Q884" s="661"/>
      <c r="R884" s="661"/>
      <c r="S884" s="661"/>
      <c r="T884" s="661"/>
      <c r="U884" s="661"/>
      <c r="V884" s="661"/>
      <c r="W884" s="661"/>
      <c r="X884" s="661"/>
      <c r="Y884" s="661"/>
      <c r="Z884" s="661"/>
      <c r="AA884" s="661"/>
      <c r="AB884" s="661"/>
    </row>
    <row r="885">
      <c r="A885" s="661"/>
      <c r="B885" s="661"/>
      <c r="C885" s="661"/>
      <c r="D885" s="662"/>
      <c r="E885" s="661"/>
      <c r="F885" s="661"/>
      <c r="G885" s="661"/>
      <c r="H885" s="661"/>
      <c r="I885" s="661"/>
      <c r="J885" s="661"/>
      <c r="K885" s="661"/>
      <c r="L885" s="661"/>
      <c r="M885" s="661"/>
      <c r="N885" s="661"/>
      <c r="O885" s="661"/>
      <c r="P885" s="661"/>
      <c r="Q885" s="661"/>
      <c r="R885" s="661"/>
      <c r="S885" s="661"/>
      <c r="T885" s="661"/>
      <c r="U885" s="661"/>
      <c r="V885" s="661"/>
      <c r="W885" s="661"/>
      <c r="X885" s="661"/>
      <c r="Y885" s="661"/>
      <c r="Z885" s="661"/>
      <c r="AA885" s="661"/>
      <c r="AB885" s="661"/>
    </row>
    <row r="886">
      <c r="A886" s="661"/>
      <c r="B886" s="661"/>
      <c r="C886" s="661"/>
      <c r="D886" s="662"/>
      <c r="E886" s="661"/>
      <c r="F886" s="661"/>
      <c r="G886" s="661"/>
      <c r="H886" s="661"/>
      <c r="I886" s="661"/>
      <c r="J886" s="661"/>
      <c r="K886" s="661"/>
      <c r="L886" s="661"/>
      <c r="M886" s="661"/>
      <c r="N886" s="661"/>
      <c r="O886" s="661"/>
      <c r="P886" s="661"/>
      <c r="Q886" s="661"/>
      <c r="R886" s="661"/>
      <c r="S886" s="661"/>
      <c r="T886" s="661"/>
      <c r="U886" s="661"/>
      <c r="V886" s="661"/>
      <c r="W886" s="661"/>
      <c r="X886" s="661"/>
      <c r="Y886" s="661"/>
      <c r="Z886" s="661"/>
      <c r="AA886" s="661"/>
      <c r="AB886" s="661"/>
    </row>
    <row r="887">
      <c r="A887" s="661"/>
      <c r="B887" s="661"/>
      <c r="C887" s="661"/>
      <c r="D887" s="662"/>
      <c r="E887" s="661"/>
      <c r="F887" s="661"/>
      <c r="G887" s="661"/>
      <c r="H887" s="661"/>
      <c r="I887" s="661"/>
      <c r="J887" s="661"/>
      <c r="K887" s="661"/>
      <c r="L887" s="661"/>
      <c r="M887" s="661"/>
      <c r="N887" s="661"/>
      <c r="O887" s="661"/>
      <c r="P887" s="661"/>
      <c r="Q887" s="661"/>
      <c r="R887" s="661"/>
      <c r="S887" s="661"/>
      <c r="T887" s="661"/>
      <c r="U887" s="661"/>
      <c r="V887" s="661"/>
      <c r="W887" s="661"/>
      <c r="X887" s="661"/>
      <c r="Y887" s="661"/>
      <c r="Z887" s="661"/>
      <c r="AA887" s="661"/>
      <c r="AB887" s="661"/>
    </row>
    <row r="888">
      <c r="A888" s="661"/>
      <c r="B888" s="661"/>
      <c r="C888" s="661"/>
      <c r="D888" s="662"/>
      <c r="E888" s="661"/>
      <c r="F888" s="661"/>
      <c r="G888" s="661"/>
      <c r="H888" s="661"/>
      <c r="I888" s="661"/>
      <c r="J888" s="661"/>
      <c r="K888" s="661"/>
      <c r="L888" s="661"/>
      <c r="M888" s="661"/>
      <c r="N888" s="661"/>
      <c r="O888" s="661"/>
      <c r="P888" s="661"/>
      <c r="Q888" s="661"/>
      <c r="R888" s="661"/>
      <c r="S888" s="661"/>
      <c r="T888" s="661"/>
      <c r="U888" s="661"/>
      <c r="V888" s="661"/>
      <c r="W888" s="661"/>
      <c r="X888" s="661"/>
      <c r="Y888" s="661"/>
      <c r="Z888" s="661"/>
      <c r="AA888" s="661"/>
      <c r="AB888" s="661"/>
    </row>
    <row r="889">
      <c r="A889" s="661"/>
      <c r="B889" s="661"/>
      <c r="C889" s="661"/>
      <c r="D889" s="662"/>
      <c r="E889" s="661"/>
      <c r="F889" s="661"/>
      <c r="G889" s="661"/>
      <c r="H889" s="661"/>
      <c r="I889" s="661"/>
      <c r="J889" s="661"/>
      <c r="K889" s="661"/>
      <c r="L889" s="661"/>
      <c r="M889" s="661"/>
      <c r="N889" s="661"/>
      <c r="O889" s="661"/>
      <c r="P889" s="661"/>
      <c r="Q889" s="661"/>
      <c r="R889" s="661"/>
      <c r="S889" s="661"/>
      <c r="T889" s="661"/>
      <c r="U889" s="661"/>
      <c r="V889" s="661"/>
      <c r="W889" s="661"/>
      <c r="X889" s="661"/>
      <c r="Y889" s="661"/>
      <c r="Z889" s="661"/>
      <c r="AA889" s="661"/>
      <c r="AB889" s="661"/>
    </row>
    <row r="890">
      <c r="A890" s="661"/>
      <c r="B890" s="661"/>
      <c r="C890" s="661"/>
      <c r="D890" s="662"/>
      <c r="E890" s="661"/>
      <c r="F890" s="661"/>
      <c r="G890" s="661"/>
      <c r="H890" s="661"/>
      <c r="I890" s="661"/>
      <c r="J890" s="661"/>
      <c r="K890" s="661"/>
      <c r="L890" s="661"/>
      <c r="M890" s="661"/>
      <c r="N890" s="661"/>
      <c r="O890" s="661"/>
      <c r="P890" s="661"/>
      <c r="Q890" s="661"/>
      <c r="R890" s="661"/>
      <c r="S890" s="661"/>
      <c r="T890" s="661"/>
      <c r="U890" s="661"/>
      <c r="V890" s="661"/>
      <c r="W890" s="661"/>
      <c r="X890" s="661"/>
      <c r="Y890" s="661"/>
      <c r="Z890" s="661"/>
      <c r="AA890" s="661"/>
      <c r="AB890" s="661"/>
    </row>
    <row r="891">
      <c r="A891" s="661"/>
      <c r="B891" s="661"/>
      <c r="C891" s="661"/>
      <c r="D891" s="662"/>
      <c r="E891" s="661"/>
      <c r="F891" s="661"/>
      <c r="G891" s="661"/>
      <c r="H891" s="661"/>
      <c r="I891" s="661"/>
      <c r="J891" s="661"/>
      <c r="K891" s="661"/>
      <c r="L891" s="661"/>
      <c r="M891" s="661"/>
      <c r="N891" s="661"/>
      <c r="O891" s="661"/>
      <c r="P891" s="661"/>
      <c r="Q891" s="661"/>
      <c r="R891" s="661"/>
      <c r="S891" s="661"/>
      <c r="T891" s="661"/>
      <c r="U891" s="661"/>
      <c r="V891" s="661"/>
      <c r="W891" s="661"/>
      <c r="X891" s="661"/>
      <c r="Y891" s="661"/>
      <c r="Z891" s="661"/>
      <c r="AA891" s="661"/>
      <c r="AB891" s="661"/>
    </row>
    <row r="892">
      <c r="A892" s="661"/>
      <c r="B892" s="661"/>
      <c r="C892" s="661"/>
      <c r="D892" s="662"/>
      <c r="E892" s="661"/>
      <c r="F892" s="661"/>
      <c r="G892" s="661"/>
      <c r="H892" s="661"/>
      <c r="I892" s="661"/>
      <c r="J892" s="661"/>
      <c r="K892" s="661"/>
      <c r="L892" s="661"/>
      <c r="M892" s="661"/>
      <c r="N892" s="661"/>
      <c r="O892" s="661"/>
      <c r="P892" s="661"/>
      <c r="Q892" s="661"/>
      <c r="R892" s="661"/>
      <c r="S892" s="661"/>
      <c r="T892" s="661"/>
      <c r="U892" s="661"/>
      <c r="V892" s="661"/>
      <c r="W892" s="661"/>
      <c r="X892" s="661"/>
      <c r="Y892" s="661"/>
      <c r="Z892" s="661"/>
      <c r="AA892" s="661"/>
      <c r="AB892" s="661"/>
    </row>
    <row r="893">
      <c r="A893" s="661"/>
      <c r="B893" s="661"/>
      <c r="C893" s="661"/>
      <c r="D893" s="662"/>
      <c r="E893" s="661"/>
      <c r="F893" s="661"/>
      <c r="G893" s="661"/>
      <c r="H893" s="661"/>
      <c r="I893" s="661"/>
      <c r="J893" s="661"/>
      <c r="K893" s="661"/>
      <c r="L893" s="661"/>
      <c r="M893" s="661"/>
      <c r="N893" s="661"/>
      <c r="O893" s="661"/>
      <c r="P893" s="661"/>
      <c r="Q893" s="661"/>
      <c r="R893" s="661"/>
      <c r="S893" s="661"/>
      <c r="T893" s="661"/>
      <c r="U893" s="661"/>
      <c r="V893" s="661"/>
      <c r="W893" s="661"/>
      <c r="X893" s="661"/>
      <c r="Y893" s="661"/>
      <c r="Z893" s="661"/>
      <c r="AA893" s="661"/>
      <c r="AB893" s="661"/>
    </row>
    <row r="894">
      <c r="A894" s="661"/>
      <c r="B894" s="661"/>
      <c r="C894" s="661"/>
      <c r="D894" s="662"/>
      <c r="E894" s="661"/>
      <c r="F894" s="661"/>
      <c r="G894" s="661"/>
      <c r="H894" s="661"/>
      <c r="I894" s="661"/>
      <c r="J894" s="661"/>
      <c r="K894" s="661"/>
      <c r="L894" s="661"/>
      <c r="M894" s="661"/>
      <c r="N894" s="661"/>
      <c r="O894" s="661"/>
      <c r="P894" s="661"/>
      <c r="Q894" s="661"/>
      <c r="R894" s="661"/>
      <c r="S894" s="661"/>
      <c r="T894" s="661"/>
      <c r="U894" s="661"/>
      <c r="V894" s="661"/>
      <c r="W894" s="661"/>
      <c r="X894" s="661"/>
      <c r="Y894" s="661"/>
      <c r="Z894" s="661"/>
      <c r="AA894" s="661"/>
      <c r="AB894" s="661"/>
    </row>
    <row r="895">
      <c r="A895" s="661"/>
      <c r="B895" s="661"/>
      <c r="C895" s="661"/>
      <c r="D895" s="662"/>
      <c r="E895" s="661"/>
      <c r="F895" s="661"/>
      <c r="G895" s="661"/>
      <c r="H895" s="661"/>
      <c r="I895" s="661"/>
      <c r="J895" s="661"/>
      <c r="K895" s="661"/>
      <c r="L895" s="661"/>
      <c r="M895" s="661"/>
      <c r="N895" s="661"/>
      <c r="O895" s="661"/>
      <c r="P895" s="661"/>
      <c r="Q895" s="661"/>
      <c r="R895" s="661"/>
      <c r="S895" s="661"/>
      <c r="T895" s="661"/>
      <c r="U895" s="661"/>
      <c r="V895" s="661"/>
      <c r="W895" s="661"/>
      <c r="X895" s="661"/>
      <c r="Y895" s="661"/>
      <c r="Z895" s="661"/>
      <c r="AA895" s="661"/>
      <c r="AB895" s="661"/>
    </row>
    <row r="896">
      <c r="A896" s="661"/>
      <c r="B896" s="661"/>
      <c r="C896" s="661"/>
      <c r="D896" s="662"/>
      <c r="E896" s="661"/>
      <c r="F896" s="661"/>
      <c r="G896" s="661"/>
      <c r="H896" s="661"/>
      <c r="I896" s="661"/>
      <c r="J896" s="661"/>
      <c r="K896" s="661"/>
      <c r="L896" s="661"/>
      <c r="M896" s="661"/>
      <c r="N896" s="661"/>
      <c r="O896" s="661"/>
      <c r="P896" s="661"/>
      <c r="Q896" s="661"/>
      <c r="R896" s="661"/>
      <c r="S896" s="661"/>
      <c r="T896" s="661"/>
      <c r="U896" s="661"/>
      <c r="V896" s="661"/>
      <c r="W896" s="661"/>
      <c r="X896" s="661"/>
      <c r="Y896" s="661"/>
      <c r="Z896" s="661"/>
      <c r="AA896" s="661"/>
      <c r="AB896" s="661"/>
    </row>
    <row r="897">
      <c r="A897" s="661"/>
      <c r="B897" s="661"/>
      <c r="C897" s="661"/>
      <c r="D897" s="662"/>
      <c r="E897" s="661"/>
      <c r="F897" s="661"/>
      <c r="G897" s="661"/>
      <c r="H897" s="661"/>
      <c r="I897" s="661"/>
      <c r="J897" s="661"/>
      <c r="K897" s="661"/>
      <c r="L897" s="661"/>
      <c r="M897" s="661"/>
      <c r="N897" s="661"/>
      <c r="O897" s="661"/>
      <c r="P897" s="661"/>
      <c r="Q897" s="661"/>
      <c r="R897" s="661"/>
      <c r="S897" s="661"/>
      <c r="T897" s="661"/>
      <c r="U897" s="661"/>
      <c r="V897" s="661"/>
      <c r="W897" s="661"/>
      <c r="X897" s="661"/>
      <c r="Y897" s="661"/>
      <c r="Z897" s="661"/>
      <c r="AA897" s="661"/>
      <c r="AB897" s="661"/>
    </row>
    <row r="898">
      <c r="A898" s="661"/>
      <c r="B898" s="661"/>
      <c r="C898" s="661"/>
      <c r="D898" s="662"/>
      <c r="E898" s="661"/>
      <c r="F898" s="661"/>
      <c r="G898" s="661"/>
      <c r="H898" s="661"/>
      <c r="I898" s="661"/>
      <c r="J898" s="661"/>
      <c r="K898" s="661"/>
      <c r="L898" s="661"/>
      <c r="M898" s="661"/>
      <c r="N898" s="661"/>
      <c r="O898" s="661"/>
      <c r="P898" s="661"/>
      <c r="Q898" s="661"/>
      <c r="R898" s="661"/>
      <c r="S898" s="661"/>
      <c r="T898" s="661"/>
      <c r="U898" s="661"/>
      <c r="V898" s="661"/>
      <c r="W898" s="661"/>
      <c r="X898" s="661"/>
      <c r="Y898" s="661"/>
      <c r="Z898" s="661"/>
      <c r="AA898" s="661"/>
      <c r="AB898" s="661"/>
    </row>
    <row r="899">
      <c r="A899" s="661"/>
      <c r="B899" s="661"/>
      <c r="C899" s="661"/>
      <c r="D899" s="662"/>
      <c r="E899" s="661"/>
      <c r="F899" s="661"/>
      <c r="G899" s="661"/>
      <c r="H899" s="661"/>
      <c r="I899" s="661"/>
      <c r="J899" s="661"/>
      <c r="K899" s="661"/>
      <c r="L899" s="661"/>
      <c r="M899" s="661"/>
      <c r="N899" s="661"/>
      <c r="O899" s="661"/>
      <c r="P899" s="661"/>
      <c r="Q899" s="661"/>
      <c r="R899" s="661"/>
      <c r="S899" s="661"/>
      <c r="T899" s="661"/>
      <c r="U899" s="661"/>
      <c r="V899" s="661"/>
      <c r="W899" s="661"/>
      <c r="X899" s="661"/>
      <c r="Y899" s="661"/>
      <c r="Z899" s="661"/>
      <c r="AA899" s="661"/>
      <c r="AB899" s="661"/>
    </row>
    <row r="900">
      <c r="A900" s="661"/>
      <c r="B900" s="661"/>
      <c r="C900" s="661"/>
      <c r="D900" s="662"/>
      <c r="E900" s="661"/>
      <c r="F900" s="661"/>
      <c r="G900" s="661"/>
      <c r="H900" s="661"/>
      <c r="I900" s="661"/>
      <c r="J900" s="661"/>
      <c r="K900" s="661"/>
      <c r="L900" s="661"/>
      <c r="M900" s="661"/>
      <c r="N900" s="661"/>
      <c r="O900" s="661"/>
      <c r="P900" s="661"/>
      <c r="Q900" s="661"/>
      <c r="R900" s="661"/>
      <c r="S900" s="661"/>
      <c r="T900" s="661"/>
      <c r="U900" s="661"/>
      <c r="V900" s="661"/>
      <c r="W900" s="661"/>
      <c r="X900" s="661"/>
      <c r="Y900" s="661"/>
      <c r="Z900" s="661"/>
      <c r="AA900" s="661"/>
      <c r="AB900" s="661"/>
    </row>
    <row r="901">
      <c r="A901" s="661"/>
      <c r="B901" s="661"/>
      <c r="C901" s="661"/>
      <c r="D901" s="662"/>
      <c r="E901" s="661"/>
      <c r="F901" s="661"/>
      <c r="G901" s="661"/>
      <c r="H901" s="661"/>
      <c r="I901" s="661"/>
      <c r="J901" s="661"/>
      <c r="K901" s="661"/>
      <c r="L901" s="661"/>
      <c r="M901" s="661"/>
      <c r="N901" s="661"/>
      <c r="O901" s="661"/>
      <c r="P901" s="661"/>
      <c r="Q901" s="661"/>
      <c r="R901" s="661"/>
      <c r="S901" s="661"/>
      <c r="T901" s="661"/>
      <c r="U901" s="661"/>
      <c r="V901" s="661"/>
      <c r="W901" s="661"/>
      <c r="X901" s="661"/>
      <c r="Y901" s="661"/>
      <c r="Z901" s="661"/>
      <c r="AA901" s="661"/>
      <c r="AB901" s="661"/>
    </row>
    <row r="902">
      <c r="A902" s="661"/>
      <c r="B902" s="661"/>
      <c r="C902" s="661"/>
      <c r="D902" s="662"/>
      <c r="E902" s="661"/>
      <c r="F902" s="661"/>
      <c r="G902" s="661"/>
      <c r="H902" s="661"/>
      <c r="I902" s="661"/>
      <c r="J902" s="661"/>
      <c r="K902" s="661"/>
      <c r="L902" s="661"/>
      <c r="M902" s="661"/>
      <c r="N902" s="661"/>
      <c r="O902" s="661"/>
      <c r="P902" s="661"/>
      <c r="Q902" s="661"/>
      <c r="R902" s="661"/>
      <c r="S902" s="661"/>
      <c r="T902" s="661"/>
      <c r="U902" s="661"/>
      <c r="V902" s="661"/>
      <c r="W902" s="661"/>
      <c r="X902" s="661"/>
      <c r="Y902" s="661"/>
      <c r="Z902" s="661"/>
      <c r="AA902" s="661"/>
      <c r="AB902" s="661"/>
    </row>
    <row r="903">
      <c r="A903" s="661"/>
      <c r="B903" s="661"/>
      <c r="C903" s="661"/>
      <c r="D903" s="662"/>
      <c r="E903" s="661"/>
      <c r="F903" s="661"/>
      <c r="G903" s="661"/>
      <c r="H903" s="661"/>
      <c r="I903" s="661"/>
      <c r="J903" s="661"/>
      <c r="K903" s="661"/>
      <c r="L903" s="661"/>
      <c r="M903" s="661"/>
      <c r="N903" s="661"/>
      <c r="O903" s="661"/>
      <c r="P903" s="661"/>
      <c r="Q903" s="661"/>
      <c r="R903" s="661"/>
      <c r="S903" s="661"/>
      <c r="T903" s="661"/>
      <c r="U903" s="661"/>
      <c r="V903" s="661"/>
      <c r="W903" s="661"/>
      <c r="X903" s="661"/>
      <c r="Y903" s="661"/>
      <c r="Z903" s="661"/>
      <c r="AA903" s="661"/>
      <c r="AB903" s="661"/>
    </row>
    <row r="904">
      <c r="A904" s="661"/>
      <c r="B904" s="661"/>
      <c r="C904" s="661"/>
      <c r="D904" s="662"/>
      <c r="E904" s="661"/>
      <c r="F904" s="661"/>
      <c r="G904" s="661"/>
      <c r="H904" s="661"/>
      <c r="I904" s="661"/>
      <c r="J904" s="661"/>
      <c r="K904" s="661"/>
      <c r="L904" s="661"/>
      <c r="M904" s="661"/>
      <c r="N904" s="661"/>
      <c r="O904" s="661"/>
      <c r="P904" s="661"/>
      <c r="Q904" s="661"/>
      <c r="R904" s="661"/>
      <c r="S904" s="661"/>
      <c r="T904" s="661"/>
      <c r="U904" s="661"/>
      <c r="V904" s="661"/>
      <c r="W904" s="661"/>
      <c r="X904" s="661"/>
      <c r="Y904" s="661"/>
      <c r="Z904" s="661"/>
      <c r="AA904" s="661"/>
      <c r="AB904" s="661"/>
    </row>
    <row r="905">
      <c r="A905" s="661"/>
      <c r="B905" s="661"/>
      <c r="C905" s="661"/>
      <c r="D905" s="662"/>
      <c r="E905" s="661"/>
      <c r="F905" s="661"/>
      <c r="G905" s="661"/>
      <c r="H905" s="661"/>
      <c r="I905" s="661"/>
      <c r="J905" s="661"/>
      <c r="K905" s="661"/>
      <c r="L905" s="661"/>
      <c r="M905" s="661"/>
      <c r="N905" s="661"/>
      <c r="O905" s="661"/>
      <c r="P905" s="661"/>
      <c r="Q905" s="661"/>
      <c r="R905" s="661"/>
      <c r="S905" s="661"/>
      <c r="T905" s="661"/>
      <c r="U905" s="661"/>
      <c r="V905" s="661"/>
      <c r="W905" s="661"/>
      <c r="X905" s="661"/>
      <c r="Y905" s="661"/>
      <c r="Z905" s="661"/>
      <c r="AA905" s="661"/>
      <c r="AB905" s="661"/>
    </row>
    <row r="906">
      <c r="A906" s="661"/>
      <c r="B906" s="661"/>
      <c r="C906" s="661"/>
      <c r="D906" s="662"/>
      <c r="E906" s="661"/>
      <c r="F906" s="661"/>
      <c r="G906" s="661"/>
      <c r="H906" s="661"/>
      <c r="I906" s="661"/>
      <c r="J906" s="661"/>
      <c r="K906" s="661"/>
      <c r="L906" s="661"/>
      <c r="M906" s="661"/>
      <c r="N906" s="661"/>
      <c r="O906" s="661"/>
      <c r="P906" s="661"/>
      <c r="Q906" s="661"/>
      <c r="R906" s="661"/>
      <c r="S906" s="661"/>
      <c r="T906" s="661"/>
      <c r="U906" s="661"/>
      <c r="V906" s="661"/>
      <c r="W906" s="661"/>
      <c r="X906" s="661"/>
      <c r="Y906" s="661"/>
      <c r="Z906" s="661"/>
      <c r="AA906" s="661"/>
      <c r="AB906" s="661"/>
    </row>
    <row r="907">
      <c r="A907" s="661"/>
      <c r="B907" s="661"/>
      <c r="C907" s="661"/>
      <c r="D907" s="662"/>
      <c r="E907" s="661"/>
      <c r="F907" s="661"/>
      <c r="G907" s="661"/>
      <c r="H907" s="661"/>
      <c r="I907" s="661"/>
      <c r="J907" s="661"/>
      <c r="K907" s="661"/>
      <c r="L907" s="661"/>
      <c r="M907" s="661"/>
      <c r="N907" s="661"/>
      <c r="O907" s="661"/>
      <c r="P907" s="661"/>
      <c r="Q907" s="661"/>
      <c r="R907" s="661"/>
      <c r="S907" s="661"/>
      <c r="T907" s="661"/>
      <c r="U907" s="661"/>
      <c r="V907" s="661"/>
      <c r="W907" s="661"/>
      <c r="X907" s="661"/>
      <c r="Y907" s="661"/>
      <c r="Z907" s="661"/>
      <c r="AA907" s="661"/>
      <c r="AB907" s="661"/>
    </row>
    <row r="908">
      <c r="A908" s="661"/>
      <c r="B908" s="661"/>
      <c r="C908" s="661"/>
      <c r="D908" s="662"/>
      <c r="E908" s="661"/>
      <c r="F908" s="661"/>
      <c r="G908" s="661"/>
      <c r="H908" s="661"/>
      <c r="I908" s="661"/>
      <c r="J908" s="661"/>
      <c r="K908" s="661"/>
      <c r="L908" s="661"/>
      <c r="M908" s="661"/>
      <c r="N908" s="661"/>
      <c r="O908" s="661"/>
      <c r="P908" s="661"/>
      <c r="Q908" s="661"/>
      <c r="R908" s="661"/>
      <c r="S908" s="661"/>
      <c r="T908" s="661"/>
      <c r="U908" s="661"/>
      <c r="V908" s="661"/>
      <c r="W908" s="661"/>
      <c r="X908" s="661"/>
      <c r="Y908" s="661"/>
      <c r="Z908" s="661"/>
      <c r="AA908" s="661"/>
      <c r="AB908" s="661"/>
    </row>
    <row r="909">
      <c r="A909" s="661"/>
      <c r="B909" s="661"/>
      <c r="C909" s="661"/>
      <c r="D909" s="662"/>
      <c r="E909" s="661"/>
      <c r="F909" s="661"/>
      <c r="G909" s="661"/>
      <c r="H909" s="661"/>
      <c r="I909" s="661"/>
      <c r="J909" s="661"/>
      <c r="K909" s="661"/>
      <c r="L909" s="661"/>
      <c r="M909" s="661"/>
      <c r="N909" s="661"/>
      <c r="O909" s="661"/>
      <c r="P909" s="661"/>
      <c r="Q909" s="661"/>
      <c r="R909" s="661"/>
      <c r="S909" s="661"/>
      <c r="T909" s="661"/>
      <c r="U909" s="661"/>
      <c r="V909" s="661"/>
      <c r="W909" s="661"/>
      <c r="X909" s="661"/>
      <c r="Y909" s="661"/>
      <c r="Z909" s="661"/>
      <c r="AA909" s="661"/>
      <c r="AB909" s="661"/>
    </row>
    <row r="910">
      <c r="A910" s="661"/>
      <c r="B910" s="661"/>
      <c r="C910" s="661"/>
      <c r="D910" s="662"/>
      <c r="E910" s="661"/>
      <c r="F910" s="661"/>
      <c r="G910" s="661"/>
      <c r="H910" s="661"/>
      <c r="I910" s="661"/>
      <c r="J910" s="661"/>
      <c r="K910" s="661"/>
      <c r="L910" s="661"/>
      <c r="M910" s="661"/>
      <c r="N910" s="661"/>
      <c r="O910" s="661"/>
      <c r="P910" s="661"/>
      <c r="Q910" s="661"/>
      <c r="R910" s="661"/>
      <c r="S910" s="661"/>
      <c r="T910" s="661"/>
      <c r="U910" s="661"/>
      <c r="V910" s="661"/>
      <c r="W910" s="661"/>
      <c r="X910" s="661"/>
      <c r="Y910" s="661"/>
      <c r="Z910" s="661"/>
      <c r="AA910" s="661"/>
      <c r="AB910" s="661"/>
    </row>
    <row r="911">
      <c r="A911" s="661"/>
      <c r="B911" s="661"/>
      <c r="C911" s="661"/>
      <c r="D911" s="662"/>
      <c r="E911" s="661"/>
      <c r="F911" s="661"/>
      <c r="G911" s="661"/>
      <c r="H911" s="661"/>
      <c r="I911" s="661"/>
      <c r="J911" s="661"/>
      <c r="K911" s="661"/>
      <c r="L911" s="661"/>
      <c r="M911" s="661"/>
      <c r="N911" s="661"/>
      <c r="O911" s="661"/>
      <c r="P911" s="661"/>
      <c r="Q911" s="661"/>
      <c r="R911" s="661"/>
      <c r="S911" s="661"/>
      <c r="T911" s="661"/>
      <c r="U911" s="661"/>
      <c r="V911" s="661"/>
      <c r="W911" s="661"/>
      <c r="X911" s="661"/>
      <c r="Y911" s="661"/>
      <c r="Z911" s="661"/>
      <c r="AA911" s="661"/>
      <c r="AB911" s="661"/>
    </row>
    <row r="912">
      <c r="A912" s="661"/>
      <c r="B912" s="661"/>
      <c r="C912" s="661"/>
      <c r="D912" s="662"/>
      <c r="E912" s="661"/>
      <c r="F912" s="661"/>
      <c r="G912" s="661"/>
      <c r="H912" s="661"/>
      <c r="I912" s="661"/>
      <c r="J912" s="661"/>
      <c r="K912" s="661"/>
      <c r="L912" s="661"/>
      <c r="M912" s="661"/>
      <c r="N912" s="661"/>
      <c r="O912" s="661"/>
      <c r="P912" s="661"/>
      <c r="Q912" s="661"/>
      <c r="R912" s="661"/>
      <c r="S912" s="661"/>
      <c r="T912" s="661"/>
      <c r="U912" s="661"/>
      <c r="V912" s="661"/>
      <c r="W912" s="661"/>
      <c r="X912" s="661"/>
      <c r="Y912" s="661"/>
      <c r="Z912" s="661"/>
      <c r="AA912" s="661"/>
      <c r="AB912" s="661"/>
    </row>
    <row r="913">
      <c r="A913" s="661"/>
      <c r="B913" s="661"/>
      <c r="C913" s="661"/>
      <c r="D913" s="662"/>
      <c r="E913" s="661"/>
      <c r="F913" s="661"/>
      <c r="G913" s="661"/>
      <c r="H913" s="661"/>
      <c r="I913" s="661"/>
      <c r="J913" s="661"/>
      <c r="K913" s="661"/>
      <c r="L913" s="661"/>
      <c r="M913" s="661"/>
      <c r="N913" s="661"/>
      <c r="O913" s="661"/>
      <c r="P913" s="661"/>
      <c r="Q913" s="661"/>
      <c r="R913" s="661"/>
      <c r="S913" s="661"/>
      <c r="T913" s="661"/>
      <c r="U913" s="661"/>
      <c r="V913" s="661"/>
      <c r="W913" s="661"/>
      <c r="X913" s="661"/>
      <c r="Y913" s="661"/>
      <c r="Z913" s="661"/>
      <c r="AA913" s="661"/>
      <c r="AB913" s="661"/>
    </row>
    <row r="914">
      <c r="A914" s="661"/>
      <c r="B914" s="661"/>
      <c r="C914" s="661"/>
      <c r="D914" s="662"/>
      <c r="E914" s="661"/>
      <c r="F914" s="661"/>
      <c r="G914" s="661"/>
      <c r="H914" s="661"/>
      <c r="I914" s="661"/>
      <c r="J914" s="661"/>
      <c r="K914" s="661"/>
      <c r="L914" s="661"/>
      <c r="M914" s="661"/>
      <c r="N914" s="661"/>
      <c r="O914" s="661"/>
      <c r="P914" s="661"/>
      <c r="Q914" s="661"/>
      <c r="R914" s="661"/>
      <c r="S914" s="661"/>
      <c r="T914" s="661"/>
      <c r="U914" s="661"/>
      <c r="V914" s="661"/>
      <c r="W914" s="661"/>
      <c r="X914" s="661"/>
      <c r="Y914" s="661"/>
      <c r="Z914" s="661"/>
      <c r="AA914" s="661"/>
      <c r="AB914" s="661"/>
    </row>
    <row r="915">
      <c r="A915" s="661"/>
      <c r="B915" s="661"/>
      <c r="C915" s="661"/>
      <c r="D915" s="662"/>
      <c r="E915" s="661"/>
      <c r="F915" s="661"/>
      <c r="G915" s="661"/>
      <c r="H915" s="661"/>
      <c r="I915" s="661"/>
      <c r="J915" s="661"/>
      <c r="K915" s="661"/>
      <c r="L915" s="661"/>
      <c r="M915" s="661"/>
      <c r="N915" s="661"/>
      <c r="O915" s="661"/>
      <c r="P915" s="661"/>
      <c r="Q915" s="661"/>
      <c r="R915" s="661"/>
      <c r="S915" s="661"/>
      <c r="T915" s="661"/>
      <c r="U915" s="661"/>
      <c r="V915" s="661"/>
      <c r="W915" s="661"/>
      <c r="X915" s="661"/>
      <c r="Y915" s="661"/>
      <c r="Z915" s="661"/>
      <c r="AA915" s="661"/>
      <c r="AB915" s="661"/>
    </row>
    <row r="916">
      <c r="A916" s="661"/>
      <c r="B916" s="661"/>
      <c r="C916" s="661"/>
      <c r="D916" s="662"/>
      <c r="E916" s="661"/>
      <c r="F916" s="661"/>
      <c r="G916" s="661"/>
      <c r="H916" s="661"/>
      <c r="I916" s="661"/>
      <c r="J916" s="661"/>
      <c r="K916" s="661"/>
      <c r="L916" s="661"/>
      <c r="M916" s="661"/>
      <c r="N916" s="661"/>
      <c r="O916" s="661"/>
      <c r="P916" s="661"/>
      <c r="Q916" s="661"/>
      <c r="R916" s="661"/>
      <c r="S916" s="661"/>
      <c r="T916" s="661"/>
      <c r="U916" s="661"/>
      <c r="V916" s="661"/>
      <c r="W916" s="661"/>
      <c r="X916" s="661"/>
      <c r="Y916" s="661"/>
      <c r="Z916" s="661"/>
      <c r="AA916" s="661"/>
      <c r="AB916" s="661"/>
    </row>
    <row r="917">
      <c r="A917" s="661"/>
      <c r="B917" s="661"/>
      <c r="C917" s="661"/>
      <c r="D917" s="662"/>
      <c r="E917" s="661"/>
      <c r="F917" s="661"/>
      <c r="G917" s="661"/>
      <c r="H917" s="661"/>
      <c r="I917" s="661"/>
      <c r="J917" s="661"/>
      <c r="K917" s="661"/>
      <c r="L917" s="661"/>
      <c r="M917" s="661"/>
      <c r="N917" s="661"/>
      <c r="O917" s="661"/>
      <c r="P917" s="661"/>
      <c r="Q917" s="661"/>
      <c r="R917" s="661"/>
      <c r="S917" s="661"/>
      <c r="T917" s="661"/>
      <c r="U917" s="661"/>
      <c r="V917" s="661"/>
      <c r="W917" s="661"/>
      <c r="X917" s="661"/>
      <c r="Y917" s="661"/>
      <c r="Z917" s="661"/>
      <c r="AA917" s="661"/>
      <c r="AB917" s="661"/>
    </row>
    <row r="918">
      <c r="A918" s="661"/>
      <c r="B918" s="661"/>
      <c r="C918" s="661"/>
      <c r="D918" s="662"/>
      <c r="E918" s="661"/>
      <c r="F918" s="661"/>
      <c r="G918" s="661"/>
      <c r="H918" s="661"/>
      <c r="I918" s="661"/>
      <c r="J918" s="661"/>
      <c r="K918" s="661"/>
      <c r="L918" s="661"/>
      <c r="M918" s="661"/>
      <c r="N918" s="661"/>
      <c r="O918" s="661"/>
      <c r="P918" s="661"/>
      <c r="Q918" s="661"/>
      <c r="R918" s="661"/>
      <c r="S918" s="661"/>
      <c r="T918" s="661"/>
      <c r="U918" s="661"/>
      <c r="V918" s="661"/>
      <c r="W918" s="661"/>
      <c r="X918" s="661"/>
      <c r="Y918" s="661"/>
      <c r="Z918" s="661"/>
      <c r="AA918" s="661"/>
      <c r="AB918" s="661"/>
    </row>
    <row r="919">
      <c r="A919" s="661"/>
      <c r="B919" s="661"/>
      <c r="C919" s="661"/>
      <c r="D919" s="662"/>
      <c r="E919" s="661"/>
      <c r="F919" s="661"/>
      <c r="G919" s="661"/>
      <c r="H919" s="661"/>
      <c r="I919" s="661"/>
      <c r="J919" s="661"/>
      <c r="K919" s="661"/>
      <c r="L919" s="661"/>
      <c r="M919" s="661"/>
      <c r="N919" s="661"/>
      <c r="O919" s="661"/>
      <c r="P919" s="661"/>
      <c r="Q919" s="661"/>
      <c r="R919" s="661"/>
      <c r="S919" s="661"/>
      <c r="T919" s="661"/>
      <c r="U919" s="661"/>
      <c r="V919" s="661"/>
      <c r="W919" s="661"/>
      <c r="X919" s="661"/>
      <c r="Y919" s="661"/>
      <c r="Z919" s="661"/>
      <c r="AA919" s="661"/>
      <c r="AB919" s="661"/>
    </row>
    <row r="920">
      <c r="A920" s="661"/>
      <c r="B920" s="661"/>
      <c r="C920" s="661"/>
      <c r="D920" s="662"/>
      <c r="E920" s="661"/>
      <c r="F920" s="661"/>
      <c r="G920" s="661"/>
      <c r="H920" s="661"/>
      <c r="I920" s="661"/>
      <c r="J920" s="661"/>
      <c r="K920" s="661"/>
      <c r="L920" s="661"/>
      <c r="M920" s="661"/>
      <c r="N920" s="661"/>
      <c r="O920" s="661"/>
      <c r="P920" s="661"/>
      <c r="Q920" s="661"/>
      <c r="R920" s="661"/>
      <c r="S920" s="661"/>
      <c r="T920" s="661"/>
      <c r="U920" s="661"/>
      <c r="V920" s="661"/>
      <c r="W920" s="661"/>
      <c r="X920" s="661"/>
      <c r="Y920" s="661"/>
      <c r="Z920" s="661"/>
      <c r="AA920" s="661"/>
      <c r="AB920" s="661"/>
    </row>
    <row r="921">
      <c r="A921" s="661"/>
      <c r="B921" s="661"/>
      <c r="C921" s="661"/>
      <c r="D921" s="662"/>
      <c r="E921" s="661"/>
      <c r="F921" s="661"/>
      <c r="G921" s="661"/>
      <c r="H921" s="661"/>
      <c r="I921" s="661"/>
      <c r="J921" s="661"/>
      <c r="K921" s="661"/>
      <c r="L921" s="661"/>
      <c r="M921" s="661"/>
      <c r="N921" s="661"/>
      <c r="O921" s="661"/>
      <c r="P921" s="661"/>
      <c r="Q921" s="661"/>
      <c r="R921" s="661"/>
      <c r="S921" s="661"/>
      <c r="T921" s="661"/>
      <c r="U921" s="661"/>
      <c r="V921" s="661"/>
      <c r="W921" s="661"/>
      <c r="X921" s="661"/>
      <c r="Y921" s="661"/>
      <c r="Z921" s="661"/>
      <c r="AA921" s="661"/>
      <c r="AB921" s="661"/>
    </row>
    <row r="922">
      <c r="A922" s="661"/>
      <c r="B922" s="661"/>
      <c r="C922" s="661"/>
      <c r="D922" s="662"/>
      <c r="E922" s="661"/>
      <c r="F922" s="661"/>
      <c r="G922" s="661"/>
      <c r="H922" s="661"/>
      <c r="I922" s="661"/>
      <c r="J922" s="661"/>
      <c r="K922" s="661"/>
      <c r="L922" s="661"/>
      <c r="M922" s="661"/>
      <c r="N922" s="661"/>
      <c r="O922" s="661"/>
      <c r="P922" s="661"/>
      <c r="Q922" s="661"/>
      <c r="R922" s="661"/>
      <c r="S922" s="661"/>
      <c r="T922" s="661"/>
      <c r="U922" s="661"/>
      <c r="V922" s="661"/>
      <c r="W922" s="661"/>
      <c r="X922" s="661"/>
      <c r="Y922" s="661"/>
      <c r="Z922" s="661"/>
      <c r="AA922" s="661"/>
      <c r="AB922" s="661"/>
    </row>
    <row r="923">
      <c r="A923" s="661"/>
      <c r="B923" s="661"/>
      <c r="C923" s="661"/>
      <c r="D923" s="662"/>
      <c r="E923" s="661"/>
      <c r="F923" s="661"/>
      <c r="G923" s="661"/>
      <c r="H923" s="661"/>
      <c r="I923" s="661"/>
      <c r="J923" s="661"/>
      <c r="K923" s="661"/>
      <c r="L923" s="661"/>
      <c r="M923" s="661"/>
      <c r="N923" s="661"/>
      <c r="O923" s="661"/>
      <c r="P923" s="661"/>
      <c r="Q923" s="661"/>
      <c r="R923" s="661"/>
      <c r="S923" s="661"/>
      <c r="T923" s="661"/>
      <c r="U923" s="661"/>
      <c r="V923" s="661"/>
      <c r="W923" s="661"/>
      <c r="X923" s="661"/>
      <c r="Y923" s="661"/>
      <c r="Z923" s="661"/>
      <c r="AA923" s="661"/>
      <c r="AB923" s="661"/>
    </row>
    <row r="924">
      <c r="A924" s="661"/>
      <c r="B924" s="661"/>
      <c r="C924" s="661"/>
      <c r="D924" s="662"/>
      <c r="E924" s="661"/>
      <c r="F924" s="661"/>
      <c r="G924" s="661"/>
      <c r="H924" s="661"/>
      <c r="I924" s="661"/>
      <c r="J924" s="661"/>
      <c r="K924" s="661"/>
      <c r="L924" s="661"/>
      <c r="M924" s="661"/>
      <c r="N924" s="661"/>
      <c r="O924" s="661"/>
      <c r="P924" s="661"/>
      <c r="Q924" s="661"/>
      <c r="R924" s="661"/>
      <c r="S924" s="661"/>
      <c r="T924" s="661"/>
      <c r="U924" s="661"/>
      <c r="V924" s="661"/>
      <c r="W924" s="661"/>
      <c r="X924" s="661"/>
      <c r="Y924" s="661"/>
      <c r="Z924" s="661"/>
      <c r="AA924" s="661"/>
      <c r="AB924" s="661"/>
    </row>
    <row r="925">
      <c r="A925" s="661"/>
      <c r="B925" s="661"/>
      <c r="C925" s="661"/>
      <c r="D925" s="662"/>
      <c r="E925" s="661"/>
      <c r="F925" s="661"/>
      <c r="G925" s="661"/>
      <c r="H925" s="661"/>
      <c r="I925" s="661"/>
      <c r="J925" s="661"/>
      <c r="K925" s="661"/>
      <c r="L925" s="661"/>
      <c r="M925" s="661"/>
      <c r="N925" s="661"/>
      <c r="O925" s="661"/>
      <c r="P925" s="661"/>
      <c r="Q925" s="661"/>
      <c r="R925" s="661"/>
      <c r="S925" s="661"/>
      <c r="T925" s="661"/>
      <c r="U925" s="661"/>
      <c r="V925" s="661"/>
      <c r="W925" s="661"/>
      <c r="X925" s="661"/>
      <c r="Y925" s="661"/>
      <c r="Z925" s="661"/>
      <c r="AA925" s="661"/>
      <c r="AB925" s="661"/>
    </row>
    <row r="926">
      <c r="A926" s="661"/>
      <c r="B926" s="661"/>
      <c r="C926" s="661"/>
      <c r="D926" s="662"/>
      <c r="E926" s="661"/>
      <c r="F926" s="661"/>
      <c r="G926" s="661"/>
      <c r="H926" s="661"/>
      <c r="I926" s="661"/>
      <c r="J926" s="661"/>
      <c r="K926" s="661"/>
      <c r="L926" s="661"/>
      <c r="M926" s="661"/>
      <c r="N926" s="661"/>
      <c r="O926" s="661"/>
      <c r="P926" s="661"/>
      <c r="Q926" s="661"/>
      <c r="R926" s="661"/>
      <c r="S926" s="661"/>
      <c r="T926" s="661"/>
      <c r="U926" s="661"/>
      <c r="V926" s="661"/>
      <c r="W926" s="661"/>
      <c r="X926" s="661"/>
      <c r="Y926" s="661"/>
      <c r="Z926" s="661"/>
      <c r="AA926" s="661"/>
      <c r="AB926" s="661"/>
    </row>
    <row r="927">
      <c r="A927" s="661"/>
      <c r="B927" s="661"/>
      <c r="C927" s="661"/>
      <c r="D927" s="662"/>
      <c r="E927" s="661"/>
      <c r="F927" s="661"/>
      <c r="G927" s="661"/>
      <c r="H927" s="661"/>
      <c r="I927" s="661"/>
      <c r="J927" s="661"/>
      <c r="K927" s="661"/>
      <c r="L927" s="661"/>
      <c r="M927" s="661"/>
      <c r="N927" s="661"/>
      <c r="O927" s="661"/>
      <c r="P927" s="661"/>
      <c r="Q927" s="661"/>
      <c r="R927" s="661"/>
      <c r="S927" s="661"/>
      <c r="T927" s="661"/>
      <c r="U927" s="661"/>
      <c r="V927" s="661"/>
      <c r="W927" s="661"/>
      <c r="X927" s="661"/>
      <c r="Y927" s="661"/>
      <c r="Z927" s="661"/>
      <c r="AA927" s="661"/>
      <c r="AB927" s="661"/>
    </row>
    <row r="928">
      <c r="A928" s="661"/>
      <c r="B928" s="661"/>
      <c r="C928" s="661"/>
      <c r="D928" s="662"/>
      <c r="E928" s="661"/>
      <c r="F928" s="661"/>
      <c r="G928" s="661"/>
      <c r="H928" s="661"/>
      <c r="I928" s="661"/>
      <c r="J928" s="661"/>
      <c r="K928" s="661"/>
      <c r="L928" s="661"/>
      <c r="M928" s="661"/>
      <c r="N928" s="661"/>
      <c r="O928" s="661"/>
      <c r="P928" s="661"/>
      <c r="Q928" s="661"/>
      <c r="R928" s="661"/>
      <c r="S928" s="661"/>
      <c r="T928" s="661"/>
      <c r="U928" s="661"/>
      <c r="V928" s="661"/>
      <c r="W928" s="661"/>
      <c r="X928" s="661"/>
      <c r="Y928" s="661"/>
      <c r="Z928" s="661"/>
      <c r="AA928" s="661"/>
      <c r="AB928" s="661"/>
    </row>
    <row r="929">
      <c r="A929" s="661"/>
      <c r="B929" s="661"/>
      <c r="C929" s="661"/>
      <c r="D929" s="662"/>
      <c r="E929" s="661"/>
      <c r="F929" s="661"/>
      <c r="G929" s="661"/>
      <c r="H929" s="661"/>
      <c r="I929" s="661"/>
      <c r="J929" s="661"/>
      <c r="K929" s="661"/>
      <c r="L929" s="661"/>
      <c r="M929" s="661"/>
      <c r="N929" s="661"/>
      <c r="O929" s="661"/>
      <c r="P929" s="661"/>
      <c r="Q929" s="661"/>
      <c r="R929" s="661"/>
      <c r="S929" s="661"/>
      <c r="T929" s="661"/>
      <c r="U929" s="661"/>
      <c r="V929" s="661"/>
      <c r="W929" s="661"/>
      <c r="X929" s="661"/>
      <c r="Y929" s="661"/>
      <c r="Z929" s="661"/>
      <c r="AA929" s="661"/>
      <c r="AB929" s="661"/>
    </row>
    <row r="930">
      <c r="A930" s="661"/>
      <c r="B930" s="661"/>
      <c r="C930" s="661"/>
      <c r="D930" s="662"/>
      <c r="E930" s="661"/>
      <c r="F930" s="661"/>
      <c r="G930" s="661"/>
      <c r="H930" s="661"/>
      <c r="I930" s="661"/>
      <c r="J930" s="661"/>
      <c r="K930" s="661"/>
      <c r="L930" s="661"/>
      <c r="M930" s="661"/>
      <c r="N930" s="661"/>
      <c r="O930" s="661"/>
      <c r="P930" s="661"/>
      <c r="Q930" s="661"/>
      <c r="R930" s="661"/>
      <c r="S930" s="661"/>
      <c r="T930" s="661"/>
      <c r="U930" s="661"/>
      <c r="V930" s="661"/>
      <c r="W930" s="661"/>
      <c r="X930" s="661"/>
      <c r="Y930" s="661"/>
      <c r="Z930" s="661"/>
      <c r="AA930" s="661"/>
      <c r="AB930" s="661"/>
    </row>
    <row r="931">
      <c r="A931" s="661"/>
      <c r="B931" s="661"/>
      <c r="C931" s="661"/>
      <c r="D931" s="662"/>
      <c r="E931" s="661"/>
      <c r="F931" s="661"/>
      <c r="G931" s="661"/>
      <c r="H931" s="661"/>
      <c r="I931" s="661"/>
      <c r="J931" s="661"/>
      <c r="K931" s="661"/>
      <c r="L931" s="661"/>
      <c r="M931" s="661"/>
      <c r="N931" s="661"/>
      <c r="O931" s="661"/>
      <c r="P931" s="661"/>
      <c r="Q931" s="661"/>
      <c r="R931" s="661"/>
      <c r="S931" s="661"/>
      <c r="T931" s="661"/>
      <c r="U931" s="661"/>
      <c r="V931" s="661"/>
      <c r="W931" s="661"/>
      <c r="X931" s="661"/>
      <c r="Y931" s="661"/>
      <c r="Z931" s="661"/>
      <c r="AA931" s="661"/>
      <c r="AB931" s="661"/>
    </row>
    <row r="932">
      <c r="A932" s="661"/>
      <c r="B932" s="661"/>
      <c r="C932" s="661"/>
      <c r="D932" s="662"/>
      <c r="E932" s="661"/>
      <c r="F932" s="661"/>
      <c r="G932" s="661"/>
      <c r="H932" s="661"/>
      <c r="I932" s="661"/>
      <c r="J932" s="661"/>
      <c r="K932" s="661"/>
      <c r="L932" s="661"/>
      <c r="M932" s="661"/>
      <c r="N932" s="661"/>
      <c r="O932" s="661"/>
      <c r="P932" s="661"/>
      <c r="Q932" s="661"/>
      <c r="R932" s="661"/>
      <c r="S932" s="661"/>
      <c r="T932" s="661"/>
      <c r="U932" s="661"/>
      <c r="V932" s="661"/>
      <c r="W932" s="661"/>
      <c r="X932" s="661"/>
      <c r="Y932" s="661"/>
      <c r="Z932" s="661"/>
      <c r="AA932" s="661"/>
      <c r="AB932" s="661"/>
    </row>
    <row r="933">
      <c r="A933" s="661"/>
      <c r="B933" s="661"/>
      <c r="C933" s="661"/>
      <c r="D933" s="662"/>
      <c r="E933" s="661"/>
      <c r="F933" s="661"/>
      <c r="G933" s="661"/>
      <c r="H933" s="661"/>
      <c r="I933" s="661"/>
      <c r="J933" s="661"/>
      <c r="K933" s="661"/>
      <c r="L933" s="661"/>
      <c r="M933" s="661"/>
      <c r="N933" s="661"/>
      <c r="O933" s="661"/>
      <c r="P933" s="661"/>
      <c r="Q933" s="661"/>
      <c r="R933" s="661"/>
      <c r="S933" s="661"/>
      <c r="T933" s="661"/>
      <c r="U933" s="661"/>
      <c r="V933" s="661"/>
      <c r="W933" s="661"/>
      <c r="X933" s="661"/>
      <c r="Y933" s="661"/>
      <c r="Z933" s="661"/>
      <c r="AA933" s="661"/>
      <c r="AB933" s="661"/>
    </row>
    <row r="934">
      <c r="A934" s="661"/>
      <c r="B934" s="661"/>
      <c r="C934" s="661"/>
      <c r="D934" s="662"/>
      <c r="E934" s="661"/>
      <c r="F934" s="661"/>
      <c r="G934" s="661"/>
      <c r="H934" s="661"/>
      <c r="I934" s="661"/>
      <c r="J934" s="661"/>
      <c r="K934" s="661"/>
      <c r="L934" s="661"/>
      <c r="M934" s="661"/>
      <c r="N934" s="661"/>
      <c r="O934" s="661"/>
      <c r="P934" s="661"/>
      <c r="Q934" s="661"/>
      <c r="R934" s="661"/>
      <c r="S934" s="661"/>
      <c r="T934" s="661"/>
      <c r="U934" s="661"/>
      <c r="V934" s="661"/>
      <c r="W934" s="661"/>
      <c r="X934" s="661"/>
      <c r="Y934" s="661"/>
      <c r="Z934" s="661"/>
      <c r="AA934" s="661"/>
      <c r="AB934" s="661"/>
    </row>
    <row r="935">
      <c r="A935" s="661"/>
      <c r="B935" s="661"/>
      <c r="C935" s="661"/>
      <c r="D935" s="662"/>
      <c r="E935" s="661"/>
      <c r="F935" s="661"/>
      <c r="G935" s="661"/>
      <c r="H935" s="661"/>
      <c r="I935" s="661"/>
      <c r="J935" s="661"/>
      <c r="K935" s="661"/>
      <c r="L935" s="661"/>
      <c r="M935" s="661"/>
      <c r="N935" s="661"/>
      <c r="O935" s="661"/>
      <c r="P935" s="661"/>
      <c r="Q935" s="661"/>
      <c r="R935" s="661"/>
      <c r="S935" s="661"/>
      <c r="T935" s="661"/>
      <c r="U935" s="661"/>
      <c r="V935" s="661"/>
      <c r="W935" s="661"/>
      <c r="X935" s="661"/>
      <c r="Y935" s="661"/>
      <c r="Z935" s="661"/>
      <c r="AA935" s="661"/>
      <c r="AB935" s="661"/>
    </row>
    <row r="936">
      <c r="A936" s="661"/>
      <c r="B936" s="661"/>
      <c r="C936" s="661"/>
      <c r="D936" s="662"/>
      <c r="E936" s="661"/>
      <c r="F936" s="661"/>
      <c r="G936" s="661"/>
      <c r="H936" s="661"/>
      <c r="I936" s="661"/>
      <c r="J936" s="661"/>
      <c r="K936" s="661"/>
      <c r="L936" s="661"/>
      <c r="M936" s="661"/>
      <c r="N936" s="661"/>
      <c r="O936" s="661"/>
      <c r="P936" s="661"/>
      <c r="Q936" s="661"/>
      <c r="R936" s="661"/>
      <c r="S936" s="661"/>
      <c r="T936" s="661"/>
      <c r="U936" s="661"/>
      <c r="V936" s="661"/>
      <c r="W936" s="661"/>
      <c r="X936" s="661"/>
      <c r="Y936" s="661"/>
      <c r="Z936" s="661"/>
      <c r="AA936" s="661"/>
      <c r="AB936" s="661"/>
    </row>
    <row r="937">
      <c r="A937" s="661"/>
      <c r="B937" s="661"/>
      <c r="C937" s="661"/>
      <c r="D937" s="662"/>
      <c r="E937" s="661"/>
      <c r="F937" s="661"/>
      <c r="G937" s="661"/>
      <c r="H937" s="661"/>
      <c r="I937" s="661"/>
      <c r="J937" s="661"/>
      <c r="K937" s="661"/>
      <c r="L937" s="661"/>
      <c r="M937" s="661"/>
      <c r="N937" s="661"/>
      <c r="O937" s="661"/>
      <c r="P937" s="661"/>
      <c r="Q937" s="661"/>
      <c r="R937" s="661"/>
      <c r="S937" s="661"/>
      <c r="T937" s="661"/>
      <c r="U937" s="661"/>
      <c r="V937" s="661"/>
      <c r="W937" s="661"/>
      <c r="X937" s="661"/>
      <c r="Y937" s="661"/>
      <c r="Z937" s="661"/>
      <c r="AA937" s="661"/>
      <c r="AB937" s="661"/>
    </row>
    <row r="938">
      <c r="A938" s="661"/>
      <c r="B938" s="661"/>
      <c r="C938" s="661"/>
      <c r="D938" s="662"/>
      <c r="E938" s="661"/>
      <c r="F938" s="661"/>
      <c r="G938" s="661"/>
      <c r="H938" s="661"/>
      <c r="I938" s="661"/>
      <c r="J938" s="661"/>
      <c r="K938" s="661"/>
      <c r="L938" s="661"/>
      <c r="M938" s="661"/>
      <c r="N938" s="661"/>
      <c r="O938" s="661"/>
      <c r="P938" s="661"/>
      <c r="Q938" s="661"/>
      <c r="R938" s="661"/>
      <c r="S938" s="661"/>
      <c r="T938" s="661"/>
      <c r="U938" s="661"/>
      <c r="V938" s="661"/>
      <c r="W938" s="661"/>
      <c r="X938" s="661"/>
      <c r="Y938" s="661"/>
      <c r="Z938" s="661"/>
      <c r="AA938" s="661"/>
      <c r="AB938" s="661"/>
    </row>
    <row r="939">
      <c r="A939" s="661"/>
      <c r="B939" s="661"/>
      <c r="C939" s="661"/>
      <c r="D939" s="662"/>
      <c r="E939" s="661"/>
      <c r="F939" s="661"/>
      <c r="G939" s="661"/>
      <c r="H939" s="661"/>
      <c r="I939" s="661"/>
      <c r="J939" s="661"/>
      <c r="K939" s="661"/>
      <c r="L939" s="661"/>
      <c r="M939" s="661"/>
      <c r="N939" s="661"/>
      <c r="O939" s="661"/>
      <c r="P939" s="661"/>
      <c r="Q939" s="661"/>
      <c r="R939" s="661"/>
      <c r="S939" s="661"/>
      <c r="T939" s="661"/>
      <c r="U939" s="661"/>
      <c r="V939" s="661"/>
      <c r="W939" s="661"/>
      <c r="X939" s="661"/>
      <c r="Y939" s="661"/>
      <c r="Z939" s="661"/>
      <c r="AA939" s="661"/>
      <c r="AB939" s="661"/>
    </row>
    <row r="940">
      <c r="A940" s="661"/>
      <c r="B940" s="661"/>
      <c r="C940" s="661"/>
      <c r="D940" s="662"/>
      <c r="E940" s="661"/>
      <c r="F940" s="661"/>
      <c r="G940" s="661"/>
      <c r="H940" s="661"/>
      <c r="I940" s="661"/>
      <c r="J940" s="661"/>
      <c r="K940" s="661"/>
      <c r="L940" s="661"/>
      <c r="M940" s="661"/>
      <c r="N940" s="661"/>
      <c r="O940" s="661"/>
      <c r="P940" s="661"/>
      <c r="Q940" s="661"/>
      <c r="R940" s="661"/>
      <c r="S940" s="661"/>
      <c r="T940" s="661"/>
      <c r="U940" s="661"/>
      <c r="V940" s="661"/>
      <c r="W940" s="661"/>
      <c r="X940" s="661"/>
      <c r="Y940" s="661"/>
      <c r="Z940" s="661"/>
      <c r="AA940" s="661"/>
      <c r="AB940" s="661"/>
    </row>
    <row r="941">
      <c r="A941" s="661"/>
      <c r="B941" s="661"/>
      <c r="C941" s="661"/>
      <c r="D941" s="662"/>
      <c r="E941" s="661"/>
      <c r="F941" s="661"/>
      <c r="G941" s="661"/>
      <c r="H941" s="661"/>
      <c r="I941" s="661"/>
      <c r="J941" s="661"/>
      <c r="K941" s="661"/>
      <c r="L941" s="661"/>
      <c r="M941" s="661"/>
      <c r="N941" s="661"/>
      <c r="O941" s="661"/>
      <c r="P941" s="661"/>
      <c r="Q941" s="661"/>
      <c r="R941" s="661"/>
      <c r="S941" s="661"/>
      <c r="T941" s="661"/>
      <c r="U941" s="661"/>
      <c r="V941" s="661"/>
      <c r="W941" s="661"/>
      <c r="X941" s="661"/>
      <c r="Y941" s="661"/>
      <c r="Z941" s="661"/>
      <c r="AA941" s="661"/>
      <c r="AB941" s="661"/>
    </row>
    <row r="942">
      <c r="A942" s="661"/>
      <c r="B942" s="661"/>
      <c r="C942" s="661"/>
      <c r="D942" s="662"/>
      <c r="E942" s="661"/>
      <c r="F942" s="661"/>
      <c r="G942" s="661"/>
      <c r="H942" s="661"/>
      <c r="I942" s="661"/>
      <c r="J942" s="661"/>
      <c r="K942" s="661"/>
      <c r="L942" s="661"/>
      <c r="M942" s="661"/>
      <c r="N942" s="661"/>
      <c r="O942" s="661"/>
      <c r="P942" s="661"/>
      <c r="Q942" s="661"/>
      <c r="R942" s="661"/>
      <c r="S942" s="661"/>
      <c r="T942" s="661"/>
      <c r="U942" s="661"/>
      <c r="V942" s="661"/>
      <c r="W942" s="661"/>
      <c r="X942" s="661"/>
      <c r="Y942" s="661"/>
      <c r="Z942" s="661"/>
      <c r="AA942" s="661"/>
      <c r="AB942" s="661"/>
    </row>
    <row r="943">
      <c r="A943" s="661"/>
      <c r="B943" s="661"/>
      <c r="C943" s="661"/>
      <c r="D943" s="662"/>
      <c r="E943" s="661"/>
      <c r="F943" s="661"/>
      <c r="G943" s="661"/>
      <c r="H943" s="661"/>
      <c r="I943" s="661"/>
      <c r="J943" s="661"/>
      <c r="K943" s="661"/>
      <c r="L943" s="661"/>
      <c r="M943" s="661"/>
      <c r="N943" s="661"/>
      <c r="O943" s="661"/>
      <c r="P943" s="661"/>
      <c r="Q943" s="661"/>
      <c r="R943" s="661"/>
      <c r="S943" s="661"/>
      <c r="T943" s="661"/>
      <c r="U943" s="661"/>
      <c r="V943" s="661"/>
      <c r="W943" s="661"/>
      <c r="X943" s="661"/>
      <c r="Y943" s="661"/>
      <c r="Z943" s="661"/>
      <c r="AA943" s="661"/>
      <c r="AB943" s="661"/>
    </row>
    <row r="944">
      <c r="A944" s="661"/>
      <c r="B944" s="661"/>
      <c r="C944" s="661"/>
      <c r="D944" s="662"/>
      <c r="E944" s="661"/>
      <c r="F944" s="661"/>
      <c r="G944" s="661"/>
      <c r="H944" s="661"/>
      <c r="I944" s="661"/>
      <c r="J944" s="661"/>
      <c r="K944" s="661"/>
      <c r="L944" s="661"/>
      <c r="M944" s="661"/>
      <c r="N944" s="661"/>
      <c r="O944" s="661"/>
      <c r="P944" s="661"/>
      <c r="Q944" s="661"/>
      <c r="R944" s="661"/>
      <c r="S944" s="661"/>
      <c r="T944" s="661"/>
      <c r="U944" s="661"/>
      <c r="V944" s="661"/>
      <c r="W944" s="661"/>
      <c r="X944" s="661"/>
      <c r="Y944" s="661"/>
      <c r="Z944" s="661"/>
      <c r="AA944" s="661"/>
      <c r="AB944" s="661"/>
    </row>
    <row r="945">
      <c r="A945" s="661"/>
      <c r="B945" s="661"/>
      <c r="C945" s="661"/>
      <c r="D945" s="662"/>
      <c r="E945" s="661"/>
      <c r="F945" s="661"/>
      <c r="G945" s="661"/>
      <c r="H945" s="661"/>
      <c r="I945" s="661"/>
      <c r="J945" s="661"/>
      <c r="K945" s="661"/>
      <c r="L945" s="661"/>
      <c r="M945" s="661"/>
      <c r="N945" s="661"/>
      <c r="O945" s="661"/>
      <c r="P945" s="661"/>
      <c r="Q945" s="661"/>
      <c r="R945" s="661"/>
      <c r="S945" s="661"/>
      <c r="T945" s="661"/>
      <c r="U945" s="661"/>
      <c r="V945" s="661"/>
      <c r="W945" s="661"/>
      <c r="X945" s="661"/>
      <c r="Y945" s="661"/>
      <c r="Z945" s="661"/>
      <c r="AA945" s="661"/>
      <c r="AB945" s="661"/>
    </row>
    <row r="946">
      <c r="A946" s="661"/>
      <c r="B946" s="661"/>
      <c r="C946" s="661"/>
      <c r="D946" s="662"/>
      <c r="E946" s="661"/>
      <c r="F946" s="661"/>
      <c r="G946" s="661"/>
      <c r="H946" s="661"/>
      <c r="I946" s="661"/>
      <c r="J946" s="661"/>
      <c r="K946" s="661"/>
      <c r="L946" s="661"/>
      <c r="M946" s="661"/>
      <c r="N946" s="661"/>
      <c r="O946" s="661"/>
      <c r="P946" s="661"/>
      <c r="Q946" s="661"/>
      <c r="R946" s="661"/>
      <c r="S946" s="661"/>
      <c r="T946" s="661"/>
      <c r="U946" s="661"/>
      <c r="V946" s="661"/>
      <c r="W946" s="661"/>
      <c r="X946" s="661"/>
      <c r="Y946" s="661"/>
      <c r="Z946" s="661"/>
      <c r="AA946" s="661"/>
      <c r="AB946" s="661"/>
    </row>
    <row r="947">
      <c r="A947" s="661"/>
      <c r="B947" s="661"/>
      <c r="C947" s="661"/>
      <c r="D947" s="662"/>
      <c r="E947" s="661"/>
      <c r="F947" s="661"/>
      <c r="G947" s="661"/>
      <c r="H947" s="661"/>
      <c r="I947" s="661"/>
      <c r="J947" s="661"/>
      <c r="K947" s="661"/>
      <c r="L947" s="661"/>
      <c r="M947" s="661"/>
      <c r="N947" s="661"/>
      <c r="O947" s="661"/>
      <c r="P947" s="661"/>
      <c r="Q947" s="661"/>
      <c r="R947" s="661"/>
      <c r="S947" s="661"/>
      <c r="T947" s="661"/>
      <c r="U947" s="661"/>
      <c r="V947" s="661"/>
      <c r="W947" s="661"/>
      <c r="X947" s="661"/>
      <c r="Y947" s="661"/>
      <c r="Z947" s="661"/>
      <c r="AA947" s="661"/>
      <c r="AB947" s="661"/>
    </row>
    <row r="948">
      <c r="A948" s="661"/>
      <c r="B948" s="661"/>
      <c r="C948" s="661"/>
      <c r="D948" s="662"/>
      <c r="E948" s="661"/>
      <c r="F948" s="661"/>
      <c r="G948" s="661"/>
      <c r="H948" s="661"/>
      <c r="I948" s="661"/>
      <c r="J948" s="661"/>
      <c r="K948" s="661"/>
      <c r="L948" s="661"/>
      <c r="M948" s="661"/>
      <c r="N948" s="661"/>
      <c r="O948" s="661"/>
      <c r="P948" s="661"/>
      <c r="Q948" s="661"/>
      <c r="R948" s="661"/>
      <c r="S948" s="661"/>
      <c r="T948" s="661"/>
      <c r="U948" s="661"/>
      <c r="V948" s="661"/>
      <c r="W948" s="661"/>
      <c r="X948" s="661"/>
      <c r="Y948" s="661"/>
      <c r="Z948" s="661"/>
      <c r="AA948" s="661"/>
      <c r="AB948" s="661"/>
    </row>
    <row r="949">
      <c r="A949" s="661"/>
      <c r="B949" s="661"/>
      <c r="C949" s="661"/>
      <c r="D949" s="662"/>
      <c r="E949" s="661"/>
      <c r="F949" s="661"/>
      <c r="G949" s="661"/>
      <c r="H949" s="661"/>
      <c r="I949" s="661"/>
      <c r="J949" s="661"/>
      <c r="K949" s="661"/>
      <c r="L949" s="661"/>
      <c r="M949" s="661"/>
      <c r="N949" s="661"/>
      <c r="O949" s="661"/>
      <c r="P949" s="661"/>
      <c r="Q949" s="661"/>
      <c r="R949" s="661"/>
      <c r="S949" s="661"/>
      <c r="T949" s="661"/>
      <c r="U949" s="661"/>
      <c r="V949" s="661"/>
      <c r="W949" s="661"/>
      <c r="X949" s="661"/>
      <c r="Y949" s="661"/>
      <c r="Z949" s="661"/>
      <c r="AA949" s="661"/>
      <c r="AB949" s="661"/>
    </row>
    <row r="950">
      <c r="A950" s="661"/>
      <c r="B950" s="661"/>
      <c r="C950" s="661"/>
      <c r="D950" s="662"/>
      <c r="E950" s="661"/>
      <c r="F950" s="661"/>
      <c r="G950" s="661"/>
      <c r="H950" s="661"/>
      <c r="I950" s="661"/>
      <c r="J950" s="661"/>
      <c r="K950" s="661"/>
      <c r="L950" s="661"/>
      <c r="M950" s="661"/>
      <c r="N950" s="661"/>
      <c r="O950" s="661"/>
      <c r="P950" s="661"/>
      <c r="Q950" s="661"/>
      <c r="R950" s="661"/>
      <c r="S950" s="661"/>
      <c r="T950" s="661"/>
      <c r="U950" s="661"/>
      <c r="V950" s="661"/>
      <c r="W950" s="661"/>
      <c r="X950" s="661"/>
      <c r="Y950" s="661"/>
      <c r="Z950" s="661"/>
      <c r="AA950" s="661"/>
      <c r="AB950" s="661"/>
    </row>
    <row r="951">
      <c r="A951" s="661"/>
      <c r="B951" s="661"/>
      <c r="C951" s="661"/>
      <c r="D951" s="662"/>
      <c r="E951" s="661"/>
      <c r="F951" s="661"/>
      <c r="G951" s="661"/>
      <c r="H951" s="661"/>
      <c r="I951" s="661"/>
      <c r="J951" s="661"/>
      <c r="K951" s="661"/>
      <c r="L951" s="661"/>
      <c r="M951" s="661"/>
      <c r="N951" s="661"/>
      <c r="O951" s="661"/>
      <c r="P951" s="661"/>
      <c r="Q951" s="661"/>
      <c r="R951" s="661"/>
      <c r="S951" s="661"/>
      <c r="T951" s="661"/>
      <c r="U951" s="661"/>
      <c r="V951" s="661"/>
      <c r="W951" s="661"/>
      <c r="X951" s="661"/>
      <c r="Y951" s="661"/>
      <c r="Z951" s="661"/>
      <c r="AA951" s="661"/>
      <c r="AB951" s="661"/>
    </row>
    <row r="952">
      <c r="A952" s="661"/>
      <c r="B952" s="661"/>
      <c r="C952" s="661"/>
      <c r="D952" s="662"/>
      <c r="E952" s="661"/>
      <c r="F952" s="661"/>
      <c r="G952" s="661"/>
      <c r="H952" s="661"/>
      <c r="I952" s="661"/>
      <c r="J952" s="661"/>
      <c r="K952" s="661"/>
      <c r="L952" s="661"/>
      <c r="M952" s="661"/>
      <c r="N952" s="661"/>
      <c r="O952" s="661"/>
      <c r="P952" s="661"/>
      <c r="Q952" s="661"/>
      <c r="R952" s="661"/>
      <c r="S952" s="661"/>
      <c r="T952" s="661"/>
      <c r="U952" s="661"/>
      <c r="V952" s="661"/>
      <c r="W952" s="661"/>
      <c r="X952" s="661"/>
      <c r="Y952" s="661"/>
      <c r="Z952" s="661"/>
      <c r="AA952" s="661"/>
      <c r="AB952" s="661"/>
    </row>
    <row r="953">
      <c r="A953" s="661"/>
      <c r="B953" s="661"/>
      <c r="C953" s="661"/>
      <c r="D953" s="662"/>
      <c r="E953" s="661"/>
      <c r="F953" s="661"/>
      <c r="G953" s="661"/>
      <c r="H953" s="661"/>
      <c r="I953" s="661"/>
      <c r="J953" s="661"/>
      <c r="K953" s="661"/>
      <c r="L953" s="661"/>
      <c r="M953" s="661"/>
      <c r="N953" s="661"/>
      <c r="O953" s="661"/>
      <c r="P953" s="661"/>
      <c r="Q953" s="661"/>
      <c r="R953" s="661"/>
      <c r="S953" s="661"/>
      <c r="T953" s="661"/>
      <c r="U953" s="661"/>
      <c r="V953" s="661"/>
      <c r="W953" s="661"/>
      <c r="X953" s="661"/>
      <c r="Y953" s="661"/>
      <c r="Z953" s="661"/>
      <c r="AA953" s="661"/>
      <c r="AB953" s="661"/>
    </row>
    <row r="954">
      <c r="A954" s="661"/>
      <c r="B954" s="661"/>
      <c r="C954" s="661"/>
      <c r="D954" s="662"/>
      <c r="E954" s="661"/>
      <c r="F954" s="661"/>
      <c r="G954" s="661"/>
      <c r="H954" s="661"/>
      <c r="I954" s="661"/>
      <c r="J954" s="661"/>
      <c r="K954" s="661"/>
      <c r="L954" s="661"/>
      <c r="M954" s="661"/>
      <c r="N954" s="661"/>
      <c r="O954" s="661"/>
      <c r="P954" s="661"/>
      <c r="Q954" s="661"/>
      <c r="R954" s="661"/>
      <c r="S954" s="661"/>
      <c r="T954" s="661"/>
      <c r="U954" s="661"/>
      <c r="V954" s="661"/>
      <c r="W954" s="661"/>
      <c r="X954" s="661"/>
      <c r="Y954" s="661"/>
      <c r="Z954" s="661"/>
      <c r="AA954" s="661"/>
      <c r="AB954" s="661"/>
    </row>
    <row r="955">
      <c r="A955" s="661"/>
      <c r="B955" s="661"/>
      <c r="C955" s="661"/>
      <c r="D955" s="662"/>
      <c r="E955" s="661"/>
      <c r="F955" s="661"/>
      <c r="G955" s="661"/>
      <c r="H955" s="661"/>
      <c r="I955" s="661"/>
      <c r="J955" s="661"/>
      <c r="K955" s="661"/>
      <c r="L955" s="661"/>
      <c r="M955" s="661"/>
      <c r="N955" s="661"/>
      <c r="O955" s="661"/>
      <c r="P955" s="661"/>
      <c r="Q955" s="661"/>
      <c r="R955" s="661"/>
      <c r="S955" s="661"/>
      <c r="T955" s="661"/>
      <c r="U955" s="661"/>
      <c r="V955" s="661"/>
      <c r="W955" s="661"/>
      <c r="X955" s="661"/>
      <c r="Y955" s="661"/>
      <c r="Z955" s="661"/>
      <c r="AA955" s="661"/>
      <c r="AB955" s="661"/>
    </row>
    <row r="956">
      <c r="A956" s="661"/>
      <c r="B956" s="661"/>
      <c r="C956" s="661"/>
      <c r="D956" s="662"/>
      <c r="E956" s="661"/>
      <c r="F956" s="661"/>
      <c r="G956" s="661"/>
      <c r="H956" s="661"/>
      <c r="I956" s="661"/>
      <c r="J956" s="661"/>
      <c r="K956" s="661"/>
      <c r="L956" s="661"/>
      <c r="M956" s="661"/>
      <c r="N956" s="661"/>
      <c r="O956" s="661"/>
      <c r="P956" s="661"/>
      <c r="Q956" s="661"/>
      <c r="R956" s="661"/>
      <c r="S956" s="661"/>
      <c r="T956" s="661"/>
      <c r="U956" s="661"/>
      <c r="V956" s="661"/>
      <c r="W956" s="661"/>
      <c r="X956" s="661"/>
      <c r="Y956" s="661"/>
      <c r="Z956" s="661"/>
      <c r="AA956" s="661"/>
      <c r="AB956" s="661"/>
    </row>
    <row r="957">
      <c r="A957" s="661"/>
      <c r="B957" s="661"/>
      <c r="C957" s="661"/>
      <c r="D957" s="662"/>
      <c r="E957" s="661"/>
      <c r="F957" s="661"/>
      <c r="G957" s="661"/>
      <c r="H957" s="661"/>
      <c r="I957" s="661"/>
      <c r="J957" s="661"/>
      <c r="K957" s="661"/>
      <c r="L957" s="661"/>
      <c r="M957" s="661"/>
      <c r="N957" s="661"/>
      <c r="O957" s="661"/>
      <c r="P957" s="661"/>
      <c r="Q957" s="661"/>
      <c r="R957" s="661"/>
      <c r="S957" s="661"/>
      <c r="T957" s="661"/>
      <c r="U957" s="661"/>
      <c r="V957" s="661"/>
      <c r="W957" s="661"/>
      <c r="X957" s="661"/>
      <c r="Y957" s="661"/>
      <c r="Z957" s="661"/>
      <c r="AA957" s="661"/>
      <c r="AB957" s="661"/>
    </row>
    <row r="958">
      <c r="A958" s="661"/>
      <c r="B958" s="661"/>
      <c r="C958" s="661"/>
      <c r="D958" s="662"/>
      <c r="E958" s="661"/>
      <c r="F958" s="661"/>
      <c r="G958" s="661"/>
      <c r="H958" s="661"/>
      <c r="I958" s="661"/>
      <c r="J958" s="661"/>
      <c r="K958" s="661"/>
      <c r="L958" s="661"/>
      <c r="M958" s="661"/>
      <c r="N958" s="661"/>
      <c r="O958" s="661"/>
      <c r="P958" s="661"/>
      <c r="Q958" s="661"/>
      <c r="R958" s="661"/>
      <c r="S958" s="661"/>
      <c r="T958" s="661"/>
      <c r="U958" s="661"/>
      <c r="V958" s="661"/>
      <c r="W958" s="661"/>
      <c r="X958" s="661"/>
      <c r="Y958" s="661"/>
      <c r="Z958" s="661"/>
      <c r="AA958" s="661"/>
      <c r="AB958" s="661"/>
    </row>
    <row r="959">
      <c r="A959" s="661"/>
      <c r="B959" s="661"/>
      <c r="C959" s="661"/>
      <c r="D959" s="662"/>
      <c r="E959" s="661"/>
      <c r="F959" s="661"/>
      <c r="G959" s="661"/>
      <c r="H959" s="661"/>
      <c r="I959" s="661"/>
      <c r="J959" s="661"/>
      <c r="K959" s="661"/>
      <c r="L959" s="661"/>
      <c r="M959" s="661"/>
      <c r="N959" s="661"/>
      <c r="O959" s="661"/>
      <c r="P959" s="661"/>
      <c r="Q959" s="661"/>
      <c r="R959" s="661"/>
      <c r="S959" s="661"/>
      <c r="T959" s="661"/>
      <c r="U959" s="661"/>
      <c r="V959" s="661"/>
      <c r="W959" s="661"/>
      <c r="X959" s="661"/>
      <c r="Y959" s="661"/>
      <c r="Z959" s="661"/>
      <c r="AA959" s="661"/>
      <c r="AB959" s="661"/>
    </row>
    <row r="960">
      <c r="A960" s="661"/>
      <c r="B960" s="661"/>
      <c r="C960" s="661"/>
      <c r="D960" s="662"/>
      <c r="E960" s="661"/>
      <c r="F960" s="661"/>
      <c r="G960" s="661"/>
      <c r="H960" s="661"/>
      <c r="I960" s="661"/>
      <c r="J960" s="661"/>
      <c r="K960" s="661"/>
      <c r="L960" s="661"/>
      <c r="M960" s="661"/>
      <c r="N960" s="661"/>
      <c r="O960" s="661"/>
      <c r="P960" s="661"/>
      <c r="Q960" s="661"/>
      <c r="R960" s="661"/>
      <c r="S960" s="661"/>
      <c r="T960" s="661"/>
      <c r="U960" s="661"/>
      <c r="V960" s="661"/>
      <c r="W960" s="661"/>
      <c r="X960" s="661"/>
      <c r="Y960" s="661"/>
      <c r="Z960" s="661"/>
      <c r="AA960" s="661"/>
      <c r="AB960" s="661"/>
    </row>
    <row r="961">
      <c r="A961" s="661"/>
      <c r="B961" s="661"/>
      <c r="C961" s="661"/>
      <c r="D961" s="662"/>
      <c r="E961" s="661"/>
      <c r="F961" s="661"/>
      <c r="G961" s="661"/>
      <c r="H961" s="661"/>
      <c r="I961" s="661"/>
      <c r="J961" s="661"/>
      <c r="K961" s="661"/>
      <c r="L961" s="661"/>
      <c r="M961" s="661"/>
      <c r="N961" s="661"/>
      <c r="O961" s="661"/>
      <c r="P961" s="661"/>
      <c r="Q961" s="661"/>
      <c r="R961" s="661"/>
      <c r="S961" s="661"/>
      <c r="T961" s="661"/>
      <c r="U961" s="661"/>
      <c r="V961" s="661"/>
      <c r="W961" s="661"/>
      <c r="X961" s="661"/>
      <c r="Y961" s="661"/>
      <c r="Z961" s="661"/>
      <c r="AA961" s="661"/>
      <c r="AB961" s="661"/>
    </row>
    <row r="962">
      <c r="A962" s="661"/>
      <c r="B962" s="661"/>
      <c r="C962" s="661"/>
      <c r="D962" s="662"/>
      <c r="E962" s="661"/>
      <c r="F962" s="661"/>
      <c r="G962" s="661"/>
      <c r="H962" s="661"/>
      <c r="I962" s="661"/>
      <c r="J962" s="661"/>
      <c r="K962" s="661"/>
      <c r="L962" s="661"/>
      <c r="M962" s="661"/>
      <c r="N962" s="661"/>
      <c r="O962" s="661"/>
      <c r="P962" s="661"/>
      <c r="Q962" s="661"/>
      <c r="R962" s="661"/>
      <c r="S962" s="661"/>
      <c r="T962" s="661"/>
      <c r="U962" s="661"/>
      <c r="V962" s="661"/>
      <c r="W962" s="661"/>
      <c r="X962" s="661"/>
      <c r="Y962" s="661"/>
      <c r="Z962" s="661"/>
      <c r="AA962" s="661"/>
      <c r="AB962" s="661"/>
    </row>
    <row r="963">
      <c r="A963" s="661"/>
      <c r="B963" s="661"/>
      <c r="C963" s="661"/>
      <c r="D963" s="662"/>
      <c r="E963" s="661"/>
      <c r="F963" s="661"/>
      <c r="G963" s="661"/>
      <c r="H963" s="661"/>
      <c r="I963" s="661"/>
      <c r="J963" s="661"/>
      <c r="K963" s="661"/>
      <c r="L963" s="661"/>
      <c r="M963" s="661"/>
      <c r="N963" s="661"/>
      <c r="O963" s="661"/>
      <c r="P963" s="661"/>
      <c r="Q963" s="661"/>
      <c r="R963" s="661"/>
      <c r="S963" s="661"/>
      <c r="T963" s="661"/>
      <c r="U963" s="661"/>
      <c r="V963" s="661"/>
      <c r="W963" s="661"/>
      <c r="X963" s="661"/>
      <c r="Y963" s="661"/>
      <c r="Z963" s="661"/>
      <c r="AA963" s="661"/>
      <c r="AB963" s="661"/>
    </row>
    <row r="964">
      <c r="A964" s="661"/>
      <c r="B964" s="661"/>
      <c r="C964" s="661"/>
      <c r="D964" s="662"/>
      <c r="E964" s="661"/>
      <c r="F964" s="661"/>
      <c r="G964" s="661"/>
      <c r="H964" s="661"/>
      <c r="I964" s="661"/>
      <c r="J964" s="661"/>
      <c r="K964" s="661"/>
      <c r="L964" s="661"/>
      <c r="M964" s="661"/>
      <c r="N964" s="661"/>
      <c r="O964" s="661"/>
      <c r="P964" s="661"/>
      <c r="Q964" s="661"/>
      <c r="R964" s="661"/>
      <c r="S964" s="661"/>
      <c r="T964" s="661"/>
      <c r="U964" s="661"/>
      <c r="V964" s="661"/>
      <c r="W964" s="661"/>
      <c r="X964" s="661"/>
      <c r="Y964" s="661"/>
      <c r="Z964" s="661"/>
      <c r="AA964" s="661"/>
      <c r="AB964" s="661"/>
    </row>
    <row r="965">
      <c r="A965" s="661"/>
      <c r="B965" s="661"/>
      <c r="C965" s="661"/>
      <c r="D965" s="662"/>
      <c r="E965" s="661"/>
      <c r="F965" s="661"/>
      <c r="G965" s="661"/>
      <c r="H965" s="661"/>
      <c r="I965" s="661"/>
      <c r="J965" s="661"/>
      <c r="K965" s="661"/>
      <c r="L965" s="661"/>
      <c r="M965" s="661"/>
      <c r="N965" s="661"/>
      <c r="O965" s="661"/>
      <c r="P965" s="661"/>
      <c r="Q965" s="661"/>
      <c r="R965" s="661"/>
      <c r="S965" s="661"/>
      <c r="T965" s="661"/>
      <c r="U965" s="661"/>
      <c r="V965" s="661"/>
      <c r="W965" s="661"/>
      <c r="X965" s="661"/>
      <c r="Y965" s="661"/>
      <c r="Z965" s="661"/>
      <c r="AA965" s="661"/>
      <c r="AB965" s="661"/>
    </row>
    <row r="966">
      <c r="A966" s="661"/>
      <c r="B966" s="661"/>
      <c r="C966" s="661"/>
      <c r="D966" s="662"/>
      <c r="E966" s="661"/>
      <c r="F966" s="661"/>
      <c r="G966" s="661"/>
      <c r="H966" s="661"/>
      <c r="I966" s="661"/>
      <c r="J966" s="661"/>
      <c r="K966" s="661"/>
      <c r="L966" s="661"/>
      <c r="M966" s="661"/>
      <c r="N966" s="661"/>
      <c r="O966" s="661"/>
      <c r="P966" s="661"/>
      <c r="Q966" s="661"/>
      <c r="R966" s="661"/>
      <c r="S966" s="661"/>
      <c r="T966" s="661"/>
      <c r="U966" s="661"/>
      <c r="V966" s="661"/>
      <c r="W966" s="661"/>
      <c r="X966" s="661"/>
      <c r="Y966" s="661"/>
      <c r="Z966" s="661"/>
      <c r="AA966" s="661"/>
      <c r="AB966" s="661"/>
    </row>
    <row r="967">
      <c r="A967" s="661"/>
      <c r="B967" s="661"/>
      <c r="C967" s="661"/>
      <c r="D967" s="662"/>
      <c r="E967" s="661"/>
      <c r="F967" s="661"/>
      <c r="G967" s="661"/>
      <c r="H967" s="661"/>
      <c r="I967" s="661"/>
      <c r="J967" s="661"/>
      <c r="K967" s="661"/>
      <c r="L967" s="661"/>
      <c r="M967" s="661"/>
      <c r="N967" s="661"/>
      <c r="O967" s="661"/>
      <c r="P967" s="661"/>
      <c r="Q967" s="661"/>
      <c r="R967" s="661"/>
      <c r="S967" s="661"/>
      <c r="T967" s="661"/>
      <c r="U967" s="661"/>
      <c r="V967" s="661"/>
      <c r="W967" s="661"/>
      <c r="X967" s="661"/>
      <c r="Y967" s="661"/>
      <c r="Z967" s="661"/>
      <c r="AA967" s="661"/>
      <c r="AB967" s="661"/>
    </row>
    <row r="968">
      <c r="A968" s="661"/>
      <c r="B968" s="661"/>
      <c r="C968" s="661"/>
      <c r="D968" s="662"/>
      <c r="E968" s="661"/>
      <c r="F968" s="661"/>
      <c r="G968" s="661"/>
      <c r="H968" s="661"/>
      <c r="I968" s="661"/>
      <c r="J968" s="661"/>
      <c r="K968" s="661"/>
      <c r="L968" s="661"/>
      <c r="M968" s="661"/>
      <c r="N968" s="661"/>
      <c r="O968" s="661"/>
      <c r="P968" s="661"/>
      <c r="Q968" s="661"/>
      <c r="R968" s="661"/>
      <c r="S968" s="661"/>
      <c r="T968" s="661"/>
      <c r="U968" s="661"/>
      <c r="V968" s="661"/>
      <c r="W968" s="661"/>
      <c r="X968" s="661"/>
      <c r="Y968" s="661"/>
      <c r="Z968" s="661"/>
      <c r="AA968" s="661"/>
      <c r="AB968" s="661"/>
    </row>
    <row r="969">
      <c r="A969" s="661"/>
      <c r="B969" s="661"/>
      <c r="C969" s="661"/>
      <c r="D969" s="662"/>
      <c r="E969" s="661"/>
      <c r="F969" s="661"/>
      <c r="G969" s="661"/>
      <c r="H969" s="661"/>
      <c r="I969" s="661"/>
      <c r="J969" s="661"/>
      <c r="K969" s="661"/>
      <c r="L969" s="661"/>
      <c r="M969" s="661"/>
      <c r="N969" s="661"/>
      <c r="O969" s="661"/>
      <c r="P969" s="661"/>
      <c r="Q969" s="661"/>
      <c r="R969" s="661"/>
      <c r="S969" s="661"/>
      <c r="T969" s="661"/>
      <c r="U969" s="661"/>
      <c r="V969" s="661"/>
      <c r="W969" s="661"/>
      <c r="X969" s="661"/>
      <c r="Y969" s="661"/>
      <c r="Z969" s="661"/>
      <c r="AA969" s="661"/>
      <c r="AB969" s="661"/>
    </row>
    <row r="970">
      <c r="A970" s="661"/>
      <c r="B970" s="661"/>
      <c r="C970" s="661"/>
      <c r="D970" s="662"/>
      <c r="E970" s="661"/>
      <c r="F970" s="661"/>
      <c r="G970" s="661"/>
      <c r="H970" s="661"/>
      <c r="I970" s="661"/>
      <c r="J970" s="661"/>
      <c r="K970" s="661"/>
      <c r="L970" s="661"/>
      <c r="M970" s="661"/>
      <c r="N970" s="661"/>
      <c r="O970" s="661"/>
      <c r="P970" s="661"/>
      <c r="Q970" s="661"/>
      <c r="R970" s="661"/>
      <c r="S970" s="661"/>
      <c r="T970" s="661"/>
      <c r="U970" s="661"/>
      <c r="V970" s="661"/>
      <c r="W970" s="661"/>
      <c r="X970" s="661"/>
      <c r="Y970" s="661"/>
      <c r="Z970" s="661"/>
      <c r="AA970" s="661"/>
      <c r="AB970" s="661"/>
    </row>
    <row r="971">
      <c r="A971" s="661"/>
      <c r="B971" s="661"/>
      <c r="C971" s="661"/>
      <c r="D971" s="662"/>
      <c r="E971" s="661"/>
      <c r="F971" s="661"/>
      <c r="G971" s="661"/>
      <c r="H971" s="661"/>
      <c r="I971" s="661"/>
      <c r="J971" s="661"/>
      <c r="K971" s="661"/>
      <c r="L971" s="661"/>
      <c r="M971" s="661"/>
      <c r="N971" s="661"/>
      <c r="O971" s="661"/>
      <c r="P971" s="661"/>
      <c r="Q971" s="661"/>
      <c r="R971" s="661"/>
      <c r="S971" s="661"/>
      <c r="T971" s="661"/>
      <c r="U971" s="661"/>
      <c r="V971" s="661"/>
      <c r="W971" s="661"/>
      <c r="X971" s="661"/>
      <c r="Y971" s="661"/>
      <c r="Z971" s="661"/>
      <c r="AA971" s="661"/>
      <c r="AB971" s="661"/>
    </row>
    <row r="972">
      <c r="A972" s="661"/>
      <c r="B972" s="661"/>
      <c r="C972" s="661"/>
      <c r="D972" s="662"/>
      <c r="E972" s="661"/>
      <c r="F972" s="661"/>
      <c r="G972" s="661"/>
      <c r="H972" s="661"/>
      <c r="I972" s="661"/>
      <c r="J972" s="661"/>
      <c r="K972" s="661"/>
      <c r="L972" s="661"/>
      <c r="M972" s="661"/>
      <c r="N972" s="661"/>
      <c r="O972" s="661"/>
      <c r="P972" s="661"/>
      <c r="Q972" s="661"/>
      <c r="R972" s="661"/>
      <c r="S972" s="661"/>
      <c r="T972" s="661"/>
      <c r="U972" s="661"/>
      <c r="V972" s="661"/>
      <c r="W972" s="661"/>
      <c r="X972" s="661"/>
      <c r="Y972" s="661"/>
      <c r="Z972" s="661"/>
      <c r="AA972" s="661"/>
      <c r="AB972" s="661"/>
    </row>
    <row r="973">
      <c r="A973" s="661"/>
      <c r="B973" s="661"/>
      <c r="C973" s="661"/>
      <c r="D973" s="662"/>
      <c r="E973" s="661"/>
      <c r="F973" s="661"/>
      <c r="G973" s="661"/>
      <c r="H973" s="661"/>
      <c r="I973" s="661"/>
      <c r="J973" s="661"/>
      <c r="K973" s="661"/>
      <c r="L973" s="661"/>
      <c r="M973" s="661"/>
      <c r="N973" s="661"/>
      <c r="O973" s="661"/>
      <c r="P973" s="661"/>
      <c r="Q973" s="661"/>
      <c r="R973" s="661"/>
      <c r="S973" s="661"/>
      <c r="T973" s="661"/>
      <c r="U973" s="661"/>
      <c r="V973" s="661"/>
      <c r="W973" s="661"/>
      <c r="X973" s="661"/>
      <c r="Y973" s="661"/>
      <c r="Z973" s="661"/>
      <c r="AA973" s="661"/>
      <c r="AB973" s="661"/>
    </row>
    <row r="974">
      <c r="A974" s="661"/>
      <c r="B974" s="661"/>
      <c r="C974" s="661"/>
      <c r="D974" s="662"/>
      <c r="E974" s="661"/>
      <c r="F974" s="661"/>
      <c r="G974" s="661"/>
      <c r="H974" s="661"/>
      <c r="I974" s="661"/>
      <c r="J974" s="661"/>
      <c r="K974" s="661"/>
      <c r="L974" s="661"/>
      <c r="M974" s="661"/>
      <c r="N974" s="661"/>
      <c r="O974" s="661"/>
      <c r="P974" s="661"/>
      <c r="Q974" s="661"/>
      <c r="R974" s="661"/>
      <c r="S974" s="661"/>
      <c r="T974" s="661"/>
      <c r="U974" s="661"/>
      <c r="V974" s="661"/>
      <c r="W974" s="661"/>
      <c r="X974" s="661"/>
      <c r="Y974" s="661"/>
      <c r="Z974" s="661"/>
      <c r="AA974" s="661"/>
      <c r="AB974" s="661"/>
    </row>
    <row r="975">
      <c r="A975" s="661"/>
      <c r="B975" s="661"/>
      <c r="C975" s="661"/>
      <c r="D975" s="662"/>
      <c r="E975" s="661"/>
      <c r="F975" s="661"/>
      <c r="G975" s="661"/>
      <c r="H975" s="661"/>
      <c r="I975" s="661"/>
      <c r="J975" s="661"/>
      <c r="K975" s="661"/>
      <c r="L975" s="661"/>
      <c r="M975" s="661"/>
      <c r="N975" s="661"/>
      <c r="O975" s="661"/>
      <c r="P975" s="661"/>
      <c r="Q975" s="661"/>
      <c r="R975" s="661"/>
      <c r="S975" s="661"/>
      <c r="T975" s="661"/>
      <c r="U975" s="661"/>
      <c r="V975" s="661"/>
      <c r="W975" s="661"/>
      <c r="X975" s="661"/>
      <c r="Y975" s="661"/>
      <c r="Z975" s="661"/>
      <c r="AA975" s="661"/>
      <c r="AB975" s="661"/>
    </row>
    <row r="976">
      <c r="A976" s="661"/>
      <c r="B976" s="661"/>
      <c r="C976" s="661"/>
      <c r="D976" s="662"/>
      <c r="E976" s="661"/>
      <c r="F976" s="661"/>
      <c r="G976" s="661"/>
      <c r="H976" s="661"/>
      <c r="I976" s="661"/>
      <c r="J976" s="661"/>
      <c r="K976" s="661"/>
      <c r="L976" s="661"/>
      <c r="M976" s="661"/>
      <c r="N976" s="661"/>
      <c r="O976" s="661"/>
      <c r="P976" s="661"/>
      <c r="Q976" s="661"/>
      <c r="R976" s="661"/>
      <c r="S976" s="661"/>
      <c r="T976" s="661"/>
      <c r="U976" s="661"/>
      <c r="V976" s="661"/>
      <c r="W976" s="661"/>
      <c r="X976" s="661"/>
      <c r="Y976" s="661"/>
      <c r="Z976" s="661"/>
      <c r="AA976" s="661"/>
      <c r="AB976" s="661"/>
    </row>
    <row r="977">
      <c r="A977" s="661"/>
      <c r="B977" s="661"/>
      <c r="C977" s="661"/>
      <c r="D977" s="662"/>
      <c r="E977" s="661"/>
      <c r="F977" s="661"/>
      <c r="G977" s="661"/>
      <c r="H977" s="661"/>
      <c r="I977" s="661"/>
      <c r="J977" s="661"/>
      <c r="K977" s="661"/>
      <c r="L977" s="661"/>
      <c r="M977" s="661"/>
      <c r="N977" s="661"/>
      <c r="O977" s="661"/>
      <c r="P977" s="661"/>
      <c r="Q977" s="661"/>
      <c r="R977" s="661"/>
      <c r="S977" s="661"/>
      <c r="T977" s="661"/>
      <c r="U977" s="661"/>
      <c r="V977" s="661"/>
      <c r="W977" s="661"/>
      <c r="X977" s="661"/>
      <c r="Y977" s="661"/>
      <c r="Z977" s="661"/>
      <c r="AA977" s="661"/>
      <c r="AB977" s="661"/>
    </row>
    <row r="978">
      <c r="A978" s="661"/>
      <c r="B978" s="661"/>
      <c r="C978" s="661"/>
      <c r="D978" s="662"/>
      <c r="E978" s="661"/>
      <c r="F978" s="661"/>
      <c r="G978" s="661"/>
      <c r="H978" s="661"/>
      <c r="I978" s="661"/>
      <c r="J978" s="661"/>
      <c r="K978" s="661"/>
      <c r="L978" s="661"/>
      <c r="M978" s="661"/>
      <c r="N978" s="661"/>
      <c r="O978" s="661"/>
      <c r="P978" s="661"/>
      <c r="Q978" s="661"/>
      <c r="R978" s="661"/>
      <c r="S978" s="661"/>
      <c r="T978" s="661"/>
      <c r="U978" s="661"/>
      <c r="V978" s="661"/>
      <c r="W978" s="661"/>
      <c r="X978" s="661"/>
      <c r="Y978" s="661"/>
      <c r="Z978" s="661"/>
      <c r="AA978" s="661"/>
      <c r="AB978" s="661"/>
    </row>
    <row r="979">
      <c r="A979" s="661"/>
      <c r="B979" s="661"/>
      <c r="C979" s="661"/>
      <c r="D979" s="662"/>
      <c r="E979" s="661"/>
      <c r="F979" s="661"/>
      <c r="G979" s="661"/>
      <c r="H979" s="661"/>
      <c r="I979" s="661"/>
      <c r="J979" s="661"/>
      <c r="K979" s="661"/>
      <c r="L979" s="661"/>
      <c r="M979" s="661"/>
      <c r="N979" s="661"/>
      <c r="O979" s="661"/>
      <c r="P979" s="661"/>
      <c r="Q979" s="661"/>
      <c r="R979" s="661"/>
      <c r="S979" s="661"/>
      <c r="T979" s="661"/>
      <c r="U979" s="661"/>
      <c r="V979" s="661"/>
      <c r="W979" s="661"/>
      <c r="X979" s="661"/>
      <c r="Y979" s="661"/>
      <c r="Z979" s="661"/>
      <c r="AA979" s="661"/>
      <c r="AB979" s="661"/>
    </row>
    <row r="980">
      <c r="A980" s="661"/>
      <c r="B980" s="661"/>
      <c r="C980" s="661"/>
      <c r="D980" s="662"/>
      <c r="E980" s="661"/>
      <c r="F980" s="661"/>
      <c r="G980" s="661"/>
      <c r="H980" s="661"/>
      <c r="I980" s="661"/>
      <c r="J980" s="661"/>
      <c r="K980" s="661"/>
      <c r="L980" s="661"/>
      <c r="M980" s="661"/>
      <c r="N980" s="661"/>
      <c r="O980" s="661"/>
      <c r="P980" s="661"/>
      <c r="Q980" s="661"/>
      <c r="R980" s="661"/>
      <c r="S980" s="661"/>
      <c r="T980" s="661"/>
      <c r="U980" s="661"/>
      <c r="V980" s="661"/>
      <c r="W980" s="661"/>
      <c r="X980" s="661"/>
      <c r="Y980" s="661"/>
      <c r="Z980" s="661"/>
      <c r="AA980" s="661"/>
      <c r="AB980" s="661"/>
    </row>
    <row r="981">
      <c r="A981" s="661"/>
      <c r="B981" s="661"/>
      <c r="C981" s="661"/>
      <c r="D981" s="662"/>
      <c r="E981" s="661"/>
      <c r="F981" s="661"/>
      <c r="G981" s="661"/>
      <c r="H981" s="661"/>
      <c r="I981" s="661"/>
      <c r="J981" s="661"/>
      <c r="K981" s="661"/>
      <c r="L981" s="661"/>
      <c r="M981" s="661"/>
      <c r="N981" s="661"/>
      <c r="O981" s="661"/>
      <c r="P981" s="661"/>
      <c r="Q981" s="661"/>
      <c r="R981" s="661"/>
      <c r="S981" s="661"/>
      <c r="T981" s="661"/>
      <c r="U981" s="661"/>
      <c r="V981" s="661"/>
      <c r="W981" s="661"/>
      <c r="X981" s="661"/>
      <c r="Y981" s="661"/>
      <c r="Z981" s="661"/>
      <c r="AA981" s="661"/>
      <c r="AB981" s="661"/>
    </row>
    <row r="982">
      <c r="A982" s="661"/>
      <c r="B982" s="661"/>
      <c r="C982" s="661"/>
      <c r="D982" s="662"/>
      <c r="E982" s="661"/>
      <c r="F982" s="661"/>
      <c r="G982" s="661"/>
      <c r="H982" s="661"/>
      <c r="I982" s="661"/>
      <c r="J982" s="661"/>
      <c r="K982" s="661"/>
      <c r="L982" s="661"/>
      <c r="M982" s="661"/>
      <c r="N982" s="661"/>
      <c r="O982" s="661"/>
      <c r="P982" s="661"/>
      <c r="Q982" s="661"/>
      <c r="R982" s="661"/>
      <c r="S982" s="661"/>
      <c r="T982" s="661"/>
      <c r="U982" s="661"/>
      <c r="V982" s="661"/>
      <c r="W982" s="661"/>
      <c r="X982" s="661"/>
      <c r="Y982" s="661"/>
      <c r="Z982" s="661"/>
      <c r="AA982" s="661"/>
      <c r="AB982" s="661"/>
    </row>
    <row r="983">
      <c r="A983" s="661"/>
      <c r="B983" s="661"/>
      <c r="C983" s="661"/>
      <c r="D983" s="662"/>
      <c r="E983" s="661"/>
      <c r="F983" s="661"/>
      <c r="G983" s="661"/>
      <c r="H983" s="661"/>
      <c r="I983" s="661"/>
      <c r="J983" s="661"/>
      <c r="K983" s="661"/>
      <c r="L983" s="661"/>
      <c r="M983" s="661"/>
      <c r="N983" s="661"/>
      <c r="O983" s="661"/>
      <c r="P983" s="661"/>
      <c r="Q983" s="661"/>
      <c r="R983" s="661"/>
      <c r="S983" s="661"/>
      <c r="T983" s="661"/>
      <c r="U983" s="661"/>
      <c r="V983" s="661"/>
      <c r="W983" s="661"/>
      <c r="X983" s="661"/>
      <c r="Y983" s="661"/>
      <c r="Z983" s="661"/>
      <c r="AA983" s="661"/>
      <c r="AB983" s="661"/>
    </row>
    <row r="984">
      <c r="A984" s="661"/>
      <c r="B984" s="661"/>
      <c r="C984" s="661"/>
      <c r="D984" s="662"/>
      <c r="E984" s="661"/>
      <c r="F984" s="661"/>
      <c r="G984" s="661"/>
      <c r="H984" s="661"/>
      <c r="I984" s="661"/>
      <c r="J984" s="661"/>
      <c r="K984" s="661"/>
      <c r="L984" s="661"/>
      <c r="M984" s="661"/>
      <c r="N984" s="661"/>
      <c r="O984" s="661"/>
      <c r="P984" s="661"/>
      <c r="Q984" s="661"/>
      <c r="R984" s="661"/>
      <c r="S984" s="661"/>
      <c r="T984" s="661"/>
      <c r="U984" s="661"/>
      <c r="V984" s="661"/>
      <c r="W984" s="661"/>
      <c r="X984" s="661"/>
      <c r="Y984" s="661"/>
      <c r="Z984" s="661"/>
      <c r="AA984" s="661"/>
      <c r="AB984" s="661"/>
    </row>
    <row r="985">
      <c r="A985" s="661"/>
      <c r="B985" s="661"/>
      <c r="C985" s="661"/>
      <c r="D985" s="662"/>
      <c r="E985" s="661"/>
      <c r="F985" s="661"/>
      <c r="G985" s="661"/>
      <c r="H985" s="661"/>
      <c r="I985" s="661"/>
      <c r="J985" s="661"/>
      <c r="K985" s="661"/>
      <c r="L985" s="661"/>
      <c r="M985" s="661"/>
      <c r="N985" s="661"/>
      <c r="O985" s="661"/>
      <c r="P985" s="661"/>
      <c r="Q985" s="661"/>
      <c r="R985" s="661"/>
      <c r="S985" s="661"/>
      <c r="T985" s="661"/>
      <c r="U985" s="661"/>
      <c r="V985" s="661"/>
      <c r="W985" s="661"/>
      <c r="X985" s="661"/>
      <c r="Y985" s="661"/>
      <c r="Z985" s="661"/>
      <c r="AA985" s="661"/>
      <c r="AB985" s="661"/>
    </row>
    <row r="986">
      <c r="A986" s="661"/>
      <c r="B986" s="661"/>
      <c r="C986" s="661"/>
      <c r="D986" s="662"/>
      <c r="E986" s="661"/>
      <c r="F986" s="661"/>
      <c r="G986" s="661"/>
      <c r="H986" s="661"/>
      <c r="I986" s="661"/>
      <c r="J986" s="661"/>
      <c r="K986" s="661"/>
      <c r="L986" s="661"/>
      <c r="M986" s="661"/>
      <c r="N986" s="661"/>
      <c r="O986" s="661"/>
      <c r="P986" s="661"/>
      <c r="Q986" s="661"/>
      <c r="R986" s="661"/>
      <c r="S986" s="661"/>
      <c r="T986" s="661"/>
      <c r="U986" s="661"/>
      <c r="V986" s="661"/>
      <c r="W986" s="661"/>
      <c r="X986" s="661"/>
      <c r="Y986" s="661"/>
      <c r="Z986" s="661"/>
      <c r="AA986" s="661"/>
      <c r="AB986" s="661"/>
    </row>
    <row r="987">
      <c r="A987" s="661"/>
      <c r="B987" s="661"/>
      <c r="C987" s="661"/>
      <c r="D987" s="662"/>
      <c r="E987" s="661"/>
      <c r="F987" s="661"/>
      <c r="G987" s="661"/>
      <c r="H987" s="661"/>
      <c r="I987" s="661"/>
      <c r="J987" s="661"/>
      <c r="K987" s="661"/>
      <c r="L987" s="661"/>
      <c r="M987" s="661"/>
      <c r="N987" s="661"/>
      <c r="O987" s="661"/>
      <c r="P987" s="661"/>
      <c r="Q987" s="661"/>
      <c r="R987" s="661"/>
      <c r="S987" s="661"/>
      <c r="T987" s="661"/>
      <c r="U987" s="661"/>
      <c r="V987" s="661"/>
      <c r="W987" s="661"/>
      <c r="X987" s="661"/>
      <c r="Y987" s="661"/>
      <c r="Z987" s="661"/>
      <c r="AA987" s="661"/>
      <c r="AB987" s="661"/>
    </row>
    <row r="988">
      <c r="A988" s="661"/>
      <c r="B988" s="661"/>
      <c r="C988" s="661"/>
      <c r="D988" s="662"/>
      <c r="E988" s="661"/>
      <c r="F988" s="661"/>
      <c r="G988" s="661"/>
      <c r="H988" s="661"/>
      <c r="I988" s="661"/>
      <c r="J988" s="661"/>
      <c r="K988" s="661"/>
      <c r="L988" s="661"/>
      <c r="M988" s="661"/>
      <c r="N988" s="661"/>
      <c r="O988" s="661"/>
      <c r="P988" s="661"/>
      <c r="Q988" s="661"/>
      <c r="R988" s="661"/>
      <c r="S988" s="661"/>
      <c r="T988" s="661"/>
      <c r="U988" s="661"/>
      <c r="V988" s="661"/>
      <c r="W988" s="661"/>
      <c r="X988" s="661"/>
      <c r="Y988" s="661"/>
      <c r="Z988" s="661"/>
      <c r="AA988" s="661"/>
      <c r="AB988" s="661"/>
    </row>
    <row r="989">
      <c r="A989" s="661"/>
      <c r="B989" s="661"/>
      <c r="C989" s="661"/>
      <c r="D989" s="662"/>
      <c r="E989" s="661"/>
      <c r="F989" s="661"/>
      <c r="G989" s="661"/>
      <c r="H989" s="661"/>
      <c r="I989" s="661"/>
      <c r="J989" s="661"/>
      <c r="K989" s="661"/>
      <c r="L989" s="661"/>
      <c r="M989" s="661"/>
      <c r="N989" s="661"/>
      <c r="O989" s="661"/>
      <c r="P989" s="661"/>
      <c r="Q989" s="661"/>
      <c r="R989" s="661"/>
      <c r="S989" s="661"/>
      <c r="T989" s="661"/>
      <c r="U989" s="661"/>
      <c r="V989" s="661"/>
      <c r="W989" s="661"/>
      <c r="X989" s="661"/>
      <c r="Y989" s="661"/>
      <c r="Z989" s="661"/>
      <c r="AA989" s="661"/>
      <c r="AB989" s="661"/>
    </row>
    <row r="990">
      <c r="A990" s="661"/>
      <c r="B990" s="661"/>
      <c r="C990" s="661"/>
      <c r="D990" s="662"/>
      <c r="E990" s="661"/>
      <c r="F990" s="661"/>
      <c r="G990" s="661"/>
      <c r="H990" s="661"/>
      <c r="I990" s="661"/>
      <c r="J990" s="661"/>
      <c r="K990" s="661"/>
      <c r="L990" s="661"/>
      <c r="M990" s="661"/>
      <c r="N990" s="661"/>
      <c r="O990" s="661"/>
      <c r="P990" s="661"/>
      <c r="Q990" s="661"/>
      <c r="R990" s="661"/>
      <c r="S990" s="661"/>
      <c r="T990" s="661"/>
      <c r="U990" s="661"/>
      <c r="V990" s="661"/>
      <c r="W990" s="661"/>
      <c r="X990" s="661"/>
      <c r="Y990" s="661"/>
      <c r="Z990" s="661"/>
      <c r="AA990" s="661"/>
      <c r="AB990" s="661"/>
    </row>
    <row r="991">
      <c r="A991" s="661"/>
      <c r="B991" s="661"/>
      <c r="C991" s="661"/>
      <c r="D991" s="662"/>
      <c r="E991" s="661"/>
      <c r="F991" s="661"/>
      <c r="G991" s="661"/>
      <c r="H991" s="661"/>
      <c r="I991" s="661"/>
      <c r="J991" s="661"/>
      <c r="K991" s="661"/>
      <c r="L991" s="661"/>
      <c r="M991" s="661"/>
      <c r="N991" s="661"/>
      <c r="O991" s="661"/>
      <c r="P991" s="661"/>
      <c r="Q991" s="661"/>
      <c r="R991" s="661"/>
      <c r="S991" s="661"/>
      <c r="T991" s="661"/>
      <c r="U991" s="661"/>
      <c r="V991" s="661"/>
      <c r="W991" s="661"/>
      <c r="X991" s="661"/>
      <c r="Y991" s="661"/>
      <c r="Z991" s="661"/>
      <c r="AA991" s="661"/>
      <c r="AB991" s="661"/>
    </row>
    <row r="992">
      <c r="A992" s="661"/>
      <c r="B992" s="661"/>
      <c r="C992" s="661"/>
      <c r="D992" s="662"/>
      <c r="E992" s="661"/>
      <c r="F992" s="661"/>
      <c r="G992" s="661"/>
      <c r="H992" s="661"/>
      <c r="I992" s="661"/>
      <c r="J992" s="661"/>
      <c r="K992" s="661"/>
      <c r="L992" s="661"/>
      <c r="M992" s="661"/>
      <c r="N992" s="661"/>
      <c r="O992" s="661"/>
      <c r="P992" s="661"/>
      <c r="Q992" s="661"/>
      <c r="R992" s="661"/>
      <c r="S992" s="661"/>
      <c r="T992" s="661"/>
      <c r="U992" s="661"/>
      <c r="V992" s="661"/>
      <c r="W992" s="661"/>
      <c r="X992" s="661"/>
      <c r="Y992" s="661"/>
      <c r="Z992" s="661"/>
      <c r="AA992" s="661"/>
      <c r="AB992" s="661"/>
    </row>
    <row r="993">
      <c r="A993" s="661"/>
      <c r="B993" s="661"/>
      <c r="C993" s="661"/>
      <c r="D993" s="662"/>
      <c r="E993" s="661"/>
      <c r="F993" s="661"/>
      <c r="G993" s="661"/>
      <c r="H993" s="661"/>
      <c r="I993" s="661"/>
      <c r="J993" s="661"/>
      <c r="K993" s="661"/>
      <c r="L993" s="661"/>
      <c r="M993" s="661"/>
      <c r="N993" s="661"/>
      <c r="O993" s="661"/>
      <c r="P993" s="661"/>
      <c r="Q993" s="661"/>
      <c r="R993" s="661"/>
      <c r="S993" s="661"/>
      <c r="T993" s="661"/>
      <c r="U993" s="661"/>
      <c r="V993" s="661"/>
      <c r="W993" s="661"/>
      <c r="X993" s="661"/>
      <c r="Y993" s="661"/>
      <c r="Z993" s="661"/>
      <c r="AA993" s="661"/>
      <c r="AB993" s="661"/>
    </row>
    <row r="994">
      <c r="A994" s="661"/>
      <c r="B994" s="661"/>
      <c r="C994" s="661"/>
      <c r="D994" s="662"/>
      <c r="E994" s="661"/>
      <c r="F994" s="661"/>
      <c r="G994" s="661"/>
      <c r="H994" s="661"/>
      <c r="I994" s="661"/>
      <c r="J994" s="661"/>
      <c r="K994" s="661"/>
      <c r="L994" s="661"/>
      <c r="M994" s="661"/>
      <c r="N994" s="661"/>
      <c r="O994" s="661"/>
      <c r="P994" s="661"/>
      <c r="Q994" s="661"/>
      <c r="R994" s="661"/>
      <c r="S994" s="661"/>
      <c r="T994" s="661"/>
      <c r="U994" s="661"/>
      <c r="V994" s="661"/>
      <c r="W994" s="661"/>
      <c r="X994" s="661"/>
      <c r="Y994" s="661"/>
      <c r="Z994" s="661"/>
      <c r="AA994" s="661"/>
      <c r="AB994" s="661"/>
    </row>
    <row r="995">
      <c r="A995" s="661"/>
      <c r="B995" s="661"/>
      <c r="C995" s="661"/>
      <c r="D995" s="662"/>
      <c r="E995" s="661"/>
      <c r="F995" s="661"/>
      <c r="G995" s="661"/>
      <c r="H995" s="661"/>
      <c r="I995" s="661"/>
      <c r="J995" s="661"/>
      <c r="K995" s="661"/>
      <c r="L995" s="661"/>
      <c r="M995" s="661"/>
      <c r="N995" s="661"/>
      <c r="O995" s="661"/>
      <c r="P995" s="661"/>
      <c r="Q995" s="661"/>
      <c r="R995" s="661"/>
      <c r="S995" s="661"/>
      <c r="T995" s="661"/>
      <c r="U995" s="661"/>
      <c r="V995" s="661"/>
      <c r="W995" s="661"/>
      <c r="X995" s="661"/>
      <c r="Y995" s="661"/>
      <c r="Z995" s="661"/>
      <c r="AA995" s="661"/>
      <c r="AB995" s="661"/>
    </row>
    <row r="996">
      <c r="A996" s="661"/>
      <c r="B996" s="661"/>
      <c r="C996" s="661"/>
      <c r="D996" s="662"/>
      <c r="E996" s="661"/>
      <c r="F996" s="661"/>
      <c r="G996" s="661"/>
      <c r="H996" s="661"/>
      <c r="I996" s="661"/>
      <c r="J996" s="661"/>
      <c r="K996" s="661"/>
      <c r="L996" s="661"/>
      <c r="M996" s="661"/>
      <c r="N996" s="661"/>
      <c r="O996" s="661"/>
      <c r="P996" s="661"/>
      <c r="Q996" s="661"/>
      <c r="R996" s="661"/>
      <c r="S996" s="661"/>
      <c r="T996" s="661"/>
      <c r="U996" s="661"/>
      <c r="V996" s="661"/>
      <c r="W996" s="661"/>
      <c r="X996" s="661"/>
      <c r="Y996" s="661"/>
      <c r="Z996" s="661"/>
      <c r="AA996" s="661"/>
      <c r="AB996" s="661"/>
    </row>
    <row r="997">
      <c r="A997" s="661"/>
      <c r="B997" s="661"/>
      <c r="C997" s="661"/>
      <c r="D997" s="662"/>
      <c r="E997" s="661"/>
      <c r="F997" s="661"/>
      <c r="G997" s="661"/>
      <c r="H997" s="661"/>
      <c r="I997" s="661"/>
      <c r="J997" s="661"/>
      <c r="K997" s="661"/>
      <c r="L997" s="661"/>
      <c r="M997" s="661"/>
      <c r="N997" s="661"/>
      <c r="O997" s="661"/>
      <c r="P997" s="661"/>
      <c r="Q997" s="661"/>
      <c r="R997" s="661"/>
      <c r="S997" s="661"/>
      <c r="T997" s="661"/>
      <c r="U997" s="661"/>
      <c r="V997" s="661"/>
      <c r="W997" s="661"/>
      <c r="X997" s="661"/>
      <c r="Y997" s="661"/>
      <c r="Z997" s="661"/>
      <c r="AA997" s="661"/>
      <c r="AB997" s="661"/>
    </row>
  </sheetData>
  <mergeCells count="7">
    <mergeCell ref="B1:L1"/>
    <mergeCell ref="M1:P1"/>
    <mergeCell ref="Q1:AB1"/>
    <mergeCell ref="D2:H2"/>
    <mergeCell ref="I2:L2"/>
    <mergeCell ref="E3:F3"/>
    <mergeCell ref="E4:F4"/>
  </mergeCells>
  <dataValidations>
    <dataValidation type="list" allowBlank="1" showErrorMessage="1" sqref="B46:B47 B49:B54">
      <formula1>NHOM_QL</formula1>
    </dataValidation>
    <dataValidation type="list" allowBlank="1" showErrorMessage="1" sqref="B6 B9 B11:B22 B27 B30 B32:B43">
      <formula1>MA_DUAN</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34.14"/>
  </cols>
  <sheetData>
    <row r="1">
      <c r="A1" s="667" t="s">
        <v>2093</v>
      </c>
    </row>
    <row r="2">
      <c r="A2" s="668" t="s">
        <v>2094</v>
      </c>
    </row>
    <row r="3">
      <c r="A3" s="669" t="s">
        <v>2095</v>
      </c>
    </row>
    <row r="4">
      <c r="A4" s="670" t="s">
        <v>2096</v>
      </c>
    </row>
    <row r="5">
      <c r="A5" s="669" t="s">
        <v>2097</v>
      </c>
    </row>
    <row r="6" ht="52.5" customHeight="1">
      <c r="A6" s="670" t="s">
        <v>2098</v>
      </c>
    </row>
    <row r="7">
      <c r="A7" s="669" t="s">
        <v>2099</v>
      </c>
    </row>
    <row r="8">
      <c r="A8" s="669" t="s">
        <v>2100</v>
      </c>
    </row>
    <row r="9">
      <c r="A9" s="670" t="s">
        <v>2101</v>
      </c>
    </row>
    <row r="10">
      <c r="A10" s="671" t="s">
        <v>2102</v>
      </c>
    </row>
    <row r="11">
      <c r="A11" s="669" t="s">
        <v>2103</v>
      </c>
    </row>
    <row r="12">
      <c r="A12" s="672"/>
    </row>
    <row r="13">
      <c r="A13" s="673" t="s">
        <v>2104</v>
      </c>
    </row>
    <row r="14">
      <c r="A14" s="673" t="s">
        <v>2105</v>
      </c>
    </row>
    <row r="15">
      <c r="A15" s="673" t="s">
        <v>2106</v>
      </c>
    </row>
    <row r="16">
      <c r="A16" s="673" t="s">
        <v>2107</v>
      </c>
    </row>
    <row r="17">
      <c r="A17" s="669" t="s">
        <v>2108</v>
      </c>
    </row>
    <row r="18">
      <c r="A18" s="672"/>
    </row>
    <row r="19">
      <c r="A19" s="673" t="s">
        <v>2109</v>
      </c>
    </row>
    <row r="20">
      <c r="A20" s="673" t="s">
        <v>2110</v>
      </c>
    </row>
    <row r="21">
      <c r="A21" s="673" t="s">
        <v>2111</v>
      </c>
    </row>
    <row r="22">
      <c r="A22" s="673" t="s">
        <v>2112</v>
      </c>
    </row>
    <row r="23">
      <c r="A23" s="673" t="s">
        <v>2113</v>
      </c>
    </row>
    <row r="24">
      <c r="A24" s="673" t="s">
        <v>2114</v>
      </c>
    </row>
    <row r="25">
      <c r="A25" s="673" t="s">
        <v>2115</v>
      </c>
    </row>
    <row r="26">
      <c r="A26" s="673" t="s">
        <v>2116</v>
      </c>
    </row>
    <row r="27">
      <c r="A27" s="673" t="s">
        <v>2117</v>
      </c>
    </row>
    <row r="28">
      <c r="A28" s="673" t="s">
        <v>2118</v>
      </c>
    </row>
    <row r="29">
      <c r="A29" s="673" t="s">
        <v>2119</v>
      </c>
    </row>
    <row r="30">
      <c r="A30" s="673" t="s">
        <v>2120</v>
      </c>
    </row>
    <row r="31">
      <c r="A31" s="674" t="s">
        <v>2121</v>
      </c>
    </row>
    <row r="32">
      <c r="A32" s="673" t="s">
        <v>2122</v>
      </c>
    </row>
    <row r="33">
      <c r="A33" s="672"/>
    </row>
    <row r="34">
      <c r="A34" s="675" t="s">
        <v>2123</v>
      </c>
    </row>
    <row r="35">
      <c r="A35" s="676"/>
    </row>
    <row r="36">
      <c r="A36" s="675" t="s">
        <v>2124</v>
      </c>
    </row>
    <row r="37">
      <c r="A37" s="676"/>
    </row>
    <row r="38">
      <c r="A38" s="675" t="s">
        <v>2125</v>
      </c>
    </row>
    <row r="39">
      <c r="A39" s="676"/>
    </row>
    <row r="40">
      <c r="A40" s="675" t="s">
        <v>2126</v>
      </c>
    </row>
    <row r="41">
      <c r="A41" s="672"/>
    </row>
    <row r="42">
      <c r="A42" s="673" t="s">
        <v>2127</v>
      </c>
    </row>
    <row r="43">
      <c r="A43" s="672"/>
    </row>
    <row r="44">
      <c r="A44" s="677" t="s">
        <v>2128</v>
      </c>
    </row>
    <row r="45">
      <c r="A45" s="678"/>
    </row>
    <row r="46">
      <c r="A46" s="677" t="s">
        <v>2129</v>
      </c>
    </row>
    <row r="47">
      <c r="A47" s="678"/>
    </row>
    <row r="48">
      <c r="A48" s="677" t="s">
        <v>2130</v>
      </c>
    </row>
    <row r="49">
      <c r="A49" s="678"/>
    </row>
    <row r="50">
      <c r="A50" s="677" t="s">
        <v>2131</v>
      </c>
    </row>
    <row r="51">
      <c r="A51" s="672"/>
    </row>
    <row r="52">
      <c r="A52" s="673" t="s">
        <v>2132</v>
      </c>
    </row>
    <row r="53">
      <c r="A53" s="672"/>
    </row>
    <row r="54">
      <c r="A54" s="673" t="s">
        <v>2133</v>
      </c>
    </row>
    <row r="55">
      <c r="A55" s="672"/>
    </row>
    <row r="56">
      <c r="A56" s="673" t="s">
        <v>2134</v>
      </c>
    </row>
    <row r="57">
      <c r="A57" s="672"/>
    </row>
    <row r="58">
      <c r="A58" s="673" t="s">
        <v>2135</v>
      </c>
    </row>
    <row r="59">
      <c r="A59" s="672"/>
    </row>
    <row r="60">
      <c r="A60" s="673" t="s">
        <v>2136</v>
      </c>
    </row>
    <row r="61">
      <c r="A61" s="672"/>
    </row>
    <row r="62">
      <c r="A62" s="673" t="s">
        <v>2137</v>
      </c>
    </row>
    <row r="63">
      <c r="A63" s="672"/>
    </row>
    <row r="64">
      <c r="A64" s="673" t="s">
        <v>2138</v>
      </c>
    </row>
    <row r="65">
      <c r="A65" s="672"/>
    </row>
    <row r="66">
      <c r="A66" s="673" t="s">
        <v>2139</v>
      </c>
    </row>
    <row r="67">
      <c r="A67" s="672"/>
    </row>
    <row r="68">
      <c r="A68" s="673" t="s">
        <v>2140</v>
      </c>
    </row>
    <row r="69">
      <c r="A69" s="672"/>
    </row>
    <row r="70">
      <c r="A70" s="673" t="s">
        <v>2141</v>
      </c>
    </row>
    <row r="71">
      <c r="A71" s="679"/>
    </row>
    <row r="72">
      <c r="A72" s="680"/>
    </row>
    <row r="73">
      <c r="A73" s="681" t="s">
        <v>2142</v>
      </c>
    </row>
    <row r="74">
      <c r="A74" s="682"/>
    </row>
    <row r="75">
      <c r="A75" s="683" t="s">
        <v>2143</v>
      </c>
    </row>
    <row r="76">
      <c r="A76" s="682"/>
    </row>
    <row r="77">
      <c r="A77" s="683" t="s">
        <v>2144</v>
      </c>
    </row>
    <row r="78">
      <c r="A78" s="682"/>
    </row>
    <row r="79">
      <c r="A79" s="683" t="s">
        <v>2145</v>
      </c>
    </row>
    <row r="80">
      <c r="A80" s="682"/>
    </row>
    <row r="81">
      <c r="A81" s="683" t="s">
        <v>2146</v>
      </c>
    </row>
    <row r="82">
      <c r="A82" s="681" t="s">
        <v>2147</v>
      </c>
    </row>
    <row r="83">
      <c r="A83" s="684"/>
    </row>
    <row r="84">
      <c r="A84" s="685" t="s">
        <v>2148</v>
      </c>
    </row>
    <row r="85">
      <c r="A85" s="685" t="s">
        <v>2149</v>
      </c>
    </row>
    <row r="86">
      <c r="A86" s="686"/>
    </row>
    <row r="87">
      <c r="A87" s="687" t="s">
        <v>2150</v>
      </c>
    </row>
    <row r="88">
      <c r="A88" s="686"/>
    </row>
    <row r="89">
      <c r="A89" s="685" t="s">
        <v>2151</v>
      </c>
    </row>
    <row r="90">
      <c r="A90" s="686"/>
    </row>
    <row r="91">
      <c r="A91" s="687" t="s">
        <v>2152</v>
      </c>
    </row>
    <row r="92">
      <c r="A92" s="686"/>
    </row>
    <row r="93">
      <c r="A93" s="687" t="s">
        <v>2153</v>
      </c>
    </row>
    <row r="94">
      <c r="A94" s="686"/>
    </row>
    <row r="95">
      <c r="A95" s="687" t="s">
        <v>2154</v>
      </c>
    </row>
    <row r="96">
      <c r="A96" s="686"/>
    </row>
    <row r="97">
      <c r="A97" s="687" t="s">
        <v>2155</v>
      </c>
    </row>
    <row r="98">
      <c r="A98" s="686"/>
    </row>
    <row r="99">
      <c r="A99" s="688" t="s">
        <v>2156</v>
      </c>
    </row>
    <row r="100">
      <c r="A100" s="686"/>
    </row>
    <row r="101">
      <c r="A101" s="689" t="s">
        <v>2157</v>
      </c>
    </row>
    <row r="102">
      <c r="A102" s="686"/>
    </row>
    <row r="103">
      <c r="A103" s="689" t="s">
        <v>2158</v>
      </c>
    </row>
    <row r="104">
      <c r="A104" s="684"/>
    </row>
    <row r="105">
      <c r="A105" s="684"/>
    </row>
    <row r="106">
      <c r="A106" s="684"/>
    </row>
    <row r="107">
      <c r="A107" s="690"/>
    </row>
    <row r="108">
      <c r="A108" s="684"/>
    </row>
    <row r="109">
      <c r="A109" s="684"/>
    </row>
    <row r="110">
      <c r="A110" s="684"/>
    </row>
    <row r="111">
      <c r="A111" s="684"/>
    </row>
    <row r="112">
      <c r="A112" s="684"/>
    </row>
    <row r="113">
      <c r="A113" s="684"/>
    </row>
    <row r="114">
      <c r="A114" s="684"/>
    </row>
    <row r="115">
      <c r="A115" s="684"/>
    </row>
    <row r="116">
      <c r="A116" s="684"/>
    </row>
    <row r="117">
      <c r="A117" s="684"/>
    </row>
    <row r="118">
      <c r="A118" s="691"/>
    </row>
    <row r="119">
      <c r="A119" s="691"/>
    </row>
    <row r="120">
      <c r="A120" s="691"/>
    </row>
    <row r="121">
      <c r="A121" s="691"/>
    </row>
    <row r="122">
      <c r="A122" s="691"/>
    </row>
    <row r="123">
      <c r="A123" s="691"/>
    </row>
    <row r="124">
      <c r="A124" s="691"/>
    </row>
    <row r="125">
      <c r="A125" s="691"/>
    </row>
    <row r="126">
      <c r="A126" s="691"/>
    </row>
    <row r="127">
      <c r="A127" s="691"/>
    </row>
    <row r="128">
      <c r="A128" s="691"/>
    </row>
    <row r="129">
      <c r="A129" s="691"/>
    </row>
    <row r="130">
      <c r="A130" s="691"/>
    </row>
    <row r="131">
      <c r="A131" s="691"/>
    </row>
    <row r="132">
      <c r="A132" s="691"/>
    </row>
    <row r="133">
      <c r="A133" s="691"/>
    </row>
    <row r="134">
      <c r="A134" s="691"/>
    </row>
    <row r="135">
      <c r="A135" s="691"/>
    </row>
    <row r="136">
      <c r="A136" s="691"/>
    </row>
    <row r="137">
      <c r="A137" s="691"/>
    </row>
    <row r="138">
      <c r="A138" s="691"/>
    </row>
    <row r="139">
      <c r="A139" s="691"/>
    </row>
    <row r="140">
      <c r="A140" s="691"/>
    </row>
    <row r="141">
      <c r="A141" s="691"/>
    </row>
    <row r="142">
      <c r="A142" s="691"/>
    </row>
    <row r="143">
      <c r="A143" s="691"/>
    </row>
    <row r="144">
      <c r="A144" s="691"/>
    </row>
    <row r="145">
      <c r="A145" s="691"/>
    </row>
    <row r="146">
      <c r="A146" s="691"/>
    </row>
    <row r="147">
      <c r="A147" s="691"/>
    </row>
    <row r="148">
      <c r="A148" s="691"/>
    </row>
    <row r="149">
      <c r="A149" s="691"/>
    </row>
    <row r="150">
      <c r="A150" s="691"/>
    </row>
    <row r="151">
      <c r="A151" s="691"/>
    </row>
    <row r="152">
      <c r="A152" s="691"/>
    </row>
    <row r="153">
      <c r="A153" s="691"/>
    </row>
    <row r="154">
      <c r="A154" s="691"/>
    </row>
    <row r="155">
      <c r="A155" s="691"/>
    </row>
    <row r="156">
      <c r="A156" s="691"/>
    </row>
    <row r="157">
      <c r="A157" s="691"/>
    </row>
    <row r="158">
      <c r="A158" s="691"/>
    </row>
    <row r="159">
      <c r="A159" s="691"/>
    </row>
    <row r="160">
      <c r="A160" s="691"/>
    </row>
    <row r="161">
      <c r="A161" s="691"/>
    </row>
    <row r="162">
      <c r="A162" s="691"/>
    </row>
    <row r="163">
      <c r="A163" s="691"/>
    </row>
    <row r="164">
      <c r="A164" s="691"/>
    </row>
    <row r="165">
      <c r="A165" s="691"/>
    </row>
    <row r="166">
      <c r="A166" s="691"/>
    </row>
    <row r="167">
      <c r="A167" s="691"/>
    </row>
    <row r="168">
      <c r="A168" s="691"/>
    </row>
    <row r="169">
      <c r="A169" s="691"/>
    </row>
    <row r="170">
      <c r="A170" s="691"/>
    </row>
    <row r="171">
      <c r="A171" s="691"/>
    </row>
    <row r="172">
      <c r="A172" s="691"/>
    </row>
    <row r="173">
      <c r="A173" s="691"/>
    </row>
    <row r="174">
      <c r="A174" s="691"/>
    </row>
    <row r="175">
      <c r="A175" s="691"/>
    </row>
    <row r="176">
      <c r="A176" s="691"/>
    </row>
    <row r="177">
      <c r="A177" s="691"/>
    </row>
    <row r="178">
      <c r="A178" s="691"/>
    </row>
    <row r="179">
      <c r="A179" s="691"/>
    </row>
    <row r="180">
      <c r="A180" s="691"/>
    </row>
    <row r="181">
      <c r="A181" s="691"/>
    </row>
    <row r="182">
      <c r="A182" s="691"/>
    </row>
    <row r="183">
      <c r="A183" s="691"/>
    </row>
    <row r="184">
      <c r="A184" s="691"/>
    </row>
    <row r="185">
      <c r="A185" s="691"/>
    </row>
    <row r="186">
      <c r="A186" s="691"/>
    </row>
    <row r="187">
      <c r="A187" s="691"/>
    </row>
    <row r="188">
      <c r="A188" s="691"/>
    </row>
    <row r="189">
      <c r="A189" s="691"/>
    </row>
    <row r="190">
      <c r="A190" s="691"/>
    </row>
    <row r="191">
      <c r="A191" s="691"/>
    </row>
    <row r="192">
      <c r="A192" s="691"/>
    </row>
    <row r="193">
      <c r="A193" s="691"/>
    </row>
    <row r="194">
      <c r="A194" s="691"/>
    </row>
    <row r="195">
      <c r="A195" s="691"/>
    </row>
    <row r="196">
      <c r="A196" s="691"/>
    </row>
    <row r="197">
      <c r="A197" s="691"/>
    </row>
    <row r="198">
      <c r="A198" s="691"/>
    </row>
    <row r="199">
      <c r="A199" s="691"/>
    </row>
    <row r="200">
      <c r="A200" s="691"/>
    </row>
    <row r="201">
      <c r="A201" s="691"/>
    </row>
    <row r="202">
      <c r="A202" s="691"/>
    </row>
    <row r="203">
      <c r="A203" s="691"/>
    </row>
    <row r="204">
      <c r="A204" s="691"/>
    </row>
    <row r="205">
      <c r="A205" s="691"/>
    </row>
    <row r="206">
      <c r="A206" s="691"/>
    </row>
    <row r="207">
      <c r="A207" s="691"/>
    </row>
    <row r="208">
      <c r="A208" s="691"/>
    </row>
    <row r="209">
      <c r="A209" s="691"/>
    </row>
    <row r="210">
      <c r="A210" s="691"/>
    </row>
    <row r="211">
      <c r="A211" s="691"/>
    </row>
    <row r="212">
      <c r="A212" s="691"/>
    </row>
    <row r="213">
      <c r="A213" s="691"/>
    </row>
    <row r="214">
      <c r="A214" s="691"/>
    </row>
    <row r="215">
      <c r="A215" s="691"/>
    </row>
    <row r="216">
      <c r="A216" s="691"/>
    </row>
    <row r="217">
      <c r="A217" s="691"/>
    </row>
    <row r="218">
      <c r="A218" s="691"/>
    </row>
    <row r="219">
      <c r="A219" s="691"/>
    </row>
    <row r="220">
      <c r="A220" s="691"/>
    </row>
    <row r="221">
      <c r="A221" s="691"/>
    </row>
    <row r="222">
      <c r="A222" s="691"/>
    </row>
    <row r="223">
      <c r="A223" s="691"/>
    </row>
    <row r="224">
      <c r="A224" s="691"/>
    </row>
    <row r="225">
      <c r="A225" s="691"/>
    </row>
    <row r="226">
      <c r="A226" s="691"/>
    </row>
    <row r="227">
      <c r="A227" s="691"/>
    </row>
    <row r="228">
      <c r="A228" s="691"/>
    </row>
    <row r="229">
      <c r="A229" s="691"/>
    </row>
    <row r="230">
      <c r="A230" s="691"/>
    </row>
    <row r="231">
      <c r="A231" s="691"/>
    </row>
    <row r="232">
      <c r="A232" s="691"/>
    </row>
    <row r="233">
      <c r="A233" s="691"/>
    </row>
    <row r="234">
      <c r="A234" s="691"/>
    </row>
    <row r="235">
      <c r="A235" s="691"/>
    </row>
    <row r="236">
      <c r="A236" s="691"/>
    </row>
    <row r="237">
      <c r="A237" s="691"/>
    </row>
    <row r="238">
      <c r="A238" s="691"/>
    </row>
    <row r="239">
      <c r="A239" s="691"/>
    </row>
    <row r="240">
      <c r="A240" s="691"/>
    </row>
    <row r="241">
      <c r="A241" s="691"/>
    </row>
    <row r="242">
      <c r="A242" s="691"/>
    </row>
    <row r="243">
      <c r="A243" s="691"/>
    </row>
    <row r="244">
      <c r="A244" s="691"/>
    </row>
    <row r="245">
      <c r="A245" s="691"/>
    </row>
    <row r="246">
      <c r="A246" s="691"/>
    </row>
    <row r="247">
      <c r="A247" s="691"/>
    </row>
    <row r="248">
      <c r="A248" s="691"/>
    </row>
    <row r="249">
      <c r="A249" s="691"/>
    </row>
    <row r="250">
      <c r="A250" s="691"/>
    </row>
    <row r="251">
      <c r="A251" s="691"/>
    </row>
    <row r="252">
      <c r="A252" s="691"/>
    </row>
    <row r="253">
      <c r="A253" s="691"/>
    </row>
    <row r="254">
      <c r="A254" s="691"/>
    </row>
    <row r="255">
      <c r="A255" s="691"/>
    </row>
    <row r="256">
      <c r="A256" s="691"/>
    </row>
    <row r="257">
      <c r="A257" s="691"/>
    </row>
    <row r="258">
      <c r="A258" s="691"/>
    </row>
    <row r="259">
      <c r="A259" s="691"/>
    </row>
    <row r="260">
      <c r="A260" s="691"/>
    </row>
    <row r="261">
      <c r="A261" s="691"/>
    </row>
    <row r="262">
      <c r="A262" s="691"/>
    </row>
    <row r="263">
      <c r="A263" s="691"/>
    </row>
    <row r="264">
      <c r="A264" s="691"/>
    </row>
    <row r="265">
      <c r="A265" s="691"/>
    </row>
    <row r="266">
      <c r="A266" s="691"/>
    </row>
    <row r="267">
      <c r="A267" s="691"/>
    </row>
    <row r="268">
      <c r="A268" s="691"/>
    </row>
    <row r="269">
      <c r="A269" s="691"/>
    </row>
    <row r="270">
      <c r="A270" s="691"/>
    </row>
    <row r="271">
      <c r="A271" s="691"/>
    </row>
    <row r="272">
      <c r="A272" s="691"/>
    </row>
    <row r="273">
      <c r="A273" s="691"/>
    </row>
    <row r="274">
      <c r="A274" s="691"/>
    </row>
    <row r="275">
      <c r="A275" s="691"/>
    </row>
    <row r="276">
      <c r="A276" s="691"/>
    </row>
    <row r="277">
      <c r="A277" s="691"/>
    </row>
    <row r="278">
      <c r="A278" s="691"/>
    </row>
    <row r="279">
      <c r="A279" s="691"/>
    </row>
    <row r="280">
      <c r="A280" s="691"/>
    </row>
    <row r="281">
      <c r="A281" s="691"/>
    </row>
    <row r="282">
      <c r="A282" s="691"/>
    </row>
    <row r="283">
      <c r="A283" s="691"/>
    </row>
    <row r="284">
      <c r="A284" s="691"/>
    </row>
    <row r="285">
      <c r="A285" s="691"/>
    </row>
    <row r="286">
      <c r="A286" s="691"/>
    </row>
    <row r="287">
      <c r="A287" s="691"/>
    </row>
    <row r="288">
      <c r="A288" s="691"/>
    </row>
    <row r="289">
      <c r="A289" s="691"/>
    </row>
    <row r="290">
      <c r="A290" s="691"/>
    </row>
    <row r="291">
      <c r="A291" s="691"/>
    </row>
    <row r="292">
      <c r="A292" s="691"/>
    </row>
    <row r="293">
      <c r="A293" s="691"/>
    </row>
    <row r="294">
      <c r="A294" s="691"/>
    </row>
    <row r="295">
      <c r="A295" s="691"/>
    </row>
    <row r="296">
      <c r="A296" s="691"/>
    </row>
    <row r="297">
      <c r="A297" s="691"/>
    </row>
    <row r="298">
      <c r="A298" s="691"/>
    </row>
    <row r="299">
      <c r="A299" s="691"/>
    </row>
    <row r="300">
      <c r="A300" s="691"/>
    </row>
    <row r="301">
      <c r="A301" s="691"/>
    </row>
    <row r="302">
      <c r="A302" s="691"/>
    </row>
    <row r="303">
      <c r="A303" s="691"/>
    </row>
    <row r="304">
      <c r="A304" s="691"/>
    </row>
    <row r="305">
      <c r="A305" s="691"/>
    </row>
    <row r="306">
      <c r="A306" s="691"/>
    </row>
    <row r="307">
      <c r="A307" s="691"/>
    </row>
    <row r="308">
      <c r="A308" s="691"/>
    </row>
    <row r="309">
      <c r="A309" s="691"/>
    </row>
    <row r="310">
      <c r="A310" s="691"/>
    </row>
    <row r="311">
      <c r="A311" s="691"/>
    </row>
    <row r="312">
      <c r="A312" s="691"/>
    </row>
    <row r="313">
      <c r="A313" s="691"/>
    </row>
    <row r="314">
      <c r="A314" s="691"/>
    </row>
    <row r="315">
      <c r="A315" s="691"/>
    </row>
    <row r="316">
      <c r="A316" s="691"/>
    </row>
    <row r="317">
      <c r="A317" s="691"/>
    </row>
    <row r="318">
      <c r="A318" s="691"/>
    </row>
    <row r="319">
      <c r="A319" s="691"/>
    </row>
    <row r="320">
      <c r="A320" s="691"/>
    </row>
    <row r="321">
      <c r="A321" s="691"/>
    </row>
    <row r="322">
      <c r="A322" s="691"/>
    </row>
    <row r="323">
      <c r="A323" s="691"/>
    </row>
    <row r="324">
      <c r="A324" s="691"/>
    </row>
    <row r="325">
      <c r="A325" s="691"/>
    </row>
    <row r="326">
      <c r="A326" s="691"/>
    </row>
    <row r="327">
      <c r="A327" s="691"/>
    </row>
    <row r="328">
      <c r="A328" s="691"/>
    </row>
    <row r="329">
      <c r="A329" s="691"/>
    </row>
    <row r="330">
      <c r="A330" s="691"/>
    </row>
    <row r="331">
      <c r="A331" s="691"/>
    </row>
    <row r="332">
      <c r="A332" s="691"/>
    </row>
    <row r="333">
      <c r="A333" s="691"/>
    </row>
    <row r="334">
      <c r="A334" s="691"/>
    </row>
    <row r="335">
      <c r="A335" s="691"/>
    </row>
    <row r="336">
      <c r="A336" s="691"/>
    </row>
    <row r="337">
      <c r="A337" s="691"/>
    </row>
    <row r="338">
      <c r="A338" s="691"/>
    </row>
    <row r="339">
      <c r="A339" s="691"/>
    </row>
    <row r="340">
      <c r="A340" s="691"/>
    </row>
    <row r="341">
      <c r="A341" s="691"/>
    </row>
    <row r="342">
      <c r="A342" s="691"/>
    </row>
    <row r="343">
      <c r="A343" s="691"/>
    </row>
    <row r="344">
      <c r="A344" s="691"/>
    </row>
    <row r="345">
      <c r="A345" s="691"/>
    </row>
    <row r="346">
      <c r="A346" s="691"/>
    </row>
    <row r="347">
      <c r="A347" s="691"/>
    </row>
    <row r="348">
      <c r="A348" s="691"/>
    </row>
    <row r="349">
      <c r="A349" s="691"/>
    </row>
    <row r="350">
      <c r="A350" s="691"/>
    </row>
    <row r="351">
      <c r="A351" s="691"/>
    </row>
    <row r="352">
      <c r="A352" s="691"/>
    </row>
    <row r="353">
      <c r="A353" s="691"/>
    </row>
    <row r="354">
      <c r="A354" s="691"/>
    </row>
    <row r="355">
      <c r="A355" s="691"/>
    </row>
    <row r="356">
      <c r="A356" s="691"/>
    </row>
    <row r="357">
      <c r="A357" s="691"/>
    </row>
    <row r="358">
      <c r="A358" s="691"/>
    </row>
    <row r="359">
      <c r="A359" s="691"/>
    </row>
    <row r="360">
      <c r="A360" s="691"/>
    </row>
    <row r="361">
      <c r="A361" s="691"/>
    </row>
    <row r="362">
      <c r="A362" s="691"/>
    </row>
    <row r="363">
      <c r="A363" s="691"/>
    </row>
    <row r="364">
      <c r="A364" s="691"/>
    </row>
    <row r="365">
      <c r="A365" s="691"/>
    </row>
    <row r="366">
      <c r="A366" s="691"/>
    </row>
    <row r="367">
      <c r="A367" s="691"/>
    </row>
    <row r="368">
      <c r="A368" s="691"/>
    </row>
    <row r="369">
      <c r="A369" s="691"/>
    </row>
    <row r="370">
      <c r="A370" s="691"/>
    </row>
    <row r="371">
      <c r="A371" s="691"/>
    </row>
    <row r="372">
      <c r="A372" s="691"/>
    </row>
    <row r="373">
      <c r="A373" s="691"/>
    </row>
    <row r="374">
      <c r="A374" s="691"/>
    </row>
    <row r="375">
      <c r="A375" s="691"/>
    </row>
    <row r="376">
      <c r="A376" s="691"/>
    </row>
    <row r="377">
      <c r="A377" s="691"/>
    </row>
    <row r="378">
      <c r="A378" s="691"/>
    </row>
    <row r="379">
      <c r="A379" s="691"/>
    </row>
    <row r="380">
      <c r="A380" s="691"/>
    </row>
    <row r="381">
      <c r="A381" s="691"/>
    </row>
    <row r="382">
      <c r="A382" s="691"/>
    </row>
    <row r="383">
      <c r="A383" s="691"/>
    </row>
    <row r="384">
      <c r="A384" s="691"/>
    </row>
    <row r="385">
      <c r="A385" s="691"/>
    </row>
    <row r="386">
      <c r="A386" s="691"/>
    </row>
    <row r="387">
      <c r="A387" s="691"/>
    </row>
    <row r="388">
      <c r="A388" s="691"/>
    </row>
    <row r="389">
      <c r="A389" s="691"/>
    </row>
    <row r="390">
      <c r="A390" s="691"/>
    </row>
    <row r="391">
      <c r="A391" s="691"/>
    </row>
    <row r="392">
      <c r="A392" s="691"/>
    </row>
    <row r="393">
      <c r="A393" s="691"/>
    </row>
    <row r="394">
      <c r="A394" s="691"/>
    </row>
    <row r="395">
      <c r="A395" s="691"/>
    </row>
    <row r="396">
      <c r="A396" s="691"/>
    </row>
    <row r="397">
      <c r="A397" s="691"/>
    </row>
    <row r="398">
      <c r="A398" s="691"/>
    </row>
    <row r="399">
      <c r="A399" s="691"/>
    </row>
    <row r="400">
      <c r="A400" s="691"/>
    </row>
    <row r="401">
      <c r="A401" s="691"/>
    </row>
    <row r="402">
      <c r="A402" s="691"/>
    </row>
    <row r="403">
      <c r="A403" s="691"/>
    </row>
    <row r="404">
      <c r="A404" s="691"/>
    </row>
    <row r="405">
      <c r="A405" s="691"/>
    </row>
    <row r="406">
      <c r="A406" s="691"/>
    </row>
    <row r="407">
      <c r="A407" s="691"/>
    </row>
    <row r="408">
      <c r="A408" s="691"/>
    </row>
    <row r="409">
      <c r="A409" s="691"/>
    </row>
    <row r="410">
      <c r="A410" s="691"/>
    </row>
    <row r="411">
      <c r="A411" s="691"/>
    </row>
    <row r="412">
      <c r="A412" s="691"/>
    </row>
    <row r="413">
      <c r="A413" s="691"/>
    </row>
    <row r="414">
      <c r="A414" s="691"/>
    </row>
    <row r="415">
      <c r="A415" s="691"/>
    </row>
    <row r="416">
      <c r="A416" s="691"/>
    </row>
    <row r="417">
      <c r="A417" s="691"/>
    </row>
    <row r="418">
      <c r="A418" s="691"/>
    </row>
    <row r="419">
      <c r="A419" s="691"/>
    </row>
    <row r="420">
      <c r="A420" s="691"/>
    </row>
    <row r="421">
      <c r="A421" s="691"/>
    </row>
    <row r="422">
      <c r="A422" s="691"/>
    </row>
    <row r="423">
      <c r="A423" s="691"/>
    </row>
    <row r="424">
      <c r="A424" s="691"/>
    </row>
    <row r="425">
      <c r="A425" s="691"/>
    </row>
    <row r="426">
      <c r="A426" s="691"/>
    </row>
    <row r="427">
      <c r="A427" s="691"/>
    </row>
    <row r="428">
      <c r="A428" s="691"/>
    </row>
    <row r="429">
      <c r="A429" s="691"/>
    </row>
    <row r="430">
      <c r="A430" s="691"/>
    </row>
    <row r="431">
      <c r="A431" s="691"/>
    </row>
    <row r="432">
      <c r="A432" s="691"/>
    </row>
    <row r="433">
      <c r="A433" s="691"/>
    </row>
    <row r="434">
      <c r="A434" s="691"/>
    </row>
    <row r="435">
      <c r="A435" s="691"/>
    </row>
    <row r="436">
      <c r="A436" s="691"/>
    </row>
    <row r="437">
      <c r="A437" s="691"/>
    </row>
    <row r="438">
      <c r="A438" s="691"/>
    </row>
    <row r="439">
      <c r="A439" s="691"/>
    </row>
    <row r="440">
      <c r="A440" s="691"/>
    </row>
    <row r="441">
      <c r="A441" s="691"/>
    </row>
    <row r="442">
      <c r="A442" s="691"/>
    </row>
    <row r="443">
      <c r="A443" s="691"/>
    </row>
    <row r="444">
      <c r="A444" s="691"/>
    </row>
    <row r="445">
      <c r="A445" s="691"/>
    </row>
    <row r="446">
      <c r="A446" s="691"/>
    </row>
    <row r="447">
      <c r="A447" s="691"/>
    </row>
    <row r="448">
      <c r="A448" s="691"/>
    </row>
    <row r="449">
      <c r="A449" s="691"/>
    </row>
    <row r="450">
      <c r="A450" s="691"/>
    </row>
    <row r="451">
      <c r="A451" s="691"/>
    </row>
    <row r="452">
      <c r="A452" s="691"/>
    </row>
    <row r="453">
      <c r="A453" s="691"/>
    </row>
    <row r="454">
      <c r="A454" s="691"/>
    </row>
    <row r="455">
      <c r="A455" s="691"/>
    </row>
    <row r="456">
      <c r="A456" s="691"/>
    </row>
    <row r="457">
      <c r="A457" s="691"/>
    </row>
    <row r="458">
      <c r="A458" s="691"/>
    </row>
    <row r="459">
      <c r="A459" s="691"/>
    </row>
    <row r="460">
      <c r="A460" s="691"/>
    </row>
    <row r="461">
      <c r="A461" s="691"/>
    </row>
    <row r="462">
      <c r="A462" s="691"/>
    </row>
    <row r="463">
      <c r="A463" s="691"/>
    </row>
    <row r="464">
      <c r="A464" s="691"/>
    </row>
    <row r="465">
      <c r="A465" s="691"/>
    </row>
    <row r="466">
      <c r="A466" s="691"/>
    </row>
    <row r="467">
      <c r="A467" s="691"/>
    </row>
    <row r="468">
      <c r="A468" s="691"/>
    </row>
    <row r="469">
      <c r="A469" s="691"/>
    </row>
    <row r="470">
      <c r="A470" s="691"/>
    </row>
    <row r="471">
      <c r="A471" s="691"/>
    </row>
    <row r="472">
      <c r="A472" s="691"/>
    </row>
    <row r="473">
      <c r="A473" s="691"/>
    </row>
    <row r="474">
      <c r="A474" s="691"/>
    </row>
    <row r="475">
      <c r="A475" s="691"/>
    </row>
    <row r="476">
      <c r="A476" s="691"/>
    </row>
    <row r="477">
      <c r="A477" s="691"/>
    </row>
    <row r="478">
      <c r="A478" s="691"/>
    </row>
    <row r="479">
      <c r="A479" s="691"/>
    </row>
    <row r="480">
      <c r="A480" s="691"/>
    </row>
    <row r="481">
      <c r="A481" s="691"/>
    </row>
    <row r="482">
      <c r="A482" s="691"/>
    </row>
    <row r="483">
      <c r="A483" s="691"/>
    </row>
    <row r="484">
      <c r="A484" s="691"/>
    </row>
    <row r="485">
      <c r="A485" s="691"/>
    </row>
    <row r="486">
      <c r="A486" s="691"/>
    </row>
    <row r="487">
      <c r="A487" s="691"/>
    </row>
    <row r="488">
      <c r="A488" s="691"/>
    </row>
    <row r="489">
      <c r="A489" s="691"/>
    </row>
    <row r="490">
      <c r="A490" s="691"/>
    </row>
    <row r="491">
      <c r="A491" s="691"/>
    </row>
    <row r="492">
      <c r="A492" s="691"/>
    </row>
    <row r="493">
      <c r="A493" s="691"/>
    </row>
    <row r="494">
      <c r="A494" s="691"/>
    </row>
    <row r="495">
      <c r="A495" s="691"/>
    </row>
    <row r="496">
      <c r="A496" s="691"/>
    </row>
    <row r="497">
      <c r="A497" s="691"/>
    </row>
    <row r="498">
      <c r="A498" s="691"/>
    </row>
    <row r="499">
      <c r="A499" s="691"/>
    </row>
    <row r="500">
      <c r="A500" s="691"/>
    </row>
    <row r="501">
      <c r="A501" s="691"/>
    </row>
    <row r="502">
      <c r="A502" s="691"/>
    </row>
    <row r="503">
      <c r="A503" s="691"/>
    </row>
    <row r="504">
      <c r="A504" s="691"/>
    </row>
    <row r="505">
      <c r="A505" s="691"/>
    </row>
    <row r="506">
      <c r="A506" s="691"/>
    </row>
    <row r="507">
      <c r="A507" s="691"/>
    </row>
    <row r="508">
      <c r="A508" s="691"/>
    </row>
    <row r="509">
      <c r="A509" s="691"/>
    </row>
    <row r="510">
      <c r="A510" s="691"/>
    </row>
    <row r="511">
      <c r="A511" s="691"/>
    </row>
    <row r="512">
      <c r="A512" s="691"/>
    </row>
    <row r="513">
      <c r="A513" s="691"/>
    </row>
    <row r="514">
      <c r="A514" s="691"/>
    </row>
    <row r="515">
      <c r="A515" s="691"/>
    </row>
    <row r="516">
      <c r="A516" s="691"/>
    </row>
    <row r="517">
      <c r="A517" s="691"/>
    </row>
    <row r="518">
      <c r="A518" s="691"/>
    </row>
    <row r="519">
      <c r="A519" s="691"/>
    </row>
    <row r="520">
      <c r="A520" s="691"/>
    </row>
    <row r="521">
      <c r="A521" s="691"/>
    </row>
    <row r="522">
      <c r="A522" s="691"/>
    </row>
    <row r="523">
      <c r="A523" s="691"/>
    </row>
    <row r="524">
      <c r="A524" s="691"/>
    </row>
    <row r="525">
      <c r="A525" s="691"/>
    </row>
    <row r="526">
      <c r="A526" s="691"/>
    </row>
    <row r="527">
      <c r="A527" s="691"/>
    </row>
    <row r="528">
      <c r="A528" s="691"/>
    </row>
    <row r="529">
      <c r="A529" s="691"/>
    </row>
    <row r="530">
      <c r="A530" s="691"/>
    </row>
    <row r="531">
      <c r="A531" s="691"/>
    </row>
    <row r="532">
      <c r="A532" s="691"/>
    </row>
    <row r="533">
      <c r="A533" s="691"/>
    </row>
    <row r="534">
      <c r="A534" s="691"/>
    </row>
    <row r="535">
      <c r="A535" s="691"/>
    </row>
    <row r="536">
      <c r="A536" s="691"/>
    </row>
    <row r="537">
      <c r="A537" s="691"/>
    </row>
    <row r="538">
      <c r="A538" s="691"/>
    </row>
    <row r="539">
      <c r="A539" s="691"/>
    </row>
    <row r="540">
      <c r="A540" s="691"/>
    </row>
    <row r="541">
      <c r="A541" s="691"/>
    </row>
    <row r="542">
      <c r="A542" s="691"/>
    </row>
    <row r="543">
      <c r="A543" s="691"/>
    </row>
    <row r="544">
      <c r="A544" s="691"/>
    </row>
    <row r="545">
      <c r="A545" s="691"/>
    </row>
    <row r="546">
      <c r="A546" s="691"/>
    </row>
    <row r="547">
      <c r="A547" s="691"/>
    </row>
    <row r="548">
      <c r="A548" s="691"/>
    </row>
    <row r="549">
      <c r="A549" s="691"/>
    </row>
    <row r="550">
      <c r="A550" s="691"/>
    </row>
    <row r="551">
      <c r="A551" s="691"/>
    </row>
    <row r="552">
      <c r="A552" s="691"/>
    </row>
    <row r="553">
      <c r="A553" s="691"/>
    </row>
    <row r="554">
      <c r="A554" s="691"/>
    </row>
    <row r="555">
      <c r="A555" s="691"/>
    </row>
    <row r="556">
      <c r="A556" s="691"/>
    </row>
    <row r="557">
      <c r="A557" s="691"/>
    </row>
    <row r="558">
      <c r="A558" s="691"/>
    </row>
    <row r="559">
      <c r="A559" s="691"/>
    </row>
    <row r="560">
      <c r="A560" s="691"/>
    </row>
    <row r="561">
      <c r="A561" s="691"/>
    </row>
    <row r="562">
      <c r="A562" s="691"/>
    </row>
    <row r="563">
      <c r="A563" s="691"/>
    </row>
    <row r="564">
      <c r="A564" s="691"/>
    </row>
    <row r="565">
      <c r="A565" s="691"/>
    </row>
    <row r="566">
      <c r="A566" s="691"/>
    </row>
    <row r="567">
      <c r="A567" s="691"/>
    </row>
    <row r="568">
      <c r="A568" s="691"/>
    </row>
    <row r="569">
      <c r="A569" s="691"/>
    </row>
    <row r="570">
      <c r="A570" s="691"/>
    </row>
    <row r="571">
      <c r="A571" s="691"/>
    </row>
    <row r="572">
      <c r="A572" s="691"/>
    </row>
    <row r="573">
      <c r="A573" s="691"/>
    </row>
    <row r="574">
      <c r="A574" s="691"/>
    </row>
    <row r="575">
      <c r="A575" s="691"/>
    </row>
    <row r="576">
      <c r="A576" s="691"/>
    </row>
    <row r="577">
      <c r="A577" s="691"/>
    </row>
    <row r="578">
      <c r="A578" s="691"/>
    </row>
    <row r="579">
      <c r="A579" s="691"/>
    </row>
    <row r="580">
      <c r="A580" s="691"/>
    </row>
    <row r="581">
      <c r="A581" s="691"/>
    </row>
    <row r="582">
      <c r="A582" s="691"/>
    </row>
    <row r="583">
      <c r="A583" s="691"/>
    </row>
    <row r="584">
      <c r="A584" s="691"/>
    </row>
    <row r="585">
      <c r="A585" s="691"/>
    </row>
    <row r="586">
      <c r="A586" s="691"/>
    </row>
    <row r="587">
      <c r="A587" s="691"/>
    </row>
    <row r="588">
      <c r="A588" s="691"/>
    </row>
    <row r="589">
      <c r="A589" s="691"/>
    </row>
    <row r="590">
      <c r="A590" s="691"/>
    </row>
    <row r="591">
      <c r="A591" s="691"/>
    </row>
    <row r="592">
      <c r="A592" s="691"/>
    </row>
    <row r="593">
      <c r="A593" s="691"/>
    </row>
    <row r="594">
      <c r="A594" s="691"/>
    </row>
    <row r="595">
      <c r="A595" s="691"/>
    </row>
    <row r="596">
      <c r="A596" s="691"/>
    </row>
    <row r="597">
      <c r="A597" s="691"/>
    </row>
    <row r="598">
      <c r="A598" s="691"/>
    </row>
    <row r="599">
      <c r="A599" s="691"/>
    </row>
    <row r="600">
      <c r="A600" s="691"/>
    </row>
    <row r="601">
      <c r="A601" s="691"/>
    </row>
    <row r="602">
      <c r="A602" s="691"/>
    </row>
    <row r="603">
      <c r="A603" s="691"/>
    </row>
    <row r="604">
      <c r="A604" s="691"/>
    </row>
    <row r="605">
      <c r="A605" s="691"/>
    </row>
    <row r="606">
      <c r="A606" s="691"/>
    </row>
    <row r="607">
      <c r="A607" s="691"/>
    </row>
    <row r="608">
      <c r="A608" s="691"/>
    </row>
    <row r="609">
      <c r="A609" s="691"/>
    </row>
    <row r="610">
      <c r="A610" s="691"/>
    </row>
    <row r="611">
      <c r="A611" s="691"/>
    </row>
    <row r="612">
      <c r="A612" s="691"/>
    </row>
    <row r="613">
      <c r="A613" s="691"/>
    </row>
    <row r="614">
      <c r="A614" s="691"/>
    </row>
    <row r="615">
      <c r="A615" s="691"/>
    </row>
    <row r="616">
      <c r="A616" s="691"/>
    </row>
    <row r="617">
      <c r="A617" s="691"/>
    </row>
    <row r="618">
      <c r="A618" s="691"/>
    </row>
    <row r="619">
      <c r="A619" s="691"/>
    </row>
    <row r="620">
      <c r="A620" s="691"/>
    </row>
    <row r="621">
      <c r="A621" s="691"/>
    </row>
    <row r="622">
      <c r="A622" s="691"/>
    </row>
    <row r="623">
      <c r="A623" s="691"/>
    </row>
    <row r="624">
      <c r="A624" s="691"/>
    </row>
    <row r="625">
      <c r="A625" s="691"/>
    </row>
    <row r="626">
      <c r="A626" s="691"/>
    </row>
    <row r="627">
      <c r="A627" s="691"/>
    </row>
    <row r="628">
      <c r="A628" s="691"/>
    </row>
    <row r="629">
      <c r="A629" s="691"/>
    </row>
    <row r="630">
      <c r="A630" s="691"/>
    </row>
    <row r="631">
      <c r="A631" s="691"/>
    </row>
    <row r="632">
      <c r="A632" s="691"/>
    </row>
    <row r="633">
      <c r="A633" s="691"/>
    </row>
    <row r="634">
      <c r="A634" s="691"/>
    </row>
    <row r="635">
      <c r="A635" s="691"/>
    </row>
    <row r="636">
      <c r="A636" s="691"/>
    </row>
    <row r="637">
      <c r="A637" s="691"/>
    </row>
    <row r="638">
      <c r="A638" s="691"/>
    </row>
    <row r="639">
      <c r="A639" s="691"/>
    </row>
    <row r="640">
      <c r="A640" s="691"/>
    </row>
    <row r="641">
      <c r="A641" s="691"/>
    </row>
    <row r="642">
      <c r="A642" s="691"/>
    </row>
    <row r="643">
      <c r="A643" s="691"/>
    </row>
    <row r="644">
      <c r="A644" s="691"/>
    </row>
    <row r="645">
      <c r="A645" s="691"/>
    </row>
    <row r="646">
      <c r="A646" s="691"/>
    </row>
    <row r="647">
      <c r="A647" s="691"/>
    </row>
    <row r="648">
      <c r="A648" s="691"/>
    </row>
    <row r="649">
      <c r="A649" s="691"/>
    </row>
    <row r="650">
      <c r="A650" s="691"/>
    </row>
    <row r="651">
      <c r="A651" s="691"/>
    </row>
    <row r="652">
      <c r="A652" s="691"/>
    </row>
    <row r="653">
      <c r="A653" s="691"/>
    </row>
    <row r="654">
      <c r="A654" s="691"/>
    </row>
    <row r="655">
      <c r="A655" s="691"/>
    </row>
    <row r="656">
      <c r="A656" s="691"/>
    </row>
    <row r="657">
      <c r="A657" s="691"/>
    </row>
    <row r="658">
      <c r="A658" s="691"/>
    </row>
    <row r="659">
      <c r="A659" s="691"/>
    </row>
    <row r="660">
      <c r="A660" s="691"/>
    </row>
    <row r="661">
      <c r="A661" s="691"/>
    </row>
    <row r="662">
      <c r="A662" s="691"/>
    </row>
    <row r="663">
      <c r="A663" s="691"/>
    </row>
    <row r="664">
      <c r="A664" s="691"/>
    </row>
    <row r="665">
      <c r="A665" s="691"/>
    </row>
    <row r="666">
      <c r="A666" s="691"/>
    </row>
    <row r="667">
      <c r="A667" s="691"/>
    </row>
    <row r="668">
      <c r="A668" s="691"/>
    </row>
    <row r="669">
      <c r="A669" s="691"/>
    </row>
    <row r="670">
      <c r="A670" s="691"/>
    </row>
    <row r="671">
      <c r="A671" s="691"/>
    </row>
    <row r="672">
      <c r="A672" s="691"/>
    </row>
    <row r="673">
      <c r="A673" s="691"/>
    </row>
    <row r="674">
      <c r="A674" s="691"/>
    </row>
    <row r="675">
      <c r="A675" s="691"/>
    </row>
    <row r="676">
      <c r="A676" s="691"/>
    </row>
    <row r="677">
      <c r="A677" s="691"/>
    </row>
    <row r="678">
      <c r="A678" s="691"/>
    </row>
    <row r="679">
      <c r="A679" s="691"/>
    </row>
    <row r="680">
      <c r="A680" s="691"/>
    </row>
    <row r="681">
      <c r="A681" s="691"/>
    </row>
    <row r="682">
      <c r="A682" s="691"/>
    </row>
    <row r="683">
      <c r="A683" s="691"/>
    </row>
    <row r="684">
      <c r="A684" s="691"/>
    </row>
    <row r="685">
      <c r="A685" s="691"/>
    </row>
    <row r="686">
      <c r="A686" s="691"/>
    </row>
    <row r="687">
      <c r="A687" s="691"/>
    </row>
    <row r="688">
      <c r="A688" s="691"/>
    </row>
    <row r="689">
      <c r="A689" s="691"/>
    </row>
    <row r="690">
      <c r="A690" s="691"/>
    </row>
    <row r="691">
      <c r="A691" s="691"/>
    </row>
    <row r="692">
      <c r="A692" s="691"/>
    </row>
    <row r="693">
      <c r="A693" s="691"/>
    </row>
    <row r="694">
      <c r="A694" s="691"/>
    </row>
    <row r="695">
      <c r="A695" s="691"/>
    </row>
    <row r="696">
      <c r="A696" s="691"/>
    </row>
    <row r="697">
      <c r="A697" s="691"/>
    </row>
    <row r="698">
      <c r="A698" s="691"/>
    </row>
    <row r="699">
      <c r="A699" s="691"/>
    </row>
    <row r="700">
      <c r="A700" s="691"/>
    </row>
    <row r="701">
      <c r="A701" s="691"/>
    </row>
    <row r="702">
      <c r="A702" s="691"/>
    </row>
    <row r="703">
      <c r="A703" s="691"/>
    </row>
    <row r="704">
      <c r="A704" s="691"/>
    </row>
    <row r="705">
      <c r="A705" s="691"/>
    </row>
    <row r="706">
      <c r="A706" s="691"/>
    </row>
    <row r="707">
      <c r="A707" s="691"/>
    </row>
    <row r="708">
      <c r="A708" s="691"/>
    </row>
    <row r="709">
      <c r="A709" s="691"/>
    </row>
    <row r="710">
      <c r="A710" s="691"/>
    </row>
    <row r="711">
      <c r="A711" s="691"/>
    </row>
    <row r="712">
      <c r="A712" s="691"/>
    </row>
    <row r="713">
      <c r="A713" s="691"/>
    </row>
    <row r="714">
      <c r="A714" s="691"/>
    </row>
    <row r="715">
      <c r="A715" s="691"/>
    </row>
    <row r="716">
      <c r="A716" s="691"/>
    </row>
    <row r="717">
      <c r="A717" s="691"/>
    </row>
    <row r="718">
      <c r="A718" s="691"/>
    </row>
    <row r="719">
      <c r="A719" s="691"/>
    </row>
    <row r="720">
      <c r="A720" s="691"/>
    </row>
    <row r="721">
      <c r="A721" s="691"/>
    </row>
    <row r="722">
      <c r="A722" s="691"/>
    </row>
    <row r="723">
      <c r="A723" s="691"/>
    </row>
    <row r="724">
      <c r="A724" s="691"/>
    </row>
    <row r="725">
      <c r="A725" s="691"/>
    </row>
    <row r="726">
      <c r="A726" s="691"/>
    </row>
    <row r="727">
      <c r="A727" s="691"/>
    </row>
    <row r="728">
      <c r="A728" s="691"/>
    </row>
    <row r="729">
      <c r="A729" s="691"/>
    </row>
    <row r="730">
      <c r="A730" s="691"/>
    </row>
    <row r="731">
      <c r="A731" s="691"/>
    </row>
    <row r="732">
      <c r="A732" s="691"/>
    </row>
    <row r="733">
      <c r="A733" s="691"/>
    </row>
    <row r="734">
      <c r="A734" s="691"/>
    </row>
    <row r="735">
      <c r="A735" s="691"/>
    </row>
    <row r="736">
      <c r="A736" s="691"/>
    </row>
    <row r="737">
      <c r="A737" s="691"/>
    </row>
    <row r="738">
      <c r="A738" s="691"/>
    </row>
    <row r="739">
      <c r="A739" s="691"/>
    </row>
    <row r="740">
      <c r="A740" s="691"/>
    </row>
    <row r="741">
      <c r="A741" s="691"/>
    </row>
    <row r="742">
      <c r="A742" s="691"/>
    </row>
    <row r="743">
      <c r="A743" s="691"/>
    </row>
    <row r="744">
      <c r="A744" s="691"/>
    </row>
    <row r="745">
      <c r="A745" s="691"/>
    </row>
    <row r="746">
      <c r="A746" s="691"/>
    </row>
    <row r="747">
      <c r="A747" s="691"/>
    </row>
    <row r="748">
      <c r="A748" s="691"/>
    </row>
    <row r="749">
      <c r="A749" s="691"/>
    </row>
    <row r="750">
      <c r="A750" s="691"/>
    </row>
    <row r="751">
      <c r="A751" s="691"/>
    </row>
    <row r="752">
      <c r="A752" s="691"/>
    </row>
    <row r="753">
      <c r="A753" s="691"/>
    </row>
    <row r="754">
      <c r="A754" s="691"/>
    </row>
    <row r="755">
      <c r="A755" s="691"/>
    </row>
    <row r="756">
      <c r="A756" s="691"/>
    </row>
    <row r="757">
      <c r="A757" s="691"/>
    </row>
    <row r="758">
      <c r="A758" s="691"/>
    </row>
    <row r="759">
      <c r="A759" s="691"/>
    </row>
    <row r="760">
      <c r="A760" s="691"/>
    </row>
    <row r="761">
      <c r="A761" s="691"/>
    </row>
    <row r="762">
      <c r="A762" s="691"/>
    </row>
    <row r="763">
      <c r="A763" s="691"/>
    </row>
    <row r="764">
      <c r="A764" s="691"/>
    </row>
    <row r="765">
      <c r="A765" s="691"/>
    </row>
    <row r="766">
      <c r="A766" s="691"/>
    </row>
    <row r="767">
      <c r="A767" s="691"/>
    </row>
    <row r="768">
      <c r="A768" s="691"/>
    </row>
    <row r="769">
      <c r="A769" s="691"/>
    </row>
    <row r="770">
      <c r="A770" s="691"/>
    </row>
    <row r="771">
      <c r="A771" s="691"/>
    </row>
    <row r="772">
      <c r="A772" s="691"/>
    </row>
    <row r="773">
      <c r="A773" s="691"/>
    </row>
    <row r="774">
      <c r="A774" s="691"/>
    </row>
    <row r="775">
      <c r="A775" s="691"/>
    </row>
    <row r="776">
      <c r="A776" s="691"/>
    </row>
    <row r="777">
      <c r="A777" s="691"/>
    </row>
    <row r="778">
      <c r="A778" s="691"/>
    </row>
    <row r="779">
      <c r="A779" s="691"/>
    </row>
    <row r="780">
      <c r="A780" s="691"/>
    </row>
    <row r="781">
      <c r="A781" s="691"/>
    </row>
    <row r="782">
      <c r="A782" s="691"/>
    </row>
    <row r="783">
      <c r="A783" s="691"/>
    </row>
    <row r="784">
      <c r="A784" s="691"/>
    </row>
    <row r="785">
      <c r="A785" s="691"/>
    </row>
    <row r="786">
      <c r="A786" s="691"/>
    </row>
    <row r="787">
      <c r="A787" s="691"/>
    </row>
    <row r="788">
      <c r="A788" s="691"/>
    </row>
    <row r="789">
      <c r="A789" s="691"/>
    </row>
    <row r="790">
      <c r="A790" s="691"/>
    </row>
    <row r="791">
      <c r="A791" s="691"/>
    </row>
    <row r="792">
      <c r="A792" s="691"/>
    </row>
    <row r="793">
      <c r="A793" s="691"/>
    </row>
    <row r="794">
      <c r="A794" s="691"/>
    </row>
    <row r="795">
      <c r="A795" s="691"/>
    </row>
    <row r="796">
      <c r="A796" s="691"/>
    </row>
    <row r="797">
      <c r="A797" s="691"/>
    </row>
    <row r="798">
      <c r="A798" s="691"/>
    </row>
    <row r="799">
      <c r="A799" s="691"/>
    </row>
    <row r="800">
      <c r="A800" s="691"/>
    </row>
    <row r="801">
      <c r="A801" s="691"/>
    </row>
    <row r="802">
      <c r="A802" s="691"/>
    </row>
    <row r="803">
      <c r="A803" s="691"/>
    </row>
    <row r="804">
      <c r="A804" s="691"/>
    </row>
    <row r="805">
      <c r="A805" s="691"/>
    </row>
    <row r="806">
      <c r="A806" s="691"/>
    </row>
    <row r="807">
      <c r="A807" s="691"/>
    </row>
    <row r="808">
      <c r="A808" s="691"/>
    </row>
    <row r="809">
      <c r="A809" s="691"/>
    </row>
    <row r="810">
      <c r="A810" s="691"/>
    </row>
    <row r="811">
      <c r="A811" s="691"/>
    </row>
    <row r="812">
      <c r="A812" s="691"/>
    </row>
    <row r="813">
      <c r="A813" s="691"/>
    </row>
    <row r="814">
      <c r="A814" s="691"/>
    </row>
    <row r="815">
      <c r="A815" s="691"/>
    </row>
    <row r="816">
      <c r="A816" s="691"/>
    </row>
    <row r="817">
      <c r="A817" s="691"/>
    </row>
    <row r="818">
      <c r="A818" s="691"/>
    </row>
    <row r="819">
      <c r="A819" s="691"/>
    </row>
    <row r="820">
      <c r="A820" s="691"/>
    </row>
    <row r="821">
      <c r="A821" s="691"/>
    </row>
    <row r="822">
      <c r="A822" s="691"/>
    </row>
    <row r="823">
      <c r="A823" s="691"/>
    </row>
    <row r="824">
      <c r="A824" s="691"/>
    </row>
    <row r="825">
      <c r="A825" s="691"/>
    </row>
    <row r="826">
      <c r="A826" s="691"/>
    </row>
    <row r="827">
      <c r="A827" s="691"/>
    </row>
    <row r="828">
      <c r="A828" s="691"/>
    </row>
    <row r="829">
      <c r="A829" s="691"/>
    </row>
    <row r="830">
      <c r="A830" s="691"/>
    </row>
    <row r="831">
      <c r="A831" s="691"/>
    </row>
    <row r="832">
      <c r="A832" s="691"/>
    </row>
    <row r="833">
      <c r="A833" s="691"/>
    </row>
    <row r="834">
      <c r="A834" s="691"/>
    </row>
    <row r="835">
      <c r="A835" s="691"/>
    </row>
    <row r="836">
      <c r="A836" s="691"/>
    </row>
    <row r="837">
      <c r="A837" s="691"/>
    </row>
    <row r="838">
      <c r="A838" s="691"/>
    </row>
    <row r="839">
      <c r="A839" s="691"/>
    </row>
    <row r="840">
      <c r="A840" s="691"/>
    </row>
    <row r="841">
      <c r="A841" s="691"/>
    </row>
    <row r="842">
      <c r="A842" s="691"/>
    </row>
    <row r="843">
      <c r="A843" s="691"/>
    </row>
    <row r="844">
      <c r="A844" s="691"/>
    </row>
    <row r="845">
      <c r="A845" s="691"/>
    </row>
    <row r="846">
      <c r="A846" s="691"/>
    </row>
    <row r="847">
      <c r="A847" s="691"/>
    </row>
    <row r="848">
      <c r="A848" s="691"/>
    </row>
    <row r="849">
      <c r="A849" s="691"/>
    </row>
    <row r="850">
      <c r="A850" s="691"/>
    </row>
    <row r="851">
      <c r="A851" s="691"/>
    </row>
    <row r="852">
      <c r="A852" s="691"/>
    </row>
    <row r="853">
      <c r="A853" s="691"/>
    </row>
    <row r="854">
      <c r="A854" s="691"/>
    </row>
    <row r="855">
      <c r="A855" s="691"/>
    </row>
    <row r="856">
      <c r="A856" s="691"/>
    </row>
    <row r="857">
      <c r="A857" s="691"/>
    </row>
    <row r="858">
      <c r="A858" s="691"/>
    </row>
    <row r="859">
      <c r="A859" s="691"/>
    </row>
    <row r="860">
      <c r="A860" s="691"/>
    </row>
    <row r="861">
      <c r="A861" s="691"/>
    </row>
    <row r="862">
      <c r="A862" s="691"/>
    </row>
    <row r="863">
      <c r="A863" s="691"/>
    </row>
    <row r="864">
      <c r="A864" s="691"/>
    </row>
    <row r="865">
      <c r="A865" s="691"/>
    </row>
    <row r="866">
      <c r="A866" s="691"/>
    </row>
    <row r="867">
      <c r="A867" s="691"/>
    </row>
    <row r="868">
      <c r="A868" s="691"/>
    </row>
    <row r="869">
      <c r="A869" s="691"/>
    </row>
    <row r="870">
      <c r="A870" s="691"/>
    </row>
    <row r="871">
      <c r="A871" s="691"/>
    </row>
    <row r="872">
      <c r="A872" s="691"/>
    </row>
    <row r="873">
      <c r="A873" s="691"/>
    </row>
    <row r="874">
      <c r="A874" s="691"/>
    </row>
    <row r="875">
      <c r="A875" s="691"/>
    </row>
    <row r="876">
      <c r="A876" s="691"/>
    </row>
    <row r="877">
      <c r="A877" s="691"/>
    </row>
    <row r="878">
      <c r="A878" s="691"/>
    </row>
    <row r="879">
      <c r="A879" s="691"/>
    </row>
    <row r="880">
      <c r="A880" s="691"/>
    </row>
    <row r="881">
      <c r="A881" s="691"/>
    </row>
    <row r="882">
      <c r="A882" s="691"/>
    </row>
    <row r="883">
      <c r="A883" s="691"/>
    </row>
    <row r="884">
      <c r="A884" s="691"/>
    </row>
    <row r="885">
      <c r="A885" s="691"/>
    </row>
    <row r="886">
      <c r="A886" s="691"/>
    </row>
    <row r="887">
      <c r="A887" s="691"/>
    </row>
    <row r="888">
      <c r="A888" s="691"/>
    </row>
    <row r="889">
      <c r="A889" s="691"/>
    </row>
    <row r="890">
      <c r="A890" s="691"/>
    </row>
    <row r="891">
      <c r="A891" s="691"/>
    </row>
    <row r="892">
      <c r="A892" s="691"/>
    </row>
    <row r="893">
      <c r="A893" s="691"/>
    </row>
    <row r="894">
      <c r="A894" s="691"/>
    </row>
    <row r="895">
      <c r="A895" s="691"/>
    </row>
    <row r="896">
      <c r="A896" s="691"/>
    </row>
    <row r="897">
      <c r="A897" s="691"/>
    </row>
    <row r="898">
      <c r="A898" s="691"/>
    </row>
    <row r="899">
      <c r="A899" s="691"/>
    </row>
    <row r="900">
      <c r="A900" s="691"/>
    </row>
    <row r="901">
      <c r="A901" s="691"/>
    </row>
    <row r="902">
      <c r="A902" s="691"/>
    </row>
    <row r="903">
      <c r="A903" s="691"/>
    </row>
    <row r="904">
      <c r="A904" s="691"/>
    </row>
    <row r="905">
      <c r="A905" s="691"/>
    </row>
    <row r="906">
      <c r="A906" s="691"/>
    </row>
    <row r="907">
      <c r="A907" s="691"/>
    </row>
    <row r="908">
      <c r="A908" s="691"/>
    </row>
    <row r="909">
      <c r="A909" s="691"/>
    </row>
    <row r="910">
      <c r="A910" s="691"/>
    </row>
    <row r="911">
      <c r="A911" s="691"/>
    </row>
    <row r="912">
      <c r="A912" s="691"/>
    </row>
    <row r="913">
      <c r="A913" s="691"/>
    </row>
    <row r="914">
      <c r="A914" s="691"/>
    </row>
    <row r="915">
      <c r="A915" s="691"/>
    </row>
    <row r="916">
      <c r="A916" s="691"/>
    </row>
    <row r="917">
      <c r="A917" s="691"/>
    </row>
    <row r="918">
      <c r="A918" s="691"/>
    </row>
    <row r="919">
      <c r="A919" s="691"/>
    </row>
    <row r="920">
      <c r="A920" s="691"/>
    </row>
    <row r="921">
      <c r="A921" s="691"/>
    </row>
    <row r="922">
      <c r="A922" s="691"/>
    </row>
    <row r="923">
      <c r="A923" s="691"/>
    </row>
    <row r="924">
      <c r="A924" s="691"/>
    </row>
    <row r="925">
      <c r="A925" s="691"/>
    </row>
    <row r="926">
      <c r="A926" s="691"/>
    </row>
    <row r="927">
      <c r="A927" s="691"/>
    </row>
    <row r="928">
      <c r="A928" s="691"/>
    </row>
    <row r="929">
      <c r="A929" s="691"/>
    </row>
    <row r="930">
      <c r="A930" s="691"/>
    </row>
    <row r="931">
      <c r="A931" s="691"/>
    </row>
    <row r="932">
      <c r="A932" s="691"/>
    </row>
    <row r="933">
      <c r="A933" s="691"/>
    </row>
    <row r="934">
      <c r="A934" s="691"/>
    </row>
    <row r="935">
      <c r="A935" s="691"/>
    </row>
    <row r="936">
      <c r="A936" s="691"/>
    </row>
    <row r="937">
      <c r="A937" s="691"/>
    </row>
    <row r="938">
      <c r="A938" s="691"/>
    </row>
    <row r="939">
      <c r="A939" s="691"/>
    </row>
    <row r="940">
      <c r="A940" s="691"/>
    </row>
    <row r="941">
      <c r="A941" s="691"/>
    </row>
    <row r="942">
      <c r="A942" s="691"/>
    </row>
    <row r="943">
      <c r="A943" s="691"/>
    </row>
    <row r="944">
      <c r="A944" s="691"/>
    </row>
    <row r="945">
      <c r="A945" s="691"/>
    </row>
    <row r="946">
      <c r="A946" s="691"/>
    </row>
    <row r="947">
      <c r="A947" s="691"/>
    </row>
    <row r="948">
      <c r="A948" s="691"/>
    </row>
    <row r="949">
      <c r="A949" s="691"/>
    </row>
    <row r="950">
      <c r="A950" s="691"/>
    </row>
    <row r="951">
      <c r="A951" s="691"/>
    </row>
    <row r="952">
      <c r="A952" s="691"/>
    </row>
    <row r="953">
      <c r="A953" s="691"/>
    </row>
    <row r="954">
      <c r="A954" s="691"/>
    </row>
    <row r="955">
      <c r="A955" s="691"/>
    </row>
    <row r="956">
      <c r="A956" s="691"/>
    </row>
    <row r="957">
      <c r="A957" s="691"/>
    </row>
    <row r="958">
      <c r="A958" s="691"/>
    </row>
    <row r="959">
      <c r="A959" s="691"/>
    </row>
    <row r="960">
      <c r="A960" s="691"/>
    </row>
    <row r="961">
      <c r="A961" s="691"/>
    </row>
    <row r="962">
      <c r="A962" s="691"/>
    </row>
    <row r="963">
      <c r="A963" s="691"/>
    </row>
    <row r="964">
      <c r="A964" s="691"/>
    </row>
    <row r="965">
      <c r="A965" s="691"/>
    </row>
    <row r="966">
      <c r="A966" s="691"/>
    </row>
    <row r="967">
      <c r="A967" s="691"/>
    </row>
    <row r="968">
      <c r="A968" s="691"/>
    </row>
    <row r="969">
      <c r="A969" s="691"/>
    </row>
    <row r="970">
      <c r="A970" s="691"/>
    </row>
    <row r="971">
      <c r="A971" s="691"/>
    </row>
    <row r="972">
      <c r="A972" s="691"/>
    </row>
    <row r="973">
      <c r="A973" s="691"/>
    </row>
    <row r="974">
      <c r="A974" s="691"/>
    </row>
    <row r="975">
      <c r="A975" s="691"/>
    </row>
    <row r="976">
      <c r="A976" s="691"/>
    </row>
    <row r="977">
      <c r="A977" s="691"/>
    </row>
    <row r="978">
      <c r="A978" s="691"/>
    </row>
    <row r="979">
      <c r="A979" s="691"/>
    </row>
    <row r="980">
      <c r="A980" s="691"/>
    </row>
    <row r="981">
      <c r="A981" s="691"/>
    </row>
    <row r="982">
      <c r="A982" s="691"/>
    </row>
    <row r="983">
      <c r="A983" s="691"/>
    </row>
    <row r="984">
      <c r="A984" s="691"/>
    </row>
    <row r="985">
      <c r="A985" s="691"/>
    </row>
    <row r="986">
      <c r="A986" s="691"/>
    </row>
    <row r="987">
      <c r="A987" s="691"/>
    </row>
    <row r="988">
      <c r="A988" s="691"/>
    </row>
    <row r="989">
      <c r="A989" s="691"/>
    </row>
    <row r="990">
      <c r="A990" s="691"/>
    </row>
    <row r="991">
      <c r="A991" s="691"/>
    </row>
    <row r="992">
      <c r="A992" s="691"/>
    </row>
    <row r="993">
      <c r="A993" s="691"/>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7"/>
    <col customWidth="1" min="2" max="2" width="9.0"/>
    <col customWidth="1" min="3" max="3" width="35.14"/>
    <col customWidth="1" min="4" max="8" width="13.0"/>
    <col customWidth="1" min="9" max="12" width="9.57"/>
  </cols>
  <sheetData>
    <row r="1" ht="33.75" customHeight="1">
      <c r="A1" s="692" t="s">
        <v>2159</v>
      </c>
      <c r="I1" s="693"/>
      <c r="J1" s="693"/>
      <c r="K1" s="693"/>
      <c r="L1" s="693"/>
    </row>
    <row r="2">
      <c r="A2" s="694" t="s">
        <v>2160</v>
      </c>
      <c r="B2" s="695"/>
      <c r="C2" s="695"/>
      <c r="D2" s="695">
        <v>2022.0</v>
      </c>
      <c r="E2" s="696">
        <v>2023.0</v>
      </c>
      <c r="F2" s="695">
        <v>2024.0</v>
      </c>
      <c r="G2" s="696">
        <v>2025.0</v>
      </c>
      <c r="H2" s="695">
        <v>2026.0</v>
      </c>
      <c r="I2" s="693" t="s">
        <v>2161</v>
      </c>
    </row>
    <row r="3">
      <c r="A3" s="341"/>
      <c r="B3" s="697" t="s">
        <v>2162</v>
      </c>
      <c r="C3" s="698"/>
      <c r="D3" s="699">
        <v>4000.0</v>
      </c>
      <c r="E3" s="699">
        <v>6000.0</v>
      </c>
      <c r="F3" s="699">
        <v>6500.0</v>
      </c>
      <c r="G3" s="699">
        <v>6500.0</v>
      </c>
      <c r="H3" s="699">
        <v>6500.0</v>
      </c>
      <c r="I3" s="700" t="s">
        <v>2163</v>
      </c>
    </row>
    <row r="4">
      <c r="A4" s="341"/>
      <c r="B4" s="697" t="s">
        <v>2164</v>
      </c>
      <c r="C4" s="698"/>
      <c r="D4" s="699">
        <v>3000.0</v>
      </c>
      <c r="E4" s="699">
        <v>3600.0</v>
      </c>
      <c r="F4" s="699">
        <v>3600.0</v>
      </c>
      <c r="G4" s="699">
        <v>3600.0</v>
      </c>
      <c r="H4" s="699">
        <v>3600.0</v>
      </c>
      <c r="I4" s="700" t="s">
        <v>2165</v>
      </c>
    </row>
    <row r="5">
      <c r="A5" s="341"/>
      <c r="B5" s="697" t="s">
        <v>2166</v>
      </c>
      <c r="C5" s="698"/>
      <c r="D5" s="699">
        <v>1000.0</v>
      </c>
      <c r="E5" s="699">
        <v>1000.0</v>
      </c>
      <c r="F5" s="699">
        <v>1000.0</v>
      </c>
      <c r="G5" s="699">
        <v>1000.0</v>
      </c>
      <c r="H5" s="699">
        <v>1000.0</v>
      </c>
      <c r="I5" s="700" t="s">
        <v>2167</v>
      </c>
    </row>
    <row r="6">
      <c r="A6" s="341"/>
      <c r="B6" s="701" t="s">
        <v>2168</v>
      </c>
      <c r="C6" s="702"/>
      <c r="D6" s="703">
        <f t="shared" ref="D6:H6" si="1">SUM(D3:D5)</f>
        <v>8000</v>
      </c>
      <c r="E6" s="703">
        <f t="shared" si="1"/>
        <v>10600</v>
      </c>
      <c r="F6" s="703">
        <f t="shared" si="1"/>
        <v>11100</v>
      </c>
      <c r="G6" s="703">
        <f t="shared" si="1"/>
        <v>11100</v>
      </c>
      <c r="H6" s="703">
        <f t="shared" si="1"/>
        <v>11100</v>
      </c>
      <c r="I6" s="700" t="s">
        <v>2169</v>
      </c>
    </row>
    <row r="7">
      <c r="A7" s="341"/>
      <c r="B7" s="697" t="s">
        <v>2170</v>
      </c>
      <c r="C7" s="698"/>
      <c r="D7" s="698"/>
      <c r="E7" s="698"/>
      <c r="F7" s="698"/>
      <c r="G7" s="698"/>
      <c r="H7" s="704"/>
      <c r="I7" s="693" t="s">
        <v>2171</v>
      </c>
    </row>
    <row r="8">
      <c r="A8" s="705"/>
    </row>
    <row r="9">
      <c r="A9" s="706" t="s">
        <v>2172</v>
      </c>
      <c r="B9" s="707" t="s">
        <v>2173</v>
      </c>
      <c r="D9" s="707">
        <f t="shared" ref="D9:H9" si="2">D2</f>
        <v>2022</v>
      </c>
      <c r="E9" s="707">
        <f t="shared" si="2"/>
        <v>2023</v>
      </c>
      <c r="F9" s="707">
        <f t="shared" si="2"/>
        <v>2024</v>
      </c>
      <c r="G9" s="707">
        <f t="shared" si="2"/>
        <v>2025</v>
      </c>
      <c r="H9" s="707">
        <f t="shared" si="2"/>
        <v>2026</v>
      </c>
      <c r="I9" s="708"/>
      <c r="J9" s="708"/>
      <c r="K9" s="708"/>
      <c r="L9" s="708"/>
    </row>
    <row r="10">
      <c r="A10" s="709"/>
      <c r="B10" s="710" t="s">
        <v>2174</v>
      </c>
      <c r="D10" s="711"/>
      <c r="E10" s="711"/>
      <c r="F10" s="711"/>
      <c r="G10" s="711"/>
      <c r="H10" s="711"/>
      <c r="I10" s="712"/>
      <c r="J10" s="712"/>
      <c r="K10" s="712"/>
      <c r="L10" s="712"/>
    </row>
    <row r="11">
      <c r="A11" s="709"/>
      <c r="B11" s="710" t="s">
        <v>2175</v>
      </c>
      <c r="D11" s="713"/>
      <c r="E11" s="713"/>
      <c r="F11" s="713"/>
      <c r="G11" s="713"/>
      <c r="H11" s="713"/>
      <c r="I11" s="712"/>
      <c r="J11" s="712"/>
      <c r="K11" s="712"/>
      <c r="L11" s="712"/>
    </row>
    <row r="12">
      <c r="A12" s="709"/>
      <c r="B12" s="710" t="s">
        <v>2176</v>
      </c>
      <c r="D12" s="713"/>
      <c r="E12" s="713"/>
      <c r="F12" s="713"/>
      <c r="G12" s="713"/>
      <c r="H12" s="713"/>
      <c r="I12" s="712"/>
      <c r="J12" s="712"/>
      <c r="K12" s="712"/>
      <c r="L12" s="712"/>
    </row>
    <row r="13">
      <c r="A13" s="709"/>
      <c r="B13" s="710" t="s">
        <v>2177</v>
      </c>
      <c r="D13" s="711"/>
      <c r="E13" s="711"/>
      <c r="F13" s="711"/>
      <c r="G13" s="711"/>
      <c r="H13" s="711"/>
      <c r="I13" s="712"/>
      <c r="J13" s="712"/>
      <c r="K13" s="712"/>
      <c r="L13" s="712"/>
    </row>
    <row r="14">
      <c r="A14" s="709"/>
      <c r="B14" s="710" t="s">
        <v>2178</v>
      </c>
      <c r="D14" s="711"/>
      <c r="E14" s="711"/>
      <c r="F14" s="711"/>
      <c r="G14" s="711"/>
      <c r="H14" s="711"/>
      <c r="I14" s="712"/>
      <c r="J14" s="712"/>
      <c r="K14" s="712"/>
      <c r="L14" s="712"/>
    </row>
    <row r="15">
      <c r="A15" s="709"/>
      <c r="B15" s="710" t="s">
        <v>2179</v>
      </c>
      <c r="D15" s="713"/>
      <c r="E15" s="713"/>
      <c r="F15" s="713"/>
      <c r="G15" s="713"/>
      <c r="H15" s="713"/>
      <c r="I15" s="712"/>
      <c r="J15" s="712"/>
      <c r="K15" s="712"/>
      <c r="L15" s="712"/>
    </row>
    <row r="16">
      <c r="A16" s="709"/>
      <c r="B16" s="710" t="s">
        <v>2180</v>
      </c>
      <c r="D16" s="713"/>
      <c r="E16" s="713"/>
      <c r="F16" s="713"/>
      <c r="G16" s="713"/>
      <c r="H16" s="713"/>
      <c r="I16" s="712"/>
      <c r="J16" s="712"/>
      <c r="K16" s="712"/>
      <c r="L16" s="712"/>
    </row>
    <row r="17">
      <c r="A17" s="709"/>
      <c r="B17" s="714" t="s">
        <v>2181</v>
      </c>
      <c r="D17" s="715">
        <f t="shared" ref="D17:H17" si="3">SUM(D10:D16)</f>
        <v>0</v>
      </c>
      <c r="E17" s="715">
        <f t="shared" si="3"/>
        <v>0</v>
      </c>
      <c r="F17" s="715">
        <f t="shared" si="3"/>
        <v>0</v>
      </c>
      <c r="G17" s="715">
        <f t="shared" si="3"/>
        <v>0</v>
      </c>
      <c r="H17" s="715">
        <f t="shared" si="3"/>
        <v>0</v>
      </c>
      <c r="I17" s="712"/>
      <c r="J17" s="712"/>
      <c r="K17" s="712"/>
      <c r="L17" s="712"/>
    </row>
    <row r="18">
      <c r="A18" s="709"/>
      <c r="B18" s="716"/>
      <c r="C18" s="716"/>
      <c r="D18" s="716"/>
      <c r="E18" s="716"/>
      <c r="F18" s="716"/>
      <c r="G18" s="716"/>
      <c r="H18" s="717"/>
      <c r="I18" s="716"/>
      <c r="J18" s="716"/>
      <c r="K18" s="716"/>
      <c r="L18" s="717"/>
    </row>
    <row r="19">
      <c r="A19" s="709"/>
      <c r="B19" s="718" t="s">
        <v>2182</v>
      </c>
      <c r="D19" s="719" t="s">
        <v>2183</v>
      </c>
      <c r="E19" s="719" t="s">
        <v>2184</v>
      </c>
      <c r="F19" s="719" t="s">
        <v>2185</v>
      </c>
      <c r="G19" s="719" t="s">
        <v>2186</v>
      </c>
      <c r="H19" s="719" t="s">
        <v>2187</v>
      </c>
      <c r="I19" s="693" t="s">
        <v>2188</v>
      </c>
    </row>
    <row r="20">
      <c r="A20" s="709"/>
      <c r="B20" s="720" t="s">
        <v>2189</v>
      </c>
      <c r="C20" s="720"/>
      <c r="D20" s="721"/>
      <c r="E20" s="721"/>
      <c r="F20" s="721"/>
      <c r="G20" s="721"/>
      <c r="H20" s="721"/>
      <c r="I20" s="700" t="s">
        <v>2190</v>
      </c>
    </row>
    <row r="21">
      <c r="A21" s="709"/>
      <c r="B21" s="722" t="s">
        <v>2191</v>
      </c>
      <c r="C21" s="722"/>
      <c r="D21" s="723">
        <v>0.18</v>
      </c>
      <c r="E21" s="723">
        <v>0.16</v>
      </c>
      <c r="F21" s="723">
        <v>0.16</v>
      </c>
      <c r="G21" s="723">
        <v>0.2</v>
      </c>
      <c r="H21" s="723">
        <v>0.2</v>
      </c>
      <c r="I21" s="700" t="s">
        <v>2192</v>
      </c>
    </row>
    <row r="22">
      <c r="A22" s="709"/>
      <c r="B22" s="720" t="s">
        <v>2193</v>
      </c>
      <c r="C22" s="720"/>
      <c r="D22" s="721"/>
      <c r="E22" s="721"/>
      <c r="F22" s="721"/>
      <c r="G22" s="721"/>
      <c r="H22" s="721"/>
      <c r="I22" s="700" t="s">
        <v>2194</v>
      </c>
    </row>
    <row r="23">
      <c r="A23" s="709"/>
      <c r="B23" s="720" t="s">
        <v>2195</v>
      </c>
      <c r="C23" s="720"/>
      <c r="D23" s="721"/>
      <c r="E23" s="721"/>
      <c r="F23" s="721"/>
      <c r="G23" s="721"/>
      <c r="H23" s="721"/>
      <c r="I23" s="700" t="s">
        <v>2196</v>
      </c>
    </row>
    <row r="24">
      <c r="A24" s="213"/>
      <c r="B24" s="720" t="s">
        <v>2197</v>
      </c>
      <c r="C24" s="720"/>
      <c r="D24" s="721"/>
      <c r="E24" s="721"/>
      <c r="F24" s="721"/>
      <c r="G24" s="721"/>
      <c r="H24" s="721"/>
      <c r="I24" s="724" t="s">
        <v>2198</v>
      </c>
    </row>
    <row r="25">
      <c r="A25" s="725"/>
      <c r="I25" s="724"/>
      <c r="J25" s="724"/>
      <c r="K25" s="724"/>
      <c r="L25" s="724"/>
    </row>
    <row r="26">
      <c r="A26" s="725"/>
      <c r="B26" s="708" t="s">
        <v>2199</v>
      </c>
      <c r="D26" s="708" t="s">
        <v>2183</v>
      </c>
      <c r="E26" s="708" t="s">
        <v>2184</v>
      </c>
      <c r="F26" s="708" t="s">
        <v>2185</v>
      </c>
      <c r="G26" s="708" t="s">
        <v>2186</v>
      </c>
      <c r="H26" s="708" t="s">
        <v>2187</v>
      </c>
      <c r="I26" s="724"/>
      <c r="J26" s="724"/>
      <c r="K26" s="724"/>
      <c r="L26" s="724"/>
    </row>
    <row r="27">
      <c r="A27" s="725"/>
      <c r="B27" s="726" t="s">
        <v>2200</v>
      </c>
      <c r="C27" s="726"/>
      <c r="D27" s="712"/>
      <c r="E27" s="712"/>
      <c r="F27" s="712"/>
      <c r="G27" s="712"/>
      <c r="H27" s="712"/>
      <c r="I27" s="724"/>
      <c r="J27" s="724"/>
      <c r="K27" s="724"/>
      <c r="L27" s="724"/>
    </row>
    <row r="28">
      <c r="A28" s="725"/>
      <c r="B28" s="727" t="s">
        <v>2201</v>
      </c>
      <c r="C28" s="727"/>
      <c r="D28" s="712"/>
      <c r="E28" s="712"/>
      <c r="F28" s="712"/>
      <c r="G28" s="712"/>
      <c r="H28" s="712"/>
      <c r="I28" s="724"/>
      <c r="J28" s="724"/>
      <c r="K28" s="724"/>
      <c r="L28" s="724"/>
    </row>
    <row r="29">
      <c r="A29" s="725"/>
      <c r="B29" s="726" t="s">
        <v>2202</v>
      </c>
      <c r="C29" s="726"/>
      <c r="D29" s="712"/>
      <c r="E29" s="712"/>
      <c r="F29" s="712"/>
      <c r="G29" s="712"/>
      <c r="H29" s="712"/>
      <c r="I29" s="724"/>
      <c r="J29" s="724"/>
      <c r="K29" s="724"/>
      <c r="L29" s="724"/>
    </row>
    <row r="30">
      <c r="A30" s="725"/>
      <c r="B30" s="726" t="s">
        <v>2203</v>
      </c>
      <c r="C30" s="726"/>
      <c r="D30" s="712"/>
      <c r="E30" s="712"/>
      <c r="F30" s="712"/>
      <c r="G30" s="712"/>
      <c r="H30" s="712"/>
      <c r="I30" s="724"/>
      <c r="J30" s="724"/>
      <c r="K30" s="724"/>
      <c r="L30" s="724"/>
    </row>
    <row r="31">
      <c r="A31" s="725"/>
      <c r="B31" s="728" t="s">
        <v>2204</v>
      </c>
      <c r="C31" s="728"/>
      <c r="D31" s="712"/>
      <c r="E31" s="712"/>
      <c r="F31" s="712"/>
      <c r="G31" s="712"/>
      <c r="H31" s="712"/>
      <c r="I31" s="724"/>
      <c r="J31" s="724"/>
      <c r="K31" s="724"/>
      <c r="L31" s="724"/>
    </row>
    <row r="32">
      <c r="A32" s="725"/>
      <c r="B32" s="726" t="s">
        <v>2205</v>
      </c>
      <c r="C32" s="726"/>
      <c r="D32" s="712"/>
      <c r="E32" s="712"/>
      <c r="F32" s="712"/>
      <c r="G32" s="712"/>
      <c r="H32" s="712"/>
      <c r="I32" s="724"/>
      <c r="J32" s="724"/>
      <c r="K32" s="724"/>
      <c r="L32" s="724"/>
    </row>
    <row r="33">
      <c r="A33" s="725"/>
      <c r="B33" s="726" t="s">
        <v>2206</v>
      </c>
      <c r="C33" s="726"/>
      <c r="D33" s="712"/>
      <c r="E33" s="712"/>
      <c r="F33" s="712"/>
      <c r="G33" s="712"/>
      <c r="H33" s="712"/>
      <c r="I33" s="724"/>
      <c r="J33" s="724"/>
      <c r="K33" s="724"/>
      <c r="L33" s="724"/>
    </row>
    <row r="34">
      <c r="A34" s="725"/>
      <c r="B34" s="726" t="s">
        <v>2207</v>
      </c>
      <c r="C34" s="726"/>
      <c r="D34" s="712"/>
      <c r="E34" s="712"/>
      <c r="F34" s="712"/>
      <c r="G34" s="712"/>
      <c r="H34" s="712"/>
      <c r="I34" s="724"/>
      <c r="J34" s="724"/>
      <c r="K34" s="724"/>
      <c r="L34" s="724"/>
    </row>
  </sheetData>
  <mergeCells count="29">
    <mergeCell ref="A1:H1"/>
    <mergeCell ref="A2:A7"/>
    <mergeCell ref="I2:L2"/>
    <mergeCell ref="I3:L3"/>
    <mergeCell ref="I4:L4"/>
    <mergeCell ref="I5:L5"/>
    <mergeCell ref="I6:L6"/>
    <mergeCell ref="I7:L7"/>
    <mergeCell ref="B8:H8"/>
    <mergeCell ref="I8:L8"/>
    <mergeCell ref="A9:A24"/>
    <mergeCell ref="B9:C9"/>
    <mergeCell ref="B10:C10"/>
    <mergeCell ref="B11:C11"/>
    <mergeCell ref="B12:C12"/>
    <mergeCell ref="B13:C13"/>
    <mergeCell ref="B14:C14"/>
    <mergeCell ref="B15:C15"/>
    <mergeCell ref="B16:C16"/>
    <mergeCell ref="B17:C17"/>
    <mergeCell ref="B19:C19"/>
    <mergeCell ref="I19:L19"/>
    <mergeCell ref="I20:L20"/>
    <mergeCell ref="I21:L21"/>
    <mergeCell ref="I22:L22"/>
    <mergeCell ref="I23:L23"/>
    <mergeCell ref="I24:L24"/>
    <mergeCell ref="B25:H25"/>
    <mergeCell ref="B26:C26"/>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outlineLevelCol="1"/>
  <cols>
    <col customWidth="1" min="1" max="1" width="9.29"/>
    <col customWidth="1" min="2" max="2" width="10.29" outlineLevel="1"/>
    <col customWidth="1" min="3" max="3" width="8.57" outlineLevel="1"/>
    <col customWidth="1" min="4" max="4" width="20.0" outlineLevel="1"/>
    <col customWidth="1" min="5" max="5" width="20.0"/>
    <col customWidth="1" min="8" max="8" width="7.86"/>
    <col customWidth="1" min="12" max="12" width="19.71"/>
    <col customWidth="1" min="13" max="13" width="18.0" outlineLevel="1"/>
    <col customWidth="1" min="14" max="14" width="16.86"/>
    <col collapsed="1" customWidth="1" min="15" max="15" width="19.57"/>
    <col customWidth="1" hidden="1" min="16" max="17" width="8.71" outlineLevel="1"/>
    <col customWidth="1" min="18" max="18" width="17.14"/>
    <col customWidth="1" min="19" max="19" width="18.86"/>
    <col customWidth="1" min="20" max="20" width="23.14"/>
  </cols>
  <sheetData>
    <row r="1">
      <c r="A1" s="729" t="s">
        <v>120</v>
      </c>
      <c r="B1" s="729" t="s">
        <v>119</v>
      </c>
      <c r="C1" s="729" t="s">
        <v>2208</v>
      </c>
      <c r="D1" s="730" t="s">
        <v>2209</v>
      </c>
      <c r="E1" s="730" t="s">
        <v>137</v>
      </c>
      <c r="F1" s="730" t="s">
        <v>139</v>
      </c>
      <c r="G1" s="730" t="s">
        <v>141</v>
      </c>
      <c r="H1" s="730" t="s">
        <v>143</v>
      </c>
      <c r="I1" s="730" t="s">
        <v>2210</v>
      </c>
      <c r="J1" s="730" t="s">
        <v>131</v>
      </c>
      <c r="K1" s="730" t="s">
        <v>132</v>
      </c>
      <c r="L1" s="730" t="s">
        <v>133</v>
      </c>
      <c r="M1" s="730" t="s">
        <v>147</v>
      </c>
      <c r="N1" s="731" t="s">
        <v>126</v>
      </c>
      <c r="O1" s="731" t="s">
        <v>2211</v>
      </c>
      <c r="P1" s="730" t="s">
        <v>124</v>
      </c>
      <c r="Q1" s="730" t="s">
        <v>125</v>
      </c>
      <c r="R1" s="730" t="s">
        <v>2212</v>
      </c>
      <c r="S1" s="730" t="s">
        <v>2213</v>
      </c>
      <c r="T1" s="730" t="s">
        <v>121</v>
      </c>
      <c r="U1" s="732"/>
    </row>
    <row r="2">
      <c r="A2" s="733">
        <v>44562.0</v>
      </c>
      <c r="B2" s="52" t="str">
        <f t="shared" ref="B2:B1002" si="1">IF(A2="","",TEXT(A2,"MM/YYYY"))</f>
        <v>01/2022</v>
      </c>
      <c r="C2" s="52" t="str">
        <f>IF(A2="","",VLOOKUP(A2,'THAM CHIẾU'!$A:$B,2,0))</f>
        <v>#N/A</v>
      </c>
      <c r="D2" s="734" t="str">
        <f>IF(E2&lt;&gt;0,VLOOKUP(E2,DM_DUAN,3,0),"")</f>
        <v/>
      </c>
      <c r="E2" s="735"/>
      <c r="F2" s="735"/>
      <c r="G2" s="735" t="s">
        <v>207</v>
      </c>
      <c r="H2" s="70"/>
      <c r="I2" s="735"/>
      <c r="J2" s="52" t="s">
        <v>2214</v>
      </c>
      <c r="K2" s="52" t="s">
        <v>2214</v>
      </c>
      <c r="L2" s="735" t="s">
        <v>2215</v>
      </c>
      <c r="M2" s="68"/>
      <c r="N2" s="736">
        <v>43000.0</v>
      </c>
      <c r="O2" s="735"/>
      <c r="P2" s="52" t="s">
        <v>2214</v>
      </c>
      <c r="Q2" s="52" t="s">
        <v>2214</v>
      </c>
      <c r="R2" s="737"/>
      <c r="S2" s="735"/>
      <c r="T2" s="737" t="s">
        <v>2216</v>
      </c>
      <c r="U2" s="737"/>
    </row>
    <row r="3">
      <c r="A3" s="733">
        <v>44562.0</v>
      </c>
      <c r="B3" s="52" t="str">
        <f t="shared" si="1"/>
        <v>01/2022</v>
      </c>
      <c r="C3" s="52" t="str">
        <f>IF(A3="","",VLOOKUP(A3,'THAM CHIẾU'!$A:$B,2,0))</f>
        <v>#N/A</v>
      </c>
      <c r="D3" s="52" t="str">
        <f>IF(E3&lt;&gt;0,VLOOKUP(E3,DM_DUAN,3,0),"")</f>
        <v/>
      </c>
      <c r="E3" s="735"/>
      <c r="F3" s="735"/>
      <c r="G3" s="735"/>
      <c r="H3" s="735"/>
      <c r="I3" s="735"/>
      <c r="J3" s="52" t="s">
        <v>2214</v>
      </c>
      <c r="K3" s="52" t="s">
        <v>2214</v>
      </c>
      <c r="L3" s="735" t="s">
        <v>419</v>
      </c>
      <c r="M3" s="68"/>
      <c r="N3" s="738">
        <v>166000.0</v>
      </c>
      <c r="O3" s="735"/>
      <c r="P3" s="52" t="s">
        <v>2214</v>
      </c>
      <c r="Q3" s="52" t="s">
        <v>2214</v>
      </c>
      <c r="R3" s="737"/>
      <c r="S3" s="735"/>
      <c r="T3" s="737" t="s">
        <v>2217</v>
      </c>
      <c r="U3" s="737"/>
    </row>
    <row r="4">
      <c r="A4" s="733">
        <v>44562.0</v>
      </c>
      <c r="B4" s="52" t="str">
        <f t="shared" si="1"/>
        <v>01/2022</v>
      </c>
      <c r="C4" s="52" t="str">
        <f>IF(A4="","",VLOOKUP(A4,'THAM CHIẾU'!$A:$B,2,0))</f>
        <v>#N/A</v>
      </c>
      <c r="D4" s="52" t="str">
        <f>IF(E4&lt;&gt;0,VLOOKUP(E4,DM_DUAN,3,0),"")</f>
        <v/>
      </c>
      <c r="E4" s="735"/>
      <c r="F4" s="735"/>
      <c r="G4" s="735"/>
      <c r="H4" s="735"/>
      <c r="I4" s="735"/>
      <c r="J4" s="52" t="s">
        <v>2214</v>
      </c>
      <c r="K4" s="52" t="s">
        <v>2214</v>
      </c>
      <c r="L4" s="735" t="s">
        <v>573</v>
      </c>
      <c r="M4" s="68"/>
      <c r="N4" s="738">
        <v>250000.0</v>
      </c>
      <c r="O4" s="735"/>
      <c r="P4" s="52" t="s">
        <v>2214</v>
      </c>
      <c r="Q4" s="52" t="s">
        <v>2214</v>
      </c>
      <c r="R4" s="737"/>
      <c r="S4" s="735"/>
      <c r="T4" s="737" t="s">
        <v>2218</v>
      </c>
      <c r="U4" s="737"/>
    </row>
    <row r="5">
      <c r="A5" s="733">
        <v>44562.0</v>
      </c>
      <c r="B5" s="52" t="str">
        <f t="shared" si="1"/>
        <v>01/2022</v>
      </c>
      <c r="C5" s="52" t="str">
        <f>IF(A5="","",VLOOKUP(A5,'THAM CHIẾU'!$A:$B,2,0))</f>
        <v>#N/A</v>
      </c>
      <c r="D5" s="52" t="str">
        <f>IF(E5&lt;&gt;0,VLOOKUP(E5,DM_DUAN,3,0),"")</f>
        <v/>
      </c>
      <c r="E5" s="735"/>
      <c r="F5" s="735"/>
      <c r="G5" s="735"/>
      <c r="H5" s="735"/>
      <c r="I5" s="735"/>
      <c r="J5" s="52" t="s">
        <v>2214</v>
      </c>
      <c r="K5" s="52" t="s">
        <v>2214</v>
      </c>
      <c r="L5" s="735" t="s">
        <v>1273</v>
      </c>
      <c r="M5" s="68"/>
      <c r="N5" s="738">
        <v>328000.0</v>
      </c>
      <c r="O5" s="735"/>
      <c r="P5" s="52" t="s">
        <v>2214</v>
      </c>
      <c r="Q5" s="52" t="s">
        <v>2214</v>
      </c>
      <c r="R5" s="737"/>
      <c r="S5" s="735"/>
      <c r="T5" s="737" t="s">
        <v>1273</v>
      </c>
      <c r="U5" s="737"/>
    </row>
    <row r="6">
      <c r="A6" s="733">
        <v>44562.0</v>
      </c>
      <c r="B6" s="52" t="str">
        <f t="shared" si="1"/>
        <v>01/2022</v>
      </c>
      <c r="C6" s="52" t="str">
        <f>IF(A6="","",VLOOKUP(A6,'THAM CHIẾU'!$A:$B,2,0))</f>
        <v>#N/A</v>
      </c>
      <c r="D6" s="52" t="str">
        <f>IF(E6&lt;&gt;0,VLOOKUP(E6,DM_DUAN,3,0),"")</f>
        <v/>
      </c>
      <c r="E6" s="735"/>
      <c r="F6" s="735"/>
      <c r="G6" s="735"/>
      <c r="H6" s="735"/>
      <c r="I6" s="735"/>
      <c r="J6" s="52" t="s">
        <v>2214</v>
      </c>
      <c r="K6" s="52" t="s">
        <v>2214</v>
      </c>
      <c r="L6" s="735" t="s">
        <v>1153</v>
      </c>
      <c r="M6" s="68"/>
      <c r="N6" s="738">
        <v>8333000.0</v>
      </c>
      <c r="O6" s="735"/>
      <c r="P6" s="52" t="s">
        <v>2214</v>
      </c>
      <c r="Q6" s="52" t="s">
        <v>2214</v>
      </c>
      <c r="R6" s="737"/>
      <c r="S6" s="735"/>
      <c r="T6" s="737" t="s">
        <v>2219</v>
      </c>
      <c r="U6" s="737"/>
    </row>
    <row r="7">
      <c r="A7" s="733">
        <v>44562.0</v>
      </c>
      <c r="B7" s="52" t="str">
        <f t="shared" si="1"/>
        <v>01/2022</v>
      </c>
      <c r="C7" s="52" t="str">
        <f>IF(A7="","",VLOOKUP(A7,'THAM CHIẾU'!$A:$B,2,0))</f>
        <v>#N/A</v>
      </c>
      <c r="D7" s="52" t="str">
        <f>IF(E7&lt;&gt;0,VLOOKUP(E7,DM_DUAN,3,0),"")</f>
        <v/>
      </c>
      <c r="E7" s="735"/>
      <c r="F7" s="735"/>
      <c r="G7" s="735"/>
      <c r="H7" s="735"/>
      <c r="I7" s="735"/>
      <c r="J7" s="52" t="s">
        <v>2214</v>
      </c>
      <c r="K7" s="52" t="s">
        <v>2214</v>
      </c>
      <c r="L7" s="735" t="s">
        <v>2220</v>
      </c>
      <c r="M7" s="68"/>
      <c r="N7" s="738">
        <v>416000.0</v>
      </c>
      <c r="O7" s="735"/>
      <c r="P7" s="52" t="s">
        <v>2214</v>
      </c>
      <c r="Q7" s="52" t="s">
        <v>2214</v>
      </c>
      <c r="R7" s="737"/>
      <c r="S7" s="735"/>
      <c r="T7" s="737" t="s">
        <v>2221</v>
      </c>
      <c r="U7" s="737"/>
    </row>
    <row r="8">
      <c r="A8" s="733">
        <v>44562.0</v>
      </c>
      <c r="B8" s="52" t="str">
        <f t="shared" si="1"/>
        <v>01/2022</v>
      </c>
      <c r="C8" s="52" t="str">
        <f>IF(A8="","",VLOOKUP(A8,'THAM CHIẾU'!$A:$B,2,0))</f>
        <v>#N/A</v>
      </c>
      <c r="D8" s="52" t="str">
        <f>IF(E8&lt;&gt;0,VLOOKUP(E8,DM_DUAN,3,0),"")</f>
        <v/>
      </c>
      <c r="E8" s="735"/>
      <c r="F8" s="735"/>
      <c r="G8" s="735"/>
      <c r="H8" s="735"/>
      <c r="I8" s="735"/>
      <c r="J8" s="52" t="s">
        <v>2214</v>
      </c>
      <c r="K8" s="52" t="s">
        <v>2214</v>
      </c>
      <c r="L8" s="735" t="s">
        <v>262</v>
      </c>
      <c r="M8" s="68"/>
      <c r="N8" s="738">
        <v>833000.0</v>
      </c>
      <c r="O8" s="735"/>
      <c r="P8" s="52" t="s">
        <v>2214</v>
      </c>
      <c r="Q8" s="52" t="s">
        <v>2214</v>
      </c>
      <c r="R8" s="737"/>
      <c r="S8" s="735"/>
      <c r="T8" s="737" t="s">
        <v>2222</v>
      </c>
      <c r="U8" s="737"/>
    </row>
    <row r="9">
      <c r="A9" s="733">
        <v>44562.0</v>
      </c>
      <c r="B9" s="52" t="str">
        <f t="shared" si="1"/>
        <v>01/2022</v>
      </c>
      <c r="C9" s="52" t="str">
        <f>IF(A9="","",VLOOKUP(A9,'THAM CHIẾU'!$A:$B,2,0))</f>
        <v>#N/A</v>
      </c>
      <c r="D9" s="52" t="str">
        <f>IF(E9&lt;&gt;0,VLOOKUP(E9,DM_DUAN,3,0),"")</f>
        <v/>
      </c>
      <c r="E9" s="735"/>
      <c r="F9" s="735"/>
      <c r="G9" s="735"/>
      <c r="H9" s="735"/>
      <c r="I9" s="735"/>
      <c r="J9" s="52" t="s">
        <v>2214</v>
      </c>
      <c r="K9" s="52" t="s">
        <v>2214</v>
      </c>
      <c r="L9" s="735" t="s">
        <v>2223</v>
      </c>
      <c r="M9" s="68"/>
      <c r="N9" s="738">
        <v>4166000.0</v>
      </c>
      <c r="O9" s="735"/>
      <c r="P9" s="52" t="s">
        <v>2214</v>
      </c>
      <c r="Q9" s="52" t="s">
        <v>2214</v>
      </c>
      <c r="R9" s="737"/>
      <c r="S9" s="735"/>
      <c r="T9" s="737" t="s">
        <v>2224</v>
      </c>
      <c r="U9" s="737"/>
    </row>
    <row r="10">
      <c r="A10" s="733">
        <v>44562.0</v>
      </c>
      <c r="B10" s="52" t="str">
        <f t="shared" si="1"/>
        <v>01/2022</v>
      </c>
      <c r="C10" s="52" t="str">
        <f>IF(A10="","",VLOOKUP(A10,'THAM CHIẾU'!$A:$B,2,0))</f>
        <v>#N/A</v>
      </c>
      <c r="D10" s="52" t="str">
        <f>IF(E10&lt;&gt;0,VLOOKUP(E10,DM_DUAN,3,0),"")</f>
        <v/>
      </c>
      <c r="E10" s="735"/>
      <c r="F10" s="735"/>
      <c r="G10" s="735" t="s">
        <v>176</v>
      </c>
      <c r="H10" s="735"/>
      <c r="I10" s="735"/>
      <c r="J10" s="52" t="s">
        <v>2214</v>
      </c>
      <c r="K10" s="52" t="s">
        <v>2214</v>
      </c>
      <c r="L10" s="735" t="s">
        <v>374</v>
      </c>
      <c r="M10" s="68"/>
      <c r="N10" s="738">
        <v>1666000.0</v>
      </c>
      <c r="O10" s="735"/>
      <c r="P10" s="52" t="s">
        <v>2214</v>
      </c>
      <c r="Q10" s="52" t="s">
        <v>2214</v>
      </c>
      <c r="R10" s="737"/>
      <c r="S10" s="735"/>
      <c r="T10" s="737" t="s">
        <v>2225</v>
      </c>
      <c r="U10" s="737"/>
    </row>
    <row r="11">
      <c r="A11" s="733">
        <v>44562.0</v>
      </c>
      <c r="B11" s="52" t="str">
        <f t="shared" si="1"/>
        <v>01/2022</v>
      </c>
      <c r="C11" s="52" t="str">
        <f>IF(A11="","",VLOOKUP(A11,'THAM CHIẾU'!$A:$B,2,0))</f>
        <v>#N/A</v>
      </c>
      <c r="D11" s="52" t="str">
        <f>IF(E11&lt;&gt;0,VLOOKUP(E11,DM_DUAN,3,0),"")</f>
        <v/>
      </c>
      <c r="E11" s="735"/>
      <c r="F11" s="735"/>
      <c r="G11" s="735"/>
      <c r="H11" s="735"/>
      <c r="I11" s="735"/>
      <c r="J11" s="52" t="s">
        <v>2214</v>
      </c>
      <c r="K11" s="52" t="s">
        <v>2214</v>
      </c>
      <c r="L11" s="735" t="s">
        <v>382</v>
      </c>
      <c r="M11" s="68"/>
      <c r="N11" s="738">
        <v>1666000.0</v>
      </c>
      <c r="O11" s="735"/>
      <c r="P11" s="52" t="s">
        <v>2214</v>
      </c>
      <c r="Q11" s="52" t="s">
        <v>2214</v>
      </c>
      <c r="R11" s="737"/>
      <c r="S11" s="735"/>
      <c r="T11" s="737" t="s">
        <v>2226</v>
      </c>
      <c r="U11" s="737"/>
    </row>
    <row r="12">
      <c r="A12" s="733">
        <v>44562.0</v>
      </c>
      <c r="B12" s="52" t="str">
        <f t="shared" si="1"/>
        <v>01/2022</v>
      </c>
      <c r="C12" s="52" t="str">
        <f>IF(A12="","",VLOOKUP(A12,'THAM CHIẾU'!$A:$B,2,0))</f>
        <v>#N/A</v>
      </c>
      <c r="D12" s="52" t="str">
        <f>IF(E12&lt;&gt;0,VLOOKUP(E12,DM_DUAN,3,0),"")</f>
        <v/>
      </c>
      <c r="E12" s="735"/>
      <c r="F12" s="735"/>
      <c r="G12" s="735"/>
      <c r="H12" s="735"/>
      <c r="I12" s="735"/>
      <c r="J12" s="52" t="s">
        <v>2214</v>
      </c>
      <c r="K12" s="52" t="s">
        <v>2214</v>
      </c>
      <c r="L12" s="735" t="s">
        <v>272</v>
      </c>
      <c r="M12" s="68"/>
      <c r="N12" s="738">
        <v>6666000.0</v>
      </c>
      <c r="O12" s="735"/>
      <c r="P12" s="52" t="s">
        <v>2214</v>
      </c>
      <c r="Q12" s="52" t="s">
        <v>2214</v>
      </c>
      <c r="R12" s="737"/>
      <c r="S12" s="735"/>
      <c r="T12" s="737" t="s">
        <v>2227</v>
      </c>
      <c r="U12" s="737"/>
    </row>
    <row r="13">
      <c r="A13" s="733">
        <v>44562.0</v>
      </c>
      <c r="B13" s="52" t="str">
        <f t="shared" si="1"/>
        <v>01/2022</v>
      </c>
      <c r="C13" s="52" t="str">
        <f>IF(A13="","",VLOOKUP(A13,'THAM CHIẾU'!$A:$B,2,0))</f>
        <v>#N/A</v>
      </c>
      <c r="D13" s="52" t="str">
        <f>IF(E13&lt;&gt;0,VLOOKUP(E13,DM_DUAN,3,0),"")</f>
        <v/>
      </c>
      <c r="E13" s="735"/>
      <c r="F13" s="735"/>
      <c r="G13" s="735"/>
      <c r="H13" s="735"/>
      <c r="I13" s="735"/>
      <c r="J13" s="52" t="s">
        <v>2214</v>
      </c>
      <c r="K13" s="52" t="s">
        <v>2214</v>
      </c>
      <c r="L13" s="735" t="s">
        <v>382</v>
      </c>
      <c r="M13" s="68"/>
      <c r="N13" s="738">
        <v>833000.0</v>
      </c>
      <c r="O13" s="735"/>
      <c r="P13" s="52" t="s">
        <v>2214</v>
      </c>
      <c r="Q13" s="52" t="s">
        <v>2214</v>
      </c>
      <c r="R13" s="737"/>
      <c r="S13" s="735"/>
      <c r="T13" s="737" t="s">
        <v>2228</v>
      </c>
      <c r="U13" s="737"/>
    </row>
    <row r="14">
      <c r="A14" s="733">
        <v>44562.0</v>
      </c>
      <c r="B14" s="52" t="str">
        <f t="shared" si="1"/>
        <v>01/2022</v>
      </c>
      <c r="C14" s="52" t="str">
        <f>IF(A14="","",VLOOKUP(A14,'THAM CHIẾU'!$A:$B,2,0))</f>
        <v>#N/A</v>
      </c>
      <c r="D14" s="52" t="str">
        <f>IF(E14&lt;&gt;0,VLOOKUP(E14,DM_DUAN,3,0),"")</f>
        <v/>
      </c>
      <c r="E14" s="735"/>
      <c r="F14" s="735"/>
      <c r="G14" s="735"/>
      <c r="H14" s="735"/>
      <c r="I14" s="735"/>
      <c r="J14" s="52" t="s">
        <v>2214</v>
      </c>
      <c r="K14" s="52" t="s">
        <v>2214</v>
      </c>
      <c r="L14" s="735" t="s">
        <v>222</v>
      </c>
      <c r="M14" s="68"/>
      <c r="N14" s="738">
        <v>416000.0</v>
      </c>
      <c r="O14" s="735"/>
      <c r="P14" s="52" t="s">
        <v>2214</v>
      </c>
      <c r="Q14" s="52" t="s">
        <v>2214</v>
      </c>
      <c r="R14" s="737"/>
      <c r="S14" s="735"/>
      <c r="T14" s="737" t="s">
        <v>2229</v>
      </c>
      <c r="U14" s="737"/>
    </row>
    <row r="15">
      <c r="A15" s="733">
        <v>44562.0</v>
      </c>
      <c r="B15" s="52" t="str">
        <f t="shared" si="1"/>
        <v>01/2022</v>
      </c>
      <c r="C15" s="52" t="str">
        <f>IF(A15="","",VLOOKUP(A15,'THAM CHIẾU'!$A:$B,2,0))</f>
        <v>#N/A</v>
      </c>
      <c r="D15" s="52" t="str">
        <f>IF(E15&lt;&gt;0,VLOOKUP(E15,DM_DUAN,3,0),"")</f>
        <v/>
      </c>
      <c r="E15" s="735"/>
      <c r="F15" s="735"/>
      <c r="G15" s="735"/>
      <c r="H15" s="735"/>
      <c r="I15" s="735"/>
      <c r="J15" s="52" t="s">
        <v>2214</v>
      </c>
      <c r="K15" s="52" t="s">
        <v>2214</v>
      </c>
      <c r="L15" s="735" t="s">
        <v>267</v>
      </c>
      <c r="M15" s="68"/>
      <c r="N15" s="738">
        <v>3.184E8</v>
      </c>
      <c r="O15" s="735"/>
      <c r="P15" s="52" t="s">
        <v>2214</v>
      </c>
      <c r="Q15" s="52" t="s">
        <v>2214</v>
      </c>
      <c r="R15" s="737"/>
      <c r="S15" s="735"/>
      <c r="T15" s="737" t="s">
        <v>2230</v>
      </c>
      <c r="U15" s="737"/>
    </row>
    <row r="16">
      <c r="A16" s="733">
        <v>44562.0</v>
      </c>
      <c r="B16" s="52" t="str">
        <f t="shared" si="1"/>
        <v>01/2022</v>
      </c>
      <c r="C16" s="52" t="str">
        <f>IF(A16="","",VLOOKUP(A16,'THAM CHIẾU'!$A:$B,2,0))</f>
        <v>#N/A</v>
      </c>
      <c r="D16" s="52" t="str">
        <f>IF(E16&lt;&gt;0,VLOOKUP(E16,DM_DUAN,3,0),"")</f>
        <v/>
      </c>
      <c r="E16" s="735"/>
      <c r="F16" s="735"/>
      <c r="G16" s="735"/>
      <c r="H16" s="735"/>
      <c r="I16" s="735"/>
      <c r="J16" s="52" t="s">
        <v>2214</v>
      </c>
      <c r="K16" s="52" t="s">
        <v>2214</v>
      </c>
      <c r="L16" s="735" t="s">
        <v>270</v>
      </c>
      <c r="M16" s="68"/>
      <c r="N16" s="738">
        <v>4.5143E7</v>
      </c>
      <c r="O16" s="735"/>
      <c r="P16" s="52" t="s">
        <v>2214</v>
      </c>
      <c r="Q16" s="52" t="s">
        <v>2214</v>
      </c>
      <c r="R16" s="737"/>
      <c r="S16" s="735"/>
      <c r="T16" s="737" t="s">
        <v>2231</v>
      </c>
      <c r="U16" s="737"/>
    </row>
    <row r="17">
      <c r="A17" s="733">
        <v>44562.0</v>
      </c>
      <c r="B17" s="52" t="str">
        <f t="shared" si="1"/>
        <v>01/2022</v>
      </c>
      <c r="C17" s="52" t="str">
        <f>IF(A17="","",VLOOKUP(A17,'THAM CHIẾU'!$A:$B,2,0))</f>
        <v>#N/A</v>
      </c>
      <c r="D17" s="52" t="str">
        <f>IF(E17&lt;&gt;0,VLOOKUP(E17,DM_DUAN,3,0),"")</f>
        <v/>
      </c>
      <c r="E17" s="735"/>
      <c r="F17" s="735"/>
      <c r="G17" s="735"/>
      <c r="H17" s="735"/>
      <c r="I17" s="735"/>
      <c r="J17" s="52" t="s">
        <v>2214</v>
      </c>
      <c r="K17" s="52" t="s">
        <v>2214</v>
      </c>
      <c r="L17" s="735" t="s">
        <v>410</v>
      </c>
      <c r="M17" s="68"/>
      <c r="N17" s="738">
        <v>1250000.0</v>
      </c>
      <c r="O17" s="735"/>
      <c r="P17" s="52" t="s">
        <v>2214</v>
      </c>
      <c r="Q17" s="52" t="s">
        <v>2214</v>
      </c>
      <c r="R17" s="737"/>
      <c r="S17" s="735"/>
      <c r="T17" s="737" t="s">
        <v>410</v>
      </c>
      <c r="U17" s="737"/>
    </row>
    <row r="18">
      <c r="A18" s="733">
        <v>44562.0</v>
      </c>
      <c r="B18" s="52" t="str">
        <f t="shared" si="1"/>
        <v>01/2022</v>
      </c>
      <c r="C18" s="52" t="str">
        <f>IF(A18="","",VLOOKUP(A18,'THAM CHIẾU'!$A:$B,2,0))</f>
        <v>#N/A</v>
      </c>
      <c r="D18" s="52" t="str">
        <f>IF(E18&lt;&gt;0,VLOOKUP(E18,DM_DUAN,3,0),"")</f>
        <v/>
      </c>
      <c r="E18" s="735"/>
      <c r="F18" s="735"/>
      <c r="G18" s="735"/>
      <c r="H18" s="735"/>
      <c r="I18" s="735"/>
      <c r="J18" s="52" t="s">
        <v>2214</v>
      </c>
      <c r="K18" s="52" t="s">
        <v>2214</v>
      </c>
      <c r="L18" s="735" t="s">
        <v>252</v>
      </c>
      <c r="M18" s="68"/>
      <c r="N18" s="738">
        <v>1.6666E7</v>
      </c>
      <c r="O18" s="735"/>
      <c r="P18" s="52" t="s">
        <v>2214</v>
      </c>
      <c r="Q18" s="52" t="s">
        <v>2214</v>
      </c>
      <c r="R18" s="737"/>
      <c r="S18" s="735"/>
      <c r="T18" s="737" t="s">
        <v>2232</v>
      </c>
      <c r="U18" s="737"/>
    </row>
    <row r="19">
      <c r="A19" s="733">
        <v>44562.0</v>
      </c>
      <c r="B19" s="52" t="str">
        <f t="shared" si="1"/>
        <v>01/2022</v>
      </c>
      <c r="C19" s="52" t="str">
        <f>IF(A19="","",VLOOKUP(A19,'THAM CHIẾU'!$A:$B,2,0))</f>
        <v>#N/A</v>
      </c>
      <c r="D19" s="52" t="str">
        <f>IF(E19&lt;&gt;0,VLOOKUP(E19,DM_DUAN,3,0),"")</f>
        <v/>
      </c>
      <c r="E19" s="735"/>
      <c r="F19" s="735"/>
      <c r="G19" s="735"/>
      <c r="H19" s="735"/>
      <c r="I19" s="735"/>
      <c r="J19" s="52" t="s">
        <v>2214</v>
      </c>
      <c r="K19" s="52" t="s">
        <v>2214</v>
      </c>
      <c r="L19" s="735" t="s">
        <v>382</v>
      </c>
      <c r="M19" s="68"/>
      <c r="N19" s="738">
        <v>1666000.0</v>
      </c>
      <c r="O19" s="735"/>
      <c r="P19" s="52" t="s">
        <v>2214</v>
      </c>
      <c r="Q19" s="52" t="s">
        <v>2214</v>
      </c>
      <c r="R19" s="737"/>
      <c r="S19" s="735"/>
      <c r="T19" s="737" t="s">
        <v>2233</v>
      </c>
      <c r="U19" s="737"/>
    </row>
    <row r="20">
      <c r="A20" s="733">
        <v>44562.0</v>
      </c>
      <c r="B20" s="52" t="str">
        <f t="shared" si="1"/>
        <v>01/2022</v>
      </c>
      <c r="C20" s="52" t="str">
        <f>IF(A20="","",VLOOKUP(A20,'THAM CHIẾU'!$A:$B,2,0))</f>
        <v>#N/A</v>
      </c>
      <c r="D20" s="52" t="str">
        <f>IF(E20&lt;&gt;0,VLOOKUP(E20,DM_DUAN,3,0),"")</f>
        <v/>
      </c>
      <c r="E20" s="735"/>
      <c r="F20" s="735"/>
      <c r="G20" s="735"/>
      <c r="H20" s="735"/>
      <c r="I20" s="735"/>
      <c r="J20" s="52" t="s">
        <v>2214</v>
      </c>
      <c r="K20" s="52" t="s">
        <v>2214</v>
      </c>
      <c r="L20" s="735" t="s">
        <v>206</v>
      </c>
      <c r="M20" s="68"/>
      <c r="N20" s="738">
        <v>1703000.0</v>
      </c>
      <c r="O20" s="735"/>
      <c r="P20" s="52" t="s">
        <v>2214</v>
      </c>
      <c r="Q20" s="52" t="s">
        <v>2214</v>
      </c>
      <c r="R20" s="737"/>
      <c r="S20" s="735"/>
      <c r="T20" s="737" t="s">
        <v>206</v>
      </c>
      <c r="U20" s="737"/>
    </row>
    <row r="21">
      <c r="A21" s="733">
        <v>44562.0</v>
      </c>
      <c r="B21" s="52" t="str">
        <f t="shared" si="1"/>
        <v>01/2022</v>
      </c>
      <c r="C21" s="52" t="str">
        <f>IF(A21="","",VLOOKUP(A21,'THAM CHIẾU'!$A:$B,2,0))</f>
        <v>#N/A</v>
      </c>
      <c r="D21" s="52" t="str">
        <f>IF(E21&lt;&gt;0,VLOOKUP(E21,DM_DUAN,3,0),"")</f>
        <v/>
      </c>
      <c r="E21" s="735"/>
      <c r="F21" s="735"/>
      <c r="G21" s="735"/>
      <c r="H21" s="735"/>
      <c r="I21" s="735"/>
      <c r="J21" s="52" t="s">
        <v>2214</v>
      </c>
      <c r="K21" s="52" t="s">
        <v>2214</v>
      </c>
      <c r="L21" s="735" t="s">
        <v>226</v>
      </c>
      <c r="M21" s="68"/>
      <c r="N21" s="738">
        <v>1250000.0</v>
      </c>
      <c r="O21" s="735"/>
      <c r="P21" s="52" t="s">
        <v>2214</v>
      </c>
      <c r="Q21" s="52" t="s">
        <v>2214</v>
      </c>
      <c r="R21" s="737"/>
      <c r="S21" s="735"/>
      <c r="T21" s="737" t="s">
        <v>2234</v>
      </c>
      <c r="U21" s="737"/>
    </row>
    <row r="22">
      <c r="A22" s="733">
        <v>44562.0</v>
      </c>
      <c r="B22" s="52" t="str">
        <f t="shared" si="1"/>
        <v>01/2022</v>
      </c>
      <c r="C22" s="52" t="str">
        <f>IF(A22="","",VLOOKUP(A22,'THAM CHIẾU'!$A:$B,2,0))</f>
        <v>#N/A</v>
      </c>
      <c r="D22" s="52" t="str">
        <f>IF(E22&lt;&gt;0,VLOOKUP(E22,DM_DUAN,3,0),"")</f>
        <v/>
      </c>
      <c r="E22" s="735"/>
      <c r="F22" s="735"/>
      <c r="G22" s="735"/>
      <c r="H22" s="735"/>
      <c r="I22" s="735"/>
      <c r="J22" s="52" t="s">
        <v>2214</v>
      </c>
      <c r="K22" s="52" t="s">
        <v>2214</v>
      </c>
      <c r="L22" s="735" t="s">
        <v>174</v>
      </c>
      <c r="M22" s="68"/>
      <c r="N22" s="738">
        <v>4.0861E7</v>
      </c>
      <c r="O22" s="735"/>
      <c r="P22" s="52" t="s">
        <v>2214</v>
      </c>
      <c r="Q22" s="52" t="s">
        <v>2214</v>
      </c>
      <c r="R22" s="737"/>
      <c r="S22" s="735"/>
      <c r="T22" s="737" t="s">
        <v>2235</v>
      </c>
      <c r="U22" s="737"/>
    </row>
    <row r="23">
      <c r="A23" s="733">
        <v>44562.0</v>
      </c>
      <c r="B23" s="52" t="str">
        <f t="shared" si="1"/>
        <v>01/2022</v>
      </c>
      <c r="C23" s="52" t="str">
        <f>IF(A23="","",VLOOKUP(A23,'THAM CHIẾU'!$A:$B,2,0))</f>
        <v>#N/A</v>
      </c>
      <c r="D23" s="52" t="str">
        <f>IF(E23&lt;&gt;0,VLOOKUP(E23,DM_DUAN,3,0),"")</f>
        <v/>
      </c>
      <c r="E23" s="735"/>
      <c r="F23" s="735"/>
      <c r="G23" s="735"/>
      <c r="H23" s="735"/>
      <c r="I23" s="735"/>
      <c r="J23" s="52" t="s">
        <v>2214</v>
      </c>
      <c r="K23" s="52" t="s">
        <v>2214</v>
      </c>
      <c r="L23" s="735" t="s">
        <v>2236</v>
      </c>
      <c r="M23" s="68"/>
      <c r="N23" s="738">
        <v>1666000.0</v>
      </c>
      <c r="O23" s="735"/>
      <c r="P23" s="52" t="s">
        <v>2214</v>
      </c>
      <c r="Q23" s="52" t="s">
        <v>2214</v>
      </c>
      <c r="R23" s="737"/>
      <c r="S23" s="735"/>
      <c r="T23" s="737" t="s">
        <v>2237</v>
      </c>
      <c r="U23" s="737"/>
    </row>
    <row r="24">
      <c r="A24" s="733">
        <v>44562.0</v>
      </c>
      <c r="B24" s="52" t="str">
        <f t="shared" si="1"/>
        <v>01/2022</v>
      </c>
      <c r="C24" s="52" t="str">
        <f>IF(A24="","",VLOOKUP(A24,'THAM CHIẾU'!$A:$B,2,0))</f>
        <v>#N/A</v>
      </c>
      <c r="D24" s="52" t="str">
        <f>IF(E24&lt;&gt;0,VLOOKUP(E24,DM_DUAN,3,0),"")</f>
        <v/>
      </c>
      <c r="E24" s="735"/>
      <c r="F24" s="735"/>
      <c r="G24" s="735"/>
      <c r="H24" s="735"/>
      <c r="I24" s="735"/>
      <c r="J24" s="52" t="s">
        <v>2214</v>
      </c>
      <c r="K24" s="52" t="s">
        <v>2214</v>
      </c>
      <c r="L24" s="735" t="s">
        <v>307</v>
      </c>
      <c r="M24" s="68"/>
      <c r="N24" s="738">
        <v>3000000.0</v>
      </c>
      <c r="O24" s="735"/>
      <c r="P24" s="52" t="s">
        <v>2214</v>
      </c>
      <c r="Q24" s="52" t="s">
        <v>2214</v>
      </c>
      <c r="R24" s="737"/>
      <c r="S24" s="735"/>
      <c r="T24" s="737" t="s">
        <v>2238</v>
      </c>
      <c r="U24" s="737"/>
    </row>
    <row r="25">
      <c r="A25" s="733">
        <v>44562.0</v>
      </c>
      <c r="B25" s="52" t="str">
        <f t="shared" si="1"/>
        <v>01/2022</v>
      </c>
      <c r="C25" s="52" t="str">
        <f>IF(A25="","",VLOOKUP(A25,'THAM CHIẾU'!$A:$B,2,0))</f>
        <v>#N/A</v>
      </c>
      <c r="D25" s="52" t="str">
        <f>IF(E25&lt;&gt;0,VLOOKUP(E25,DM_DUAN,3,0),"")</f>
        <v/>
      </c>
      <c r="E25" s="735"/>
      <c r="F25" s="735"/>
      <c r="G25" s="735"/>
      <c r="H25" s="735"/>
      <c r="I25" s="735"/>
      <c r="J25" s="52" t="s">
        <v>2214</v>
      </c>
      <c r="K25" s="52" t="s">
        <v>2214</v>
      </c>
      <c r="L25" s="735" t="s">
        <v>169</v>
      </c>
      <c r="M25" s="68"/>
      <c r="N25" s="738">
        <v>1.0643E7</v>
      </c>
      <c r="O25" s="735"/>
      <c r="P25" s="52" t="s">
        <v>2214</v>
      </c>
      <c r="Q25" s="52" t="s">
        <v>2214</v>
      </c>
      <c r="R25" s="737"/>
      <c r="S25" s="735"/>
      <c r="T25" s="737"/>
      <c r="U25" s="737" t="s">
        <v>2239</v>
      </c>
    </row>
    <row r="26">
      <c r="A26" s="733">
        <v>44562.0</v>
      </c>
      <c r="B26" s="52" t="str">
        <f t="shared" si="1"/>
        <v>01/2022</v>
      </c>
      <c r="C26" s="52" t="str">
        <f>IF(A26="","",VLOOKUP(A26,'THAM CHIẾU'!$A:$B,2,0))</f>
        <v>#N/A</v>
      </c>
      <c r="D26" s="52" t="str">
        <f>IF(E26&lt;&gt;0,VLOOKUP(E26,DM_DUAN,3,0),"")</f>
        <v/>
      </c>
      <c r="E26" s="735"/>
      <c r="F26" s="735"/>
      <c r="G26" s="735"/>
      <c r="H26" s="735"/>
      <c r="I26" s="735"/>
      <c r="J26" s="52" t="s">
        <v>2214</v>
      </c>
      <c r="K26" s="52" t="s">
        <v>2214</v>
      </c>
      <c r="L26" s="735" t="s">
        <v>190</v>
      </c>
      <c r="M26" s="68"/>
      <c r="N26" s="738"/>
      <c r="O26" s="735"/>
      <c r="P26" s="52" t="s">
        <v>2214</v>
      </c>
      <c r="Q26" s="52" t="s">
        <v>2214</v>
      </c>
      <c r="R26" s="737"/>
      <c r="S26" s="735"/>
      <c r="T26" s="737"/>
      <c r="U26" s="737" t="s">
        <v>276</v>
      </c>
    </row>
    <row r="27">
      <c r="A27" s="733">
        <v>44562.0</v>
      </c>
      <c r="B27" s="52" t="str">
        <f t="shared" si="1"/>
        <v>01/2022</v>
      </c>
      <c r="C27" s="52" t="str">
        <f>IF(A27="","",VLOOKUP(A27,'THAM CHIẾU'!$A:$B,2,0))</f>
        <v>#N/A</v>
      </c>
      <c r="D27" s="52" t="str">
        <f>IF(E27&lt;&gt;0,VLOOKUP(E27,DM_DUAN,3,0),"")</f>
        <v/>
      </c>
      <c r="E27" s="735"/>
      <c r="F27" s="735"/>
      <c r="G27" s="735"/>
      <c r="H27" s="735"/>
      <c r="I27" s="735"/>
      <c r="J27" s="52" t="s">
        <v>2214</v>
      </c>
      <c r="K27" s="52" t="s">
        <v>2214</v>
      </c>
      <c r="L27" s="735" t="s">
        <v>194</v>
      </c>
      <c r="M27" s="68"/>
      <c r="N27" s="738"/>
      <c r="O27" s="735"/>
      <c r="P27" s="52" t="s">
        <v>2214</v>
      </c>
      <c r="Q27" s="52" t="s">
        <v>2214</v>
      </c>
      <c r="R27" s="737"/>
      <c r="S27" s="735"/>
      <c r="T27" s="737" t="s">
        <v>2240</v>
      </c>
      <c r="U27" s="737"/>
    </row>
    <row r="28">
      <c r="A28" s="733">
        <v>44562.0</v>
      </c>
      <c r="B28" s="52" t="str">
        <f t="shared" si="1"/>
        <v>01/2022</v>
      </c>
      <c r="C28" s="52" t="str">
        <f>IF(A28="","",VLOOKUP(A28,'THAM CHIẾU'!$A:$B,2,0))</f>
        <v>#N/A</v>
      </c>
      <c r="D28" s="52" t="str">
        <f>IF(E28&lt;&gt;0,VLOOKUP(E28,DM_DUAN,3,0),"")</f>
        <v/>
      </c>
      <c r="E28" s="735"/>
      <c r="F28" s="735"/>
      <c r="G28" s="735"/>
      <c r="H28" s="735"/>
      <c r="I28" s="735"/>
      <c r="J28" s="52" t="s">
        <v>2214</v>
      </c>
      <c r="K28" s="52" t="s">
        <v>2214</v>
      </c>
      <c r="L28" s="735" t="s">
        <v>1170</v>
      </c>
      <c r="M28" s="68"/>
      <c r="N28" s="738"/>
      <c r="O28" s="735"/>
      <c r="P28" s="52" t="s">
        <v>2214</v>
      </c>
      <c r="Q28" s="52" t="s">
        <v>2214</v>
      </c>
      <c r="R28" s="737"/>
      <c r="S28" s="735"/>
      <c r="T28" s="737" t="s">
        <v>2241</v>
      </c>
      <c r="U28" s="737"/>
    </row>
    <row r="29">
      <c r="A29" s="733">
        <v>44562.0</v>
      </c>
      <c r="B29" s="52" t="str">
        <f t="shared" si="1"/>
        <v>01/2022</v>
      </c>
      <c r="C29" s="52" t="str">
        <f>IF(A29="","",VLOOKUP(A29,'THAM CHIẾU'!$A:$B,2,0))</f>
        <v>#N/A</v>
      </c>
      <c r="D29" s="52" t="str">
        <f>IF(E29&lt;&gt;0,VLOOKUP(E29,DM_DUAN,3,0),"")</f>
        <v/>
      </c>
      <c r="E29" s="735"/>
      <c r="F29" s="735"/>
      <c r="G29" s="735"/>
      <c r="H29" s="735"/>
      <c r="I29" s="735"/>
      <c r="J29" s="52" t="s">
        <v>2214</v>
      </c>
      <c r="K29" s="52" t="s">
        <v>2214</v>
      </c>
      <c r="L29" s="735" t="s">
        <v>1142</v>
      </c>
      <c r="M29" s="68"/>
      <c r="N29" s="738"/>
      <c r="O29" s="735"/>
      <c r="P29" s="52" t="s">
        <v>2214</v>
      </c>
      <c r="Q29" s="52" t="s">
        <v>2214</v>
      </c>
      <c r="R29" s="737"/>
      <c r="S29" s="735"/>
      <c r="T29" s="737" t="s">
        <v>2242</v>
      </c>
      <c r="U29" s="737"/>
    </row>
    <row r="30">
      <c r="A30" s="733">
        <v>44562.0</v>
      </c>
      <c r="B30" s="52" t="str">
        <f t="shared" si="1"/>
        <v>01/2022</v>
      </c>
      <c r="C30" s="52" t="str">
        <f>IF(A30="","",VLOOKUP(A30,'THAM CHIẾU'!$A:$B,2,0))</f>
        <v>#N/A</v>
      </c>
      <c r="D30" s="52" t="str">
        <f>IF(E30&lt;&gt;0,VLOOKUP(E30,DM_DUAN,3,0),"")</f>
        <v/>
      </c>
      <c r="E30" s="735"/>
      <c r="F30" s="735"/>
      <c r="G30" s="735"/>
      <c r="H30" s="735"/>
      <c r="I30" s="735"/>
      <c r="J30" s="52" t="s">
        <v>2214</v>
      </c>
      <c r="K30" s="52" t="s">
        <v>2214</v>
      </c>
      <c r="L30" s="735" t="s">
        <v>181</v>
      </c>
      <c r="M30" s="68"/>
      <c r="N30" s="738"/>
      <c r="O30" s="735"/>
      <c r="P30" s="52" t="s">
        <v>2214</v>
      </c>
      <c r="Q30" s="52" t="s">
        <v>2214</v>
      </c>
      <c r="R30" s="737"/>
      <c r="S30" s="735"/>
      <c r="T30" s="737" t="s">
        <v>1474</v>
      </c>
      <c r="U30" s="737"/>
    </row>
    <row r="31">
      <c r="A31" s="733">
        <v>44562.0</v>
      </c>
      <c r="B31" s="52" t="str">
        <f t="shared" si="1"/>
        <v>01/2022</v>
      </c>
      <c r="C31" s="52" t="str">
        <f>IF(A31="","",VLOOKUP(A31,'THAM CHIẾU'!$A:$B,2,0))</f>
        <v>#N/A</v>
      </c>
      <c r="D31" s="52" t="str">
        <f>IF(E31&lt;&gt;0,VLOOKUP(E31,DM_DUAN,3,0),"")</f>
        <v/>
      </c>
      <c r="E31" s="735"/>
      <c r="F31" s="735"/>
      <c r="G31" s="735"/>
      <c r="H31" s="735"/>
      <c r="I31" s="735"/>
      <c r="J31" s="52" t="s">
        <v>2214</v>
      </c>
      <c r="K31" s="52" t="s">
        <v>2214</v>
      </c>
      <c r="L31" s="735" t="s">
        <v>2243</v>
      </c>
      <c r="M31" s="68"/>
      <c r="N31" s="738"/>
      <c r="O31" s="735"/>
      <c r="P31" s="52" t="s">
        <v>2214</v>
      </c>
      <c r="Q31" s="52" t="s">
        <v>2214</v>
      </c>
      <c r="R31" s="737"/>
      <c r="S31" s="735"/>
      <c r="T31" s="737" t="s">
        <v>2244</v>
      </c>
      <c r="U31" s="737"/>
    </row>
    <row r="32">
      <c r="A32" s="733">
        <v>44562.0</v>
      </c>
      <c r="B32" s="52" t="str">
        <f t="shared" si="1"/>
        <v>01/2022</v>
      </c>
      <c r="C32" s="52" t="str">
        <f>IF(A32="","",VLOOKUP(A32,'THAM CHIẾU'!$A:$B,2,0))</f>
        <v>#N/A</v>
      </c>
      <c r="D32" s="52" t="str">
        <f>IF(E32&lt;&gt;0,VLOOKUP(E32,DM_DUAN,3,0),"")</f>
        <v>THANHNAM</v>
      </c>
      <c r="E32" s="735" t="s">
        <v>175</v>
      </c>
      <c r="F32" s="735"/>
      <c r="G32" s="735"/>
      <c r="H32" s="735"/>
      <c r="I32" s="735"/>
      <c r="J32" s="52" t="s">
        <v>2214</v>
      </c>
      <c r="K32" s="52" t="s">
        <v>2214</v>
      </c>
      <c r="L32" s="735" t="s">
        <v>198</v>
      </c>
      <c r="M32" s="68"/>
      <c r="N32" s="738">
        <v>1.0E9</v>
      </c>
      <c r="O32" s="735"/>
      <c r="P32" s="52" t="s">
        <v>2214</v>
      </c>
      <c r="Q32" s="52" t="s">
        <v>2214</v>
      </c>
      <c r="R32" s="737"/>
      <c r="S32" s="735"/>
      <c r="T32" s="737" t="s">
        <v>2245</v>
      </c>
      <c r="U32" s="737"/>
    </row>
    <row r="33">
      <c r="A33" s="733">
        <v>44562.0</v>
      </c>
      <c r="B33" s="52" t="str">
        <f t="shared" si="1"/>
        <v>01/2022</v>
      </c>
      <c r="C33" s="52" t="str">
        <f>IF(A33="","",VLOOKUP(A33,'THAM CHIẾU'!$A:$B,2,0))</f>
        <v>#N/A</v>
      </c>
      <c r="D33" s="52" t="str">
        <f>IF(E33&lt;&gt;0,VLOOKUP(E33,DM_DUAN,3,0),"")</f>
        <v>THANHNAM</v>
      </c>
      <c r="E33" s="735" t="s">
        <v>175</v>
      </c>
      <c r="F33" s="735"/>
      <c r="G33" s="735"/>
      <c r="H33" s="735"/>
      <c r="I33" s="735"/>
      <c r="J33" s="52" t="s">
        <v>2214</v>
      </c>
      <c r="K33" s="52" t="s">
        <v>2214</v>
      </c>
      <c r="L33" s="735" t="s">
        <v>187</v>
      </c>
      <c r="M33" s="68"/>
      <c r="N33" s="738">
        <v>1.2E8</v>
      </c>
      <c r="O33" s="735"/>
      <c r="P33" s="52" t="s">
        <v>2214</v>
      </c>
      <c r="Q33" s="52" t="s">
        <v>2214</v>
      </c>
      <c r="R33" s="737"/>
      <c r="S33" s="735"/>
      <c r="T33" s="737" t="s">
        <v>2246</v>
      </c>
      <c r="U33" s="737"/>
    </row>
    <row r="34">
      <c r="A34" s="733"/>
      <c r="B34" s="52" t="str">
        <f t="shared" si="1"/>
        <v/>
      </c>
      <c r="C34" s="52" t="str">
        <f>IF(A34="","",VLOOKUP(A34,'THAM CHIẾU'!$A:$B,2,0))</f>
        <v/>
      </c>
      <c r="D34" s="52" t="str">
        <f>IF(E34&lt;&gt;0,VLOOKUP(E34,DM_DUAN,3,0),"")</f>
        <v/>
      </c>
      <c r="E34" s="735"/>
      <c r="F34" s="735"/>
      <c r="G34" s="735"/>
      <c r="H34" s="735"/>
      <c r="I34" s="735"/>
      <c r="J34" s="52" t="s">
        <v>2214</v>
      </c>
      <c r="K34" s="52" t="s">
        <v>2214</v>
      </c>
      <c r="L34" s="735"/>
      <c r="M34" s="68"/>
      <c r="N34" s="739"/>
      <c r="O34" s="735"/>
      <c r="P34" s="52" t="s">
        <v>2214</v>
      </c>
      <c r="Q34" s="52" t="s">
        <v>2214</v>
      </c>
      <c r="R34" s="737"/>
      <c r="S34" s="735"/>
      <c r="T34" s="737"/>
      <c r="U34" s="737"/>
    </row>
    <row r="35">
      <c r="A35" s="733">
        <v>44602.0</v>
      </c>
      <c r="B35" s="52" t="str">
        <f t="shared" si="1"/>
        <v>02/2022</v>
      </c>
      <c r="C35" s="52" t="str">
        <f>IF(A35="","",VLOOKUP(A35,'THAM CHIẾU'!$A:$B,2,0))</f>
        <v>#N/A</v>
      </c>
      <c r="D35" s="52" t="str">
        <f>IF(E35&lt;&gt;0,VLOOKUP(E35,DM_DUAN,3,0),"")</f>
        <v/>
      </c>
      <c r="E35" s="735"/>
      <c r="F35" s="735"/>
      <c r="G35" s="735"/>
      <c r="H35" s="735"/>
      <c r="I35" s="735"/>
      <c r="J35" s="52" t="s">
        <v>2214</v>
      </c>
      <c r="K35" s="52" t="s">
        <v>2214</v>
      </c>
      <c r="L35" s="735" t="s">
        <v>222</v>
      </c>
      <c r="M35" s="68"/>
      <c r="N35" s="738">
        <v>435000.0</v>
      </c>
      <c r="O35" s="735"/>
      <c r="P35" s="52" t="s">
        <v>2214</v>
      </c>
      <c r="Q35" s="52" t="s">
        <v>2214</v>
      </c>
      <c r="R35" s="737"/>
      <c r="S35" s="735"/>
      <c r="T35" s="737"/>
      <c r="U35" s="737"/>
    </row>
    <row r="36">
      <c r="A36" s="733">
        <v>44602.0</v>
      </c>
      <c r="B36" s="52" t="str">
        <f t="shared" si="1"/>
        <v>02/2022</v>
      </c>
      <c r="C36" s="52" t="str">
        <f>IF(A36="","",VLOOKUP(A36,'THAM CHIẾU'!$A:$B,2,0))</f>
        <v>#N/A</v>
      </c>
      <c r="D36" s="52" t="str">
        <f>IF(E36&lt;&gt;0,VLOOKUP(E36,DM_DUAN,3,0),"")</f>
        <v/>
      </c>
      <c r="E36" s="735"/>
      <c r="F36" s="735"/>
      <c r="G36" s="735"/>
      <c r="H36" s="735"/>
      <c r="I36" s="735"/>
      <c r="J36" s="52" t="s">
        <v>2214</v>
      </c>
      <c r="K36" s="52" t="s">
        <v>2214</v>
      </c>
      <c r="L36" s="735" t="s">
        <v>377</v>
      </c>
      <c r="M36" s="68"/>
      <c r="N36" s="738">
        <v>250000.0</v>
      </c>
      <c r="O36" s="735"/>
      <c r="P36" s="52" t="s">
        <v>2214</v>
      </c>
      <c r="Q36" s="52" t="s">
        <v>2214</v>
      </c>
      <c r="R36" s="737"/>
      <c r="S36" s="735"/>
      <c r="T36" s="737"/>
      <c r="U36" s="737"/>
    </row>
    <row r="37">
      <c r="A37" s="733">
        <v>44602.0</v>
      </c>
      <c r="B37" s="52" t="str">
        <f t="shared" si="1"/>
        <v>02/2022</v>
      </c>
      <c r="C37" s="52" t="str">
        <f>IF(A37="","",VLOOKUP(A37,'THAM CHIẾU'!$A:$B,2,0))</f>
        <v>#N/A</v>
      </c>
      <c r="D37" s="52" t="str">
        <f>IF(E37&lt;&gt;0,VLOOKUP(E37,DM_DUAN,3,0),"")</f>
        <v/>
      </c>
      <c r="E37" s="735"/>
      <c r="F37" s="735"/>
      <c r="G37" s="735"/>
      <c r="H37" s="735"/>
      <c r="I37" s="735"/>
      <c r="J37" s="52" t="s">
        <v>2214</v>
      </c>
      <c r="K37" s="52" t="s">
        <v>2214</v>
      </c>
      <c r="L37" s="735" t="s">
        <v>380</v>
      </c>
      <c r="M37" s="68"/>
      <c r="N37" s="738">
        <v>100000.0</v>
      </c>
      <c r="O37" s="735"/>
      <c r="P37" s="52" t="s">
        <v>2214</v>
      </c>
      <c r="Q37" s="52" t="s">
        <v>2214</v>
      </c>
      <c r="R37" s="737"/>
      <c r="S37" s="735"/>
      <c r="T37" s="737"/>
      <c r="U37" s="737"/>
    </row>
    <row r="38">
      <c r="A38" s="733">
        <v>44602.0</v>
      </c>
      <c r="B38" s="52" t="str">
        <f t="shared" si="1"/>
        <v>02/2022</v>
      </c>
      <c r="C38" s="52" t="str">
        <f>IF(A38="","",VLOOKUP(A38,'THAM CHIẾU'!$A:$B,2,0))</f>
        <v>#N/A</v>
      </c>
      <c r="D38" s="52" t="str">
        <f>IF(E38&lt;&gt;0,VLOOKUP(E38,DM_DUAN,3,0),"")</f>
        <v/>
      </c>
      <c r="E38" s="735"/>
      <c r="F38" s="735"/>
      <c r="G38" s="735"/>
      <c r="H38" s="735"/>
      <c r="I38" s="735"/>
      <c r="J38" s="52" t="s">
        <v>2214</v>
      </c>
      <c r="K38" s="52" t="s">
        <v>2214</v>
      </c>
      <c r="L38" s="735" t="s">
        <v>219</v>
      </c>
      <c r="M38" s="68"/>
      <c r="N38" s="738">
        <v>508000.0</v>
      </c>
      <c r="O38" s="735"/>
      <c r="P38" s="52" t="s">
        <v>2214</v>
      </c>
      <c r="Q38" s="52" t="s">
        <v>2214</v>
      </c>
      <c r="R38" s="737"/>
      <c r="S38" s="735"/>
      <c r="T38" s="737"/>
      <c r="U38" s="737"/>
    </row>
    <row r="39">
      <c r="A39" s="733">
        <v>44602.0</v>
      </c>
      <c r="B39" s="52" t="str">
        <f t="shared" si="1"/>
        <v>02/2022</v>
      </c>
      <c r="C39" s="52" t="str">
        <f>IF(A39="","",VLOOKUP(A39,'THAM CHIẾU'!$A:$B,2,0))</f>
        <v>#N/A</v>
      </c>
      <c r="D39" s="52" t="str">
        <f>IF(E39&lt;&gt;0,VLOOKUP(E39,DM_DUAN,3,0),"")</f>
        <v/>
      </c>
      <c r="E39" s="735"/>
      <c r="F39" s="735"/>
      <c r="G39" s="735"/>
      <c r="H39" s="735"/>
      <c r="I39" s="735"/>
      <c r="J39" s="52" t="s">
        <v>2214</v>
      </c>
      <c r="K39" s="52" t="s">
        <v>2214</v>
      </c>
      <c r="L39" s="735" t="s">
        <v>219</v>
      </c>
      <c r="M39" s="68"/>
      <c r="N39" s="738">
        <v>310000.0</v>
      </c>
      <c r="O39" s="735"/>
      <c r="P39" s="52" t="s">
        <v>2214</v>
      </c>
      <c r="Q39" s="52" t="s">
        <v>2214</v>
      </c>
      <c r="R39" s="737"/>
      <c r="S39" s="735"/>
      <c r="T39" s="737"/>
      <c r="U39" s="737"/>
    </row>
    <row r="40">
      <c r="A40" s="733">
        <v>44602.0</v>
      </c>
      <c r="B40" s="52" t="str">
        <f t="shared" si="1"/>
        <v>02/2022</v>
      </c>
      <c r="C40" s="52" t="str">
        <f>IF(A40="","",VLOOKUP(A40,'THAM CHIẾU'!$A:$B,2,0))</f>
        <v>#N/A</v>
      </c>
      <c r="D40" s="52" t="str">
        <f>IF(E40&lt;&gt;0,VLOOKUP(E40,DM_DUAN,3,0),"")</f>
        <v/>
      </c>
      <c r="E40" s="735"/>
      <c r="F40" s="735"/>
      <c r="G40" s="735"/>
      <c r="H40" s="735"/>
      <c r="I40" s="735"/>
      <c r="J40" s="52" t="s">
        <v>2214</v>
      </c>
      <c r="K40" s="52" t="s">
        <v>2214</v>
      </c>
      <c r="L40" s="735" t="s">
        <v>219</v>
      </c>
      <c r="M40" s="68"/>
      <c r="N40" s="738">
        <v>1157000.0</v>
      </c>
      <c r="O40" s="735"/>
      <c r="P40" s="52" t="s">
        <v>2214</v>
      </c>
      <c r="Q40" s="52" t="s">
        <v>2214</v>
      </c>
      <c r="R40" s="737"/>
      <c r="S40" s="735"/>
      <c r="T40" s="737"/>
      <c r="U40" s="737"/>
    </row>
    <row r="41">
      <c r="A41" s="733">
        <v>44603.0</v>
      </c>
      <c r="B41" s="52" t="str">
        <f t="shared" si="1"/>
        <v>02/2022</v>
      </c>
      <c r="C41" s="52" t="str">
        <f>IF(A41="","",VLOOKUP(A41,'THAM CHIẾU'!$A:$B,2,0))</f>
        <v>#N/A</v>
      </c>
      <c r="D41" s="52" t="str">
        <f>IF(E41&lt;&gt;0,VLOOKUP(E41,DM_DUAN,3,0),"")</f>
        <v/>
      </c>
      <c r="E41" s="735"/>
      <c r="F41" s="735"/>
      <c r="G41" s="735"/>
      <c r="H41" s="735"/>
      <c r="I41" s="735"/>
      <c r="J41" s="52" t="s">
        <v>2214</v>
      </c>
      <c r="K41" s="52" t="s">
        <v>2214</v>
      </c>
      <c r="L41" s="735" t="s">
        <v>206</v>
      </c>
      <c r="M41" s="68"/>
      <c r="N41" s="738">
        <v>200000.0</v>
      </c>
      <c r="O41" s="735"/>
      <c r="P41" s="52" t="s">
        <v>2214</v>
      </c>
      <c r="Q41" s="52" t="s">
        <v>2214</v>
      </c>
      <c r="R41" s="737"/>
      <c r="S41" s="735"/>
      <c r="T41" s="737"/>
      <c r="U41" s="737"/>
    </row>
    <row r="42">
      <c r="A42" s="733">
        <v>44603.0</v>
      </c>
      <c r="B42" s="52" t="str">
        <f t="shared" si="1"/>
        <v>02/2022</v>
      </c>
      <c r="C42" s="52" t="str">
        <f>IF(A42="","",VLOOKUP(A42,'THAM CHIẾU'!$A:$B,2,0))</f>
        <v>#N/A</v>
      </c>
      <c r="D42" s="52" t="str">
        <f>IF(E42&lt;&gt;0,VLOOKUP(E42,DM_DUAN,3,0),"")</f>
        <v/>
      </c>
      <c r="E42" s="735"/>
      <c r="F42" s="735"/>
      <c r="G42" s="735"/>
      <c r="H42" s="735"/>
      <c r="I42" s="735"/>
      <c r="J42" s="52" t="s">
        <v>2214</v>
      </c>
      <c r="K42" s="52" t="s">
        <v>2214</v>
      </c>
      <c r="L42" s="735" t="s">
        <v>206</v>
      </c>
      <c r="M42" s="68"/>
      <c r="N42" s="738">
        <v>880000.0</v>
      </c>
      <c r="O42" s="735"/>
      <c r="P42" s="52" t="s">
        <v>2214</v>
      </c>
      <c r="Q42" s="52" t="s">
        <v>2214</v>
      </c>
      <c r="R42" s="737"/>
      <c r="S42" s="735"/>
      <c r="T42" s="737"/>
      <c r="U42" s="737"/>
    </row>
    <row r="43">
      <c r="A43" s="733">
        <v>44606.0</v>
      </c>
      <c r="B43" s="52" t="str">
        <f t="shared" si="1"/>
        <v>02/2022</v>
      </c>
      <c r="C43" s="52" t="str">
        <f>IF(A43="","",VLOOKUP(A43,'THAM CHIẾU'!$A:$B,2,0))</f>
        <v>#N/A</v>
      </c>
      <c r="D43" s="52" t="str">
        <f>IF(E43&lt;&gt;0,VLOOKUP(E43,DM_DUAN,3,0),"")</f>
        <v/>
      </c>
      <c r="E43" s="735"/>
      <c r="F43" s="735"/>
      <c r="G43" s="735"/>
      <c r="H43" s="735"/>
      <c r="I43" s="735"/>
      <c r="J43" s="52" t="s">
        <v>2214</v>
      </c>
      <c r="K43" s="52" t="s">
        <v>2214</v>
      </c>
      <c r="L43" s="735" t="s">
        <v>380</v>
      </c>
      <c r="M43" s="68"/>
      <c r="N43" s="738">
        <v>60000.0</v>
      </c>
      <c r="O43" s="735"/>
      <c r="P43" s="52" t="s">
        <v>2214</v>
      </c>
      <c r="Q43" s="52" t="s">
        <v>2214</v>
      </c>
      <c r="R43" s="737"/>
      <c r="S43" s="735"/>
      <c r="T43" s="737"/>
      <c r="U43" s="737"/>
    </row>
    <row r="44">
      <c r="A44" s="733">
        <v>44606.0</v>
      </c>
      <c r="B44" s="52" t="str">
        <f t="shared" si="1"/>
        <v>02/2022</v>
      </c>
      <c r="C44" s="52" t="str">
        <f>IF(A44="","",VLOOKUP(A44,'THAM CHIẾU'!$A:$B,2,0))</f>
        <v>#N/A</v>
      </c>
      <c r="D44" s="52" t="str">
        <f>IF(E44&lt;&gt;0,VLOOKUP(E44,DM_DUAN,3,0),"")</f>
        <v/>
      </c>
      <c r="E44" s="735"/>
      <c r="F44" s="735"/>
      <c r="G44" s="735"/>
      <c r="H44" s="735"/>
      <c r="I44" s="735"/>
      <c r="J44" s="52" t="s">
        <v>2214</v>
      </c>
      <c r="K44" s="52" t="s">
        <v>2214</v>
      </c>
      <c r="L44" s="735" t="s">
        <v>226</v>
      </c>
      <c r="M44" s="68"/>
      <c r="N44" s="738">
        <v>140000.0</v>
      </c>
      <c r="O44" s="735"/>
      <c r="P44" s="52" t="s">
        <v>2214</v>
      </c>
      <c r="Q44" s="52" t="s">
        <v>2214</v>
      </c>
      <c r="R44" s="737"/>
      <c r="S44" s="735"/>
      <c r="T44" s="737"/>
      <c r="U44" s="737"/>
    </row>
    <row r="45">
      <c r="A45" s="733">
        <v>44607.0</v>
      </c>
      <c r="B45" s="52" t="str">
        <f t="shared" si="1"/>
        <v>02/2022</v>
      </c>
      <c r="C45" s="52" t="str">
        <f>IF(A45="","",VLOOKUP(A45,'THAM CHIẾU'!$A:$B,2,0))</f>
        <v>#N/A</v>
      </c>
      <c r="D45" s="52" t="str">
        <f>IF(E45&lt;&gt;0,VLOOKUP(E45,DM_DUAN,3,0),"")</f>
        <v/>
      </c>
      <c r="E45" s="735"/>
      <c r="F45" s="735"/>
      <c r="G45" s="735"/>
      <c r="H45" s="735"/>
      <c r="I45" s="735"/>
      <c r="J45" s="52" t="s">
        <v>2214</v>
      </c>
      <c r="K45" s="52" t="s">
        <v>2214</v>
      </c>
      <c r="L45" s="735" t="s">
        <v>219</v>
      </c>
      <c r="M45" s="68"/>
      <c r="N45" s="738">
        <v>195000.0</v>
      </c>
      <c r="O45" s="735"/>
      <c r="P45" s="52" t="s">
        <v>2214</v>
      </c>
      <c r="Q45" s="52" t="s">
        <v>2214</v>
      </c>
      <c r="R45" s="737"/>
      <c r="S45" s="735"/>
      <c r="T45" s="737"/>
      <c r="U45" s="737"/>
    </row>
    <row r="46">
      <c r="A46" s="733">
        <v>44608.0</v>
      </c>
      <c r="B46" s="52" t="str">
        <f t="shared" si="1"/>
        <v>02/2022</v>
      </c>
      <c r="C46" s="52" t="str">
        <f>IF(A46="","",VLOOKUP(A46,'THAM CHIẾU'!$A:$B,2,0))</f>
        <v>#N/A</v>
      </c>
      <c r="D46" s="52" t="str">
        <f>IF(E46&lt;&gt;0,VLOOKUP(E46,DM_DUAN,3,0),"")</f>
        <v/>
      </c>
      <c r="E46" s="735"/>
      <c r="F46" s="735"/>
      <c r="G46" s="735"/>
      <c r="H46" s="735"/>
      <c r="I46" s="735"/>
      <c r="J46" s="52" t="s">
        <v>2214</v>
      </c>
      <c r="K46" s="52" t="s">
        <v>2214</v>
      </c>
      <c r="L46" s="735" t="s">
        <v>262</v>
      </c>
      <c r="M46" s="68"/>
      <c r="N46" s="738">
        <v>1080000.0</v>
      </c>
      <c r="O46" s="735"/>
      <c r="P46" s="52" t="s">
        <v>2214</v>
      </c>
      <c r="Q46" s="52" t="s">
        <v>2214</v>
      </c>
      <c r="R46" s="737"/>
      <c r="S46" s="735"/>
      <c r="T46" s="737"/>
      <c r="U46" s="737"/>
    </row>
    <row r="47">
      <c r="A47" s="733">
        <v>44608.0</v>
      </c>
      <c r="B47" s="52" t="str">
        <f t="shared" si="1"/>
        <v>02/2022</v>
      </c>
      <c r="C47" s="52" t="str">
        <f>IF(A47="","",VLOOKUP(A47,'THAM CHIẾU'!$A:$B,2,0))</f>
        <v>#N/A</v>
      </c>
      <c r="D47" s="52" t="str">
        <f>IF(E47&lt;&gt;0,VLOOKUP(E47,DM_DUAN,3,0),"")</f>
        <v/>
      </c>
      <c r="E47" s="735"/>
      <c r="F47" s="735"/>
      <c r="G47" s="735"/>
      <c r="H47" s="735"/>
      <c r="I47" s="735"/>
      <c r="J47" s="52" t="s">
        <v>2214</v>
      </c>
      <c r="K47" s="52" t="s">
        <v>2214</v>
      </c>
      <c r="L47" s="735" t="s">
        <v>222</v>
      </c>
      <c r="M47" s="68"/>
      <c r="N47" s="738">
        <v>110000.0</v>
      </c>
      <c r="O47" s="735"/>
      <c r="P47" s="52" t="s">
        <v>2214</v>
      </c>
      <c r="Q47" s="52" t="s">
        <v>2214</v>
      </c>
      <c r="R47" s="737"/>
      <c r="S47" s="735"/>
      <c r="T47" s="737"/>
      <c r="U47" s="737"/>
    </row>
    <row r="48">
      <c r="A48" s="733">
        <v>44610.0</v>
      </c>
      <c r="B48" s="52" t="str">
        <f t="shared" si="1"/>
        <v>02/2022</v>
      </c>
      <c r="C48" s="52" t="str">
        <f>IF(A48="","",VLOOKUP(A48,'THAM CHIẾU'!$A:$B,2,0))</f>
        <v>#N/A</v>
      </c>
      <c r="D48" s="52" t="str">
        <f>IF(E48&lt;&gt;0,VLOOKUP(E48,DM_DUAN,3,0),"")</f>
        <v/>
      </c>
      <c r="E48" s="735"/>
      <c r="F48" s="735"/>
      <c r="G48" s="735"/>
      <c r="H48" s="735"/>
      <c r="I48" s="735"/>
      <c r="J48" s="52" t="s">
        <v>2214</v>
      </c>
      <c r="K48" s="52" t="s">
        <v>2214</v>
      </c>
      <c r="L48" s="735" t="s">
        <v>226</v>
      </c>
      <c r="M48" s="68"/>
      <c r="N48" s="738">
        <v>135000.0</v>
      </c>
      <c r="O48" s="735"/>
      <c r="P48" s="52" t="s">
        <v>2214</v>
      </c>
      <c r="Q48" s="52" t="s">
        <v>2214</v>
      </c>
      <c r="R48" s="737"/>
      <c r="S48" s="735"/>
      <c r="T48" s="737"/>
      <c r="U48" s="737"/>
    </row>
    <row r="49">
      <c r="A49" s="733">
        <v>44611.0</v>
      </c>
      <c r="B49" s="52" t="str">
        <f t="shared" si="1"/>
        <v>02/2022</v>
      </c>
      <c r="C49" s="52" t="str">
        <f>IF(A49="","",VLOOKUP(A49,'THAM CHIẾU'!$A:$B,2,0))</f>
        <v>#N/A</v>
      </c>
      <c r="D49" s="52" t="str">
        <f>IF(E49&lt;&gt;0,VLOOKUP(E49,DM_DUAN,3,0),"")</f>
        <v/>
      </c>
      <c r="E49" s="735"/>
      <c r="F49" s="735"/>
      <c r="G49" s="735"/>
      <c r="H49" s="735"/>
      <c r="I49" s="735"/>
      <c r="J49" s="52" t="s">
        <v>2214</v>
      </c>
      <c r="K49" s="52" t="s">
        <v>2214</v>
      </c>
      <c r="L49" s="735" t="s">
        <v>222</v>
      </c>
      <c r="M49" s="68"/>
      <c r="N49" s="738">
        <v>100000.0</v>
      </c>
      <c r="O49" s="735"/>
      <c r="P49" s="52" t="s">
        <v>2214</v>
      </c>
      <c r="Q49" s="52" t="s">
        <v>2214</v>
      </c>
      <c r="R49" s="737"/>
      <c r="S49" s="735"/>
      <c r="T49" s="737"/>
      <c r="U49" s="737"/>
    </row>
    <row r="50">
      <c r="A50" s="733">
        <v>44614.0</v>
      </c>
      <c r="B50" s="52" t="str">
        <f t="shared" si="1"/>
        <v>02/2022</v>
      </c>
      <c r="C50" s="52" t="str">
        <f>IF(A50="","",VLOOKUP(A50,'THAM CHIẾU'!$A:$B,2,0))</f>
        <v>#N/A</v>
      </c>
      <c r="D50" s="52" t="str">
        <f>IF(E50&lt;&gt;0,VLOOKUP(E50,DM_DUAN,3,0),"")</f>
        <v/>
      </c>
      <c r="E50" s="735"/>
      <c r="F50" s="735"/>
      <c r="G50" s="735"/>
      <c r="H50" s="735"/>
      <c r="I50" s="735"/>
      <c r="J50" s="52" t="s">
        <v>2214</v>
      </c>
      <c r="K50" s="52" t="s">
        <v>2214</v>
      </c>
      <c r="L50" s="735" t="s">
        <v>272</v>
      </c>
      <c r="M50" s="68"/>
      <c r="N50" s="738">
        <v>1829000.0</v>
      </c>
      <c r="O50" s="735"/>
      <c r="P50" s="52" t="s">
        <v>2214</v>
      </c>
      <c r="Q50" s="52" t="s">
        <v>2214</v>
      </c>
      <c r="R50" s="737"/>
      <c r="S50" s="735"/>
      <c r="T50" s="737"/>
      <c r="U50" s="737"/>
    </row>
    <row r="51">
      <c r="A51" s="733">
        <v>44614.0</v>
      </c>
      <c r="B51" s="52" t="str">
        <f t="shared" si="1"/>
        <v>02/2022</v>
      </c>
      <c r="C51" s="52" t="str">
        <f>IF(A51="","",VLOOKUP(A51,'THAM CHIẾU'!$A:$B,2,0))</f>
        <v>#N/A</v>
      </c>
      <c r="D51" s="52" t="str">
        <f>IF(E51&lt;&gt;0,VLOOKUP(E51,DM_DUAN,3,0),"")</f>
        <v/>
      </c>
      <c r="E51" s="735"/>
      <c r="F51" s="735"/>
      <c r="G51" s="735"/>
      <c r="H51" s="735"/>
      <c r="I51" s="735"/>
      <c r="J51" s="52" t="s">
        <v>2214</v>
      </c>
      <c r="K51" s="52" t="s">
        <v>2214</v>
      </c>
      <c r="L51" s="735" t="s">
        <v>255</v>
      </c>
      <c r="M51" s="68"/>
      <c r="N51" s="738">
        <v>2154000.0</v>
      </c>
      <c r="O51" s="735"/>
      <c r="P51" s="52" t="s">
        <v>2214</v>
      </c>
      <c r="Q51" s="52" t="s">
        <v>2214</v>
      </c>
      <c r="R51" s="737"/>
      <c r="S51" s="735"/>
      <c r="T51" s="737"/>
      <c r="U51" s="737"/>
    </row>
    <row r="52">
      <c r="A52" s="733">
        <v>44615.0</v>
      </c>
      <c r="B52" s="52" t="str">
        <f t="shared" si="1"/>
        <v>02/2022</v>
      </c>
      <c r="C52" s="52" t="str">
        <f>IF(A52="","",VLOOKUP(A52,'THAM CHIẾU'!$A:$B,2,0))</f>
        <v>#N/A</v>
      </c>
      <c r="D52" s="52" t="str">
        <f>IF(E52&lt;&gt;0,VLOOKUP(E52,DM_DUAN,3,0),"")</f>
        <v/>
      </c>
      <c r="E52" s="735"/>
      <c r="F52" s="735"/>
      <c r="G52" s="735"/>
      <c r="H52" s="735"/>
      <c r="I52" s="735"/>
      <c r="J52" s="52" t="s">
        <v>2214</v>
      </c>
      <c r="K52" s="52" t="s">
        <v>2214</v>
      </c>
      <c r="L52" s="735" t="s">
        <v>270</v>
      </c>
      <c r="M52" s="68"/>
      <c r="N52" s="738">
        <v>2000000.0</v>
      </c>
      <c r="O52" s="735"/>
      <c r="P52" s="52" t="s">
        <v>2214</v>
      </c>
      <c r="Q52" s="52" t="s">
        <v>2214</v>
      </c>
      <c r="R52" s="737"/>
      <c r="S52" s="735"/>
      <c r="T52" s="737"/>
      <c r="U52" s="737"/>
    </row>
    <row r="53">
      <c r="A53" s="733"/>
      <c r="B53" s="52" t="str">
        <f t="shared" si="1"/>
        <v/>
      </c>
      <c r="C53" s="52" t="str">
        <f>IF(A53="","",VLOOKUP(A53,'THAM CHIẾU'!$A:$B,2,0))</f>
        <v/>
      </c>
      <c r="D53" s="52" t="str">
        <f>IF(E53&lt;&gt;0,VLOOKUP(E53,DM_DUAN,3,0),"")</f>
        <v/>
      </c>
      <c r="E53" s="735"/>
      <c r="F53" s="735"/>
      <c r="G53" s="735"/>
      <c r="H53" s="735"/>
      <c r="I53" s="735"/>
      <c r="J53" s="52" t="s">
        <v>2214</v>
      </c>
      <c r="K53" s="52" t="s">
        <v>2214</v>
      </c>
      <c r="L53" s="735" t="s">
        <v>169</v>
      </c>
      <c r="M53" s="68"/>
      <c r="N53" s="739"/>
      <c r="O53" s="735"/>
      <c r="P53" s="52" t="s">
        <v>2214</v>
      </c>
      <c r="Q53" s="52" t="s">
        <v>2214</v>
      </c>
      <c r="R53" s="737"/>
      <c r="S53" s="735"/>
      <c r="T53" s="737"/>
      <c r="U53" s="737"/>
    </row>
    <row r="54">
      <c r="A54" s="733">
        <v>44616.0</v>
      </c>
      <c r="B54" s="52" t="str">
        <f t="shared" si="1"/>
        <v>02/2022</v>
      </c>
      <c r="C54" s="52" t="str">
        <f>IF(A54="","",VLOOKUP(A54,'THAM CHIẾU'!$A:$B,2,0))</f>
        <v>#N/A</v>
      </c>
      <c r="D54" s="52" t="str">
        <f>IF(E54&lt;&gt;0,VLOOKUP(E54,DM_DUAN,3,0),"")</f>
        <v/>
      </c>
      <c r="E54" s="735"/>
      <c r="F54" s="735"/>
      <c r="G54" s="735"/>
      <c r="H54" s="735"/>
      <c r="I54" s="735"/>
      <c r="J54" s="52" t="s">
        <v>2214</v>
      </c>
      <c r="K54" s="52" t="s">
        <v>2214</v>
      </c>
      <c r="L54" s="735" t="s">
        <v>222</v>
      </c>
      <c r="M54" s="68"/>
      <c r="N54" s="738">
        <v>110000.0</v>
      </c>
      <c r="O54" s="735"/>
      <c r="P54" s="52" t="s">
        <v>2214</v>
      </c>
      <c r="Q54" s="52" t="s">
        <v>2214</v>
      </c>
      <c r="R54" s="737"/>
      <c r="S54" s="735"/>
      <c r="T54" s="737"/>
      <c r="U54" s="737"/>
    </row>
    <row r="55">
      <c r="A55" s="733">
        <v>44617.0</v>
      </c>
      <c r="B55" s="52" t="str">
        <f t="shared" si="1"/>
        <v>02/2022</v>
      </c>
      <c r="C55" s="52" t="str">
        <f>IF(A55="","",VLOOKUP(A55,'THAM CHIẾU'!$A:$B,2,0))</f>
        <v>#N/A</v>
      </c>
      <c r="D55" s="52" t="str">
        <f>IF(E55&lt;&gt;0,VLOOKUP(E55,DM_DUAN,3,0),"")</f>
        <v/>
      </c>
      <c r="E55" s="735"/>
      <c r="F55" s="735"/>
      <c r="G55" s="735"/>
      <c r="H55" s="735"/>
      <c r="I55" s="735"/>
      <c r="J55" s="52" t="s">
        <v>2214</v>
      </c>
      <c r="K55" s="52" t="s">
        <v>2214</v>
      </c>
      <c r="L55" s="735" t="s">
        <v>410</v>
      </c>
      <c r="M55" s="68"/>
      <c r="N55" s="738">
        <v>1499000.0</v>
      </c>
      <c r="O55" s="735"/>
      <c r="P55" s="52" t="s">
        <v>2214</v>
      </c>
      <c r="Q55" s="52" t="s">
        <v>2214</v>
      </c>
      <c r="R55" s="737"/>
      <c r="S55" s="735"/>
      <c r="T55" s="737"/>
      <c r="U55" s="737"/>
    </row>
    <row r="56">
      <c r="A56" s="733">
        <v>44618.0</v>
      </c>
      <c r="B56" s="52" t="str">
        <f t="shared" si="1"/>
        <v>02/2022</v>
      </c>
      <c r="C56" s="52" t="str">
        <f>IF(A56="","",VLOOKUP(A56,'THAM CHIẾU'!$A:$B,2,0))</f>
        <v>#N/A</v>
      </c>
      <c r="D56" s="52" t="str">
        <f>IF(E56&lt;&gt;0,VLOOKUP(E56,DM_DUAN,3,0),"")</f>
        <v/>
      </c>
      <c r="E56" s="735"/>
      <c r="F56" s="735"/>
      <c r="G56" s="735"/>
      <c r="H56" s="735"/>
      <c r="I56" s="735"/>
      <c r="J56" s="52" t="s">
        <v>2214</v>
      </c>
      <c r="K56" s="52" t="s">
        <v>2214</v>
      </c>
      <c r="L56" s="735" t="s">
        <v>380</v>
      </c>
      <c r="M56" s="68"/>
      <c r="N56" s="738">
        <v>293000.0</v>
      </c>
      <c r="O56" s="735"/>
      <c r="P56" s="52" t="s">
        <v>2214</v>
      </c>
      <c r="Q56" s="52" t="s">
        <v>2214</v>
      </c>
      <c r="R56" s="737"/>
      <c r="S56" s="735"/>
      <c r="T56" s="737"/>
      <c r="U56" s="737"/>
    </row>
    <row r="57">
      <c r="A57" s="733">
        <v>44618.0</v>
      </c>
      <c r="B57" s="52" t="str">
        <f t="shared" si="1"/>
        <v>02/2022</v>
      </c>
      <c r="C57" s="52" t="str">
        <f>IF(A57="","",VLOOKUP(A57,'THAM CHIẾU'!$A:$B,2,0))</f>
        <v>#N/A</v>
      </c>
      <c r="D57" s="52" t="str">
        <f>IF(E57&lt;&gt;0,VLOOKUP(E57,DM_DUAN,3,0),"")</f>
        <v/>
      </c>
      <c r="E57" s="735"/>
      <c r="F57" s="735"/>
      <c r="G57" s="735"/>
      <c r="H57" s="735"/>
      <c r="I57" s="735"/>
      <c r="J57" s="52" t="s">
        <v>2214</v>
      </c>
      <c r="K57" s="52" t="s">
        <v>2214</v>
      </c>
      <c r="L57" s="735" t="s">
        <v>377</v>
      </c>
      <c r="M57" s="68"/>
      <c r="N57" s="738">
        <v>170000.0</v>
      </c>
      <c r="O57" s="735"/>
      <c r="P57" s="52" t="s">
        <v>2214</v>
      </c>
      <c r="Q57" s="52" t="s">
        <v>2214</v>
      </c>
      <c r="R57" s="737"/>
      <c r="S57" s="735"/>
      <c r="T57" s="737"/>
      <c r="U57" s="737"/>
    </row>
    <row r="58">
      <c r="A58" s="733">
        <v>44618.0</v>
      </c>
      <c r="B58" s="52" t="str">
        <f t="shared" si="1"/>
        <v>02/2022</v>
      </c>
      <c r="C58" s="52" t="str">
        <f>IF(A58="","",VLOOKUP(A58,'THAM CHIẾU'!$A:$B,2,0))</f>
        <v>#N/A</v>
      </c>
      <c r="D58" s="52" t="str">
        <f>IF(E58&lt;&gt;0,VLOOKUP(E58,DM_DUAN,3,0),"")</f>
        <v/>
      </c>
      <c r="E58" s="735"/>
      <c r="F58" s="735"/>
      <c r="G58" s="735"/>
      <c r="H58" s="735"/>
      <c r="I58" s="735"/>
      <c r="J58" s="52" t="s">
        <v>2214</v>
      </c>
      <c r="K58" s="52" t="s">
        <v>2214</v>
      </c>
      <c r="L58" s="735" t="s">
        <v>413</v>
      </c>
      <c r="M58" s="68"/>
      <c r="N58" s="738">
        <v>1830000.0</v>
      </c>
      <c r="O58" s="735"/>
      <c r="P58" s="52" t="s">
        <v>2214</v>
      </c>
      <c r="Q58" s="52" t="s">
        <v>2214</v>
      </c>
      <c r="R58" s="737"/>
      <c r="S58" s="735"/>
      <c r="T58" s="737"/>
      <c r="U58" s="737"/>
    </row>
    <row r="59">
      <c r="A59" s="733">
        <v>44618.0</v>
      </c>
      <c r="B59" s="52" t="str">
        <f t="shared" si="1"/>
        <v>02/2022</v>
      </c>
      <c r="C59" s="52" t="str">
        <f>IF(A59="","",VLOOKUP(A59,'THAM CHIẾU'!$A:$B,2,0))</f>
        <v>#N/A</v>
      </c>
      <c r="D59" s="52" t="str">
        <f>IF(E59&lt;&gt;0,VLOOKUP(E59,DM_DUAN,3,0),"")</f>
        <v/>
      </c>
      <c r="E59" s="735"/>
      <c r="F59" s="735"/>
      <c r="G59" s="735"/>
      <c r="H59" s="735"/>
      <c r="I59" s="735"/>
      <c r="J59" s="52" t="s">
        <v>2214</v>
      </c>
      <c r="K59" s="52" t="s">
        <v>2214</v>
      </c>
      <c r="L59" s="735" t="s">
        <v>226</v>
      </c>
      <c r="M59" s="68"/>
      <c r="N59" s="738">
        <v>216000.0</v>
      </c>
      <c r="O59" s="735"/>
      <c r="P59" s="52" t="s">
        <v>2214</v>
      </c>
      <c r="Q59" s="52" t="s">
        <v>2214</v>
      </c>
      <c r="R59" s="737"/>
      <c r="S59" s="735"/>
      <c r="T59" s="737"/>
      <c r="U59" s="737"/>
    </row>
    <row r="60">
      <c r="A60" s="733">
        <v>44620.0</v>
      </c>
      <c r="B60" s="52" t="str">
        <f t="shared" si="1"/>
        <v>02/2022</v>
      </c>
      <c r="C60" s="52" t="str">
        <f>IF(A60="","",VLOOKUP(A60,'THAM CHIẾU'!$A:$B,2,0))</f>
        <v>#N/A</v>
      </c>
      <c r="D60" s="52" t="str">
        <f>IF(E60&lt;&gt;0,VLOOKUP(E60,DM_DUAN,3,0),"")</f>
        <v/>
      </c>
      <c r="E60" s="735"/>
      <c r="F60" s="735"/>
      <c r="G60" s="735"/>
      <c r="H60" s="735"/>
      <c r="I60" s="735"/>
      <c r="J60" s="52" t="s">
        <v>2214</v>
      </c>
      <c r="K60" s="52" t="s">
        <v>2214</v>
      </c>
      <c r="L60" s="735" t="s">
        <v>270</v>
      </c>
      <c r="M60" s="68"/>
      <c r="N60" s="738">
        <v>5428571.0</v>
      </c>
      <c r="O60" s="735"/>
      <c r="P60" s="52" t="s">
        <v>2214</v>
      </c>
      <c r="Q60" s="52" t="s">
        <v>2214</v>
      </c>
      <c r="R60" s="737"/>
      <c r="S60" s="735"/>
      <c r="T60" s="737"/>
      <c r="U60" s="737"/>
    </row>
    <row r="61">
      <c r="A61" s="733">
        <v>44620.0</v>
      </c>
      <c r="B61" s="52" t="str">
        <f t="shared" si="1"/>
        <v>02/2022</v>
      </c>
      <c r="C61" s="52" t="str">
        <f>IF(A61="","",VLOOKUP(A61,'THAM CHIẾU'!$A:$B,2,0))</f>
        <v>#N/A</v>
      </c>
      <c r="D61" s="52" t="str">
        <f>IF(E61&lt;&gt;0,VLOOKUP(E61,DM_DUAN,3,0),"")</f>
        <v/>
      </c>
      <c r="E61" s="735"/>
      <c r="F61" s="735"/>
      <c r="G61" s="735"/>
      <c r="H61" s="735"/>
      <c r="I61" s="735"/>
      <c r="J61" s="52" t="s">
        <v>2214</v>
      </c>
      <c r="K61" s="52" t="s">
        <v>2214</v>
      </c>
      <c r="L61" s="735" t="s">
        <v>270</v>
      </c>
      <c r="M61" s="68"/>
      <c r="N61" s="738">
        <v>1.6285714E7</v>
      </c>
      <c r="O61" s="735"/>
      <c r="P61" s="52" t="s">
        <v>2214</v>
      </c>
      <c r="Q61" s="52" t="s">
        <v>2214</v>
      </c>
      <c r="R61" s="737"/>
      <c r="S61" s="735"/>
      <c r="T61" s="737"/>
      <c r="U61" s="737"/>
    </row>
    <row r="62">
      <c r="A62" s="733">
        <v>44620.0</v>
      </c>
      <c r="B62" s="52" t="str">
        <f t="shared" si="1"/>
        <v>02/2022</v>
      </c>
      <c r="C62" s="52" t="str">
        <f>IF(A62="","",VLOOKUP(A62,'THAM CHIẾU'!$A:$B,2,0))</f>
        <v>#N/A</v>
      </c>
      <c r="D62" s="52" t="str">
        <f>IF(E62&lt;&gt;0,VLOOKUP(E62,DM_DUAN,3,0),"")</f>
        <v/>
      </c>
      <c r="E62" s="735"/>
      <c r="F62" s="735"/>
      <c r="G62" s="735"/>
      <c r="H62" s="735"/>
      <c r="I62" s="735"/>
      <c r="J62" s="52" t="s">
        <v>2214</v>
      </c>
      <c r="K62" s="52" t="s">
        <v>2214</v>
      </c>
      <c r="L62" s="735" t="s">
        <v>270</v>
      </c>
      <c r="M62" s="68"/>
      <c r="N62" s="738">
        <v>1.0857143E7</v>
      </c>
      <c r="O62" s="735"/>
      <c r="P62" s="52" t="s">
        <v>2214</v>
      </c>
      <c r="Q62" s="52" t="s">
        <v>2214</v>
      </c>
      <c r="R62" s="737"/>
      <c r="S62" s="735"/>
      <c r="T62" s="737"/>
      <c r="U62" s="737"/>
    </row>
    <row r="63">
      <c r="A63" s="733">
        <v>44620.0</v>
      </c>
      <c r="B63" s="52" t="str">
        <f t="shared" si="1"/>
        <v>02/2022</v>
      </c>
      <c r="C63" s="52" t="str">
        <f>IF(A63="","",VLOOKUP(A63,'THAM CHIẾU'!$A:$B,2,0))</f>
        <v>#N/A</v>
      </c>
      <c r="D63" s="52" t="str">
        <f>IF(E63&lt;&gt;0,VLOOKUP(E63,DM_DUAN,3,0),"")</f>
        <v/>
      </c>
      <c r="E63" s="735"/>
      <c r="F63" s="735"/>
      <c r="G63" s="735"/>
      <c r="H63" s="735"/>
      <c r="I63" s="735"/>
      <c r="J63" s="52" t="s">
        <v>2214</v>
      </c>
      <c r="K63" s="52" t="s">
        <v>2214</v>
      </c>
      <c r="L63" s="735" t="s">
        <v>270</v>
      </c>
      <c r="M63" s="68"/>
      <c r="N63" s="738">
        <v>5428571.0</v>
      </c>
      <c r="O63" s="735"/>
      <c r="P63" s="52" t="s">
        <v>2214</v>
      </c>
      <c r="Q63" s="52" t="s">
        <v>2214</v>
      </c>
      <c r="R63" s="737"/>
      <c r="S63" s="735"/>
      <c r="T63" s="737"/>
      <c r="U63" s="737"/>
    </row>
    <row r="64">
      <c r="A64" s="733">
        <v>44620.0</v>
      </c>
      <c r="B64" s="52" t="str">
        <f t="shared" si="1"/>
        <v>02/2022</v>
      </c>
      <c r="C64" s="52" t="str">
        <f>IF(A64="","",VLOOKUP(A64,'THAM CHIẾU'!$A:$B,2,0))</f>
        <v>#N/A</v>
      </c>
      <c r="D64" s="52" t="str">
        <f>IF(E64&lt;&gt;0,VLOOKUP(E64,DM_DUAN,3,0),"")</f>
        <v/>
      </c>
      <c r="E64" s="735"/>
      <c r="F64" s="735"/>
      <c r="G64" s="735"/>
      <c r="H64" s="735"/>
      <c r="I64" s="735"/>
      <c r="J64" s="52" t="s">
        <v>2214</v>
      </c>
      <c r="K64" s="52" t="s">
        <v>2214</v>
      </c>
      <c r="L64" s="735" t="s">
        <v>270</v>
      </c>
      <c r="M64" s="68"/>
      <c r="N64" s="738">
        <v>4333333.0</v>
      </c>
      <c r="O64" s="735"/>
      <c r="P64" s="52" t="s">
        <v>2214</v>
      </c>
      <c r="Q64" s="52" t="s">
        <v>2214</v>
      </c>
      <c r="R64" s="737"/>
      <c r="S64" s="735"/>
      <c r="T64" s="737"/>
      <c r="U64" s="737"/>
    </row>
    <row r="65">
      <c r="A65" s="733">
        <v>44620.0</v>
      </c>
      <c r="B65" s="52" t="str">
        <f t="shared" si="1"/>
        <v>02/2022</v>
      </c>
      <c r="C65" s="52" t="str">
        <f>IF(A65="","",VLOOKUP(A65,'THAM CHIẾU'!$A:$B,2,0))</f>
        <v>#N/A</v>
      </c>
      <c r="D65" s="52" t="str">
        <f>IF(E65&lt;&gt;0,VLOOKUP(E65,DM_DUAN,3,0),"")</f>
        <v/>
      </c>
      <c r="E65" s="735"/>
      <c r="F65" s="735"/>
      <c r="G65" s="735"/>
      <c r="H65" s="735"/>
      <c r="I65" s="735"/>
      <c r="J65" s="52" t="s">
        <v>2214</v>
      </c>
      <c r="K65" s="52" t="s">
        <v>2214</v>
      </c>
      <c r="L65" s="735" t="s">
        <v>270</v>
      </c>
      <c r="M65" s="68"/>
      <c r="N65" s="738">
        <v>6050000.0</v>
      </c>
      <c r="O65" s="735"/>
      <c r="P65" s="52" t="s">
        <v>2214</v>
      </c>
      <c r="Q65" s="52" t="s">
        <v>2214</v>
      </c>
      <c r="R65" s="737"/>
      <c r="S65" s="735"/>
      <c r="T65" s="737"/>
      <c r="U65" s="737"/>
    </row>
    <row r="66">
      <c r="A66" s="733">
        <v>44620.0</v>
      </c>
      <c r="B66" s="52" t="str">
        <f t="shared" si="1"/>
        <v>02/2022</v>
      </c>
      <c r="C66" s="52" t="str">
        <f>IF(A66="","",VLOOKUP(A66,'THAM CHIẾU'!$A:$B,2,0))</f>
        <v>#N/A</v>
      </c>
      <c r="D66" s="52" t="str">
        <f>IF(E66&lt;&gt;0,VLOOKUP(E66,DM_DUAN,3,0),"")</f>
        <v/>
      </c>
      <c r="E66" s="735"/>
      <c r="F66" s="735"/>
      <c r="G66" s="735"/>
      <c r="H66" s="735"/>
      <c r="I66" s="735"/>
      <c r="J66" s="52" t="s">
        <v>2214</v>
      </c>
      <c r="K66" s="52" t="s">
        <v>2214</v>
      </c>
      <c r="L66" s="735" t="s">
        <v>270</v>
      </c>
      <c r="M66" s="68"/>
      <c r="N66" s="738">
        <v>4000000.0</v>
      </c>
      <c r="O66" s="735"/>
      <c r="P66" s="52" t="s">
        <v>2214</v>
      </c>
      <c r="Q66" s="52" t="s">
        <v>2214</v>
      </c>
      <c r="R66" s="737"/>
      <c r="S66" s="735"/>
      <c r="T66" s="737"/>
      <c r="U66" s="737"/>
    </row>
    <row r="67">
      <c r="A67" s="733">
        <v>44620.0</v>
      </c>
      <c r="B67" s="52" t="str">
        <f t="shared" si="1"/>
        <v>02/2022</v>
      </c>
      <c r="C67" s="52" t="str">
        <f>IF(A67="","",VLOOKUP(A67,'THAM CHIẾU'!$A:$B,2,0))</f>
        <v>#N/A</v>
      </c>
      <c r="D67" s="52" t="str">
        <f>IF(E67&lt;&gt;0,VLOOKUP(E67,DM_DUAN,3,0),"")</f>
        <v/>
      </c>
      <c r="E67" s="735"/>
      <c r="F67" s="735"/>
      <c r="G67" s="735"/>
      <c r="H67" s="735"/>
      <c r="I67" s="735"/>
      <c r="J67" s="52" t="s">
        <v>2214</v>
      </c>
      <c r="K67" s="52" t="s">
        <v>2214</v>
      </c>
      <c r="L67" s="735"/>
      <c r="M67" s="68"/>
      <c r="N67" s="739"/>
      <c r="O67" s="735"/>
      <c r="P67" s="52" t="s">
        <v>2214</v>
      </c>
      <c r="Q67" s="52" t="s">
        <v>2214</v>
      </c>
      <c r="R67" s="737"/>
      <c r="S67" s="735"/>
      <c r="T67" s="737"/>
      <c r="U67" s="737"/>
    </row>
    <row r="68">
      <c r="A68" s="733">
        <v>44618.0</v>
      </c>
      <c r="B68" s="52" t="str">
        <f t="shared" si="1"/>
        <v>02/2022</v>
      </c>
      <c r="C68" s="52" t="str">
        <f>IF(A68="","",VLOOKUP(A68,'THAM CHIẾU'!$A:$B,2,0))</f>
        <v>#N/A</v>
      </c>
      <c r="D68" s="52" t="str">
        <f>IF(E68&lt;&gt;0,VLOOKUP(E68,DM_DUAN,3,0),"")</f>
        <v/>
      </c>
      <c r="E68" s="735"/>
      <c r="F68" s="735"/>
      <c r="G68" s="735"/>
      <c r="H68" s="735"/>
      <c r="I68" s="735"/>
      <c r="J68" s="52" t="s">
        <v>2214</v>
      </c>
      <c r="K68" s="52" t="s">
        <v>2214</v>
      </c>
      <c r="L68" s="735" t="s">
        <v>206</v>
      </c>
      <c r="M68" s="68"/>
      <c r="N68" s="738">
        <v>726000.0</v>
      </c>
      <c r="O68" s="735"/>
      <c r="P68" s="52" t="s">
        <v>2214</v>
      </c>
      <c r="Q68" s="52" t="s">
        <v>2214</v>
      </c>
      <c r="R68" s="737"/>
      <c r="S68" s="735"/>
      <c r="T68" s="737"/>
      <c r="U68" s="737"/>
    </row>
    <row r="69">
      <c r="A69" s="733">
        <v>44618.0</v>
      </c>
      <c r="B69" s="52" t="str">
        <f t="shared" si="1"/>
        <v>02/2022</v>
      </c>
      <c r="C69" s="52" t="str">
        <f>IF(A69="","",VLOOKUP(A69,'THAM CHIẾU'!$A:$B,2,0))</f>
        <v>#N/A</v>
      </c>
      <c r="D69" s="52" t="str">
        <f>IF(E69&lt;&gt;0,VLOOKUP(E69,DM_DUAN,3,0),"")</f>
        <v/>
      </c>
      <c r="E69" s="735"/>
      <c r="F69" s="735"/>
      <c r="G69" s="735"/>
      <c r="H69" s="735"/>
      <c r="I69" s="735"/>
      <c r="J69" s="52" t="s">
        <v>2214</v>
      </c>
      <c r="K69" s="52" t="s">
        <v>2214</v>
      </c>
      <c r="L69" s="735" t="s">
        <v>419</v>
      </c>
      <c r="M69" s="68"/>
      <c r="N69" s="738">
        <v>137500.0</v>
      </c>
      <c r="O69" s="735"/>
      <c r="P69" s="52" t="s">
        <v>2214</v>
      </c>
      <c r="Q69" s="52" t="s">
        <v>2214</v>
      </c>
      <c r="R69" s="737"/>
      <c r="S69" s="735"/>
      <c r="T69" s="737"/>
      <c r="U69" s="737"/>
    </row>
    <row r="70">
      <c r="A70" s="733">
        <v>44618.0</v>
      </c>
      <c r="B70" s="52" t="str">
        <f t="shared" si="1"/>
        <v>02/2022</v>
      </c>
      <c r="C70" s="52" t="str">
        <f>IF(A70="","",VLOOKUP(A70,'THAM CHIẾU'!$A:$B,2,0))</f>
        <v>#N/A</v>
      </c>
      <c r="D70" s="52" t="str">
        <f>IF(E70&lt;&gt;0,VLOOKUP(E70,DM_DUAN,3,0),"")</f>
        <v/>
      </c>
      <c r="E70" s="735"/>
      <c r="F70" s="735"/>
      <c r="G70" s="735"/>
      <c r="H70" s="735"/>
      <c r="I70" s="735"/>
      <c r="J70" s="52" t="s">
        <v>2214</v>
      </c>
      <c r="K70" s="52" t="s">
        <v>2214</v>
      </c>
      <c r="L70" s="735" t="s">
        <v>380</v>
      </c>
      <c r="M70" s="68"/>
      <c r="N70" s="738">
        <v>50600.0</v>
      </c>
      <c r="O70" s="735"/>
      <c r="P70" s="52" t="s">
        <v>2214</v>
      </c>
      <c r="Q70" s="52" t="s">
        <v>2214</v>
      </c>
      <c r="R70" s="737"/>
      <c r="S70" s="735"/>
      <c r="T70" s="737"/>
      <c r="U70" s="737"/>
    </row>
    <row r="71">
      <c r="A71" s="733">
        <v>44602.0</v>
      </c>
      <c r="B71" s="52" t="str">
        <f t="shared" si="1"/>
        <v>02/2022</v>
      </c>
      <c r="C71" s="52" t="str">
        <f>IF(A71="","",VLOOKUP(A71,'THAM CHIẾU'!$A:$B,2,0))</f>
        <v>#N/A</v>
      </c>
      <c r="D71" s="52" t="str">
        <f>IF(E71&lt;&gt;0,VLOOKUP(E71,DM_DUAN,3,0),"")</f>
        <v/>
      </c>
      <c r="E71" s="735"/>
      <c r="F71" s="735"/>
      <c r="G71" s="735"/>
      <c r="H71" s="735"/>
      <c r="I71" s="735"/>
      <c r="J71" s="52" t="s">
        <v>2214</v>
      </c>
      <c r="K71" s="52" t="s">
        <v>2214</v>
      </c>
      <c r="L71" s="735" t="s">
        <v>174</v>
      </c>
      <c r="M71" s="68"/>
      <c r="N71" s="738">
        <v>107800.0</v>
      </c>
      <c r="O71" s="735"/>
      <c r="P71" s="52" t="s">
        <v>2214</v>
      </c>
      <c r="Q71" s="52" t="s">
        <v>2214</v>
      </c>
      <c r="R71" s="737"/>
      <c r="S71" s="735"/>
      <c r="T71" s="737"/>
      <c r="U71" s="737"/>
    </row>
    <row r="72">
      <c r="A72" s="733">
        <v>44612.0</v>
      </c>
      <c r="B72" s="52" t="str">
        <f t="shared" si="1"/>
        <v>02/2022</v>
      </c>
      <c r="C72" s="52" t="str">
        <f>IF(A72="","",VLOOKUP(A72,'THAM CHIẾU'!$A:$B,2,0))</f>
        <v>#N/A</v>
      </c>
      <c r="D72" s="52" t="str">
        <f>IF(E72&lt;&gt;0,VLOOKUP(E72,DM_DUAN,3,0),"")</f>
        <v/>
      </c>
      <c r="E72" s="735"/>
      <c r="F72" s="735"/>
      <c r="G72" s="735"/>
      <c r="H72" s="735"/>
      <c r="I72" s="735"/>
      <c r="J72" s="52" t="s">
        <v>2214</v>
      </c>
      <c r="K72" s="52" t="s">
        <v>2214</v>
      </c>
      <c r="L72" s="735" t="s">
        <v>174</v>
      </c>
      <c r="M72" s="68"/>
      <c r="N72" s="738">
        <v>1482000.0</v>
      </c>
      <c r="O72" s="735"/>
      <c r="P72" s="52" t="s">
        <v>2214</v>
      </c>
      <c r="Q72" s="52" t="s">
        <v>2214</v>
      </c>
      <c r="R72" s="737"/>
      <c r="S72" s="735"/>
      <c r="T72" s="737"/>
      <c r="U72" s="737"/>
    </row>
    <row r="73">
      <c r="A73" s="733">
        <v>44615.0</v>
      </c>
      <c r="B73" s="52" t="str">
        <f t="shared" si="1"/>
        <v>02/2022</v>
      </c>
      <c r="C73" s="52" t="str">
        <f>IF(A73="","",VLOOKUP(A73,'THAM CHIẾU'!$A:$B,2,0))</f>
        <v>#N/A</v>
      </c>
      <c r="D73" s="52" t="str">
        <f>IF(E73&lt;&gt;0,VLOOKUP(E73,DM_DUAN,3,0),"")</f>
        <v/>
      </c>
      <c r="E73" s="735"/>
      <c r="F73" s="735"/>
      <c r="G73" s="735"/>
      <c r="H73" s="735"/>
      <c r="I73" s="735"/>
      <c r="J73" s="52" t="s">
        <v>2214</v>
      </c>
      <c r="K73" s="52" t="s">
        <v>2214</v>
      </c>
      <c r="L73" s="735" t="s">
        <v>174</v>
      </c>
      <c r="M73" s="68"/>
      <c r="N73" s="738">
        <v>988000.0</v>
      </c>
      <c r="O73" s="735"/>
      <c r="P73" s="52" t="s">
        <v>2214</v>
      </c>
      <c r="Q73" s="52" t="s">
        <v>2214</v>
      </c>
      <c r="R73" s="737"/>
      <c r="S73" s="735"/>
      <c r="T73" s="737"/>
      <c r="U73" s="737"/>
    </row>
    <row r="74">
      <c r="A74" s="733">
        <v>44615.0</v>
      </c>
      <c r="B74" s="52" t="str">
        <f t="shared" si="1"/>
        <v>02/2022</v>
      </c>
      <c r="C74" s="52" t="str">
        <f>IF(A74="","",VLOOKUP(A74,'THAM CHIẾU'!$A:$B,2,0))</f>
        <v>#N/A</v>
      </c>
      <c r="D74" s="52" t="str">
        <f>IF(E74&lt;&gt;0,VLOOKUP(E74,DM_DUAN,3,0),"")</f>
        <v/>
      </c>
      <c r="E74" s="735"/>
      <c r="F74" s="735"/>
      <c r="G74" s="735"/>
      <c r="H74" s="735"/>
      <c r="I74" s="735"/>
      <c r="J74" s="52" t="s">
        <v>2214</v>
      </c>
      <c r="K74" s="52" t="s">
        <v>2214</v>
      </c>
      <c r="L74" s="735" t="s">
        <v>174</v>
      </c>
      <c r="M74" s="68"/>
      <c r="N74" s="738">
        <v>1324000.0</v>
      </c>
      <c r="O74" s="735"/>
      <c r="P74" s="52" t="s">
        <v>2214</v>
      </c>
      <c r="Q74" s="52" t="s">
        <v>2214</v>
      </c>
      <c r="R74" s="737"/>
      <c r="S74" s="735"/>
      <c r="T74" s="737"/>
      <c r="U74" s="737"/>
    </row>
    <row r="75">
      <c r="A75" s="733">
        <v>44616.0</v>
      </c>
      <c r="B75" s="52" t="str">
        <f t="shared" si="1"/>
        <v>02/2022</v>
      </c>
      <c r="C75" s="52" t="str">
        <f>IF(A75="","",VLOOKUP(A75,'THAM CHIẾU'!$A:$B,2,0))</f>
        <v>#N/A</v>
      </c>
      <c r="D75" s="52" t="str">
        <f>IF(E75&lt;&gt;0,VLOOKUP(E75,DM_DUAN,3,0),"")</f>
        <v/>
      </c>
      <c r="E75" s="735"/>
      <c r="F75" s="735"/>
      <c r="G75" s="735"/>
      <c r="H75" s="735"/>
      <c r="I75" s="735"/>
      <c r="J75" s="52" t="s">
        <v>2214</v>
      </c>
      <c r="K75" s="52" t="s">
        <v>2214</v>
      </c>
      <c r="L75" s="735" t="s">
        <v>174</v>
      </c>
      <c r="M75" s="68"/>
      <c r="N75" s="738">
        <v>1226000.0</v>
      </c>
      <c r="O75" s="735"/>
      <c r="P75" s="52" t="s">
        <v>2214</v>
      </c>
      <c r="Q75" s="52" t="s">
        <v>2214</v>
      </c>
      <c r="R75" s="737"/>
      <c r="S75" s="735"/>
      <c r="T75" s="737"/>
      <c r="U75" s="737"/>
    </row>
    <row r="76">
      <c r="A76" s="733">
        <v>44619.0</v>
      </c>
      <c r="B76" s="52" t="str">
        <f t="shared" si="1"/>
        <v>02/2022</v>
      </c>
      <c r="C76" s="52" t="str">
        <f>IF(A76="","",VLOOKUP(A76,'THAM CHIẾU'!$A:$B,2,0))</f>
        <v>#N/A</v>
      </c>
      <c r="D76" s="52" t="str">
        <f>IF(E76&lt;&gt;0,VLOOKUP(E76,DM_DUAN,3,0),"")</f>
        <v/>
      </c>
      <c r="E76" s="735"/>
      <c r="F76" s="735"/>
      <c r="G76" s="735"/>
      <c r="H76" s="735"/>
      <c r="I76" s="735"/>
      <c r="J76" s="52" t="s">
        <v>2214</v>
      </c>
      <c r="K76" s="52" t="s">
        <v>2214</v>
      </c>
      <c r="L76" s="735" t="s">
        <v>174</v>
      </c>
      <c r="M76" s="68"/>
      <c r="N76" s="738">
        <v>2480000.0</v>
      </c>
      <c r="O76" s="735"/>
      <c r="P76" s="52" t="s">
        <v>2214</v>
      </c>
      <c r="Q76" s="52" t="s">
        <v>2214</v>
      </c>
      <c r="R76" s="737"/>
      <c r="S76" s="735"/>
      <c r="T76" s="737"/>
      <c r="U76" s="737"/>
    </row>
    <row r="77">
      <c r="A77" s="733">
        <v>44604.0</v>
      </c>
      <c r="B77" s="52" t="str">
        <f t="shared" si="1"/>
        <v>02/2022</v>
      </c>
      <c r="C77" s="52" t="str">
        <f>IF(A77="","",VLOOKUP(A77,'THAM CHIẾU'!$A:$B,2,0))</f>
        <v>#N/A</v>
      </c>
      <c r="D77" s="52" t="str">
        <f>IF(E77&lt;&gt;0,VLOOKUP(E77,DM_DUAN,3,0),"")</f>
        <v/>
      </c>
      <c r="E77" s="735"/>
      <c r="F77" s="735"/>
      <c r="G77" s="735"/>
      <c r="H77" s="735"/>
      <c r="I77" s="735"/>
      <c r="J77" s="52" t="s">
        <v>2214</v>
      </c>
      <c r="K77" s="52" t="s">
        <v>2214</v>
      </c>
      <c r="L77" s="735" t="s">
        <v>174</v>
      </c>
      <c r="M77" s="68"/>
      <c r="N77" s="738">
        <v>854000.0</v>
      </c>
      <c r="O77" s="735"/>
      <c r="P77" s="52" t="s">
        <v>2214</v>
      </c>
      <c r="Q77" s="52" t="s">
        <v>2214</v>
      </c>
      <c r="R77" s="737"/>
      <c r="S77" s="735"/>
      <c r="T77" s="737"/>
      <c r="U77" s="737"/>
    </row>
    <row r="78">
      <c r="A78" s="733">
        <v>44604.0</v>
      </c>
      <c r="B78" s="52" t="str">
        <f t="shared" si="1"/>
        <v>02/2022</v>
      </c>
      <c r="C78" s="52" t="str">
        <f>IF(A78="","",VLOOKUP(A78,'THAM CHIẾU'!$A:$B,2,0))</f>
        <v>#N/A</v>
      </c>
      <c r="D78" s="52" t="str">
        <f>IF(E78&lt;&gt;0,VLOOKUP(E78,DM_DUAN,3,0),"")</f>
        <v/>
      </c>
      <c r="E78" s="735"/>
      <c r="F78" s="735"/>
      <c r="G78" s="735"/>
      <c r="H78" s="735"/>
      <c r="I78" s="735"/>
      <c r="J78" s="52" t="s">
        <v>2214</v>
      </c>
      <c r="K78" s="52" t="s">
        <v>2214</v>
      </c>
      <c r="L78" s="735" t="s">
        <v>174</v>
      </c>
      <c r="M78" s="68"/>
      <c r="N78" s="738">
        <v>2700000.0</v>
      </c>
      <c r="O78" s="735"/>
      <c r="P78" s="52" t="s">
        <v>2214</v>
      </c>
      <c r="Q78" s="52" t="s">
        <v>2214</v>
      </c>
      <c r="R78" s="737"/>
      <c r="S78" s="735"/>
      <c r="T78" s="737"/>
      <c r="U78" s="737"/>
    </row>
    <row r="79">
      <c r="A79" s="733">
        <v>44620.0</v>
      </c>
      <c r="B79" s="52" t="str">
        <f t="shared" si="1"/>
        <v>02/2022</v>
      </c>
      <c r="C79" s="52" t="str">
        <f>IF(A79="","",VLOOKUP(A79,'THAM CHIẾU'!$A:$B,2,0))</f>
        <v>#N/A</v>
      </c>
      <c r="D79" s="52" t="str">
        <f>IF(E79&lt;&gt;0,VLOOKUP(E79,DM_DUAN,3,0),"")</f>
        <v/>
      </c>
      <c r="E79" s="735"/>
      <c r="F79" s="735"/>
      <c r="G79" s="735"/>
      <c r="H79" s="735"/>
      <c r="I79" s="735"/>
      <c r="J79" s="52" t="s">
        <v>2214</v>
      </c>
      <c r="K79" s="52" t="s">
        <v>2214</v>
      </c>
      <c r="L79" s="735" t="s">
        <v>267</v>
      </c>
      <c r="M79" s="68"/>
      <c r="N79" s="738">
        <v>3.602634E7</v>
      </c>
      <c r="O79" s="735"/>
      <c r="P79" s="52" t="s">
        <v>2214</v>
      </c>
      <c r="Q79" s="52" t="s">
        <v>2214</v>
      </c>
      <c r="R79" s="737"/>
      <c r="S79" s="735"/>
      <c r="T79" s="737"/>
      <c r="U79" s="737"/>
    </row>
    <row r="80">
      <c r="A80" s="733">
        <v>44620.0</v>
      </c>
      <c r="B80" s="52" t="str">
        <f t="shared" si="1"/>
        <v>02/2022</v>
      </c>
      <c r="C80" s="52" t="str">
        <f>IF(A80="","",VLOOKUP(A80,'THAM CHIẾU'!$A:$B,2,0))</f>
        <v>#N/A</v>
      </c>
      <c r="D80" s="52" t="str">
        <f>IF(E80&lt;&gt;0,VLOOKUP(E80,DM_DUAN,3,0),"")</f>
        <v/>
      </c>
      <c r="E80" s="735"/>
      <c r="F80" s="735"/>
      <c r="G80" s="735"/>
      <c r="H80" s="735"/>
      <c r="I80" s="735"/>
      <c r="J80" s="52" t="s">
        <v>2214</v>
      </c>
      <c r="K80" s="52" t="s">
        <v>2214</v>
      </c>
      <c r="L80" s="735" t="s">
        <v>222</v>
      </c>
      <c r="M80" s="68"/>
      <c r="N80" s="738">
        <v>100000.0</v>
      </c>
      <c r="O80" s="735"/>
      <c r="P80" s="52" t="s">
        <v>2214</v>
      </c>
      <c r="Q80" s="52" t="s">
        <v>2214</v>
      </c>
      <c r="R80" s="737"/>
      <c r="S80" s="735"/>
      <c r="T80" s="737"/>
      <c r="U80" s="737"/>
    </row>
    <row r="81">
      <c r="A81" s="733">
        <v>44620.0</v>
      </c>
      <c r="B81" s="52" t="str">
        <f t="shared" si="1"/>
        <v>02/2022</v>
      </c>
      <c r="C81" s="52" t="str">
        <f>IF(A81="","",VLOOKUP(A81,'THAM CHIẾU'!$A:$B,2,0))</f>
        <v>#N/A</v>
      </c>
      <c r="D81" s="52" t="str">
        <f>IF(E81&lt;&gt;0,VLOOKUP(E81,DM_DUAN,3,0),"")</f>
        <v/>
      </c>
      <c r="E81" s="735"/>
      <c r="F81" s="735"/>
      <c r="G81" s="735"/>
      <c r="H81" s="735"/>
      <c r="I81" s="735"/>
      <c r="J81" s="52" t="s">
        <v>2214</v>
      </c>
      <c r="K81" s="52" t="s">
        <v>2214</v>
      </c>
      <c r="L81" s="735" t="s">
        <v>267</v>
      </c>
      <c r="M81" s="68"/>
      <c r="N81" s="738">
        <v>4750000.0</v>
      </c>
      <c r="O81" s="735"/>
      <c r="P81" s="52" t="s">
        <v>2214</v>
      </c>
      <c r="Q81" s="52" t="s">
        <v>2214</v>
      </c>
      <c r="R81" s="737"/>
      <c r="S81" s="735"/>
      <c r="T81" s="737"/>
      <c r="U81" s="737"/>
    </row>
    <row r="82">
      <c r="A82" s="733">
        <v>44620.0</v>
      </c>
      <c r="B82" s="52" t="str">
        <f t="shared" si="1"/>
        <v>02/2022</v>
      </c>
      <c r="C82" s="52" t="str">
        <f>IF(A82="","",VLOOKUP(A82,'THAM CHIẾU'!$A:$B,2,0))</f>
        <v>#N/A</v>
      </c>
      <c r="D82" s="52" t="str">
        <f>IF(E82&lt;&gt;0,VLOOKUP(E82,DM_DUAN,3,0),"")</f>
        <v/>
      </c>
      <c r="E82" s="735"/>
      <c r="F82" s="735"/>
      <c r="G82" s="735"/>
      <c r="H82" s="735"/>
      <c r="I82" s="735"/>
      <c r="J82" s="52" t="s">
        <v>2214</v>
      </c>
      <c r="K82" s="52" t="s">
        <v>2214</v>
      </c>
      <c r="L82" s="735" t="s">
        <v>169</v>
      </c>
      <c r="M82" s="68"/>
      <c r="N82" s="738">
        <v>1.4E7</v>
      </c>
      <c r="O82" s="735"/>
      <c r="P82" s="52" t="s">
        <v>2214</v>
      </c>
      <c r="Q82" s="52" t="s">
        <v>2214</v>
      </c>
      <c r="R82" s="737"/>
      <c r="S82" s="735"/>
      <c r="T82" s="737"/>
      <c r="U82" s="737"/>
    </row>
    <row r="83">
      <c r="A83" s="733">
        <v>44620.0</v>
      </c>
      <c r="B83" s="52" t="str">
        <f t="shared" si="1"/>
        <v>02/2022</v>
      </c>
      <c r="C83" s="52" t="str">
        <f>IF(A83="","",VLOOKUP(A83,'THAM CHIẾU'!$A:$B,2,0))</f>
        <v>#N/A</v>
      </c>
      <c r="D83" s="52" t="str">
        <f>IF(E83&lt;&gt;0,VLOOKUP(E83,DM_DUAN,3,0),"")</f>
        <v/>
      </c>
      <c r="E83" s="735"/>
      <c r="F83" s="735"/>
      <c r="G83" s="735"/>
      <c r="H83" s="735"/>
      <c r="I83" s="735"/>
      <c r="J83" s="52" t="s">
        <v>2214</v>
      </c>
      <c r="K83" s="52" t="s">
        <v>2214</v>
      </c>
      <c r="L83" s="735" t="s">
        <v>169</v>
      </c>
      <c r="M83" s="68"/>
      <c r="N83" s="738">
        <v>6000000.0</v>
      </c>
      <c r="O83" s="735"/>
      <c r="P83" s="52" t="s">
        <v>2214</v>
      </c>
      <c r="Q83" s="52" t="s">
        <v>2214</v>
      </c>
      <c r="R83" s="737"/>
      <c r="S83" s="735"/>
      <c r="T83" s="737"/>
      <c r="U83" s="737"/>
    </row>
    <row r="84">
      <c r="A84" s="733">
        <v>44620.0</v>
      </c>
      <c r="B84" s="52" t="str">
        <f t="shared" si="1"/>
        <v>02/2022</v>
      </c>
      <c r="C84" s="52" t="str">
        <f>IF(A84="","",VLOOKUP(A84,'THAM CHIẾU'!$A:$B,2,0))</f>
        <v>#N/A</v>
      </c>
      <c r="D84" s="52" t="str">
        <f>IF(E84&lt;&gt;0,VLOOKUP(E84,DM_DUAN,3,0),"")</f>
        <v/>
      </c>
      <c r="E84" s="735"/>
      <c r="F84" s="735"/>
      <c r="G84" s="735"/>
      <c r="H84" s="735"/>
      <c r="I84" s="735"/>
      <c r="J84" s="52" t="s">
        <v>2214</v>
      </c>
      <c r="K84" s="52" t="s">
        <v>2214</v>
      </c>
      <c r="L84" s="735" t="s">
        <v>267</v>
      </c>
      <c r="M84" s="68"/>
      <c r="N84" s="738">
        <v>2.5041667E7</v>
      </c>
      <c r="O84" s="735"/>
      <c r="P84" s="52" t="s">
        <v>2214</v>
      </c>
      <c r="Q84" s="52" t="s">
        <v>2214</v>
      </c>
      <c r="R84" s="737"/>
      <c r="S84" s="735"/>
      <c r="T84" s="737"/>
      <c r="U84" s="737"/>
    </row>
    <row r="85">
      <c r="A85" s="733">
        <v>44620.0</v>
      </c>
      <c r="B85" s="52" t="str">
        <f t="shared" si="1"/>
        <v>02/2022</v>
      </c>
      <c r="C85" s="52" t="str">
        <f>IF(A85="","",VLOOKUP(A85,'THAM CHIẾU'!$A:$B,2,0))</f>
        <v>#N/A</v>
      </c>
      <c r="D85" s="52" t="str">
        <f>IF(E85&lt;&gt;0,VLOOKUP(E85,DM_DUAN,3,0),"")</f>
        <v/>
      </c>
      <c r="E85" s="735"/>
      <c r="F85" s="735"/>
      <c r="G85" s="735"/>
      <c r="H85" s="735"/>
      <c r="I85" s="735"/>
      <c r="J85" s="52" t="s">
        <v>2214</v>
      </c>
      <c r="K85" s="52" t="s">
        <v>2214</v>
      </c>
      <c r="L85" s="735" t="s">
        <v>255</v>
      </c>
      <c r="M85" s="68"/>
      <c r="N85" s="738">
        <v>5.6416667E7</v>
      </c>
      <c r="O85" s="735"/>
      <c r="P85" s="52" t="s">
        <v>2214</v>
      </c>
      <c r="Q85" s="52" t="s">
        <v>2214</v>
      </c>
      <c r="R85" s="737"/>
      <c r="S85" s="735"/>
      <c r="T85" s="737"/>
      <c r="U85" s="737"/>
    </row>
    <row r="86">
      <c r="A86" s="733">
        <v>44620.0</v>
      </c>
      <c r="B86" s="52" t="str">
        <f t="shared" si="1"/>
        <v>02/2022</v>
      </c>
      <c r="C86" s="52" t="str">
        <f>IF(A86="","",VLOOKUP(A86,'THAM CHIẾU'!$A:$B,2,0))</f>
        <v>#N/A</v>
      </c>
      <c r="D86" s="52" t="str">
        <f>IF(E86&lt;&gt;0,VLOOKUP(E86,DM_DUAN,3,0),"")</f>
        <v/>
      </c>
      <c r="E86" s="735"/>
      <c r="F86" s="735"/>
      <c r="G86" s="735"/>
      <c r="H86" s="735"/>
      <c r="I86" s="735"/>
      <c r="J86" s="52" t="s">
        <v>2214</v>
      </c>
      <c r="K86" s="52" t="s">
        <v>2214</v>
      </c>
      <c r="L86" s="735" t="s">
        <v>293</v>
      </c>
      <c r="M86" s="68"/>
      <c r="N86" s="738">
        <v>9333333.0</v>
      </c>
      <c r="O86" s="735"/>
      <c r="P86" s="52" t="s">
        <v>2214</v>
      </c>
      <c r="Q86" s="52" t="s">
        <v>2214</v>
      </c>
      <c r="R86" s="737"/>
      <c r="S86" s="735"/>
      <c r="T86" s="737"/>
      <c r="U86" s="737"/>
    </row>
    <row r="87">
      <c r="A87" s="733">
        <v>44620.0</v>
      </c>
      <c r="B87" s="52" t="str">
        <f t="shared" si="1"/>
        <v>02/2022</v>
      </c>
      <c r="C87" s="52" t="str">
        <f>IF(A87="","",VLOOKUP(A87,'THAM CHIẾU'!$A:$B,2,0))</f>
        <v>#N/A</v>
      </c>
      <c r="D87" s="52" t="str">
        <f>IF(E87&lt;&gt;0,VLOOKUP(E87,DM_DUAN,3,0),"")</f>
        <v/>
      </c>
      <c r="E87" s="735"/>
      <c r="F87" s="735"/>
      <c r="G87" s="735"/>
      <c r="H87" s="735"/>
      <c r="I87" s="735"/>
      <c r="J87" s="52" t="s">
        <v>2214</v>
      </c>
      <c r="K87" s="52" t="s">
        <v>2214</v>
      </c>
      <c r="L87" s="735" t="s">
        <v>293</v>
      </c>
      <c r="M87" s="68"/>
      <c r="N87" s="738">
        <v>9333333.0</v>
      </c>
      <c r="O87" s="735"/>
      <c r="P87" s="52" t="s">
        <v>2214</v>
      </c>
      <c r="Q87" s="52" t="s">
        <v>2214</v>
      </c>
      <c r="R87" s="737"/>
      <c r="S87" s="735"/>
      <c r="T87" s="737"/>
      <c r="U87" s="737"/>
    </row>
    <row r="88">
      <c r="A88" s="733">
        <v>44593.0</v>
      </c>
      <c r="B88" s="52" t="str">
        <f t="shared" si="1"/>
        <v>02/2022</v>
      </c>
      <c r="C88" s="52" t="str">
        <f>IF(A88="","",VLOOKUP(A88,'THAM CHIẾU'!$A:$B,2,0))</f>
        <v>#N/A</v>
      </c>
      <c r="D88" s="52" t="str">
        <f>IF(E88&lt;&gt;0,VLOOKUP(E88,DM_DUAN,3,0),"")</f>
        <v>THANHNAM</v>
      </c>
      <c r="E88" s="735" t="s">
        <v>175</v>
      </c>
      <c r="F88" s="735"/>
      <c r="G88" s="735"/>
      <c r="H88" s="735"/>
      <c r="I88" s="735"/>
      <c r="J88" s="52" t="s">
        <v>2214</v>
      </c>
      <c r="K88" s="52" t="s">
        <v>2214</v>
      </c>
      <c r="L88" s="735" t="s">
        <v>2239</v>
      </c>
      <c r="M88" s="68"/>
      <c r="N88" s="738">
        <v>0.0</v>
      </c>
      <c r="O88" s="735"/>
      <c r="P88" s="52" t="s">
        <v>2214</v>
      </c>
      <c r="Q88" s="52" t="s">
        <v>2214</v>
      </c>
      <c r="R88" s="737"/>
      <c r="S88" s="735"/>
      <c r="T88" s="737"/>
      <c r="U88" s="737" t="s">
        <v>2239</v>
      </c>
    </row>
    <row r="89">
      <c r="A89" s="733">
        <v>44593.0</v>
      </c>
      <c r="B89" s="52" t="str">
        <f t="shared" si="1"/>
        <v>02/2022</v>
      </c>
      <c r="C89" s="52" t="str">
        <f>IF(A89="","",VLOOKUP(A89,'THAM CHIẾU'!$A:$B,2,0))</f>
        <v>#N/A</v>
      </c>
      <c r="D89" s="52" t="str">
        <f>IF(E89&lt;&gt;0,VLOOKUP(E89,DM_DUAN,3,0),"")</f>
        <v/>
      </c>
      <c r="E89" s="735"/>
      <c r="F89" s="735"/>
      <c r="G89" s="735"/>
      <c r="H89" s="735"/>
      <c r="I89" s="735"/>
      <c r="J89" s="52" t="s">
        <v>2214</v>
      </c>
      <c r="K89" s="52" t="s">
        <v>2214</v>
      </c>
      <c r="L89" s="735"/>
      <c r="M89" s="68"/>
      <c r="N89" s="738">
        <v>0.0</v>
      </c>
      <c r="O89" s="735"/>
      <c r="P89" s="52" t="s">
        <v>2214</v>
      </c>
      <c r="Q89" s="52" t="s">
        <v>2214</v>
      </c>
      <c r="R89" s="737"/>
      <c r="S89" s="735"/>
      <c r="T89" s="737"/>
      <c r="U89" s="737" t="s">
        <v>276</v>
      </c>
    </row>
    <row r="90">
      <c r="A90" s="733">
        <v>44593.0</v>
      </c>
      <c r="B90" s="52" t="str">
        <f t="shared" si="1"/>
        <v>02/2022</v>
      </c>
      <c r="C90" s="52" t="str">
        <f>IF(A90="","",VLOOKUP(A90,'THAM CHIẾU'!$A:$B,2,0))</f>
        <v>#N/A</v>
      </c>
      <c r="D90" s="52" t="str">
        <f>IF(E90&lt;&gt;0,VLOOKUP(E90,DM_DUAN,3,0),"")</f>
        <v/>
      </c>
      <c r="E90" s="735"/>
      <c r="F90" s="735"/>
      <c r="G90" s="735"/>
      <c r="H90" s="735"/>
      <c r="I90" s="735"/>
      <c r="J90" s="52" t="s">
        <v>2214</v>
      </c>
      <c r="K90" s="52" t="s">
        <v>2214</v>
      </c>
      <c r="L90" s="735" t="s">
        <v>169</v>
      </c>
      <c r="M90" s="68"/>
      <c r="N90" s="738">
        <v>0.0</v>
      </c>
      <c r="O90" s="735"/>
      <c r="P90" s="52" t="s">
        <v>2214</v>
      </c>
      <c r="Q90" s="52" t="s">
        <v>2214</v>
      </c>
      <c r="R90" s="737"/>
      <c r="S90" s="735"/>
      <c r="T90" s="737" t="s">
        <v>2240</v>
      </c>
      <c r="U90" s="737"/>
    </row>
    <row r="91">
      <c r="A91" s="733">
        <v>44593.0</v>
      </c>
      <c r="B91" s="52" t="str">
        <f t="shared" si="1"/>
        <v>02/2022</v>
      </c>
      <c r="C91" s="52" t="str">
        <f>IF(A91="","",VLOOKUP(A91,'THAM CHIẾU'!$A:$B,2,0))</f>
        <v>#N/A</v>
      </c>
      <c r="D91" s="52" t="str">
        <f>IF(E91&lt;&gt;0,VLOOKUP(E91,DM_DUAN,3,0),"")</f>
        <v/>
      </c>
      <c r="E91" s="735"/>
      <c r="F91" s="735"/>
      <c r="G91" s="735"/>
      <c r="H91" s="735"/>
      <c r="I91" s="735"/>
      <c r="J91" s="52" t="s">
        <v>2214</v>
      </c>
      <c r="K91" s="52" t="s">
        <v>2214</v>
      </c>
      <c r="L91" s="735" t="s">
        <v>190</v>
      </c>
      <c r="M91" s="68"/>
      <c r="N91" s="738">
        <v>0.0</v>
      </c>
      <c r="O91" s="735"/>
      <c r="P91" s="52" t="s">
        <v>2214</v>
      </c>
      <c r="Q91" s="52" t="s">
        <v>2214</v>
      </c>
      <c r="R91" s="737"/>
      <c r="S91" s="735"/>
      <c r="T91" s="737" t="s">
        <v>2241</v>
      </c>
      <c r="U91" s="737"/>
    </row>
    <row r="92">
      <c r="A92" s="733">
        <v>44593.0</v>
      </c>
      <c r="B92" s="52" t="str">
        <f t="shared" si="1"/>
        <v>02/2022</v>
      </c>
      <c r="C92" s="52" t="str">
        <f>IF(A92="","",VLOOKUP(A92,'THAM CHIẾU'!$A:$B,2,0))</f>
        <v>#N/A</v>
      </c>
      <c r="D92" s="52" t="str">
        <f>IF(E92&lt;&gt;0,VLOOKUP(E92,DM_DUAN,3,0),"")</f>
        <v/>
      </c>
      <c r="E92" s="735"/>
      <c r="F92" s="735"/>
      <c r="G92" s="735"/>
      <c r="H92" s="735"/>
      <c r="I92" s="735"/>
      <c r="J92" s="52" t="s">
        <v>2214</v>
      </c>
      <c r="K92" s="52" t="s">
        <v>2214</v>
      </c>
      <c r="L92" s="735" t="s">
        <v>194</v>
      </c>
      <c r="M92" s="68"/>
      <c r="N92" s="738">
        <v>0.0</v>
      </c>
      <c r="O92" s="735"/>
      <c r="P92" s="52" t="s">
        <v>2214</v>
      </c>
      <c r="Q92" s="52" t="s">
        <v>2214</v>
      </c>
      <c r="R92" s="737"/>
      <c r="S92" s="735"/>
      <c r="T92" s="737" t="s">
        <v>2242</v>
      </c>
      <c r="U92" s="737"/>
    </row>
    <row r="93">
      <c r="A93" s="733">
        <v>44593.0</v>
      </c>
      <c r="B93" s="52" t="str">
        <f t="shared" si="1"/>
        <v>02/2022</v>
      </c>
      <c r="C93" s="52" t="str">
        <f>IF(A93="","",VLOOKUP(A93,'THAM CHIẾU'!$A:$B,2,0))</f>
        <v>#N/A</v>
      </c>
      <c r="D93" s="52" t="str">
        <f>IF(E93&lt;&gt;0,VLOOKUP(E93,DM_DUAN,3,0),"")</f>
        <v/>
      </c>
      <c r="E93" s="735"/>
      <c r="F93" s="735"/>
      <c r="G93" s="735"/>
      <c r="H93" s="735"/>
      <c r="I93" s="735"/>
      <c r="J93" s="52" t="s">
        <v>2214</v>
      </c>
      <c r="K93" s="52" t="s">
        <v>2214</v>
      </c>
      <c r="L93" s="735"/>
      <c r="M93" s="68"/>
      <c r="N93" s="738">
        <v>0.0</v>
      </c>
      <c r="O93" s="735"/>
      <c r="P93" s="52" t="s">
        <v>2214</v>
      </c>
      <c r="Q93" s="52" t="s">
        <v>2214</v>
      </c>
      <c r="R93" s="737"/>
      <c r="S93" s="735"/>
      <c r="T93" s="737" t="s">
        <v>1474</v>
      </c>
      <c r="U93" s="737"/>
    </row>
    <row r="94">
      <c r="A94" s="733">
        <v>44593.0</v>
      </c>
      <c r="B94" s="52" t="str">
        <f t="shared" si="1"/>
        <v>02/2022</v>
      </c>
      <c r="C94" s="52" t="str">
        <f>IF(A94="","",VLOOKUP(A94,'THAM CHIẾU'!$A:$B,2,0))</f>
        <v>#N/A</v>
      </c>
      <c r="D94" s="52" t="str">
        <f>IF(E94&lt;&gt;0,VLOOKUP(E94,DM_DUAN,3,0),"")</f>
        <v/>
      </c>
      <c r="E94" s="735"/>
      <c r="F94" s="735"/>
      <c r="G94" s="735"/>
      <c r="H94" s="735"/>
      <c r="I94" s="735"/>
      <c r="J94" s="52" t="s">
        <v>2214</v>
      </c>
      <c r="K94" s="52" t="s">
        <v>2214</v>
      </c>
      <c r="L94" s="735"/>
      <c r="M94" s="68"/>
      <c r="N94" s="738">
        <v>0.0</v>
      </c>
      <c r="O94" s="735"/>
      <c r="P94" s="52" t="s">
        <v>2214</v>
      </c>
      <c r="Q94" s="52" t="s">
        <v>2214</v>
      </c>
      <c r="R94" s="737"/>
      <c r="S94" s="735"/>
      <c r="T94" s="737" t="s">
        <v>2244</v>
      </c>
      <c r="U94" s="737"/>
    </row>
    <row r="95">
      <c r="A95" s="733">
        <v>44593.0</v>
      </c>
      <c r="B95" s="52" t="str">
        <f t="shared" si="1"/>
        <v>02/2022</v>
      </c>
      <c r="C95" s="52" t="str">
        <f>IF(A95="","",VLOOKUP(A95,'THAM CHIẾU'!$A:$B,2,0))</f>
        <v>#N/A</v>
      </c>
      <c r="D95" s="52" t="str">
        <f>IF(E95&lt;&gt;0,VLOOKUP(E95,DM_DUAN,3,0),"")</f>
        <v/>
      </c>
      <c r="E95" s="735"/>
      <c r="F95" s="735"/>
      <c r="G95" s="735"/>
      <c r="H95" s="735"/>
      <c r="I95" s="735"/>
      <c r="J95" s="52" t="s">
        <v>2214</v>
      </c>
      <c r="K95" s="52" t="s">
        <v>2214</v>
      </c>
      <c r="L95" s="735"/>
      <c r="M95" s="68"/>
      <c r="N95" s="738">
        <v>0.0</v>
      </c>
      <c r="O95" s="735"/>
      <c r="P95" s="52" t="s">
        <v>2214</v>
      </c>
      <c r="Q95" s="52" t="s">
        <v>2214</v>
      </c>
      <c r="R95" s="737"/>
      <c r="S95" s="735"/>
      <c r="T95" s="737" t="s">
        <v>2245</v>
      </c>
      <c r="U95" s="737"/>
    </row>
    <row r="96">
      <c r="A96" s="733">
        <v>44593.0</v>
      </c>
      <c r="B96" s="52" t="str">
        <f t="shared" si="1"/>
        <v>02/2022</v>
      </c>
      <c r="C96" s="52" t="str">
        <f>IF(A96="","",VLOOKUP(A96,'THAM CHIẾU'!$A:$B,2,0))</f>
        <v>#N/A</v>
      </c>
      <c r="D96" s="52" t="str">
        <f>IF(E96&lt;&gt;0,VLOOKUP(E96,DM_DUAN,3,0),"")</f>
        <v/>
      </c>
      <c r="E96" s="735"/>
      <c r="F96" s="735"/>
      <c r="G96" s="735"/>
      <c r="H96" s="735"/>
      <c r="I96" s="735"/>
      <c r="J96" s="52" t="s">
        <v>2214</v>
      </c>
      <c r="K96" s="52" t="s">
        <v>2214</v>
      </c>
      <c r="L96" s="735"/>
      <c r="M96" s="68"/>
      <c r="N96" s="738">
        <v>0.0</v>
      </c>
      <c r="O96" s="735"/>
      <c r="P96" s="52" t="s">
        <v>2214</v>
      </c>
      <c r="Q96" s="52" t="s">
        <v>2214</v>
      </c>
      <c r="R96" s="737"/>
      <c r="S96" s="735"/>
      <c r="T96" s="737" t="s">
        <v>2246</v>
      </c>
      <c r="U96" s="737"/>
    </row>
    <row r="97">
      <c r="A97" s="733"/>
      <c r="B97" s="52" t="str">
        <f t="shared" si="1"/>
        <v/>
      </c>
      <c r="C97" s="52" t="str">
        <f>IF(A97="","",VLOOKUP(A97,'THAM CHIẾU'!$A:$B,2,0))</f>
        <v/>
      </c>
      <c r="D97" s="52" t="str">
        <f>IF(E97&lt;&gt;0,VLOOKUP(E97,DM_DUAN,3,0),"")</f>
        <v/>
      </c>
      <c r="E97" s="735"/>
      <c r="F97" s="735"/>
      <c r="G97" s="735"/>
      <c r="H97" s="735"/>
      <c r="I97" s="735"/>
      <c r="J97" s="52" t="s">
        <v>2214</v>
      </c>
      <c r="K97" s="52" t="s">
        <v>2214</v>
      </c>
      <c r="L97" s="735"/>
      <c r="M97" s="68"/>
      <c r="N97" s="738">
        <v>0.0</v>
      </c>
      <c r="O97" s="735"/>
      <c r="P97" s="52" t="s">
        <v>2214</v>
      </c>
      <c r="Q97" s="52" t="s">
        <v>2214</v>
      </c>
      <c r="R97" s="737"/>
      <c r="S97" s="735"/>
      <c r="T97" s="737"/>
      <c r="U97" s="737"/>
    </row>
    <row r="98">
      <c r="A98" s="733">
        <v>44621.0</v>
      </c>
      <c r="B98" s="52" t="str">
        <f t="shared" si="1"/>
        <v>03/2022</v>
      </c>
      <c r="C98" s="52" t="str">
        <f>IF(A98="","",VLOOKUP(A98,'THAM CHIẾU'!$A:$B,2,0))</f>
        <v>#N/A</v>
      </c>
      <c r="D98" s="52" t="str">
        <f>IF(E98&lt;&gt;0,VLOOKUP(E98,DM_DUAN,3,0),"")</f>
        <v/>
      </c>
      <c r="E98" s="735"/>
      <c r="F98" s="735"/>
      <c r="G98" s="735"/>
      <c r="H98" s="735"/>
      <c r="I98" s="735"/>
      <c r="J98" s="52" t="s">
        <v>2214</v>
      </c>
      <c r="K98" s="52" t="s">
        <v>2214</v>
      </c>
      <c r="L98" s="735" t="s">
        <v>222</v>
      </c>
      <c r="M98" s="68"/>
      <c r="N98" s="738">
        <v>435000.0</v>
      </c>
      <c r="O98" s="735"/>
      <c r="P98" s="52" t="s">
        <v>2214</v>
      </c>
      <c r="Q98" s="52" t="s">
        <v>2214</v>
      </c>
      <c r="R98" s="737"/>
      <c r="S98" s="735"/>
      <c r="T98" s="737"/>
      <c r="U98" s="737"/>
    </row>
    <row r="99">
      <c r="A99" s="733">
        <v>44621.0</v>
      </c>
      <c r="B99" s="52" t="str">
        <f t="shared" si="1"/>
        <v>03/2022</v>
      </c>
      <c r="C99" s="52" t="str">
        <f>IF(A99="","",VLOOKUP(A99,'THAM CHIẾU'!$A:$B,2,0))</f>
        <v>#N/A</v>
      </c>
      <c r="D99" s="52" t="str">
        <f>IF(E99&lt;&gt;0,VLOOKUP(E99,DM_DUAN,3,0),"")</f>
        <v/>
      </c>
      <c r="E99" s="735"/>
      <c r="F99" s="735"/>
      <c r="G99" s="735"/>
      <c r="H99" s="735"/>
      <c r="I99" s="735"/>
      <c r="J99" s="52" t="s">
        <v>2214</v>
      </c>
      <c r="K99" s="52" t="s">
        <v>2214</v>
      </c>
      <c r="L99" s="735" t="s">
        <v>377</v>
      </c>
      <c r="M99" s="68"/>
      <c r="N99" s="738">
        <v>250000.0</v>
      </c>
      <c r="O99" s="735"/>
      <c r="P99" s="52" t="s">
        <v>2214</v>
      </c>
      <c r="Q99" s="52" t="s">
        <v>2214</v>
      </c>
      <c r="R99" s="737"/>
      <c r="S99" s="735"/>
      <c r="T99" s="737"/>
      <c r="U99" s="737"/>
    </row>
    <row r="100">
      <c r="A100" s="733">
        <v>44621.0</v>
      </c>
      <c r="B100" s="52" t="str">
        <f t="shared" si="1"/>
        <v>03/2022</v>
      </c>
      <c r="C100" s="52" t="str">
        <f>IF(A100="","",VLOOKUP(A100,'THAM CHIẾU'!$A:$B,2,0))</f>
        <v>#N/A</v>
      </c>
      <c r="D100" s="52" t="str">
        <f>IF(E100&lt;&gt;0,VLOOKUP(E100,DM_DUAN,3,0),"")</f>
        <v/>
      </c>
      <c r="E100" s="735"/>
      <c r="F100" s="735"/>
      <c r="G100" s="735"/>
      <c r="H100" s="735"/>
      <c r="I100" s="735"/>
      <c r="J100" s="52" t="s">
        <v>2214</v>
      </c>
      <c r="K100" s="52" t="s">
        <v>2214</v>
      </c>
      <c r="L100" s="735" t="s">
        <v>380</v>
      </c>
      <c r="M100" s="68"/>
      <c r="N100" s="738">
        <v>100000.0</v>
      </c>
      <c r="O100" s="735"/>
      <c r="P100" s="52" t="s">
        <v>2214</v>
      </c>
      <c r="Q100" s="52" t="s">
        <v>2214</v>
      </c>
      <c r="R100" s="737"/>
      <c r="S100" s="735"/>
      <c r="T100" s="737"/>
      <c r="U100" s="737"/>
    </row>
    <row r="101">
      <c r="A101" s="733">
        <v>44621.0</v>
      </c>
      <c r="B101" s="52" t="str">
        <f t="shared" si="1"/>
        <v>03/2022</v>
      </c>
      <c r="C101" s="52" t="str">
        <f>IF(A101="","",VLOOKUP(A101,'THAM CHIẾU'!$A:$B,2,0))</f>
        <v>#N/A</v>
      </c>
      <c r="D101" s="52" t="str">
        <f>IF(E101&lt;&gt;0,VLOOKUP(E101,DM_DUAN,3,0),"")</f>
        <v/>
      </c>
      <c r="E101" s="735"/>
      <c r="F101" s="735"/>
      <c r="G101" s="735"/>
      <c r="H101" s="735"/>
      <c r="I101" s="735"/>
      <c r="J101" s="52" t="s">
        <v>2214</v>
      </c>
      <c r="K101" s="52" t="s">
        <v>2214</v>
      </c>
      <c r="L101" s="735" t="s">
        <v>219</v>
      </c>
      <c r="M101" s="68"/>
      <c r="N101" s="738">
        <v>508000.0</v>
      </c>
      <c r="O101" s="735"/>
      <c r="P101" s="52" t="s">
        <v>2214</v>
      </c>
      <c r="Q101" s="52" t="s">
        <v>2214</v>
      </c>
      <c r="R101" s="737"/>
      <c r="S101" s="735"/>
      <c r="T101" s="737"/>
      <c r="U101" s="737"/>
    </row>
    <row r="102">
      <c r="A102" s="733">
        <v>44621.0</v>
      </c>
      <c r="B102" s="52" t="str">
        <f t="shared" si="1"/>
        <v>03/2022</v>
      </c>
      <c r="C102" s="52" t="str">
        <f>IF(A102="","",VLOOKUP(A102,'THAM CHIẾU'!$A:$B,2,0))</f>
        <v>#N/A</v>
      </c>
      <c r="D102" s="52" t="str">
        <f>IF(E102&lt;&gt;0,VLOOKUP(E102,DM_DUAN,3,0),"")</f>
        <v/>
      </c>
      <c r="E102" s="735"/>
      <c r="F102" s="735"/>
      <c r="G102" s="735"/>
      <c r="H102" s="735"/>
      <c r="I102" s="735"/>
      <c r="J102" s="52" t="s">
        <v>2214</v>
      </c>
      <c r="K102" s="52" t="s">
        <v>2214</v>
      </c>
      <c r="L102" s="735" t="s">
        <v>219</v>
      </c>
      <c r="M102" s="68"/>
      <c r="N102" s="738">
        <v>310000.0</v>
      </c>
      <c r="O102" s="735"/>
      <c r="P102" s="52" t="s">
        <v>2214</v>
      </c>
      <c r="Q102" s="52" t="s">
        <v>2214</v>
      </c>
      <c r="R102" s="737"/>
      <c r="S102" s="735"/>
      <c r="T102" s="737"/>
      <c r="U102" s="737"/>
    </row>
    <row r="103">
      <c r="A103" s="733">
        <v>44621.0</v>
      </c>
      <c r="B103" s="52" t="str">
        <f t="shared" si="1"/>
        <v>03/2022</v>
      </c>
      <c r="C103" s="52" t="str">
        <f>IF(A103="","",VLOOKUP(A103,'THAM CHIẾU'!$A:$B,2,0))</f>
        <v>#N/A</v>
      </c>
      <c r="D103" s="52" t="str">
        <f>IF(E103&lt;&gt;0,VLOOKUP(E103,DM_DUAN,3,0),"")</f>
        <v/>
      </c>
      <c r="E103" s="735"/>
      <c r="F103" s="735"/>
      <c r="G103" s="735"/>
      <c r="H103" s="735"/>
      <c r="I103" s="735"/>
      <c r="J103" s="52" t="s">
        <v>2214</v>
      </c>
      <c r="K103" s="52" t="s">
        <v>2214</v>
      </c>
      <c r="L103" s="735" t="s">
        <v>219</v>
      </c>
      <c r="M103" s="68"/>
      <c r="N103" s="738">
        <v>1157000.0</v>
      </c>
      <c r="O103" s="735"/>
      <c r="P103" s="52" t="s">
        <v>2214</v>
      </c>
      <c r="Q103" s="52" t="s">
        <v>2214</v>
      </c>
      <c r="R103" s="737"/>
      <c r="S103" s="735"/>
      <c r="T103" s="737"/>
      <c r="U103" s="737"/>
    </row>
    <row r="104">
      <c r="A104" s="733">
        <v>44621.0</v>
      </c>
      <c r="B104" s="52" t="str">
        <f t="shared" si="1"/>
        <v>03/2022</v>
      </c>
      <c r="C104" s="52" t="str">
        <f>IF(A104="","",VLOOKUP(A104,'THAM CHIẾU'!$A:$B,2,0))</f>
        <v>#N/A</v>
      </c>
      <c r="D104" s="52" t="str">
        <f>IF(E104&lt;&gt;0,VLOOKUP(E104,DM_DUAN,3,0),"")</f>
        <v/>
      </c>
      <c r="E104" s="735"/>
      <c r="F104" s="735"/>
      <c r="G104" s="735"/>
      <c r="H104" s="735"/>
      <c r="I104" s="735"/>
      <c r="J104" s="52" t="s">
        <v>2214</v>
      </c>
      <c r="K104" s="52" t="s">
        <v>2214</v>
      </c>
      <c r="L104" s="735" t="s">
        <v>206</v>
      </c>
      <c r="M104" s="68"/>
      <c r="N104" s="738">
        <v>200000.0</v>
      </c>
      <c r="O104" s="735"/>
      <c r="P104" s="52" t="s">
        <v>2214</v>
      </c>
      <c r="Q104" s="52" t="s">
        <v>2214</v>
      </c>
      <c r="R104" s="737"/>
      <c r="S104" s="735"/>
      <c r="T104" s="737"/>
      <c r="U104" s="737"/>
    </row>
    <row r="105">
      <c r="A105" s="733">
        <v>44621.0</v>
      </c>
      <c r="B105" s="52" t="str">
        <f t="shared" si="1"/>
        <v>03/2022</v>
      </c>
      <c r="C105" s="52" t="str">
        <f>IF(A105="","",VLOOKUP(A105,'THAM CHIẾU'!$A:$B,2,0))</f>
        <v>#N/A</v>
      </c>
      <c r="D105" s="52" t="str">
        <f>IF(E105&lt;&gt;0,VLOOKUP(E105,DM_DUAN,3,0),"")</f>
        <v/>
      </c>
      <c r="E105" s="735"/>
      <c r="F105" s="735"/>
      <c r="G105" s="735"/>
      <c r="H105" s="735"/>
      <c r="I105" s="735"/>
      <c r="J105" s="52" t="s">
        <v>2214</v>
      </c>
      <c r="K105" s="52" t="s">
        <v>2214</v>
      </c>
      <c r="L105" s="735" t="s">
        <v>206</v>
      </c>
      <c r="M105" s="68"/>
      <c r="N105" s="738">
        <v>880000.0</v>
      </c>
      <c r="O105" s="735"/>
      <c r="P105" s="52" t="s">
        <v>2214</v>
      </c>
      <c r="Q105" s="52" t="s">
        <v>2214</v>
      </c>
      <c r="R105" s="737"/>
      <c r="S105" s="735"/>
      <c r="T105" s="737"/>
      <c r="U105" s="737"/>
    </row>
    <row r="106">
      <c r="A106" s="733">
        <v>44621.0</v>
      </c>
      <c r="B106" s="52" t="str">
        <f t="shared" si="1"/>
        <v>03/2022</v>
      </c>
      <c r="C106" s="52" t="str">
        <f>IF(A106="","",VLOOKUP(A106,'THAM CHIẾU'!$A:$B,2,0))</f>
        <v>#N/A</v>
      </c>
      <c r="D106" s="52" t="str">
        <f>IF(E106&lt;&gt;0,VLOOKUP(E106,DM_DUAN,3,0),"")</f>
        <v/>
      </c>
      <c r="E106" s="735"/>
      <c r="F106" s="735"/>
      <c r="G106" s="735"/>
      <c r="H106" s="735"/>
      <c r="I106" s="735"/>
      <c r="J106" s="52" t="s">
        <v>2214</v>
      </c>
      <c r="K106" s="52" t="s">
        <v>2214</v>
      </c>
      <c r="L106" s="735" t="s">
        <v>380</v>
      </c>
      <c r="M106" s="68"/>
      <c r="N106" s="738">
        <v>60000.0</v>
      </c>
      <c r="O106" s="735"/>
      <c r="P106" s="52" t="s">
        <v>2214</v>
      </c>
      <c r="Q106" s="52" t="s">
        <v>2214</v>
      </c>
      <c r="R106" s="737"/>
      <c r="S106" s="735"/>
      <c r="T106" s="737"/>
      <c r="U106" s="737"/>
    </row>
    <row r="107">
      <c r="A107" s="733">
        <v>44621.0</v>
      </c>
      <c r="B107" s="52" t="str">
        <f t="shared" si="1"/>
        <v>03/2022</v>
      </c>
      <c r="C107" s="52" t="str">
        <f>IF(A107="","",VLOOKUP(A107,'THAM CHIẾU'!$A:$B,2,0))</f>
        <v>#N/A</v>
      </c>
      <c r="D107" s="52" t="str">
        <f>IF(E107&lt;&gt;0,VLOOKUP(E107,DM_DUAN,3,0),"")</f>
        <v/>
      </c>
      <c r="E107" s="735"/>
      <c r="F107" s="735"/>
      <c r="G107" s="735"/>
      <c r="H107" s="735"/>
      <c r="I107" s="735"/>
      <c r="J107" s="52" t="s">
        <v>2214</v>
      </c>
      <c r="K107" s="52" t="s">
        <v>2214</v>
      </c>
      <c r="L107" s="735" t="s">
        <v>226</v>
      </c>
      <c r="M107" s="68"/>
      <c r="N107" s="738">
        <v>140000.0</v>
      </c>
      <c r="O107" s="735"/>
      <c r="P107" s="52" t="s">
        <v>2214</v>
      </c>
      <c r="Q107" s="52" t="s">
        <v>2214</v>
      </c>
      <c r="R107" s="737"/>
      <c r="S107" s="735"/>
      <c r="T107" s="737"/>
      <c r="U107" s="737"/>
    </row>
    <row r="108">
      <c r="A108" s="733">
        <v>44621.0</v>
      </c>
      <c r="B108" s="52" t="str">
        <f t="shared" si="1"/>
        <v>03/2022</v>
      </c>
      <c r="C108" s="52" t="str">
        <f>IF(A108="","",VLOOKUP(A108,'THAM CHIẾU'!$A:$B,2,0))</f>
        <v>#N/A</v>
      </c>
      <c r="D108" s="52" t="str">
        <f>IF(E108&lt;&gt;0,VLOOKUP(E108,DM_DUAN,3,0),"")</f>
        <v/>
      </c>
      <c r="E108" s="735"/>
      <c r="F108" s="735"/>
      <c r="G108" s="735"/>
      <c r="H108" s="735"/>
      <c r="I108" s="735"/>
      <c r="J108" s="52" t="s">
        <v>2214</v>
      </c>
      <c r="K108" s="52" t="s">
        <v>2214</v>
      </c>
      <c r="L108" s="735" t="s">
        <v>219</v>
      </c>
      <c r="M108" s="68"/>
      <c r="N108" s="738">
        <v>195000.0</v>
      </c>
      <c r="O108" s="735"/>
      <c r="P108" s="52" t="s">
        <v>2214</v>
      </c>
      <c r="Q108" s="52" t="s">
        <v>2214</v>
      </c>
      <c r="R108" s="737"/>
      <c r="S108" s="735"/>
      <c r="T108" s="737"/>
      <c r="U108" s="737"/>
    </row>
    <row r="109">
      <c r="A109" s="733">
        <v>44621.0</v>
      </c>
      <c r="B109" s="52" t="str">
        <f t="shared" si="1"/>
        <v>03/2022</v>
      </c>
      <c r="C109" s="52" t="str">
        <f>IF(A109="","",VLOOKUP(A109,'THAM CHIẾU'!$A:$B,2,0))</f>
        <v>#N/A</v>
      </c>
      <c r="D109" s="52" t="str">
        <f>IF(E109&lt;&gt;0,VLOOKUP(E109,DM_DUAN,3,0),"")</f>
        <v/>
      </c>
      <c r="E109" s="735"/>
      <c r="F109" s="735"/>
      <c r="G109" s="735"/>
      <c r="H109" s="735"/>
      <c r="I109" s="735"/>
      <c r="J109" s="52" t="s">
        <v>2214</v>
      </c>
      <c r="K109" s="52" t="s">
        <v>2214</v>
      </c>
      <c r="L109" s="735" t="s">
        <v>262</v>
      </c>
      <c r="M109" s="68"/>
      <c r="N109" s="738">
        <v>1080000.0</v>
      </c>
      <c r="O109" s="735"/>
      <c r="P109" s="52" t="s">
        <v>2214</v>
      </c>
      <c r="Q109" s="52" t="s">
        <v>2214</v>
      </c>
      <c r="R109" s="737"/>
      <c r="S109" s="735"/>
      <c r="T109" s="737"/>
      <c r="U109" s="737"/>
    </row>
    <row r="110">
      <c r="A110" s="733">
        <v>44621.0</v>
      </c>
      <c r="B110" s="52" t="str">
        <f t="shared" si="1"/>
        <v>03/2022</v>
      </c>
      <c r="C110" s="52" t="str">
        <f>IF(A110="","",VLOOKUP(A110,'THAM CHIẾU'!$A:$B,2,0))</f>
        <v>#N/A</v>
      </c>
      <c r="D110" s="52" t="str">
        <f>IF(E110&lt;&gt;0,VLOOKUP(E110,DM_DUAN,3,0),"")</f>
        <v/>
      </c>
      <c r="E110" s="735"/>
      <c r="F110" s="735"/>
      <c r="G110" s="735"/>
      <c r="H110" s="735"/>
      <c r="I110" s="735"/>
      <c r="J110" s="52" t="s">
        <v>2214</v>
      </c>
      <c r="K110" s="52" t="s">
        <v>2214</v>
      </c>
      <c r="L110" s="735" t="s">
        <v>222</v>
      </c>
      <c r="M110" s="68"/>
      <c r="N110" s="738">
        <v>110000.0</v>
      </c>
      <c r="O110" s="735"/>
      <c r="P110" s="52" t="s">
        <v>2214</v>
      </c>
      <c r="Q110" s="52" t="s">
        <v>2214</v>
      </c>
      <c r="R110" s="737"/>
      <c r="S110" s="735"/>
      <c r="T110" s="737"/>
      <c r="U110" s="737"/>
    </row>
    <row r="111">
      <c r="A111" s="733">
        <v>44621.0</v>
      </c>
      <c r="B111" s="52" t="str">
        <f t="shared" si="1"/>
        <v>03/2022</v>
      </c>
      <c r="C111" s="52" t="str">
        <f>IF(A111="","",VLOOKUP(A111,'THAM CHIẾU'!$A:$B,2,0))</f>
        <v>#N/A</v>
      </c>
      <c r="D111" s="52" t="str">
        <f>IF(E111&lt;&gt;0,VLOOKUP(E111,DM_DUAN,3,0),"")</f>
        <v/>
      </c>
      <c r="E111" s="735"/>
      <c r="F111" s="735"/>
      <c r="G111" s="735"/>
      <c r="H111" s="735"/>
      <c r="I111" s="735"/>
      <c r="J111" s="52" t="s">
        <v>2214</v>
      </c>
      <c r="K111" s="52" t="s">
        <v>2214</v>
      </c>
      <c r="L111" s="735" t="s">
        <v>226</v>
      </c>
      <c r="M111" s="68"/>
      <c r="N111" s="738">
        <v>135000.0</v>
      </c>
      <c r="O111" s="735"/>
      <c r="P111" s="52" t="s">
        <v>2214</v>
      </c>
      <c r="Q111" s="52" t="s">
        <v>2214</v>
      </c>
      <c r="R111" s="737"/>
      <c r="S111" s="735"/>
      <c r="T111" s="737"/>
      <c r="U111" s="737"/>
    </row>
    <row r="112">
      <c r="A112" s="733">
        <v>44621.0</v>
      </c>
      <c r="B112" s="52" t="str">
        <f t="shared" si="1"/>
        <v>03/2022</v>
      </c>
      <c r="C112" s="52" t="str">
        <f>IF(A112="","",VLOOKUP(A112,'THAM CHIẾU'!$A:$B,2,0))</f>
        <v>#N/A</v>
      </c>
      <c r="D112" s="52" t="str">
        <f>IF(E112&lt;&gt;0,VLOOKUP(E112,DM_DUAN,3,0),"")</f>
        <v/>
      </c>
      <c r="E112" s="735"/>
      <c r="F112" s="735"/>
      <c r="G112" s="735"/>
      <c r="H112" s="735"/>
      <c r="I112" s="735"/>
      <c r="J112" s="52" t="s">
        <v>2214</v>
      </c>
      <c r="K112" s="52" t="s">
        <v>2214</v>
      </c>
      <c r="L112" s="735" t="s">
        <v>222</v>
      </c>
      <c r="M112" s="68"/>
      <c r="N112" s="738">
        <v>100000.0</v>
      </c>
      <c r="O112" s="735"/>
      <c r="P112" s="52" t="s">
        <v>2214</v>
      </c>
      <c r="Q112" s="52" t="s">
        <v>2214</v>
      </c>
      <c r="R112" s="737"/>
      <c r="S112" s="735"/>
      <c r="T112" s="737"/>
      <c r="U112" s="737"/>
    </row>
    <row r="113">
      <c r="A113" s="733">
        <v>44621.0</v>
      </c>
      <c r="B113" s="52" t="str">
        <f t="shared" si="1"/>
        <v>03/2022</v>
      </c>
      <c r="C113" s="52" t="str">
        <f>IF(A113="","",VLOOKUP(A113,'THAM CHIẾU'!$A:$B,2,0))</f>
        <v>#N/A</v>
      </c>
      <c r="D113" s="52" t="str">
        <f>IF(E113&lt;&gt;0,VLOOKUP(E113,DM_DUAN,3,0),"")</f>
        <v/>
      </c>
      <c r="E113" s="735"/>
      <c r="F113" s="735"/>
      <c r="G113" s="735"/>
      <c r="H113" s="735"/>
      <c r="I113" s="735"/>
      <c r="J113" s="52" t="s">
        <v>2214</v>
      </c>
      <c r="K113" s="52" t="s">
        <v>2214</v>
      </c>
      <c r="L113" s="735" t="s">
        <v>272</v>
      </c>
      <c r="M113" s="68"/>
      <c r="N113" s="738">
        <v>1829000.0</v>
      </c>
      <c r="O113" s="735"/>
      <c r="P113" s="52" t="s">
        <v>2214</v>
      </c>
      <c r="Q113" s="52" t="s">
        <v>2214</v>
      </c>
      <c r="R113" s="737"/>
      <c r="S113" s="735"/>
      <c r="T113" s="737"/>
      <c r="U113" s="737"/>
    </row>
    <row r="114">
      <c r="A114" s="733">
        <v>44621.0</v>
      </c>
      <c r="B114" s="52" t="str">
        <f t="shared" si="1"/>
        <v>03/2022</v>
      </c>
      <c r="C114" s="52" t="str">
        <f>IF(A114="","",VLOOKUP(A114,'THAM CHIẾU'!$A:$B,2,0))</f>
        <v>#N/A</v>
      </c>
      <c r="D114" s="52" t="str">
        <f>IF(E114&lt;&gt;0,VLOOKUP(E114,DM_DUAN,3,0),"")</f>
        <v/>
      </c>
      <c r="E114" s="735"/>
      <c r="F114" s="735"/>
      <c r="G114" s="735"/>
      <c r="H114" s="735"/>
      <c r="I114" s="735"/>
      <c r="J114" s="52" t="s">
        <v>2214</v>
      </c>
      <c r="K114" s="52" t="s">
        <v>2214</v>
      </c>
      <c r="L114" s="735" t="s">
        <v>255</v>
      </c>
      <c r="M114" s="68"/>
      <c r="N114" s="738">
        <v>2154000.0</v>
      </c>
      <c r="O114" s="735"/>
      <c r="P114" s="52" t="s">
        <v>2214</v>
      </c>
      <c r="Q114" s="52" t="s">
        <v>2214</v>
      </c>
      <c r="R114" s="737"/>
      <c r="S114" s="735"/>
      <c r="T114" s="737"/>
      <c r="U114" s="737"/>
    </row>
    <row r="115">
      <c r="A115" s="733">
        <v>44621.0</v>
      </c>
      <c r="B115" s="52" t="str">
        <f t="shared" si="1"/>
        <v>03/2022</v>
      </c>
      <c r="C115" s="52" t="str">
        <f>IF(A115="","",VLOOKUP(A115,'THAM CHIẾU'!$A:$B,2,0))</f>
        <v>#N/A</v>
      </c>
      <c r="D115" s="52" t="str">
        <f>IF(E115&lt;&gt;0,VLOOKUP(E115,DM_DUAN,3,0),"")</f>
        <v/>
      </c>
      <c r="E115" s="735"/>
      <c r="F115" s="735"/>
      <c r="G115" s="735"/>
      <c r="H115" s="735"/>
      <c r="I115" s="735"/>
      <c r="J115" s="52" t="s">
        <v>2214</v>
      </c>
      <c r="K115" s="52" t="s">
        <v>2214</v>
      </c>
      <c r="L115" s="735" t="s">
        <v>270</v>
      </c>
      <c r="M115" s="68"/>
      <c r="N115" s="738">
        <v>2000000.0</v>
      </c>
      <c r="O115" s="735"/>
      <c r="P115" s="52" t="s">
        <v>2214</v>
      </c>
      <c r="Q115" s="52" t="s">
        <v>2214</v>
      </c>
      <c r="R115" s="737"/>
      <c r="S115" s="735"/>
      <c r="T115" s="737"/>
      <c r="U115" s="737"/>
    </row>
    <row r="116">
      <c r="A116" s="733">
        <v>44621.0</v>
      </c>
      <c r="B116" s="52" t="str">
        <f t="shared" si="1"/>
        <v>03/2022</v>
      </c>
      <c r="C116" s="52" t="str">
        <f>IF(A116="","",VLOOKUP(A116,'THAM CHIẾU'!$A:$B,2,0))</f>
        <v>#N/A</v>
      </c>
      <c r="D116" s="52" t="str">
        <f>IF(E116&lt;&gt;0,VLOOKUP(E116,DM_DUAN,3,0),"")</f>
        <v/>
      </c>
      <c r="E116" s="735"/>
      <c r="F116" s="735"/>
      <c r="G116" s="735"/>
      <c r="H116" s="735"/>
      <c r="I116" s="735"/>
      <c r="J116" s="52" t="s">
        <v>2214</v>
      </c>
      <c r="K116" s="52" t="s">
        <v>2214</v>
      </c>
      <c r="L116" s="735" t="s">
        <v>169</v>
      </c>
      <c r="M116" s="68"/>
      <c r="N116" s="739"/>
      <c r="O116" s="735"/>
      <c r="P116" s="52" t="s">
        <v>2214</v>
      </c>
      <c r="Q116" s="52" t="s">
        <v>2214</v>
      </c>
      <c r="R116" s="737"/>
      <c r="S116" s="735"/>
      <c r="T116" s="737"/>
      <c r="U116" s="737"/>
    </row>
    <row r="117">
      <c r="A117" s="733">
        <v>44621.0</v>
      </c>
      <c r="B117" s="52" t="str">
        <f t="shared" si="1"/>
        <v>03/2022</v>
      </c>
      <c r="C117" s="52" t="str">
        <f>IF(A117="","",VLOOKUP(A117,'THAM CHIẾU'!$A:$B,2,0))</f>
        <v>#N/A</v>
      </c>
      <c r="D117" s="52" t="str">
        <f>IF(E117&lt;&gt;0,VLOOKUP(E117,DM_DUAN,3,0),"")</f>
        <v/>
      </c>
      <c r="E117" s="735"/>
      <c r="F117" s="735"/>
      <c r="G117" s="735"/>
      <c r="H117" s="735"/>
      <c r="I117" s="735"/>
      <c r="J117" s="52" t="s">
        <v>2214</v>
      </c>
      <c r="K117" s="52" t="s">
        <v>2214</v>
      </c>
      <c r="L117" s="735" t="s">
        <v>222</v>
      </c>
      <c r="M117" s="68"/>
      <c r="N117" s="738">
        <v>110000.0</v>
      </c>
      <c r="O117" s="735"/>
      <c r="P117" s="52" t="s">
        <v>2214</v>
      </c>
      <c r="Q117" s="52" t="s">
        <v>2214</v>
      </c>
      <c r="R117" s="737"/>
      <c r="S117" s="735"/>
      <c r="T117" s="737"/>
      <c r="U117" s="737"/>
    </row>
    <row r="118">
      <c r="A118" s="733">
        <v>44621.0</v>
      </c>
      <c r="B118" s="52" t="str">
        <f t="shared" si="1"/>
        <v>03/2022</v>
      </c>
      <c r="C118" s="52" t="str">
        <f>IF(A118="","",VLOOKUP(A118,'THAM CHIẾU'!$A:$B,2,0))</f>
        <v>#N/A</v>
      </c>
      <c r="D118" s="52" t="str">
        <f>IF(E118&lt;&gt;0,VLOOKUP(E118,DM_DUAN,3,0),"")</f>
        <v/>
      </c>
      <c r="E118" s="735"/>
      <c r="F118" s="735"/>
      <c r="G118" s="735"/>
      <c r="H118" s="735"/>
      <c r="I118" s="735"/>
      <c r="J118" s="52" t="s">
        <v>2214</v>
      </c>
      <c r="K118" s="52" t="s">
        <v>2214</v>
      </c>
      <c r="L118" s="735" t="s">
        <v>410</v>
      </c>
      <c r="M118" s="68"/>
      <c r="N118" s="738">
        <v>1499000.0</v>
      </c>
      <c r="O118" s="735"/>
      <c r="P118" s="52" t="s">
        <v>2214</v>
      </c>
      <c r="Q118" s="52" t="s">
        <v>2214</v>
      </c>
      <c r="R118" s="737"/>
      <c r="S118" s="735"/>
      <c r="T118" s="737"/>
      <c r="U118" s="737"/>
    </row>
    <row r="119">
      <c r="A119" s="733">
        <v>44621.0</v>
      </c>
      <c r="B119" s="52" t="str">
        <f t="shared" si="1"/>
        <v>03/2022</v>
      </c>
      <c r="C119" s="52" t="str">
        <f>IF(A119="","",VLOOKUP(A119,'THAM CHIẾU'!$A:$B,2,0))</f>
        <v>#N/A</v>
      </c>
      <c r="D119" s="52" t="str">
        <f>IF(E119&lt;&gt;0,VLOOKUP(E119,DM_DUAN,3,0),"")</f>
        <v/>
      </c>
      <c r="E119" s="735"/>
      <c r="F119" s="735"/>
      <c r="G119" s="735"/>
      <c r="H119" s="735"/>
      <c r="I119" s="735"/>
      <c r="J119" s="52" t="s">
        <v>2214</v>
      </c>
      <c r="K119" s="52" t="s">
        <v>2214</v>
      </c>
      <c r="L119" s="735" t="s">
        <v>380</v>
      </c>
      <c r="M119" s="68"/>
      <c r="N119" s="738">
        <v>293000.0</v>
      </c>
      <c r="O119" s="735"/>
      <c r="P119" s="52" t="s">
        <v>2214</v>
      </c>
      <c r="Q119" s="52" t="s">
        <v>2214</v>
      </c>
      <c r="R119" s="737"/>
      <c r="S119" s="735"/>
      <c r="T119" s="737"/>
      <c r="U119" s="737"/>
    </row>
    <row r="120">
      <c r="A120" s="733">
        <v>44621.0</v>
      </c>
      <c r="B120" s="52" t="str">
        <f t="shared" si="1"/>
        <v>03/2022</v>
      </c>
      <c r="C120" s="52" t="str">
        <f>IF(A120="","",VLOOKUP(A120,'THAM CHIẾU'!$A:$B,2,0))</f>
        <v>#N/A</v>
      </c>
      <c r="D120" s="52" t="str">
        <f>IF(E120&lt;&gt;0,VLOOKUP(E120,DM_DUAN,3,0),"")</f>
        <v/>
      </c>
      <c r="E120" s="735"/>
      <c r="F120" s="735"/>
      <c r="G120" s="735"/>
      <c r="H120" s="735"/>
      <c r="I120" s="735"/>
      <c r="J120" s="52" t="s">
        <v>2214</v>
      </c>
      <c r="K120" s="52" t="s">
        <v>2214</v>
      </c>
      <c r="L120" s="735" t="s">
        <v>377</v>
      </c>
      <c r="M120" s="68"/>
      <c r="N120" s="738">
        <v>170000.0</v>
      </c>
      <c r="O120" s="735"/>
      <c r="P120" s="52" t="s">
        <v>2214</v>
      </c>
      <c r="Q120" s="52" t="s">
        <v>2214</v>
      </c>
      <c r="R120" s="737"/>
      <c r="S120" s="735"/>
      <c r="T120" s="737"/>
      <c r="U120" s="737"/>
    </row>
    <row r="121">
      <c r="A121" s="733">
        <v>44621.0</v>
      </c>
      <c r="B121" s="52" t="str">
        <f t="shared" si="1"/>
        <v>03/2022</v>
      </c>
      <c r="C121" s="52" t="str">
        <f>IF(A121="","",VLOOKUP(A121,'THAM CHIẾU'!$A:$B,2,0))</f>
        <v>#N/A</v>
      </c>
      <c r="D121" s="52" t="str">
        <f>IF(E121&lt;&gt;0,VLOOKUP(E121,DM_DUAN,3,0),"")</f>
        <v/>
      </c>
      <c r="E121" s="735"/>
      <c r="F121" s="735"/>
      <c r="G121" s="735"/>
      <c r="H121" s="735"/>
      <c r="I121" s="735"/>
      <c r="J121" s="52" t="s">
        <v>2214</v>
      </c>
      <c r="K121" s="52" t="s">
        <v>2214</v>
      </c>
      <c r="L121" s="735" t="s">
        <v>413</v>
      </c>
      <c r="M121" s="68"/>
      <c r="N121" s="738">
        <v>1830000.0</v>
      </c>
      <c r="O121" s="735"/>
      <c r="P121" s="52" t="s">
        <v>2214</v>
      </c>
      <c r="Q121" s="52" t="s">
        <v>2214</v>
      </c>
      <c r="R121" s="737"/>
      <c r="S121" s="735"/>
      <c r="T121" s="737"/>
      <c r="U121" s="737"/>
    </row>
    <row r="122">
      <c r="A122" s="733">
        <v>44621.0</v>
      </c>
      <c r="B122" s="52" t="str">
        <f t="shared" si="1"/>
        <v>03/2022</v>
      </c>
      <c r="C122" s="52" t="str">
        <f>IF(A122="","",VLOOKUP(A122,'THAM CHIẾU'!$A:$B,2,0))</f>
        <v>#N/A</v>
      </c>
      <c r="D122" s="52" t="str">
        <f>IF(E122&lt;&gt;0,VLOOKUP(E122,DM_DUAN,3,0),"")</f>
        <v/>
      </c>
      <c r="E122" s="735"/>
      <c r="F122" s="735"/>
      <c r="G122" s="735"/>
      <c r="H122" s="735"/>
      <c r="I122" s="735"/>
      <c r="J122" s="52" t="s">
        <v>2214</v>
      </c>
      <c r="K122" s="52" t="s">
        <v>2214</v>
      </c>
      <c r="L122" s="735" t="s">
        <v>226</v>
      </c>
      <c r="M122" s="68"/>
      <c r="N122" s="738">
        <v>216000.0</v>
      </c>
      <c r="O122" s="735"/>
      <c r="P122" s="52" t="s">
        <v>2214</v>
      </c>
      <c r="Q122" s="52" t="s">
        <v>2214</v>
      </c>
      <c r="R122" s="737"/>
      <c r="S122" s="735"/>
      <c r="T122" s="737"/>
      <c r="U122" s="737"/>
    </row>
    <row r="123">
      <c r="A123" s="733">
        <v>44621.0</v>
      </c>
      <c r="B123" s="52" t="str">
        <f t="shared" si="1"/>
        <v>03/2022</v>
      </c>
      <c r="C123" s="52" t="str">
        <f>IF(A123="","",VLOOKUP(A123,'THAM CHIẾU'!$A:$B,2,0))</f>
        <v>#N/A</v>
      </c>
      <c r="D123" s="52" t="str">
        <f>IF(E123&lt;&gt;0,VLOOKUP(E123,DM_DUAN,3,0),"")</f>
        <v/>
      </c>
      <c r="E123" s="735"/>
      <c r="F123" s="735"/>
      <c r="G123" s="735"/>
      <c r="H123" s="735"/>
      <c r="I123" s="735"/>
      <c r="J123" s="52" t="s">
        <v>2214</v>
      </c>
      <c r="K123" s="52" t="s">
        <v>2214</v>
      </c>
      <c r="L123" s="735" t="s">
        <v>270</v>
      </c>
      <c r="M123" s="68"/>
      <c r="N123" s="738">
        <v>5428571.0</v>
      </c>
      <c r="O123" s="735"/>
      <c r="P123" s="52" t="s">
        <v>2214</v>
      </c>
      <c r="Q123" s="52" t="s">
        <v>2214</v>
      </c>
      <c r="R123" s="737"/>
      <c r="S123" s="735"/>
      <c r="T123" s="737"/>
      <c r="U123" s="737"/>
    </row>
    <row r="124">
      <c r="A124" s="733">
        <v>44621.0</v>
      </c>
      <c r="B124" s="52" t="str">
        <f t="shared" si="1"/>
        <v>03/2022</v>
      </c>
      <c r="C124" s="52" t="str">
        <f>IF(A124="","",VLOOKUP(A124,'THAM CHIẾU'!$A:$B,2,0))</f>
        <v>#N/A</v>
      </c>
      <c r="D124" s="52" t="str">
        <f>IF(E124&lt;&gt;0,VLOOKUP(E124,DM_DUAN,3,0),"")</f>
        <v/>
      </c>
      <c r="E124" s="735"/>
      <c r="F124" s="735"/>
      <c r="G124" s="735"/>
      <c r="H124" s="735"/>
      <c r="I124" s="735"/>
      <c r="J124" s="52" t="s">
        <v>2214</v>
      </c>
      <c r="K124" s="52" t="s">
        <v>2214</v>
      </c>
      <c r="L124" s="735" t="s">
        <v>270</v>
      </c>
      <c r="M124" s="68"/>
      <c r="N124" s="738">
        <v>1.6285714E7</v>
      </c>
      <c r="O124" s="735"/>
      <c r="P124" s="52" t="s">
        <v>2214</v>
      </c>
      <c r="Q124" s="52" t="s">
        <v>2214</v>
      </c>
      <c r="R124" s="737"/>
      <c r="S124" s="735"/>
      <c r="T124" s="737"/>
      <c r="U124" s="737"/>
    </row>
    <row r="125">
      <c r="A125" s="733">
        <v>44621.0</v>
      </c>
      <c r="B125" s="52" t="str">
        <f t="shared" si="1"/>
        <v>03/2022</v>
      </c>
      <c r="C125" s="52" t="str">
        <f>IF(A125="","",VLOOKUP(A125,'THAM CHIẾU'!$A:$B,2,0))</f>
        <v>#N/A</v>
      </c>
      <c r="D125" s="52" t="str">
        <f>IF(E125&lt;&gt;0,VLOOKUP(E125,DM_DUAN,3,0),"")</f>
        <v/>
      </c>
      <c r="E125" s="735"/>
      <c r="F125" s="735"/>
      <c r="G125" s="735"/>
      <c r="H125" s="735"/>
      <c r="I125" s="735"/>
      <c r="J125" s="52" t="s">
        <v>2214</v>
      </c>
      <c r="K125" s="52" t="s">
        <v>2214</v>
      </c>
      <c r="L125" s="735" t="s">
        <v>270</v>
      </c>
      <c r="M125" s="68"/>
      <c r="N125" s="738">
        <v>1.0857143E7</v>
      </c>
      <c r="O125" s="735"/>
      <c r="P125" s="52" t="s">
        <v>2214</v>
      </c>
      <c r="Q125" s="52" t="s">
        <v>2214</v>
      </c>
      <c r="R125" s="737"/>
      <c r="S125" s="735"/>
      <c r="T125" s="737"/>
      <c r="U125" s="737"/>
    </row>
    <row r="126">
      <c r="A126" s="733">
        <v>44621.0</v>
      </c>
      <c r="B126" s="52" t="str">
        <f t="shared" si="1"/>
        <v>03/2022</v>
      </c>
      <c r="C126" s="52" t="str">
        <f>IF(A126="","",VLOOKUP(A126,'THAM CHIẾU'!$A:$B,2,0))</f>
        <v>#N/A</v>
      </c>
      <c r="D126" s="52" t="str">
        <f>IF(E126&lt;&gt;0,VLOOKUP(E126,DM_DUAN,3,0),"")</f>
        <v/>
      </c>
      <c r="E126" s="735"/>
      <c r="F126" s="735"/>
      <c r="G126" s="735"/>
      <c r="H126" s="735"/>
      <c r="I126" s="735"/>
      <c r="J126" s="52" t="s">
        <v>2214</v>
      </c>
      <c r="K126" s="52" t="s">
        <v>2214</v>
      </c>
      <c r="L126" s="735" t="s">
        <v>270</v>
      </c>
      <c r="M126" s="68"/>
      <c r="N126" s="738">
        <v>5428571.0</v>
      </c>
      <c r="O126" s="735"/>
      <c r="P126" s="52" t="s">
        <v>2214</v>
      </c>
      <c r="Q126" s="52" t="s">
        <v>2214</v>
      </c>
      <c r="R126" s="737"/>
      <c r="S126" s="735"/>
      <c r="T126" s="737"/>
      <c r="U126" s="737"/>
    </row>
    <row r="127">
      <c r="A127" s="733">
        <v>44621.0</v>
      </c>
      <c r="B127" s="52" t="str">
        <f t="shared" si="1"/>
        <v>03/2022</v>
      </c>
      <c r="C127" s="52" t="str">
        <f>IF(A127="","",VLOOKUP(A127,'THAM CHIẾU'!$A:$B,2,0))</f>
        <v>#N/A</v>
      </c>
      <c r="D127" s="52" t="str">
        <f>IF(E127&lt;&gt;0,VLOOKUP(E127,DM_DUAN,3,0),"")</f>
        <v/>
      </c>
      <c r="E127" s="735"/>
      <c r="F127" s="735"/>
      <c r="G127" s="735"/>
      <c r="H127" s="735"/>
      <c r="I127" s="735"/>
      <c r="J127" s="52" t="s">
        <v>2214</v>
      </c>
      <c r="K127" s="52" t="s">
        <v>2214</v>
      </c>
      <c r="L127" s="735" t="s">
        <v>270</v>
      </c>
      <c r="M127" s="68"/>
      <c r="N127" s="738">
        <v>4333333.0</v>
      </c>
      <c r="O127" s="735"/>
      <c r="P127" s="52" t="s">
        <v>2214</v>
      </c>
      <c r="Q127" s="52" t="s">
        <v>2214</v>
      </c>
      <c r="R127" s="737"/>
      <c r="S127" s="735"/>
      <c r="T127" s="737"/>
      <c r="U127" s="737"/>
    </row>
    <row r="128">
      <c r="A128" s="733">
        <v>44621.0</v>
      </c>
      <c r="B128" s="52" t="str">
        <f t="shared" si="1"/>
        <v>03/2022</v>
      </c>
      <c r="C128" s="52" t="str">
        <f>IF(A128="","",VLOOKUP(A128,'THAM CHIẾU'!$A:$B,2,0))</f>
        <v>#N/A</v>
      </c>
      <c r="D128" s="52" t="str">
        <f>IF(E128&lt;&gt;0,VLOOKUP(E128,DM_DUAN,3,0),"")</f>
        <v/>
      </c>
      <c r="E128" s="735"/>
      <c r="F128" s="735"/>
      <c r="G128" s="735"/>
      <c r="H128" s="735"/>
      <c r="I128" s="735"/>
      <c r="J128" s="52" t="s">
        <v>2214</v>
      </c>
      <c r="K128" s="52" t="s">
        <v>2214</v>
      </c>
      <c r="L128" s="735" t="s">
        <v>270</v>
      </c>
      <c r="M128" s="68"/>
      <c r="N128" s="738">
        <v>6050000.0</v>
      </c>
      <c r="O128" s="735"/>
      <c r="P128" s="52" t="s">
        <v>2214</v>
      </c>
      <c r="Q128" s="52" t="s">
        <v>2214</v>
      </c>
      <c r="R128" s="737"/>
      <c r="S128" s="735"/>
      <c r="T128" s="737"/>
      <c r="U128" s="737"/>
    </row>
    <row r="129">
      <c r="A129" s="733">
        <v>44621.0</v>
      </c>
      <c r="B129" s="52" t="str">
        <f t="shared" si="1"/>
        <v>03/2022</v>
      </c>
      <c r="C129" s="52" t="str">
        <f>IF(A129="","",VLOOKUP(A129,'THAM CHIẾU'!$A:$B,2,0))</f>
        <v>#N/A</v>
      </c>
      <c r="D129" s="52" t="str">
        <f>IF(E129&lt;&gt;0,VLOOKUP(E129,DM_DUAN,3,0),"")</f>
        <v/>
      </c>
      <c r="E129" s="735"/>
      <c r="F129" s="735"/>
      <c r="G129" s="735"/>
      <c r="H129" s="735"/>
      <c r="I129" s="735"/>
      <c r="J129" s="52" t="s">
        <v>2214</v>
      </c>
      <c r="K129" s="52" t="s">
        <v>2214</v>
      </c>
      <c r="L129" s="735" t="s">
        <v>270</v>
      </c>
      <c r="M129" s="68"/>
      <c r="N129" s="738">
        <v>4000000.0</v>
      </c>
      <c r="O129" s="735"/>
      <c r="P129" s="52" t="s">
        <v>2214</v>
      </c>
      <c r="Q129" s="52" t="s">
        <v>2214</v>
      </c>
      <c r="R129" s="737"/>
      <c r="S129" s="735"/>
      <c r="T129" s="737"/>
      <c r="U129" s="737"/>
    </row>
    <row r="130">
      <c r="A130" s="733">
        <v>44621.0</v>
      </c>
      <c r="B130" s="52" t="str">
        <f t="shared" si="1"/>
        <v>03/2022</v>
      </c>
      <c r="C130" s="52" t="str">
        <f>IF(A130="","",VLOOKUP(A130,'THAM CHIẾU'!$A:$B,2,0))</f>
        <v>#N/A</v>
      </c>
      <c r="D130" s="52" t="str">
        <f>IF(E130&lt;&gt;0,VLOOKUP(E130,DM_DUAN,3,0),"")</f>
        <v/>
      </c>
      <c r="E130" s="735"/>
      <c r="F130" s="735"/>
      <c r="G130" s="735"/>
      <c r="H130" s="735"/>
      <c r="I130" s="735"/>
      <c r="J130" s="52" t="s">
        <v>2214</v>
      </c>
      <c r="K130" s="52" t="s">
        <v>2214</v>
      </c>
      <c r="L130" s="735" t="s">
        <v>169</v>
      </c>
      <c r="M130" s="68"/>
      <c r="N130" s="738">
        <v>1.2E7</v>
      </c>
      <c r="O130" s="735"/>
      <c r="P130" s="52" t="s">
        <v>2214</v>
      </c>
      <c r="Q130" s="52" t="s">
        <v>2214</v>
      </c>
      <c r="R130" s="737"/>
      <c r="S130" s="735"/>
      <c r="T130" s="737"/>
      <c r="U130" s="737"/>
    </row>
    <row r="131">
      <c r="A131" s="733">
        <v>44621.0</v>
      </c>
      <c r="B131" s="52" t="str">
        <f t="shared" si="1"/>
        <v>03/2022</v>
      </c>
      <c r="C131" s="52" t="str">
        <f>IF(A131="","",VLOOKUP(A131,'THAM CHIẾU'!$A:$B,2,0))</f>
        <v>#N/A</v>
      </c>
      <c r="D131" s="52" t="str">
        <f>IF(E131&lt;&gt;0,VLOOKUP(E131,DM_DUAN,3,0),"")</f>
        <v/>
      </c>
      <c r="E131" s="735"/>
      <c r="F131" s="735"/>
      <c r="G131" s="735"/>
      <c r="H131" s="735"/>
      <c r="I131" s="735"/>
      <c r="J131" s="52" t="s">
        <v>2214</v>
      </c>
      <c r="K131" s="52" t="s">
        <v>2214</v>
      </c>
      <c r="L131" s="735" t="s">
        <v>206</v>
      </c>
      <c r="M131" s="68"/>
      <c r="N131" s="738">
        <v>726000.0</v>
      </c>
      <c r="O131" s="735"/>
      <c r="P131" s="52" t="s">
        <v>2214</v>
      </c>
      <c r="Q131" s="52" t="s">
        <v>2214</v>
      </c>
      <c r="R131" s="737"/>
      <c r="S131" s="735"/>
      <c r="T131" s="737"/>
      <c r="U131" s="737"/>
    </row>
    <row r="132">
      <c r="A132" s="733">
        <v>44621.0</v>
      </c>
      <c r="B132" s="52" t="str">
        <f t="shared" si="1"/>
        <v>03/2022</v>
      </c>
      <c r="C132" s="52" t="str">
        <f>IF(A132="","",VLOOKUP(A132,'THAM CHIẾU'!$A:$B,2,0))</f>
        <v>#N/A</v>
      </c>
      <c r="D132" s="52" t="str">
        <f>IF(E132&lt;&gt;0,VLOOKUP(E132,DM_DUAN,3,0),"")</f>
        <v/>
      </c>
      <c r="E132" s="735"/>
      <c r="F132" s="735"/>
      <c r="G132" s="735"/>
      <c r="H132" s="735"/>
      <c r="I132" s="735"/>
      <c r="J132" s="52" t="s">
        <v>2214</v>
      </c>
      <c r="K132" s="52" t="s">
        <v>2214</v>
      </c>
      <c r="L132" s="735" t="s">
        <v>419</v>
      </c>
      <c r="M132" s="68"/>
      <c r="N132" s="738">
        <v>137500.0</v>
      </c>
      <c r="O132" s="735"/>
      <c r="P132" s="52" t="s">
        <v>2214</v>
      </c>
      <c r="Q132" s="52" t="s">
        <v>2214</v>
      </c>
      <c r="R132" s="737"/>
      <c r="S132" s="735"/>
      <c r="T132" s="737"/>
      <c r="U132" s="737"/>
    </row>
    <row r="133">
      <c r="A133" s="733">
        <v>44621.0</v>
      </c>
      <c r="B133" s="52" t="str">
        <f t="shared" si="1"/>
        <v>03/2022</v>
      </c>
      <c r="C133" s="52" t="str">
        <f>IF(A133="","",VLOOKUP(A133,'THAM CHIẾU'!$A:$B,2,0))</f>
        <v>#N/A</v>
      </c>
      <c r="D133" s="52" t="str">
        <f>IF(E133&lt;&gt;0,VLOOKUP(E133,DM_DUAN,3,0),"")</f>
        <v/>
      </c>
      <c r="E133" s="735"/>
      <c r="F133" s="735"/>
      <c r="G133" s="735"/>
      <c r="H133" s="735"/>
      <c r="I133" s="735"/>
      <c r="J133" s="52" t="s">
        <v>2214</v>
      </c>
      <c r="K133" s="52" t="s">
        <v>2214</v>
      </c>
      <c r="L133" s="735" t="s">
        <v>380</v>
      </c>
      <c r="M133" s="68"/>
      <c r="N133" s="738">
        <v>50600.0</v>
      </c>
      <c r="O133" s="735"/>
      <c r="P133" s="52" t="s">
        <v>2214</v>
      </c>
      <c r="Q133" s="52" t="s">
        <v>2214</v>
      </c>
      <c r="R133" s="737"/>
      <c r="S133" s="735"/>
      <c r="T133" s="737"/>
      <c r="U133" s="737"/>
    </row>
    <row r="134">
      <c r="A134" s="733">
        <v>44621.0</v>
      </c>
      <c r="B134" s="52" t="str">
        <f t="shared" si="1"/>
        <v>03/2022</v>
      </c>
      <c r="C134" s="52" t="str">
        <f>IF(A134="","",VLOOKUP(A134,'THAM CHIẾU'!$A:$B,2,0))</f>
        <v>#N/A</v>
      </c>
      <c r="D134" s="52" t="str">
        <f>IF(E134&lt;&gt;0,VLOOKUP(E134,DM_DUAN,3,0),"")</f>
        <v/>
      </c>
      <c r="E134" s="735"/>
      <c r="F134" s="735"/>
      <c r="G134" s="735"/>
      <c r="H134" s="735"/>
      <c r="I134" s="735"/>
      <c r="J134" s="52" t="s">
        <v>2214</v>
      </c>
      <c r="K134" s="52" t="s">
        <v>2214</v>
      </c>
      <c r="L134" s="735" t="s">
        <v>174</v>
      </c>
      <c r="M134" s="68"/>
      <c r="N134" s="738">
        <v>107800.0</v>
      </c>
      <c r="O134" s="735"/>
      <c r="P134" s="52" t="s">
        <v>2214</v>
      </c>
      <c r="Q134" s="52" t="s">
        <v>2214</v>
      </c>
      <c r="R134" s="737"/>
      <c r="S134" s="735"/>
      <c r="T134" s="737"/>
      <c r="U134" s="737"/>
    </row>
    <row r="135">
      <c r="A135" s="733">
        <v>44621.0</v>
      </c>
      <c r="B135" s="52" t="str">
        <f t="shared" si="1"/>
        <v>03/2022</v>
      </c>
      <c r="C135" s="52" t="str">
        <f>IF(A135="","",VLOOKUP(A135,'THAM CHIẾU'!$A:$B,2,0))</f>
        <v>#N/A</v>
      </c>
      <c r="D135" s="52" t="str">
        <f>IF(E135&lt;&gt;0,VLOOKUP(E135,DM_DUAN,3,0),"")</f>
        <v/>
      </c>
      <c r="E135" s="735"/>
      <c r="F135" s="735"/>
      <c r="G135" s="735"/>
      <c r="H135" s="735"/>
      <c r="I135" s="735"/>
      <c r="J135" s="52" t="s">
        <v>2214</v>
      </c>
      <c r="K135" s="52" t="s">
        <v>2214</v>
      </c>
      <c r="L135" s="735" t="s">
        <v>174</v>
      </c>
      <c r="M135" s="68"/>
      <c r="N135" s="738">
        <v>1482000.0</v>
      </c>
      <c r="O135" s="735"/>
      <c r="P135" s="52" t="s">
        <v>2214</v>
      </c>
      <c r="Q135" s="52" t="s">
        <v>2214</v>
      </c>
      <c r="R135" s="737"/>
      <c r="S135" s="735"/>
      <c r="T135" s="737"/>
      <c r="U135" s="737"/>
    </row>
    <row r="136">
      <c r="A136" s="733">
        <v>44621.0</v>
      </c>
      <c r="B136" s="52" t="str">
        <f t="shared" si="1"/>
        <v>03/2022</v>
      </c>
      <c r="C136" s="52" t="str">
        <f>IF(A136="","",VLOOKUP(A136,'THAM CHIẾU'!$A:$B,2,0))</f>
        <v>#N/A</v>
      </c>
      <c r="D136" s="52" t="str">
        <f>IF(E136&lt;&gt;0,VLOOKUP(E136,DM_DUAN,3,0),"")</f>
        <v/>
      </c>
      <c r="E136" s="735"/>
      <c r="F136" s="735"/>
      <c r="G136" s="735"/>
      <c r="H136" s="735"/>
      <c r="I136" s="735"/>
      <c r="J136" s="52" t="s">
        <v>2214</v>
      </c>
      <c r="K136" s="52" t="s">
        <v>2214</v>
      </c>
      <c r="L136" s="735" t="s">
        <v>174</v>
      </c>
      <c r="M136" s="68"/>
      <c r="N136" s="738">
        <v>988000.0</v>
      </c>
      <c r="O136" s="735"/>
      <c r="P136" s="52" t="s">
        <v>2214</v>
      </c>
      <c r="Q136" s="52" t="s">
        <v>2214</v>
      </c>
      <c r="R136" s="737"/>
      <c r="S136" s="735"/>
      <c r="T136" s="737"/>
      <c r="U136" s="737"/>
    </row>
    <row r="137">
      <c r="A137" s="733">
        <v>44621.0</v>
      </c>
      <c r="B137" s="52" t="str">
        <f t="shared" si="1"/>
        <v>03/2022</v>
      </c>
      <c r="C137" s="52" t="str">
        <f>IF(A137="","",VLOOKUP(A137,'THAM CHIẾU'!$A:$B,2,0))</f>
        <v>#N/A</v>
      </c>
      <c r="D137" s="52" t="str">
        <f>IF(E137&lt;&gt;0,VLOOKUP(E137,DM_DUAN,3,0),"")</f>
        <v/>
      </c>
      <c r="E137" s="735"/>
      <c r="F137" s="735"/>
      <c r="G137" s="735"/>
      <c r="H137" s="735"/>
      <c r="I137" s="735"/>
      <c r="J137" s="52" t="s">
        <v>2214</v>
      </c>
      <c r="K137" s="52" t="s">
        <v>2214</v>
      </c>
      <c r="L137" s="735" t="s">
        <v>174</v>
      </c>
      <c r="M137" s="68"/>
      <c r="N137" s="738">
        <v>1324000.0</v>
      </c>
      <c r="O137" s="735"/>
      <c r="P137" s="52" t="s">
        <v>2214</v>
      </c>
      <c r="Q137" s="52" t="s">
        <v>2214</v>
      </c>
      <c r="R137" s="737"/>
      <c r="S137" s="735"/>
      <c r="T137" s="737"/>
      <c r="U137" s="737"/>
    </row>
    <row r="138">
      <c r="A138" s="733">
        <v>44621.0</v>
      </c>
      <c r="B138" s="52" t="str">
        <f t="shared" si="1"/>
        <v>03/2022</v>
      </c>
      <c r="C138" s="52" t="str">
        <f>IF(A138="","",VLOOKUP(A138,'THAM CHIẾU'!$A:$B,2,0))</f>
        <v>#N/A</v>
      </c>
      <c r="D138" s="52" t="str">
        <f>IF(E138&lt;&gt;0,VLOOKUP(E138,DM_DUAN,3,0),"")</f>
        <v/>
      </c>
      <c r="E138" s="735"/>
      <c r="F138" s="735"/>
      <c r="G138" s="735"/>
      <c r="H138" s="735"/>
      <c r="I138" s="735"/>
      <c r="J138" s="52" t="s">
        <v>2214</v>
      </c>
      <c r="K138" s="52" t="s">
        <v>2214</v>
      </c>
      <c r="L138" s="735" t="s">
        <v>174</v>
      </c>
      <c r="M138" s="68"/>
      <c r="N138" s="738">
        <v>1226000.0</v>
      </c>
      <c r="O138" s="735"/>
      <c r="P138" s="52" t="s">
        <v>2214</v>
      </c>
      <c r="Q138" s="52" t="s">
        <v>2214</v>
      </c>
      <c r="R138" s="737"/>
      <c r="S138" s="735"/>
      <c r="T138" s="737"/>
      <c r="U138" s="737"/>
    </row>
    <row r="139">
      <c r="A139" s="733">
        <v>44621.0</v>
      </c>
      <c r="B139" s="52" t="str">
        <f t="shared" si="1"/>
        <v>03/2022</v>
      </c>
      <c r="C139" s="52" t="str">
        <f>IF(A139="","",VLOOKUP(A139,'THAM CHIẾU'!$A:$B,2,0))</f>
        <v>#N/A</v>
      </c>
      <c r="D139" s="52" t="str">
        <f>IF(E139&lt;&gt;0,VLOOKUP(E139,DM_DUAN,3,0),"")</f>
        <v/>
      </c>
      <c r="E139" s="735"/>
      <c r="F139" s="735"/>
      <c r="G139" s="735"/>
      <c r="H139" s="735"/>
      <c r="I139" s="735"/>
      <c r="J139" s="52" t="s">
        <v>2214</v>
      </c>
      <c r="K139" s="52" t="s">
        <v>2214</v>
      </c>
      <c r="L139" s="735" t="s">
        <v>174</v>
      </c>
      <c r="M139" s="68"/>
      <c r="N139" s="738">
        <v>2480000.0</v>
      </c>
      <c r="O139" s="735"/>
      <c r="P139" s="52" t="s">
        <v>2214</v>
      </c>
      <c r="Q139" s="52" t="s">
        <v>2214</v>
      </c>
      <c r="R139" s="737"/>
      <c r="S139" s="735"/>
      <c r="T139" s="737"/>
      <c r="U139" s="737"/>
    </row>
    <row r="140">
      <c r="A140" s="733">
        <v>44621.0</v>
      </c>
      <c r="B140" s="52" t="str">
        <f t="shared" si="1"/>
        <v>03/2022</v>
      </c>
      <c r="C140" s="52" t="str">
        <f>IF(A140="","",VLOOKUP(A140,'THAM CHIẾU'!$A:$B,2,0))</f>
        <v>#N/A</v>
      </c>
      <c r="D140" s="52" t="str">
        <f>IF(E140&lt;&gt;0,VLOOKUP(E140,DM_DUAN,3,0),"")</f>
        <v/>
      </c>
      <c r="E140" s="735"/>
      <c r="F140" s="735"/>
      <c r="G140" s="735"/>
      <c r="H140" s="735"/>
      <c r="I140" s="735"/>
      <c r="J140" s="52" t="s">
        <v>2214</v>
      </c>
      <c r="K140" s="52" t="s">
        <v>2214</v>
      </c>
      <c r="L140" s="735" t="s">
        <v>174</v>
      </c>
      <c r="M140" s="68"/>
      <c r="N140" s="738">
        <v>854000.0</v>
      </c>
      <c r="O140" s="735"/>
      <c r="P140" s="52" t="s">
        <v>2214</v>
      </c>
      <c r="Q140" s="52" t="s">
        <v>2214</v>
      </c>
      <c r="R140" s="737"/>
      <c r="S140" s="735"/>
      <c r="T140" s="737"/>
      <c r="U140" s="737"/>
    </row>
    <row r="141">
      <c r="A141" s="733">
        <v>44621.0</v>
      </c>
      <c r="B141" s="52" t="str">
        <f t="shared" si="1"/>
        <v>03/2022</v>
      </c>
      <c r="C141" s="52" t="str">
        <f>IF(A141="","",VLOOKUP(A141,'THAM CHIẾU'!$A:$B,2,0))</f>
        <v>#N/A</v>
      </c>
      <c r="D141" s="52" t="str">
        <f>IF(E141&lt;&gt;0,VLOOKUP(E141,DM_DUAN,3,0),"")</f>
        <v/>
      </c>
      <c r="E141" s="735"/>
      <c r="F141" s="735"/>
      <c r="G141" s="735"/>
      <c r="H141" s="735"/>
      <c r="I141" s="735"/>
      <c r="J141" s="52" t="s">
        <v>2214</v>
      </c>
      <c r="K141" s="52" t="s">
        <v>2214</v>
      </c>
      <c r="L141" s="735" t="s">
        <v>174</v>
      </c>
      <c r="M141" s="68"/>
      <c r="N141" s="738">
        <v>2700000.0</v>
      </c>
      <c r="O141" s="735"/>
      <c r="P141" s="52" t="s">
        <v>2214</v>
      </c>
      <c r="Q141" s="52" t="s">
        <v>2214</v>
      </c>
      <c r="R141" s="737"/>
      <c r="S141" s="735"/>
      <c r="T141" s="737"/>
      <c r="U141" s="737"/>
    </row>
    <row r="142">
      <c r="A142" s="733">
        <v>44621.0</v>
      </c>
      <c r="B142" s="52" t="str">
        <f t="shared" si="1"/>
        <v>03/2022</v>
      </c>
      <c r="C142" s="52" t="str">
        <f>IF(A142="","",VLOOKUP(A142,'THAM CHIẾU'!$A:$B,2,0))</f>
        <v>#N/A</v>
      </c>
      <c r="D142" s="52" t="str">
        <f>IF(E142&lt;&gt;0,VLOOKUP(E142,DM_DUAN,3,0),"")</f>
        <v/>
      </c>
      <c r="E142" s="735"/>
      <c r="F142" s="735"/>
      <c r="G142" s="735"/>
      <c r="H142" s="735"/>
      <c r="I142" s="735"/>
      <c r="J142" s="52" t="s">
        <v>2214</v>
      </c>
      <c r="K142" s="52" t="s">
        <v>2214</v>
      </c>
      <c r="L142" s="735" t="s">
        <v>267</v>
      </c>
      <c r="M142" s="68"/>
      <c r="N142" s="738">
        <v>3.602634E7</v>
      </c>
      <c r="O142" s="735"/>
      <c r="P142" s="52" t="s">
        <v>2214</v>
      </c>
      <c r="Q142" s="52" t="s">
        <v>2214</v>
      </c>
      <c r="R142" s="737"/>
      <c r="S142" s="735"/>
      <c r="T142" s="737"/>
      <c r="U142" s="737"/>
    </row>
    <row r="143">
      <c r="A143" s="733">
        <v>44621.0</v>
      </c>
      <c r="B143" s="52" t="str">
        <f t="shared" si="1"/>
        <v>03/2022</v>
      </c>
      <c r="C143" s="52" t="str">
        <f>IF(A143="","",VLOOKUP(A143,'THAM CHIẾU'!$A:$B,2,0))</f>
        <v>#N/A</v>
      </c>
      <c r="D143" s="52" t="str">
        <f>IF(E143&lt;&gt;0,VLOOKUP(E143,DM_DUAN,3,0),"")</f>
        <v/>
      </c>
      <c r="E143" s="735"/>
      <c r="F143" s="735"/>
      <c r="G143" s="735"/>
      <c r="H143" s="735"/>
      <c r="I143" s="735"/>
      <c r="J143" s="52" t="s">
        <v>2214</v>
      </c>
      <c r="K143" s="52" t="s">
        <v>2214</v>
      </c>
      <c r="L143" s="735" t="s">
        <v>222</v>
      </c>
      <c r="M143" s="68"/>
      <c r="N143" s="738">
        <v>100000.0</v>
      </c>
      <c r="O143" s="735"/>
      <c r="P143" s="52" t="s">
        <v>2214</v>
      </c>
      <c r="Q143" s="52" t="s">
        <v>2214</v>
      </c>
      <c r="R143" s="737"/>
      <c r="S143" s="735"/>
      <c r="T143" s="737"/>
      <c r="U143" s="737"/>
    </row>
    <row r="144">
      <c r="A144" s="733">
        <v>44621.0</v>
      </c>
      <c r="B144" s="52" t="str">
        <f t="shared" si="1"/>
        <v>03/2022</v>
      </c>
      <c r="C144" s="52" t="str">
        <f>IF(A144="","",VLOOKUP(A144,'THAM CHIẾU'!$A:$B,2,0))</f>
        <v>#N/A</v>
      </c>
      <c r="D144" s="52" t="str">
        <f>IF(E144&lt;&gt;0,VLOOKUP(E144,DM_DUAN,3,0),"")</f>
        <v/>
      </c>
      <c r="E144" s="735"/>
      <c r="F144" s="735"/>
      <c r="G144" s="735"/>
      <c r="H144" s="735"/>
      <c r="I144" s="735"/>
      <c r="J144" s="52" t="s">
        <v>2214</v>
      </c>
      <c r="K144" s="52" t="s">
        <v>2214</v>
      </c>
      <c r="L144" s="735" t="s">
        <v>267</v>
      </c>
      <c r="M144" s="68"/>
      <c r="N144" s="738">
        <v>4750000.0</v>
      </c>
      <c r="O144" s="735"/>
      <c r="P144" s="52" t="s">
        <v>2214</v>
      </c>
      <c r="Q144" s="52" t="s">
        <v>2214</v>
      </c>
      <c r="R144" s="737"/>
      <c r="S144" s="735"/>
      <c r="T144" s="737"/>
      <c r="U144" s="737"/>
    </row>
    <row r="145">
      <c r="A145" s="733">
        <v>44621.0</v>
      </c>
      <c r="B145" s="52" t="str">
        <f t="shared" si="1"/>
        <v>03/2022</v>
      </c>
      <c r="C145" s="52" t="str">
        <f>IF(A145="","",VLOOKUP(A145,'THAM CHIẾU'!$A:$B,2,0))</f>
        <v>#N/A</v>
      </c>
      <c r="D145" s="52" t="str">
        <f>IF(E145&lt;&gt;0,VLOOKUP(E145,DM_DUAN,3,0),"")</f>
        <v/>
      </c>
      <c r="E145" s="735"/>
      <c r="F145" s="735"/>
      <c r="G145" s="735"/>
      <c r="H145" s="735"/>
      <c r="I145" s="735"/>
      <c r="J145" s="52" t="s">
        <v>2214</v>
      </c>
      <c r="K145" s="52" t="s">
        <v>2214</v>
      </c>
      <c r="L145" s="735" t="s">
        <v>267</v>
      </c>
      <c r="M145" s="68"/>
      <c r="N145" s="738">
        <v>2.5041667E7</v>
      </c>
      <c r="O145" s="735"/>
      <c r="P145" s="52" t="s">
        <v>2214</v>
      </c>
      <c r="Q145" s="52" t="s">
        <v>2214</v>
      </c>
      <c r="R145" s="737"/>
      <c r="S145" s="735"/>
      <c r="T145" s="737"/>
      <c r="U145" s="737"/>
    </row>
    <row r="146">
      <c r="A146" s="733">
        <v>44621.0</v>
      </c>
      <c r="B146" s="52" t="str">
        <f t="shared" si="1"/>
        <v>03/2022</v>
      </c>
      <c r="C146" s="52" t="str">
        <f>IF(A146="","",VLOOKUP(A146,'THAM CHIẾU'!$A:$B,2,0))</f>
        <v>#N/A</v>
      </c>
      <c r="D146" s="52" t="str">
        <f>IF(E146&lt;&gt;0,VLOOKUP(E146,DM_DUAN,3,0),"")</f>
        <v/>
      </c>
      <c r="E146" s="735"/>
      <c r="F146" s="735"/>
      <c r="G146" s="735"/>
      <c r="H146" s="735"/>
      <c r="I146" s="735"/>
      <c r="J146" s="52" t="s">
        <v>2214</v>
      </c>
      <c r="K146" s="52" t="s">
        <v>2214</v>
      </c>
      <c r="L146" s="735" t="s">
        <v>255</v>
      </c>
      <c r="M146" s="68"/>
      <c r="N146" s="738">
        <v>5.6416667E7</v>
      </c>
      <c r="O146" s="735"/>
      <c r="P146" s="52" t="s">
        <v>2214</v>
      </c>
      <c r="Q146" s="52" t="s">
        <v>2214</v>
      </c>
      <c r="R146" s="737"/>
      <c r="S146" s="735"/>
      <c r="T146" s="737"/>
      <c r="U146" s="737"/>
    </row>
    <row r="147">
      <c r="A147" s="733">
        <v>44621.0</v>
      </c>
      <c r="B147" s="52" t="str">
        <f t="shared" si="1"/>
        <v>03/2022</v>
      </c>
      <c r="C147" s="52" t="str">
        <f>IF(A147="","",VLOOKUP(A147,'THAM CHIẾU'!$A:$B,2,0))</f>
        <v>#N/A</v>
      </c>
      <c r="D147" s="52" t="str">
        <f>IF(E147&lt;&gt;0,VLOOKUP(E147,DM_DUAN,3,0),"")</f>
        <v/>
      </c>
      <c r="E147" s="735"/>
      <c r="F147" s="735"/>
      <c r="G147" s="735"/>
      <c r="H147" s="735"/>
      <c r="I147" s="735"/>
      <c r="J147" s="52" t="s">
        <v>2214</v>
      </c>
      <c r="K147" s="52" t="s">
        <v>2214</v>
      </c>
      <c r="L147" s="735" t="s">
        <v>293</v>
      </c>
      <c r="M147" s="68"/>
      <c r="N147" s="738">
        <v>9333333.0</v>
      </c>
      <c r="O147" s="735"/>
      <c r="P147" s="52" t="s">
        <v>2214</v>
      </c>
      <c r="Q147" s="52" t="s">
        <v>2214</v>
      </c>
      <c r="R147" s="737"/>
      <c r="S147" s="735"/>
      <c r="T147" s="737"/>
      <c r="U147" s="737"/>
    </row>
    <row r="148">
      <c r="A148" s="733">
        <v>44621.0</v>
      </c>
      <c r="B148" s="52" t="str">
        <f t="shared" si="1"/>
        <v>03/2022</v>
      </c>
      <c r="C148" s="52" t="str">
        <f>IF(A148="","",VLOOKUP(A148,'THAM CHIẾU'!$A:$B,2,0))</f>
        <v>#N/A</v>
      </c>
      <c r="D148" s="52" t="str">
        <f>IF(E148&lt;&gt;0,VLOOKUP(E148,DM_DUAN,3,0),"")</f>
        <v/>
      </c>
      <c r="E148" s="735"/>
      <c r="F148" s="735"/>
      <c r="G148" s="735"/>
      <c r="H148" s="735"/>
      <c r="I148" s="735"/>
      <c r="J148" s="52" t="s">
        <v>2214</v>
      </c>
      <c r="K148" s="52" t="s">
        <v>2214</v>
      </c>
      <c r="L148" s="735" t="s">
        <v>293</v>
      </c>
      <c r="M148" s="68"/>
      <c r="N148" s="738">
        <v>9333333.0</v>
      </c>
      <c r="O148" s="735"/>
      <c r="P148" s="52" t="s">
        <v>2214</v>
      </c>
      <c r="Q148" s="52" t="s">
        <v>2214</v>
      </c>
      <c r="R148" s="737"/>
      <c r="S148" s="735"/>
      <c r="T148" s="737"/>
      <c r="U148" s="737"/>
    </row>
    <row r="149">
      <c r="A149" s="733">
        <v>44621.0</v>
      </c>
      <c r="B149" s="52" t="str">
        <f t="shared" si="1"/>
        <v>03/2022</v>
      </c>
      <c r="C149" s="52" t="str">
        <f>IF(A149="","",VLOOKUP(A149,'THAM CHIẾU'!$A:$B,2,0))</f>
        <v>#N/A</v>
      </c>
      <c r="D149" s="52" t="str">
        <f>IF(E149&lt;&gt;0,VLOOKUP(E149,DM_DUAN,3,0),"")</f>
        <v>THANHNAM</v>
      </c>
      <c r="E149" s="735" t="s">
        <v>175</v>
      </c>
      <c r="F149" s="735"/>
      <c r="G149" s="735"/>
      <c r="H149" s="735"/>
      <c r="I149" s="735"/>
      <c r="J149" s="52" t="s">
        <v>2214</v>
      </c>
      <c r="K149" s="52" t="s">
        <v>2214</v>
      </c>
      <c r="L149" s="735" t="s">
        <v>198</v>
      </c>
      <c r="M149" s="68"/>
      <c r="N149" s="738">
        <v>3.0E10</v>
      </c>
      <c r="O149" s="735"/>
      <c r="P149" s="52" t="s">
        <v>2214</v>
      </c>
      <c r="Q149" s="52" t="s">
        <v>2214</v>
      </c>
      <c r="R149" s="737"/>
      <c r="S149" s="735"/>
      <c r="T149" s="737"/>
      <c r="U149" s="737"/>
    </row>
    <row r="150">
      <c r="A150" s="733">
        <v>44621.0</v>
      </c>
      <c r="B150" s="52" t="str">
        <f t="shared" si="1"/>
        <v>03/2022</v>
      </c>
      <c r="C150" s="52" t="str">
        <f>IF(A150="","",VLOOKUP(A150,'THAM CHIẾU'!$A:$B,2,0))</f>
        <v>#N/A</v>
      </c>
      <c r="D150" s="52" t="str">
        <f>IF(E150&lt;&gt;0,VLOOKUP(E150,DM_DUAN,3,0),"")</f>
        <v/>
      </c>
      <c r="E150" s="735"/>
      <c r="F150" s="735"/>
      <c r="G150" s="735"/>
      <c r="H150" s="735"/>
      <c r="I150" s="735"/>
      <c r="J150" s="52" t="s">
        <v>2214</v>
      </c>
      <c r="K150" s="52" t="s">
        <v>2214</v>
      </c>
      <c r="L150" s="735" t="s">
        <v>293</v>
      </c>
      <c r="M150" s="68"/>
      <c r="N150" s="738">
        <v>0.0</v>
      </c>
      <c r="O150" s="735"/>
      <c r="P150" s="52" t="s">
        <v>2214</v>
      </c>
      <c r="Q150" s="52" t="s">
        <v>2214</v>
      </c>
      <c r="R150" s="737"/>
      <c r="S150" s="735"/>
      <c r="T150" s="737"/>
      <c r="U150" s="737"/>
    </row>
    <row r="151">
      <c r="A151" s="733">
        <v>44621.0</v>
      </c>
      <c r="B151" s="52" t="str">
        <f t="shared" si="1"/>
        <v>03/2022</v>
      </c>
      <c r="C151" s="52" t="str">
        <f>IF(A151="","",VLOOKUP(A151,'THAM CHIẾU'!$A:$B,2,0))</f>
        <v>#N/A</v>
      </c>
      <c r="D151" s="52" t="str">
        <f>IF(E151&lt;&gt;0,VLOOKUP(E151,DM_DUAN,3,0),"")</f>
        <v>THANHNAM</v>
      </c>
      <c r="E151" s="735" t="s">
        <v>175</v>
      </c>
      <c r="F151" s="735"/>
      <c r="G151" s="735"/>
      <c r="H151" s="735"/>
      <c r="I151" s="735"/>
      <c r="J151" s="52" t="s">
        <v>2214</v>
      </c>
      <c r="K151" s="52" t="s">
        <v>2214</v>
      </c>
      <c r="L151" s="735" t="s">
        <v>187</v>
      </c>
      <c r="M151" s="68"/>
      <c r="N151" s="738">
        <v>3.6E9</v>
      </c>
      <c r="O151" s="735"/>
      <c r="P151" s="52" t="s">
        <v>2214</v>
      </c>
      <c r="Q151" s="52" t="s">
        <v>2214</v>
      </c>
      <c r="R151" s="737"/>
      <c r="S151" s="735"/>
      <c r="T151" s="737"/>
      <c r="U151" s="737" t="s">
        <v>2239</v>
      </c>
    </row>
    <row r="152">
      <c r="A152" s="733">
        <v>44621.0</v>
      </c>
      <c r="B152" s="52" t="str">
        <f t="shared" si="1"/>
        <v>03/2022</v>
      </c>
      <c r="C152" s="52" t="str">
        <f>IF(A152="","",VLOOKUP(A152,'THAM CHIẾU'!$A:$B,2,0))</f>
        <v>#N/A</v>
      </c>
      <c r="D152" s="52" t="str">
        <f>IF(E152&lt;&gt;0,VLOOKUP(E152,DM_DUAN,3,0),"")</f>
        <v/>
      </c>
      <c r="E152" s="735"/>
      <c r="F152" s="735"/>
      <c r="G152" s="735"/>
      <c r="H152" s="735"/>
      <c r="I152" s="735"/>
      <c r="J152" s="52" t="s">
        <v>2214</v>
      </c>
      <c r="K152" s="52" t="s">
        <v>2214</v>
      </c>
      <c r="L152" s="735"/>
      <c r="M152" s="68"/>
      <c r="N152" s="738">
        <v>1.2E9</v>
      </c>
      <c r="O152" s="735"/>
      <c r="P152" s="52" t="s">
        <v>2214</v>
      </c>
      <c r="Q152" s="52" t="s">
        <v>2214</v>
      </c>
      <c r="R152" s="737"/>
      <c r="S152" s="735"/>
      <c r="T152" s="737"/>
      <c r="U152" s="737" t="s">
        <v>276</v>
      </c>
    </row>
    <row r="153">
      <c r="A153" s="733">
        <v>44621.0</v>
      </c>
      <c r="B153" s="52" t="str">
        <f t="shared" si="1"/>
        <v>03/2022</v>
      </c>
      <c r="C153" s="52" t="str">
        <f>IF(A153="","",VLOOKUP(A153,'THAM CHIẾU'!$A:$B,2,0))</f>
        <v>#N/A</v>
      </c>
      <c r="D153" s="52" t="str">
        <f>IF(E153&lt;&gt;0,VLOOKUP(E153,DM_DUAN,3,0),"")</f>
        <v/>
      </c>
      <c r="E153" s="735"/>
      <c r="F153" s="735"/>
      <c r="G153" s="735"/>
      <c r="H153" s="735"/>
      <c r="I153" s="735"/>
      <c r="J153" s="52" t="s">
        <v>2214</v>
      </c>
      <c r="K153" s="52" t="s">
        <v>2214</v>
      </c>
      <c r="L153" s="735" t="s">
        <v>169</v>
      </c>
      <c r="M153" s="68"/>
      <c r="N153" s="738">
        <v>3000000.0</v>
      </c>
      <c r="O153" s="735"/>
      <c r="P153" s="52" t="s">
        <v>2214</v>
      </c>
      <c r="Q153" s="52" t="s">
        <v>2214</v>
      </c>
      <c r="R153" s="737"/>
      <c r="S153" s="735"/>
      <c r="T153" s="737" t="s">
        <v>2240</v>
      </c>
      <c r="U153" s="737"/>
    </row>
    <row r="154">
      <c r="A154" s="733">
        <v>44621.0</v>
      </c>
      <c r="B154" s="52" t="str">
        <f t="shared" si="1"/>
        <v>03/2022</v>
      </c>
      <c r="C154" s="52" t="str">
        <f>IF(A154="","",VLOOKUP(A154,'THAM CHIẾU'!$A:$B,2,0))</f>
        <v>#N/A</v>
      </c>
      <c r="D154" s="52" t="str">
        <f>IF(E154&lt;&gt;0,VLOOKUP(E154,DM_DUAN,3,0),"")</f>
        <v/>
      </c>
      <c r="E154" s="735"/>
      <c r="F154" s="735"/>
      <c r="G154" s="735"/>
      <c r="H154" s="735"/>
      <c r="I154" s="735"/>
      <c r="J154" s="52" t="s">
        <v>2214</v>
      </c>
      <c r="K154" s="52" t="s">
        <v>2214</v>
      </c>
      <c r="L154" s="735" t="s">
        <v>190</v>
      </c>
      <c r="M154" s="68"/>
      <c r="N154" s="738">
        <v>3.6E7</v>
      </c>
      <c r="O154" s="735"/>
      <c r="P154" s="52" t="s">
        <v>2214</v>
      </c>
      <c r="Q154" s="52" t="s">
        <v>2214</v>
      </c>
      <c r="R154" s="737"/>
      <c r="S154" s="735"/>
      <c r="T154" s="737" t="s">
        <v>2241</v>
      </c>
      <c r="U154" s="737"/>
    </row>
    <row r="155">
      <c r="A155" s="733">
        <v>44621.0</v>
      </c>
      <c r="B155" s="52" t="str">
        <f t="shared" si="1"/>
        <v>03/2022</v>
      </c>
      <c r="C155" s="52" t="str">
        <f>IF(A155="","",VLOOKUP(A155,'THAM CHIẾU'!$A:$B,2,0))</f>
        <v>#N/A</v>
      </c>
      <c r="D155" s="52" t="str">
        <f>IF(E155&lt;&gt;0,VLOOKUP(E155,DM_DUAN,3,0),"")</f>
        <v/>
      </c>
      <c r="E155" s="735"/>
      <c r="F155" s="735"/>
      <c r="G155" s="735"/>
      <c r="H155" s="735"/>
      <c r="I155" s="735"/>
      <c r="J155" s="52" t="s">
        <v>2214</v>
      </c>
      <c r="K155" s="52" t="s">
        <v>2214</v>
      </c>
      <c r="L155" s="735" t="s">
        <v>194</v>
      </c>
      <c r="M155" s="68"/>
      <c r="N155" s="738">
        <v>9600000.0</v>
      </c>
      <c r="O155" s="735"/>
      <c r="P155" s="52" t="s">
        <v>2214</v>
      </c>
      <c r="Q155" s="52" t="s">
        <v>2214</v>
      </c>
      <c r="R155" s="737"/>
      <c r="S155" s="735"/>
      <c r="T155" s="737" t="s">
        <v>2242</v>
      </c>
      <c r="U155" s="737"/>
    </row>
    <row r="156">
      <c r="A156" s="733">
        <v>44621.0</v>
      </c>
      <c r="B156" s="52" t="str">
        <f t="shared" si="1"/>
        <v>03/2022</v>
      </c>
      <c r="C156" s="52" t="str">
        <f>IF(A156="","",VLOOKUP(A156,'THAM CHIẾU'!$A:$B,2,0))</f>
        <v>#N/A</v>
      </c>
      <c r="D156" s="52" t="str">
        <f>IF(E156&lt;&gt;0,VLOOKUP(E156,DM_DUAN,3,0),"")</f>
        <v/>
      </c>
      <c r="E156" s="735"/>
      <c r="F156" s="735"/>
      <c r="G156" s="735"/>
      <c r="H156" s="735"/>
      <c r="I156" s="735"/>
      <c r="J156" s="52" t="s">
        <v>2214</v>
      </c>
      <c r="K156" s="52" t="s">
        <v>2214</v>
      </c>
      <c r="L156" s="735" t="s">
        <v>181</v>
      </c>
      <c r="M156" s="68"/>
      <c r="N156" s="738">
        <v>1200000.0</v>
      </c>
      <c r="O156" s="735"/>
      <c r="P156" s="52" t="s">
        <v>2214</v>
      </c>
      <c r="Q156" s="52" t="s">
        <v>2214</v>
      </c>
      <c r="R156" s="737"/>
      <c r="S156" s="735"/>
      <c r="T156" s="737" t="s">
        <v>1474</v>
      </c>
      <c r="U156" s="737"/>
    </row>
    <row r="157">
      <c r="A157" s="733">
        <v>44621.0</v>
      </c>
      <c r="B157" s="52" t="str">
        <f t="shared" si="1"/>
        <v>03/2022</v>
      </c>
      <c r="C157" s="52" t="str">
        <f>IF(A157="","",VLOOKUP(A157,'THAM CHIẾU'!$A:$B,2,0))</f>
        <v>#N/A</v>
      </c>
      <c r="D157" s="52" t="str">
        <f>IF(E157&lt;&gt;0,VLOOKUP(E157,DM_DUAN,3,0),"")</f>
        <v/>
      </c>
      <c r="E157" s="735"/>
      <c r="F157" s="735"/>
      <c r="G157" s="735"/>
      <c r="H157" s="735"/>
      <c r="I157" s="735"/>
      <c r="J157" s="52" t="s">
        <v>2214</v>
      </c>
      <c r="K157" s="52" t="s">
        <v>2214</v>
      </c>
      <c r="L157" s="735" t="s">
        <v>1142</v>
      </c>
      <c r="M157" s="68"/>
      <c r="N157" s="736">
        <v>9.6E7</v>
      </c>
      <c r="O157" s="735"/>
      <c r="P157" s="52" t="s">
        <v>2214</v>
      </c>
      <c r="Q157" s="52" t="s">
        <v>2214</v>
      </c>
      <c r="R157" s="737"/>
      <c r="S157" s="735"/>
      <c r="T157" s="737" t="s">
        <v>2244</v>
      </c>
      <c r="U157" s="737"/>
    </row>
    <row r="158">
      <c r="A158" s="733">
        <v>44621.0</v>
      </c>
      <c r="B158" s="52" t="str">
        <f t="shared" si="1"/>
        <v>03/2022</v>
      </c>
      <c r="C158" s="52" t="str">
        <f>IF(A158="","",VLOOKUP(A158,'THAM CHIẾU'!$A:$B,2,0))</f>
        <v>#N/A</v>
      </c>
      <c r="D158" s="52" t="str">
        <f>IF(E158&lt;&gt;0,VLOOKUP(E158,DM_DUAN,3,0),"")</f>
        <v/>
      </c>
      <c r="E158" s="735"/>
      <c r="F158" s="735"/>
      <c r="G158" s="735"/>
      <c r="H158" s="735"/>
      <c r="I158" s="735"/>
      <c r="J158" s="52" t="s">
        <v>2214</v>
      </c>
      <c r="K158" s="52" t="s">
        <v>2214</v>
      </c>
      <c r="L158" s="735" t="s">
        <v>181</v>
      </c>
      <c r="M158" s="68"/>
      <c r="N158" s="738">
        <v>1200000.0</v>
      </c>
      <c r="O158" s="735"/>
      <c r="P158" s="52" t="s">
        <v>2214</v>
      </c>
      <c r="Q158" s="52" t="s">
        <v>2214</v>
      </c>
      <c r="R158" s="737"/>
      <c r="S158" s="735"/>
      <c r="T158" s="737" t="s">
        <v>2245</v>
      </c>
      <c r="U158" s="737"/>
    </row>
    <row r="159">
      <c r="A159" s="733">
        <v>44621.0</v>
      </c>
      <c r="B159" s="52" t="str">
        <f t="shared" si="1"/>
        <v>03/2022</v>
      </c>
      <c r="C159" s="52" t="str">
        <f>IF(A159="","",VLOOKUP(A159,'THAM CHIẾU'!$A:$B,2,0))</f>
        <v>#N/A</v>
      </c>
      <c r="D159" s="52" t="str">
        <f>IF(E159&lt;&gt;0,VLOOKUP(E159,DM_DUAN,3,0),"")</f>
        <v/>
      </c>
      <c r="E159" s="735"/>
      <c r="F159" s="735"/>
      <c r="G159" s="735"/>
      <c r="H159" s="735"/>
      <c r="I159" s="735"/>
      <c r="J159" s="52" t="s">
        <v>2214</v>
      </c>
      <c r="K159" s="52" t="s">
        <v>2214</v>
      </c>
      <c r="L159" s="735" t="s">
        <v>1170</v>
      </c>
      <c r="M159" s="68"/>
      <c r="N159" s="738">
        <v>359999.99999999994</v>
      </c>
      <c r="O159" s="735"/>
      <c r="P159" s="52" t="s">
        <v>2214</v>
      </c>
      <c r="Q159" s="52" t="s">
        <v>2214</v>
      </c>
      <c r="R159" s="737"/>
      <c r="S159" s="735"/>
      <c r="T159" s="737" t="s">
        <v>2246</v>
      </c>
      <c r="U159" s="737"/>
    </row>
    <row r="160">
      <c r="A160" s="733">
        <v>44652.0</v>
      </c>
      <c r="B160" s="52" t="str">
        <f t="shared" si="1"/>
        <v>04/2022</v>
      </c>
      <c r="C160" s="52" t="str">
        <f>IF(A160="","",VLOOKUP(A160,'THAM CHIẾU'!$A:$B,2,0))</f>
        <v>#N/A</v>
      </c>
      <c r="D160" s="52" t="str">
        <f>IF(E160&lt;&gt;0,VLOOKUP(E160,DM_DUAN,3,0),"")</f>
        <v>THANHNAM</v>
      </c>
      <c r="E160" s="740" t="s">
        <v>530</v>
      </c>
      <c r="F160" s="735"/>
      <c r="G160" s="735"/>
      <c r="H160" s="735"/>
      <c r="I160" s="735"/>
      <c r="J160" s="52" t="s">
        <v>2214</v>
      </c>
      <c r="K160" s="52" t="s">
        <v>2214</v>
      </c>
      <c r="L160" s="735" t="s">
        <v>198</v>
      </c>
      <c r="M160" s="68"/>
      <c r="N160" s="736">
        <v>1.0E10</v>
      </c>
      <c r="O160" s="735"/>
      <c r="P160" s="52" t="s">
        <v>2214</v>
      </c>
      <c r="Q160" s="52" t="s">
        <v>2214</v>
      </c>
      <c r="R160" s="737"/>
      <c r="S160" s="735"/>
      <c r="T160" s="737"/>
      <c r="U160" s="737"/>
    </row>
    <row r="161">
      <c r="A161" s="733">
        <v>44652.0</v>
      </c>
      <c r="B161" s="52" t="str">
        <f t="shared" si="1"/>
        <v>04/2022</v>
      </c>
      <c r="C161" s="52" t="str">
        <f>IF(A161="","",VLOOKUP(A161,'THAM CHIẾU'!$A:$B,2,0))</f>
        <v>#N/A</v>
      </c>
      <c r="D161" s="52" t="str">
        <f>IF(E161&lt;&gt;0,VLOOKUP(E161,DM_DUAN,3,0),"")</f>
        <v/>
      </c>
      <c r="E161" s="735"/>
      <c r="F161" s="735"/>
      <c r="G161" s="735"/>
      <c r="H161" s="735"/>
      <c r="I161" s="735"/>
      <c r="J161" s="52" t="s">
        <v>2214</v>
      </c>
      <c r="K161" s="52" t="s">
        <v>2214</v>
      </c>
      <c r="L161" s="735" t="s">
        <v>222</v>
      </c>
      <c r="M161" s="68"/>
      <c r="N161" s="738">
        <v>435000.0</v>
      </c>
      <c r="O161" s="735"/>
      <c r="P161" s="52" t="s">
        <v>2214</v>
      </c>
      <c r="Q161" s="52" t="s">
        <v>2214</v>
      </c>
      <c r="R161" s="737"/>
      <c r="S161" s="735"/>
      <c r="T161" s="737"/>
      <c r="U161" s="737"/>
    </row>
    <row r="162">
      <c r="A162" s="733">
        <v>44652.0</v>
      </c>
      <c r="B162" s="52" t="str">
        <f t="shared" si="1"/>
        <v>04/2022</v>
      </c>
      <c r="C162" s="52" t="str">
        <f>IF(A162="","",VLOOKUP(A162,'THAM CHIẾU'!$A:$B,2,0))</f>
        <v>#N/A</v>
      </c>
      <c r="D162" s="52" t="str">
        <f>IF(E162&lt;&gt;0,VLOOKUP(E162,DM_DUAN,3,0),"")</f>
        <v/>
      </c>
      <c r="E162" s="735"/>
      <c r="F162" s="735"/>
      <c r="G162" s="735"/>
      <c r="H162" s="735"/>
      <c r="I162" s="735"/>
      <c r="J162" s="52" t="s">
        <v>2214</v>
      </c>
      <c r="K162" s="52" t="s">
        <v>2214</v>
      </c>
      <c r="L162" s="735" t="s">
        <v>377</v>
      </c>
      <c r="M162" s="68"/>
      <c r="N162" s="738">
        <v>250000.0</v>
      </c>
      <c r="O162" s="735"/>
      <c r="P162" s="52" t="s">
        <v>2214</v>
      </c>
      <c r="Q162" s="52" t="s">
        <v>2214</v>
      </c>
      <c r="R162" s="737"/>
      <c r="S162" s="735"/>
      <c r="T162" s="737"/>
      <c r="U162" s="737"/>
    </row>
    <row r="163">
      <c r="A163" s="733">
        <v>44652.0</v>
      </c>
      <c r="B163" s="52" t="str">
        <f t="shared" si="1"/>
        <v>04/2022</v>
      </c>
      <c r="C163" s="52" t="str">
        <f>IF(A163="","",VLOOKUP(A163,'THAM CHIẾU'!$A:$B,2,0))</f>
        <v>#N/A</v>
      </c>
      <c r="D163" s="52" t="str">
        <f>IF(E163&lt;&gt;0,VLOOKUP(E163,DM_DUAN,3,0),"")</f>
        <v/>
      </c>
      <c r="E163" s="735"/>
      <c r="F163" s="735"/>
      <c r="G163" s="735"/>
      <c r="H163" s="735"/>
      <c r="I163" s="735"/>
      <c r="J163" s="52" t="s">
        <v>2214</v>
      </c>
      <c r="K163" s="52" t="s">
        <v>2214</v>
      </c>
      <c r="L163" s="735" t="s">
        <v>380</v>
      </c>
      <c r="M163" s="68"/>
      <c r="N163" s="738">
        <v>100000.0</v>
      </c>
      <c r="O163" s="735"/>
      <c r="P163" s="52" t="s">
        <v>2214</v>
      </c>
      <c r="Q163" s="52" t="s">
        <v>2214</v>
      </c>
      <c r="R163" s="737"/>
      <c r="S163" s="735"/>
      <c r="T163" s="737"/>
      <c r="U163" s="737"/>
    </row>
    <row r="164">
      <c r="A164" s="733">
        <v>44652.0</v>
      </c>
      <c r="B164" s="52" t="str">
        <f t="shared" si="1"/>
        <v>04/2022</v>
      </c>
      <c r="C164" s="52" t="str">
        <f>IF(A164="","",VLOOKUP(A164,'THAM CHIẾU'!$A:$B,2,0))</f>
        <v>#N/A</v>
      </c>
      <c r="D164" s="52" t="str">
        <f>IF(E164&lt;&gt;0,VLOOKUP(E164,DM_DUAN,3,0),"")</f>
        <v/>
      </c>
      <c r="E164" s="735"/>
      <c r="F164" s="735"/>
      <c r="G164" s="735"/>
      <c r="H164" s="735"/>
      <c r="I164" s="735"/>
      <c r="J164" s="52" t="s">
        <v>2214</v>
      </c>
      <c r="K164" s="52" t="s">
        <v>2214</v>
      </c>
      <c r="L164" s="735" t="s">
        <v>219</v>
      </c>
      <c r="M164" s="68"/>
      <c r="N164" s="736">
        <v>1000000.0</v>
      </c>
      <c r="O164" s="735"/>
      <c r="P164" s="52" t="s">
        <v>2214</v>
      </c>
      <c r="Q164" s="52" t="s">
        <v>2214</v>
      </c>
      <c r="R164" s="737"/>
      <c r="S164" s="735"/>
      <c r="T164" s="737"/>
      <c r="U164" s="737"/>
    </row>
    <row r="165">
      <c r="A165" s="733">
        <v>44652.0</v>
      </c>
      <c r="B165" s="52" t="str">
        <f t="shared" si="1"/>
        <v>04/2022</v>
      </c>
      <c r="C165" s="52" t="str">
        <f>IF(A165="","",VLOOKUP(A165,'THAM CHIẾU'!$A:$B,2,0))</f>
        <v>#N/A</v>
      </c>
      <c r="D165" s="52" t="str">
        <f>IF(E165&lt;&gt;0,VLOOKUP(E165,DM_DUAN,3,0),"")</f>
        <v>KIMCUONGLAND</v>
      </c>
      <c r="E165" s="740" t="s">
        <v>638</v>
      </c>
      <c r="F165" s="735"/>
      <c r="G165" s="735"/>
      <c r="H165" s="735"/>
      <c r="I165" s="735"/>
      <c r="J165" s="52" t="s">
        <v>2214</v>
      </c>
      <c r="K165" s="52" t="s">
        <v>2214</v>
      </c>
      <c r="L165" s="740" t="s">
        <v>198</v>
      </c>
      <c r="M165" s="68"/>
      <c r="N165" s="736">
        <v>8.0E9</v>
      </c>
      <c r="O165" s="735"/>
      <c r="P165" s="52" t="s">
        <v>2214</v>
      </c>
      <c r="Q165" s="52" t="s">
        <v>2214</v>
      </c>
      <c r="R165" s="737"/>
      <c r="S165" s="735"/>
      <c r="T165" s="737"/>
      <c r="U165" s="737"/>
    </row>
    <row r="166">
      <c r="A166" s="733">
        <v>44652.0</v>
      </c>
      <c r="B166" s="52" t="str">
        <f t="shared" si="1"/>
        <v>04/2022</v>
      </c>
      <c r="C166" s="52" t="str">
        <f>IF(A166="","",VLOOKUP(A166,'THAM CHIẾU'!$A:$B,2,0))</f>
        <v>#N/A</v>
      </c>
      <c r="D166" s="52" t="str">
        <f>IF(E166&lt;&gt;0,VLOOKUP(E166,DM_DUAN,3,0),"")</f>
        <v>KIMCUONGLAND</v>
      </c>
      <c r="E166" s="740" t="s">
        <v>636</v>
      </c>
      <c r="F166" s="735"/>
      <c r="G166" s="735"/>
      <c r="H166" s="735"/>
      <c r="I166" s="735"/>
      <c r="J166" s="52" t="s">
        <v>2214</v>
      </c>
      <c r="K166" s="52" t="s">
        <v>2214</v>
      </c>
      <c r="L166" s="740" t="s">
        <v>198</v>
      </c>
      <c r="M166" s="68"/>
      <c r="N166" s="736">
        <v>2.0E9</v>
      </c>
      <c r="O166" s="735"/>
      <c r="P166" s="52" t="s">
        <v>2214</v>
      </c>
      <c r="Q166" s="52" t="s">
        <v>2214</v>
      </c>
      <c r="R166" s="737"/>
      <c r="S166" s="735"/>
      <c r="T166" s="737"/>
      <c r="U166" s="737"/>
    </row>
    <row r="167">
      <c r="A167" s="733">
        <v>44652.0</v>
      </c>
      <c r="B167" s="52" t="str">
        <f t="shared" si="1"/>
        <v>04/2022</v>
      </c>
      <c r="C167" s="52" t="str">
        <f>IF(A167="","",VLOOKUP(A167,'THAM CHIẾU'!$A:$B,2,0))</f>
        <v>#N/A</v>
      </c>
      <c r="D167" s="52" t="str">
        <f>IF(E167&lt;&gt;0,VLOOKUP(E167,DM_DUAN,3,0),"")</f>
        <v/>
      </c>
      <c r="E167" s="735"/>
      <c r="F167" s="735"/>
      <c r="G167" s="735"/>
      <c r="H167" s="735"/>
      <c r="I167" s="735"/>
      <c r="J167" s="52" t="s">
        <v>2214</v>
      </c>
      <c r="K167" s="52" t="s">
        <v>2214</v>
      </c>
      <c r="L167" s="735" t="s">
        <v>206</v>
      </c>
      <c r="M167" s="68"/>
      <c r="N167" s="738">
        <v>200000.0</v>
      </c>
      <c r="O167" s="735"/>
      <c r="P167" s="52" t="s">
        <v>2214</v>
      </c>
      <c r="Q167" s="52" t="s">
        <v>2214</v>
      </c>
      <c r="R167" s="737"/>
      <c r="S167" s="735"/>
      <c r="T167" s="737"/>
      <c r="U167" s="737"/>
    </row>
    <row r="168">
      <c r="A168" s="733">
        <v>44652.0</v>
      </c>
      <c r="B168" s="52" t="str">
        <f t="shared" si="1"/>
        <v>04/2022</v>
      </c>
      <c r="C168" s="52" t="str">
        <f>IF(A168="","",VLOOKUP(A168,'THAM CHIẾU'!$A:$B,2,0))</f>
        <v>#N/A</v>
      </c>
      <c r="D168" s="52" t="str">
        <f>IF(E168&lt;&gt;0,VLOOKUP(E168,DM_DUAN,3,0),"")</f>
        <v/>
      </c>
      <c r="E168" s="735"/>
      <c r="F168" s="735"/>
      <c r="G168" s="735"/>
      <c r="H168" s="735"/>
      <c r="I168" s="735"/>
      <c r="J168" s="52" t="s">
        <v>2214</v>
      </c>
      <c r="K168" s="52" t="s">
        <v>2214</v>
      </c>
      <c r="L168" s="735" t="s">
        <v>206</v>
      </c>
      <c r="M168" s="68"/>
      <c r="N168" s="738">
        <v>880000.0</v>
      </c>
      <c r="O168" s="735"/>
      <c r="P168" s="52" t="s">
        <v>2214</v>
      </c>
      <c r="Q168" s="52" t="s">
        <v>2214</v>
      </c>
      <c r="R168" s="737"/>
      <c r="S168" s="735"/>
      <c r="T168" s="737"/>
      <c r="U168" s="737"/>
    </row>
    <row r="169">
      <c r="A169" s="733">
        <v>44652.0</v>
      </c>
      <c r="B169" s="52" t="str">
        <f t="shared" si="1"/>
        <v>04/2022</v>
      </c>
      <c r="C169" s="52" t="str">
        <f>IF(A169="","",VLOOKUP(A169,'THAM CHIẾU'!$A:$B,2,0))</f>
        <v>#N/A</v>
      </c>
      <c r="D169" s="52" t="str">
        <f>IF(E169&lt;&gt;0,VLOOKUP(E169,DM_DUAN,3,0),"")</f>
        <v/>
      </c>
      <c r="E169" s="735"/>
      <c r="F169" s="735"/>
      <c r="G169" s="735"/>
      <c r="H169" s="735"/>
      <c r="I169" s="735"/>
      <c r="J169" s="52" t="s">
        <v>2214</v>
      </c>
      <c r="K169" s="52" t="s">
        <v>2214</v>
      </c>
      <c r="L169" s="735" t="s">
        <v>380</v>
      </c>
      <c r="M169" s="68"/>
      <c r="N169" s="738">
        <v>60000.0</v>
      </c>
      <c r="O169" s="735"/>
      <c r="P169" s="52" t="s">
        <v>2214</v>
      </c>
      <c r="Q169" s="52" t="s">
        <v>2214</v>
      </c>
      <c r="R169" s="737"/>
      <c r="S169" s="735"/>
      <c r="T169" s="737"/>
      <c r="U169" s="737"/>
    </row>
    <row r="170">
      <c r="A170" s="733">
        <v>44652.0</v>
      </c>
      <c r="B170" s="52" t="str">
        <f t="shared" si="1"/>
        <v>04/2022</v>
      </c>
      <c r="C170" s="52" t="str">
        <f>IF(A170="","",VLOOKUP(A170,'THAM CHIẾU'!$A:$B,2,0))</f>
        <v>#N/A</v>
      </c>
      <c r="D170" s="52" t="str">
        <f>IF(E170&lt;&gt;0,VLOOKUP(E170,DM_DUAN,3,0),"")</f>
        <v/>
      </c>
      <c r="E170" s="735"/>
      <c r="F170" s="735"/>
      <c r="G170" s="735"/>
      <c r="H170" s="735"/>
      <c r="I170" s="735"/>
      <c r="J170" s="52" t="s">
        <v>2214</v>
      </c>
      <c r="K170" s="52" t="s">
        <v>2214</v>
      </c>
      <c r="L170" s="735" t="s">
        <v>226</v>
      </c>
      <c r="M170" s="68"/>
      <c r="N170" s="738">
        <v>140000.0</v>
      </c>
      <c r="O170" s="735"/>
      <c r="P170" s="52" t="s">
        <v>2214</v>
      </c>
      <c r="Q170" s="52" t="s">
        <v>2214</v>
      </c>
      <c r="R170" s="737"/>
      <c r="S170" s="735"/>
      <c r="T170" s="737"/>
      <c r="U170" s="737"/>
    </row>
    <row r="171">
      <c r="A171" s="733">
        <v>44652.0</v>
      </c>
      <c r="B171" s="52" t="str">
        <f t="shared" si="1"/>
        <v>04/2022</v>
      </c>
      <c r="C171" s="52" t="str">
        <f>IF(A171="","",VLOOKUP(A171,'THAM CHIẾU'!$A:$B,2,0))</f>
        <v>#N/A</v>
      </c>
      <c r="D171" s="52" t="str">
        <f>IF(E171&lt;&gt;0,VLOOKUP(E171,DM_DUAN,3,0),"")</f>
        <v/>
      </c>
      <c r="E171" s="735"/>
      <c r="F171" s="735"/>
      <c r="G171" s="735"/>
      <c r="H171" s="735"/>
      <c r="I171" s="735"/>
      <c r="J171" s="52" t="s">
        <v>2214</v>
      </c>
      <c r="K171" s="52" t="s">
        <v>2214</v>
      </c>
      <c r="L171" s="735" t="s">
        <v>219</v>
      </c>
      <c r="M171" s="68"/>
      <c r="N171" s="738"/>
      <c r="O171" s="735"/>
      <c r="P171" s="52" t="s">
        <v>2214</v>
      </c>
      <c r="Q171" s="52" t="s">
        <v>2214</v>
      </c>
      <c r="R171" s="737"/>
      <c r="S171" s="735"/>
      <c r="T171" s="737"/>
      <c r="U171" s="737"/>
    </row>
    <row r="172">
      <c r="A172" s="733">
        <v>44652.0</v>
      </c>
      <c r="B172" s="52" t="str">
        <f t="shared" si="1"/>
        <v>04/2022</v>
      </c>
      <c r="C172" s="52" t="str">
        <f>IF(A172="","",VLOOKUP(A172,'THAM CHIẾU'!$A:$B,2,0))</f>
        <v>#N/A</v>
      </c>
      <c r="D172" s="52" t="str">
        <f>IF(E172&lt;&gt;0,VLOOKUP(E172,DM_DUAN,3,0),"")</f>
        <v/>
      </c>
      <c r="E172" s="735"/>
      <c r="F172" s="735"/>
      <c r="G172" s="735"/>
      <c r="H172" s="735"/>
      <c r="I172" s="735"/>
      <c r="J172" s="52" t="s">
        <v>2214</v>
      </c>
      <c r="K172" s="52" t="s">
        <v>2214</v>
      </c>
      <c r="L172" s="735" t="s">
        <v>262</v>
      </c>
      <c r="M172" s="68"/>
      <c r="N172" s="736">
        <v>1500000.0</v>
      </c>
      <c r="O172" s="735"/>
      <c r="P172" s="52" t="s">
        <v>2214</v>
      </c>
      <c r="Q172" s="52" t="s">
        <v>2214</v>
      </c>
      <c r="R172" s="737"/>
      <c r="S172" s="735"/>
      <c r="T172" s="737"/>
      <c r="U172" s="737"/>
    </row>
    <row r="173">
      <c r="A173" s="733">
        <v>44652.0</v>
      </c>
      <c r="B173" s="52" t="str">
        <f t="shared" si="1"/>
        <v>04/2022</v>
      </c>
      <c r="C173" s="52" t="str">
        <f>IF(A173="","",VLOOKUP(A173,'THAM CHIẾU'!$A:$B,2,0))</f>
        <v>#N/A</v>
      </c>
      <c r="D173" s="52" t="str">
        <f>IF(E173&lt;&gt;0,VLOOKUP(E173,DM_DUAN,3,0),"")</f>
        <v/>
      </c>
      <c r="E173" s="735"/>
      <c r="F173" s="735"/>
      <c r="G173" s="735"/>
      <c r="H173" s="735"/>
      <c r="I173" s="735"/>
      <c r="J173" s="52" t="s">
        <v>2214</v>
      </c>
      <c r="K173" s="52" t="s">
        <v>2214</v>
      </c>
      <c r="L173" s="735" t="s">
        <v>222</v>
      </c>
      <c r="M173" s="68"/>
      <c r="N173" s="738">
        <v>110000.0</v>
      </c>
      <c r="O173" s="735"/>
      <c r="P173" s="52" t="s">
        <v>2214</v>
      </c>
      <c r="Q173" s="52" t="s">
        <v>2214</v>
      </c>
      <c r="R173" s="737"/>
      <c r="S173" s="735"/>
      <c r="T173" s="737"/>
      <c r="U173" s="737"/>
    </row>
    <row r="174">
      <c r="A174" s="733">
        <v>44652.0</v>
      </c>
      <c r="B174" s="52" t="str">
        <f t="shared" si="1"/>
        <v>04/2022</v>
      </c>
      <c r="C174" s="52" t="str">
        <f>IF(A174="","",VLOOKUP(A174,'THAM CHIẾU'!$A:$B,2,0))</f>
        <v>#N/A</v>
      </c>
      <c r="D174" s="52" t="str">
        <f>IF(E174&lt;&gt;0,VLOOKUP(E174,DM_DUAN,3,0),"")</f>
        <v/>
      </c>
      <c r="E174" s="735"/>
      <c r="F174" s="735"/>
      <c r="G174" s="735"/>
      <c r="H174" s="735"/>
      <c r="I174" s="735"/>
      <c r="J174" s="52" t="s">
        <v>2214</v>
      </c>
      <c r="K174" s="52" t="s">
        <v>2214</v>
      </c>
      <c r="L174" s="735" t="s">
        <v>226</v>
      </c>
      <c r="M174" s="68"/>
      <c r="N174" s="738">
        <v>135000.0</v>
      </c>
      <c r="O174" s="735"/>
      <c r="P174" s="52" t="s">
        <v>2214</v>
      </c>
      <c r="Q174" s="52" t="s">
        <v>2214</v>
      </c>
      <c r="R174" s="737"/>
      <c r="S174" s="735"/>
      <c r="T174" s="737"/>
      <c r="U174" s="737"/>
    </row>
    <row r="175">
      <c r="A175" s="733">
        <v>44652.0</v>
      </c>
      <c r="B175" s="52" t="str">
        <f t="shared" si="1"/>
        <v>04/2022</v>
      </c>
      <c r="C175" s="52" t="str">
        <f>IF(A175="","",VLOOKUP(A175,'THAM CHIẾU'!$A:$B,2,0))</f>
        <v>#N/A</v>
      </c>
      <c r="D175" s="52" t="str">
        <f>IF(E175&lt;&gt;0,VLOOKUP(E175,DM_DUAN,3,0),"")</f>
        <v/>
      </c>
      <c r="E175" s="735"/>
      <c r="F175" s="735"/>
      <c r="G175" s="735"/>
      <c r="H175" s="735"/>
      <c r="I175" s="735"/>
      <c r="J175" s="52" t="s">
        <v>2214</v>
      </c>
      <c r="K175" s="52" t="s">
        <v>2214</v>
      </c>
      <c r="L175" s="735" t="s">
        <v>222</v>
      </c>
      <c r="M175" s="68"/>
      <c r="N175" s="738">
        <v>100000.0</v>
      </c>
      <c r="O175" s="735"/>
      <c r="P175" s="52" t="s">
        <v>2214</v>
      </c>
      <c r="Q175" s="52" t="s">
        <v>2214</v>
      </c>
      <c r="R175" s="737"/>
      <c r="S175" s="735"/>
      <c r="T175" s="737"/>
      <c r="U175" s="737"/>
    </row>
    <row r="176">
      <c r="A176" s="733">
        <v>44652.0</v>
      </c>
      <c r="B176" s="52" t="str">
        <f t="shared" si="1"/>
        <v>04/2022</v>
      </c>
      <c r="C176" s="52" t="str">
        <f>IF(A176="","",VLOOKUP(A176,'THAM CHIẾU'!$A:$B,2,0))</f>
        <v>#N/A</v>
      </c>
      <c r="D176" s="52" t="str">
        <f>IF(E176&lt;&gt;0,VLOOKUP(E176,DM_DUAN,3,0),"")</f>
        <v/>
      </c>
      <c r="E176" s="735"/>
      <c r="F176" s="735"/>
      <c r="G176" s="735"/>
      <c r="H176" s="735"/>
      <c r="I176" s="735"/>
      <c r="J176" s="52" t="s">
        <v>2214</v>
      </c>
      <c r="K176" s="52" t="s">
        <v>2214</v>
      </c>
      <c r="L176" s="735" t="s">
        <v>272</v>
      </c>
      <c r="M176" s="68"/>
      <c r="N176" s="736">
        <v>6000000.0</v>
      </c>
      <c r="O176" s="735"/>
      <c r="P176" s="52" t="s">
        <v>2214</v>
      </c>
      <c r="Q176" s="52" t="s">
        <v>2214</v>
      </c>
      <c r="R176" s="737"/>
      <c r="S176" s="735"/>
      <c r="T176" s="737"/>
      <c r="U176" s="737"/>
    </row>
    <row r="177">
      <c r="A177" s="733">
        <v>44652.0</v>
      </c>
      <c r="B177" s="52" t="str">
        <f t="shared" si="1"/>
        <v>04/2022</v>
      </c>
      <c r="C177" s="52" t="str">
        <f>IF(A177="","",VLOOKUP(A177,'THAM CHIẾU'!$A:$B,2,0))</f>
        <v>#N/A</v>
      </c>
      <c r="D177" s="52" t="str">
        <f>IF(E177&lt;&gt;0,VLOOKUP(E177,DM_DUAN,3,0),"")</f>
        <v/>
      </c>
      <c r="E177" s="735"/>
      <c r="F177" s="735"/>
      <c r="G177" s="735"/>
      <c r="H177" s="735"/>
      <c r="I177" s="735"/>
      <c r="J177" s="52" t="s">
        <v>2214</v>
      </c>
      <c r="K177" s="52" t="s">
        <v>2214</v>
      </c>
      <c r="L177" s="735" t="s">
        <v>255</v>
      </c>
      <c r="M177" s="68"/>
      <c r="N177" s="738">
        <v>2154000.0</v>
      </c>
      <c r="O177" s="735"/>
      <c r="P177" s="52" t="s">
        <v>2214</v>
      </c>
      <c r="Q177" s="52" t="s">
        <v>2214</v>
      </c>
      <c r="R177" s="737"/>
      <c r="S177" s="735"/>
      <c r="T177" s="737"/>
      <c r="U177" s="737"/>
    </row>
    <row r="178">
      <c r="A178" s="733">
        <v>44652.0</v>
      </c>
      <c r="B178" s="52" t="str">
        <f t="shared" si="1"/>
        <v>04/2022</v>
      </c>
      <c r="C178" s="52" t="str">
        <f>IF(A178="","",VLOOKUP(A178,'THAM CHIẾU'!$A:$B,2,0))</f>
        <v>#N/A</v>
      </c>
      <c r="D178" s="52" t="str">
        <f>IF(E178&lt;&gt;0,VLOOKUP(E178,DM_DUAN,3,0),"")</f>
        <v/>
      </c>
      <c r="E178" s="735"/>
      <c r="F178" s="735"/>
      <c r="G178" s="735"/>
      <c r="H178" s="735"/>
      <c r="I178" s="735"/>
      <c r="J178" s="52" t="s">
        <v>2214</v>
      </c>
      <c r="K178" s="52" t="s">
        <v>2214</v>
      </c>
      <c r="L178" s="735" t="s">
        <v>270</v>
      </c>
      <c r="M178" s="68"/>
      <c r="N178" s="738">
        <v>2000000.0</v>
      </c>
      <c r="O178" s="735"/>
      <c r="P178" s="52" t="s">
        <v>2214</v>
      </c>
      <c r="Q178" s="52" t="s">
        <v>2214</v>
      </c>
      <c r="R178" s="737"/>
      <c r="S178" s="735"/>
      <c r="T178" s="737"/>
      <c r="U178" s="737"/>
    </row>
    <row r="179">
      <c r="A179" s="733">
        <v>44652.0</v>
      </c>
      <c r="B179" s="52" t="str">
        <f t="shared" si="1"/>
        <v>04/2022</v>
      </c>
      <c r="C179" s="52" t="str">
        <f>IF(A179="","",VLOOKUP(A179,'THAM CHIẾU'!$A:$B,2,0))</f>
        <v>#N/A</v>
      </c>
      <c r="D179" s="52" t="str">
        <f>IF(E179&lt;&gt;0,VLOOKUP(E179,DM_DUAN,3,0),"")</f>
        <v/>
      </c>
      <c r="E179" s="735"/>
      <c r="F179" s="735"/>
      <c r="G179" s="735"/>
      <c r="H179" s="735"/>
      <c r="I179" s="735"/>
      <c r="J179" s="52" t="s">
        <v>2214</v>
      </c>
      <c r="K179" s="52" t="s">
        <v>2214</v>
      </c>
      <c r="L179" s="735" t="s">
        <v>169</v>
      </c>
      <c r="M179" s="68"/>
      <c r="N179" s="739"/>
      <c r="O179" s="735"/>
      <c r="P179" s="52" t="s">
        <v>2214</v>
      </c>
      <c r="Q179" s="52" t="s">
        <v>2214</v>
      </c>
      <c r="R179" s="737"/>
      <c r="S179" s="735"/>
      <c r="T179" s="737"/>
      <c r="U179" s="737"/>
    </row>
    <row r="180">
      <c r="A180" s="733">
        <v>44652.0</v>
      </c>
      <c r="B180" s="52" t="str">
        <f t="shared" si="1"/>
        <v>04/2022</v>
      </c>
      <c r="C180" s="52" t="str">
        <f>IF(A180="","",VLOOKUP(A180,'THAM CHIẾU'!$A:$B,2,0))</f>
        <v>#N/A</v>
      </c>
      <c r="D180" s="52" t="str">
        <f>IF(E180&lt;&gt;0,VLOOKUP(E180,DM_DUAN,3,0),"")</f>
        <v/>
      </c>
      <c r="E180" s="735"/>
      <c r="F180" s="735"/>
      <c r="G180" s="735"/>
      <c r="H180" s="735"/>
      <c r="I180" s="735"/>
      <c r="J180" s="52" t="s">
        <v>2214</v>
      </c>
      <c r="K180" s="52" t="s">
        <v>2214</v>
      </c>
      <c r="L180" s="735" t="s">
        <v>222</v>
      </c>
      <c r="M180" s="68"/>
      <c r="N180" s="738">
        <v>110000.0</v>
      </c>
      <c r="O180" s="735"/>
      <c r="P180" s="52" t="s">
        <v>2214</v>
      </c>
      <c r="Q180" s="52" t="s">
        <v>2214</v>
      </c>
      <c r="R180" s="737"/>
      <c r="S180" s="735"/>
      <c r="T180" s="737"/>
      <c r="U180" s="737"/>
    </row>
    <row r="181">
      <c r="A181" s="733">
        <v>44652.0</v>
      </c>
      <c r="B181" s="52" t="str">
        <f t="shared" si="1"/>
        <v>04/2022</v>
      </c>
      <c r="C181" s="52" t="str">
        <f>IF(A181="","",VLOOKUP(A181,'THAM CHIẾU'!$A:$B,2,0))</f>
        <v>#N/A</v>
      </c>
      <c r="D181" s="52" t="str">
        <f>IF(E181&lt;&gt;0,VLOOKUP(E181,DM_DUAN,3,0),"")</f>
        <v/>
      </c>
      <c r="E181" s="735"/>
      <c r="F181" s="735"/>
      <c r="G181" s="735"/>
      <c r="H181" s="735"/>
      <c r="I181" s="735"/>
      <c r="J181" s="52" t="s">
        <v>2214</v>
      </c>
      <c r="K181" s="52" t="s">
        <v>2214</v>
      </c>
      <c r="L181" s="735" t="s">
        <v>410</v>
      </c>
      <c r="M181" s="68"/>
      <c r="N181" s="738">
        <v>1499000.0</v>
      </c>
      <c r="O181" s="735"/>
      <c r="P181" s="52" t="s">
        <v>2214</v>
      </c>
      <c r="Q181" s="52" t="s">
        <v>2214</v>
      </c>
      <c r="R181" s="737"/>
      <c r="S181" s="735"/>
      <c r="T181" s="737"/>
      <c r="U181" s="737"/>
    </row>
    <row r="182">
      <c r="A182" s="733">
        <v>44652.0</v>
      </c>
      <c r="B182" s="52" t="str">
        <f t="shared" si="1"/>
        <v>04/2022</v>
      </c>
      <c r="C182" s="52" t="str">
        <f>IF(A182="","",VLOOKUP(A182,'THAM CHIẾU'!$A:$B,2,0))</f>
        <v>#N/A</v>
      </c>
      <c r="D182" s="52" t="str">
        <f>IF(E182&lt;&gt;0,VLOOKUP(E182,DM_DUAN,3,0),"")</f>
        <v/>
      </c>
      <c r="E182" s="735"/>
      <c r="F182" s="735"/>
      <c r="G182" s="735"/>
      <c r="H182" s="735"/>
      <c r="I182" s="735"/>
      <c r="J182" s="52" t="s">
        <v>2214</v>
      </c>
      <c r="K182" s="52" t="s">
        <v>2214</v>
      </c>
      <c r="L182" s="735" t="s">
        <v>380</v>
      </c>
      <c r="M182" s="68"/>
      <c r="N182" s="738">
        <v>293000.0</v>
      </c>
      <c r="O182" s="735"/>
      <c r="P182" s="52" t="s">
        <v>2214</v>
      </c>
      <c r="Q182" s="52" t="s">
        <v>2214</v>
      </c>
      <c r="R182" s="737"/>
      <c r="S182" s="735"/>
      <c r="T182" s="737"/>
      <c r="U182" s="737"/>
    </row>
    <row r="183">
      <c r="A183" s="733">
        <v>44652.0</v>
      </c>
      <c r="B183" s="52" t="str">
        <f t="shared" si="1"/>
        <v>04/2022</v>
      </c>
      <c r="C183" s="52" t="str">
        <f>IF(A183="","",VLOOKUP(A183,'THAM CHIẾU'!$A:$B,2,0))</f>
        <v>#N/A</v>
      </c>
      <c r="D183" s="52" t="str">
        <f>IF(E183&lt;&gt;0,VLOOKUP(E183,DM_DUAN,3,0),"")</f>
        <v/>
      </c>
      <c r="E183" s="735"/>
      <c r="F183" s="735"/>
      <c r="G183" s="735"/>
      <c r="H183" s="735"/>
      <c r="I183" s="735"/>
      <c r="J183" s="52" t="s">
        <v>2214</v>
      </c>
      <c r="K183" s="52" t="s">
        <v>2214</v>
      </c>
      <c r="L183" s="735" t="s">
        <v>377</v>
      </c>
      <c r="M183" s="68"/>
      <c r="N183" s="738">
        <v>170000.0</v>
      </c>
      <c r="O183" s="735"/>
      <c r="P183" s="52" t="s">
        <v>2214</v>
      </c>
      <c r="Q183" s="52" t="s">
        <v>2214</v>
      </c>
      <c r="R183" s="737"/>
      <c r="S183" s="735"/>
      <c r="T183" s="737"/>
      <c r="U183" s="737"/>
    </row>
    <row r="184">
      <c r="A184" s="733">
        <v>44652.0</v>
      </c>
      <c r="B184" s="52" t="str">
        <f t="shared" si="1"/>
        <v>04/2022</v>
      </c>
      <c r="C184" s="52" t="str">
        <f>IF(A184="","",VLOOKUP(A184,'THAM CHIẾU'!$A:$B,2,0))</f>
        <v>#N/A</v>
      </c>
      <c r="D184" s="52" t="str">
        <f>IF(E184&lt;&gt;0,VLOOKUP(E184,DM_DUAN,3,0),"")</f>
        <v/>
      </c>
      <c r="E184" s="735"/>
      <c r="F184" s="735"/>
      <c r="G184" s="735"/>
      <c r="H184" s="735"/>
      <c r="I184" s="735"/>
      <c r="J184" s="52" t="s">
        <v>2214</v>
      </c>
      <c r="K184" s="52" t="s">
        <v>2214</v>
      </c>
      <c r="L184" s="735" t="s">
        <v>413</v>
      </c>
      <c r="M184" s="68"/>
      <c r="N184" s="738">
        <v>1830000.0</v>
      </c>
      <c r="O184" s="735"/>
      <c r="P184" s="52" t="s">
        <v>2214</v>
      </c>
      <c r="Q184" s="52" t="s">
        <v>2214</v>
      </c>
      <c r="R184" s="737"/>
      <c r="S184" s="735"/>
      <c r="T184" s="737"/>
      <c r="U184" s="737"/>
    </row>
    <row r="185">
      <c r="A185" s="733">
        <v>44652.0</v>
      </c>
      <c r="B185" s="52" t="str">
        <f t="shared" si="1"/>
        <v>04/2022</v>
      </c>
      <c r="C185" s="52" t="str">
        <f>IF(A185="","",VLOOKUP(A185,'THAM CHIẾU'!$A:$B,2,0))</f>
        <v>#N/A</v>
      </c>
      <c r="D185" s="52" t="str">
        <f>IF(E185&lt;&gt;0,VLOOKUP(E185,DM_DUAN,3,0),"")</f>
        <v/>
      </c>
      <c r="E185" s="735"/>
      <c r="F185" s="735"/>
      <c r="G185" s="735"/>
      <c r="H185" s="735"/>
      <c r="I185" s="735"/>
      <c r="J185" s="52" t="s">
        <v>2214</v>
      </c>
      <c r="K185" s="52" t="s">
        <v>2214</v>
      </c>
      <c r="L185" s="735" t="s">
        <v>226</v>
      </c>
      <c r="M185" s="68"/>
      <c r="N185" s="738">
        <v>216000.0</v>
      </c>
      <c r="O185" s="735"/>
      <c r="P185" s="52" t="s">
        <v>2214</v>
      </c>
      <c r="Q185" s="52" t="s">
        <v>2214</v>
      </c>
      <c r="R185" s="737"/>
      <c r="S185" s="735"/>
      <c r="T185" s="737"/>
      <c r="U185" s="737"/>
    </row>
    <row r="186">
      <c r="A186" s="733">
        <v>44652.0</v>
      </c>
      <c r="B186" s="52" t="str">
        <f t="shared" si="1"/>
        <v>04/2022</v>
      </c>
      <c r="C186" s="52" t="str">
        <f>IF(A186="","",VLOOKUP(A186,'THAM CHIẾU'!$A:$B,2,0))</f>
        <v>#N/A</v>
      </c>
      <c r="D186" s="52" t="str">
        <f>IF(E186&lt;&gt;0,VLOOKUP(E186,DM_DUAN,3,0),"")</f>
        <v/>
      </c>
      <c r="E186" s="735"/>
      <c r="F186" s="735"/>
      <c r="G186" s="735"/>
      <c r="H186" s="735"/>
      <c r="I186" s="735"/>
      <c r="J186" s="52" t="s">
        <v>2214</v>
      </c>
      <c r="K186" s="52" t="s">
        <v>2214</v>
      </c>
      <c r="L186" s="735" t="s">
        <v>270</v>
      </c>
      <c r="M186" s="68"/>
      <c r="N186" s="738">
        <v>5428571.0</v>
      </c>
      <c r="O186" s="735"/>
      <c r="P186" s="52" t="s">
        <v>2214</v>
      </c>
      <c r="Q186" s="52" t="s">
        <v>2214</v>
      </c>
      <c r="R186" s="737"/>
      <c r="S186" s="735"/>
      <c r="T186" s="737"/>
      <c r="U186" s="737"/>
    </row>
    <row r="187">
      <c r="A187" s="733">
        <v>44652.0</v>
      </c>
      <c r="B187" s="52" t="str">
        <f t="shared" si="1"/>
        <v>04/2022</v>
      </c>
      <c r="C187" s="52" t="str">
        <f>IF(A187="","",VLOOKUP(A187,'THAM CHIẾU'!$A:$B,2,0))</f>
        <v>#N/A</v>
      </c>
      <c r="D187" s="52" t="str">
        <f>IF(E187&lt;&gt;0,VLOOKUP(E187,DM_DUAN,3,0),"")</f>
        <v/>
      </c>
      <c r="E187" s="735"/>
      <c r="F187" s="735"/>
      <c r="G187" s="735"/>
      <c r="H187" s="735"/>
      <c r="I187" s="735"/>
      <c r="J187" s="52" t="s">
        <v>2214</v>
      </c>
      <c r="K187" s="52" t="s">
        <v>2214</v>
      </c>
      <c r="L187" s="735" t="s">
        <v>270</v>
      </c>
      <c r="M187" s="68"/>
      <c r="N187" s="738">
        <v>1.6285714E7</v>
      </c>
      <c r="O187" s="735"/>
      <c r="P187" s="52" t="s">
        <v>2214</v>
      </c>
      <c r="Q187" s="52" t="s">
        <v>2214</v>
      </c>
      <c r="R187" s="737"/>
      <c r="S187" s="735"/>
      <c r="T187" s="737"/>
      <c r="U187" s="737"/>
    </row>
    <row r="188">
      <c r="A188" s="733">
        <v>44652.0</v>
      </c>
      <c r="B188" s="52" t="str">
        <f t="shared" si="1"/>
        <v>04/2022</v>
      </c>
      <c r="C188" s="52" t="str">
        <f>IF(A188="","",VLOOKUP(A188,'THAM CHIẾU'!$A:$B,2,0))</f>
        <v>#N/A</v>
      </c>
      <c r="D188" s="52" t="str">
        <f>IF(E188&lt;&gt;0,VLOOKUP(E188,DM_DUAN,3,0),"")</f>
        <v/>
      </c>
      <c r="E188" s="735"/>
      <c r="F188" s="735"/>
      <c r="G188" s="735"/>
      <c r="H188" s="735"/>
      <c r="I188" s="735"/>
      <c r="J188" s="52" t="s">
        <v>2214</v>
      </c>
      <c r="K188" s="52" t="s">
        <v>2214</v>
      </c>
      <c r="L188" s="735" t="s">
        <v>270</v>
      </c>
      <c r="M188" s="68"/>
      <c r="N188" s="738">
        <v>1.0857143E7</v>
      </c>
      <c r="O188" s="735"/>
      <c r="P188" s="52" t="s">
        <v>2214</v>
      </c>
      <c r="Q188" s="52" t="s">
        <v>2214</v>
      </c>
      <c r="R188" s="737"/>
      <c r="S188" s="735"/>
      <c r="T188" s="737"/>
      <c r="U188" s="737"/>
    </row>
    <row r="189">
      <c r="A189" s="733">
        <v>44652.0</v>
      </c>
      <c r="B189" s="52" t="str">
        <f t="shared" si="1"/>
        <v>04/2022</v>
      </c>
      <c r="C189" s="52" t="str">
        <f>IF(A189="","",VLOOKUP(A189,'THAM CHIẾU'!$A:$B,2,0))</f>
        <v>#N/A</v>
      </c>
      <c r="D189" s="52" t="str">
        <f>IF(E189&lt;&gt;0,VLOOKUP(E189,DM_DUAN,3,0),"")</f>
        <v/>
      </c>
      <c r="E189" s="735"/>
      <c r="F189" s="735"/>
      <c r="G189" s="735"/>
      <c r="H189" s="735"/>
      <c r="I189" s="735"/>
      <c r="J189" s="52" t="s">
        <v>2214</v>
      </c>
      <c r="K189" s="52" t="s">
        <v>2214</v>
      </c>
      <c r="L189" s="735" t="s">
        <v>270</v>
      </c>
      <c r="M189" s="68"/>
      <c r="N189" s="738">
        <v>5428571.0</v>
      </c>
      <c r="O189" s="735"/>
      <c r="P189" s="52" t="s">
        <v>2214</v>
      </c>
      <c r="Q189" s="52" t="s">
        <v>2214</v>
      </c>
      <c r="R189" s="737"/>
      <c r="S189" s="735"/>
      <c r="T189" s="737"/>
      <c r="U189" s="737"/>
    </row>
    <row r="190">
      <c r="A190" s="733">
        <v>44652.0</v>
      </c>
      <c r="B190" s="52" t="str">
        <f t="shared" si="1"/>
        <v>04/2022</v>
      </c>
      <c r="C190" s="52" t="str">
        <f>IF(A190="","",VLOOKUP(A190,'THAM CHIẾU'!$A:$B,2,0))</f>
        <v>#N/A</v>
      </c>
      <c r="D190" s="52" t="str">
        <f>IF(E190&lt;&gt;0,VLOOKUP(E190,DM_DUAN,3,0),"")</f>
        <v/>
      </c>
      <c r="E190" s="735"/>
      <c r="F190" s="735"/>
      <c r="G190" s="735"/>
      <c r="H190" s="735"/>
      <c r="I190" s="735"/>
      <c r="J190" s="52" t="s">
        <v>2214</v>
      </c>
      <c r="K190" s="52" t="s">
        <v>2214</v>
      </c>
      <c r="L190" s="735" t="s">
        <v>270</v>
      </c>
      <c r="M190" s="68"/>
      <c r="N190" s="738">
        <v>4333333.0</v>
      </c>
      <c r="O190" s="735"/>
      <c r="P190" s="52" t="s">
        <v>2214</v>
      </c>
      <c r="Q190" s="52" t="s">
        <v>2214</v>
      </c>
      <c r="R190" s="737"/>
      <c r="S190" s="735"/>
      <c r="T190" s="737"/>
      <c r="U190" s="737"/>
    </row>
    <row r="191">
      <c r="A191" s="733">
        <v>44652.0</v>
      </c>
      <c r="B191" s="52" t="str">
        <f t="shared" si="1"/>
        <v>04/2022</v>
      </c>
      <c r="C191" s="52" t="str">
        <f>IF(A191="","",VLOOKUP(A191,'THAM CHIẾU'!$A:$B,2,0))</f>
        <v>#N/A</v>
      </c>
      <c r="D191" s="52" t="str">
        <f>IF(E191&lt;&gt;0,VLOOKUP(E191,DM_DUAN,3,0),"")</f>
        <v/>
      </c>
      <c r="E191" s="735"/>
      <c r="F191" s="735"/>
      <c r="G191" s="735"/>
      <c r="H191" s="735"/>
      <c r="I191" s="735"/>
      <c r="J191" s="52" t="s">
        <v>2214</v>
      </c>
      <c r="K191" s="52" t="s">
        <v>2214</v>
      </c>
      <c r="L191" s="735" t="s">
        <v>270</v>
      </c>
      <c r="M191" s="68"/>
      <c r="N191" s="738">
        <v>6050000.0</v>
      </c>
      <c r="O191" s="735"/>
      <c r="P191" s="52" t="s">
        <v>2214</v>
      </c>
      <c r="Q191" s="52" t="s">
        <v>2214</v>
      </c>
      <c r="R191" s="737"/>
      <c r="S191" s="735"/>
      <c r="T191" s="737"/>
      <c r="U191" s="737"/>
    </row>
    <row r="192">
      <c r="A192" s="733">
        <v>44652.0</v>
      </c>
      <c r="B192" s="52" t="str">
        <f t="shared" si="1"/>
        <v>04/2022</v>
      </c>
      <c r="C192" s="52" t="str">
        <f>IF(A192="","",VLOOKUP(A192,'THAM CHIẾU'!$A:$B,2,0))</f>
        <v>#N/A</v>
      </c>
      <c r="D192" s="52" t="str">
        <f>IF(E192&lt;&gt;0,VLOOKUP(E192,DM_DUAN,3,0),"")</f>
        <v/>
      </c>
      <c r="E192" s="735"/>
      <c r="F192" s="735"/>
      <c r="G192" s="735"/>
      <c r="H192" s="735"/>
      <c r="I192" s="735"/>
      <c r="J192" s="52" t="s">
        <v>2214</v>
      </c>
      <c r="K192" s="52" t="s">
        <v>2214</v>
      </c>
      <c r="L192" s="735" t="s">
        <v>270</v>
      </c>
      <c r="M192" s="68"/>
      <c r="N192" s="738">
        <v>4000000.0</v>
      </c>
      <c r="O192" s="735"/>
      <c r="P192" s="52" t="s">
        <v>2214</v>
      </c>
      <c r="Q192" s="52" t="s">
        <v>2214</v>
      </c>
      <c r="R192" s="737"/>
      <c r="S192" s="735"/>
      <c r="T192" s="737"/>
      <c r="U192" s="737"/>
    </row>
    <row r="193">
      <c r="A193" s="733">
        <v>44652.0</v>
      </c>
      <c r="B193" s="52" t="str">
        <f t="shared" si="1"/>
        <v>04/2022</v>
      </c>
      <c r="C193" s="52" t="str">
        <f>IF(A193="","",VLOOKUP(A193,'THAM CHIẾU'!$A:$B,2,0))</f>
        <v>#N/A</v>
      </c>
      <c r="D193" s="52" t="str">
        <f>IF(E193&lt;&gt;0,VLOOKUP(E193,DM_DUAN,3,0),"")</f>
        <v/>
      </c>
      <c r="E193" s="735"/>
      <c r="F193" s="735"/>
      <c r="G193" s="735"/>
      <c r="H193" s="735"/>
      <c r="I193" s="735"/>
      <c r="J193" s="52" t="s">
        <v>2214</v>
      </c>
      <c r="K193" s="52" t="s">
        <v>2214</v>
      </c>
      <c r="L193" s="735" t="s">
        <v>169</v>
      </c>
      <c r="M193" s="68"/>
      <c r="N193" s="736">
        <v>5.0E7</v>
      </c>
      <c r="O193" s="735"/>
      <c r="P193" s="52" t="s">
        <v>2214</v>
      </c>
      <c r="Q193" s="52" t="s">
        <v>2214</v>
      </c>
      <c r="R193" s="737"/>
      <c r="S193" s="735"/>
      <c r="T193" s="737"/>
      <c r="U193" s="737"/>
    </row>
    <row r="194">
      <c r="A194" s="733">
        <v>44652.0</v>
      </c>
      <c r="B194" s="52" t="str">
        <f t="shared" si="1"/>
        <v>04/2022</v>
      </c>
      <c r="C194" s="52" t="str">
        <f>IF(A194="","",VLOOKUP(A194,'THAM CHIẾU'!$A:$B,2,0))</f>
        <v>#N/A</v>
      </c>
      <c r="D194" s="52" t="str">
        <f>IF(E194&lt;&gt;0,VLOOKUP(E194,DM_DUAN,3,0),"")</f>
        <v/>
      </c>
      <c r="E194" s="735"/>
      <c r="F194" s="735"/>
      <c r="G194" s="735"/>
      <c r="H194" s="735"/>
      <c r="I194" s="735"/>
      <c r="J194" s="52" t="s">
        <v>2214</v>
      </c>
      <c r="K194" s="52" t="s">
        <v>2214</v>
      </c>
      <c r="L194" s="735" t="s">
        <v>206</v>
      </c>
      <c r="M194" s="68"/>
      <c r="N194" s="738">
        <v>726000.0</v>
      </c>
      <c r="O194" s="735"/>
      <c r="P194" s="52" t="s">
        <v>2214</v>
      </c>
      <c r="Q194" s="52" t="s">
        <v>2214</v>
      </c>
      <c r="R194" s="737"/>
      <c r="S194" s="735"/>
      <c r="T194" s="737"/>
      <c r="U194" s="737"/>
    </row>
    <row r="195">
      <c r="A195" s="733">
        <v>44652.0</v>
      </c>
      <c r="B195" s="52" t="str">
        <f t="shared" si="1"/>
        <v>04/2022</v>
      </c>
      <c r="C195" s="52" t="str">
        <f>IF(A195="","",VLOOKUP(A195,'THAM CHIẾU'!$A:$B,2,0))</f>
        <v>#N/A</v>
      </c>
      <c r="D195" s="52" t="str">
        <f>IF(E195&lt;&gt;0,VLOOKUP(E195,DM_DUAN,3,0),"")</f>
        <v/>
      </c>
      <c r="E195" s="735"/>
      <c r="F195" s="735"/>
      <c r="G195" s="735"/>
      <c r="H195" s="735"/>
      <c r="I195" s="735"/>
      <c r="J195" s="52" t="s">
        <v>2214</v>
      </c>
      <c r="K195" s="52" t="s">
        <v>2214</v>
      </c>
      <c r="L195" s="735" t="s">
        <v>419</v>
      </c>
      <c r="M195" s="68"/>
      <c r="N195" s="738">
        <v>137500.0</v>
      </c>
      <c r="O195" s="735"/>
      <c r="P195" s="52" t="s">
        <v>2214</v>
      </c>
      <c r="Q195" s="52" t="s">
        <v>2214</v>
      </c>
      <c r="R195" s="737"/>
      <c r="S195" s="735"/>
      <c r="T195" s="737"/>
      <c r="U195" s="737"/>
    </row>
    <row r="196">
      <c r="A196" s="733">
        <v>44652.0</v>
      </c>
      <c r="B196" s="52" t="str">
        <f t="shared" si="1"/>
        <v>04/2022</v>
      </c>
      <c r="C196" s="52" t="str">
        <f>IF(A196="","",VLOOKUP(A196,'THAM CHIẾU'!$A:$B,2,0))</f>
        <v>#N/A</v>
      </c>
      <c r="D196" s="52" t="str">
        <f>IF(E196&lt;&gt;0,VLOOKUP(E196,DM_DUAN,3,0),"")</f>
        <v/>
      </c>
      <c r="E196" s="735"/>
      <c r="F196" s="735"/>
      <c r="G196" s="735"/>
      <c r="H196" s="735"/>
      <c r="I196" s="735"/>
      <c r="J196" s="52" t="s">
        <v>2214</v>
      </c>
      <c r="K196" s="52" t="s">
        <v>2214</v>
      </c>
      <c r="L196" s="735" t="s">
        <v>380</v>
      </c>
      <c r="M196" s="68"/>
      <c r="N196" s="738">
        <v>50600.0</v>
      </c>
      <c r="O196" s="735"/>
      <c r="P196" s="52" t="s">
        <v>2214</v>
      </c>
      <c r="Q196" s="52" t="s">
        <v>2214</v>
      </c>
      <c r="R196" s="737"/>
      <c r="S196" s="735"/>
      <c r="T196" s="737"/>
      <c r="U196" s="737"/>
    </row>
    <row r="197">
      <c r="A197" s="733">
        <v>44652.0</v>
      </c>
      <c r="B197" s="52" t="str">
        <f t="shared" si="1"/>
        <v>04/2022</v>
      </c>
      <c r="C197" s="52" t="str">
        <f>IF(A197="","",VLOOKUP(A197,'THAM CHIẾU'!$A:$B,2,0))</f>
        <v>#N/A</v>
      </c>
      <c r="D197" s="52" t="str">
        <f>IF(E197&lt;&gt;0,VLOOKUP(E197,DM_DUAN,3,0),"")</f>
        <v/>
      </c>
      <c r="E197" s="735"/>
      <c r="F197" s="735"/>
      <c r="G197" s="735"/>
      <c r="H197" s="735"/>
      <c r="I197" s="735"/>
      <c r="J197" s="52" t="s">
        <v>2214</v>
      </c>
      <c r="K197" s="52" t="s">
        <v>2214</v>
      </c>
      <c r="L197" s="735" t="s">
        <v>174</v>
      </c>
      <c r="M197" s="68"/>
      <c r="N197" s="736">
        <v>7.5E7</v>
      </c>
      <c r="O197" s="735"/>
      <c r="P197" s="52" t="s">
        <v>2214</v>
      </c>
      <c r="Q197" s="52" t="s">
        <v>2214</v>
      </c>
      <c r="R197" s="737"/>
      <c r="S197" s="735"/>
      <c r="T197" s="737"/>
      <c r="U197" s="737"/>
    </row>
    <row r="198">
      <c r="A198" s="733">
        <v>44652.0</v>
      </c>
      <c r="B198" s="52" t="str">
        <f t="shared" si="1"/>
        <v>04/2022</v>
      </c>
      <c r="C198" s="52" t="str">
        <f>IF(A198="","",VLOOKUP(A198,'THAM CHIẾU'!$A:$B,2,0))</f>
        <v>#N/A</v>
      </c>
      <c r="D198" s="52" t="str">
        <f>IF(E198&lt;&gt;0,VLOOKUP(E198,DM_DUAN,3,0),"")</f>
        <v>THANHNAM</v>
      </c>
      <c r="E198" s="741" t="s">
        <v>530</v>
      </c>
      <c r="F198" s="735"/>
      <c r="G198" s="735"/>
      <c r="H198" s="735"/>
      <c r="I198" s="735"/>
      <c r="J198" s="52" t="s">
        <v>2214</v>
      </c>
      <c r="K198" s="52" t="s">
        <v>2214</v>
      </c>
      <c r="L198" s="740" t="s">
        <v>2247</v>
      </c>
      <c r="M198" s="68"/>
      <c r="N198" s="738">
        <f>160000000*3</f>
        <v>480000000</v>
      </c>
      <c r="O198" s="735"/>
      <c r="P198" s="52" t="s">
        <v>2214</v>
      </c>
      <c r="Q198" s="52" t="s">
        <v>2214</v>
      </c>
      <c r="R198" s="737"/>
      <c r="S198" s="735"/>
      <c r="T198" s="737"/>
      <c r="U198" s="737"/>
    </row>
    <row r="199">
      <c r="A199" s="733">
        <v>44652.0</v>
      </c>
      <c r="B199" s="52" t="str">
        <f t="shared" si="1"/>
        <v>04/2022</v>
      </c>
      <c r="C199" s="52" t="str">
        <f>IF(A199="","",VLOOKUP(A199,'THAM CHIẾU'!$A:$B,2,0))</f>
        <v>#N/A</v>
      </c>
      <c r="D199" s="52" t="str">
        <f>IF(E199&lt;&gt;0,VLOOKUP(E199,DM_DUAN,3,0),"")</f>
        <v>KIMCUONGLAND</v>
      </c>
      <c r="E199" s="742" t="s">
        <v>638</v>
      </c>
      <c r="F199" s="735"/>
      <c r="G199" s="735"/>
      <c r="H199" s="735"/>
      <c r="I199" s="735"/>
      <c r="J199" s="52" t="s">
        <v>2214</v>
      </c>
      <c r="K199" s="52" t="s">
        <v>2214</v>
      </c>
      <c r="L199" s="740" t="s">
        <v>2247</v>
      </c>
      <c r="M199" s="68"/>
      <c r="N199" s="738">
        <f>800000000*20%</f>
        <v>160000000</v>
      </c>
      <c r="O199" s="735"/>
      <c r="P199" s="52" t="s">
        <v>2214</v>
      </c>
      <c r="Q199" s="52" t="s">
        <v>2214</v>
      </c>
      <c r="R199" s="737"/>
      <c r="S199" s="735"/>
      <c r="T199" s="737"/>
      <c r="U199" s="737"/>
    </row>
    <row r="200">
      <c r="A200" s="733">
        <v>44652.0</v>
      </c>
      <c r="B200" s="52" t="str">
        <f t="shared" si="1"/>
        <v>04/2022</v>
      </c>
      <c r="C200" s="52" t="str">
        <f>IF(A200="","",VLOOKUP(A200,'THAM CHIẾU'!$A:$B,2,0))</f>
        <v>#N/A</v>
      </c>
      <c r="D200" s="52" t="str">
        <f>IF(E200&lt;&gt;0,VLOOKUP(E200,DM_DUAN,3,0),"")</f>
        <v>KIMCUONGLAND</v>
      </c>
      <c r="E200" s="742" t="s">
        <v>636</v>
      </c>
      <c r="F200" s="735"/>
      <c r="G200" s="735"/>
      <c r="H200" s="735"/>
      <c r="I200" s="735"/>
      <c r="J200" s="52" t="s">
        <v>2214</v>
      </c>
      <c r="K200" s="52" t="s">
        <v>2214</v>
      </c>
      <c r="L200" s="740" t="s">
        <v>2247</v>
      </c>
      <c r="M200" s="68"/>
      <c r="N200" s="738">
        <f>2000000000*16%</f>
        <v>320000000</v>
      </c>
      <c r="O200" s="735"/>
      <c r="P200" s="52" t="s">
        <v>2214</v>
      </c>
      <c r="Q200" s="52" t="s">
        <v>2214</v>
      </c>
      <c r="R200" s="737"/>
      <c r="S200" s="735"/>
      <c r="T200" s="737"/>
      <c r="U200" s="737"/>
    </row>
    <row r="201">
      <c r="A201" s="733">
        <v>44652.0</v>
      </c>
      <c r="B201" s="52" t="str">
        <f t="shared" si="1"/>
        <v>04/2022</v>
      </c>
      <c r="C201" s="52" t="str">
        <f>IF(A201="","",VLOOKUP(A201,'THAM CHIẾU'!$A:$B,2,0))</f>
        <v>#N/A</v>
      </c>
      <c r="D201" s="52" t="str">
        <f>IF(E201&lt;&gt;0,VLOOKUP(E201,DM_DUAN,3,0),"")</f>
        <v/>
      </c>
      <c r="E201" s="735"/>
      <c r="F201" s="735"/>
      <c r="G201" s="735"/>
      <c r="H201" s="735"/>
      <c r="I201" s="735"/>
      <c r="J201" s="52" t="s">
        <v>2214</v>
      </c>
      <c r="K201" s="52" t="s">
        <v>2214</v>
      </c>
      <c r="L201" s="735" t="s">
        <v>174</v>
      </c>
      <c r="M201" s="68"/>
      <c r="N201" s="738"/>
      <c r="O201" s="735"/>
      <c r="P201" s="52" t="s">
        <v>2214</v>
      </c>
      <c r="Q201" s="52" t="s">
        <v>2214</v>
      </c>
      <c r="R201" s="737"/>
      <c r="S201" s="735"/>
      <c r="T201" s="737"/>
      <c r="U201" s="737"/>
    </row>
    <row r="202">
      <c r="A202" s="733">
        <v>44652.0</v>
      </c>
      <c r="B202" s="52" t="str">
        <f t="shared" si="1"/>
        <v>04/2022</v>
      </c>
      <c r="C202" s="52" t="str">
        <f>IF(A202="","",VLOOKUP(A202,'THAM CHIẾU'!$A:$B,2,0))</f>
        <v>#N/A</v>
      </c>
      <c r="D202" s="52" t="str">
        <f>IF(E202&lt;&gt;0,VLOOKUP(E202,DM_DUAN,3,0),"")</f>
        <v/>
      </c>
      <c r="E202" s="735"/>
      <c r="F202" s="735"/>
      <c r="G202" s="735"/>
      <c r="H202" s="735"/>
      <c r="I202" s="735"/>
      <c r="J202" s="52" t="s">
        <v>2214</v>
      </c>
      <c r="K202" s="52" t="s">
        <v>2214</v>
      </c>
      <c r="L202" s="735" t="s">
        <v>174</v>
      </c>
      <c r="M202" s="68"/>
      <c r="N202" s="738"/>
      <c r="O202" s="735"/>
      <c r="P202" s="52" t="s">
        <v>2214</v>
      </c>
      <c r="Q202" s="52" t="s">
        <v>2214</v>
      </c>
      <c r="R202" s="737"/>
      <c r="S202" s="735"/>
      <c r="T202" s="737"/>
      <c r="U202" s="737"/>
    </row>
    <row r="203">
      <c r="A203" s="733">
        <v>44652.0</v>
      </c>
      <c r="B203" s="52" t="str">
        <f t="shared" si="1"/>
        <v>04/2022</v>
      </c>
      <c r="C203" s="52" t="str">
        <f>IF(A203="","",VLOOKUP(A203,'THAM CHIẾU'!$A:$B,2,0))</f>
        <v>#N/A</v>
      </c>
      <c r="D203" s="52" t="str">
        <f>IF(E203&lt;&gt;0,VLOOKUP(E203,DM_DUAN,3,0),"")</f>
        <v/>
      </c>
      <c r="E203" s="735"/>
      <c r="F203" s="735"/>
      <c r="G203" s="735"/>
      <c r="H203" s="735"/>
      <c r="I203" s="735"/>
      <c r="J203" s="52" t="s">
        <v>2214</v>
      </c>
      <c r="K203" s="52" t="s">
        <v>2214</v>
      </c>
      <c r="L203" s="735" t="s">
        <v>174</v>
      </c>
      <c r="M203" s="68"/>
      <c r="N203" s="738"/>
      <c r="O203" s="735"/>
      <c r="P203" s="52" t="s">
        <v>2214</v>
      </c>
      <c r="Q203" s="52" t="s">
        <v>2214</v>
      </c>
      <c r="R203" s="737"/>
      <c r="S203" s="735"/>
      <c r="T203" s="737"/>
      <c r="U203" s="737"/>
    </row>
    <row r="204">
      <c r="A204" s="733">
        <v>44652.0</v>
      </c>
      <c r="B204" s="52" t="str">
        <f t="shared" si="1"/>
        <v>04/2022</v>
      </c>
      <c r="C204" s="52" t="str">
        <f>IF(A204="","",VLOOKUP(A204,'THAM CHIẾU'!$A:$B,2,0))</f>
        <v>#N/A</v>
      </c>
      <c r="D204" s="52" t="str">
        <f>IF(E204&lt;&gt;0,VLOOKUP(E204,DM_DUAN,3,0),"")</f>
        <v/>
      </c>
      <c r="E204" s="735"/>
      <c r="F204" s="735"/>
      <c r="G204" s="735"/>
      <c r="H204" s="735"/>
      <c r="I204" s="735"/>
      <c r="J204" s="52" t="s">
        <v>2214</v>
      </c>
      <c r="K204" s="52" t="s">
        <v>2214</v>
      </c>
      <c r="L204" s="735" t="s">
        <v>174</v>
      </c>
      <c r="M204" s="68"/>
      <c r="N204" s="738"/>
      <c r="O204" s="735"/>
      <c r="P204" s="52" t="s">
        <v>2214</v>
      </c>
      <c r="Q204" s="52" t="s">
        <v>2214</v>
      </c>
      <c r="R204" s="737"/>
      <c r="S204" s="735"/>
      <c r="T204" s="737"/>
      <c r="U204" s="737"/>
    </row>
    <row r="205">
      <c r="A205" s="733">
        <v>44652.0</v>
      </c>
      <c r="B205" s="52" t="str">
        <f t="shared" si="1"/>
        <v>04/2022</v>
      </c>
      <c r="C205" s="52" t="str">
        <f>IF(A205="","",VLOOKUP(A205,'THAM CHIẾU'!$A:$B,2,0))</f>
        <v>#N/A</v>
      </c>
      <c r="D205" s="52" t="str">
        <f>IF(E205&lt;&gt;0,VLOOKUP(E205,DM_DUAN,3,0),"")</f>
        <v/>
      </c>
      <c r="E205" s="735"/>
      <c r="F205" s="735"/>
      <c r="G205" s="735"/>
      <c r="H205" s="735"/>
      <c r="I205" s="735"/>
      <c r="J205" s="52" t="s">
        <v>2214</v>
      </c>
      <c r="K205" s="52" t="s">
        <v>2214</v>
      </c>
      <c r="L205" s="735" t="s">
        <v>267</v>
      </c>
      <c r="M205" s="68"/>
      <c r="N205" s="738">
        <v>3.602634E7</v>
      </c>
      <c r="O205" s="735"/>
      <c r="P205" s="52" t="s">
        <v>2214</v>
      </c>
      <c r="Q205" s="52" t="s">
        <v>2214</v>
      </c>
      <c r="R205" s="737"/>
      <c r="S205" s="735"/>
      <c r="T205" s="737"/>
      <c r="U205" s="737"/>
    </row>
    <row r="206">
      <c r="A206" s="733">
        <v>44652.0</v>
      </c>
      <c r="B206" s="52" t="str">
        <f t="shared" si="1"/>
        <v>04/2022</v>
      </c>
      <c r="C206" s="52" t="str">
        <f>IF(A206="","",VLOOKUP(A206,'THAM CHIẾU'!$A:$B,2,0))</f>
        <v>#N/A</v>
      </c>
      <c r="D206" s="52" t="str">
        <f>IF(E206&lt;&gt;0,VLOOKUP(E206,DM_DUAN,3,0),"")</f>
        <v/>
      </c>
      <c r="E206" s="735"/>
      <c r="F206" s="735"/>
      <c r="G206" s="735"/>
      <c r="H206" s="735"/>
      <c r="I206" s="735"/>
      <c r="J206" s="52" t="s">
        <v>2214</v>
      </c>
      <c r="K206" s="52" t="s">
        <v>2214</v>
      </c>
      <c r="L206" s="735" t="s">
        <v>222</v>
      </c>
      <c r="M206" s="68"/>
      <c r="N206" s="738">
        <v>100000.0</v>
      </c>
      <c r="O206" s="735"/>
      <c r="P206" s="52" t="s">
        <v>2214</v>
      </c>
      <c r="Q206" s="52" t="s">
        <v>2214</v>
      </c>
      <c r="R206" s="737"/>
      <c r="S206" s="735"/>
      <c r="T206" s="737"/>
      <c r="U206" s="737"/>
    </row>
    <row r="207">
      <c r="A207" s="733">
        <v>44652.0</v>
      </c>
      <c r="B207" s="52" t="str">
        <f t="shared" si="1"/>
        <v>04/2022</v>
      </c>
      <c r="C207" s="52" t="str">
        <f>IF(A207="","",VLOOKUP(A207,'THAM CHIẾU'!$A:$B,2,0))</f>
        <v>#N/A</v>
      </c>
      <c r="D207" s="52" t="str">
        <f>IF(E207&lt;&gt;0,VLOOKUP(E207,DM_DUAN,3,0),"")</f>
        <v/>
      </c>
      <c r="E207" s="735"/>
      <c r="F207" s="735"/>
      <c r="G207" s="735"/>
      <c r="H207" s="735"/>
      <c r="I207" s="735"/>
      <c r="J207" s="52" t="s">
        <v>2214</v>
      </c>
      <c r="K207" s="52" t="s">
        <v>2214</v>
      </c>
      <c r="L207" s="735" t="s">
        <v>267</v>
      </c>
      <c r="M207" s="68"/>
      <c r="N207" s="736">
        <v>6.3E7</v>
      </c>
      <c r="O207" s="735"/>
      <c r="P207" s="52" t="s">
        <v>2214</v>
      </c>
      <c r="Q207" s="52" t="s">
        <v>2214</v>
      </c>
      <c r="R207" s="737"/>
      <c r="S207" s="735"/>
      <c r="T207" s="737"/>
      <c r="U207" s="737"/>
    </row>
    <row r="208">
      <c r="A208" s="733">
        <v>44652.0</v>
      </c>
      <c r="B208" s="52" t="str">
        <f t="shared" si="1"/>
        <v>04/2022</v>
      </c>
      <c r="C208" s="52" t="str">
        <f>IF(A208="","",VLOOKUP(A208,'THAM CHIẾU'!$A:$B,2,0))</f>
        <v>#N/A</v>
      </c>
      <c r="D208" s="52" t="str">
        <f>IF(E208&lt;&gt;0,VLOOKUP(E208,DM_DUAN,3,0),"")</f>
        <v/>
      </c>
      <c r="E208" s="735"/>
      <c r="F208" s="735"/>
      <c r="G208" s="735"/>
      <c r="H208" s="735"/>
      <c r="I208" s="735"/>
      <c r="J208" s="52" t="s">
        <v>2214</v>
      </c>
      <c r="K208" s="52" t="s">
        <v>2214</v>
      </c>
      <c r="L208" s="735" t="s">
        <v>267</v>
      </c>
      <c r="M208" s="68"/>
      <c r="N208" s="738">
        <v>2.5041667E7</v>
      </c>
      <c r="O208" s="735"/>
      <c r="P208" s="52" t="s">
        <v>2214</v>
      </c>
      <c r="Q208" s="52" t="s">
        <v>2214</v>
      </c>
      <c r="R208" s="737"/>
      <c r="S208" s="735"/>
      <c r="T208" s="737"/>
      <c r="U208" s="737"/>
    </row>
    <row r="209">
      <c r="A209" s="733">
        <v>44652.0</v>
      </c>
      <c r="B209" s="52" t="str">
        <f t="shared" si="1"/>
        <v>04/2022</v>
      </c>
      <c r="C209" s="52" t="str">
        <f>IF(A209="","",VLOOKUP(A209,'THAM CHIẾU'!$A:$B,2,0))</f>
        <v>#N/A</v>
      </c>
      <c r="D209" s="52" t="str">
        <f>IF(E209&lt;&gt;0,VLOOKUP(E209,DM_DUAN,3,0),"")</f>
        <v/>
      </c>
      <c r="E209" s="735"/>
      <c r="F209" s="735"/>
      <c r="G209" s="735"/>
      <c r="H209" s="735"/>
      <c r="I209" s="735"/>
      <c r="J209" s="52" t="s">
        <v>2214</v>
      </c>
      <c r="K209" s="52" t="s">
        <v>2214</v>
      </c>
      <c r="L209" s="735" t="s">
        <v>255</v>
      </c>
      <c r="M209" s="68"/>
      <c r="N209" s="738">
        <v>5.6416667E7</v>
      </c>
      <c r="O209" s="735"/>
      <c r="P209" s="52" t="s">
        <v>2214</v>
      </c>
      <c r="Q209" s="52" t="s">
        <v>2214</v>
      </c>
      <c r="R209" s="737"/>
      <c r="S209" s="735"/>
      <c r="T209" s="737"/>
      <c r="U209" s="737"/>
    </row>
    <row r="210">
      <c r="A210" s="733">
        <v>44652.0</v>
      </c>
      <c r="B210" s="52" t="str">
        <f t="shared" si="1"/>
        <v>04/2022</v>
      </c>
      <c r="C210" s="52" t="str">
        <f>IF(A210="","",VLOOKUP(A210,'THAM CHIẾU'!$A:$B,2,0))</f>
        <v>#N/A</v>
      </c>
      <c r="D210" s="52" t="str">
        <f>IF(E210&lt;&gt;0,VLOOKUP(E210,DM_DUAN,3,0),"")</f>
        <v/>
      </c>
      <c r="E210" s="735"/>
      <c r="F210" s="735"/>
      <c r="G210" s="735"/>
      <c r="H210" s="735"/>
      <c r="I210" s="735"/>
      <c r="J210" s="52" t="s">
        <v>2214</v>
      </c>
      <c r="K210" s="52" t="s">
        <v>2214</v>
      </c>
      <c r="L210" s="735" t="s">
        <v>293</v>
      </c>
      <c r="M210" s="68"/>
      <c r="N210" s="736">
        <v>6.5E7</v>
      </c>
      <c r="O210" s="735"/>
      <c r="P210" s="52" t="s">
        <v>2214</v>
      </c>
      <c r="Q210" s="52" t="s">
        <v>2214</v>
      </c>
      <c r="R210" s="737"/>
      <c r="S210" s="735"/>
      <c r="T210" s="737"/>
      <c r="U210" s="737"/>
    </row>
    <row r="211">
      <c r="A211" s="733">
        <v>44652.0</v>
      </c>
      <c r="B211" s="52" t="str">
        <f t="shared" si="1"/>
        <v>04/2022</v>
      </c>
      <c r="C211" s="52" t="str">
        <f>IF(A211="","",VLOOKUP(A211,'THAM CHIẾU'!$A:$B,2,0))</f>
        <v>#N/A</v>
      </c>
      <c r="D211" s="52" t="str">
        <f>IF(E211&lt;&gt;0,VLOOKUP(E211,DM_DUAN,3,0),"")</f>
        <v/>
      </c>
      <c r="E211" s="735"/>
      <c r="F211" s="735"/>
      <c r="G211" s="735"/>
      <c r="H211" s="735"/>
      <c r="I211" s="735"/>
      <c r="J211" s="52" t="s">
        <v>2214</v>
      </c>
      <c r="K211" s="52" t="s">
        <v>2214</v>
      </c>
      <c r="L211" s="735" t="s">
        <v>293</v>
      </c>
      <c r="M211" s="68"/>
      <c r="N211" s="738"/>
      <c r="O211" s="735"/>
      <c r="P211" s="52" t="s">
        <v>2214</v>
      </c>
      <c r="Q211" s="52" t="s">
        <v>2214</v>
      </c>
      <c r="R211" s="737"/>
      <c r="S211" s="735"/>
      <c r="T211" s="737"/>
      <c r="U211" s="737"/>
    </row>
    <row r="212">
      <c r="A212" s="733">
        <v>44652.0</v>
      </c>
      <c r="B212" s="52" t="str">
        <f t="shared" si="1"/>
        <v>04/2022</v>
      </c>
      <c r="C212" s="52" t="str">
        <f>IF(A212="","",VLOOKUP(A212,'THAM CHIẾU'!$A:$B,2,0))</f>
        <v>#N/A</v>
      </c>
      <c r="D212" s="52" t="str">
        <f>IF(E212&lt;&gt;0,VLOOKUP(E212,DM_DUAN,3,0),"")</f>
        <v/>
      </c>
      <c r="E212" s="740"/>
      <c r="F212" s="735"/>
      <c r="G212" s="735"/>
      <c r="H212" s="735"/>
      <c r="I212" s="735"/>
      <c r="J212" s="52" t="s">
        <v>2214</v>
      </c>
      <c r="K212" s="52" t="s">
        <v>2214</v>
      </c>
      <c r="L212" s="740"/>
      <c r="M212" s="68"/>
      <c r="N212" s="743"/>
      <c r="O212" s="735"/>
      <c r="P212" s="52" t="s">
        <v>2214</v>
      </c>
      <c r="Q212" s="52" t="s">
        <v>2214</v>
      </c>
      <c r="R212" s="737"/>
      <c r="S212" s="735"/>
      <c r="T212" s="737"/>
      <c r="U212" s="737"/>
    </row>
    <row r="213">
      <c r="A213" s="733">
        <v>44652.0</v>
      </c>
      <c r="B213" s="52" t="str">
        <f t="shared" si="1"/>
        <v>04/2022</v>
      </c>
      <c r="C213" s="52" t="str">
        <f>IF(A213="","",VLOOKUP(A213,'THAM CHIẾU'!$A:$B,2,0))</f>
        <v>#N/A</v>
      </c>
      <c r="D213" s="52" t="str">
        <f>IF(E213&lt;&gt;0,VLOOKUP(E213,DM_DUAN,3,0),"")</f>
        <v/>
      </c>
      <c r="E213" s="735"/>
      <c r="F213" s="735"/>
      <c r="G213" s="735"/>
      <c r="H213" s="735"/>
      <c r="I213" s="735"/>
      <c r="J213" s="52" t="s">
        <v>2214</v>
      </c>
      <c r="K213" s="52" t="s">
        <v>2214</v>
      </c>
      <c r="L213" s="735"/>
      <c r="M213" s="68"/>
      <c r="N213" s="739"/>
      <c r="O213" s="735"/>
      <c r="P213" s="52" t="s">
        <v>2214</v>
      </c>
      <c r="Q213" s="52" t="s">
        <v>2214</v>
      </c>
      <c r="R213" s="737"/>
      <c r="S213" s="735"/>
      <c r="T213" s="737"/>
      <c r="U213" s="737"/>
    </row>
    <row r="214">
      <c r="A214" s="733">
        <v>44652.0</v>
      </c>
      <c r="B214" s="52" t="str">
        <f t="shared" si="1"/>
        <v>04/2022</v>
      </c>
      <c r="C214" s="52" t="str">
        <f>IF(A214="","",VLOOKUP(A214,'THAM CHIẾU'!$A:$B,2,0))</f>
        <v>#N/A</v>
      </c>
      <c r="D214" s="52" t="str">
        <f>IF(E214&lt;&gt;0,VLOOKUP(E214,DM_DUAN,3,0),"")</f>
        <v/>
      </c>
      <c r="E214" s="735"/>
      <c r="F214" s="735"/>
      <c r="G214" s="735"/>
      <c r="H214" s="735"/>
      <c r="I214" s="735"/>
      <c r="J214" s="52" t="s">
        <v>2214</v>
      </c>
      <c r="K214" s="52" t="s">
        <v>2214</v>
      </c>
      <c r="L214" s="735"/>
      <c r="M214" s="68"/>
      <c r="N214" s="739"/>
      <c r="O214" s="735"/>
      <c r="P214" s="52" t="s">
        <v>2214</v>
      </c>
      <c r="Q214" s="52" t="s">
        <v>2214</v>
      </c>
      <c r="R214" s="737"/>
      <c r="S214" s="735"/>
      <c r="T214" s="737"/>
      <c r="U214" s="737"/>
    </row>
    <row r="215">
      <c r="A215" s="733">
        <v>44652.0</v>
      </c>
      <c r="B215" s="52" t="str">
        <f t="shared" si="1"/>
        <v>04/2022</v>
      </c>
      <c r="C215" s="52" t="str">
        <f>IF(A215="","",VLOOKUP(A215,'THAM CHIẾU'!$A:$B,2,0))</f>
        <v>#N/A</v>
      </c>
      <c r="D215" s="52" t="str">
        <f>IF(E215&lt;&gt;0,VLOOKUP(E215,DM_DUAN,3,0),"")</f>
        <v/>
      </c>
      <c r="E215" s="735"/>
      <c r="F215" s="735"/>
      <c r="G215" s="735"/>
      <c r="H215" s="735"/>
      <c r="I215" s="735"/>
      <c r="J215" s="52" t="s">
        <v>2214</v>
      </c>
      <c r="K215" s="52" t="s">
        <v>2214</v>
      </c>
      <c r="L215" s="735"/>
      <c r="M215" s="68"/>
      <c r="N215" s="739"/>
      <c r="O215" s="735"/>
      <c r="P215" s="52" t="s">
        <v>2214</v>
      </c>
      <c r="Q215" s="52" t="s">
        <v>2214</v>
      </c>
      <c r="R215" s="737"/>
      <c r="S215" s="735"/>
      <c r="T215" s="737"/>
      <c r="U215" s="737"/>
    </row>
    <row r="216">
      <c r="A216" s="733">
        <v>44652.0</v>
      </c>
      <c r="B216" s="52" t="str">
        <f t="shared" si="1"/>
        <v>04/2022</v>
      </c>
      <c r="C216" s="52" t="str">
        <f>IF(A216="","",VLOOKUP(A216,'THAM CHIẾU'!$A:$B,2,0))</f>
        <v>#N/A</v>
      </c>
      <c r="D216" s="52"/>
      <c r="E216" s="735"/>
      <c r="F216" s="735"/>
      <c r="G216" s="735"/>
      <c r="H216" s="735"/>
      <c r="I216" s="735"/>
      <c r="J216" s="52"/>
      <c r="K216" s="52"/>
      <c r="L216" s="735"/>
      <c r="M216" s="68"/>
      <c r="N216" s="738"/>
      <c r="O216" s="735"/>
      <c r="P216" s="52" t="s">
        <v>2214</v>
      </c>
      <c r="Q216" s="52" t="s">
        <v>2214</v>
      </c>
      <c r="R216" s="737"/>
      <c r="S216" s="735"/>
      <c r="T216" s="737"/>
      <c r="U216" s="737" t="s">
        <v>2239</v>
      </c>
    </row>
    <row r="217">
      <c r="A217" s="733">
        <v>44652.0</v>
      </c>
      <c r="B217" s="52" t="str">
        <f t="shared" si="1"/>
        <v>04/2022</v>
      </c>
      <c r="C217" s="52" t="str">
        <f>IF(A217="","",VLOOKUP(A217,'THAM CHIẾU'!$A:$B,2,0))</f>
        <v>#N/A</v>
      </c>
      <c r="D217" s="52" t="str">
        <f>IF(E217&lt;&gt;0,VLOOKUP(E217,DM_DUAN,3,0),"")</f>
        <v/>
      </c>
      <c r="E217" s="735"/>
      <c r="F217" s="735"/>
      <c r="G217" s="735"/>
      <c r="H217" s="735"/>
      <c r="I217" s="735"/>
      <c r="J217" s="52" t="s">
        <v>2214</v>
      </c>
      <c r="K217" s="52" t="s">
        <v>2214</v>
      </c>
      <c r="L217" s="735"/>
      <c r="M217" s="68"/>
      <c r="N217" s="738"/>
      <c r="O217" s="735"/>
      <c r="P217" s="52" t="s">
        <v>2214</v>
      </c>
      <c r="Q217" s="52" t="s">
        <v>2214</v>
      </c>
      <c r="R217" s="737"/>
      <c r="S217" s="735"/>
      <c r="T217" s="737"/>
      <c r="U217" s="737" t="s">
        <v>276</v>
      </c>
    </row>
    <row r="218">
      <c r="A218" s="733">
        <v>44652.0</v>
      </c>
      <c r="B218" s="52" t="str">
        <f t="shared" si="1"/>
        <v>04/2022</v>
      </c>
      <c r="C218" s="52" t="str">
        <f>IF(A218="","",VLOOKUP(A218,'THAM CHIẾU'!$A:$B,2,0))</f>
        <v>#N/A</v>
      </c>
      <c r="D218" s="52" t="str">
        <f>IF(E218&lt;&gt;0,VLOOKUP(E218,DM_DUAN,3,0),"")</f>
        <v/>
      </c>
      <c r="E218" s="735"/>
      <c r="F218" s="735"/>
      <c r="G218" s="735"/>
      <c r="H218" s="735"/>
      <c r="I218" s="735"/>
      <c r="J218" s="52" t="s">
        <v>2214</v>
      </c>
      <c r="K218" s="52" t="s">
        <v>2214</v>
      </c>
      <c r="L218" s="735" t="s">
        <v>169</v>
      </c>
      <c r="M218" s="68"/>
      <c r="N218" s="738">
        <v>3000000.0</v>
      </c>
      <c r="O218" s="735"/>
      <c r="P218" s="52" t="s">
        <v>2214</v>
      </c>
      <c r="Q218" s="52" t="s">
        <v>2214</v>
      </c>
      <c r="R218" s="737"/>
      <c r="S218" s="735"/>
      <c r="T218" s="737" t="s">
        <v>2240</v>
      </c>
      <c r="U218" s="737"/>
    </row>
    <row r="219">
      <c r="A219" s="733">
        <v>44652.0</v>
      </c>
      <c r="B219" s="52" t="str">
        <f t="shared" si="1"/>
        <v>04/2022</v>
      </c>
      <c r="C219" s="52" t="str">
        <f>IF(A219="","",VLOOKUP(A219,'THAM CHIẾU'!$A:$B,2,0))</f>
        <v>#N/A</v>
      </c>
      <c r="D219" s="52" t="str">
        <f>IF(E219&lt;&gt;0,VLOOKUP(E219,DM_DUAN,3,0),"")</f>
        <v/>
      </c>
      <c r="E219" s="735"/>
      <c r="F219" s="735"/>
      <c r="G219" s="735"/>
      <c r="H219" s="735"/>
      <c r="I219" s="735"/>
      <c r="J219" s="52" t="s">
        <v>2214</v>
      </c>
      <c r="K219" s="52" t="s">
        <v>2214</v>
      </c>
      <c r="L219" s="735" t="s">
        <v>190</v>
      </c>
      <c r="M219" s="68"/>
      <c r="N219" s="738">
        <v>3.6E7</v>
      </c>
      <c r="O219" s="735"/>
      <c r="P219" s="52" t="s">
        <v>2214</v>
      </c>
      <c r="Q219" s="52" t="s">
        <v>2214</v>
      </c>
      <c r="R219" s="737"/>
      <c r="S219" s="735"/>
      <c r="T219" s="737" t="s">
        <v>2241</v>
      </c>
      <c r="U219" s="737"/>
    </row>
    <row r="220">
      <c r="A220" s="733">
        <v>44652.0</v>
      </c>
      <c r="B220" s="52" t="str">
        <f t="shared" si="1"/>
        <v>04/2022</v>
      </c>
      <c r="C220" s="52" t="str">
        <f>IF(A220="","",VLOOKUP(A220,'THAM CHIẾU'!$A:$B,2,0))</f>
        <v>#N/A</v>
      </c>
      <c r="D220" s="52" t="str">
        <f>IF(E220&lt;&gt;0,VLOOKUP(E220,DM_DUAN,3,0),"")</f>
        <v/>
      </c>
      <c r="E220" s="735"/>
      <c r="F220" s="735"/>
      <c r="G220" s="735"/>
      <c r="H220" s="735"/>
      <c r="I220" s="735"/>
      <c r="J220" s="52" t="s">
        <v>2214</v>
      </c>
      <c r="K220" s="52" t="s">
        <v>2214</v>
      </c>
      <c r="L220" s="735" t="s">
        <v>194</v>
      </c>
      <c r="M220" s="68"/>
      <c r="N220" s="738">
        <v>9600000.0</v>
      </c>
      <c r="O220" s="735"/>
      <c r="P220" s="52" t="s">
        <v>2214</v>
      </c>
      <c r="Q220" s="52" t="s">
        <v>2214</v>
      </c>
      <c r="R220" s="737"/>
      <c r="S220" s="735"/>
      <c r="T220" s="737" t="s">
        <v>2242</v>
      </c>
      <c r="U220" s="737"/>
    </row>
    <row r="221">
      <c r="A221" s="733">
        <v>44652.0</v>
      </c>
      <c r="B221" s="52" t="str">
        <f t="shared" si="1"/>
        <v>04/2022</v>
      </c>
      <c r="C221" s="52" t="str">
        <f>IF(A221="","",VLOOKUP(A221,'THAM CHIẾU'!$A:$B,2,0))</f>
        <v>#N/A</v>
      </c>
      <c r="D221" s="52" t="str">
        <f>IF(E221&lt;&gt;0,VLOOKUP(E221,DM_DUAN,3,0),"")</f>
        <v/>
      </c>
      <c r="E221" s="735"/>
      <c r="F221" s="735"/>
      <c r="G221" s="735"/>
      <c r="H221" s="735"/>
      <c r="I221" s="735"/>
      <c r="J221" s="52" t="s">
        <v>2214</v>
      </c>
      <c r="K221" s="52" t="s">
        <v>2214</v>
      </c>
      <c r="L221" s="735" t="s">
        <v>1142</v>
      </c>
      <c r="M221" s="68"/>
      <c r="N221" s="738">
        <v>1200000.0</v>
      </c>
      <c r="O221" s="735"/>
      <c r="P221" s="52" t="s">
        <v>2214</v>
      </c>
      <c r="Q221" s="52" t="s">
        <v>2214</v>
      </c>
      <c r="R221" s="737"/>
      <c r="S221" s="735"/>
      <c r="T221" s="737" t="s">
        <v>1474</v>
      </c>
      <c r="U221" s="737"/>
    </row>
    <row r="222">
      <c r="A222" s="733">
        <v>44652.0</v>
      </c>
      <c r="B222" s="52" t="str">
        <f t="shared" si="1"/>
        <v>04/2022</v>
      </c>
      <c r="C222" s="52" t="str">
        <f>IF(A222="","",VLOOKUP(A222,'THAM CHIẾU'!$A:$B,2,0))</f>
        <v>#N/A</v>
      </c>
      <c r="D222" s="52" t="str">
        <f>IF(E222&lt;&gt;0,VLOOKUP(E222,DM_DUAN,3,0),"")</f>
        <v/>
      </c>
      <c r="E222" s="735"/>
      <c r="F222" s="735"/>
      <c r="G222" s="735"/>
      <c r="H222" s="735"/>
      <c r="I222" s="735"/>
      <c r="J222" s="52" t="s">
        <v>2214</v>
      </c>
      <c r="K222" s="52" t="s">
        <v>2214</v>
      </c>
      <c r="L222" s="735" t="s">
        <v>1142</v>
      </c>
      <c r="M222" s="68"/>
      <c r="N222" s="738">
        <v>9.6E7</v>
      </c>
      <c r="O222" s="735"/>
      <c r="P222" s="52" t="s">
        <v>2214</v>
      </c>
      <c r="Q222" s="52" t="s">
        <v>2214</v>
      </c>
      <c r="R222" s="737"/>
      <c r="S222" s="735"/>
      <c r="T222" s="737" t="s">
        <v>2244</v>
      </c>
      <c r="U222" s="737"/>
    </row>
    <row r="223">
      <c r="A223" s="733">
        <v>44652.0</v>
      </c>
      <c r="B223" s="52" t="str">
        <f t="shared" si="1"/>
        <v>04/2022</v>
      </c>
      <c r="C223" s="52" t="str">
        <f>IF(A223="","",VLOOKUP(A223,'THAM CHIẾU'!$A:$B,2,0))</f>
        <v>#N/A</v>
      </c>
      <c r="D223" s="52" t="str">
        <f>IF(E223&lt;&gt;0,VLOOKUP(E223,DM_DUAN,3,0),"")</f>
        <v/>
      </c>
      <c r="E223" s="735"/>
      <c r="F223" s="735"/>
      <c r="G223" s="735"/>
      <c r="H223" s="735"/>
      <c r="I223" s="735"/>
      <c r="J223" s="52" t="s">
        <v>2214</v>
      </c>
      <c r="K223" s="52" t="s">
        <v>2214</v>
      </c>
      <c r="L223" s="735" t="s">
        <v>181</v>
      </c>
      <c r="M223" s="68"/>
      <c r="N223" s="738">
        <v>1200000.0</v>
      </c>
      <c r="O223" s="735"/>
      <c r="P223" s="52" t="s">
        <v>2214</v>
      </c>
      <c r="Q223" s="52" t="s">
        <v>2214</v>
      </c>
      <c r="R223" s="737"/>
      <c r="S223" s="735"/>
      <c r="T223" s="737" t="s">
        <v>2245</v>
      </c>
      <c r="U223" s="737"/>
    </row>
    <row r="224">
      <c r="A224" s="733">
        <v>44652.0</v>
      </c>
      <c r="B224" s="52" t="str">
        <f t="shared" si="1"/>
        <v>04/2022</v>
      </c>
      <c r="C224" s="52" t="str">
        <f>IF(A224="","",VLOOKUP(A224,'THAM CHIẾU'!$A:$B,2,0))</f>
        <v>#N/A</v>
      </c>
      <c r="D224" s="52" t="str">
        <f>IF(E224&lt;&gt;0,VLOOKUP(E224,DM_DUAN,3,0),"")</f>
        <v/>
      </c>
      <c r="E224" s="735"/>
      <c r="F224" s="735"/>
      <c r="G224" s="735"/>
      <c r="H224" s="735"/>
      <c r="I224" s="735"/>
      <c r="J224" s="52" t="s">
        <v>2214</v>
      </c>
      <c r="K224" s="52" t="s">
        <v>2214</v>
      </c>
      <c r="L224" s="735" t="s">
        <v>1170</v>
      </c>
      <c r="M224" s="68"/>
      <c r="N224" s="738">
        <v>359999.99999999994</v>
      </c>
      <c r="O224" s="735"/>
      <c r="P224" s="52" t="s">
        <v>2214</v>
      </c>
      <c r="Q224" s="52" t="s">
        <v>2214</v>
      </c>
      <c r="R224" s="737"/>
      <c r="S224" s="735"/>
      <c r="T224" s="737" t="s">
        <v>2246</v>
      </c>
      <c r="U224" s="737"/>
    </row>
    <row r="225">
      <c r="A225" s="733"/>
      <c r="B225" s="52" t="str">
        <f t="shared" si="1"/>
        <v/>
      </c>
      <c r="C225" s="52" t="str">
        <f>IF(A225="","",VLOOKUP(A225,'THAM CHIẾU'!$A:$B,2,0))</f>
        <v/>
      </c>
      <c r="D225" s="52" t="str">
        <f>IF(E225&lt;&gt;0,VLOOKUP(E225,DM_DUAN,3,0),"")</f>
        <v/>
      </c>
      <c r="E225" s="735"/>
      <c r="F225" s="735"/>
      <c r="G225" s="735"/>
      <c r="H225" s="735"/>
      <c r="I225" s="735"/>
      <c r="J225" s="52" t="s">
        <v>2214</v>
      </c>
      <c r="K225" s="52" t="s">
        <v>2214</v>
      </c>
      <c r="L225" s="735"/>
      <c r="M225" s="68"/>
      <c r="N225" s="739"/>
      <c r="O225" s="735"/>
      <c r="P225" s="52" t="s">
        <v>2214</v>
      </c>
      <c r="Q225" s="52" t="s">
        <v>2214</v>
      </c>
      <c r="R225" s="737"/>
      <c r="S225" s="735"/>
      <c r="T225" s="737"/>
      <c r="U225" s="737"/>
    </row>
    <row r="226">
      <c r="A226" s="733">
        <v>44682.0</v>
      </c>
      <c r="B226" s="52" t="str">
        <f t="shared" si="1"/>
        <v>05/2022</v>
      </c>
      <c r="C226" s="52" t="str">
        <f>IF(A226="","",VLOOKUP(A226,'THAM CHIẾU'!$A:$B,2,0))</f>
        <v>#N/A</v>
      </c>
      <c r="D226" s="52" t="str">
        <f>IF(E226&lt;&gt;0,VLOOKUP(E226,DM_DUAN,3,0),"")</f>
        <v>CLOUDLAND</v>
      </c>
      <c r="E226" s="740" t="s">
        <v>956</v>
      </c>
      <c r="F226" s="735"/>
      <c r="G226" s="735"/>
      <c r="H226" s="740" t="s">
        <v>705</v>
      </c>
      <c r="I226" s="735"/>
      <c r="J226" s="52" t="s">
        <v>2214</v>
      </c>
      <c r="K226" s="52" t="s">
        <v>2214</v>
      </c>
      <c r="L226" s="735" t="s">
        <v>198</v>
      </c>
      <c r="M226" s="68"/>
      <c r="N226" s="736">
        <v>2.764504E9</v>
      </c>
      <c r="O226" s="735"/>
      <c r="P226" s="52" t="s">
        <v>2214</v>
      </c>
      <c r="Q226" s="52" t="s">
        <v>2214</v>
      </c>
      <c r="R226" s="737"/>
      <c r="S226" s="735"/>
      <c r="T226" s="737"/>
      <c r="U226" s="737"/>
    </row>
    <row r="227">
      <c r="A227" s="733">
        <v>44682.0</v>
      </c>
      <c r="B227" s="52" t="str">
        <f t="shared" si="1"/>
        <v>05/2022</v>
      </c>
      <c r="C227" s="52" t="str">
        <f>IF(A227="","",VLOOKUP(A227,'THAM CHIẾU'!$A:$B,2,0))</f>
        <v>#N/A</v>
      </c>
      <c r="D227" s="52" t="str">
        <f>IF(E227&lt;&gt;0,VLOOKUP(E227,DM_DUAN,3,0),"")</f>
        <v>CLOUDLAND</v>
      </c>
      <c r="E227" s="740" t="s">
        <v>956</v>
      </c>
      <c r="F227" s="735"/>
      <c r="G227" s="735"/>
      <c r="H227" s="740" t="s">
        <v>183</v>
      </c>
      <c r="I227" s="735"/>
      <c r="J227" s="52" t="s">
        <v>2214</v>
      </c>
      <c r="K227" s="52" t="s">
        <v>2214</v>
      </c>
      <c r="L227" s="735" t="s">
        <v>198</v>
      </c>
      <c r="M227" s="68"/>
      <c r="N227" s="736">
        <v>5.7752E9</v>
      </c>
      <c r="O227" s="735"/>
      <c r="P227" s="52" t="s">
        <v>2214</v>
      </c>
      <c r="Q227" s="52" t="s">
        <v>2214</v>
      </c>
      <c r="R227" s="737"/>
      <c r="S227" s="735"/>
      <c r="T227" s="737"/>
      <c r="U227" s="737"/>
    </row>
    <row r="228">
      <c r="A228" s="733">
        <v>44682.0</v>
      </c>
      <c r="B228" s="52" t="str">
        <f t="shared" si="1"/>
        <v>05/2022</v>
      </c>
      <c r="C228" s="52" t="str">
        <f>IF(A228="","",VLOOKUP(A228,'THAM CHIẾU'!$A:$B,2,0))</f>
        <v>#N/A</v>
      </c>
      <c r="D228" s="52" t="str">
        <f>IF(E228&lt;&gt;0,VLOOKUP(E228,DM_DUAN,3,0),"")</f>
        <v>CLOUDLAND</v>
      </c>
      <c r="E228" s="740" t="s">
        <v>956</v>
      </c>
      <c r="F228" s="735"/>
      <c r="G228" s="735"/>
      <c r="H228" s="740" t="s">
        <v>177</v>
      </c>
      <c r="I228" s="735"/>
      <c r="J228" s="52" t="s">
        <v>2214</v>
      </c>
      <c r="K228" s="52" t="s">
        <v>2214</v>
      </c>
      <c r="L228" s="735" t="s">
        <v>198</v>
      </c>
      <c r="M228" s="68"/>
      <c r="N228" s="736">
        <v>7.611E8</v>
      </c>
      <c r="O228" s="735"/>
      <c r="P228" s="52" t="s">
        <v>2214</v>
      </c>
      <c r="Q228" s="52" t="s">
        <v>2214</v>
      </c>
      <c r="R228" s="737"/>
      <c r="S228" s="735"/>
      <c r="T228" s="737"/>
      <c r="U228" s="737"/>
    </row>
    <row r="229">
      <c r="A229" s="733">
        <v>44682.0</v>
      </c>
      <c r="B229" s="52" t="str">
        <f t="shared" si="1"/>
        <v>05/2022</v>
      </c>
      <c r="C229" s="52" t="str">
        <f>IF(A229="","",VLOOKUP(A229,'THAM CHIẾU'!$A:$B,2,0))</f>
        <v>#N/A</v>
      </c>
      <c r="D229" s="52" t="str">
        <f>IF(E229&lt;&gt;0,VLOOKUP(E229,DM_DUAN,3,0),"")</f>
        <v>CLOUDLAND</v>
      </c>
      <c r="E229" s="740" t="s">
        <v>956</v>
      </c>
      <c r="F229" s="735"/>
      <c r="G229" s="735"/>
      <c r="H229" s="740" t="s">
        <v>210</v>
      </c>
      <c r="I229" s="735"/>
      <c r="J229" s="52" t="s">
        <v>2214</v>
      </c>
      <c r="K229" s="52" t="s">
        <v>2214</v>
      </c>
      <c r="L229" s="735" t="s">
        <v>198</v>
      </c>
      <c r="M229" s="68"/>
      <c r="N229" s="738">
        <f>1536000000+1148000000</f>
        <v>2684000000</v>
      </c>
      <c r="O229" s="735"/>
      <c r="P229" s="52" t="s">
        <v>2214</v>
      </c>
      <c r="Q229" s="52" t="s">
        <v>2214</v>
      </c>
      <c r="R229" s="737"/>
      <c r="S229" s="735"/>
      <c r="T229" s="737"/>
      <c r="U229" s="737"/>
    </row>
    <row r="230">
      <c r="A230" s="733">
        <v>44682.0</v>
      </c>
      <c r="B230" s="52" t="str">
        <f t="shared" si="1"/>
        <v>05/2022</v>
      </c>
      <c r="C230" s="52" t="str">
        <f>IF(A230="","",VLOOKUP(A230,'THAM CHIẾU'!$A:$B,2,0))</f>
        <v>#N/A</v>
      </c>
      <c r="D230" s="52" t="str">
        <f>IF(E230&lt;&gt;0,VLOOKUP(E230,DM_DUAN,3,0),"")</f>
        <v/>
      </c>
      <c r="E230" s="735"/>
      <c r="F230" s="735"/>
      <c r="G230" s="735"/>
      <c r="H230" s="735"/>
      <c r="I230" s="735"/>
      <c r="J230" s="52" t="s">
        <v>2214</v>
      </c>
      <c r="K230" s="52" t="s">
        <v>2214</v>
      </c>
      <c r="L230" s="735" t="s">
        <v>198</v>
      </c>
      <c r="M230" s="68"/>
      <c r="N230" s="738"/>
      <c r="O230" s="735"/>
      <c r="P230" s="52" t="s">
        <v>2214</v>
      </c>
      <c r="Q230" s="52" t="s">
        <v>2214</v>
      </c>
      <c r="R230" s="737"/>
      <c r="S230" s="735"/>
      <c r="T230" s="737"/>
      <c r="U230" s="737"/>
    </row>
    <row r="231">
      <c r="A231" s="733">
        <v>44682.0</v>
      </c>
      <c r="B231" s="52" t="str">
        <f t="shared" si="1"/>
        <v>05/2022</v>
      </c>
      <c r="C231" s="52" t="str">
        <f>IF(A231="","",VLOOKUP(A231,'THAM CHIẾU'!$A:$B,2,0))</f>
        <v>#N/A</v>
      </c>
      <c r="D231" s="52" t="str">
        <f>IF(E231&lt;&gt;0,VLOOKUP(E231,DM_DUAN,3,0),"")</f>
        <v/>
      </c>
      <c r="E231" s="735"/>
      <c r="F231" s="735"/>
      <c r="G231" s="735"/>
      <c r="H231" s="735"/>
      <c r="I231" s="735"/>
      <c r="J231" s="52" t="s">
        <v>2214</v>
      </c>
      <c r="K231" s="52" t="s">
        <v>2214</v>
      </c>
      <c r="L231" s="735" t="s">
        <v>198</v>
      </c>
      <c r="M231" s="68"/>
      <c r="N231" s="738"/>
      <c r="O231" s="735"/>
      <c r="P231" s="52" t="s">
        <v>2214</v>
      </c>
      <c r="Q231" s="52" t="s">
        <v>2214</v>
      </c>
      <c r="R231" s="737"/>
      <c r="S231" s="735"/>
      <c r="T231" s="737"/>
      <c r="U231" s="737"/>
    </row>
    <row r="232">
      <c r="A232" s="733">
        <v>44682.0</v>
      </c>
      <c r="B232" s="52" t="str">
        <f t="shared" si="1"/>
        <v>05/2022</v>
      </c>
      <c r="C232" s="52" t="str">
        <f>IF(A232="","",VLOOKUP(A232,'THAM CHIẾU'!$A:$B,2,0))</f>
        <v>#N/A</v>
      </c>
      <c r="D232" s="52" t="str">
        <f>IF(E232&lt;&gt;0,VLOOKUP(E232,DM_DUAN,3,0),"")</f>
        <v/>
      </c>
      <c r="E232" s="735"/>
      <c r="F232" s="735"/>
      <c r="G232" s="735"/>
      <c r="H232" s="735"/>
      <c r="I232" s="735"/>
      <c r="J232" s="52" t="s">
        <v>2214</v>
      </c>
      <c r="K232" s="52" t="s">
        <v>2214</v>
      </c>
      <c r="L232" s="735" t="s">
        <v>198</v>
      </c>
      <c r="M232" s="68"/>
      <c r="N232" s="738"/>
      <c r="O232" s="735"/>
      <c r="P232" s="52" t="s">
        <v>2214</v>
      </c>
      <c r="Q232" s="52" t="s">
        <v>2214</v>
      </c>
      <c r="R232" s="737"/>
      <c r="S232" s="735"/>
      <c r="T232" s="737"/>
      <c r="U232" s="737"/>
    </row>
    <row r="233">
      <c r="A233" s="733">
        <v>44682.0</v>
      </c>
      <c r="B233" s="52" t="str">
        <f t="shared" si="1"/>
        <v>05/2022</v>
      </c>
      <c r="C233" s="52" t="str">
        <f>IF(A233="","",VLOOKUP(A233,'THAM CHIẾU'!$A:$B,2,0))</f>
        <v>#N/A</v>
      </c>
      <c r="D233" s="52" t="str">
        <f>IF(E233&lt;&gt;0,VLOOKUP(E233,DM_DUAN,3,0),"")</f>
        <v/>
      </c>
      <c r="E233" s="735"/>
      <c r="F233" s="735"/>
      <c r="G233" s="735"/>
      <c r="H233" s="735"/>
      <c r="I233" s="735"/>
      <c r="J233" s="52" t="s">
        <v>2214</v>
      </c>
      <c r="K233" s="52" t="s">
        <v>2214</v>
      </c>
      <c r="L233" s="735" t="s">
        <v>198</v>
      </c>
      <c r="M233" s="68"/>
      <c r="N233" s="738"/>
      <c r="O233" s="735"/>
      <c r="P233" s="52" t="s">
        <v>2214</v>
      </c>
      <c r="Q233" s="52" t="s">
        <v>2214</v>
      </c>
      <c r="R233" s="737"/>
      <c r="S233" s="735"/>
      <c r="T233" s="737"/>
      <c r="U233" s="737"/>
    </row>
    <row r="234">
      <c r="A234" s="733">
        <v>44682.0</v>
      </c>
      <c r="B234" s="52" t="str">
        <f t="shared" si="1"/>
        <v>05/2022</v>
      </c>
      <c r="C234" s="52" t="str">
        <f>IF(A234="","",VLOOKUP(A234,'THAM CHIẾU'!$A:$B,2,0))</f>
        <v>#N/A</v>
      </c>
      <c r="D234" s="52" t="str">
        <f>IF(E234&lt;&gt;0,VLOOKUP(E234,DM_DUAN,3,0),"")</f>
        <v/>
      </c>
      <c r="E234" s="735"/>
      <c r="F234" s="735"/>
      <c r="G234" s="735"/>
      <c r="H234" s="735"/>
      <c r="I234" s="735"/>
      <c r="J234" s="52" t="s">
        <v>2214</v>
      </c>
      <c r="K234" s="52" t="s">
        <v>2214</v>
      </c>
      <c r="L234" s="735" t="s">
        <v>198</v>
      </c>
      <c r="M234" s="68"/>
      <c r="N234" s="738"/>
      <c r="O234" s="735"/>
      <c r="P234" s="52" t="s">
        <v>2214</v>
      </c>
      <c r="Q234" s="52" t="s">
        <v>2214</v>
      </c>
      <c r="R234" s="737"/>
      <c r="S234" s="735"/>
      <c r="T234" s="737"/>
      <c r="U234" s="737"/>
    </row>
    <row r="235">
      <c r="A235" s="733">
        <v>44682.0</v>
      </c>
      <c r="B235" s="52" t="str">
        <f t="shared" si="1"/>
        <v>05/2022</v>
      </c>
      <c r="C235" s="52" t="str">
        <f>IF(A235="","",VLOOKUP(A235,'THAM CHIẾU'!$A:$B,2,0))</f>
        <v>#N/A</v>
      </c>
      <c r="D235" s="52" t="str">
        <f>IF(E235&lt;&gt;0,VLOOKUP(E235,DM_DUAN,3,0),"")</f>
        <v>CLOUDLAND</v>
      </c>
      <c r="E235" s="740" t="s">
        <v>956</v>
      </c>
      <c r="F235" s="735"/>
      <c r="G235" s="735"/>
      <c r="H235" s="740" t="s">
        <v>705</v>
      </c>
      <c r="I235" s="735"/>
      <c r="J235" s="52" t="s">
        <v>2214</v>
      </c>
      <c r="K235" s="52" t="s">
        <v>2214</v>
      </c>
      <c r="L235" s="735" t="s">
        <v>187</v>
      </c>
      <c r="M235" s="68"/>
      <c r="N235" s="736">
        <v>3.6450448E8</v>
      </c>
      <c r="O235" s="735"/>
      <c r="P235" s="52" t="s">
        <v>2214</v>
      </c>
      <c r="Q235" s="52" t="s">
        <v>2214</v>
      </c>
      <c r="R235" s="737"/>
      <c r="S235" s="735"/>
      <c r="T235" s="737"/>
      <c r="U235" s="737"/>
    </row>
    <row r="236">
      <c r="A236" s="733">
        <v>44682.0</v>
      </c>
      <c r="B236" s="52" t="str">
        <f t="shared" si="1"/>
        <v>05/2022</v>
      </c>
      <c r="C236" s="52" t="str">
        <f>IF(A236="","",VLOOKUP(A236,'THAM CHIẾU'!$A:$B,2,0))</f>
        <v>#N/A</v>
      </c>
      <c r="D236" s="52" t="str">
        <f>IF(E236&lt;&gt;0,VLOOKUP(E236,DM_DUAN,3,0),"")</f>
        <v>CLOUDLAND</v>
      </c>
      <c r="E236" s="740" t="s">
        <v>956</v>
      </c>
      <c r="F236" s="735"/>
      <c r="G236" s="735"/>
      <c r="H236" s="740" t="s">
        <v>183</v>
      </c>
      <c r="I236" s="735"/>
      <c r="J236" s="52" t="s">
        <v>2214</v>
      </c>
      <c r="K236" s="52" t="s">
        <v>2214</v>
      </c>
      <c r="L236" s="735" t="s">
        <v>187</v>
      </c>
      <c r="M236" s="68"/>
      <c r="N236" s="736">
        <v>7.75024E8</v>
      </c>
      <c r="O236" s="735"/>
      <c r="P236" s="52" t="s">
        <v>2214</v>
      </c>
      <c r="Q236" s="52" t="s">
        <v>2214</v>
      </c>
      <c r="R236" s="737"/>
      <c r="S236" s="735"/>
      <c r="T236" s="737"/>
      <c r="U236" s="737"/>
    </row>
    <row r="237">
      <c r="A237" s="733">
        <v>44682.0</v>
      </c>
      <c r="B237" s="52" t="str">
        <f t="shared" si="1"/>
        <v>05/2022</v>
      </c>
      <c r="C237" s="52" t="str">
        <f>IF(A237="","",VLOOKUP(A237,'THAM CHIẾU'!$A:$B,2,0))</f>
        <v>#N/A</v>
      </c>
      <c r="D237" s="52" t="str">
        <f>IF(E237&lt;&gt;0,VLOOKUP(E237,DM_DUAN,3,0),"")</f>
        <v>CLOUDLAND</v>
      </c>
      <c r="E237" s="740" t="s">
        <v>956</v>
      </c>
      <c r="F237" s="735"/>
      <c r="G237" s="735"/>
      <c r="H237" s="740" t="s">
        <v>177</v>
      </c>
      <c r="I237" s="735"/>
      <c r="J237" s="52" t="s">
        <v>2214</v>
      </c>
      <c r="K237" s="52" t="s">
        <v>2214</v>
      </c>
      <c r="L237" s="735" t="s">
        <v>187</v>
      </c>
      <c r="M237" s="68"/>
      <c r="N237" s="736" t="s">
        <v>2248</v>
      </c>
      <c r="O237" s="735"/>
      <c r="P237" s="52" t="s">
        <v>2214</v>
      </c>
      <c r="Q237" s="52" t="s">
        <v>2214</v>
      </c>
      <c r="R237" s="737"/>
      <c r="S237" s="735"/>
      <c r="T237" s="737"/>
      <c r="U237" s="737"/>
    </row>
    <row r="238">
      <c r="A238" s="733">
        <v>44682.0</v>
      </c>
      <c r="B238" s="52" t="str">
        <f t="shared" si="1"/>
        <v>05/2022</v>
      </c>
      <c r="C238" s="52" t="str">
        <f>IF(A238="","",VLOOKUP(A238,'THAM CHIẾU'!$A:$B,2,0))</f>
        <v>#N/A</v>
      </c>
      <c r="D238" s="52" t="str">
        <f>IF(E238&lt;&gt;0,VLOOKUP(E238,DM_DUAN,3,0),"")</f>
        <v>CLOUDLAND</v>
      </c>
      <c r="E238" s="740" t="s">
        <v>956</v>
      </c>
      <c r="F238" s="735"/>
      <c r="G238" s="735"/>
      <c r="H238" s="740" t="s">
        <v>210</v>
      </c>
      <c r="I238" s="735"/>
      <c r="J238" s="52" t="s">
        <v>2214</v>
      </c>
      <c r="K238" s="52" t="s">
        <v>2214</v>
      </c>
      <c r="L238" s="735" t="s">
        <v>187</v>
      </c>
      <c r="M238" s="68"/>
      <c r="N238" s="736">
        <v>3.54928E8</v>
      </c>
      <c r="O238" s="735"/>
      <c r="P238" s="52" t="s">
        <v>2214</v>
      </c>
      <c r="Q238" s="52" t="s">
        <v>2214</v>
      </c>
      <c r="R238" s="737"/>
      <c r="S238" s="735"/>
      <c r="T238" s="737"/>
      <c r="U238" s="737"/>
    </row>
    <row r="239">
      <c r="A239" s="733">
        <v>44682.0</v>
      </c>
      <c r="B239" s="52" t="str">
        <f t="shared" si="1"/>
        <v>05/2022</v>
      </c>
      <c r="C239" s="52" t="str">
        <f>IF(A239="","",VLOOKUP(A239,'THAM CHIẾU'!$A:$B,2,0))</f>
        <v>#N/A</v>
      </c>
      <c r="D239" s="52" t="str">
        <f>IF(E239&lt;&gt;0,VLOOKUP(E239,DM_DUAN,3,0),"")</f>
        <v/>
      </c>
      <c r="E239" s="735"/>
      <c r="F239" s="735"/>
      <c r="G239" s="735"/>
      <c r="H239" s="735"/>
      <c r="I239" s="735"/>
      <c r="J239" s="52" t="s">
        <v>2214</v>
      </c>
      <c r="K239" s="52" t="s">
        <v>2214</v>
      </c>
      <c r="L239" s="735" t="s">
        <v>187</v>
      </c>
      <c r="M239" s="68"/>
      <c r="N239" s="738"/>
      <c r="O239" s="735"/>
      <c r="P239" s="52" t="s">
        <v>2214</v>
      </c>
      <c r="Q239" s="52" t="s">
        <v>2214</v>
      </c>
      <c r="R239" s="737"/>
      <c r="S239" s="735"/>
      <c r="T239" s="737"/>
      <c r="U239" s="737"/>
    </row>
    <row r="240">
      <c r="A240" s="733">
        <v>44682.0</v>
      </c>
      <c r="B240" s="52" t="str">
        <f t="shared" si="1"/>
        <v>05/2022</v>
      </c>
      <c r="C240" s="52" t="str">
        <f>IF(A240="","",VLOOKUP(A240,'THAM CHIẾU'!$A:$B,2,0))</f>
        <v>#N/A</v>
      </c>
      <c r="D240" s="52" t="str">
        <f>IF(E240&lt;&gt;0,VLOOKUP(E240,DM_DUAN,3,0),"")</f>
        <v/>
      </c>
      <c r="E240" s="735"/>
      <c r="F240" s="735"/>
      <c r="G240" s="735"/>
      <c r="H240" s="735"/>
      <c r="I240" s="735"/>
      <c r="J240" s="52" t="s">
        <v>2214</v>
      </c>
      <c r="K240" s="52" t="s">
        <v>2214</v>
      </c>
      <c r="L240" s="735" t="s">
        <v>187</v>
      </c>
      <c r="M240" s="68"/>
      <c r="N240" s="738"/>
      <c r="O240" s="735"/>
      <c r="P240" s="52" t="s">
        <v>2214</v>
      </c>
      <c r="Q240" s="52" t="s">
        <v>2214</v>
      </c>
      <c r="R240" s="737"/>
      <c r="S240" s="735"/>
      <c r="T240" s="737"/>
      <c r="U240" s="737"/>
    </row>
    <row r="241">
      <c r="A241" s="733">
        <v>44682.0</v>
      </c>
      <c r="B241" s="52" t="str">
        <f t="shared" si="1"/>
        <v>05/2022</v>
      </c>
      <c r="C241" s="52" t="str">
        <f>IF(A241="","",VLOOKUP(A241,'THAM CHIẾU'!$A:$B,2,0))</f>
        <v>#N/A</v>
      </c>
      <c r="D241" s="52" t="str">
        <f>IF(E241&lt;&gt;0,VLOOKUP(E241,DM_DUAN,3,0),"")</f>
        <v/>
      </c>
      <c r="E241" s="735"/>
      <c r="F241" s="735"/>
      <c r="G241" s="735"/>
      <c r="H241" s="735"/>
      <c r="I241" s="735"/>
      <c r="J241" s="52" t="s">
        <v>2214</v>
      </c>
      <c r="K241" s="52" t="s">
        <v>2214</v>
      </c>
      <c r="L241" s="735" t="s">
        <v>187</v>
      </c>
      <c r="M241" s="68"/>
      <c r="N241" s="738"/>
      <c r="O241" s="735"/>
      <c r="P241" s="52" t="s">
        <v>2214</v>
      </c>
      <c r="Q241" s="52" t="s">
        <v>2214</v>
      </c>
      <c r="R241" s="737"/>
      <c r="S241" s="735"/>
      <c r="T241" s="737"/>
      <c r="U241" s="737"/>
    </row>
    <row r="242">
      <c r="A242" s="733">
        <v>44682.0</v>
      </c>
      <c r="B242" s="52" t="str">
        <f t="shared" si="1"/>
        <v>05/2022</v>
      </c>
      <c r="C242" s="52" t="str">
        <f>IF(A242="","",VLOOKUP(A242,'THAM CHIẾU'!$A:$B,2,0))</f>
        <v>#N/A</v>
      </c>
      <c r="D242" s="52" t="str">
        <f>IF(E242&lt;&gt;0,VLOOKUP(E242,DM_DUAN,3,0),"")</f>
        <v/>
      </c>
      <c r="E242" s="735"/>
      <c r="F242" s="735"/>
      <c r="G242" s="735"/>
      <c r="H242" s="735"/>
      <c r="I242" s="735"/>
      <c r="J242" s="52" t="s">
        <v>2214</v>
      </c>
      <c r="K242" s="52" t="s">
        <v>2214</v>
      </c>
      <c r="L242" s="735" t="s">
        <v>187</v>
      </c>
      <c r="M242" s="68"/>
      <c r="N242" s="738"/>
      <c r="O242" s="735"/>
      <c r="P242" s="52" t="s">
        <v>2214</v>
      </c>
      <c r="Q242" s="52" t="s">
        <v>2214</v>
      </c>
      <c r="R242" s="737"/>
      <c r="S242" s="735"/>
      <c r="T242" s="737"/>
      <c r="U242" s="737"/>
    </row>
    <row r="243">
      <c r="A243" s="733">
        <v>44682.0</v>
      </c>
      <c r="B243" s="52" t="str">
        <f t="shared" si="1"/>
        <v>05/2022</v>
      </c>
      <c r="C243" s="52" t="str">
        <f>IF(A243="","",VLOOKUP(A243,'THAM CHIẾU'!$A:$B,2,0))</f>
        <v>#N/A</v>
      </c>
      <c r="D243" s="52" t="str">
        <f>IF(E243&lt;&gt;0,VLOOKUP(E243,DM_DUAN,3,0),"")</f>
        <v/>
      </c>
      <c r="E243" s="735"/>
      <c r="F243" s="735"/>
      <c r="G243" s="735"/>
      <c r="H243" s="735"/>
      <c r="I243" s="735"/>
      <c r="J243" s="52" t="s">
        <v>2214</v>
      </c>
      <c r="K243" s="52" t="s">
        <v>2214</v>
      </c>
      <c r="L243" s="735" t="s">
        <v>187</v>
      </c>
      <c r="M243" s="68"/>
      <c r="N243" s="738"/>
      <c r="O243" s="735"/>
      <c r="P243" s="52" t="s">
        <v>2214</v>
      </c>
      <c r="Q243" s="52" t="s">
        <v>2214</v>
      </c>
      <c r="R243" s="737"/>
      <c r="S243" s="735"/>
      <c r="T243" s="737"/>
      <c r="U243" s="737"/>
    </row>
    <row r="244">
      <c r="A244" s="733">
        <v>44682.0</v>
      </c>
      <c r="B244" s="52" t="str">
        <f t="shared" si="1"/>
        <v>05/2022</v>
      </c>
      <c r="C244" s="52" t="str">
        <f>IF(A244="","",VLOOKUP(A244,'THAM CHIẾU'!$A:$B,2,0))</f>
        <v>#N/A</v>
      </c>
      <c r="D244" s="52" t="str">
        <f>IF(E244&lt;&gt;0,VLOOKUP(E244,DM_DUAN,3,0),"")</f>
        <v/>
      </c>
      <c r="E244" s="735"/>
      <c r="F244" s="735"/>
      <c r="G244" s="735" t="s">
        <v>207</v>
      </c>
      <c r="H244" s="735"/>
      <c r="I244" s="735"/>
      <c r="J244" s="52" t="s">
        <v>2214</v>
      </c>
      <c r="K244" s="52" t="s">
        <v>2214</v>
      </c>
      <c r="L244" s="735" t="s">
        <v>2215</v>
      </c>
      <c r="M244" s="68"/>
      <c r="N244" s="738"/>
      <c r="O244" s="735"/>
      <c r="P244" s="52" t="s">
        <v>2214</v>
      </c>
      <c r="Q244" s="52" t="s">
        <v>2214</v>
      </c>
      <c r="R244" s="737"/>
      <c r="S244" s="735"/>
      <c r="T244" s="737" t="s">
        <v>2216</v>
      </c>
      <c r="U244" s="737"/>
    </row>
    <row r="245">
      <c r="A245" s="733">
        <v>44682.0</v>
      </c>
      <c r="B245" s="52" t="str">
        <f t="shared" si="1"/>
        <v>05/2022</v>
      </c>
      <c r="C245" s="52" t="str">
        <f>IF(A245="","",VLOOKUP(A245,'THAM CHIẾU'!$A:$B,2,0))</f>
        <v>#N/A</v>
      </c>
      <c r="D245" s="52" t="str">
        <f>IF(E245&lt;&gt;0,VLOOKUP(E245,DM_DUAN,3,0),"")</f>
        <v/>
      </c>
      <c r="E245" s="735"/>
      <c r="F245" s="735"/>
      <c r="G245" s="735"/>
      <c r="H245" s="735"/>
      <c r="I245" s="735"/>
      <c r="J245" s="52" t="s">
        <v>2214</v>
      </c>
      <c r="K245" s="52" t="s">
        <v>2214</v>
      </c>
      <c r="L245" s="735" t="s">
        <v>419</v>
      </c>
      <c r="M245" s="68"/>
      <c r="N245" s="738">
        <v>166000.0</v>
      </c>
      <c r="O245" s="735"/>
      <c r="P245" s="52" t="s">
        <v>2214</v>
      </c>
      <c r="Q245" s="52" t="s">
        <v>2214</v>
      </c>
      <c r="R245" s="737"/>
      <c r="S245" s="735"/>
      <c r="T245" s="737" t="s">
        <v>2217</v>
      </c>
      <c r="U245" s="737"/>
    </row>
    <row r="246">
      <c r="A246" s="733">
        <v>44682.0</v>
      </c>
      <c r="B246" s="52" t="str">
        <f t="shared" si="1"/>
        <v>05/2022</v>
      </c>
      <c r="C246" s="52" t="str">
        <f>IF(A246="","",VLOOKUP(A246,'THAM CHIẾU'!$A:$B,2,0))</f>
        <v>#N/A</v>
      </c>
      <c r="D246" s="52" t="str">
        <f>IF(E246&lt;&gt;0,VLOOKUP(E246,DM_DUAN,3,0),"")</f>
        <v/>
      </c>
      <c r="E246" s="735"/>
      <c r="F246" s="735"/>
      <c r="G246" s="735"/>
      <c r="H246" s="735"/>
      <c r="I246" s="735"/>
      <c r="J246" s="52" t="s">
        <v>2214</v>
      </c>
      <c r="K246" s="52" t="s">
        <v>2214</v>
      </c>
      <c r="L246" s="735" t="s">
        <v>293</v>
      </c>
      <c r="M246" s="68"/>
      <c r="N246" s="736">
        <f>35000000*2+14000000</f>
        <v>84000000</v>
      </c>
      <c r="O246" s="735"/>
      <c r="P246" s="52" t="s">
        <v>2214</v>
      </c>
      <c r="Q246" s="52" t="s">
        <v>2214</v>
      </c>
      <c r="R246" s="737"/>
      <c r="S246" s="735"/>
      <c r="T246" s="744" t="s">
        <v>2249</v>
      </c>
      <c r="U246" s="737"/>
    </row>
    <row r="247">
      <c r="A247" s="733">
        <v>44682.0</v>
      </c>
      <c r="B247" s="52" t="str">
        <f t="shared" si="1"/>
        <v>05/2022</v>
      </c>
      <c r="C247" s="52" t="str">
        <f>IF(A247="","",VLOOKUP(A247,'THAM CHIẾU'!$A:$B,2,0))</f>
        <v>#N/A</v>
      </c>
      <c r="D247" s="52" t="str">
        <f>IF(E247&lt;&gt;0,VLOOKUP(E247,DM_DUAN,3,0),"")</f>
        <v/>
      </c>
      <c r="E247" s="735"/>
      <c r="F247" s="735"/>
      <c r="G247" s="735"/>
      <c r="H247" s="735"/>
      <c r="I247" s="735"/>
      <c r="J247" s="52" t="s">
        <v>2214</v>
      </c>
      <c r="K247" s="52" t="s">
        <v>2214</v>
      </c>
      <c r="L247" s="735" t="s">
        <v>1273</v>
      </c>
      <c r="M247" s="68"/>
      <c r="N247" s="736">
        <v>4800000.0</v>
      </c>
      <c r="O247" s="735"/>
      <c r="P247" s="52" t="s">
        <v>2214</v>
      </c>
      <c r="Q247" s="52" t="s">
        <v>2214</v>
      </c>
      <c r="R247" s="737"/>
      <c r="S247" s="735"/>
      <c r="T247" s="737" t="s">
        <v>1273</v>
      </c>
      <c r="U247" s="737"/>
    </row>
    <row r="248">
      <c r="A248" s="733">
        <v>44682.0</v>
      </c>
      <c r="B248" s="52" t="str">
        <f t="shared" si="1"/>
        <v>05/2022</v>
      </c>
      <c r="C248" s="52" t="str">
        <f>IF(A248="","",VLOOKUP(A248,'THAM CHIẾU'!$A:$B,2,0))</f>
        <v>#N/A</v>
      </c>
      <c r="D248" s="52" t="str">
        <f>IF(E248&lt;&gt;0,VLOOKUP(E248,DM_DUAN,3,0),"")</f>
        <v/>
      </c>
      <c r="E248" s="735"/>
      <c r="F248" s="735"/>
      <c r="G248" s="735"/>
      <c r="H248" s="735"/>
      <c r="I248" s="735"/>
      <c r="J248" s="52" t="s">
        <v>2214</v>
      </c>
      <c r="K248" s="52" t="s">
        <v>2214</v>
      </c>
      <c r="L248" s="735" t="s">
        <v>1153</v>
      </c>
      <c r="M248" s="68"/>
      <c r="N248" s="736">
        <v>0.0</v>
      </c>
      <c r="O248" s="735"/>
      <c r="P248" s="52" t="s">
        <v>2214</v>
      </c>
      <c r="Q248" s="52" t="s">
        <v>2214</v>
      </c>
      <c r="R248" s="737"/>
      <c r="S248" s="735"/>
      <c r="T248" s="737" t="s">
        <v>2219</v>
      </c>
      <c r="U248" s="737"/>
    </row>
    <row r="249">
      <c r="A249" s="733">
        <v>44682.0</v>
      </c>
      <c r="B249" s="52" t="str">
        <f t="shared" si="1"/>
        <v>05/2022</v>
      </c>
      <c r="C249" s="52" t="str">
        <f>IF(A249="","",VLOOKUP(A249,'THAM CHIẾU'!$A:$B,2,0))</f>
        <v>#N/A</v>
      </c>
      <c r="D249" s="52" t="str">
        <f>IF(E249&lt;&gt;0,VLOOKUP(E249,DM_DUAN,3,0),"")</f>
        <v/>
      </c>
      <c r="E249" s="735"/>
      <c r="F249" s="735"/>
      <c r="G249" s="735"/>
      <c r="H249" s="735"/>
      <c r="I249" s="735"/>
      <c r="J249" s="52" t="s">
        <v>2214</v>
      </c>
      <c r="K249" s="52" t="s">
        <v>2214</v>
      </c>
      <c r="L249" s="735" t="s">
        <v>2220</v>
      </c>
      <c r="M249" s="68"/>
      <c r="N249" s="738">
        <v>416000.0</v>
      </c>
      <c r="O249" s="735"/>
      <c r="P249" s="52" t="s">
        <v>2214</v>
      </c>
      <c r="Q249" s="52" t="s">
        <v>2214</v>
      </c>
      <c r="R249" s="737"/>
      <c r="S249" s="735"/>
      <c r="T249" s="737" t="s">
        <v>2221</v>
      </c>
      <c r="U249" s="737"/>
    </row>
    <row r="250">
      <c r="A250" s="733">
        <v>44682.0</v>
      </c>
      <c r="B250" s="52" t="str">
        <f t="shared" si="1"/>
        <v>05/2022</v>
      </c>
      <c r="C250" s="52" t="str">
        <f>IF(A250="","",VLOOKUP(A250,'THAM CHIẾU'!$A:$B,2,0))</f>
        <v>#N/A</v>
      </c>
      <c r="D250" s="52" t="str">
        <f>IF(E250&lt;&gt;0,VLOOKUP(E250,DM_DUAN,3,0),"")</f>
        <v/>
      </c>
      <c r="E250" s="735"/>
      <c r="F250" s="735"/>
      <c r="G250" s="735"/>
      <c r="H250" s="735"/>
      <c r="I250" s="735"/>
      <c r="J250" s="52" t="s">
        <v>2214</v>
      </c>
      <c r="K250" s="52" t="s">
        <v>2214</v>
      </c>
      <c r="L250" s="735" t="s">
        <v>262</v>
      </c>
      <c r="M250" s="68"/>
      <c r="N250" s="736">
        <v>1971810.0</v>
      </c>
      <c r="O250" s="735"/>
      <c r="P250" s="52" t="s">
        <v>2214</v>
      </c>
      <c r="Q250" s="52" t="s">
        <v>2214</v>
      </c>
      <c r="R250" s="737"/>
      <c r="S250" s="735"/>
      <c r="T250" s="737" t="s">
        <v>2222</v>
      </c>
      <c r="U250" s="737"/>
    </row>
    <row r="251">
      <c r="A251" s="733">
        <v>44682.0</v>
      </c>
      <c r="B251" s="52" t="str">
        <f t="shared" si="1"/>
        <v>05/2022</v>
      </c>
      <c r="C251" s="52" t="str">
        <f>IF(A251="","",VLOOKUP(A251,'THAM CHIẾU'!$A:$B,2,0))</f>
        <v>#N/A</v>
      </c>
      <c r="D251" s="52" t="str">
        <f>IF(E251&lt;&gt;0,VLOOKUP(E251,DM_DUAN,3,0),"")</f>
        <v/>
      </c>
      <c r="E251" s="735"/>
      <c r="F251" s="735"/>
      <c r="G251" s="735"/>
      <c r="H251" s="735"/>
      <c r="I251" s="735"/>
      <c r="J251" s="52" t="s">
        <v>2214</v>
      </c>
      <c r="K251" s="52" t="s">
        <v>2214</v>
      </c>
      <c r="L251" s="735" t="s">
        <v>2223</v>
      </c>
      <c r="M251" s="68"/>
      <c r="N251" s="738">
        <v>4166000.0</v>
      </c>
      <c r="O251" s="735"/>
      <c r="P251" s="52" t="s">
        <v>2214</v>
      </c>
      <c r="Q251" s="52" t="s">
        <v>2214</v>
      </c>
      <c r="R251" s="737"/>
      <c r="S251" s="735"/>
      <c r="T251" s="737" t="s">
        <v>2224</v>
      </c>
      <c r="U251" s="737"/>
    </row>
    <row r="252">
      <c r="A252" s="733">
        <v>44682.0</v>
      </c>
      <c r="B252" s="52" t="str">
        <f t="shared" si="1"/>
        <v>05/2022</v>
      </c>
      <c r="C252" s="52" t="str">
        <f>IF(A252="","",VLOOKUP(A252,'THAM CHIẾU'!$A:$B,2,0))</f>
        <v>#N/A</v>
      </c>
      <c r="D252" s="52" t="str">
        <f>IF(E252&lt;&gt;0,VLOOKUP(E252,DM_DUAN,3,0),"")</f>
        <v/>
      </c>
      <c r="E252" s="735"/>
      <c r="F252" s="735"/>
      <c r="G252" s="735" t="s">
        <v>176</v>
      </c>
      <c r="H252" s="735"/>
      <c r="I252" s="735"/>
      <c r="J252" s="52" t="s">
        <v>2214</v>
      </c>
      <c r="K252" s="52" t="s">
        <v>2214</v>
      </c>
      <c r="L252" s="735" t="s">
        <v>374</v>
      </c>
      <c r="M252" s="68"/>
      <c r="N252" s="736">
        <v>6600000.0</v>
      </c>
      <c r="O252" s="735"/>
      <c r="P252" s="52" t="s">
        <v>2214</v>
      </c>
      <c r="Q252" s="52" t="s">
        <v>2214</v>
      </c>
      <c r="R252" s="737"/>
      <c r="S252" s="735"/>
      <c r="T252" s="737" t="s">
        <v>2225</v>
      </c>
      <c r="U252" s="737"/>
    </row>
    <row r="253">
      <c r="A253" s="733">
        <v>44682.0</v>
      </c>
      <c r="B253" s="52" t="str">
        <f t="shared" si="1"/>
        <v>05/2022</v>
      </c>
      <c r="C253" s="52" t="str">
        <f>IF(A253="","",VLOOKUP(A253,'THAM CHIẾU'!$A:$B,2,0))</f>
        <v>#N/A</v>
      </c>
      <c r="D253" s="52" t="str">
        <f>IF(E253&lt;&gt;0,VLOOKUP(E253,DM_DUAN,3,0),"")</f>
        <v/>
      </c>
      <c r="E253" s="735"/>
      <c r="F253" s="735"/>
      <c r="G253" s="735"/>
      <c r="H253" s="735"/>
      <c r="I253" s="735"/>
      <c r="J253" s="52" t="s">
        <v>2214</v>
      </c>
      <c r="K253" s="52" t="s">
        <v>2214</v>
      </c>
      <c r="L253" s="735" t="s">
        <v>380</v>
      </c>
      <c r="M253" s="68"/>
      <c r="N253" s="738">
        <v>1666000.0</v>
      </c>
      <c r="O253" s="735"/>
      <c r="P253" s="52" t="s">
        <v>2214</v>
      </c>
      <c r="Q253" s="52" t="s">
        <v>2214</v>
      </c>
      <c r="R253" s="737"/>
      <c r="S253" s="735"/>
      <c r="T253" s="737" t="s">
        <v>2226</v>
      </c>
      <c r="U253" s="737"/>
    </row>
    <row r="254">
      <c r="A254" s="733">
        <v>44682.0</v>
      </c>
      <c r="B254" s="52" t="str">
        <f t="shared" si="1"/>
        <v>05/2022</v>
      </c>
      <c r="C254" s="52" t="str">
        <f>IF(A254="","",VLOOKUP(A254,'THAM CHIẾU'!$A:$B,2,0))</f>
        <v>#N/A</v>
      </c>
      <c r="D254" s="52" t="str">
        <f>IF(E254&lt;&gt;0,VLOOKUP(E254,DM_DUAN,3,0),"")</f>
        <v/>
      </c>
      <c r="E254" s="735"/>
      <c r="F254" s="735"/>
      <c r="G254" s="735"/>
      <c r="H254" s="735"/>
      <c r="I254" s="735"/>
      <c r="J254" s="52" t="s">
        <v>2214</v>
      </c>
      <c r="K254" s="52" t="s">
        <v>2214</v>
      </c>
      <c r="L254" s="735" t="s">
        <v>272</v>
      </c>
      <c r="M254" s="68"/>
      <c r="N254" s="738">
        <v>6666000.0</v>
      </c>
      <c r="O254" s="735"/>
      <c r="P254" s="52" t="s">
        <v>2214</v>
      </c>
      <c r="Q254" s="52" t="s">
        <v>2214</v>
      </c>
      <c r="R254" s="737"/>
      <c r="S254" s="735"/>
      <c r="T254" s="737" t="s">
        <v>2227</v>
      </c>
      <c r="U254" s="737"/>
    </row>
    <row r="255">
      <c r="A255" s="733">
        <v>44682.0</v>
      </c>
      <c r="B255" s="52" t="str">
        <f t="shared" si="1"/>
        <v>05/2022</v>
      </c>
      <c r="C255" s="52" t="str">
        <f>IF(A255="","",VLOOKUP(A255,'THAM CHIẾU'!$A:$B,2,0))</f>
        <v>#N/A</v>
      </c>
      <c r="D255" s="52" t="str">
        <f>IF(E255&lt;&gt;0,VLOOKUP(E255,DM_DUAN,3,0),"")</f>
        <v/>
      </c>
      <c r="E255" s="735"/>
      <c r="F255" s="735"/>
      <c r="G255" s="735"/>
      <c r="H255" s="735"/>
      <c r="I255" s="735"/>
      <c r="J255" s="52" t="s">
        <v>2214</v>
      </c>
      <c r="K255" s="52" t="s">
        <v>2214</v>
      </c>
      <c r="L255" s="735" t="s">
        <v>380</v>
      </c>
      <c r="M255" s="68"/>
      <c r="N255" s="738">
        <v>833000.0</v>
      </c>
      <c r="O255" s="735"/>
      <c r="P255" s="52" t="s">
        <v>2214</v>
      </c>
      <c r="Q255" s="52" t="s">
        <v>2214</v>
      </c>
      <c r="R255" s="737"/>
      <c r="S255" s="735"/>
      <c r="T255" s="737" t="s">
        <v>2228</v>
      </c>
      <c r="U255" s="737"/>
    </row>
    <row r="256">
      <c r="A256" s="733">
        <v>44682.0</v>
      </c>
      <c r="B256" s="52" t="str">
        <f t="shared" si="1"/>
        <v>05/2022</v>
      </c>
      <c r="C256" s="52" t="str">
        <f>IF(A256="","",VLOOKUP(A256,'THAM CHIẾU'!$A:$B,2,0))</f>
        <v>#N/A</v>
      </c>
      <c r="D256" s="52" t="str">
        <f>IF(E256&lt;&gt;0,VLOOKUP(E256,DM_DUAN,3,0),"")</f>
        <v/>
      </c>
      <c r="E256" s="735"/>
      <c r="F256" s="735"/>
      <c r="G256" s="735"/>
      <c r="H256" s="735"/>
      <c r="I256" s="735"/>
      <c r="J256" s="52" t="s">
        <v>2214</v>
      </c>
      <c r="K256" s="52" t="s">
        <v>2214</v>
      </c>
      <c r="L256" s="735" t="s">
        <v>222</v>
      </c>
      <c r="M256" s="68"/>
      <c r="N256" s="738">
        <f>150000+300000+200000</f>
        <v>650000</v>
      </c>
      <c r="O256" s="735"/>
      <c r="P256" s="52" t="s">
        <v>2214</v>
      </c>
      <c r="Q256" s="52" t="s">
        <v>2214</v>
      </c>
      <c r="R256" s="737"/>
      <c r="S256" s="735"/>
      <c r="T256" s="737" t="s">
        <v>2229</v>
      </c>
      <c r="U256" s="737"/>
    </row>
    <row r="257">
      <c r="A257" s="733">
        <v>44682.0</v>
      </c>
      <c r="B257" s="52" t="str">
        <f t="shared" si="1"/>
        <v>05/2022</v>
      </c>
      <c r="C257" s="52" t="str">
        <f>IF(A257="","",VLOOKUP(A257,'THAM CHIẾU'!$A:$B,2,0))</f>
        <v>#N/A</v>
      </c>
      <c r="D257" s="52" t="str">
        <f>IF(E257&lt;&gt;0,VLOOKUP(E257,DM_DUAN,3,0),"")</f>
        <v/>
      </c>
      <c r="E257" s="735"/>
      <c r="F257" s="735"/>
      <c r="G257" s="735"/>
      <c r="H257" s="735"/>
      <c r="I257" s="735"/>
      <c r="J257" s="52" t="s">
        <v>2214</v>
      </c>
      <c r="K257" s="52" t="s">
        <v>2214</v>
      </c>
      <c r="L257" s="735" t="s">
        <v>267</v>
      </c>
      <c r="M257" s="68"/>
      <c r="N257" s="738">
        <f>23000000+86745000</f>
        <v>109745000</v>
      </c>
      <c r="O257" s="735"/>
      <c r="P257" s="52" t="s">
        <v>2214</v>
      </c>
      <c r="Q257" s="52" t="s">
        <v>2214</v>
      </c>
      <c r="R257" s="737"/>
      <c r="S257" s="735"/>
      <c r="T257" s="737" t="s">
        <v>2230</v>
      </c>
      <c r="U257" s="737"/>
    </row>
    <row r="258">
      <c r="A258" s="733">
        <v>44682.0</v>
      </c>
      <c r="B258" s="52" t="str">
        <f t="shared" si="1"/>
        <v>05/2022</v>
      </c>
      <c r="C258" s="52" t="str">
        <f>IF(A258="","",VLOOKUP(A258,'THAM CHIẾU'!$A:$B,2,0))</f>
        <v>#N/A</v>
      </c>
      <c r="D258" s="52" t="str">
        <f>IF(E258&lt;&gt;0,VLOOKUP(E258,DM_DUAN,3,0),"")</f>
        <v/>
      </c>
      <c r="E258" s="735"/>
      <c r="F258" s="735"/>
      <c r="G258" s="735"/>
      <c r="H258" s="735"/>
      <c r="I258" s="735"/>
      <c r="J258" s="52" t="s">
        <v>2214</v>
      </c>
      <c r="K258" s="52" t="s">
        <v>2214</v>
      </c>
      <c r="L258" s="735" t="s">
        <v>270</v>
      </c>
      <c r="M258" s="68"/>
      <c r="N258" s="738">
        <f>42000000+4666666+2000000</f>
        <v>48666666</v>
      </c>
      <c r="O258" s="735"/>
      <c r="P258" s="52" t="s">
        <v>2214</v>
      </c>
      <c r="Q258" s="52" t="s">
        <v>2214</v>
      </c>
      <c r="R258" s="737"/>
      <c r="S258" s="735"/>
      <c r="T258" s="737" t="s">
        <v>2231</v>
      </c>
      <c r="U258" s="737"/>
    </row>
    <row r="259">
      <c r="A259" s="733">
        <v>44682.0</v>
      </c>
      <c r="B259" s="52" t="str">
        <f t="shared" si="1"/>
        <v>05/2022</v>
      </c>
      <c r="C259" s="52" t="str">
        <f>IF(A259="","",VLOOKUP(A259,'THAM CHIẾU'!$A:$B,2,0))</f>
        <v>#N/A</v>
      </c>
      <c r="D259" s="52" t="str">
        <f>IF(E259&lt;&gt;0,VLOOKUP(E259,DM_DUAN,3,0),"")</f>
        <v/>
      </c>
      <c r="E259" s="735"/>
      <c r="F259" s="735"/>
      <c r="G259" s="735"/>
      <c r="H259" s="735"/>
      <c r="I259" s="735"/>
      <c r="J259" s="52" t="s">
        <v>2214</v>
      </c>
      <c r="K259" s="52" t="s">
        <v>2214</v>
      </c>
      <c r="L259" s="735" t="s">
        <v>410</v>
      </c>
      <c r="M259" s="68"/>
      <c r="N259" s="738">
        <v>1250000.0</v>
      </c>
      <c r="O259" s="735"/>
      <c r="P259" s="52" t="s">
        <v>2214</v>
      </c>
      <c r="Q259" s="52" t="s">
        <v>2214</v>
      </c>
      <c r="R259" s="737"/>
      <c r="S259" s="735"/>
      <c r="T259" s="737" t="s">
        <v>410</v>
      </c>
      <c r="U259" s="737"/>
    </row>
    <row r="260">
      <c r="A260" s="733">
        <v>44682.0</v>
      </c>
      <c r="B260" s="52" t="str">
        <f t="shared" si="1"/>
        <v>05/2022</v>
      </c>
      <c r="C260" s="52" t="str">
        <f>IF(A260="","",VLOOKUP(A260,'THAM CHIẾU'!$A:$B,2,0))</f>
        <v>#N/A</v>
      </c>
      <c r="D260" s="52" t="str">
        <f>IF(E260&lt;&gt;0,VLOOKUP(E260,DM_DUAN,3,0),"")</f>
        <v/>
      </c>
      <c r="E260" s="735"/>
      <c r="F260" s="735"/>
      <c r="G260" s="735"/>
      <c r="H260" s="735"/>
      <c r="I260" s="735"/>
      <c r="J260" s="52" t="s">
        <v>2214</v>
      </c>
      <c r="K260" s="52" t="s">
        <v>2214</v>
      </c>
      <c r="L260" s="735" t="s">
        <v>252</v>
      </c>
      <c r="M260" s="68"/>
      <c r="N260" s="736">
        <v>2000000.0</v>
      </c>
      <c r="O260" s="735"/>
      <c r="P260" s="52" t="s">
        <v>2214</v>
      </c>
      <c r="Q260" s="52" t="s">
        <v>2214</v>
      </c>
      <c r="R260" s="737"/>
      <c r="S260" s="735"/>
      <c r="T260" s="737" t="s">
        <v>2232</v>
      </c>
      <c r="U260" s="737"/>
    </row>
    <row r="261">
      <c r="A261" s="733">
        <v>44682.0</v>
      </c>
      <c r="B261" s="52" t="str">
        <f t="shared" si="1"/>
        <v>05/2022</v>
      </c>
      <c r="C261" s="52" t="str">
        <f>IF(A261="","",VLOOKUP(A261,'THAM CHIẾU'!$A:$B,2,0))</f>
        <v>#N/A</v>
      </c>
      <c r="D261" s="52" t="str">
        <f>IF(E261&lt;&gt;0,VLOOKUP(E261,DM_DUAN,3,0),"")</f>
        <v/>
      </c>
      <c r="E261" s="735"/>
      <c r="F261" s="735"/>
      <c r="G261" s="735"/>
      <c r="H261" s="735"/>
      <c r="I261" s="735"/>
      <c r="J261" s="52" t="s">
        <v>2214</v>
      </c>
      <c r="K261" s="52" t="s">
        <v>2214</v>
      </c>
      <c r="L261" s="735" t="s">
        <v>380</v>
      </c>
      <c r="M261" s="68"/>
      <c r="N261" s="738">
        <v>1666000.0</v>
      </c>
      <c r="O261" s="735"/>
      <c r="P261" s="52" t="s">
        <v>2214</v>
      </c>
      <c r="Q261" s="52" t="s">
        <v>2214</v>
      </c>
      <c r="R261" s="737"/>
      <c r="S261" s="735"/>
      <c r="T261" s="737" t="s">
        <v>2233</v>
      </c>
      <c r="U261" s="737"/>
    </row>
    <row r="262">
      <c r="A262" s="733">
        <v>44682.0</v>
      </c>
      <c r="B262" s="52" t="str">
        <f t="shared" si="1"/>
        <v>05/2022</v>
      </c>
      <c r="C262" s="52" t="str">
        <f>IF(A262="","",VLOOKUP(A262,'THAM CHIẾU'!$A:$B,2,0))</f>
        <v>#N/A</v>
      </c>
      <c r="D262" s="52" t="str">
        <f>IF(E262&lt;&gt;0,VLOOKUP(E262,DM_DUAN,3,0),"")</f>
        <v/>
      </c>
      <c r="E262" s="735"/>
      <c r="F262" s="735"/>
      <c r="G262" s="735"/>
      <c r="H262" s="735"/>
      <c r="I262" s="735"/>
      <c r="J262" s="52" t="s">
        <v>2214</v>
      </c>
      <c r="K262" s="52" t="s">
        <v>2214</v>
      </c>
      <c r="L262" s="735" t="s">
        <v>206</v>
      </c>
      <c r="M262" s="68"/>
      <c r="N262" s="738">
        <f>880000+200000</f>
        <v>1080000</v>
      </c>
      <c r="O262" s="735"/>
      <c r="P262" s="52" t="s">
        <v>2214</v>
      </c>
      <c r="Q262" s="52" t="s">
        <v>2214</v>
      </c>
      <c r="R262" s="737"/>
      <c r="S262" s="735"/>
      <c r="T262" s="737" t="s">
        <v>206</v>
      </c>
      <c r="U262" s="737"/>
    </row>
    <row r="263">
      <c r="A263" s="733">
        <v>44682.0</v>
      </c>
      <c r="B263" s="52" t="str">
        <f t="shared" si="1"/>
        <v>05/2022</v>
      </c>
      <c r="C263" s="52" t="str">
        <f>IF(A263="","",VLOOKUP(A263,'THAM CHIẾU'!$A:$B,2,0))</f>
        <v>#N/A</v>
      </c>
      <c r="D263" s="52" t="str">
        <f>IF(E263&lt;&gt;0,VLOOKUP(E263,DM_DUAN,3,0),"")</f>
        <v/>
      </c>
      <c r="E263" s="735"/>
      <c r="F263" s="735"/>
      <c r="G263" s="735"/>
      <c r="H263" s="735"/>
      <c r="I263" s="735"/>
      <c r="J263" s="52" t="s">
        <v>2214</v>
      </c>
      <c r="K263" s="52" t="s">
        <v>2214</v>
      </c>
      <c r="L263" s="735" t="s">
        <v>226</v>
      </c>
      <c r="M263" s="68"/>
      <c r="N263" s="738">
        <v>1250000.0</v>
      </c>
      <c r="O263" s="735"/>
      <c r="P263" s="52" t="s">
        <v>2214</v>
      </c>
      <c r="Q263" s="52" t="s">
        <v>2214</v>
      </c>
      <c r="R263" s="737"/>
      <c r="S263" s="735"/>
      <c r="T263" s="737" t="s">
        <v>2234</v>
      </c>
      <c r="U263" s="737"/>
    </row>
    <row r="264">
      <c r="A264" s="733">
        <v>44682.0</v>
      </c>
      <c r="B264" s="52" t="str">
        <f t="shared" si="1"/>
        <v>05/2022</v>
      </c>
      <c r="C264" s="52" t="str">
        <f>IF(A264="","",VLOOKUP(A264,'THAM CHIẾU'!$A:$B,2,0))</f>
        <v>#N/A</v>
      </c>
      <c r="D264" s="52" t="str">
        <f>IF(E264&lt;&gt;0,VLOOKUP(E264,DM_DUAN,3,0),"")</f>
        <v/>
      </c>
      <c r="E264" s="735"/>
      <c r="F264" s="735"/>
      <c r="G264" s="735"/>
      <c r="H264" s="735"/>
      <c r="I264" s="735"/>
      <c r="J264" s="52" t="s">
        <v>2214</v>
      </c>
      <c r="K264" s="52" t="s">
        <v>2214</v>
      </c>
      <c r="L264" s="735" t="s">
        <v>174</v>
      </c>
      <c r="M264" s="68"/>
      <c r="N264" s="736">
        <f>5200000*20</f>
        <v>104000000</v>
      </c>
      <c r="O264" s="735"/>
      <c r="P264" s="52" t="s">
        <v>2214</v>
      </c>
      <c r="Q264" s="52" t="s">
        <v>2214</v>
      </c>
      <c r="R264" s="737"/>
      <c r="S264" s="735"/>
      <c r="T264" s="737" t="s">
        <v>2235</v>
      </c>
      <c r="U264" s="737"/>
    </row>
    <row r="265">
      <c r="A265" s="733">
        <v>44682.0</v>
      </c>
      <c r="B265" s="52" t="str">
        <f t="shared" si="1"/>
        <v>05/2022</v>
      </c>
      <c r="C265" s="52" t="str">
        <f>IF(A265="","",VLOOKUP(A265,'THAM CHIẾU'!$A:$B,2,0))</f>
        <v>#N/A</v>
      </c>
      <c r="D265" s="52" t="str">
        <f>IF(E265&lt;&gt;0,VLOOKUP(E265,DM_DUAN,3,0),"")</f>
        <v/>
      </c>
      <c r="E265" s="735"/>
      <c r="F265" s="735"/>
      <c r="G265" s="735"/>
      <c r="H265" s="735"/>
      <c r="I265" s="735"/>
      <c r="J265" s="52" t="s">
        <v>2214</v>
      </c>
      <c r="K265" s="52" t="s">
        <v>2214</v>
      </c>
      <c r="L265" s="735" t="s">
        <v>2236</v>
      </c>
      <c r="M265" s="68"/>
      <c r="N265" s="738">
        <v>1666000.0</v>
      </c>
      <c r="O265" s="735"/>
      <c r="P265" s="52" t="s">
        <v>2214</v>
      </c>
      <c r="Q265" s="52" t="s">
        <v>2214</v>
      </c>
      <c r="R265" s="737"/>
      <c r="S265" s="735"/>
      <c r="T265" s="737" t="s">
        <v>2237</v>
      </c>
      <c r="U265" s="737"/>
    </row>
    <row r="266">
      <c r="A266" s="733">
        <v>44682.0</v>
      </c>
      <c r="B266" s="52" t="str">
        <f t="shared" si="1"/>
        <v>05/2022</v>
      </c>
      <c r="C266" s="52" t="str">
        <f>IF(A266="","",VLOOKUP(A266,'THAM CHIẾU'!$A:$B,2,0))</f>
        <v>#N/A</v>
      </c>
      <c r="D266" s="52" t="str">
        <f>IF(E266&lt;&gt;0,VLOOKUP(E266,DM_DUAN,3,0),"")</f>
        <v/>
      </c>
      <c r="E266" s="735"/>
      <c r="F266" s="735"/>
      <c r="G266" s="735"/>
      <c r="H266" s="735"/>
      <c r="I266" s="735"/>
      <c r="J266" s="52" t="s">
        <v>2214</v>
      </c>
      <c r="K266" s="52" t="s">
        <v>2214</v>
      </c>
      <c r="L266" s="740" t="s">
        <v>169</v>
      </c>
      <c r="M266" s="68"/>
      <c r="N266" s="738">
        <f>(10000000+20000000+13600000+8000000)*10%</f>
        <v>5160000</v>
      </c>
      <c r="O266" s="735"/>
      <c r="P266" s="52" t="s">
        <v>2214</v>
      </c>
      <c r="Q266" s="52" t="s">
        <v>2214</v>
      </c>
      <c r="R266" s="737"/>
      <c r="S266" s="735"/>
      <c r="T266" s="744" t="s">
        <v>2250</v>
      </c>
      <c r="U266" s="737"/>
    </row>
    <row r="267">
      <c r="A267" s="733">
        <v>44682.0</v>
      </c>
      <c r="B267" s="52" t="str">
        <f t="shared" si="1"/>
        <v>05/2022</v>
      </c>
      <c r="C267" s="52" t="str">
        <f>IF(A267="","",VLOOKUP(A267,'THAM CHIẾU'!$A:$B,2,0))</f>
        <v>#N/A</v>
      </c>
      <c r="D267" s="52" t="str">
        <f>IF(E267&lt;&gt;0,VLOOKUP(E267,DM_DUAN,3,0),"")</f>
        <v/>
      </c>
      <c r="E267" s="735"/>
      <c r="F267" s="735"/>
      <c r="G267" s="735"/>
      <c r="H267" s="735"/>
      <c r="I267" s="735"/>
      <c r="J267" s="52" t="s">
        <v>2214</v>
      </c>
      <c r="K267" s="52" t="s">
        <v>2214</v>
      </c>
      <c r="L267" s="735" t="s">
        <v>169</v>
      </c>
      <c r="M267" s="68"/>
      <c r="N267" s="738">
        <f>10000000+20000000+13600000+8000000</f>
        <v>51600000</v>
      </c>
      <c r="O267" s="735"/>
      <c r="P267" s="52" t="s">
        <v>2214</v>
      </c>
      <c r="Q267" s="52" t="s">
        <v>2214</v>
      </c>
      <c r="R267" s="737"/>
      <c r="S267" s="735"/>
      <c r="T267" s="737" t="s">
        <v>2240</v>
      </c>
      <c r="U267" s="737"/>
    </row>
    <row r="268">
      <c r="A268" s="733">
        <v>44682.0</v>
      </c>
      <c r="B268" s="52" t="str">
        <f t="shared" si="1"/>
        <v>05/2022</v>
      </c>
      <c r="C268" s="52" t="str">
        <f>IF(A268="","",VLOOKUP(A268,'THAM CHIẾU'!$A:$B,2,0))</f>
        <v>#N/A</v>
      </c>
      <c r="D268" s="52" t="str">
        <f>IF(E268&lt;&gt;0,VLOOKUP(E268,DM_DUAN,3,0),"")</f>
        <v/>
      </c>
      <c r="E268" s="735"/>
      <c r="F268" s="735"/>
      <c r="G268" s="735"/>
      <c r="H268" s="735"/>
      <c r="I268" s="735"/>
      <c r="J268" s="52" t="s">
        <v>2214</v>
      </c>
      <c r="K268" s="52" t="s">
        <v>2214</v>
      </c>
      <c r="L268" s="735" t="s">
        <v>190</v>
      </c>
      <c r="M268" s="68"/>
      <c r="N268" s="736">
        <v>5.2305612E8</v>
      </c>
      <c r="O268" s="735"/>
      <c r="P268" s="52" t="s">
        <v>2214</v>
      </c>
      <c r="Q268" s="52" t="s">
        <v>2214</v>
      </c>
      <c r="R268" s="737"/>
      <c r="S268" s="735"/>
      <c r="T268" s="737" t="s">
        <v>2241</v>
      </c>
      <c r="U268" s="737"/>
    </row>
    <row r="269">
      <c r="A269" s="733">
        <v>44682.0</v>
      </c>
      <c r="B269" s="52" t="str">
        <f t="shared" si="1"/>
        <v>05/2022</v>
      </c>
      <c r="C269" s="52" t="str">
        <f>IF(A269="","",VLOOKUP(A269,'THAM CHIẾU'!$A:$B,2,0))</f>
        <v>#N/A</v>
      </c>
      <c r="D269" s="52" t="str">
        <f>IF(E269&lt;&gt;0,VLOOKUP(E269,DM_DUAN,3,0),"")</f>
        <v/>
      </c>
      <c r="E269" s="735"/>
      <c r="F269" s="735"/>
      <c r="G269" s="735"/>
      <c r="H269" s="735"/>
      <c r="I269" s="735"/>
      <c r="J269" s="52" t="s">
        <v>2214</v>
      </c>
      <c r="K269" s="52" t="s">
        <v>2214</v>
      </c>
      <c r="L269" s="735" t="s">
        <v>194</v>
      </c>
      <c r="M269" s="68"/>
      <c r="N269" s="736">
        <v>4.7940816E7</v>
      </c>
      <c r="O269" s="735"/>
      <c r="P269" s="52" t="s">
        <v>2214</v>
      </c>
      <c r="Q269" s="52" t="s">
        <v>2214</v>
      </c>
      <c r="R269" s="737"/>
      <c r="S269" s="735"/>
      <c r="T269" s="737" t="s">
        <v>2242</v>
      </c>
      <c r="U269" s="737"/>
    </row>
    <row r="270">
      <c r="A270" s="733">
        <v>44682.0</v>
      </c>
      <c r="B270" s="52" t="str">
        <f t="shared" si="1"/>
        <v>05/2022</v>
      </c>
      <c r="C270" s="52" t="str">
        <f>IF(A270="","",VLOOKUP(A270,'THAM CHIẾU'!$A:$B,2,0))</f>
        <v>#N/A</v>
      </c>
      <c r="D270" s="52" t="str">
        <f>IF(E270&lt;&gt;0,VLOOKUP(E270,DM_DUAN,3,0),"")</f>
        <v/>
      </c>
      <c r="E270" s="735"/>
      <c r="F270" s="735"/>
      <c r="G270" s="735"/>
      <c r="H270" s="735"/>
      <c r="I270" s="735"/>
      <c r="J270" s="52" t="s">
        <v>2214</v>
      </c>
      <c r="K270" s="52" t="s">
        <v>2214</v>
      </c>
      <c r="L270" s="735" t="s">
        <v>1170</v>
      </c>
      <c r="M270" s="68"/>
      <c r="N270" s="738"/>
      <c r="O270" s="735"/>
      <c r="P270" s="52" t="s">
        <v>2214</v>
      </c>
      <c r="Q270" s="52" t="s">
        <v>2214</v>
      </c>
      <c r="R270" s="737"/>
      <c r="S270" s="735"/>
      <c r="T270" s="737" t="s">
        <v>1474</v>
      </c>
      <c r="U270" s="737"/>
    </row>
    <row r="271">
      <c r="A271" s="733">
        <v>44682.0</v>
      </c>
      <c r="B271" s="52" t="str">
        <f t="shared" si="1"/>
        <v>05/2022</v>
      </c>
      <c r="C271" s="52" t="str">
        <f>IF(A271="","",VLOOKUP(A271,'THAM CHIẾU'!$A:$B,2,0))</f>
        <v>#N/A</v>
      </c>
      <c r="D271" s="52" t="str">
        <f>IF(E271&lt;&gt;0,VLOOKUP(E271,DM_DUAN,3,0),"")</f>
        <v/>
      </c>
      <c r="E271" s="735"/>
      <c r="F271" s="735"/>
      <c r="G271" s="735"/>
      <c r="H271" s="735"/>
      <c r="I271" s="735"/>
      <c r="J271" s="52" t="s">
        <v>2214</v>
      </c>
      <c r="K271" s="52" t="s">
        <v>2214</v>
      </c>
      <c r="L271" s="735" t="s">
        <v>1142</v>
      </c>
      <c r="M271" s="68"/>
      <c r="N271" s="736">
        <v>1000000.0</v>
      </c>
      <c r="O271" s="735"/>
      <c r="P271" s="52" t="s">
        <v>2214</v>
      </c>
      <c r="Q271" s="52" t="s">
        <v>2214</v>
      </c>
      <c r="R271" s="737"/>
      <c r="S271" s="735"/>
      <c r="T271" s="737" t="s">
        <v>2244</v>
      </c>
      <c r="U271" s="737"/>
    </row>
    <row r="272">
      <c r="A272" s="733">
        <v>44682.0</v>
      </c>
      <c r="B272" s="52" t="str">
        <f t="shared" si="1"/>
        <v>05/2022</v>
      </c>
      <c r="C272" s="52" t="str">
        <f>IF(A272="","",VLOOKUP(A272,'THAM CHIẾU'!$A:$B,2,0))</f>
        <v>#N/A</v>
      </c>
      <c r="D272" s="52" t="str">
        <f>IF(E272&lt;&gt;0,VLOOKUP(E272,DM_DUAN,3,0),"")</f>
        <v/>
      </c>
      <c r="E272" s="735"/>
      <c r="F272" s="735"/>
      <c r="G272" s="735"/>
      <c r="H272" s="735"/>
      <c r="I272" s="735"/>
      <c r="J272" s="52" t="s">
        <v>2214</v>
      </c>
      <c r="K272" s="52" t="s">
        <v>2214</v>
      </c>
      <c r="L272" s="735" t="s">
        <v>181</v>
      </c>
      <c r="M272" s="68"/>
      <c r="N272" s="736">
        <v>5.0E7</v>
      </c>
      <c r="O272" s="735"/>
      <c r="P272" s="52" t="s">
        <v>2214</v>
      </c>
      <c r="Q272" s="52" t="s">
        <v>2214</v>
      </c>
      <c r="R272" s="737"/>
      <c r="S272" s="735"/>
      <c r="T272" s="737" t="s">
        <v>2245</v>
      </c>
      <c r="U272" s="737"/>
    </row>
    <row r="273">
      <c r="A273" s="733">
        <v>44682.0</v>
      </c>
      <c r="B273" s="52" t="str">
        <f t="shared" si="1"/>
        <v>05/2022</v>
      </c>
      <c r="C273" s="52" t="str">
        <f>IF(A273="","",VLOOKUP(A273,'THAM CHIẾU'!$A:$B,2,0))</f>
        <v>#N/A</v>
      </c>
      <c r="D273" s="52" t="str">
        <f>IF(E273&lt;&gt;0,VLOOKUP(E273,DM_DUAN,3,0),"")</f>
        <v/>
      </c>
      <c r="E273" s="735"/>
      <c r="F273" s="735"/>
      <c r="G273" s="735"/>
      <c r="H273" s="735"/>
      <c r="I273" s="735"/>
      <c r="J273" s="52" t="s">
        <v>2214</v>
      </c>
      <c r="K273" s="52" t="s">
        <v>2214</v>
      </c>
      <c r="L273" s="740" t="s">
        <v>2251</v>
      </c>
      <c r="M273" s="83"/>
      <c r="N273" s="738">
        <f>3885000+6000000</f>
        <v>9885000</v>
      </c>
      <c r="O273" s="735"/>
      <c r="P273" s="52" t="s">
        <v>2214</v>
      </c>
      <c r="Q273" s="52" t="s">
        <v>2214</v>
      </c>
      <c r="R273" s="737"/>
      <c r="S273" s="735"/>
      <c r="T273" s="744" t="s">
        <v>2252</v>
      </c>
      <c r="U273" s="737"/>
    </row>
    <row r="274">
      <c r="A274" s="733"/>
      <c r="B274" s="52" t="str">
        <f t="shared" si="1"/>
        <v/>
      </c>
      <c r="C274" s="52" t="str">
        <f>IF(A274="","",VLOOKUP(A274,'THAM CHIẾU'!$A:$B,2,0))</f>
        <v/>
      </c>
      <c r="D274" s="52" t="str">
        <f>IF(E274&lt;&gt;0,VLOOKUP(E274,DM_DUAN,3,0),"")</f>
        <v/>
      </c>
      <c r="E274" s="735"/>
      <c r="F274" s="735"/>
      <c r="G274" s="735"/>
      <c r="H274" s="735"/>
      <c r="I274" s="735"/>
      <c r="J274" s="52" t="s">
        <v>2214</v>
      </c>
      <c r="K274" s="52" t="s">
        <v>2214</v>
      </c>
      <c r="L274" s="735"/>
      <c r="M274" s="68"/>
      <c r="N274" s="738">
        <v>0.0</v>
      </c>
      <c r="O274" s="735"/>
      <c r="P274" s="52" t="s">
        <v>2214</v>
      </c>
      <c r="Q274" s="52" t="s">
        <v>2214</v>
      </c>
      <c r="R274" s="737"/>
      <c r="S274" s="735"/>
      <c r="T274" s="737"/>
      <c r="U274" s="737"/>
    </row>
    <row r="275">
      <c r="A275" s="733">
        <v>44713.0</v>
      </c>
      <c r="B275" s="52" t="str">
        <f t="shared" si="1"/>
        <v>06/2022</v>
      </c>
      <c r="C275" s="52" t="str">
        <f>IF(A275="","",VLOOKUP(A275,'THAM CHIẾU'!$A:$B,2,0))</f>
        <v>#N/A</v>
      </c>
      <c r="D275" s="52" t="str">
        <f>IF(E275&lt;&gt;0,VLOOKUP(E275,DM_DUAN,3,0),"")</f>
        <v/>
      </c>
      <c r="E275" s="735"/>
      <c r="F275" s="735"/>
      <c r="G275" s="735"/>
      <c r="H275" s="735"/>
      <c r="I275" s="735"/>
      <c r="J275" s="52" t="s">
        <v>2214</v>
      </c>
      <c r="K275" s="52" t="s">
        <v>2214</v>
      </c>
      <c r="L275" s="735" t="s">
        <v>198</v>
      </c>
      <c r="M275" s="68"/>
      <c r="N275" s="738">
        <v>1.3333333E10</v>
      </c>
      <c r="O275" s="735"/>
      <c r="P275" s="52" t="s">
        <v>2214</v>
      </c>
      <c r="Q275" s="52" t="s">
        <v>2214</v>
      </c>
      <c r="R275" s="737"/>
      <c r="S275" s="735"/>
      <c r="T275" s="737"/>
      <c r="U275" s="737"/>
    </row>
    <row r="276">
      <c r="A276" s="733">
        <v>44713.0</v>
      </c>
      <c r="B276" s="52" t="str">
        <f t="shared" si="1"/>
        <v>06/2022</v>
      </c>
      <c r="C276" s="52" t="str">
        <f>IF(A276="","",VLOOKUP(A276,'THAM CHIẾU'!$A:$B,2,0))</f>
        <v>#N/A</v>
      </c>
      <c r="D276" s="52" t="str">
        <f>IF(E276&lt;&gt;0,VLOOKUP(E276,DM_DUAN,3,0),"")</f>
        <v/>
      </c>
      <c r="E276" s="735"/>
      <c r="F276" s="735"/>
      <c r="G276" s="735"/>
      <c r="H276" s="735"/>
      <c r="I276" s="735"/>
      <c r="J276" s="52" t="s">
        <v>2214</v>
      </c>
      <c r="K276" s="52" t="s">
        <v>2214</v>
      </c>
      <c r="L276" s="735" t="s">
        <v>198</v>
      </c>
      <c r="M276" s="68"/>
      <c r="N276" s="738">
        <v>4.0E10</v>
      </c>
      <c r="O276" s="735"/>
      <c r="P276" s="52" t="s">
        <v>2214</v>
      </c>
      <c r="Q276" s="52" t="s">
        <v>2214</v>
      </c>
      <c r="R276" s="737"/>
      <c r="S276" s="735"/>
      <c r="T276" s="737"/>
      <c r="U276" s="737"/>
    </row>
    <row r="277">
      <c r="A277" s="733">
        <v>44713.0</v>
      </c>
      <c r="B277" s="52" t="str">
        <f t="shared" si="1"/>
        <v>06/2022</v>
      </c>
      <c r="C277" s="52" t="str">
        <f>IF(A277="","",VLOOKUP(A277,'THAM CHIẾU'!$A:$B,2,0))</f>
        <v>#N/A</v>
      </c>
      <c r="D277" s="52" t="str">
        <f>IF(E277&lt;&gt;0,VLOOKUP(E277,DM_DUAN,3,0),"")</f>
        <v/>
      </c>
      <c r="E277" s="735"/>
      <c r="F277" s="735"/>
      <c r="G277" s="735"/>
      <c r="H277" s="735"/>
      <c r="I277" s="735"/>
      <c r="J277" s="52" t="s">
        <v>2214</v>
      </c>
      <c r="K277" s="52" t="s">
        <v>2214</v>
      </c>
      <c r="L277" s="735" t="s">
        <v>198</v>
      </c>
      <c r="M277" s="68"/>
      <c r="N277" s="738">
        <v>1.3333333E10</v>
      </c>
      <c r="O277" s="735"/>
      <c r="P277" s="52" t="s">
        <v>2214</v>
      </c>
      <c r="Q277" s="52" t="s">
        <v>2214</v>
      </c>
      <c r="R277" s="737"/>
      <c r="S277" s="735"/>
      <c r="T277" s="737"/>
      <c r="U277" s="737"/>
    </row>
    <row r="278">
      <c r="A278" s="733">
        <v>44713.0</v>
      </c>
      <c r="B278" s="52" t="str">
        <f t="shared" si="1"/>
        <v>06/2022</v>
      </c>
      <c r="C278" s="52" t="str">
        <f>IF(A278="","",VLOOKUP(A278,'THAM CHIẾU'!$A:$B,2,0))</f>
        <v>#N/A</v>
      </c>
      <c r="D278" s="52" t="str">
        <f>IF(E278&lt;&gt;0,VLOOKUP(E278,DM_DUAN,3,0),"")</f>
        <v/>
      </c>
      <c r="E278" s="735"/>
      <c r="F278" s="735"/>
      <c r="G278" s="735"/>
      <c r="H278" s="735"/>
      <c r="I278" s="735"/>
      <c r="J278" s="52" t="s">
        <v>2214</v>
      </c>
      <c r="K278" s="52" t="s">
        <v>2214</v>
      </c>
      <c r="L278" s="735" t="s">
        <v>198</v>
      </c>
      <c r="M278" s="68"/>
      <c r="N278" s="738">
        <v>0.0</v>
      </c>
      <c r="O278" s="735"/>
      <c r="P278" s="52" t="s">
        <v>2214</v>
      </c>
      <c r="Q278" s="52" t="s">
        <v>2214</v>
      </c>
      <c r="R278" s="737"/>
      <c r="S278" s="735"/>
      <c r="T278" s="737"/>
      <c r="U278" s="737"/>
    </row>
    <row r="279">
      <c r="A279" s="733">
        <v>44713.0</v>
      </c>
      <c r="B279" s="52" t="str">
        <f t="shared" si="1"/>
        <v>06/2022</v>
      </c>
      <c r="C279" s="52" t="str">
        <f>IF(A279="","",VLOOKUP(A279,'THAM CHIẾU'!$A:$B,2,0))</f>
        <v>#N/A</v>
      </c>
      <c r="D279" s="52" t="str">
        <f>IF(E279&lt;&gt;0,VLOOKUP(E279,DM_DUAN,3,0),"")</f>
        <v/>
      </c>
      <c r="E279" s="735"/>
      <c r="F279" s="735"/>
      <c r="G279" s="735"/>
      <c r="H279" s="735"/>
      <c r="I279" s="735"/>
      <c r="J279" s="52" t="s">
        <v>2214</v>
      </c>
      <c r="K279" s="52" t="s">
        <v>2214</v>
      </c>
      <c r="L279" s="735" t="s">
        <v>198</v>
      </c>
      <c r="M279" s="68"/>
      <c r="N279" s="738">
        <v>6.666666E9</v>
      </c>
      <c r="O279" s="735"/>
      <c r="P279" s="52" t="s">
        <v>2214</v>
      </c>
      <c r="Q279" s="52" t="s">
        <v>2214</v>
      </c>
      <c r="R279" s="737"/>
      <c r="S279" s="735"/>
      <c r="T279" s="737"/>
      <c r="U279" s="737"/>
    </row>
    <row r="280">
      <c r="A280" s="733">
        <v>44713.0</v>
      </c>
      <c r="B280" s="52" t="str">
        <f t="shared" si="1"/>
        <v>06/2022</v>
      </c>
      <c r="C280" s="52" t="str">
        <f>IF(A280="","",VLOOKUP(A280,'THAM CHIẾU'!$A:$B,2,0))</f>
        <v>#N/A</v>
      </c>
      <c r="D280" s="52" t="str">
        <f>IF(E280&lt;&gt;0,VLOOKUP(E280,DM_DUAN,3,0),"")</f>
        <v/>
      </c>
      <c r="E280" s="735"/>
      <c r="F280" s="735"/>
      <c r="G280" s="735"/>
      <c r="H280" s="735"/>
      <c r="I280" s="735"/>
      <c r="J280" s="52" t="s">
        <v>2214</v>
      </c>
      <c r="K280" s="52" t="s">
        <v>2214</v>
      </c>
      <c r="L280" s="735" t="s">
        <v>198</v>
      </c>
      <c r="M280" s="68"/>
      <c r="N280" s="738">
        <v>6.666666E9</v>
      </c>
      <c r="O280" s="735"/>
      <c r="P280" s="52" t="s">
        <v>2214</v>
      </c>
      <c r="Q280" s="52" t="s">
        <v>2214</v>
      </c>
      <c r="R280" s="737"/>
      <c r="S280" s="735"/>
      <c r="T280" s="737"/>
      <c r="U280" s="737"/>
    </row>
    <row r="281">
      <c r="A281" s="733">
        <v>44713.0</v>
      </c>
      <c r="B281" s="52" t="str">
        <f t="shared" si="1"/>
        <v>06/2022</v>
      </c>
      <c r="C281" s="52" t="str">
        <f>IF(A281="","",VLOOKUP(A281,'THAM CHIẾU'!$A:$B,2,0))</f>
        <v>#N/A</v>
      </c>
      <c r="D281" s="52" t="str">
        <f>IF(E281&lt;&gt;0,VLOOKUP(E281,DM_DUAN,3,0),"")</f>
        <v/>
      </c>
      <c r="E281" s="735"/>
      <c r="F281" s="735"/>
      <c r="G281" s="735"/>
      <c r="H281" s="735"/>
      <c r="I281" s="735"/>
      <c r="J281" s="52" t="s">
        <v>2214</v>
      </c>
      <c r="K281" s="52" t="s">
        <v>2214</v>
      </c>
      <c r="L281" s="735" t="s">
        <v>198</v>
      </c>
      <c r="M281" s="68"/>
      <c r="N281" s="738">
        <v>1.3333333E10</v>
      </c>
      <c r="O281" s="735"/>
      <c r="P281" s="52" t="s">
        <v>2214</v>
      </c>
      <c r="Q281" s="52" t="s">
        <v>2214</v>
      </c>
      <c r="R281" s="737"/>
      <c r="S281" s="735"/>
      <c r="T281" s="737"/>
      <c r="U281" s="737"/>
    </row>
    <row r="282">
      <c r="A282" s="733">
        <v>44713.0</v>
      </c>
      <c r="B282" s="52" t="str">
        <f t="shared" si="1"/>
        <v>06/2022</v>
      </c>
      <c r="C282" s="52" t="str">
        <f>IF(A282="","",VLOOKUP(A282,'THAM CHIẾU'!$A:$B,2,0))</f>
        <v>#N/A</v>
      </c>
      <c r="D282" s="52" t="str">
        <f>IF(E282&lt;&gt;0,VLOOKUP(E282,DM_DUAN,3,0),"")</f>
        <v/>
      </c>
      <c r="E282" s="735"/>
      <c r="F282" s="735"/>
      <c r="G282" s="735"/>
      <c r="H282" s="735"/>
      <c r="I282" s="735"/>
      <c r="J282" s="52" t="s">
        <v>2214</v>
      </c>
      <c r="K282" s="52" t="s">
        <v>2214</v>
      </c>
      <c r="L282" s="735" t="s">
        <v>198</v>
      </c>
      <c r="M282" s="68"/>
      <c r="N282" s="738">
        <v>5.3333333E10</v>
      </c>
      <c r="O282" s="735"/>
      <c r="P282" s="52" t="s">
        <v>2214</v>
      </c>
      <c r="Q282" s="52" t="s">
        <v>2214</v>
      </c>
      <c r="R282" s="737"/>
      <c r="S282" s="735"/>
      <c r="T282" s="737"/>
      <c r="U282" s="737"/>
    </row>
    <row r="283">
      <c r="A283" s="733">
        <v>44713.0</v>
      </c>
      <c r="B283" s="52" t="str">
        <f t="shared" si="1"/>
        <v>06/2022</v>
      </c>
      <c r="C283" s="52" t="str">
        <f>IF(A283="","",VLOOKUP(A283,'THAM CHIẾU'!$A:$B,2,0))</f>
        <v>#N/A</v>
      </c>
      <c r="D283" s="52" t="str">
        <f>IF(E283&lt;&gt;0,VLOOKUP(E283,DM_DUAN,3,0),"")</f>
        <v/>
      </c>
      <c r="E283" s="735"/>
      <c r="F283" s="735"/>
      <c r="G283" s="735"/>
      <c r="H283" s="735"/>
      <c r="I283" s="735"/>
      <c r="J283" s="52" t="s">
        <v>2214</v>
      </c>
      <c r="K283" s="52" t="s">
        <v>2214</v>
      </c>
      <c r="L283" s="735" t="s">
        <v>198</v>
      </c>
      <c r="M283" s="68"/>
      <c r="N283" s="738">
        <v>2.6666666E10</v>
      </c>
      <c r="O283" s="735"/>
      <c r="P283" s="52" t="s">
        <v>2214</v>
      </c>
      <c r="Q283" s="52" t="s">
        <v>2214</v>
      </c>
      <c r="R283" s="737"/>
      <c r="S283" s="735"/>
      <c r="T283" s="737"/>
      <c r="U283" s="737"/>
    </row>
    <row r="284">
      <c r="A284" s="733">
        <v>44713.0</v>
      </c>
      <c r="B284" s="52" t="str">
        <f t="shared" si="1"/>
        <v>06/2022</v>
      </c>
      <c r="C284" s="52" t="str">
        <f>IF(A284="","",VLOOKUP(A284,'THAM CHIẾU'!$A:$B,2,0))</f>
        <v>#N/A</v>
      </c>
      <c r="D284" s="52" t="str">
        <f>IF(E284&lt;&gt;0,VLOOKUP(E284,DM_DUAN,3,0),"")</f>
        <v/>
      </c>
      <c r="E284" s="735"/>
      <c r="F284" s="735"/>
      <c r="G284" s="735"/>
      <c r="H284" s="735"/>
      <c r="I284" s="735"/>
      <c r="J284" s="52" t="s">
        <v>2214</v>
      </c>
      <c r="K284" s="52" t="s">
        <v>2214</v>
      </c>
      <c r="L284" s="735" t="s">
        <v>187</v>
      </c>
      <c r="M284" s="68"/>
      <c r="N284" s="738">
        <v>1.23999996E9</v>
      </c>
      <c r="O284" s="735"/>
      <c r="P284" s="52" t="s">
        <v>2214</v>
      </c>
      <c r="Q284" s="52" t="s">
        <v>2214</v>
      </c>
      <c r="R284" s="737"/>
      <c r="S284" s="735"/>
      <c r="T284" s="737"/>
      <c r="U284" s="737"/>
    </row>
    <row r="285">
      <c r="A285" s="733">
        <v>44713.0</v>
      </c>
      <c r="B285" s="52" t="str">
        <f t="shared" si="1"/>
        <v>06/2022</v>
      </c>
      <c r="C285" s="52" t="str">
        <f>IF(A285="","",VLOOKUP(A285,'THAM CHIẾU'!$A:$B,2,0))</f>
        <v>#N/A</v>
      </c>
      <c r="D285" s="52" t="str">
        <f>IF(E285&lt;&gt;0,VLOOKUP(E285,DM_DUAN,3,0),"")</f>
        <v/>
      </c>
      <c r="E285" s="735"/>
      <c r="F285" s="735"/>
      <c r="G285" s="735"/>
      <c r="H285" s="735"/>
      <c r="I285" s="735"/>
      <c r="J285" s="52" t="s">
        <v>2214</v>
      </c>
      <c r="K285" s="52" t="s">
        <v>2214</v>
      </c>
      <c r="L285" s="735" t="s">
        <v>187</v>
      </c>
      <c r="M285" s="68"/>
      <c r="N285" s="738">
        <v>4.8E9</v>
      </c>
      <c r="O285" s="735"/>
      <c r="P285" s="52" t="s">
        <v>2214</v>
      </c>
      <c r="Q285" s="52" t="s">
        <v>2214</v>
      </c>
      <c r="R285" s="737"/>
      <c r="S285" s="735"/>
      <c r="T285" s="737"/>
      <c r="U285" s="737"/>
    </row>
    <row r="286">
      <c r="A286" s="733">
        <v>44713.0</v>
      </c>
      <c r="B286" s="52" t="str">
        <f t="shared" si="1"/>
        <v>06/2022</v>
      </c>
      <c r="C286" s="52" t="str">
        <f>IF(A286="","",VLOOKUP(A286,'THAM CHIẾU'!$A:$B,2,0))</f>
        <v>#N/A</v>
      </c>
      <c r="D286" s="52" t="str">
        <f>IF(E286&lt;&gt;0,VLOOKUP(E286,DM_DUAN,3,0),"")</f>
        <v/>
      </c>
      <c r="E286" s="735"/>
      <c r="F286" s="735"/>
      <c r="G286" s="735"/>
      <c r="H286" s="735"/>
      <c r="I286" s="735"/>
      <c r="J286" s="52" t="s">
        <v>2214</v>
      </c>
      <c r="K286" s="52" t="s">
        <v>2214</v>
      </c>
      <c r="L286" s="735" t="s">
        <v>187</v>
      </c>
      <c r="M286" s="68"/>
      <c r="N286" s="738">
        <v>1.59999996E9</v>
      </c>
      <c r="O286" s="735"/>
      <c r="P286" s="52" t="s">
        <v>2214</v>
      </c>
      <c r="Q286" s="52" t="s">
        <v>2214</v>
      </c>
      <c r="R286" s="737"/>
      <c r="S286" s="735"/>
      <c r="T286" s="737"/>
      <c r="U286" s="737"/>
    </row>
    <row r="287">
      <c r="A287" s="733">
        <v>44713.0</v>
      </c>
      <c r="B287" s="52" t="str">
        <f t="shared" si="1"/>
        <v>06/2022</v>
      </c>
      <c r="C287" s="52" t="str">
        <f>IF(A287="","",VLOOKUP(A287,'THAM CHIẾU'!$A:$B,2,0))</f>
        <v>#N/A</v>
      </c>
      <c r="D287" s="52" t="str">
        <f>IF(E287&lt;&gt;0,VLOOKUP(E287,DM_DUAN,3,0),"")</f>
        <v/>
      </c>
      <c r="E287" s="735"/>
      <c r="F287" s="735"/>
      <c r="G287" s="735"/>
      <c r="H287" s="735"/>
      <c r="I287" s="735"/>
      <c r="J287" s="52" t="s">
        <v>2214</v>
      </c>
      <c r="K287" s="52" t="s">
        <v>2214</v>
      </c>
      <c r="L287" s="735" t="s">
        <v>187</v>
      </c>
      <c r="M287" s="68"/>
      <c r="N287" s="738">
        <v>0.0</v>
      </c>
      <c r="O287" s="735"/>
      <c r="P287" s="52" t="s">
        <v>2214</v>
      </c>
      <c r="Q287" s="52" t="s">
        <v>2214</v>
      </c>
      <c r="R287" s="737"/>
      <c r="S287" s="735"/>
      <c r="T287" s="737"/>
      <c r="U287" s="737"/>
    </row>
    <row r="288">
      <c r="A288" s="733">
        <v>44713.0</v>
      </c>
      <c r="B288" s="52" t="str">
        <f t="shared" si="1"/>
        <v>06/2022</v>
      </c>
      <c r="C288" s="52" t="str">
        <f>IF(A288="","",VLOOKUP(A288,'THAM CHIẾU'!$A:$B,2,0))</f>
        <v>#N/A</v>
      </c>
      <c r="D288" s="52" t="str">
        <f>IF(E288&lt;&gt;0,VLOOKUP(E288,DM_DUAN,3,0),"")</f>
        <v/>
      </c>
      <c r="E288" s="735"/>
      <c r="F288" s="735"/>
      <c r="G288" s="735"/>
      <c r="H288" s="735"/>
      <c r="I288" s="735"/>
      <c r="J288" s="52" t="s">
        <v>2214</v>
      </c>
      <c r="K288" s="52" t="s">
        <v>2214</v>
      </c>
      <c r="L288" s="735" t="s">
        <v>187</v>
      </c>
      <c r="M288" s="68"/>
      <c r="N288" s="738">
        <v>7.9999992E8</v>
      </c>
      <c r="O288" s="735"/>
      <c r="P288" s="52" t="s">
        <v>2214</v>
      </c>
      <c r="Q288" s="52" t="s">
        <v>2214</v>
      </c>
      <c r="R288" s="737"/>
      <c r="S288" s="735"/>
      <c r="T288" s="737"/>
      <c r="U288" s="737"/>
    </row>
    <row r="289">
      <c r="A289" s="733">
        <v>44713.0</v>
      </c>
      <c r="B289" s="52" t="str">
        <f t="shared" si="1"/>
        <v>06/2022</v>
      </c>
      <c r="C289" s="52" t="str">
        <f>IF(A289="","",VLOOKUP(A289,'THAM CHIẾU'!$A:$B,2,0))</f>
        <v>#N/A</v>
      </c>
      <c r="D289" s="52" t="str">
        <f>IF(E289&lt;&gt;0,VLOOKUP(E289,DM_DUAN,3,0),"")</f>
        <v/>
      </c>
      <c r="E289" s="735"/>
      <c r="F289" s="735"/>
      <c r="G289" s="735"/>
      <c r="H289" s="735"/>
      <c r="I289" s="735"/>
      <c r="J289" s="52" t="s">
        <v>2214</v>
      </c>
      <c r="K289" s="52" t="s">
        <v>2214</v>
      </c>
      <c r="L289" s="735" t="s">
        <v>187</v>
      </c>
      <c r="M289" s="68"/>
      <c r="N289" s="738">
        <v>7.9999992E8</v>
      </c>
      <c r="O289" s="735"/>
      <c r="P289" s="52" t="s">
        <v>2214</v>
      </c>
      <c r="Q289" s="52" t="s">
        <v>2214</v>
      </c>
      <c r="R289" s="737"/>
      <c r="S289" s="735"/>
      <c r="T289" s="737"/>
      <c r="U289" s="737"/>
    </row>
    <row r="290">
      <c r="A290" s="733">
        <v>44713.0</v>
      </c>
      <c r="B290" s="52" t="str">
        <f t="shared" si="1"/>
        <v>06/2022</v>
      </c>
      <c r="C290" s="52" t="str">
        <f>IF(A290="","",VLOOKUP(A290,'THAM CHIẾU'!$A:$B,2,0))</f>
        <v>#N/A</v>
      </c>
      <c r="D290" s="52" t="str">
        <f>IF(E290&lt;&gt;0,VLOOKUP(E290,DM_DUAN,3,0),"")</f>
        <v/>
      </c>
      <c r="E290" s="735"/>
      <c r="F290" s="735"/>
      <c r="G290" s="735"/>
      <c r="H290" s="735"/>
      <c r="I290" s="735"/>
      <c r="J290" s="52" t="s">
        <v>2214</v>
      </c>
      <c r="K290" s="52" t="s">
        <v>2214</v>
      </c>
      <c r="L290" s="735" t="s">
        <v>187</v>
      </c>
      <c r="M290" s="68"/>
      <c r="N290" s="738">
        <v>1.59999996E9</v>
      </c>
      <c r="O290" s="735"/>
      <c r="P290" s="52" t="s">
        <v>2214</v>
      </c>
      <c r="Q290" s="52" t="s">
        <v>2214</v>
      </c>
      <c r="R290" s="737"/>
      <c r="S290" s="735"/>
      <c r="T290" s="737"/>
      <c r="U290" s="737"/>
    </row>
    <row r="291">
      <c r="A291" s="733">
        <v>44713.0</v>
      </c>
      <c r="B291" s="52" t="str">
        <f t="shared" si="1"/>
        <v>06/2022</v>
      </c>
      <c r="C291" s="52" t="str">
        <f>IF(A291="","",VLOOKUP(A291,'THAM CHIẾU'!$A:$B,2,0))</f>
        <v>#N/A</v>
      </c>
      <c r="D291" s="52" t="str">
        <f>IF(E291&lt;&gt;0,VLOOKUP(E291,DM_DUAN,3,0),"")</f>
        <v/>
      </c>
      <c r="E291" s="735"/>
      <c r="F291" s="735"/>
      <c r="G291" s="735"/>
      <c r="H291" s="735"/>
      <c r="I291" s="735"/>
      <c r="J291" s="52" t="s">
        <v>2214</v>
      </c>
      <c r="K291" s="52" t="s">
        <v>2214</v>
      </c>
      <c r="L291" s="735" t="s">
        <v>187</v>
      </c>
      <c r="M291" s="68"/>
      <c r="N291" s="738">
        <v>6.39999996E9</v>
      </c>
      <c r="O291" s="735"/>
      <c r="P291" s="52" t="s">
        <v>2214</v>
      </c>
      <c r="Q291" s="52" t="s">
        <v>2214</v>
      </c>
      <c r="R291" s="737"/>
      <c r="S291" s="735"/>
      <c r="T291" s="737"/>
      <c r="U291" s="737"/>
    </row>
    <row r="292">
      <c r="A292" s="733">
        <v>44713.0</v>
      </c>
      <c r="B292" s="52" t="str">
        <f t="shared" si="1"/>
        <v>06/2022</v>
      </c>
      <c r="C292" s="52" t="str">
        <f>IF(A292="","",VLOOKUP(A292,'THAM CHIẾU'!$A:$B,2,0))</f>
        <v>#N/A</v>
      </c>
      <c r="D292" s="52" t="str">
        <f>IF(E292&lt;&gt;0,VLOOKUP(E292,DM_DUAN,3,0),"")</f>
        <v/>
      </c>
      <c r="E292" s="735"/>
      <c r="F292" s="735"/>
      <c r="G292" s="735"/>
      <c r="H292" s="735"/>
      <c r="I292" s="735"/>
      <c r="J292" s="52" t="s">
        <v>2214</v>
      </c>
      <c r="K292" s="52" t="s">
        <v>2214</v>
      </c>
      <c r="L292" s="735" t="s">
        <v>187</v>
      </c>
      <c r="M292" s="68"/>
      <c r="N292" s="738">
        <v>3.19999992E9</v>
      </c>
      <c r="O292" s="735"/>
      <c r="P292" s="52" t="s">
        <v>2214</v>
      </c>
      <c r="Q292" s="52" t="s">
        <v>2214</v>
      </c>
      <c r="R292" s="737"/>
      <c r="S292" s="735"/>
      <c r="T292" s="737"/>
      <c r="U292" s="737"/>
    </row>
    <row r="293">
      <c r="A293" s="733">
        <v>44713.0</v>
      </c>
      <c r="B293" s="52" t="str">
        <f t="shared" si="1"/>
        <v>06/2022</v>
      </c>
      <c r="C293" s="52" t="str">
        <f>IF(A293="","",VLOOKUP(A293,'THAM CHIẾU'!$A:$B,2,0))</f>
        <v>#N/A</v>
      </c>
      <c r="D293" s="52" t="str">
        <f>IF(E293&lt;&gt;0,VLOOKUP(E293,DM_DUAN,3,0),"")</f>
        <v/>
      </c>
      <c r="E293" s="735"/>
      <c r="F293" s="735"/>
      <c r="G293" s="735" t="s">
        <v>207</v>
      </c>
      <c r="H293" s="735"/>
      <c r="I293" s="735"/>
      <c r="J293" s="52" t="s">
        <v>2214</v>
      </c>
      <c r="K293" s="52" t="s">
        <v>2214</v>
      </c>
      <c r="L293" s="735" t="s">
        <v>2215</v>
      </c>
      <c r="M293" s="68"/>
      <c r="N293" s="736">
        <v>43000.0</v>
      </c>
      <c r="O293" s="735"/>
      <c r="P293" s="52" t="s">
        <v>2214</v>
      </c>
      <c r="Q293" s="52" t="s">
        <v>2214</v>
      </c>
      <c r="R293" s="737"/>
      <c r="S293" s="735"/>
      <c r="T293" s="737" t="s">
        <v>2216</v>
      </c>
      <c r="U293" s="737"/>
    </row>
    <row r="294">
      <c r="A294" s="733">
        <v>44713.0</v>
      </c>
      <c r="B294" s="52" t="str">
        <f t="shared" si="1"/>
        <v>06/2022</v>
      </c>
      <c r="C294" s="52" t="str">
        <f>IF(A294="","",VLOOKUP(A294,'THAM CHIẾU'!$A:$B,2,0))</f>
        <v>#N/A</v>
      </c>
      <c r="D294" s="52" t="str">
        <f>IF(E294&lt;&gt;0,VLOOKUP(E294,DM_DUAN,3,0),"")</f>
        <v/>
      </c>
      <c r="E294" s="735"/>
      <c r="F294" s="735"/>
      <c r="G294" s="735"/>
      <c r="H294" s="735"/>
      <c r="I294" s="735"/>
      <c r="J294" s="52" t="s">
        <v>2214</v>
      </c>
      <c r="K294" s="52" t="s">
        <v>2214</v>
      </c>
      <c r="L294" s="735" t="s">
        <v>419</v>
      </c>
      <c r="M294" s="68"/>
      <c r="N294" s="738">
        <v>166000.0</v>
      </c>
      <c r="O294" s="735"/>
      <c r="P294" s="52" t="s">
        <v>2214</v>
      </c>
      <c r="Q294" s="52" t="s">
        <v>2214</v>
      </c>
      <c r="R294" s="737"/>
      <c r="S294" s="735"/>
      <c r="T294" s="737" t="s">
        <v>2217</v>
      </c>
      <c r="U294" s="737"/>
    </row>
    <row r="295">
      <c r="A295" s="733">
        <v>44713.0</v>
      </c>
      <c r="B295" s="52" t="str">
        <f t="shared" si="1"/>
        <v>06/2022</v>
      </c>
      <c r="C295" s="52" t="str">
        <f>IF(A295="","",VLOOKUP(A295,'THAM CHIẾU'!$A:$B,2,0))</f>
        <v>#N/A</v>
      </c>
      <c r="D295" s="52" t="str">
        <f>IF(E295&lt;&gt;0,VLOOKUP(E295,DM_DUAN,3,0),"")</f>
        <v/>
      </c>
      <c r="E295" s="735"/>
      <c r="F295" s="735"/>
      <c r="G295" s="735"/>
      <c r="H295" s="735"/>
      <c r="I295" s="735"/>
      <c r="J295" s="52" t="s">
        <v>2214</v>
      </c>
      <c r="K295" s="52" t="s">
        <v>2214</v>
      </c>
      <c r="L295" s="735" t="s">
        <v>293</v>
      </c>
      <c r="M295" s="68"/>
      <c r="N295" s="738">
        <f>35000000*2+14000000</f>
        <v>84000000</v>
      </c>
      <c r="O295" s="735"/>
      <c r="P295" s="52" t="s">
        <v>2214</v>
      </c>
      <c r="Q295" s="52" t="s">
        <v>2214</v>
      </c>
      <c r="R295" s="737"/>
      <c r="S295" s="735"/>
      <c r="T295" s="737" t="s">
        <v>2218</v>
      </c>
      <c r="U295" s="737"/>
    </row>
    <row r="296">
      <c r="A296" s="733">
        <v>44713.0</v>
      </c>
      <c r="B296" s="52" t="str">
        <f t="shared" si="1"/>
        <v>06/2022</v>
      </c>
      <c r="C296" s="52" t="str">
        <f>IF(A296="","",VLOOKUP(A296,'THAM CHIẾU'!$A:$B,2,0))</f>
        <v>#N/A</v>
      </c>
      <c r="D296" s="52" t="str">
        <f>IF(E296&lt;&gt;0,VLOOKUP(E296,DM_DUAN,3,0),"")</f>
        <v/>
      </c>
      <c r="E296" s="735"/>
      <c r="F296" s="735"/>
      <c r="G296" s="735"/>
      <c r="H296" s="735"/>
      <c r="I296" s="735"/>
      <c r="J296" s="52" t="s">
        <v>2214</v>
      </c>
      <c r="K296" s="52" t="s">
        <v>2214</v>
      </c>
      <c r="L296" s="735" t="s">
        <v>1273</v>
      </c>
      <c r="M296" s="68"/>
      <c r="N296" s="745">
        <v>328000.0</v>
      </c>
      <c r="O296" s="735"/>
      <c r="P296" s="52" t="s">
        <v>2214</v>
      </c>
      <c r="Q296" s="52" t="s">
        <v>2214</v>
      </c>
      <c r="R296" s="737"/>
      <c r="S296" s="735"/>
      <c r="T296" s="737" t="s">
        <v>1273</v>
      </c>
      <c r="U296" s="737"/>
    </row>
    <row r="297">
      <c r="A297" s="733">
        <v>44713.0</v>
      </c>
      <c r="B297" s="52" t="str">
        <f t="shared" si="1"/>
        <v>06/2022</v>
      </c>
      <c r="C297" s="52" t="str">
        <f>IF(A297="","",VLOOKUP(A297,'THAM CHIẾU'!$A:$B,2,0))</f>
        <v>#N/A</v>
      </c>
      <c r="D297" s="52" t="str">
        <f>IF(E297&lt;&gt;0,VLOOKUP(E297,DM_DUAN,3,0),"")</f>
        <v/>
      </c>
      <c r="E297" s="735"/>
      <c r="F297" s="735"/>
      <c r="G297" s="735"/>
      <c r="H297" s="735"/>
      <c r="I297" s="735"/>
      <c r="J297" s="52" t="s">
        <v>2214</v>
      </c>
      <c r="K297" s="52" t="s">
        <v>2214</v>
      </c>
      <c r="L297" s="735" t="s">
        <v>1153</v>
      </c>
      <c r="M297" s="68"/>
      <c r="N297" s="745">
        <v>8333000.0</v>
      </c>
      <c r="O297" s="735"/>
      <c r="P297" s="52" t="s">
        <v>2214</v>
      </c>
      <c r="Q297" s="52" t="s">
        <v>2214</v>
      </c>
      <c r="R297" s="737"/>
      <c r="S297" s="735"/>
      <c r="T297" s="737" t="s">
        <v>2219</v>
      </c>
      <c r="U297" s="737"/>
    </row>
    <row r="298">
      <c r="A298" s="733">
        <v>44713.0</v>
      </c>
      <c r="B298" s="52" t="str">
        <f t="shared" si="1"/>
        <v>06/2022</v>
      </c>
      <c r="C298" s="52" t="str">
        <f>IF(A298="","",VLOOKUP(A298,'THAM CHIẾU'!$A:$B,2,0))</f>
        <v>#N/A</v>
      </c>
      <c r="D298" s="52" t="str">
        <f>IF(E298&lt;&gt;0,VLOOKUP(E298,DM_DUAN,3,0),"")</f>
        <v/>
      </c>
      <c r="E298" s="735"/>
      <c r="F298" s="735"/>
      <c r="G298" s="735"/>
      <c r="H298" s="735"/>
      <c r="I298" s="735"/>
      <c r="J298" s="52" t="s">
        <v>2214</v>
      </c>
      <c r="K298" s="52" t="s">
        <v>2214</v>
      </c>
      <c r="L298" s="735" t="s">
        <v>2220</v>
      </c>
      <c r="M298" s="68"/>
      <c r="N298" s="738">
        <v>416000.0</v>
      </c>
      <c r="O298" s="735"/>
      <c r="P298" s="52" t="s">
        <v>2214</v>
      </c>
      <c r="Q298" s="52" t="s">
        <v>2214</v>
      </c>
      <c r="R298" s="737"/>
      <c r="S298" s="735"/>
      <c r="T298" s="737" t="s">
        <v>2221</v>
      </c>
      <c r="U298" s="737"/>
    </row>
    <row r="299">
      <c r="A299" s="733">
        <v>44713.0</v>
      </c>
      <c r="B299" s="52" t="str">
        <f t="shared" si="1"/>
        <v>06/2022</v>
      </c>
      <c r="C299" s="52" t="str">
        <f>IF(A299="","",VLOOKUP(A299,'THAM CHIẾU'!$A:$B,2,0))</f>
        <v>#N/A</v>
      </c>
      <c r="D299" s="52" t="str">
        <f>IF(E299&lt;&gt;0,VLOOKUP(E299,DM_DUAN,3,0),"")</f>
        <v/>
      </c>
      <c r="E299" s="735"/>
      <c r="F299" s="735"/>
      <c r="G299" s="735"/>
      <c r="H299" s="735"/>
      <c r="I299" s="735"/>
      <c r="J299" s="52" t="s">
        <v>2214</v>
      </c>
      <c r="K299" s="52" t="s">
        <v>2214</v>
      </c>
      <c r="L299" s="735" t="s">
        <v>262</v>
      </c>
      <c r="M299" s="68"/>
      <c r="N299" s="736">
        <v>2000000.0</v>
      </c>
      <c r="O299" s="735"/>
      <c r="P299" s="52" t="s">
        <v>2214</v>
      </c>
      <c r="Q299" s="52" t="s">
        <v>2214</v>
      </c>
      <c r="R299" s="737"/>
      <c r="S299" s="735"/>
      <c r="T299" s="737" t="s">
        <v>2222</v>
      </c>
      <c r="U299" s="737"/>
    </row>
    <row r="300">
      <c r="A300" s="733">
        <v>44713.0</v>
      </c>
      <c r="B300" s="52" t="str">
        <f t="shared" si="1"/>
        <v>06/2022</v>
      </c>
      <c r="C300" s="52" t="str">
        <f>IF(A300="","",VLOOKUP(A300,'THAM CHIẾU'!$A:$B,2,0))</f>
        <v>#N/A</v>
      </c>
      <c r="D300" s="52" t="str">
        <f>IF(E300&lt;&gt;0,VLOOKUP(E300,DM_DUAN,3,0),"")</f>
        <v/>
      </c>
      <c r="E300" s="735"/>
      <c r="F300" s="735"/>
      <c r="G300" s="735"/>
      <c r="H300" s="735"/>
      <c r="I300" s="735"/>
      <c r="J300" s="52" t="s">
        <v>2214</v>
      </c>
      <c r="K300" s="52" t="s">
        <v>2214</v>
      </c>
      <c r="L300" s="735" t="s">
        <v>2223</v>
      </c>
      <c r="M300" s="68"/>
      <c r="N300" s="738">
        <v>4166000.0</v>
      </c>
      <c r="O300" s="735"/>
      <c r="P300" s="52" t="s">
        <v>2214</v>
      </c>
      <c r="Q300" s="52" t="s">
        <v>2214</v>
      </c>
      <c r="R300" s="737"/>
      <c r="S300" s="735"/>
      <c r="T300" s="737" t="s">
        <v>2224</v>
      </c>
      <c r="U300" s="737"/>
    </row>
    <row r="301">
      <c r="A301" s="733">
        <v>44713.0</v>
      </c>
      <c r="B301" s="52" t="str">
        <f t="shared" si="1"/>
        <v>06/2022</v>
      </c>
      <c r="C301" s="52" t="str">
        <f>IF(A301="","",VLOOKUP(A301,'THAM CHIẾU'!$A:$B,2,0))</f>
        <v>#N/A</v>
      </c>
      <c r="D301" s="52" t="str">
        <f>IF(E301&lt;&gt;0,VLOOKUP(E301,DM_DUAN,3,0),"")</f>
        <v/>
      </c>
      <c r="E301" s="735"/>
      <c r="F301" s="735"/>
      <c r="G301" s="735" t="s">
        <v>176</v>
      </c>
      <c r="H301" s="735"/>
      <c r="I301" s="735"/>
      <c r="J301" s="52" t="s">
        <v>2214</v>
      </c>
      <c r="K301" s="52" t="s">
        <v>2214</v>
      </c>
      <c r="L301" s="735" t="s">
        <v>374</v>
      </c>
      <c r="M301" s="68"/>
      <c r="N301" s="738">
        <v>1666000.0</v>
      </c>
      <c r="O301" s="735"/>
      <c r="P301" s="52" t="s">
        <v>2214</v>
      </c>
      <c r="Q301" s="52" t="s">
        <v>2214</v>
      </c>
      <c r="R301" s="737"/>
      <c r="S301" s="735"/>
      <c r="T301" s="737" t="s">
        <v>2225</v>
      </c>
      <c r="U301" s="737"/>
    </row>
    <row r="302">
      <c r="A302" s="733">
        <v>44713.0</v>
      </c>
      <c r="B302" s="52" t="str">
        <f t="shared" si="1"/>
        <v>06/2022</v>
      </c>
      <c r="C302" s="52" t="str">
        <f>IF(A302="","",VLOOKUP(A302,'THAM CHIẾU'!$A:$B,2,0))</f>
        <v>#N/A</v>
      </c>
      <c r="D302" s="52" t="str">
        <f>IF(E302&lt;&gt;0,VLOOKUP(E302,DM_DUAN,3,0),"")</f>
        <v/>
      </c>
      <c r="E302" s="735"/>
      <c r="F302" s="735"/>
      <c r="G302" s="735"/>
      <c r="H302" s="735"/>
      <c r="I302" s="735"/>
      <c r="J302" s="52" t="s">
        <v>2214</v>
      </c>
      <c r="K302" s="52" t="s">
        <v>2214</v>
      </c>
      <c r="L302" s="735" t="s">
        <v>380</v>
      </c>
      <c r="M302" s="68"/>
      <c r="N302" s="738">
        <v>1666000.0</v>
      </c>
      <c r="O302" s="735"/>
      <c r="P302" s="52" t="s">
        <v>2214</v>
      </c>
      <c r="Q302" s="52" t="s">
        <v>2214</v>
      </c>
      <c r="R302" s="737"/>
      <c r="S302" s="735"/>
      <c r="T302" s="737" t="s">
        <v>2226</v>
      </c>
      <c r="U302" s="737"/>
    </row>
    <row r="303">
      <c r="A303" s="733">
        <v>44713.0</v>
      </c>
      <c r="B303" s="52" t="str">
        <f t="shared" si="1"/>
        <v>06/2022</v>
      </c>
      <c r="C303" s="52" t="str">
        <f>IF(A303="","",VLOOKUP(A303,'THAM CHIẾU'!$A:$B,2,0))</f>
        <v>#N/A</v>
      </c>
      <c r="D303" s="52" t="str">
        <f>IF(E303&lt;&gt;0,VLOOKUP(E303,DM_DUAN,3,0),"")</f>
        <v/>
      </c>
      <c r="E303" s="735"/>
      <c r="F303" s="735"/>
      <c r="G303" s="735"/>
      <c r="H303" s="735"/>
      <c r="I303" s="735"/>
      <c r="J303" s="52" t="s">
        <v>2214</v>
      </c>
      <c r="K303" s="52" t="s">
        <v>2214</v>
      </c>
      <c r="L303" s="735" t="s">
        <v>272</v>
      </c>
      <c r="M303" s="68"/>
      <c r="N303" s="736">
        <v>9000000.0</v>
      </c>
      <c r="O303" s="735"/>
      <c r="P303" s="52" t="s">
        <v>2214</v>
      </c>
      <c r="Q303" s="52" t="s">
        <v>2214</v>
      </c>
      <c r="R303" s="737"/>
      <c r="S303" s="735"/>
      <c r="T303" s="737" t="s">
        <v>2227</v>
      </c>
      <c r="U303" s="737"/>
    </row>
    <row r="304">
      <c r="A304" s="733">
        <v>44713.0</v>
      </c>
      <c r="B304" s="52" t="str">
        <f t="shared" si="1"/>
        <v>06/2022</v>
      </c>
      <c r="C304" s="52" t="str">
        <f>IF(A304="","",VLOOKUP(A304,'THAM CHIẾU'!$A:$B,2,0))</f>
        <v>#N/A</v>
      </c>
      <c r="D304" s="52" t="str">
        <f>IF(E304&lt;&gt;0,VLOOKUP(E304,DM_DUAN,3,0),"")</f>
        <v/>
      </c>
      <c r="E304" s="735"/>
      <c r="F304" s="735"/>
      <c r="G304" s="735"/>
      <c r="H304" s="735"/>
      <c r="I304" s="735"/>
      <c r="J304" s="52" t="s">
        <v>2214</v>
      </c>
      <c r="K304" s="52" t="s">
        <v>2214</v>
      </c>
      <c r="L304" s="746" t="s">
        <v>380</v>
      </c>
      <c r="M304" s="68"/>
      <c r="N304" s="745">
        <v>833000.0</v>
      </c>
      <c r="O304" s="735"/>
      <c r="P304" s="52" t="s">
        <v>2214</v>
      </c>
      <c r="Q304" s="52" t="s">
        <v>2214</v>
      </c>
      <c r="R304" s="737"/>
      <c r="S304" s="735"/>
      <c r="T304" s="737" t="s">
        <v>2228</v>
      </c>
      <c r="U304" s="737"/>
    </row>
    <row r="305">
      <c r="A305" s="733">
        <v>44713.0</v>
      </c>
      <c r="B305" s="52" t="str">
        <f t="shared" si="1"/>
        <v>06/2022</v>
      </c>
      <c r="C305" s="52" t="str">
        <f>IF(A305="","",VLOOKUP(A305,'THAM CHIẾU'!$A:$B,2,0))</f>
        <v>#N/A</v>
      </c>
      <c r="D305" s="52" t="str">
        <f>IF(E305&lt;&gt;0,VLOOKUP(E305,DM_DUAN,3,0),"")</f>
        <v/>
      </c>
      <c r="E305" s="735"/>
      <c r="F305" s="735"/>
      <c r="G305" s="735"/>
      <c r="H305" s="735"/>
      <c r="I305" s="735"/>
      <c r="J305" s="52" t="s">
        <v>2214</v>
      </c>
      <c r="K305" s="52" t="s">
        <v>2214</v>
      </c>
      <c r="L305" s="735" t="s">
        <v>222</v>
      </c>
      <c r="M305" s="68"/>
      <c r="N305" s="738">
        <f>150000+200000+300000</f>
        <v>650000</v>
      </c>
      <c r="O305" s="735"/>
      <c r="P305" s="52" t="s">
        <v>2214</v>
      </c>
      <c r="Q305" s="52" t="s">
        <v>2214</v>
      </c>
      <c r="R305" s="737"/>
      <c r="S305" s="735"/>
      <c r="T305" s="737" t="s">
        <v>2229</v>
      </c>
      <c r="U305" s="737"/>
    </row>
    <row r="306">
      <c r="A306" s="733">
        <v>44713.0</v>
      </c>
      <c r="B306" s="52" t="str">
        <f t="shared" si="1"/>
        <v>06/2022</v>
      </c>
      <c r="C306" s="52" t="str">
        <f>IF(A306="","",VLOOKUP(A306,'THAM CHIẾU'!$A:$B,2,0))</f>
        <v>#N/A</v>
      </c>
      <c r="D306" s="52" t="str">
        <f>IF(E306&lt;&gt;0,VLOOKUP(E306,DM_DUAN,3,0),"")</f>
        <v/>
      </c>
      <c r="E306" s="735"/>
      <c r="F306" s="735"/>
      <c r="G306" s="735"/>
      <c r="H306" s="735"/>
      <c r="I306" s="735"/>
      <c r="J306" s="52" t="s">
        <v>2214</v>
      </c>
      <c r="K306" s="52" t="s">
        <v>2214</v>
      </c>
      <c r="L306" s="735" t="s">
        <v>267</v>
      </c>
      <c r="M306" s="68"/>
      <c r="N306" s="736">
        <v>1.09E8</v>
      </c>
      <c r="O306" s="735"/>
      <c r="P306" s="52" t="s">
        <v>2214</v>
      </c>
      <c r="Q306" s="52" t="s">
        <v>2214</v>
      </c>
      <c r="R306" s="737"/>
      <c r="S306" s="735"/>
      <c r="T306" s="737" t="s">
        <v>2230</v>
      </c>
      <c r="U306" s="737"/>
    </row>
    <row r="307">
      <c r="A307" s="733">
        <v>44713.0</v>
      </c>
      <c r="B307" s="52" t="str">
        <f t="shared" si="1"/>
        <v>06/2022</v>
      </c>
      <c r="C307" s="52" t="str">
        <f>IF(A307="","",VLOOKUP(A307,'THAM CHIẾU'!$A:$B,2,0))</f>
        <v>#N/A</v>
      </c>
      <c r="D307" s="52" t="str">
        <f>IF(E307&lt;&gt;0,VLOOKUP(E307,DM_DUAN,3,0),"")</f>
        <v/>
      </c>
      <c r="E307" s="735"/>
      <c r="F307" s="735"/>
      <c r="G307" s="735"/>
      <c r="H307" s="735"/>
      <c r="I307" s="735"/>
      <c r="J307" s="52" t="s">
        <v>2214</v>
      </c>
      <c r="K307" s="52" t="s">
        <v>2214</v>
      </c>
      <c r="L307" s="735" t="s">
        <v>270</v>
      </c>
      <c r="M307" s="68"/>
      <c r="N307" s="738">
        <f>42000000+4666000+2000000</f>
        <v>48666000</v>
      </c>
      <c r="O307" s="735"/>
      <c r="P307" s="52" t="s">
        <v>2214</v>
      </c>
      <c r="Q307" s="52" t="s">
        <v>2214</v>
      </c>
      <c r="R307" s="737"/>
      <c r="S307" s="735"/>
      <c r="T307" s="737" t="s">
        <v>2231</v>
      </c>
      <c r="U307" s="737"/>
    </row>
    <row r="308">
      <c r="A308" s="733">
        <v>44713.0</v>
      </c>
      <c r="B308" s="52" t="str">
        <f t="shared" si="1"/>
        <v>06/2022</v>
      </c>
      <c r="C308" s="52" t="str">
        <f>IF(A308="","",VLOOKUP(A308,'THAM CHIẾU'!$A:$B,2,0))</f>
        <v>#N/A</v>
      </c>
      <c r="D308" s="52" t="str">
        <f>IF(E308&lt;&gt;0,VLOOKUP(E308,DM_DUAN,3,0),"")</f>
        <v/>
      </c>
      <c r="E308" s="735"/>
      <c r="F308" s="735"/>
      <c r="G308" s="735"/>
      <c r="H308" s="735"/>
      <c r="I308" s="735"/>
      <c r="J308" s="52" t="s">
        <v>2214</v>
      </c>
      <c r="K308" s="52" t="s">
        <v>2214</v>
      </c>
      <c r="L308" s="735" t="s">
        <v>410</v>
      </c>
      <c r="M308" s="68"/>
      <c r="N308" s="738">
        <v>1250000.0</v>
      </c>
      <c r="O308" s="735"/>
      <c r="P308" s="52" t="s">
        <v>2214</v>
      </c>
      <c r="Q308" s="52" t="s">
        <v>2214</v>
      </c>
      <c r="R308" s="737"/>
      <c r="S308" s="735"/>
      <c r="T308" s="737" t="s">
        <v>410</v>
      </c>
      <c r="U308" s="737"/>
    </row>
    <row r="309">
      <c r="A309" s="733">
        <v>44713.0</v>
      </c>
      <c r="B309" s="52" t="str">
        <f t="shared" si="1"/>
        <v>06/2022</v>
      </c>
      <c r="C309" s="52" t="str">
        <f>IF(A309="","",VLOOKUP(A309,'THAM CHIẾU'!$A:$B,2,0))</f>
        <v>#N/A</v>
      </c>
      <c r="D309" s="52" t="str">
        <f>IF(E309&lt;&gt;0,VLOOKUP(E309,DM_DUAN,3,0),"")</f>
        <v/>
      </c>
      <c r="E309" s="735"/>
      <c r="F309" s="735"/>
      <c r="G309" s="735"/>
      <c r="H309" s="735"/>
      <c r="I309" s="735"/>
      <c r="J309" s="52" t="s">
        <v>2214</v>
      </c>
      <c r="K309" s="52" t="s">
        <v>2214</v>
      </c>
      <c r="L309" s="735" t="s">
        <v>252</v>
      </c>
      <c r="M309" s="68"/>
      <c r="N309" s="745">
        <v>1.6666E7</v>
      </c>
      <c r="O309" s="735"/>
      <c r="P309" s="52" t="s">
        <v>2214</v>
      </c>
      <c r="Q309" s="52" t="s">
        <v>2214</v>
      </c>
      <c r="R309" s="737"/>
      <c r="S309" s="735"/>
      <c r="T309" s="737" t="s">
        <v>2232</v>
      </c>
      <c r="U309" s="737"/>
    </row>
    <row r="310">
      <c r="A310" s="733">
        <v>44713.0</v>
      </c>
      <c r="B310" s="52" t="str">
        <f t="shared" si="1"/>
        <v>06/2022</v>
      </c>
      <c r="C310" s="52" t="str">
        <f>IF(A310="","",VLOOKUP(A310,'THAM CHIẾU'!$A:$B,2,0))</f>
        <v>#N/A</v>
      </c>
      <c r="D310" s="52" t="str">
        <f>IF(E310&lt;&gt;0,VLOOKUP(E310,DM_DUAN,3,0),"")</f>
        <v/>
      </c>
      <c r="E310" s="735"/>
      <c r="F310" s="735"/>
      <c r="G310" s="735"/>
      <c r="H310" s="735"/>
      <c r="I310" s="735"/>
      <c r="J310" s="52" t="s">
        <v>2214</v>
      </c>
      <c r="K310" s="52" t="s">
        <v>2214</v>
      </c>
      <c r="L310" s="746" t="s">
        <v>380</v>
      </c>
      <c r="M310" s="68"/>
      <c r="N310" s="745">
        <v>1666000.0</v>
      </c>
      <c r="O310" s="735"/>
      <c r="P310" s="52" t="s">
        <v>2214</v>
      </c>
      <c r="Q310" s="52" t="s">
        <v>2214</v>
      </c>
      <c r="R310" s="737"/>
      <c r="S310" s="735"/>
      <c r="T310" s="737" t="s">
        <v>2233</v>
      </c>
      <c r="U310" s="737"/>
    </row>
    <row r="311">
      <c r="A311" s="733">
        <v>44713.0</v>
      </c>
      <c r="B311" s="52" t="str">
        <f t="shared" si="1"/>
        <v>06/2022</v>
      </c>
      <c r="C311" s="52" t="str">
        <f>IF(A311="","",VLOOKUP(A311,'THAM CHIẾU'!$A:$B,2,0))</f>
        <v>#N/A</v>
      </c>
      <c r="D311" s="52" t="str">
        <f>IF(E311&lt;&gt;0,VLOOKUP(E311,DM_DUAN,3,0),"")</f>
        <v/>
      </c>
      <c r="E311" s="735"/>
      <c r="F311" s="735"/>
      <c r="G311" s="735"/>
      <c r="H311" s="735"/>
      <c r="I311" s="735"/>
      <c r="J311" s="52" t="s">
        <v>2214</v>
      </c>
      <c r="K311" s="52" t="s">
        <v>2214</v>
      </c>
      <c r="L311" s="735" t="s">
        <v>206</v>
      </c>
      <c r="M311" s="68"/>
      <c r="N311" s="738">
        <f>1080000+200000</f>
        <v>1280000</v>
      </c>
      <c r="O311" s="735"/>
      <c r="P311" s="52" t="s">
        <v>2214</v>
      </c>
      <c r="Q311" s="52" t="s">
        <v>2214</v>
      </c>
      <c r="R311" s="737"/>
      <c r="S311" s="735"/>
      <c r="T311" s="737" t="s">
        <v>206</v>
      </c>
      <c r="U311" s="737"/>
    </row>
    <row r="312">
      <c r="A312" s="733">
        <v>44713.0</v>
      </c>
      <c r="B312" s="52" t="str">
        <f t="shared" si="1"/>
        <v>06/2022</v>
      </c>
      <c r="C312" s="52" t="str">
        <f>IF(A312="","",VLOOKUP(A312,'THAM CHIẾU'!$A:$B,2,0))</f>
        <v>#N/A</v>
      </c>
      <c r="D312" s="52" t="str">
        <f>IF(E312&lt;&gt;0,VLOOKUP(E312,DM_DUAN,3,0),"")</f>
        <v/>
      </c>
      <c r="E312" s="735"/>
      <c r="F312" s="735"/>
      <c r="G312" s="735"/>
      <c r="H312" s="735"/>
      <c r="I312" s="735"/>
      <c r="J312" s="52" t="s">
        <v>2214</v>
      </c>
      <c r="K312" s="52" t="s">
        <v>2214</v>
      </c>
      <c r="L312" s="735" t="s">
        <v>226</v>
      </c>
      <c r="M312" s="68"/>
      <c r="N312" s="738">
        <f>200000*3+70000*5</f>
        <v>950000</v>
      </c>
      <c r="O312" s="735"/>
      <c r="P312" s="52" t="s">
        <v>2214</v>
      </c>
      <c r="Q312" s="52" t="s">
        <v>2214</v>
      </c>
      <c r="R312" s="737"/>
      <c r="S312" s="735"/>
      <c r="T312" s="737" t="s">
        <v>2234</v>
      </c>
      <c r="U312" s="737"/>
    </row>
    <row r="313">
      <c r="A313" s="733">
        <v>44713.0</v>
      </c>
      <c r="B313" s="52" t="str">
        <f t="shared" si="1"/>
        <v>06/2022</v>
      </c>
      <c r="C313" s="52" t="str">
        <f>IF(A313="","",VLOOKUP(A313,'THAM CHIẾU'!$A:$B,2,0))</f>
        <v>#N/A</v>
      </c>
      <c r="D313" s="52" t="str">
        <f>IF(E313&lt;&gt;0,VLOOKUP(E313,DM_DUAN,3,0),"")</f>
        <v/>
      </c>
      <c r="E313" s="735"/>
      <c r="F313" s="735"/>
      <c r="G313" s="735"/>
      <c r="H313" s="735"/>
      <c r="I313" s="735"/>
      <c r="J313" s="52" t="s">
        <v>2214</v>
      </c>
      <c r="K313" s="52" t="s">
        <v>2214</v>
      </c>
      <c r="L313" s="735" t="s">
        <v>174</v>
      </c>
      <c r="M313" s="68"/>
      <c r="N313" s="745">
        <v>4.0861E7</v>
      </c>
      <c r="O313" s="735"/>
      <c r="P313" s="52" t="s">
        <v>2214</v>
      </c>
      <c r="Q313" s="52" t="s">
        <v>2214</v>
      </c>
      <c r="R313" s="737"/>
      <c r="S313" s="735"/>
      <c r="T313" s="737" t="s">
        <v>2235</v>
      </c>
      <c r="U313" s="737"/>
    </row>
    <row r="314">
      <c r="A314" s="733">
        <v>44713.0</v>
      </c>
      <c r="B314" s="52" t="str">
        <f t="shared" si="1"/>
        <v>06/2022</v>
      </c>
      <c r="C314" s="52" t="str">
        <f>IF(A314="","",VLOOKUP(A314,'THAM CHIẾU'!$A:$B,2,0))</f>
        <v>#N/A</v>
      </c>
      <c r="D314" s="52" t="str">
        <f>IF(E314&lt;&gt;0,VLOOKUP(E314,DM_DUAN,3,0),"")</f>
        <v/>
      </c>
      <c r="E314" s="735"/>
      <c r="F314" s="735"/>
      <c r="G314" s="735"/>
      <c r="H314" s="735"/>
      <c r="I314" s="735"/>
      <c r="J314" s="52" t="s">
        <v>2214</v>
      </c>
      <c r="K314" s="52" t="s">
        <v>2214</v>
      </c>
      <c r="L314" s="735" t="s">
        <v>2236</v>
      </c>
      <c r="M314" s="68"/>
      <c r="N314" s="745">
        <v>1666000.0</v>
      </c>
      <c r="O314" s="735"/>
      <c r="P314" s="52" t="s">
        <v>2214</v>
      </c>
      <c r="Q314" s="52" t="s">
        <v>2214</v>
      </c>
      <c r="R314" s="737"/>
      <c r="S314" s="735"/>
      <c r="T314" s="737" t="s">
        <v>2237</v>
      </c>
      <c r="U314" s="737"/>
    </row>
    <row r="315">
      <c r="A315" s="733">
        <v>44713.0</v>
      </c>
      <c r="B315" s="52" t="str">
        <f t="shared" si="1"/>
        <v>06/2022</v>
      </c>
      <c r="C315" s="52" t="str">
        <f>IF(A315="","",VLOOKUP(A315,'THAM CHIẾU'!$A:$B,2,0))</f>
        <v>#N/A</v>
      </c>
      <c r="D315" s="52" t="str">
        <f>IF(E315&lt;&gt;0,VLOOKUP(E315,DM_DUAN,3,0),"")</f>
        <v/>
      </c>
      <c r="E315" s="735"/>
      <c r="F315" s="735"/>
      <c r="G315" s="735"/>
      <c r="H315" s="735"/>
      <c r="I315" s="735"/>
      <c r="J315" s="52" t="s">
        <v>2214</v>
      </c>
      <c r="K315" s="52" t="s">
        <v>2214</v>
      </c>
      <c r="L315" s="735"/>
      <c r="M315" s="68"/>
      <c r="N315" s="738"/>
      <c r="O315" s="735"/>
      <c r="P315" s="52" t="s">
        <v>2214</v>
      </c>
      <c r="Q315" s="52" t="s">
        <v>2214</v>
      </c>
      <c r="R315" s="737"/>
      <c r="S315" s="735"/>
      <c r="T315" s="737"/>
      <c r="U315" s="737"/>
    </row>
    <row r="316">
      <c r="A316" s="733">
        <v>44713.0</v>
      </c>
      <c r="B316" s="52" t="str">
        <f t="shared" si="1"/>
        <v>06/2022</v>
      </c>
      <c r="C316" s="52" t="str">
        <f>IF(A316="","",VLOOKUP(A316,'THAM CHIẾU'!$A:$B,2,0))</f>
        <v>#N/A</v>
      </c>
      <c r="D316" s="52" t="str">
        <f>IF(E316&lt;&gt;0,VLOOKUP(E316,DM_DUAN,3,0),"")</f>
        <v/>
      </c>
      <c r="E316" s="735"/>
      <c r="F316" s="735"/>
      <c r="G316" s="735"/>
      <c r="H316" s="735"/>
      <c r="I316" s="735"/>
      <c r="J316" s="52" t="s">
        <v>2214</v>
      </c>
      <c r="K316" s="52" t="s">
        <v>2214</v>
      </c>
      <c r="L316" s="735" t="s">
        <v>169</v>
      </c>
      <c r="M316" s="68"/>
      <c r="N316" s="738">
        <v>1.0643E7</v>
      </c>
      <c r="O316" s="735"/>
      <c r="P316" s="52" t="s">
        <v>2214</v>
      </c>
      <c r="Q316" s="52" t="s">
        <v>2214</v>
      </c>
      <c r="R316" s="737"/>
      <c r="S316" s="735"/>
      <c r="T316" s="737" t="s">
        <v>2240</v>
      </c>
      <c r="U316" s="737"/>
    </row>
    <row r="317">
      <c r="A317" s="733">
        <v>44713.0</v>
      </c>
      <c r="B317" s="52" t="str">
        <f t="shared" si="1"/>
        <v>06/2022</v>
      </c>
      <c r="C317" s="52" t="str">
        <f>IF(A317="","",VLOOKUP(A317,'THAM CHIẾU'!$A:$B,2,0))</f>
        <v>#N/A</v>
      </c>
      <c r="D317" s="52" t="str">
        <f>IF(E317&lt;&gt;0,VLOOKUP(E317,DM_DUAN,3,0),"")</f>
        <v/>
      </c>
      <c r="E317" s="735"/>
      <c r="F317" s="735"/>
      <c r="G317" s="735"/>
      <c r="H317" s="735"/>
      <c r="I317" s="735"/>
      <c r="J317" s="52" t="s">
        <v>2214</v>
      </c>
      <c r="K317" s="52" t="s">
        <v>2214</v>
      </c>
      <c r="L317" s="735" t="s">
        <v>190</v>
      </c>
      <c r="M317" s="68"/>
      <c r="N317" s="738">
        <v>3.9E9</v>
      </c>
      <c r="O317" s="735"/>
      <c r="P317" s="52" t="s">
        <v>2214</v>
      </c>
      <c r="Q317" s="52" t="s">
        <v>2214</v>
      </c>
      <c r="R317" s="737"/>
      <c r="S317" s="735"/>
      <c r="T317" s="737" t="s">
        <v>2241</v>
      </c>
      <c r="U317" s="737"/>
    </row>
    <row r="318">
      <c r="A318" s="733">
        <v>44713.0</v>
      </c>
      <c r="B318" s="52" t="str">
        <f t="shared" si="1"/>
        <v>06/2022</v>
      </c>
      <c r="C318" s="52" t="str">
        <f>IF(A318="","",VLOOKUP(A318,'THAM CHIẾU'!$A:$B,2,0))</f>
        <v>#N/A</v>
      </c>
      <c r="D318" s="52" t="str">
        <f>IF(E318&lt;&gt;0,VLOOKUP(E318,DM_DUAN,3,0),"")</f>
        <v/>
      </c>
      <c r="E318" s="735"/>
      <c r="F318" s="735"/>
      <c r="G318" s="735"/>
      <c r="H318" s="735"/>
      <c r="I318" s="735"/>
      <c r="J318" s="52" t="s">
        <v>2214</v>
      </c>
      <c r="K318" s="52" t="s">
        <v>2214</v>
      </c>
      <c r="L318" s="735" t="s">
        <v>194</v>
      </c>
      <c r="M318" s="68"/>
      <c r="N318" s="738">
        <v>1.04E9</v>
      </c>
      <c r="O318" s="735"/>
      <c r="P318" s="52" t="s">
        <v>2214</v>
      </c>
      <c r="Q318" s="52" t="s">
        <v>2214</v>
      </c>
      <c r="R318" s="737"/>
      <c r="S318" s="735"/>
      <c r="T318" s="737" t="s">
        <v>2242</v>
      </c>
      <c r="U318" s="737"/>
    </row>
    <row r="319">
      <c r="A319" s="733">
        <v>44713.0</v>
      </c>
      <c r="B319" s="52" t="str">
        <f t="shared" si="1"/>
        <v>06/2022</v>
      </c>
      <c r="C319" s="52" t="str">
        <f>IF(A319="","",VLOOKUP(A319,'THAM CHIẾU'!$A:$B,2,0))</f>
        <v>#N/A</v>
      </c>
      <c r="D319" s="52" t="str">
        <f>IF(E319&lt;&gt;0,VLOOKUP(E319,DM_DUAN,3,0),"")</f>
        <v/>
      </c>
      <c r="E319" s="735"/>
      <c r="F319" s="735"/>
      <c r="G319" s="735"/>
      <c r="H319" s="735"/>
      <c r="I319" s="735"/>
      <c r="J319" s="52" t="s">
        <v>2214</v>
      </c>
      <c r="K319" s="52" t="s">
        <v>2214</v>
      </c>
      <c r="L319" s="735" t="s">
        <v>1170</v>
      </c>
      <c r="M319" s="68"/>
      <c r="N319" s="738">
        <v>1.3E8</v>
      </c>
      <c r="O319" s="735"/>
      <c r="P319" s="52" t="s">
        <v>2214</v>
      </c>
      <c r="Q319" s="52" t="s">
        <v>2214</v>
      </c>
      <c r="R319" s="737"/>
      <c r="S319" s="735"/>
      <c r="T319" s="737" t="s">
        <v>1474</v>
      </c>
      <c r="U319" s="737"/>
    </row>
    <row r="320">
      <c r="A320" s="733">
        <v>44713.0</v>
      </c>
      <c r="B320" s="52" t="str">
        <f t="shared" si="1"/>
        <v>06/2022</v>
      </c>
      <c r="C320" s="52" t="str">
        <f>IF(A320="","",VLOOKUP(A320,'THAM CHIẾU'!$A:$B,2,0))</f>
        <v>#N/A</v>
      </c>
      <c r="D320" s="52" t="str">
        <f>IF(E320&lt;&gt;0,VLOOKUP(E320,DM_DUAN,3,0),"")</f>
        <v/>
      </c>
      <c r="E320" s="735"/>
      <c r="F320" s="735"/>
      <c r="G320" s="735"/>
      <c r="H320" s="735"/>
      <c r="I320" s="735"/>
      <c r="J320" s="52" t="s">
        <v>2214</v>
      </c>
      <c r="K320" s="52" t="s">
        <v>2214</v>
      </c>
      <c r="L320" s="735" t="s">
        <v>1142</v>
      </c>
      <c r="M320" s="68"/>
      <c r="N320" s="738"/>
      <c r="O320" s="735"/>
      <c r="P320" s="52" t="s">
        <v>2214</v>
      </c>
      <c r="Q320" s="52" t="s">
        <v>2214</v>
      </c>
      <c r="R320" s="737"/>
      <c r="S320" s="735"/>
      <c r="T320" s="737" t="s">
        <v>2244</v>
      </c>
      <c r="U320" s="737"/>
    </row>
    <row r="321">
      <c r="A321" s="733">
        <v>44713.0</v>
      </c>
      <c r="B321" s="52" t="str">
        <f t="shared" si="1"/>
        <v>06/2022</v>
      </c>
      <c r="C321" s="52" t="str">
        <f>IF(A321="","",VLOOKUP(A321,'THAM CHIẾU'!$A:$B,2,0))</f>
        <v>#N/A</v>
      </c>
      <c r="D321" s="52" t="str">
        <f>IF(E321&lt;&gt;0,VLOOKUP(E321,DM_DUAN,3,0),"")</f>
        <v/>
      </c>
      <c r="E321" s="735"/>
      <c r="F321" s="735"/>
      <c r="G321" s="735"/>
      <c r="H321" s="735"/>
      <c r="I321" s="735"/>
      <c r="J321" s="52" t="s">
        <v>2214</v>
      </c>
      <c r="K321" s="52" t="s">
        <v>2214</v>
      </c>
      <c r="L321" s="735" t="s">
        <v>181</v>
      </c>
      <c r="M321" s="68"/>
      <c r="N321" s="738">
        <v>1.3E9</v>
      </c>
      <c r="O321" s="735"/>
      <c r="P321" s="52" t="s">
        <v>2214</v>
      </c>
      <c r="Q321" s="52" t="s">
        <v>2214</v>
      </c>
      <c r="R321" s="737"/>
      <c r="S321" s="735"/>
      <c r="T321" s="737" t="s">
        <v>2245</v>
      </c>
      <c r="U321" s="737"/>
    </row>
    <row r="322">
      <c r="A322" s="733">
        <v>44713.0</v>
      </c>
      <c r="B322" s="52" t="str">
        <f t="shared" si="1"/>
        <v>06/2022</v>
      </c>
      <c r="C322" s="52" t="str">
        <f>IF(A322="","",VLOOKUP(A322,'THAM CHIẾU'!$A:$B,2,0))</f>
        <v>#N/A</v>
      </c>
      <c r="D322" s="52" t="str">
        <f>IF(E322&lt;&gt;0,VLOOKUP(E322,DM_DUAN,3,0),"")</f>
        <v/>
      </c>
      <c r="E322" s="735"/>
      <c r="F322" s="735"/>
      <c r="G322" s="735"/>
      <c r="H322" s="735"/>
      <c r="I322" s="735"/>
      <c r="J322" s="52" t="s">
        <v>2214</v>
      </c>
      <c r="K322" s="52" t="s">
        <v>2214</v>
      </c>
      <c r="L322" s="735" t="s">
        <v>2243</v>
      </c>
      <c r="M322" s="68"/>
      <c r="N322" s="738">
        <v>3.9E7</v>
      </c>
      <c r="O322" s="735"/>
      <c r="P322" s="52" t="s">
        <v>2214</v>
      </c>
      <c r="Q322" s="52" t="s">
        <v>2214</v>
      </c>
      <c r="R322" s="737"/>
      <c r="S322" s="735"/>
      <c r="T322" s="737" t="s">
        <v>2246</v>
      </c>
      <c r="U322" s="737"/>
    </row>
    <row r="323">
      <c r="A323" s="733"/>
      <c r="B323" s="52" t="str">
        <f t="shared" si="1"/>
        <v/>
      </c>
      <c r="C323" s="52" t="str">
        <f>IF(A323="","",VLOOKUP(A323,'THAM CHIẾU'!$A:$B,2,0))</f>
        <v/>
      </c>
      <c r="D323" s="52" t="str">
        <f>IF(E323&lt;&gt;0,VLOOKUP(E323,DM_DUAN,3,0),"")</f>
        <v/>
      </c>
      <c r="E323" s="735"/>
      <c r="F323" s="735"/>
      <c r="G323" s="735"/>
      <c r="H323" s="735"/>
      <c r="I323" s="735"/>
      <c r="J323" s="52" t="s">
        <v>2214</v>
      </c>
      <c r="K323" s="52" t="s">
        <v>2214</v>
      </c>
      <c r="L323" s="735"/>
      <c r="M323" s="68"/>
      <c r="N323" s="738">
        <v>0.0</v>
      </c>
      <c r="O323" s="735"/>
      <c r="P323" s="52" t="s">
        <v>2214</v>
      </c>
      <c r="Q323" s="52" t="s">
        <v>2214</v>
      </c>
      <c r="R323" s="737"/>
      <c r="S323" s="735"/>
      <c r="T323" s="737"/>
      <c r="U323" s="737"/>
    </row>
    <row r="324">
      <c r="A324" s="733">
        <v>44743.0</v>
      </c>
      <c r="B324" s="52" t="str">
        <f t="shared" si="1"/>
        <v>07/2022</v>
      </c>
      <c r="C324" s="52" t="str">
        <f>IF(A324="","",VLOOKUP(A324,'THAM CHIẾU'!$A:$B,2,0))</f>
        <v>#N/A</v>
      </c>
      <c r="D324" s="52" t="str">
        <f>IF(E324&lt;&gt;0,VLOOKUP(E324,DM_DUAN,3,0),"")</f>
        <v>THANHNAM</v>
      </c>
      <c r="E324" s="735" t="s">
        <v>175</v>
      </c>
      <c r="F324" s="735"/>
      <c r="G324" s="735"/>
      <c r="H324" s="735"/>
      <c r="I324" s="735"/>
      <c r="J324" s="52" t="s">
        <v>2214</v>
      </c>
      <c r="K324" s="52" t="s">
        <v>2214</v>
      </c>
      <c r="L324" s="735" t="s">
        <v>198</v>
      </c>
      <c r="M324" s="68"/>
      <c r="N324" s="738">
        <v>1.3333333E10</v>
      </c>
      <c r="O324" s="735"/>
      <c r="P324" s="52" t="s">
        <v>2214</v>
      </c>
      <c r="Q324" s="52" t="s">
        <v>2214</v>
      </c>
      <c r="R324" s="737"/>
      <c r="S324" s="735"/>
      <c r="T324" s="737"/>
      <c r="U324" s="737"/>
    </row>
    <row r="325">
      <c r="A325" s="733">
        <v>44743.0</v>
      </c>
      <c r="B325" s="52" t="str">
        <f t="shared" si="1"/>
        <v>07/2022</v>
      </c>
      <c r="C325" s="52" t="str">
        <f>IF(A325="","",VLOOKUP(A325,'THAM CHIẾU'!$A:$B,2,0))</f>
        <v>#N/A</v>
      </c>
      <c r="D325" s="52" t="str">
        <f>IF(E325&lt;&gt;0,VLOOKUP(E325,DM_DUAN,3,0),"")</f>
        <v>NAMPHONG</v>
      </c>
      <c r="E325" s="735" t="s">
        <v>2067</v>
      </c>
      <c r="F325" s="735"/>
      <c r="G325" s="735"/>
      <c r="H325" s="735"/>
      <c r="I325" s="735"/>
      <c r="J325" s="52" t="s">
        <v>2214</v>
      </c>
      <c r="K325" s="52" t="s">
        <v>2214</v>
      </c>
      <c r="L325" s="735" t="s">
        <v>198</v>
      </c>
      <c r="M325" s="68"/>
      <c r="N325" s="738">
        <v>4.0E10</v>
      </c>
      <c r="O325" s="735"/>
      <c r="P325" s="52" t="s">
        <v>2214</v>
      </c>
      <c r="Q325" s="52" t="s">
        <v>2214</v>
      </c>
      <c r="R325" s="737"/>
      <c r="S325" s="735"/>
      <c r="T325" s="737"/>
      <c r="U325" s="737"/>
    </row>
    <row r="326">
      <c r="A326" s="733">
        <v>44743.0</v>
      </c>
      <c r="B326" s="52" t="str">
        <f t="shared" si="1"/>
        <v>07/2022</v>
      </c>
      <c r="C326" s="52" t="str">
        <f>IF(A326="","",VLOOKUP(A326,'THAM CHIẾU'!$A:$B,2,0))</f>
        <v>#N/A</v>
      </c>
      <c r="D326" s="52" t="str">
        <f>IF(E326&lt;&gt;0,VLOOKUP(E326,DM_DUAN,3,0),"")</f>
        <v>NAMSAIGON</v>
      </c>
      <c r="E326" s="735" t="s">
        <v>215</v>
      </c>
      <c r="F326" s="735"/>
      <c r="G326" s="735"/>
      <c r="H326" s="735"/>
      <c r="I326" s="735"/>
      <c r="J326" s="52" t="s">
        <v>2214</v>
      </c>
      <c r="K326" s="52" t="s">
        <v>2214</v>
      </c>
      <c r="L326" s="735" t="s">
        <v>198</v>
      </c>
      <c r="M326" s="68"/>
      <c r="N326" s="738">
        <v>1.3333333E10</v>
      </c>
      <c r="O326" s="735"/>
      <c r="P326" s="52" t="s">
        <v>2214</v>
      </c>
      <c r="Q326" s="52" t="s">
        <v>2214</v>
      </c>
      <c r="R326" s="737"/>
      <c r="S326" s="735"/>
      <c r="T326" s="737"/>
      <c r="U326" s="737"/>
    </row>
    <row r="327">
      <c r="A327" s="733">
        <v>44743.0</v>
      </c>
      <c r="B327" s="52" t="str">
        <f t="shared" si="1"/>
        <v>07/2022</v>
      </c>
      <c r="C327" s="52" t="str">
        <f>IF(A327="","",VLOOKUP(A327,'THAM CHIẾU'!$A:$B,2,0))</f>
        <v>#N/A</v>
      </c>
      <c r="D327" s="52" t="str">
        <f>IF(E327&lt;&gt;0,VLOOKUP(E327,DM_DUAN,3,0),"")</f>
        <v>#N/A</v>
      </c>
      <c r="E327" s="735" t="s">
        <v>2069</v>
      </c>
      <c r="F327" s="735"/>
      <c r="G327" s="735"/>
      <c r="H327" s="735"/>
      <c r="I327" s="735"/>
      <c r="J327" s="52" t="s">
        <v>2214</v>
      </c>
      <c r="K327" s="52" t="s">
        <v>2214</v>
      </c>
      <c r="L327" s="735" t="s">
        <v>198</v>
      </c>
      <c r="M327" s="68"/>
      <c r="N327" s="738">
        <v>0.0</v>
      </c>
      <c r="O327" s="735"/>
      <c r="P327" s="52" t="s">
        <v>2214</v>
      </c>
      <c r="Q327" s="52" t="s">
        <v>2214</v>
      </c>
      <c r="R327" s="737"/>
      <c r="S327" s="735"/>
      <c r="T327" s="737"/>
      <c r="U327" s="737"/>
    </row>
    <row r="328">
      <c r="A328" s="733">
        <v>44743.0</v>
      </c>
      <c r="B328" s="52" t="str">
        <f t="shared" si="1"/>
        <v>07/2022</v>
      </c>
      <c r="C328" s="52" t="str">
        <f>IF(A328="","",VLOOKUP(A328,'THAM CHIẾU'!$A:$B,2,0))</f>
        <v>#N/A</v>
      </c>
      <c r="D328" s="52" t="str">
        <f>IF(E328&lt;&gt;0,VLOOKUP(E328,DM_DUAN,3,0),"")</f>
        <v>KHANGVUONG</v>
      </c>
      <c r="E328" s="735" t="s">
        <v>2070</v>
      </c>
      <c r="F328" s="735"/>
      <c r="G328" s="735"/>
      <c r="H328" s="735"/>
      <c r="I328" s="735"/>
      <c r="J328" s="52" t="s">
        <v>2214</v>
      </c>
      <c r="K328" s="52" t="s">
        <v>2214</v>
      </c>
      <c r="L328" s="735" t="s">
        <v>198</v>
      </c>
      <c r="M328" s="68"/>
      <c r="N328" s="738">
        <v>6.666666E9</v>
      </c>
      <c r="O328" s="735"/>
      <c r="P328" s="52" t="s">
        <v>2214</v>
      </c>
      <c r="Q328" s="52" t="s">
        <v>2214</v>
      </c>
      <c r="R328" s="737"/>
      <c r="S328" s="735"/>
      <c r="T328" s="737"/>
      <c r="U328" s="737"/>
    </row>
    <row r="329">
      <c r="A329" s="733">
        <v>44743.0</v>
      </c>
      <c r="B329" s="52" t="str">
        <f t="shared" si="1"/>
        <v>07/2022</v>
      </c>
      <c r="C329" s="52" t="str">
        <f>IF(A329="","",VLOOKUP(A329,'THAM CHIẾU'!$A:$B,2,0))</f>
        <v>#N/A</v>
      </c>
      <c r="D329" s="52" t="str">
        <f>IF(E329&lt;&gt;0,VLOOKUP(E329,DM_DUAN,3,0),"")</f>
        <v>PHUGIATHINH</v>
      </c>
      <c r="E329" s="735" t="s">
        <v>404</v>
      </c>
      <c r="F329" s="735"/>
      <c r="G329" s="735"/>
      <c r="H329" s="735"/>
      <c r="I329" s="735"/>
      <c r="J329" s="52" t="s">
        <v>2214</v>
      </c>
      <c r="K329" s="52" t="s">
        <v>2214</v>
      </c>
      <c r="L329" s="735" t="s">
        <v>198</v>
      </c>
      <c r="M329" s="68"/>
      <c r="N329" s="738">
        <v>6.666666E9</v>
      </c>
      <c r="O329" s="735"/>
      <c r="P329" s="52" t="s">
        <v>2214</v>
      </c>
      <c r="Q329" s="52" t="s">
        <v>2214</v>
      </c>
      <c r="R329" s="737"/>
      <c r="S329" s="735"/>
      <c r="T329" s="737"/>
      <c r="U329" s="737"/>
    </row>
    <row r="330">
      <c r="A330" s="733">
        <v>44743.0</v>
      </c>
      <c r="B330" s="52" t="str">
        <f t="shared" si="1"/>
        <v>07/2022</v>
      </c>
      <c r="C330" s="52" t="str">
        <f>IF(A330="","",VLOOKUP(A330,'THAM CHIẾU'!$A:$B,2,0))</f>
        <v>#N/A</v>
      </c>
      <c r="D330" s="52" t="str">
        <f>IF(E330&lt;&gt;0,VLOOKUP(E330,DM_DUAN,3,0),"")</f>
        <v>TRANANH</v>
      </c>
      <c r="E330" s="735" t="s">
        <v>2072</v>
      </c>
      <c r="F330" s="735"/>
      <c r="G330" s="735"/>
      <c r="H330" s="735"/>
      <c r="I330" s="735"/>
      <c r="J330" s="52" t="s">
        <v>2214</v>
      </c>
      <c r="K330" s="52" t="s">
        <v>2214</v>
      </c>
      <c r="L330" s="735" t="s">
        <v>198</v>
      </c>
      <c r="M330" s="68"/>
      <c r="N330" s="738">
        <v>1.3333333E10</v>
      </c>
      <c r="O330" s="735"/>
      <c r="P330" s="52" t="s">
        <v>2214</v>
      </c>
      <c r="Q330" s="52" t="s">
        <v>2214</v>
      </c>
      <c r="R330" s="737"/>
      <c r="S330" s="735"/>
      <c r="T330" s="737"/>
      <c r="U330" s="737"/>
    </row>
    <row r="331">
      <c r="A331" s="733">
        <v>44743.0</v>
      </c>
      <c r="B331" s="52" t="str">
        <f t="shared" si="1"/>
        <v>07/2022</v>
      </c>
      <c r="C331" s="52" t="str">
        <f>IF(A331="","",VLOOKUP(A331,'THAM CHIẾU'!$A:$B,2,0))</f>
        <v>#N/A</v>
      </c>
      <c r="D331" s="52" t="str">
        <f>IF(E331&lt;&gt;0,VLOOKUP(E331,DM_DUAN,3,0),"")</f>
        <v>PHITRUONG</v>
      </c>
      <c r="E331" s="735" t="s">
        <v>2073</v>
      </c>
      <c r="F331" s="735"/>
      <c r="G331" s="735"/>
      <c r="H331" s="735"/>
      <c r="I331" s="735"/>
      <c r="J331" s="52" t="s">
        <v>2214</v>
      </c>
      <c r="K331" s="52" t="s">
        <v>2214</v>
      </c>
      <c r="L331" s="735" t="s">
        <v>198</v>
      </c>
      <c r="M331" s="68"/>
      <c r="N331" s="738">
        <v>5.3333333E10</v>
      </c>
      <c r="O331" s="735"/>
      <c r="P331" s="52" t="s">
        <v>2214</v>
      </c>
      <c r="Q331" s="52" t="s">
        <v>2214</v>
      </c>
      <c r="R331" s="737"/>
      <c r="S331" s="735"/>
      <c r="T331" s="737"/>
      <c r="U331" s="737"/>
    </row>
    <row r="332">
      <c r="A332" s="733">
        <v>44743.0</v>
      </c>
      <c r="B332" s="52" t="str">
        <f t="shared" si="1"/>
        <v>07/2022</v>
      </c>
      <c r="C332" s="52" t="str">
        <f>IF(A332="","",VLOOKUP(A332,'THAM CHIẾU'!$A:$B,2,0))</f>
        <v>#N/A</v>
      </c>
      <c r="D332" s="52" t="str">
        <f>IF(E332&lt;&gt;0,VLOOKUP(E332,DM_DUAN,3,0),"")</f>
        <v>HOANGCAT</v>
      </c>
      <c r="E332" s="735" t="s">
        <v>2074</v>
      </c>
      <c r="F332" s="735"/>
      <c r="G332" s="735"/>
      <c r="H332" s="735"/>
      <c r="I332" s="735"/>
      <c r="J332" s="52" t="s">
        <v>2214</v>
      </c>
      <c r="K332" s="52" t="s">
        <v>2214</v>
      </c>
      <c r="L332" s="735" t="s">
        <v>198</v>
      </c>
      <c r="M332" s="68"/>
      <c r="N332" s="738">
        <v>2.6666666E10</v>
      </c>
      <c r="O332" s="735"/>
      <c r="P332" s="52" t="s">
        <v>2214</v>
      </c>
      <c r="Q332" s="52" t="s">
        <v>2214</v>
      </c>
      <c r="R332" s="737"/>
      <c r="S332" s="735"/>
      <c r="T332" s="737"/>
      <c r="U332" s="737"/>
    </row>
    <row r="333">
      <c r="A333" s="733">
        <v>44743.0</v>
      </c>
      <c r="B333" s="52" t="str">
        <f t="shared" si="1"/>
        <v>07/2022</v>
      </c>
      <c r="C333" s="52" t="str">
        <f>IF(A333="","",VLOOKUP(A333,'THAM CHIẾU'!$A:$B,2,0))</f>
        <v>#N/A</v>
      </c>
      <c r="D333" s="52" t="str">
        <f>IF(E333&lt;&gt;0,VLOOKUP(E333,DM_DUAN,3,0),"")</f>
        <v>THANHNAM</v>
      </c>
      <c r="E333" s="735" t="s">
        <v>175</v>
      </c>
      <c r="F333" s="735"/>
      <c r="G333" s="735"/>
      <c r="H333" s="735"/>
      <c r="I333" s="735"/>
      <c r="J333" s="52" t="s">
        <v>2214</v>
      </c>
      <c r="K333" s="52" t="s">
        <v>2214</v>
      </c>
      <c r="L333" s="735" t="s">
        <v>187</v>
      </c>
      <c r="M333" s="68"/>
      <c r="N333" s="738">
        <v>1.23999996E9</v>
      </c>
      <c r="O333" s="735"/>
      <c r="P333" s="52" t="s">
        <v>2214</v>
      </c>
      <c r="Q333" s="52" t="s">
        <v>2214</v>
      </c>
      <c r="R333" s="737"/>
      <c r="S333" s="735"/>
      <c r="T333" s="737"/>
      <c r="U333" s="737"/>
    </row>
    <row r="334">
      <c r="A334" s="733">
        <v>44743.0</v>
      </c>
      <c r="B334" s="52" t="str">
        <f t="shared" si="1"/>
        <v>07/2022</v>
      </c>
      <c r="C334" s="52" t="str">
        <f>IF(A334="","",VLOOKUP(A334,'THAM CHIẾU'!$A:$B,2,0))</f>
        <v>#N/A</v>
      </c>
      <c r="D334" s="52" t="str">
        <f>IF(E334&lt;&gt;0,VLOOKUP(E334,DM_DUAN,3,0),"")</f>
        <v>NAMPHONG</v>
      </c>
      <c r="E334" s="735" t="s">
        <v>2067</v>
      </c>
      <c r="F334" s="735"/>
      <c r="G334" s="735"/>
      <c r="H334" s="735"/>
      <c r="I334" s="735"/>
      <c r="J334" s="52" t="s">
        <v>2214</v>
      </c>
      <c r="K334" s="52" t="s">
        <v>2214</v>
      </c>
      <c r="L334" s="735" t="s">
        <v>187</v>
      </c>
      <c r="M334" s="68"/>
      <c r="N334" s="738">
        <v>4.8E9</v>
      </c>
      <c r="O334" s="735"/>
      <c r="P334" s="52" t="s">
        <v>2214</v>
      </c>
      <c r="Q334" s="52" t="s">
        <v>2214</v>
      </c>
      <c r="R334" s="737"/>
      <c r="S334" s="735"/>
      <c r="T334" s="737"/>
      <c r="U334" s="737"/>
    </row>
    <row r="335">
      <c r="A335" s="733">
        <v>44743.0</v>
      </c>
      <c r="B335" s="52" t="str">
        <f t="shared" si="1"/>
        <v>07/2022</v>
      </c>
      <c r="C335" s="52" t="str">
        <f>IF(A335="","",VLOOKUP(A335,'THAM CHIẾU'!$A:$B,2,0))</f>
        <v>#N/A</v>
      </c>
      <c r="D335" s="52" t="str">
        <f>IF(E335&lt;&gt;0,VLOOKUP(E335,DM_DUAN,3,0),"")</f>
        <v>NAMSAIGON</v>
      </c>
      <c r="E335" s="735" t="s">
        <v>215</v>
      </c>
      <c r="F335" s="735"/>
      <c r="G335" s="735"/>
      <c r="H335" s="735"/>
      <c r="I335" s="735"/>
      <c r="J335" s="52" t="s">
        <v>2214</v>
      </c>
      <c r="K335" s="52" t="s">
        <v>2214</v>
      </c>
      <c r="L335" s="735" t="s">
        <v>187</v>
      </c>
      <c r="M335" s="68"/>
      <c r="N335" s="738">
        <v>1.59999996E9</v>
      </c>
      <c r="O335" s="735"/>
      <c r="P335" s="52" t="s">
        <v>2214</v>
      </c>
      <c r="Q335" s="52" t="s">
        <v>2214</v>
      </c>
      <c r="R335" s="737"/>
      <c r="S335" s="735"/>
      <c r="T335" s="737"/>
      <c r="U335" s="737"/>
    </row>
    <row r="336">
      <c r="A336" s="733">
        <v>44743.0</v>
      </c>
      <c r="B336" s="52" t="str">
        <f t="shared" si="1"/>
        <v>07/2022</v>
      </c>
      <c r="C336" s="52" t="str">
        <f>IF(A336="","",VLOOKUP(A336,'THAM CHIẾU'!$A:$B,2,0))</f>
        <v>#N/A</v>
      </c>
      <c r="D336" s="52" t="str">
        <f>IF(E336&lt;&gt;0,VLOOKUP(E336,DM_DUAN,3,0),"")</f>
        <v>#N/A</v>
      </c>
      <c r="E336" s="735" t="s">
        <v>2069</v>
      </c>
      <c r="F336" s="735"/>
      <c r="G336" s="735"/>
      <c r="H336" s="735"/>
      <c r="I336" s="735"/>
      <c r="J336" s="52" t="s">
        <v>2214</v>
      </c>
      <c r="K336" s="52" t="s">
        <v>2214</v>
      </c>
      <c r="L336" s="735" t="s">
        <v>187</v>
      </c>
      <c r="M336" s="68"/>
      <c r="N336" s="738">
        <v>0.0</v>
      </c>
      <c r="O336" s="735"/>
      <c r="P336" s="52" t="s">
        <v>2214</v>
      </c>
      <c r="Q336" s="52" t="s">
        <v>2214</v>
      </c>
      <c r="R336" s="737"/>
      <c r="S336" s="735"/>
      <c r="T336" s="737"/>
      <c r="U336" s="737"/>
    </row>
    <row r="337">
      <c r="A337" s="733">
        <v>44743.0</v>
      </c>
      <c r="B337" s="52" t="str">
        <f t="shared" si="1"/>
        <v>07/2022</v>
      </c>
      <c r="C337" s="52" t="str">
        <f>IF(A337="","",VLOOKUP(A337,'THAM CHIẾU'!$A:$B,2,0))</f>
        <v>#N/A</v>
      </c>
      <c r="D337" s="52" t="str">
        <f>IF(E337&lt;&gt;0,VLOOKUP(E337,DM_DUAN,3,0),"")</f>
        <v>KHANGVUONG</v>
      </c>
      <c r="E337" s="735" t="s">
        <v>2070</v>
      </c>
      <c r="F337" s="735"/>
      <c r="G337" s="735"/>
      <c r="H337" s="735"/>
      <c r="I337" s="735"/>
      <c r="J337" s="52" t="s">
        <v>2214</v>
      </c>
      <c r="K337" s="52" t="s">
        <v>2214</v>
      </c>
      <c r="L337" s="735" t="s">
        <v>187</v>
      </c>
      <c r="M337" s="68"/>
      <c r="N337" s="738">
        <v>7.9999992E8</v>
      </c>
      <c r="O337" s="735"/>
      <c r="P337" s="52" t="s">
        <v>2214</v>
      </c>
      <c r="Q337" s="52" t="s">
        <v>2214</v>
      </c>
      <c r="R337" s="737"/>
      <c r="S337" s="735"/>
      <c r="T337" s="737"/>
      <c r="U337" s="737"/>
    </row>
    <row r="338">
      <c r="A338" s="733">
        <v>44743.0</v>
      </c>
      <c r="B338" s="52" t="str">
        <f t="shared" si="1"/>
        <v>07/2022</v>
      </c>
      <c r="C338" s="52" t="str">
        <f>IF(A338="","",VLOOKUP(A338,'THAM CHIẾU'!$A:$B,2,0))</f>
        <v>#N/A</v>
      </c>
      <c r="D338" s="52" t="str">
        <f>IF(E338&lt;&gt;0,VLOOKUP(E338,DM_DUAN,3,0),"")</f>
        <v>PHUGIATHINH</v>
      </c>
      <c r="E338" s="735" t="s">
        <v>404</v>
      </c>
      <c r="F338" s="735"/>
      <c r="G338" s="735"/>
      <c r="H338" s="735"/>
      <c r="I338" s="735"/>
      <c r="J338" s="52" t="s">
        <v>2214</v>
      </c>
      <c r="K338" s="52" t="s">
        <v>2214</v>
      </c>
      <c r="L338" s="735" t="s">
        <v>187</v>
      </c>
      <c r="M338" s="68"/>
      <c r="N338" s="738">
        <v>7.9999992E8</v>
      </c>
      <c r="O338" s="735"/>
      <c r="P338" s="52" t="s">
        <v>2214</v>
      </c>
      <c r="Q338" s="52" t="s">
        <v>2214</v>
      </c>
      <c r="R338" s="737"/>
      <c r="S338" s="735"/>
      <c r="T338" s="737"/>
      <c r="U338" s="737"/>
    </row>
    <row r="339">
      <c r="A339" s="733">
        <v>44743.0</v>
      </c>
      <c r="B339" s="52" t="str">
        <f t="shared" si="1"/>
        <v>07/2022</v>
      </c>
      <c r="C339" s="52" t="str">
        <f>IF(A339="","",VLOOKUP(A339,'THAM CHIẾU'!$A:$B,2,0))</f>
        <v>#N/A</v>
      </c>
      <c r="D339" s="52" t="str">
        <f>IF(E339&lt;&gt;0,VLOOKUP(E339,DM_DUAN,3,0),"")</f>
        <v>TRANANH</v>
      </c>
      <c r="E339" s="735" t="s">
        <v>2072</v>
      </c>
      <c r="F339" s="735"/>
      <c r="G339" s="735"/>
      <c r="H339" s="735"/>
      <c r="I339" s="735"/>
      <c r="J339" s="52" t="s">
        <v>2214</v>
      </c>
      <c r="K339" s="52" t="s">
        <v>2214</v>
      </c>
      <c r="L339" s="735" t="s">
        <v>187</v>
      </c>
      <c r="M339" s="68"/>
      <c r="N339" s="738">
        <v>1.59999996E9</v>
      </c>
      <c r="O339" s="735"/>
      <c r="P339" s="52" t="s">
        <v>2214</v>
      </c>
      <c r="Q339" s="52" t="s">
        <v>2214</v>
      </c>
      <c r="R339" s="737"/>
      <c r="S339" s="735"/>
      <c r="T339" s="737"/>
      <c r="U339" s="737"/>
    </row>
    <row r="340">
      <c r="A340" s="733">
        <v>44743.0</v>
      </c>
      <c r="B340" s="52" t="str">
        <f t="shared" si="1"/>
        <v>07/2022</v>
      </c>
      <c r="C340" s="52" t="str">
        <f>IF(A340="","",VLOOKUP(A340,'THAM CHIẾU'!$A:$B,2,0))</f>
        <v>#N/A</v>
      </c>
      <c r="D340" s="52" t="str">
        <f>IF(E340&lt;&gt;0,VLOOKUP(E340,DM_DUAN,3,0),"")</f>
        <v>PHITRUONG</v>
      </c>
      <c r="E340" s="735" t="s">
        <v>2073</v>
      </c>
      <c r="F340" s="735"/>
      <c r="G340" s="735"/>
      <c r="H340" s="735"/>
      <c r="I340" s="735"/>
      <c r="J340" s="52" t="s">
        <v>2214</v>
      </c>
      <c r="K340" s="52" t="s">
        <v>2214</v>
      </c>
      <c r="L340" s="735" t="s">
        <v>187</v>
      </c>
      <c r="M340" s="68"/>
      <c r="N340" s="738">
        <v>6.39999996E9</v>
      </c>
      <c r="O340" s="735"/>
      <c r="P340" s="52" t="s">
        <v>2214</v>
      </c>
      <c r="Q340" s="52" t="s">
        <v>2214</v>
      </c>
      <c r="R340" s="737"/>
      <c r="S340" s="735"/>
      <c r="T340" s="737"/>
      <c r="U340" s="737"/>
    </row>
    <row r="341">
      <c r="A341" s="733">
        <v>44743.0</v>
      </c>
      <c r="B341" s="52" t="str">
        <f t="shared" si="1"/>
        <v>07/2022</v>
      </c>
      <c r="C341" s="52" t="str">
        <f>IF(A341="","",VLOOKUP(A341,'THAM CHIẾU'!$A:$B,2,0))</f>
        <v>#N/A</v>
      </c>
      <c r="D341" s="52" t="str">
        <f>IF(E341&lt;&gt;0,VLOOKUP(E341,DM_DUAN,3,0),"")</f>
        <v>HOANGCAT</v>
      </c>
      <c r="E341" s="735" t="s">
        <v>2074</v>
      </c>
      <c r="F341" s="735"/>
      <c r="G341" s="735"/>
      <c r="H341" s="735"/>
      <c r="I341" s="735"/>
      <c r="J341" s="52" t="s">
        <v>2214</v>
      </c>
      <c r="K341" s="52" t="s">
        <v>2214</v>
      </c>
      <c r="L341" s="735" t="s">
        <v>187</v>
      </c>
      <c r="M341" s="68"/>
      <c r="N341" s="738">
        <v>3.19999992E9</v>
      </c>
      <c r="O341" s="735"/>
      <c r="P341" s="52" t="s">
        <v>2214</v>
      </c>
      <c r="Q341" s="52" t="s">
        <v>2214</v>
      </c>
      <c r="R341" s="737"/>
      <c r="S341" s="735"/>
      <c r="T341" s="737"/>
      <c r="U341" s="737"/>
    </row>
    <row r="342">
      <c r="A342" s="733">
        <v>44743.0</v>
      </c>
      <c r="B342" s="52" t="str">
        <f t="shared" si="1"/>
        <v>07/2022</v>
      </c>
      <c r="C342" s="52" t="str">
        <f>IF(A342="","",VLOOKUP(A342,'THAM CHIẾU'!$A:$B,2,0))</f>
        <v>#N/A</v>
      </c>
      <c r="D342" s="52" t="str">
        <f>IF(E342&lt;&gt;0,VLOOKUP(E342,DM_DUAN,3,0),"")</f>
        <v/>
      </c>
      <c r="E342" s="735"/>
      <c r="F342" s="735"/>
      <c r="G342" s="735" t="s">
        <v>207</v>
      </c>
      <c r="H342" s="735"/>
      <c r="I342" s="735"/>
      <c r="J342" s="52" t="s">
        <v>2214</v>
      </c>
      <c r="K342" s="52" t="s">
        <v>2214</v>
      </c>
      <c r="L342" s="735" t="s">
        <v>2215</v>
      </c>
      <c r="M342" s="68"/>
      <c r="N342" s="738">
        <v>43000.0</v>
      </c>
      <c r="O342" s="735"/>
      <c r="P342" s="52" t="s">
        <v>2214</v>
      </c>
      <c r="Q342" s="52" t="s">
        <v>2214</v>
      </c>
      <c r="R342" s="737"/>
      <c r="S342" s="735"/>
      <c r="T342" s="737" t="s">
        <v>2216</v>
      </c>
      <c r="U342" s="737"/>
    </row>
    <row r="343">
      <c r="A343" s="733">
        <v>44743.0</v>
      </c>
      <c r="B343" s="52" t="str">
        <f t="shared" si="1"/>
        <v>07/2022</v>
      </c>
      <c r="C343" s="52" t="str">
        <f>IF(A343="","",VLOOKUP(A343,'THAM CHIẾU'!$A:$B,2,0))</f>
        <v>#N/A</v>
      </c>
      <c r="D343" s="52" t="str">
        <f>IF(E343&lt;&gt;0,VLOOKUP(E343,DM_DUAN,3,0),"")</f>
        <v/>
      </c>
      <c r="E343" s="735"/>
      <c r="F343" s="735"/>
      <c r="G343" s="735"/>
      <c r="H343" s="735"/>
      <c r="I343" s="735"/>
      <c r="J343" s="52" t="s">
        <v>2214</v>
      </c>
      <c r="K343" s="52" t="s">
        <v>2214</v>
      </c>
      <c r="L343" s="735" t="s">
        <v>419</v>
      </c>
      <c r="M343" s="68"/>
      <c r="N343" s="738">
        <v>166000.0</v>
      </c>
      <c r="O343" s="735"/>
      <c r="P343" s="52" t="s">
        <v>2214</v>
      </c>
      <c r="Q343" s="52" t="s">
        <v>2214</v>
      </c>
      <c r="R343" s="737"/>
      <c r="S343" s="735"/>
      <c r="T343" s="737" t="s">
        <v>2217</v>
      </c>
      <c r="U343" s="737"/>
    </row>
    <row r="344">
      <c r="A344" s="733">
        <v>44743.0</v>
      </c>
      <c r="B344" s="52" t="str">
        <f t="shared" si="1"/>
        <v>07/2022</v>
      </c>
      <c r="C344" s="52" t="str">
        <f>IF(A344="","",VLOOKUP(A344,'THAM CHIẾU'!$A:$B,2,0))</f>
        <v>#N/A</v>
      </c>
      <c r="D344" s="52" t="str">
        <f>IF(E344&lt;&gt;0,VLOOKUP(E344,DM_DUAN,3,0),"")</f>
        <v/>
      </c>
      <c r="E344" s="735"/>
      <c r="F344" s="735"/>
      <c r="G344" s="735"/>
      <c r="H344" s="735"/>
      <c r="I344" s="735"/>
      <c r="J344" s="52" t="s">
        <v>2214</v>
      </c>
      <c r="K344" s="52" t="s">
        <v>2214</v>
      </c>
      <c r="L344" s="735" t="s">
        <v>573</v>
      </c>
      <c r="M344" s="68"/>
      <c r="N344" s="738">
        <v>250000.0</v>
      </c>
      <c r="O344" s="735"/>
      <c r="P344" s="52" t="s">
        <v>2214</v>
      </c>
      <c r="Q344" s="52" t="s">
        <v>2214</v>
      </c>
      <c r="R344" s="737"/>
      <c r="S344" s="735"/>
      <c r="T344" s="737" t="s">
        <v>2218</v>
      </c>
      <c r="U344" s="737"/>
    </row>
    <row r="345">
      <c r="A345" s="733">
        <v>44743.0</v>
      </c>
      <c r="B345" s="52" t="str">
        <f t="shared" si="1"/>
        <v>07/2022</v>
      </c>
      <c r="C345" s="52" t="str">
        <f>IF(A345="","",VLOOKUP(A345,'THAM CHIẾU'!$A:$B,2,0))</f>
        <v>#N/A</v>
      </c>
      <c r="D345" s="52" t="str">
        <f>IF(E345&lt;&gt;0,VLOOKUP(E345,DM_DUAN,3,0),"")</f>
        <v/>
      </c>
      <c r="E345" s="735"/>
      <c r="F345" s="735"/>
      <c r="G345" s="735"/>
      <c r="H345" s="735"/>
      <c r="I345" s="735"/>
      <c r="J345" s="52" t="s">
        <v>2214</v>
      </c>
      <c r="K345" s="52" t="s">
        <v>2214</v>
      </c>
      <c r="L345" s="735" t="s">
        <v>1273</v>
      </c>
      <c r="M345" s="68"/>
      <c r="N345" s="738">
        <v>328000.0</v>
      </c>
      <c r="O345" s="735"/>
      <c r="P345" s="52" t="s">
        <v>2214</v>
      </c>
      <c r="Q345" s="52" t="s">
        <v>2214</v>
      </c>
      <c r="R345" s="737"/>
      <c r="S345" s="735"/>
      <c r="T345" s="737" t="s">
        <v>1273</v>
      </c>
      <c r="U345" s="737"/>
    </row>
    <row r="346">
      <c r="A346" s="733">
        <v>44743.0</v>
      </c>
      <c r="B346" s="52" t="str">
        <f t="shared" si="1"/>
        <v>07/2022</v>
      </c>
      <c r="C346" s="52" t="str">
        <f>IF(A346="","",VLOOKUP(A346,'THAM CHIẾU'!$A:$B,2,0))</f>
        <v>#N/A</v>
      </c>
      <c r="D346" s="52" t="str">
        <f>IF(E346&lt;&gt;0,VLOOKUP(E346,DM_DUAN,3,0),"")</f>
        <v/>
      </c>
      <c r="E346" s="735"/>
      <c r="F346" s="735"/>
      <c r="G346" s="735"/>
      <c r="H346" s="735"/>
      <c r="I346" s="735"/>
      <c r="J346" s="52" t="s">
        <v>2214</v>
      </c>
      <c r="K346" s="52" t="s">
        <v>2214</v>
      </c>
      <c r="L346" s="735" t="s">
        <v>1153</v>
      </c>
      <c r="M346" s="68"/>
      <c r="N346" s="738">
        <v>8333000.0</v>
      </c>
      <c r="O346" s="735"/>
      <c r="P346" s="52" t="s">
        <v>2214</v>
      </c>
      <c r="Q346" s="52" t="s">
        <v>2214</v>
      </c>
      <c r="R346" s="737"/>
      <c r="S346" s="735"/>
      <c r="T346" s="737" t="s">
        <v>2219</v>
      </c>
      <c r="U346" s="737"/>
    </row>
    <row r="347">
      <c r="A347" s="733">
        <v>44743.0</v>
      </c>
      <c r="B347" s="52" t="str">
        <f t="shared" si="1"/>
        <v>07/2022</v>
      </c>
      <c r="C347" s="52" t="str">
        <f>IF(A347="","",VLOOKUP(A347,'THAM CHIẾU'!$A:$B,2,0))</f>
        <v>#N/A</v>
      </c>
      <c r="D347" s="52" t="str">
        <f>IF(E347&lt;&gt;0,VLOOKUP(E347,DM_DUAN,3,0),"")</f>
        <v/>
      </c>
      <c r="E347" s="735"/>
      <c r="F347" s="735"/>
      <c r="G347" s="735"/>
      <c r="H347" s="735"/>
      <c r="I347" s="735"/>
      <c r="J347" s="52" t="s">
        <v>2214</v>
      </c>
      <c r="K347" s="52" t="s">
        <v>2214</v>
      </c>
      <c r="L347" s="735" t="s">
        <v>2220</v>
      </c>
      <c r="M347" s="68"/>
      <c r="N347" s="738">
        <v>416000.0</v>
      </c>
      <c r="O347" s="735"/>
      <c r="P347" s="52" t="s">
        <v>2214</v>
      </c>
      <c r="Q347" s="52" t="s">
        <v>2214</v>
      </c>
      <c r="R347" s="737"/>
      <c r="S347" s="735"/>
      <c r="T347" s="737" t="s">
        <v>2221</v>
      </c>
      <c r="U347" s="737"/>
    </row>
    <row r="348">
      <c r="A348" s="733">
        <v>44743.0</v>
      </c>
      <c r="B348" s="52" t="str">
        <f t="shared" si="1"/>
        <v>07/2022</v>
      </c>
      <c r="C348" s="52" t="str">
        <f>IF(A348="","",VLOOKUP(A348,'THAM CHIẾU'!$A:$B,2,0))</f>
        <v>#N/A</v>
      </c>
      <c r="D348" s="52" t="str">
        <f>IF(E348&lt;&gt;0,VLOOKUP(E348,DM_DUAN,3,0),"")</f>
        <v/>
      </c>
      <c r="E348" s="735"/>
      <c r="F348" s="735"/>
      <c r="G348" s="735"/>
      <c r="H348" s="735"/>
      <c r="I348" s="735"/>
      <c r="J348" s="52" t="s">
        <v>2214</v>
      </c>
      <c r="K348" s="52" t="s">
        <v>2214</v>
      </c>
      <c r="L348" s="735" t="s">
        <v>262</v>
      </c>
      <c r="M348" s="68"/>
      <c r="N348" s="738">
        <v>833000.0</v>
      </c>
      <c r="O348" s="735"/>
      <c r="P348" s="52" t="s">
        <v>2214</v>
      </c>
      <c r="Q348" s="52" t="s">
        <v>2214</v>
      </c>
      <c r="R348" s="737"/>
      <c r="S348" s="735"/>
      <c r="T348" s="737" t="s">
        <v>2222</v>
      </c>
      <c r="U348" s="737"/>
    </row>
    <row r="349">
      <c r="A349" s="733">
        <v>44743.0</v>
      </c>
      <c r="B349" s="52" t="str">
        <f t="shared" si="1"/>
        <v>07/2022</v>
      </c>
      <c r="C349" s="52" t="str">
        <f>IF(A349="","",VLOOKUP(A349,'THAM CHIẾU'!$A:$B,2,0))</f>
        <v>#N/A</v>
      </c>
      <c r="D349" s="52" t="str">
        <f>IF(E349&lt;&gt;0,VLOOKUP(E349,DM_DUAN,3,0),"")</f>
        <v/>
      </c>
      <c r="E349" s="735"/>
      <c r="F349" s="735"/>
      <c r="G349" s="735"/>
      <c r="H349" s="735"/>
      <c r="I349" s="735"/>
      <c r="J349" s="52" t="s">
        <v>2214</v>
      </c>
      <c r="K349" s="52" t="s">
        <v>2214</v>
      </c>
      <c r="L349" s="735" t="s">
        <v>2223</v>
      </c>
      <c r="M349" s="68"/>
      <c r="N349" s="738">
        <v>4166000.0</v>
      </c>
      <c r="O349" s="735"/>
      <c r="P349" s="52" t="s">
        <v>2214</v>
      </c>
      <c r="Q349" s="52" t="s">
        <v>2214</v>
      </c>
      <c r="R349" s="737"/>
      <c r="S349" s="735"/>
      <c r="T349" s="737" t="s">
        <v>2224</v>
      </c>
      <c r="U349" s="737"/>
    </row>
    <row r="350">
      <c r="A350" s="733">
        <v>44743.0</v>
      </c>
      <c r="B350" s="52" t="str">
        <f t="shared" si="1"/>
        <v>07/2022</v>
      </c>
      <c r="C350" s="52" t="str">
        <f>IF(A350="","",VLOOKUP(A350,'THAM CHIẾU'!$A:$B,2,0))</f>
        <v>#N/A</v>
      </c>
      <c r="D350" s="52" t="str">
        <f>IF(E350&lt;&gt;0,VLOOKUP(E350,DM_DUAN,3,0),"")</f>
        <v/>
      </c>
      <c r="E350" s="735"/>
      <c r="F350" s="735"/>
      <c r="G350" s="735" t="s">
        <v>176</v>
      </c>
      <c r="H350" s="735"/>
      <c r="I350" s="735"/>
      <c r="J350" s="52" t="s">
        <v>2214</v>
      </c>
      <c r="K350" s="52" t="s">
        <v>2214</v>
      </c>
      <c r="L350" s="735" t="s">
        <v>374</v>
      </c>
      <c r="M350" s="68"/>
      <c r="N350" s="738">
        <v>1666000.0</v>
      </c>
      <c r="O350" s="735"/>
      <c r="P350" s="52" t="s">
        <v>2214</v>
      </c>
      <c r="Q350" s="52" t="s">
        <v>2214</v>
      </c>
      <c r="R350" s="737"/>
      <c r="S350" s="735"/>
      <c r="T350" s="737" t="s">
        <v>2225</v>
      </c>
      <c r="U350" s="737"/>
    </row>
    <row r="351">
      <c r="A351" s="733">
        <v>44743.0</v>
      </c>
      <c r="B351" s="52" t="str">
        <f t="shared" si="1"/>
        <v>07/2022</v>
      </c>
      <c r="C351" s="52" t="str">
        <f>IF(A351="","",VLOOKUP(A351,'THAM CHIẾU'!$A:$B,2,0))</f>
        <v>#N/A</v>
      </c>
      <c r="D351" s="52" t="str">
        <f>IF(E351&lt;&gt;0,VLOOKUP(E351,DM_DUAN,3,0),"")</f>
        <v/>
      </c>
      <c r="E351" s="735"/>
      <c r="F351" s="735"/>
      <c r="G351" s="735"/>
      <c r="H351" s="735"/>
      <c r="I351" s="735"/>
      <c r="J351" s="52" t="s">
        <v>2214</v>
      </c>
      <c r="K351" s="52" t="s">
        <v>2214</v>
      </c>
      <c r="L351" s="735" t="s">
        <v>380</v>
      </c>
      <c r="M351" s="68"/>
      <c r="N351" s="738">
        <v>1666000.0</v>
      </c>
      <c r="O351" s="735"/>
      <c r="P351" s="52" t="s">
        <v>2214</v>
      </c>
      <c r="Q351" s="52" t="s">
        <v>2214</v>
      </c>
      <c r="R351" s="737"/>
      <c r="S351" s="735"/>
      <c r="T351" s="737" t="s">
        <v>2226</v>
      </c>
      <c r="U351" s="737"/>
    </row>
    <row r="352">
      <c r="A352" s="733">
        <v>44743.0</v>
      </c>
      <c r="B352" s="52" t="str">
        <f t="shared" si="1"/>
        <v>07/2022</v>
      </c>
      <c r="C352" s="52" t="str">
        <f>IF(A352="","",VLOOKUP(A352,'THAM CHIẾU'!$A:$B,2,0))</f>
        <v>#N/A</v>
      </c>
      <c r="D352" s="52" t="str">
        <f>IF(E352&lt;&gt;0,VLOOKUP(E352,DM_DUAN,3,0),"")</f>
        <v/>
      </c>
      <c r="E352" s="735"/>
      <c r="F352" s="735"/>
      <c r="G352" s="735"/>
      <c r="H352" s="735"/>
      <c r="I352" s="735"/>
      <c r="J352" s="52" t="s">
        <v>2214</v>
      </c>
      <c r="K352" s="52" t="s">
        <v>2214</v>
      </c>
      <c r="L352" s="735" t="s">
        <v>272</v>
      </c>
      <c r="M352" s="68"/>
      <c r="N352" s="738">
        <v>6666000.0</v>
      </c>
      <c r="O352" s="735"/>
      <c r="P352" s="52" t="s">
        <v>2214</v>
      </c>
      <c r="Q352" s="52" t="s">
        <v>2214</v>
      </c>
      <c r="R352" s="737"/>
      <c r="S352" s="735"/>
      <c r="T352" s="737" t="s">
        <v>2227</v>
      </c>
      <c r="U352" s="737"/>
    </row>
    <row r="353">
      <c r="A353" s="733">
        <v>44743.0</v>
      </c>
      <c r="B353" s="52" t="str">
        <f t="shared" si="1"/>
        <v>07/2022</v>
      </c>
      <c r="C353" s="52" t="str">
        <f>IF(A353="","",VLOOKUP(A353,'THAM CHIẾU'!$A:$B,2,0))</f>
        <v>#N/A</v>
      </c>
      <c r="D353" s="52" t="str">
        <f>IF(E353&lt;&gt;0,VLOOKUP(E353,DM_DUAN,3,0),"")</f>
        <v/>
      </c>
      <c r="E353" s="735"/>
      <c r="F353" s="735"/>
      <c r="G353" s="735"/>
      <c r="H353" s="735"/>
      <c r="I353" s="735"/>
      <c r="J353" s="52" t="s">
        <v>2214</v>
      </c>
      <c r="K353" s="52" t="s">
        <v>2214</v>
      </c>
      <c r="L353" s="735" t="s">
        <v>380</v>
      </c>
      <c r="M353" s="68"/>
      <c r="N353" s="738">
        <v>833000.0</v>
      </c>
      <c r="O353" s="735"/>
      <c r="P353" s="52" t="s">
        <v>2214</v>
      </c>
      <c r="Q353" s="52" t="s">
        <v>2214</v>
      </c>
      <c r="R353" s="737"/>
      <c r="S353" s="735"/>
      <c r="T353" s="737" t="s">
        <v>2228</v>
      </c>
      <c r="U353" s="737"/>
    </row>
    <row r="354">
      <c r="A354" s="733">
        <v>44743.0</v>
      </c>
      <c r="B354" s="52" t="str">
        <f t="shared" si="1"/>
        <v>07/2022</v>
      </c>
      <c r="C354" s="52" t="str">
        <f>IF(A354="","",VLOOKUP(A354,'THAM CHIẾU'!$A:$B,2,0))</f>
        <v>#N/A</v>
      </c>
      <c r="D354" s="52" t="str">
        <f>IF(E354&lt;&gt;0,VLOOKUP(E354,DM_DUAN,3,0),"")</f>
        <v/>
      </c>
      <c r="E354" s="735"/>
      <c r="F354" s="735"/>
      <c r="G354" s="735"/>
      <c r="H354" s="735"/>
      <c r="I354" s="735"/>
      <c r="J354" s="52" t="s">
        <v>2214</v>
      </c>
      <c r="K354" s="52" t="s">
        <v>2214</v>
      </c>
      <c r="L354" s="735" t="s">
        <v>222</v>
      </c>
      <c r="M354" s="68"/>
      <c r="N354" s="738">
        <v>416000.0</v>
      </c>
      <c r="O354" s="735"/>
      <c r="P354" s="52" t="s">
        <v>2214</v>
      </c>
      <c r="Q354" s="52" t="s">
        <v>2214</v>
      </c>
      <c r="R354" s="737"/>
      <c r="S354" s="735"/>
      <c r="T354" s="737" t="s">
        <v>2229</v>
      </c>
      <c r="U354" s="737"/>
    </row>
    <row r="355">
      <c r="A355" s="733">
        <v>44743.0</v>
      </c>
      <c r="B355" s="52" t="str">
        <f t="shared" si="1"/>
        <v>07/2022</v>
      </c>
      <c r="C355" s="52" t="str">
        <f>IF(A355="","",VLOOKUP(A355,'THAM CHIẾU'!$A:$B,2,0))</f>
        <v>#N/A</v>
      </c>
      <c r="D355" s="52" t="str">
        <f>IF(E355&lt;&gt;0,VLOOKUP(E355,DM_DUAN,3,0),"")</f>
        <v/>
      </c>
      <c r="E355" s="735"/>
      <c r="F355" s="735"/>
      <c r="G355" s="735"/>
      <c r="H355" s="735"/>
      <c r="I355" s="735"/>
      <c r="J355" s="52" t="s">
        <v>2214</v>
      </c>
      <c r="K355" s="52" t="s">
        <v>2214</v>
      </c>
      <c r="L355" s="735" t="s">
        <v>267</v>
      </c>
      <c r="M355" s="68"/>
      <c r="N355" s="738">
        <v>3.184E8</v>
      </c>
      <c r="O355" s="735"/>
      <c r="P355" s="52" t="s">
        <v>2214</v>
      </c>
      <c r="Q355" s="52" t="s">
        <v>2214</v>
      </c>
      <c r="R355" s="737"/>
      <c r="S355" s="735"/>
      <c r="T355" s="737" t="s">
        <v>2230</v>
      </c>
      <c r="U355" s="737"/>
    </row>
    <row r="356">
      <c r="A356" s="733">
        <v>44743.0</v>
      </c>
      <c r="B356" s="52" t="str">
        <f t="shared" si="1"/>
        <v>07/2022</v>
      </c>
      <c r="C356" s="52" t="str">
        <f>IF(A356="","",VLOOKUP(A356,'THAM CHIẾU'!$A:$B,2,0))</f>
        <v>#N/A</v>
      </c>
      <c r="D356" s="52" t="str">
        <f>IF(E356&lt;&gt;0,VLOOKUP(E356,DM_DUAN,3,0),"")</f>
        <v/>
      </c>
      <c r="E356" s="735"/>
      <c r="F356" s="735"/>
      <c r="G356" s="735"/>
      <c r="H356" s="735"/>
      <c r="I356" s="735"/>
      <c r="J356" s="52" t="s">
        <v>2214</v>
      </c>
      <c r="K356" s="52" t="s">
        <v>2214</v>
      </c>
      <c r="L356" s="735" t="s">
        <v>270</v>
      </c>
      <c r="M356" s="68"/>
      <c r="N356" s="738">
        <v>4.5143E7</v>
      </c>
      <c r="O356" s="735"/>
      <c r="P356" s="52" t="s">
        <v>2214</v>
      </c>
      <c r="Q356" s="52" t="s">
        <v>2214</v>
      </c>
      <c r="R356" s="737"/>
      <c r="S356" s="735"/>
      <c r="T356" s="737" t="s">
        <v>2231</v>
      </c>
      <c r="U356" s="737"/>
    </row>
    <row r="357">
      <c r="A357" s="733">
        <v>44743.0</v>
      </c>
      <c r="B357" s="52" t="str">
        <f t="shared" si="1"/>
        <v>07/2022</v>
      </c>
      <c r="C357" s="52" t="str">
        <f>IF(A357="","",VLOOKUP(A357,'THAM CHIẾU'!$A:$B,2,0))</f>
        <v>#N/A</v>
      </c>
      <c r="D357" s="52" t="str">
        <f>IF(E357&lt;&gt;0,VLOOKUP(E357,DM_DUAN,3,0),"")</f>
        <v/>
      </c>
      <c r="E357" s="735"/>
      <c r="F357" s="735"/>
      <c r="G357" s="735"/>
      <c r="H357" s="735"/>
      <c r="I357" s="735"/>
      <c r="J357" s="52" t="s">
        <v>2214</v>
      </c>
      <c r="K357" s="52" t="s">
        <v>2214</v>
      </c>
      <c r="L357" s="735" t="s">
        <v>410</v>
      </c>
      <c r="M357" s="68"/>
      <c r="N357" s="738">
        <v>1250000.0</v>
      </c>
      <c r="O357" s="735"/>
      <c r="P357" s="52" t="s">
        <v>2214</v>
      </c>
      <c r="Q357" s="52" t="s">
        <v>2214</v>
      </c>
      <c r="R357" s="737"/>
      <c r="S357" s="735"/>
      <c r="T357" s="737" t="s">
        <v>410</v>
      </c>
      <c r="U357" s="737"/>
    </row>
    <row r="358">
      <c r="A358" s="733">
        <v>44743.0</v>
      </c>
      <c r="B358" s="52" t="str">
        <f t="shared" si="1"/>
        <v>07/2022</v>
      </c>
      <c r="C358" s="52" t="str">
        <f>IF(A358="","",VLOOKUP(A358,'THAM CHIẾU'!$A:$B,2,0))</f>
        <v>#N/A</v>
      </c>
      <c r="D358" s="52" t="str">
        <f>IF(E358&lt;&gt;0,VLOOKUP(E358,DM_DUAN,3,0),"")</f>
        <v/>
      </c>
      <c r="E358" s="735"/>
      <c r="F358" s="735"/>
      <c r="G358" s="735"/>
      <c r="H358" s="735"/>
      <c r="I358" s="735"/>
      <c r="J358" s="52" t="s">
        <v>2214</v>
      </c>
      <c r="K358" s="52" t="s">
        <v>2214</v>
      </c>
      <c r="L358" s="735" t="s">
        <v>252</v>
      </c>
      <c r="M358" s="68"/>
      <c r="N358" s="738">
        <v>1.6666E7</v>
      </c>
      <c r="O358" s="735"/>
      <c r="P358" s="52" t="s">
        <v>2214</v>
      </c>
      <c r="Q358" s="52" t="s">
        <v>2214</v>
      </c>
      <c r="R358" s="737"/>
      <c r="S358" s="735"/>
      <c r="T358" s="737" t="s">
        <v>2232</v>
      </c>
      <c r="U358" s="737"/>
    </row>
    <row r="359">
      <c r="A359" s="733">
        <v>44743.0</v>
      </c>
      <c r="B359" s="52" t="str">
        <f t="shared" si="1"/>
        <v>07/2022</v>
      </c>
      <c r="C359" s="52" t="str">
        <f>IF(A359="","",VLOOKUP(A359,'THAM CHIẾU'!$A:$B,2,0))</f>
        <v>#N/A</v>
      </c>
      <c r="D359" s="52" t="str">
        <f>IF(E359&lt;&gt;0,VLOOKUP(E359,DM_DUAN,3,0),"")</f>
        <v/>
      </c>
      <c r="E359" s="735"/>
      <c r="F359" s="735"/>
      <c r="G359" s="735"/>
      <c r="H359" s="735"/>
      <c r="I359" s="735"/>
      <c r="J359" s="52" t="s">
        <v>2214</v>
      </c>
      <c r="K359" s="52" t="s">
        <v>2214</v>
      </c>
      <c r="L359" s="735" t="s">
        <v>380</v>
      </c>
      <c r="M359" s="68"/>
      <c r="N359" s="738">
        <v>1666000.0</v>
      </c>
      <c r="O359" s="735"/>
      <c r="P359" s="52" t="s">
        <v>2214</v>
      </c>
      <c r="Q359" s="52" t="s">
        <v>2214</v>
      </c>
      <c r="R359" s="737"/>
      <c r="S359" s="735"/>
      <c r="T359" s="737" t="s">
        <v>2233</v>
      </c>
      <c r="U359" s="737"/>
    </row>
    <row r="360">
      <c r="A360" s="733">
        <v>44743.0</v>
      </c>
      <c r="B360" s="52" t="str">
        <f t="shared" si="1"/>
        <v>07/2022</v>
      </c>
      <c r="C360" s="52" t="str">
        <f>IF(A360="","",VLOOKUP(A360,'THAM CHIẾU'!$A:$B,2,0))</f>
        <v>#N/A</v>
      </c>
      <c r="D360" s="52" t="str">
        <f>IF(E360&lt;&gt;0,VLOOKUP(E360,DM_DUAN,3,0),"")</f>
        <v/>
      </c>
      <c r="E360" s="735"/>
      <c r="F360" s="735"/>
      <c r="G360" s="735"/>
      <c r="H360" s="735"/>
      <c r="I360" s="735"/>
      <c r="J360" s="52" t="s">
        <v>2214</v>
      </c>
      <c r="K360" s="52" t="s">
        <v>2214</v>
      </c>
      <c r="L360" s="735" t="s">
        <v>206</v>
      </c>
      <c r="M360" s="68"/>
      <c r="N360" s="738">
        <v>1703000.0</v>
      </c>
      <c r="O360" s="735"/>
      <c r="P360" s="52" t="s">
        <v>2214</v>
      </c>
      <c r="Q360" s="52" t="s">
        <v>2214</v>
      </c>
      <c r="R360" s="737"/>
      <c r="S360" s="735"/>
      <c r="T360" s="737" t="s">
        <v>206</v>
      </c>
      <c r="U360" s="737"/>
    </row>
    <row r="361">
      <c r="A361" s="733">
        <v>44743.0</v>
      </c>
      <c r="B361" s="52" t="str">
        <f t="shared" si="1"/>
        <v>07/2022</v>
      </c>
      <c r="C361" s="52" t="str">
        <f>IF(A361="","",VLOOKUP(A361,'THAM CHIẾU'!$A:$B,2,0))</f>
        <v>#N/A</v>
      </c>
      <c r="D361" s="52" t="str">
        <f>IF(E361&lt;&gt;0,VLOOKUP(E361,DM_DUAN,3,0),"")</f>
        <v/>
      </c>
      <c r="E361" s="735"/>
      <c r="F361" s="735"/>
      <c r="G361" s="735"/>
      <c r="H361" s="735"/>
      <c r="I361" s="735"/>
      <c r="J361" s="52" t="s">
        <v>2214</v>
      </c>
      <c r="K361" s="52" t="s">
        <v>2214</v>
      </c>
      <c r="L361" s="735" t="s">
        <v>226</v>
      </c>
      <c r="M361" s="68"/>
      <c r="N361" s="738">
        <v>1250000.0</v>
      </c>
      <c r="O361" s="735"/>
      <c r="P361" s="52" t="s">
        <v>2214</v>
      </c>
      <c r="Q361" s="52" t="s">
        <v>2214</v>
      </c>
      <c r="R361" s="737"/>
      <c r="S361" s="735"/>
      <c r="T361" s="737" t="s">
        <v>2234</v>
      </c>
      <c r="U361" s="737"/>
    </row>
    <row r="362">
      <c r="A362" s="733">
        <v>44743.0</v>
      </c>
      <c r="B362" s="52" t="str">
        <f t="shared" si="1"/>
        <v>07/2022</v>
      </c>
      <c r="C362" s="52" t="str">
        <f>IF(A362="","",VLOOKUP(A362,'THAM CHIẾU'!$A:$B,2,0))</f>
        <v>#N/A</v>
      </c>
      <c r="D362" s="52" t="str">
        <f>IF(E362&lt;&gt;0,VLOOKUP(E362,DM_DUAN,3,0),"")</f>
        <v/>
      </c>
      <c r="E362" s="735"/>
      <c r="F362" s="735"/>
      <c r="G362" s="735"/>
      <c r="H362" s="735"/>
      <c r="I362" s="735"/>
      <c r="J362" s="52" t="s">
        <v>2214</v>
      </c>
      <c r="K362" s="52" t="s">
        <v>2214</v>
      </c>
      <c r="L362" s="735" t="s">
        <v>174</v>
      </c>
      <c r="M362" s="68"/>
      <c r="N362" s="738">
        <v>4.0861E7</v>
      </c>
      <c r="O362" s="735"/>
      <c r="P362" s="52" t="s">
        <v>2214</v>
      </c>
      <c r="Q362" s="52" t="s">
        <v>2214</v>
      </c>
      <c r="R362" s="737"/>
      <c r="S362" s="735"/>
      <c r="T362" s="737" t="s">
        <v>2235</v>
      </c>
      <c r="U362" s="737"/>
    </row>
    <row r="363">
      <c r="A363" s="733">
        <v>44743.0</v>
      </c>
      <c r="B363" s="52" t="str">
        <f t="shared" si="1"/>
        <v>07/2022</v>
      </c>
      <c r="C363" s="52" t="str">
        <f>IF(A363="","",VLOOKUP(A363,'THAM CHIẾU'!$A:$B,2,0))</f>
        <v>#N/A</v>
      </c>
      <c r="D363" s="52" t="str">
        <f>IF(E363&lt;&gt;0,VLOOKUP(E363,DM_DUAN,3,0),"")</f>
        <v/>
      </c>
      <c r="E363" s="735"/>
      <c r="F363" s="735"/>
      <c r="G363" s="735"/>
      <c r="H363" s="735"/>
      <c r="I363" s="735"/>
      <c r="J363" s="52" t="s">
        <v>2214</v>
      </c>
      <c r="K363" s="52" t="s">
        <v>2214</v>
      </c>
      <c r="L363" s="735" t="s">
        <v>2236</v>
      </c>
      <c r="M363" s="68"/>
      <c r="N363" s="738">
        <v>1666000.0</v>
      </c>
      <c r="O363" s="735"/>
      <c r="P363" s="52" t="s">
        <v>2214</v>
      </c>
      <c r="Q363" s="52" t="s">
        <v>2214</v>
      </c>
      <c r="R363" s="737"/>
      <c r="S363" s="735"/>
      <c r="T363" s="737" t="s">
        <v>2237</v>
      </c>
      <c r="U363" s="737"/>
    </row>
    <row r="364">
      <c r="A364" s="733">
        <v>44743.0</v>
      </c>
      <c r="B364" s="52" t="str">
        <f t="shared" si="1"/>
        <v>07/2022</v>
      </c>
      <c r="C364" s="52" t="str">
        <f>IF(A364="","",VLOOKUP(A364,'THAM CHIẾU'!$A:$B,2,0))</f>
        <v>#N/A</v>
      </c>
      <c r="D364" s="52" t="str">
        <f>IF(E364&lt;&gt;0,VLOOKUP(E364,DM_DUAN,3,0),"")</f>
        <v/>
      </c>
      <c r="E364" s="735"/>
      <c r="F364" s="735"/>
      <c r="G364" s="735"/>
      <c r="H364" s="735"/>
      <c r="I364" s="735"/>
      <c r="J364" s="52" t="s">
        <v>2214</v>
      </c>
      <c r="K364" s="52" t="s">
        <v>2214</v>
      </c>
      <c r="L364" s="735"/>
      <c r="M364" s="68"/>
      <c r="N364" s="738"/>
      <c r="O364" s="735"/>
      <c r="P364" s="52" t="s">
        <v>2214</v>
      </c>
      <c r="Q364" s="52" t="s">
        <v>2214</v>
      </c>
      <c r="R364" s="737"/>
      <c r="S364" s="735"/>
      <c r="T364" s="737"/>
      <c r="U364" s="737"/>
    </row>
    <row r="365">
      <c r="A365" s="733">
        <v>44743.0</v>
      </c>
      <c r="B365" s="52" t="str">
        <f t="shared" si="1"/>
        <v>07/2022</v>
      </c>
      <c r="C365" s="52" t="str">
        <f>IF(A365="","",VLOOKUP(A365,'THAM CHIẾU'!$A:$B,2,0))</f>
        <v>#N/A</v>
      </c>
      <c r="D365" s="52" t="str">
        <f>IF(E365&lt;&gt;0,VLOOKUP(E365,DM_DUAN,3,0),"")</f>
        <v/>
      </c>
      <c r="E365" s="735"/>
      <c r="F365" s="735"/>
      <c r="G365" s="735"/>
      <c r="H365" s="735"/>
      <c r="I365" s="735"/>
      <c r="J365" s="52" t="s">
        <v>2214</v>
      </c>
      <c r="K365" s="52" t="s">
        <v>2214</v>
      </c>
      <c r="L365" s="735" t="s">
        <v>169</v>
      </c>
      <c r="M365" s="68"/>
      <c r="N365" s="738">
        <v>1.0643E7</v>
      </c>
      <c r="O365" s="735"/>
      <c r="P365" s="52" t="s">
        <v>2214</v>
      </c>
      <c r="Q365" s="52" t="s">
        <v>2214</v>
      </c>
      <c r="R365" s="737"/>
      <c r="S365" s="735"/>
      <c r="T365" s="737" t="s">
        <v>2240</v>
      </c>
      <c r="U365" s="737"/>
    </row>
    <row r="366">
      <c r="A366" s="733">
        <v>44743.0</v>
      </c>
      <c r="B366" s="52" t="str">
        <f t="shared" si="1"/>
        <v>07/2022</v>
      </c>
      <c r="C366" s="52" t="str">
        <f>IF(A366="","",VLOOKUP(A366,'THAM CHIẾU'!$A:$B,2,0))</f>
        <v>#N/A</v>
      </c>
      <c r="D366" s="52" t="str">
        <f>IF(E366&lt;&gt;0,VLOOKUP(E366,DM_DUAN,3,0),"")</f>
        <v/>
      </c>
      <c r="E366" s="735"/>
      <c r="F366" s="735"/>
      <c r="G366" s="735"/>
      <c r="H366" s="735"/>
      <c r="I366" s="735"/>
      <c r="J366" s="52" t="s">
        <v>2214</v>
      </c>
      <c r="K366" s="52" t="s">
        <v>2214</v>
      </c>
      <c r="L366" s="735" t="s">
        <v>190</v>
      </c>
      <c r="M366" s="68"/>
      <c r="N366" s="738">
        <v>3.9E9</v>
      </c>
      <c r="O366" s="735"/>
      <c r="P366" s="52" t="s">
        <v>2214</v>
      </c>
      <c r="Q366" s="52" t="s">
        <v>2214</v>
      </c>
      <c r="R366" s="737"/>
      <c r="S366" s="735"/>
      <c r="T366" s="737" t="s">
        <v>2241</v>
      </c>
      <c r="U366" s="737"/>
    </row>
    <row r="367">
      <c r="A367" s="733">
        <v>44743.0</v>
      </c>
      <c r="B367" s="52" t="str">
        <f t="shared" si="1"/>
        <v>07/2022</v>
      </c>
      <c r="C367" s="52" t="str">
        <f>IF(A367="","",VLOOKUP(A367,'THAM CHIẾU'!$A:$B,2,0))</f>
        <v>#N/A</v>
      </c>
      <c r="D367" s="52" t="str">
        <f>IF(E367&lt;&gt;0,VLOOKUP(E367,DM_DUAN,3,0),"")</f>
        <v/>
      </c>
      <c r="E367" s="735"/>
      <c r="F367" s="735"/>
      <c r="G367" s="735"/>
      <c r="H367" s="735"/>
      <c r="I367" s="735"/>
      <c r="J367" s="52" t="s">
        <v>2214</v>
      </c>
      <c r="K367" s="52" t="s">
        <v>2214</v>
      </c>
      <c r="L367" s="735" t="s">
        <v>194</v>
      </c>
      <c r="M367" s="68"/>
      <c r="N367" s="738">
        <v>1.04E9</v>
      </c>
      <c r="O367" s="735"/>
      <c r="P367" s="52" t="s">
        <v>2214</v>
      </c>
      <c r="Q367" s="52" t="s">
        <v>2214</v>
      </c>
      <c r="R367" s="737"/>
      <c r="S367" s="735"/>
      <c r="T367" s="737" t="s">
        <v>2242</v>
      </c>
      <c r="U367" s="737"/>
    </row>
    <row r="368">
      <c r="A368" s="733">
        <v>44743.0</v>
      </c>
      <c r="B368" s="52" t="str">
        <f t="shared" si="1"/>
        <v>07/2022</v>
      </c>
      <c r="C368" s="52" t="str">
        <f>IF(A368="","",VLOOKUP(A368,'THAM CHIẾU'!$A:$B,2,0))</f>
        <v>#N/A</v>
      </c>
      <c r="D368" s="52" t="str">
        <f>IF(E368&lt;&gt;0,VLOOKUP(E368,DM_DUAN,3,0),"")</f>
        <v/>
      </c>
      <c r="E368" s="735"/>
      <c r="F368" s="735"/>
      <c r="G368" s="735"/>
      <c r="H368" s="735"/>
      <c r="I368" s="735"/>
      <c r="J368" s="52" t="s">
        <v>2214</v>
      </c>
      <c r="K368" s="52" t="s">
        <v>2214</v>
      </c>
      <c r="L368" s="735" t="s">
        <v>1170</v>
      </c>
      <c r="M368" s="68"/>
      <c r="N368" s="738">
        <v>1.3E8</v>
      </c>
      <c r="O368" s="735"/>
      <c r="P368" s="52" t="s">
        <v>2214</v>
      </c>
      <c r="Q368" s="52" t="s">
        <v>2214</v>
      </c>
      <c r="R368" s="737"/>
      <c r="S368" s="735"/>
      <c r="T368" s="737" t="s">
        <v>1474</v>
      </c>
      <c r="U368" s="737"/>
    </row>
    <row r="369">
      <c r="A369" s="733">
        <v>44743.0</v>
      </c>
      <c r="B369" s="52" t="str">
        <f t="shared" si="1"/>
        <v>07/2022</v>
      </c>
      <c r="C369" s="52" t="str">
        <f>IF(A369="","",VLOOKUP(A369,'THAM CHIẾU'!$A:$B,2,0))</f>
        <v>#N/A</v>
      </c>
      <c r="D369" s="52" t="str">
        <f>IF(E369&lt;&gt;0,VLOOKUP(E369,DM_DUAN,3,0),"")</f>
        <v/>
      </c>
      <c r="E369" s="735"/>
      <c r="F369" s="735"/>
      <c r="G369" s="735"/>
      <c r="H369" s="735"/>
      <c r="I369" s="735"/>
      <c r="J369" s="52" t="s">
        <v>2214</v>
      </c>
      <c r="K369" s="52" t="s">
        <v>2214</v>
      </c>
      <c r="L369" s="735" t="s">
        <v>1142</v>
      </c>
      <c r="M369" s="68"/>
      <c r="N369" s="738">
        <v>1.248E9</v>
      </c>
      <c r="O369" s="735"/>
      <c r="P369" s="52" t="s">
        <v>2214</v>
      </c>
      <c r="Q369" s="52" t="s">
        <v>2214</v>
      </c>
      <c r="R369" s="737"/>
      <c r="S369" s="735"/>
      <c r="T369" s="737" t="s">
        <v>2244</v>
      </c>
      <c r="U369" s="737"/>
    </row>
    <row r="370">
      <c r="A370" s="733">
        <v>44743.0</v>
      </c>
      <c r="B370" s="52" t="str">
        <f t="shared" si="1"/>
        <v>07/2022</v>
      </c>
      <c r="C370" s="52" t="str">
        <f>IF(A370="","",VLOOKUP(A370,'THAM CHIẾU'!$A:$B,2,0))</f>
        <v>#N/A</v>
      </c>
      <c r="D370" s="52" t="str">
        <f>IF(E370&lt;&gt;0,VLOOKUP(E370,DM_DUAN,3,0),"")</f>
        <v/>
      </c>
      <c r="E370" s="735"/>
      <c r="F370" s="735"/>
      <c r="G370" s="735"/>
      <c r="H370" s="735"/>
      <c r="I370" s="735"/>
      <c r="J370" s="52" t="s">
        <v>2214</v>
      </c>
      <c r="K370" s="52" t="s">
        <v>2214</v>
      </c>
      <c r="L370" s="735" t="s">
        <v>181</v>
      </c>
      <c r="M370" s="68"/>
      <c r="N370" s="738">
        <v>1.3E9</v>
      </c>
      <c r="O370" s="735"/>
      <c r="P370" s="52" t="s">
        <v>2214</v>
      </c>
      <c r="Q370" s="52" t="s">
        <v>2214</v>
      </c>
      <c r="R370" s="737"/>
      <c r="S370" s="735"/>
      <c r="T370" s="737" t="s">
        <v>2245</v>
      </c>
      <c r="U370" s="737"/>
    </row>
    <row r="371">
      <c r="A371" s="733">
        <v>44743.0</v>
      </c>
      <c r="B371" s="52" t="str">
        <f t="shared" si="1"/>
        <v>07/2022</v>
      </c>
      <c r="C371" s="52" t="str">
        <f>IF(A371="","",VLOOKUP(A371,'THAM CHIẾU'!$A:$B,2,0))</f>
        <v>#N/A</v>
      </c>
      <c r="D371" s="52" t="str">
        <f>IF(E371&lt;&gt;0,VLOOKUP(E371,DM_DUAN,3,0),"")</f>
        <v/>
      </c>
      <c r="E371" s="735"/>
      <c r="F371" s="735"/>
      <c r="G371" s="735"/>
      <c r="H371" s="735"/>
      <c r="I371" s="735"/>
      <c r="J371" s="52" t="s">
        <v>2214</v>
      </c>
      <c r="K371" s="52" t="s">
        <v>2214</v>
      </c>
      <c r="L371" s="735" t="s">
        <v>2243</v>
      </c>
      <c r="M371" s="68"/>
      <c r="N371" s="738">
        <v>3.9E7</v>
      </c>
      <c r="O371" s="735"/>
      <c r="P371" s="52" t="s">
        <v>2214</v>
      </c>
      <c r="Q371" s="52" t="s">
        <v>2214</v>
      </c>
      <c r="R371" s="737"/>
      <c r="S371" s="735"/>
      <c r="T371" s="737" t="s">
        <v>2246</v>
      </c>
      <c r="U371" s="737"/>
    </row>
    <row r="372">
      <c r="A372" s="733"/>
      <c r="B372" s="52" t="str">
        <f t="shared" si="1"/>
        <v/>
      </c>
      <c r="C372" s="52" t="str">
        <f>IF(A372="","",VLOOKUP(A372,'THAM CHIẾU'!$A:$B,2,0))</f>
        <v/>
      </c>
      <c r="D372" s="52" t="str">
        <f>IF(E372&lt;&gt;0,VLOOKUP(E372,DM_DUAN,3,0),"")</f>
        <v/>
      </c>
      <c r="E372" s="735"/>
      <c r="F372" s="735"/>
      <c r="G372" s="735"/>
      <c r="H372" s="735"/>
      <c r="I372" s="735"/>
      <c r="J372" s="52" t="s">
        <v>2214</v>
      </c>
      <c r="K372" s="52" t="s">
        <v>2214</v>
      </c>
      <c r="L372" s="735"/>
      <c r="M372" s="68"/>
      <c r="N372" s="738">
        <v>0.0</v>
      </c>
      <c r="O372" s="735"/>
      <c r="P372" s="52" t="s">
        <v>2214</v>
      </c>
      <c r="Q372" s="52" t="s">
        <v>2214</v>
      </c>
      <c r="R372" s="737"/>
      <c r="S372" s="735"/>
      <c r="T372" s="737"/>
      <c r="U372" s="737"/>
    </row>
    <row r="373">
      <c r="A373" s="733">
        <v>44774.0</v>
      </c>
      <c r="B373" s="52" t="str">
        <f t="shared" si="1"/>
        <v>08/2022</v>
      </c>
      <c r="C373" s="52" t="str">
        <f>IF(A373="","",VLOOKUP(A373,'THAM CHIẾU'!$A:$B,2,0))</f>
        <v>#N/A</v>
      </c>
      <c r="D373" s="52" t="str">
        <f>IF(E373&lt;&gt;0,VLOOKUP(E373,DM_DUAN,3,0),"")</f>
        <v>THANHNAM</v>
      </c>
      <c r="E373" s="735" t="s">
        <v>175</v>
      </c>
      <c r="F373" s="735"/>
      <c r="G373" s="735"/>
      <c r="H373" s="735"/>
      <c r="I373" s="735"/>
      <c r="J373" s="52" t="s">
        <v>2214</v>
      </c>
      <c r="K373" s="52" t="s">
        <v>2214</v>
      </c>
      <c r="L373" s="735" t="s">
        <v>198</v>
      </c>
      <c r="M373" s="68"/>
      <c r="N373" s="738">
        <v>1.3333333E10</v>
      </c>
      <c r="O373" s="735"/>
      <c r="P373" s="52" t="s">
        <v>2214</v>
      </c>
      <c r="Q373" s="52" t="s">
        <v>2214</v>
      </c>
      <c r="R373" s="737"/>
      <c r="S373" s="735"/>
      <c r="T373" s="737"/>
      <c r="U373" s="737"/>
    </row>
    <row r="374">
      <c r="A374" s="733">
        <v>44774.0</v>
      </c>
      <c r="B374" s="52" t="str">
        <f t="shared" si="1"/>
        <v>08/2022</v>
      </c>
      <c r="C374" s="52" t="str">
        <f>IF(A374="","",VLOOKUP(A374,'THAM CHIẾU'!$A:$B,2,0))</f>
        <v>#N/A</v>
      </c>
      <c r="D374" s="52" t="str">
        <f>IF(E374&lt;&gt;0,VLOOKUP(E374,DM_DUAN,3,0),"")</f>
        <v>NAMPHONG</v>
      </c>
      <c r="E374" s="735" t="s">
        <v>2067</v>
      </c>
      <c r="F374" s="735"/>
      <c r="G374" s="735"/>
      <c r="H374" s="735"/>
      <c r="I374" s="735"/>
      <c r="J374" s="52" t="s">
        <v>2214</v>
      </c>
      <c r="K374" s="52" t="s">
        <v>2214</v>
      </c>
      <c r="L374" s="735" t="s">
        <v>198</v>
      </c>
      <c r="M374" s="68"/>
      <c r="N374" s="738">
        <v>4.0E10</v>
      </c>
      <c r="O374" s="735"/>
      <c r="P374" s="52" t="s">
        <v>2214</v>
      </c>
      <c r="Q374" s="52" t="s">
        <v>2214</v>
      </c>
      <c r="R374" s="737"/>
      <c r="S374" s="735"/>
      <c r="T374" s="737"/>
      <c r="U374" s="737"/>
    </row>
    <row r="375">
      <c r="A375" s="733">
        <v>44774.0</v>
      </c>
      <c r="B375" s="52" t="str">
        <f t="shared" si="1"/>
        <v>08/2022</v>
      </c>
      <c r="C375" s="52" t="str">
        <f>IF(A375="","",VLOOKUP(A375,'THAM CHIẾU'!$A:$B,2,0))</f>
        <v>#N/A</v>
      </c>
      <c r="D375" s="52" t="str">
        <f>IF(E375&lt;&gt;0,VLOOKUP(E375,DM_DUAN,3,0),"")</f>
        <v>NAMSAIGON</v>
      </c>
      <c r="E375" s="735" t="s">
        <v>215</v>
      </c>
      <c r="F375" s="735"/>
      <c r="G375" s="735"/>
      <c r="H375" s="735"/>
      <c r="I375" s="735"/>
      <c r="J375" s="52" t="s">
        <v>2214</v>
      </c>
      <c r="K375" s="52" t="s">
        <v>2214</v>
      </c>
      <c r="L375" s="735" t="s">
        <v>198</v>
      </c>
      <c r="M375" s="68"/>
      <c r="N375" s="738">
        <v>1.3333333E10</v>
      </c>
      <c r="O375" s="735"/>
      <c r="P375" s="52" t="s">
        <v>2214</v>
      </c>
      <c r="Q375" s="52" t="s">
        <v>2214</v>
      </c>
      <c r="R375" s="737"/>
      <c r="S375" s="735"/>
      <c r="T375" s="737"/>
      <c r="U375" s="737"/>
    </row>
    <row r="376">
      <c r="A376" s="733">
        <v>44774.0</v>
      </c>
      <c r="B376" s="52" t="str">
        <f t="shared" si="1"/>
        <v>08/2022</v>
      </c>
      <c r="C376" s="52" t="str">
        <f>IF(A376="","",VLOOKUP(A376,'THAM CHIẾU'!$A:$B,2,0))</f>
        <v>#N/A</v>
      </c>
      <c r="D376" s="52" t="str">
        <f>IF(E376&lt;&gt;0,VLOOKUP(E376,DM_DUAN,3,0),"")</f>
        <v>#N/A</v>
      </c>
      <c r="E376" s="735" t="s">
        <v>2069</v>
      </c>
      <c r="F376" s="735"/>
      <c r="G376" s="735"/>
      <c r="H376" s="735"/>
      <c r="I376" s="735"/>
      <c r="J376" s="52" t="s">
        <v>2214</v>
      </c>
      <c r="K376" s="52" t="s">
        <v>2214</v>
      </c>
      <c r="L376" s="735" t="s">
        <v>198</v>
      </c>
      <c r="M376" s="68"/>
      <c r="N376" s="738">
        <v>0.0</v>
      </c>
      <c r="O376" s="735"/>
      <c r="P376" s="52" t="s">
        <v>2214</v>
      </c>
      <c r="Q376" s="52" t="s">
        <v>2214</v>
      </c>
      <c r="R376" s="737"/>
      <c r="S376" s="735"/>
      <c r="T376" s="737"/>
      <c r="U376" s="737"/>
    </row>
    <row r="377">
      <c r="A377" s="733">
        <v>44774.0</v>
      </c>
      <c r="B377" s="52" t="str">
        <f t="shared" si="1"/>
        <v>08/2022</v>
      </c>
      <c r="C377" s="52" t="str">
        <f>IF(A377="","",VLOOKUP(A377,'THAM CHIẾU'!$A:$B,2,0))</f>
        <v>#N/A</v>
      </c>
      <c r="D377" s="52" t="str">
        <f>IF(E377&lt;&gt;0,VLOOKUP(E377,DM_DUAN,3,0),"")</f>
        <v>KHANGVUONG</v>
      </c>
      <c r="E377" s="735" t="s">
        <v>2070</v>
      </c>
      <c r="F377" s="735"/>
      <c r="G377" s="735"/>
      <c r="H377" s="735"/>
      <c r="I377" s="735"/>
      <c r="J377" s="52" t="s">
        <v>2214</v>
      </c>
      <c r="K377" s="52" t="s">
        <v>2214</v>
      </c>
      <c r="L377" s="735" t="s">
        <v>198</v>
      </c>
      <c r="M377" s="68"/>
      <c r="N377" s="738">
        <v>6.666666E9</v>
      </c>
      <c r="O377" s="735"/>
      <c r="P377" s="52" t="s">
        <v>2214</v>
      </c>
      <c r="Q377" s="52" t="s">
        <v>2214</v>
      </c>
      <c r="R377" s="737"/>
      <c r="S377" s="735"/>
      <c r="T377" s="737"/>
      <c r="U377" s="737"/>
    </row>
    <row r="378">
      <c r="A378" s="733">
        <v>44774.0</v>
      </c>
      <c r="B378" s="52" t="str">
        <f t="shared" si="1"/>
        <v>08/2022</v>
      </c>
      <c r="C378" s="52" t="str">
        <f>IF(A378="","",VLOOKUP(A378,'THAM CHIẾU'!$A:$B,2,0))</f>
        <v>#N/A</v>
      </c>
      <c r="D378" s="52" t="str">
        <f>IF(E378&lt;&gt;0,VLOOKUP(E378,DM_DUAN,3,0),"")</f>
        <v>PHUGIATHINH</v>
      </c>
      <c r="E378" s="735" t="s">
        <v>404</v>
      </c>
      <c r="F378" s="735"/>
      <c r="G378" s="735"/>
      <c r="H378" s="735"/>
      <c r="I378" s="735"/>
      <c r="J378" s="52" t="s">
        <v>2214</v>
      </c>
      <c r="K378" s="52" t="s">
        <v>2214</v>
      </c>
      <c r="L378" s="735" t="s">
        <v>198</v>
      </c>
      <c r="M378" s="68"/>
      <c r="N378" s="738">
        <v>6.666666E9</v>
      </c>
      <c r="O378" s="735"/>
      <c r="P378" s="52" t="s">
        <v>2214</v>
      </c>
      <c r="Q378" s="52" t="s">
        <v>2214</v>
      </c>
      <c r="R378" s="737"/>
      <c r="S378" s="735"/>
      <c r="T378" s="737"/>
      <c r="U378" s="737"/>
    </row>
    <row r="379">
      <c r="A379" s="733">
        <v>44774.0</v>
      </c>
      <c r="B379" s="52" t="str">
        <f t="shared" si="1"/>
        <v>08/2022</v>
      </c>
      <c r="C379" s="52" t="str">
        <f>IF(A379="","",VLOOKUP(A379,'THAM CHIẾU'!$A:$B,2,0))</f>
        <v>#N/A</v>
      </c>
      <c r="D379" s="52" t="str">
        <f>IF(E379&lt;&gt;0,VLOOKUP(E379,DM_DUAN,3,0),"")</f>
        <v>TRANANH</v>
      </c>
      <c r="E379" s="735" t="s">
        <v>2072</v>
      </c>
      <c r="F379" s="735"/>
      <c r="G379" s="735"/>
      <c r="H379" s="735"/>
      <c r="I379" s="735"/>
      <c r="J379" s="52" t="s">
        <v>2214</v>
      </c>
      <c r="K379" s="52" t="s">
        <v>2214</v>
      </c>
      <c r="L379" s="735" t="s">
        <v>198</v>
      </c>
      <c r="M379" s="68"/>
      <c r="N379" s="738">
        <v>1.3333333E10</v>
      </c>
      <c r="O379" s="735"/>
      <c r="P379" s="52" t="s">
        <v>2214</v>
      </c>
      <c r="Q379" s="52" t="s">
        <v>2214</v>
      </c>
      <c r="R379" s="737"/>
      <c r="S379" s="735"/>
      <c r="T379" s="737"/>
      <c r="U379" s="737"/>
    </row>
    <row r="380">
      <c r="A380" s="733">
        <v>44774.0</v>
      </c>
      <c r="B380" s="52" t="str">
        <f t="shared" si="1"/>
        <v>08/2022</v>
      </c>
      <c r="C380" s="52" t="str">
        <f>IF(A380="","",VLOOKUP(A380,'THAM CHIẾU'!$A:$B,2,0))</f>
        <v>#N/A</v>
      </c>
      <c r="D380" s="52" t="str">
        <f>IF(E380&lt;&gt;0,VLOOKUP(E380,DM_DUAN,3,0),"")</f>
        <v>PHITRUONG</v>
      </c>
      <c r="E380" s="735" t="s">
        <v>2073</v>
      </c>
      <c r="F380" s="735"/>
      <c r="G380" s="735"/>
      <c r="H380" s="735"/>
      <c r="I380" s="735"/>
      <c r="J380" s="52" t="s">
        <v>2214</v>
      </c>
      <c r="K380" s="52" t="s">
        <v>2214</v>
      </c>
      <c r="L380" s="735" t="s">
        <v>198</v>
      </c>
      <c r="M380" s="68"/>
      <c r="N380" s="738">
        <v>5.3333333E10</v>
      </c>
      <c r="O380" s="735"/>
      <c r="P380" s="52" t="s">
        <v>2214</v>
      </c>
      <c r="Q380" s="52" t="s">
        <v>2214</v>
      </c>
      <c r="R380" s="737"/>
      <c r="S380" s="735"/>
      <c r="T380" s="737"/>
      <c r="U380" s="737"/>
    </row>
    <row r="381">
      <c r="A381" s="733">
        <v>44774.0</v>
      </c>
      <c r="B381" s="52" t="str">
        <f t="shared" si="1"/>
        <v>08/2022</v>
      </c>
      <c r="C381" s="52" t="str">
        <f>IF(A381="","",VLOOKUP(A381,'THAM CHIẾU'!$A:$B,2,0))</f>
        <v>#N/A</v>
      </c>
      <c r="D381" s="52" t="str">
        <f>IF(E381&lt;&gt;0,VLOOKUP(E381,DM_DUAN,3,0),"")</f>
        <v>HOANGCAT</v>
      </c>
      <c r="E381" s="735" t="s">
        <v>2074</v>
      </c>
      <c r="F381" s="735"/>
      <c r="G381" s="735"/>
      <c r="H381" s="735"/>
      <c r="I381" s="735"/>
      <c r="J381" s="52" t="s">
        <v>2214</v>
      </c>
      <c r="K381" s="52" t="s">
        <v>2214</v>
      </c>
      <c r="L381" s="735" t="s">
        <v>198</v>
      </c>
      <c r="M381" s="68"/>
      <c r="N381" s="738">
        <v>2.6666666E10</v>
      </c>
      <c r="O381" s="735"/>
      <c r="P381" s="52" t="s">
        <v>2214</v>
      </c>
      <c r="Q381" s="52" t="s">
        <v>2214</v>
      </c>
      <c r="R381" s="737"/>
      <c r="S381" s="735"/>
      <c r="T381" s="737"/>
      <c r="U381" s="737"/>
    </row>
    <row r="382">
      <c r="A382" s="733">
        <v>44774.0</v>
      </c>
      <c r="B382" s="52" t="str">
        <f t="shared" si="1"/>
        <v>08/2022</v>
      </c>
      <c r="C382" s="52" t="str">
        <f>IF(A382="","",VLOOKUP(A382,'THAM CHIẾU'!$A:$B,2,0))</f>
        <v>#N/A</v>
      </c>
      <c r="D382" s="52" t="str">
        <f>IF(E382&lt;&gt;0,VLOOKUP(E382,DM_DUAN,3,0),"")</f>
        <v>THANHNAM</v>
      </c>
      <c r="E382" s="735" t="s">
        <v>175</v>
      </c>
      <c r="F382" s="735"/>
      <c r="G382" s="735"/>
      <c r="H382" s="735"/>
      <c r="I382" s="735"/>
      <c r="J382" s="52" t="s">
        <v>2214</v>
      </c>
      <c r="K382" s="52" t="s">
        <v>2214</v>
      </c>
      <c r="L382" s="735" t="s">
        <v>187</v>
      </c>
      <c r="M382" s="68"/>
      <c r="N382" s="738">
        <v>1.23999996E9</v>
      </c>
      <c r="O382" s="735"/>
      <c r="P382" s="52" t="s">
        <v>2214</v>
      </c>
      <c r="Q382" s="52" t="s">
        <v>2214</v>
      </c>
      <c r="R382" s="737"/>
      <c r="S382" s="735"/>
      <c r="T382" s="737"/>
      <c r="U382" s="737"/>
    </row>
    <row r="383">
      <c r="A383" s="733">
        <v>44774.0</v>
      </c>
      <c r="B383" s="52" t="str">
        <f t="shared" si="1"/>
        <v>08/2022</v>
      </c>
      <c r="C383" s="52" t="str">
        <f>IF(A383="","",VLOOKUP(A383,'THAM CHIẾU'!$A:$B,2,0))</f>
        <v>#N/A</v>
      </c>
      <c r="D383" s="52" t="str">
        <f>IF(E383&lt;&gt;0,VLOOKUP(E383,DM_DUAN,3,0),"")</f>
        <v>NAMPHONG</v>
      </c>
      <c r="E383" s="735" t="s">
        <v>2067</v>
      </c>
      <c r="F383" s="735"/>
      <c r="G383" s="735"/>
      <c r="H383" s="735"/>
      <c r="I383" s="735"/>
      <c r="J383" s="52" t="s">
        <v>2214</v>
      </c>
      <c r="K383" s="52" t="s">
        <v>2214</v>
      </c>
      <c r="L383" s="735" t="s">
        <v>187</v>
      </c>
      <c r="M383" s="68"/>
      <c r="N383" s="738">
        <v>4.8E9</v>
      </c>
      <c r="O383" s="735"/>
      <c r="P383" s="52" t="s">
        <v>2214</v>
      </c>
      <c r="Q383" s="52" t="s">
        <v>2214</v>
      </c>
      <c r="R383" s="737"/>
      <c r="S383" s="735"/>
      <c r="T383" s="737"/>
      <c r="U383" s="737"/>
    </row>
    <row r="384">
      <c r="A384" s="733">
        <v>44774.0</v>
      </c>
      <c r="B384" s="52" t="str">
        <f t="shared" si="1"/>
        <v>08/2022</v>
      </c>
      <c r="C384" s="52" t="str">
        <f>IF(A384="","",VLOOKUP(A384,'THAM CHIẾU'!$A:$B,2,0))</f>
        <v>#N/A</v>
      </c>
      <c r="D384" s="52" t="str">
        <f>IF(E384&lt;&gt;0,VLOOKUP(E384,DM_DUAN,3,0),"")</f>
        <v>NAMSAIGON</v>
      </c>
      <c r="E384" s="735" t="s">
        <v>215</v>
      </c>
      <c r="F384" s="735"/>
      <c r="G384" s="735"/>
      <c r="H384" s="735"/>
      <c r="I384" s="735"/>
      <c r="J384" s="52" t="s">
        <v>2214</v>
      </c>
      <c r="K384" s="52" t="s">
        <v>2214</v>
      </c>
      <c r="L384" s="735" t="s">
        <v>187</v>
      </c>
      <c r="M384" s="68"/>
      <c r="N384" s="738">
        <v>1.59999996E9</v>
      </c>
      <c r="O384" s="735"/>
      <c r="P384" s="52" t="s">
        <v>2214</v>
      </c>
      <c r="Q384" s="52" t="s">
        <v>2214</v>
      </c>
      <c r="R384" s="737"/>
      <c r="S384" s="735"/>
      <c r="T384" s="737"/>
      <c r="U384" s="737"/>
    </row>
    <row r="385">
      <c r="A385" s="733">
        <v>44774.0</v>
      </c>
      <c r="B385" s="52" t="str">
        <f t="shared" si="1"/>
        <v>08/2022</v>
      </c>
      <c r="C385" s="52" t="str">
        <f>IF(A385="","",VLOOKUP(A385,'THAM CHIẾU'!$A:$B,2,0))</f>
        <v>#N/A</v>
      </c>
      <c r="D385" s="52" t="str">
        <f>IF(E385&lt;&gt;0,VLOOKUP(E385,DM_DUAN,3,0),"")</f>
        <v>#N/A</v>
      </c>
      <c r="E385" s="735" t="s">
        <v>2069</v>
      </c>
      <c r="F385" s="735"/>
      <c r="G385" s="735"/>
      <c r="H385" s="735"/>
      <c r="I385" s="735"/>
      <c r="J385" s="52" t="s">
        <v>2214</v>
      </c>
      <c r="K385" s="52" t="s">
        <v>2214</v>
      </c>
      <c r="L385" s="735" t="s">
        <v>187</v>
      </c>
      <c r="M385" s="68"/>
      <c r="N385" s="738">
        <v>0.0</v>
      </c>
      <c r="O385" s="735"/>
      <c r="P385" s="52" t="s">
        <v>2214</v>
      </c>
      <c r="Q385" s="52" t="s">
        <v>2214</v>
      </c>
      <c r="R385" s="737"/>
      <c r="S385" s="735"/>
      <c r="T385" s="737"/>
      <c r="U385" s="737"/>
    </row>
    <row r="386">
      <c r="A386" s="733">
        <v>44774.0</v>
      </c>
      <c r="B386" s="52" t="str">
        <f t="shared" si="1"/>
        <v>08/2022</v>
      </c>
      <c r="C386" s="52" t="str">
        <f>IF(A386="","",VLOOKUP(A386,'THAM CHIẾU'!$A:$B,2,0))</f>
        <v>#N/A</v>
      </c>
      <c r="D386" s="52" t="str">
        <f>IF(E386&lt;&gt;0,VLOOKUP(E386,DM_DUAN,3,0),"")</f>
        <v>KHANGVUONG</v>
      </c>
      <c r="E386" s="735" t="s">
        <v>2070</v>
      </c>
      <c r="F386" s="735"/>
      <c r="G386" s="735"/>
      <c r="H386" s="735"/>
      <c r="I386" s="735"/>
      <c r="J386" s="52" t="s">
        <v>2214</v>
      </c>
      <c r="K386" s="52" t="s">
        <v>2214</v>
      </c>
      <c r="L386" s="735" t="s">
        <v>187</v>
      </c>
      <c r="M386" s="68"/>
      <c r="N386" s="738">
        <v>7.9999992E8</v>
      </c>
      <c r="O386" s="735"/>
      <c r="P386" s="52" t="s">
        <v>2214</v>
      </c>
      <c r="Q386" s="52" t="s">
        <v>2214</v>
      </c>
      <c r="R386" s="737"/>
      <c r="S386" s="735"/>
      <c r="T386" s="737"/>
      <c r="U386" s="737"/>
    </row>
    <row r="387">
      <c r="A387" s="733">
        <v>44774.0</v>
      </c>
      <c r="B387" s="52" t="str">
        <f t="shared" si="1"/>
        <v>08/2022</v>
      </c>
      <c r="C387" s="52" t="str">
        <f>IF(A387="","",VLOOKUP(A387,'THAM CHIẾU'!$A:$B,2,0))</f>
        <v>#N/A</v>
      </c>
      <c r="D387" s="52" t="str">
        <f>IF(E387&lt;&gt;0,VLOOKUP(E387,DM_DUAN,3,0),"")</f>
        <v>PHUGIATHINH</v>
      </c>
      <c r="E387" s="735" t="s">
        <v>404</v>
      </c>
      <c r="F387" s="735"/>
      <c r="G387" s="735"/>
      <c r="H387" s="735"/>
      <c r="I387" s="735"/>
      <c r="J387" s="52" t="s">
        <v>2214</v>
      </c>
      <c r="K387" s="52" t="s">
        <v>2214</v>
      </c>
      <c r="L387" s="735" t="s">
        <v>187</v>
      </c>
      <c r="M387" s="68"/>
      <c r="N387" s="738">
        <v>7.9999992E8</v>
      </c>
      <c r="O387" s="735"/>
      <c r="P387" s="52" t="s">
        <v>2214</v>
      </c>
      <c r="Q387" s="52" t="s">
        <v>2214</v>
      </c>
      <c r="R387" s="737"/>
      <c r="S387" s="735"/>
      <c r="T387" s="737"/>
      <c r="U387" s="737"/>
    </row>
    <row r="388">
      <c r="A388" s="733">
        <v>44774.0</v>
      </c>
      <c r="B388" s="52" t="str">
        <f t="shared" si="1"/>
        <v>08/2022</v>
      </c>
      <c r="C388" s="52" t="str">
        <f>IF(A388="","",VLOOKUP(A388,'THAM CHIẾU'!$A:$B,2,0))</f>
        <v>#N/A</v>
      </c>
      <c r="D388" s="52" t="str">
        <f>IF(E388&lt;&gt;0,VLOOKUP(E388,DM_DUAN,3,0),"")</f>
        <v>TRANANH</v>
      </c>
      <c r="E388" s="735" t="s">
        <v>2072</v>
      </c>
      <c r="F388" s="735"/>
      <c r="G388" s="735"/>
      <c r="H388" s="735"/>
      <c r="I388" s="735"/>
      <c r="J388" s="52" t="s">
        <v>2214</v>
      </c>
      <c r="K388" s="52" t="s">
        <v>2214</v>
      </c>
      <c r="L388" s="735" t="s">
        <v>187</v>
      </c>
      <c r="M388" s="68"/>
      <c r="N388" s="738">
        <v>1.59999996E9</v>
      </c>
      <c r="O388" s="735"/>
      <c r="P388" s="52" t="s">
        <v>2214</v>
      </c>
      <c r="Q388" s="52" t="s">
        <v>2214</v>
      </c>
      <c r="R388" s="737"/>
      <c r="S388" s="735"/>
      <c r="T388" s="737"/>
      <c r="U388" s="737"/>
    </row>
    <row r="389">
      <c r="A389" s="733">
        <v>44774.0</v>
      </c>
      <c r="B389" s="52" t="str">
        <f t="shared" si="1"/>
        <v>08/2022</v>
      </c>
      <c r="C389" s="52" t="str">
        <f>IF(A389="","",VLOOKUP(A389,'THAM CHIẾU'!$A:$B,2,0))</f>
        <v>#N/A</v>
      </c>
      <c r="D389" s="52" t="str">
        <f>IF(E389&lt;&gt;0,VLOOKUP(E389,DM_DUAN,3,0),"")</f>
        <v>PHITRUONG</v>
      </c>
      <c r="E389" s="735" t="s">
        <v>2073</v>
      </c>
      <c r="F389" s="735"/>
      <c r="G389" s="735"/>
      <c r="H389" s="735"/>
      <c r="I389" s="735"/>
      <c r="J389" s="52" t="s">
        <v>2214</v>
      </c>
      <c r="K389" s="52" t="s">
        <v>2214</v>
      </c>
      <c r="L389" s="735" t="s">
        <v>187</v>
      </c>
      <c r="M389" s="68"/>
      <c r="N389" s="738">
        <v>6.39999996E9</v>
      </c>
      <c r="O389" s="735"/>
      <c r="P389" s="52" t="s">
        <v>2214</v>
      </c>
      <c r="Q389" s="52" t="s">
        <v>2214</v>
      </c>
      <c r="R389" s="737"/>
      <c r="S389" s="735"/>
      <c r="T389" s="737"/>
      <c r="U389" s="737"/>
    </row>
    <row r="390">
      <c r="A390" s="733">
        <v>44774.0</v>
      </c>
      <c r="B390" s="52" t="str">
        <f t="shared" si="1"/>
        <v>08/2022</v>
      </c>
      <c r="C390" s="52" t="str">
        <f>IF(A390="","",VLOOKUP(A390,'THAM CHIẾU'!$A:$B,2,0))</f>
        <v>#N/A</v>
      </c>
      <c r="D390" s="52" t="str">
        <f>IF(E390&lt;&gt;0,VLOOKUP(E390,DM_DUAN,3,0),"")</f>
        <v>HOANGCAT</v>
      </c>
      <c r="E390" s="735" t="s">
        <v>2074</v>
      </c>
      <c r="F390" s="735"/>
      <c r="G390" s="735"/>
      <c r="H390" s="735"/>
      <c r="I390" s="735"/>
      <c r="J390" s="52" t="s">
        <v>2214</v>
      </c>
      <c r="K390" s="52" t="s">
        <v>2214</v>
      </c>
      <c r="L390" s="735" t="s">
        <v>187</v>
      </c>
      <c r="M390" s="68"/>
      <c r="N390" s="738">
        <v>3.19999992E9</v>
      </c>
      <c r="O390" s="735"/>
      <c r="P390" s="52" t="s">
        <v>2214</v>
      </c>
      <c r="Q390" s="52" t="s">
        <v>2214</v>
      </c>
      <c r="R390" s="737"/>
      <c r="S390" s="735"/>
      <c r="T390" s="737"/>
      <c r="U390" s="737"/>
    </row>
    <row r="391">
      <c r="A391" s="733">
        <v>44774.0</v>
      </c>
      <c r="B391" s="52" t="str">
        <f t="shared" si="1"/>
        <v>08/2022</v>
      </c>
      <c r="C391" s="52" t="str">
        <f>IF(A391="","",VLOOKUP(A391,'THAM CHIẾU'!$A:$B,2,0))</f>
        <v>#N/A</v>
      </c>
      <c r="D391" s="52" t="str">
        <f>IF(E391&lt;&gt;0,VLOOKUP(E391,DM_DUAN,3,0),"")</f>
        <v/>
      </c>
      <c r="E391" s="735"/>
      <c r="F391" s="735"/>
      <c r="G391" s="735" t="s">
        <v>207</v>
      </c>
      <c r="H391" s="735"/>
      <c r="I391" s="735"/>
      <c r="J391" s="52" t="s">
        <v>2214</v>
      </c>
      <c r="K391" s="52" t="s">
        <v>2214</v>
      </c>
      <c r="L391" s="735" t="s">
        <v>2215</v>
      </c>
      <c r="M391" s="68"/>
      <c r="N391" s="738">
        <v>43000.0</v>
      </c>
      <c r="O391" s="735"/>
      <c r="P391" s="52" t="s">
        <v>2214</v>
      </c>
      <c r="Q391" s="52" t="s">
        <v>2214</v>
      </c>
      <c r="R391" s="737"/>
      <c r="S391" s="735"/>
      <c r="T391" s="737" t="s">
        <v>2216</v>
      </c>
      <c r="U391" s="737"/>
    </row>
    <row r="392">
      <c r="A392" s="733">
        <v>44774.0</v>
      </c>
      <c r="B392" s="52" t="str">
        <f t="shared" si="1"/>
        <v>08/2022</v>
      </c>
      <c r="C392" s="52" t="str">
        <f>IF(A392="","",VLOOKUP(A392,'THAM CHIẾU'!$A:$B,2,0))</f>
        <v>#N/A</v>
      </c>
      <c r="D392" s="52" t="str">
        <f>IF(E392&lt;&gt;0,VLOOKUP(E392,DM_DUAN,3,0),"")</f>
        <v/>
      </c>
      <c r="E392" s="735"/>
      <c r="F392" s="735"/>
      <c r="G392" s="735"/>
      <c r="H392" s="735"/>
      <c r="I392" s="735"/>
      <c r="J392" s="52" t="s">
        <v>2214</v>
      </c>
      <c r="K392" s="52" t="s">
        <v>2214</v>
      </c>
      <c r="L392" s="735" t="s">
        <v>419</v>
      </c>
      <c r="M392" s="68"/>
      <c r="N392" s="738">
        <v>166000.0</v>
      </c>
      <c r="O392" s="735"/>
      <c r="P392" s="52" t="s">
        <v>2214</v>
      </c>
      <c r="Q392" s="52" t="s">
        <v>2214</v>
      </c>
      <c r="R392" s="737"/>
      <c r="S392" s="735"/>
      <c r="T392" s="737" t="s">
        <v>2217</v>
      </c>
      <c r="U392" s="737"/>
    </row>
    <row r="393">
      <c r="A393" s="733">
        <v>44774.0</v>
      </c>
      <c r="B393" s="52" t="str">
        <f t="shared" si="1"/>
        <v>08/2022</v>
      </c>
      <c r="C393" s="52" t="str">
        <f>IF(A393="","",VLOOKUP(A393,'THAM CHIẾU'!$A:$B,2,0))</f>
        <v>#N/A</v>
      </c>
      <c r="D393" s="52" t="str">
        <f>IF(E393&lt;&gt;0,VLOOKUP(E393,DM_DUAN,3,0),"")</f>
        <v/>
      </c>
      <c r="E393" s="735"/>
      <c r="F393" s="735"/>
      <c r="G393" s="735"/>
      <c r="H393" s="735"/>
      <c r="I393" s="735"/>
      <c r="J393" s="52" t="s">
        <v>2214</v>
      </c>
      <c r="K393" s="52" t="s">
        <v>2214</v>
      </c>
      <c r="L393" s="735" t="s">
        <v>573</v>
      </c>
      <c r="M393" s="68"/>
      <c r="N393" s="738">
        <v>250000.0</v>
      </c>
      <c r="O393" s="735"/>
      <c r="P393" s="52" t="s">
        <v>2214</v>
      </c>
      <c r="Q393" s="52" t="s">
        <v>2214</v>
      </c>
      <c r="R393" s="737"/>
      <c r="S393" s="735"/>
      <c r="T393" s="737" t="s">
        <v>2218</v>
      </c>
      <c r="U393" s="737"/>
    </row>
    <row r="394">
      <c r="A394" s="733">
        <v>44774.0</v>
      </c>
      <c r="B394" s="52" t="str">
        <f t="shared" si="1"/>
        <v>08/2022</v>
      </c>
      <c r="C394" s="52" t="str">
        <f>IF(A394="","",VLOOKUP(A394,'THAM CHIẾU'!$A:$B,2,0))</f>
        <v>#N/A</v>
      </c>
      <c r="D394" s="52" t="str">
        <f>IF(E394&lt;&gt;0,VLOOKUP(E394,DM_DUAN,3,0),"")</f>
        <v/>
      </c>
      <c r="E394" s="735"/>
      <c r="F394" s="735"/>
      <c r="G394" s="735"/>
      <c r="H394" s="735"/>
      <c r="I394" s="735"/>
      <c r="J394" s="52" t="s">
        <v>2214</v>
      </c>
      <c r="K394" s="52" t="s">
        <v>2214</v>
      </c>
      <c r="L394" s="735" t="s">
        <v>1273</v>
      </c>
      <c r="M394" s="68"/>
      <c r="N394" s="738">
        <v>328000.0</v>
      </c>
      <c r="O394" s="735"/>
      <c r="P394" s="52" t="s">
        <v>2214</v>
      </c>
      <c r="Q394" s="52" t="s">
        <v>2214</v>
      </c>
      <c r="R394" s="737"/>
      <c r="S394" s="735"/>
      <c r="T394" s="737" t="s">
        <v>1273</v>
      </c>
      <c r="U394" s="737"/>
    </row>
    <row r="395">
      <c r="A395" s="733">
        <v>44774.0</v>
      </c>
      <c r="B395" s="52" t="str">
        <f t="shared" si="1"/>
        <v>08/2022</v>
      </c>
      <c r="C395" s="52" t="str">
        <f>IF(A395="","",VLOOKUP(A395,'THAM CHIẾU'!$A:$B,2,0))</f>
        <v>#N/A</v>
      </c>
      <c r="D395" s="52" t="str">
        <f>IF(E395&lt;&gt;0,VLOOKUP(E395,DM_DUAN,3,0),"")</f>
        <v/>
      </c>
      <c r="E395" s="735"/>
      <c r="F395" s="735"/>
      <c r="G395" s="735"/>
      <c r="H395" s="735"/>
      <c r="I395" s="735"/>
      <c r="J395" s="52" t="s">
        <v>2214</v>
      </c>
      <c r="K395" s="52" t="s">
        <v>2214</v>
      </c>
      <c r="L395" s="735" t="s">
        <v>1153</v>
      </c>
      <c r="M395" s="68"/>
      <c r="N395" s="738">
        <v>8333000.0</v>
      </c>
      <c r="O395" s="735"/>
      <c r="P395" s="52" t="s">
        <v>2214</v>
      </c>
      <c r="Q395" s="52" t="s">
        <v>2214</v>
      </c>
      <c r="R395" s="737"/>
      <c r="S395" s="735"/>
      <c r="T395" s="737" t="s">
        <v>2219</v>
      </c>
      <c r="U395" s="737"/>
    </row>
    <row r="396">
      <c r="A396" s="733">
        <v>44774.0</v>
      </c>
      <c r="B396" s="52" t="str">
        <f t="shared" si="1"/>
        <v>08/2022</v>
      </c>
      <c r="C396" s="52" t="str">
        <f>IF(A396="","",VLOOKUP(A396,'THAM CHIẾU'!$A:$B,2,0))</f>
        <v>#N/A</v>
      </c>
      <c r="D396" s="52" t="str">
        <f>IF(E396&lt;&gt;0,VLOOKUP(E396,DM_DUAN,3,0),"")</f>
        <v/>
      </c>
      <c r="E396" s="735"/>
      <c r="F396" s="735"/>
      <c r="G396" s="735"/>
      <c r="H396" s="735"/>
      <c r="I396" s="735"/>
      <c r="J396" s="52" t="s">
        <v>2214</v>
      </c>
      <c r="K396" s="52" t="s">
        <v>2214</v>
      </c>
      <c r="L396" s="735" t="s">
        <v>2220</v>
      </c>
      <c r="M396" s="68"/>
      <c r="N396" s="738">
        <v>416000.0</v>
      </c>
      <c r="O396" s="735"/>
      <c r="P396" s="52" t="s">
        <v>2214</v>
      </c>
      <c r="Q396" s="52" t="s">
        <v>2214</v>
      </c>
      <c r="R396" s="737"/>
      <c r="S396" s="735"/>
      <c r="T396" s="737" t="s">
        <v>2221</v>
      </c>
      <c r="U396" s="737"/>
    </row>
    <row r="397">
      <c r="A397" s="733">
        <v>44774.0</v>
      </c>
      <c r="B397" s="52" t="str">
        <f t="shared" si="1"/>
        <v>08/2022</v>
      </c>
      <c r="C397" s="52" t="str">
        <f>IF(A397="","",VLOOKUP(A397,'THAM CHIẾU'!$A:$B,2,0))</f>
        <v>#N/A</v>
      </c>
      <c r="D397" s="52" t="str">
        <f>IF(E397&lt;&gt;0,VLOOKUP(E397,DM_DUAN,3,0),"")</f>
        <v/>
      </c>
      <c r="E397" s="735"/>
      <c r="F397" s="735"/>
      <c r="G397" s="735"/>
      <c r="H397" s="735"/>
      <c r="I397" s="735"/>
      <c r="J397" s="52" t="s">
        <v>2214</v>
      </c>
      <c r="K397" s="52" t="s">
        <v>2214</v>
      </c>
      <c r="L397" s="735" t="s">
        <v>262</v>
      </c>
      <c r="M397" s="68"/>
      <c r="N397" s="738">
        <v>833000.0</v>
      </c>
      <c r="O397" s="735"/>
      <c r="P397" s="52" t="s">
        <v>2214</v>
      </c>
      <c r="Q397" s="52" t="s">
        <v>2214</v>
      </c>
      <c r="R397" s="737"/>
      <c r="S397" s="735"/>
      <c r="T397" s="737" t="s">
        <v>2222</v>
      </c>
      <c r="U397" s="737"/>
    </row>
    <row r="398">
      <c r="A398" s="733">
        <v>44774.0</v>
      </c>
      <c r="B398" s="52" t="str">
        <f t="shared" si="1"/>
        <v>08/2022</v>
      </c>
      <c r="C398" s="52" t="str">
        <f>IF(A398="","",VLOOKUP(A398,'THAM CHIẾU'!$A:$B,2,0))</f>
        <v>#N/A</v>
      </c>
      <c r="D398" s="52" t="str">
        <f>IF(E398&lt;&gt;0,VLOOKUP(E398,DM_DUAN,3,0),"")</f>
        <v/>
      </c>
      <c r="E398" s="735"/>
      <c r="F398" s="735"/>
      <c r="G398" s="735"/>
      <c r="H398" s="735"/>
      <c r="I398" s="735"/>
      <c r="J398" s="52" t="s">
        <v>2214</v>
      </c>
      <c r="K398" s="52" t="s">
        <v>2214</v>
      </c>
      <c r="L398" s="735" t="s">
        <v>2223</v>
      </c>
      <c r="M398" s="68"/>
      <c r="N398" s="738">
        <v>4166000.0</v>
      </c>
      <c r="O398" s="735"/>
      <c r="P398" s="52" t="s">
        <v>2214</v>
      </c>
      <c r="Q398" s="52" t="s">
        <v>2214</v>
      </c>
      <c r="R398" s="737"/>
      <c r="S398" s="735"/>
      <c r="T398" s="737" t="s">
        <v>2224</v>
      </c>
      <c r="U398" s="737"/>
    </row>
    <row r="399">
      <c r="A399" s="733">
        <v>44774.0</v>
      </c>
      <c r="B399" s="52" t="str">
        <f t="shared" si="1"/>
        <v>08/2022</v>
      </c>
      <c r="C399" s="52" t="str">
        <f>IF(A399="","",VLOOKUP(A399,'THAM CHIẾU'!$A:$B,2,0))</f>
        <v>#N/A</v>
      </c>
      <c r="D399" s="52" t="str">
        <f>IF(E399&lt;&gt;0,VLOOKUP(E399,DM_DUAN,3,0),"")</f>
        <v/>
      </c>
      <c r="E399" s="735"/>
      <c r="F399" s="735"/>
      <c r="G399" s="735" t="s">
        <v>176</v>
      </c>
      <c r="H399" s="735"/>
      <c r="I399" s="735"/>
      <c r="J399" s="52" t="s">
        <v>2214</v>
      </c>
      <c r="K399" s="52" t="s">
        <v>2214</v>
      </c>
      <c r="L399" s="735" t="s">
        <v>374</v>
      </c>
      <c r="M399" s="68"/>
      <c r="N399" s="738">
        <v>1666000.0</v>
      </c>
      <c r="O399" s="735"/>
      <c r="P399" s="52" t="s">
        <v>2214</v>
      </c>
      <c r="Q399" s="52" t="s">
        <v>2214</v>
      </c>
      <c r="R399" s="737"/>
      <c r="S399" s="735"/>
      <c r="T399" s="737" t="s">
        <v>2225</v>
      </c>
      <c r="U399" s="737"/>
    </row>
    <row r="400">
      <c r="A400" s="733">
        <v>44774.0</v>
      </c>
      <c r="B400" s="52" t="str">
        <f t="shared" si="1"/>
        <v>08/2022</v>
      </c>
      <c r="C400" s="52" t="str">
        <f>IF(A400="","",VLOOKUP(A400,'THAM CHIẾU'!$A:$B,2,0))</f>
        <v>#N/A</v>
      </c>
      <c r="D400" s="52" t="str">
        <f>IF(E400&lt;&gt;0,VLOOKUP(E400,DM_DUAN,3,0),"")</f>
        <v/>
      </c>
      <c r="E400" s="735"/>
      <c r="F400" s="735"/>
      <c r="G400" s="735"/>
      <c r="H400" s="735"/>
      <c r="I400" s="735"/>
      <c r="J400" s="52" t="s">
        <v>2214</v>
      </c>
      <c r="K400" s="52" t="s">
        <v>2214</v>
      </c>
      <c r="L400" s="735" t="s">
        <v>380</v>
      </c>
      <c r="M400" s="68"/>
      <c r="N400" s="738">
        <v>1666000.0</v>
      </c>
      <c r="O400" s="735"/>
      <c r="P400" s="52" t="s">
        <v>2214</v>
      </c>
      <c r="Q400" s="52" t="s">
        <v>2214</v>
      </c>
      <c r="R400" s="737"/>
      <c r="S400" s="735"/>
      <c r="T400" s="737" t="s">
        <v>2226</v>
      </c>
      <c r="U400" s="737"/>
    </row>
    <row r="401">
      <c r="A401" s="733">
        <v>44774.0</v>
      </c>
      <c r="B401" s="52" t="str">
        <f t="shared" si="1"/>
        <v>08/2022</v>
      </c>
      <c r="C401" s="52" t="str">
        <f>IF(A401="","",VLOOKUP(A401,'THAM CHIẾU'!$A:$B,2,0))</f>
        <v>#N/A</v>
      </c>
      <c r="D401" s="52" t="str">
        <f>IF(E401&lt;&gt;0,VLOOKUP(E401,DM_DUAN,3,0),"")</f>
        <v/>
      </c>
      <c r="E401" s="735"/>
      <c r="F401" s="735"/>
      <c r="G401" s="735"/>
      <c r="H401" s="735"/>
      <c r="I401" s="735"/>
      <c r="J401" s="52" t="s">
        <v>2214</v>
      </c>
      <c r="K401" s="52" t="s">
        <v>2214</v>
      </c>
      <c r="L401" s="735" t="s">
        <v>272</v>
      </c>
      <c r="M401" s="68"/>
      <c r="N401" s="738">
        <v>6666000.0</v>
      </c>
      <c r="O401" s="735"/>
      <c r="P401" s="52" t="s">
        <v>2214</v>
      </c>
      <c r="Q401" s="52" t="s">
        <v>2214</v>
      </c>
      <c r="R401" s="737"/>
      <c r="S401" s="735"/>
      <c r="T401" s="737" t="s">
        <v>2227</v>
      </c>
      <c r="U401" s="737"/>
    </row>
    <row r="402">
      <c r="A402" s="733">
        <v>44774.0</v>
      </c>
      <c r="B402" s="52" t="str">
        <f t="shared" si="1"/>
        <v>08/2022</v>
      </c>
      <c r="C402" s="52" t="str">
        <f>IF(A402="","",VLOOKUP(A402,'THAM CHIẾU'!$A:$B,2,0))</f>
        <v>#N/A</v>
      </c>
      <c r="D402" s="52" t="str">
        <f>IF(E402&lt;&gt;0,VLOOKUP(E402,DM_DUAN,3,0),"")</f>
        <v/>
      </c>
      <c r="E402" s="735"/>
      <c r="F402" s="735"/>
      <c r="G402" s="735"/>
      <c r="H402" s="735"/>
      <c r="I402" s="735"/>
      <c r="J402" s="52" t="s">
        <v>2214</v>
      </c>
      <c r="K402" s="52" t="s">
        <v>2214</v>
      </c>
      <c r="L402" s="735" t="s">
        <v>380</v>
      </c>
      <c r="M402" s="68"/>
      <c r="N402" s="738">
        <v>833000.0</v>
      </c>
      <c r="O402" s="735"/>
      <c r="P402" s="52" t="s">
        <v>2214</v>
      </c>
      <c r="Q402" s="52" t="s">
        <v>2214</v>
      </c>
      <c r="R402" s="737"/>
      <c r="S402" s="735"/>
      <c r="T402" s="737" t="s">
        <v>2228</v>
      </c>
      <c r="U402" s="737"/>
    </row>
    <row r="403">
      <c r="A403" s="733">
        <v>44774.0</v>
      </c>
      <c r="B403" s="52" t="str">
        <f t="shared" si="1"/>
        <v>08/2022</v>
      </c>
      <c r="C403" s="52" t="str">
        <f>IF(A403="","",VLOOKUP(A403,'THAM CHIẾU'!$A:$B,2,0))</f>
        <v>#N/A</v>
      </c>
      <c r="D403" s="52" t="str">
        <f>IF(E403&lt;&gt;0,VLOOKUP(E403,DM_DUAN,3,0),"")</f>
        <v/>
      </c>
      <c r="E403" s="735"/>
      <c r="F403" s="735"/>
      <c r="G403" s="735"/>
      <c r="H403" s="735"/>
      <c r="I403" s="735"/>
      <c r="J403" s="52" t="s">
        <v>2214</v>
      </c>
      <c r="K403" s="52" t="s">
        <v>2214</v>
      </c>
      <c r="L403" s="735" t="s">
        <v>222</v>
      </c>
      <c r="M403" s="68"/>
      <c r="N403" s="738">
        <v>416000.0</v>
      </c>
      <c r="O403" s="735"/>
      <c r="P403" s="52" t="s">
        <v>2214</v>
      </c>
      <c r="Q403" s="52" t="s">
        <v>2214</v>
      </c>
      <c r="R403" s="737"/>
      <c r="S403" s="735"/>
      <c r="T403" s="737" t="s">
        <v>2229</v>
      </c>
      <c r="U403" s="737"/>
    </row>
    <row r="404">
      <c r="A404" s="733">
        <v>44774.0</v>
      </c>
      <c r="B404" s="52" t="str">
        <f t="shared" si="1"/>
        <v>08/2022</v>
      </c>
      <c r="C404" s="52" t="str">
        <f>IF(A404="","",VLOOKUP(A404,'THAM CHIẾU'!$A:$B,2,0))</f>
        <v>#N/A</v>
      </c>
      <c r="D404" s="52" t="str">
        <f>IF(E404&lt;&gt;0,VLOOKUP(E404,DM_DUAN,3,0),"")</f>
        <v/>
      </c>
      <c r="E404" s="735"/>
      <c r="F404" s="735"/>
      <c r="G404" s="735"/>
      <c r="H404" s="735"/>
      <c r="I404" s="735"/>
      <c r="J404" s="52" t="s">
        <v>2214</v>
      </c>
      <c r="K404" s="52" t="s">
        <v>2214</v>
      </c>
      <c r="L404" s="735" t="s">
        <v>267</v>
      </c>
      <c r="M404" s="68"/>
      <c r="N404" s="738">
        <v>3.184E8</v>
      </c>
      <c r="O404" s="735"/>
      <c r="P404" s="52" t="s">
        <v>2214</v>
      </c>
      <c r="Q404" s="52" t="s">
        <v>2214</v>
      </c>
      <c r="R404" s="737"/>
      <c r="S404" s="735"/>
      <c r="T404" s="737" t="s">
        <v>2230</v>
      </c>
      <c r="U404" s="737"/>
    </row>
    <row r="405">
      <c r="A405" s="733">
        <v>44774.0</v>
      </c>
      <c r="B405" s="52" t="str">
        <f t="shared" si="1"/>
        <v>08/2022</v>
      </c>
      <c r="C405" s="52" t="str">
        <f>IF(A405="","",VLOOKUP(A405,'THAM CHIẾU'!$A:$B,2,0))</f>
        <v>#N/A</v>
      </c>
      <c r="D405" s="52" t="str">
        <f>IF(E405&lt;&gt;0,VLOOKUP(E405,DM_DUAN,3,0),"")</f>
        <v/>
      </c>
      <c r="E405" s="735"/>
      <c r="F405" s="735"/>
      <c r="G405" s="735"/>
      <c r="H405" s="735"/>
      <c r="I405" s="735"/>
      <c r="J405" s="52" t="s">
        <v>2214</v>
      </c>
      <c r="K405" s="52" t="s">
        <v>2214</v>
      </c>
      <c r="L405" s="735" t="s">
        <v>270</v>
      </c>
      <c r="M405" s="68"/>
      <c r="N405" s="738">
        <v>4.5143E7</v>
      </c>
      <c r="O405" s="735"/>
      <c r="P405" s="52" t="s">
        <v>2214</v>
      </c>
      <c r="Q405" s="52" t="s">
        <v>2214</v>
      </c>
      <c r="R405" s="737"/>
      <c r="S405" s="735"/>
      <c r="T405" s="737" t="s">
        <v>2231</v>
      </c>
      <c r="U405" s="737"/>
    </row>
    <row r="406">
      <c r="A406" s="733">
        <v>44774.0</v>
      </c>
      <c r="B406" s="52" t="str">
        <f t="shared" si="1"/>
        <v>08/2022</v>
      </c>
      <c r="C406" s="52" t="str">
        <f>IF(A406="","",VLOOKUP(A406,'THAM CHIẾU'!$A:$B,2,0))</f>
        <v>#N/A</v>
      </c>
      <c r="D406" s="52" t="str">
        <f>IF(E406&lt;&gt;0,VLOOKUP(E406,DM_DUAN,3,0),"")</f>
        <v/>
      </c>
      <c r="E406" s="735"/>
      <c r="F406" s="735"/>
      <c r="G406" s="735"/>
      <c r="H406" s="735"/>
      <c r="I406" s="735"/>
      <c r="J406" s="52" t="s">
        <v>2214</v>
      </c>
      <c r="K406" s="52" t="s">
        <v>2214</v>
      </c>
      <c r="L406" s="735" t="s">
        <v>410</v>
      </c>
      <c r="M406" s="68"/>
      <c r="N406" s="738">
        <v>1250000.0</v>
      </c>
      <c r="O406" s="735"/>
      <c r="P406" s="52" t="s">
        <v>2214</v>
      </c>
      <c r="Q406" s="52" t="s">
        <v>2214</v>
      </c>
      <c r="R406" s="737"/>
      <c r="S406" s="735"/>
      <c r="T406" s="737" t="s">
        <v>410</v>
      </c>
      <c r="U406" s="737"/>
    </row>
    <row r="407">
      <c r="A407" s="733">
        <v>44774.0</v>
      </c>
      <c r="B407" s="52" t="str">
        <f t="shared" si="1"/>
        <v>08/2022</v>
      </c>
      <c r="C407" s="52" t="str">
        <f>IF(A407="","",VLOOKUP(A407,'THAM CHIẾU'!$A:$B,2,0))</f>
        <v>#N/A</v>
      </c>
      <c r="D407" s="52" t="str">
        <f>IF(E407&lt;&gt;0,VLOOKUP(E407,DM_DUAN,3,0),"")</f>
        <v/>
      </c>
      <c r="E407" s="735"/>
      <c r="F407" s="735"/>
      <c r="G407" s="735"/>
      <c r="H407" s="735"/>
      <c r="I407" s="735"/>
      <c r="J407" s="52" t="s">
        <v>2214</v>
      </c>
      <c r="K407" s="52" t="s">
        <v>2214</v>
      </c>
      <c r="L407" s="735" t="s">
        <v>252</v>
      </c>
      <c r="M407" s="68"/>
      <c r="N407" s="738">
        <v>1.6666E7</v>
      </c>
      <c r="O407" s="735"/>
      <c r="P407" s="52" t="s">
        <v>2214</v>
      </c>
      <c r="Q407" s="52" t="s">
        <v>2214</v>
      </c>
      <c r="R407" s="737"/>
      <c r="S407" s="735"/>
      <c r="T407" s="737" t="s">
        <v>2232</v>
      </c>
      <c r="U407" s="737"/>
    </row>
    <row r="408">
      <c r="A408" s="733">
        <v>44774.0</v>
      </c>
      <c r="B408" s="52" t="str">
        <f t="shared" si="1"/>
        <v>08/2022</v>
      </c>
      <c r="C408" s="52" t="str">
        <f>IF(A408="","",VLOOKUP(A408,'THAM CHIẾU'!$A:$B,2,0))</f>
        <v>#N/A</v>
      </c>
      <c r="D408" s="52" t="str">
        <f>IF(E408&lt;&gt;0,VLOOKUP(E408,DM_DUAN,3,0),"")</f>
        <v/>
      </c>
      <c r="E408" s="735"/>
      <c r="F408" s="735"/>
      <c r="G408" s="735"/>
      <c r="H408" s="735"/>
      <c r="I408" s="735"/>
      <c r="J408" s="52" t="s">
        <v>2214</v>
      </c>
      <c r="K408" s="52" t="s">
        <v>2214</v>
      </c>
      <c r="L408" s="735" t="s">
        <v>380</v>
      </c>
      <c r="M408" s="68"/>
      <c r="N408" s="738">
        <v>1666000.0</v>
      </c>
      <c r="O408" s="735"/>
      <c r="P408" s="52" t="s">
        <v>2214</v>
      </c>
      <c r="Q408" s="52" t="s">
        <v>2214</v>
      </c>
      <c r="R408" s="737"/>
      <c r="S408" s="735"/>
      <c r="T408" s="737" t="s">
        <v>2233</v>
      </c>
      <c r="U408" s="737"/>
    </row>
    <row r="409">
      <c r="A409" s="733">
        <v>44774.0</v>
      </c>
      <c r="B409" s="52" t="str">
        <f t="shared" si="1"/>
        <v>08/2022</v>
      </c>
      <c r="C409" s="52" t="str">
        <f>IF(A409="","",VLOOKUP(A409,'THAM CHIẾU'!$A:$B,2,0))</f>
        <v>#N/A</v>
      </c>
      <c r="D409" s="52" t="str">
        <f>IF(E409&lt;&gt;0,VLOOKUP(E409,DM_DUAN,3,0),"")</f>
        <v/>
      </c>
      <c r="E409" s="735"/>
      <c r="F409" s="735"/>
      <c r="G409" s="735"/>
      <c r="H409" s="735"/>
      <c r="I409" s="735"/>
      <c r="J409" s="52" t="s">
        <v>2214</v>
      </c>
      <c r="K409" s="52" t="s">
        <v>2214</v>
      </c>
      <c r="L409" s="735" t="s">
        <v>206</v>
      </c>
      <c r="M409" s="68"/>
      <c r="N409" s="738">
        <v>1703000.0</v>
      </c>
      <c r="O409" s="735"/>
      <c r="P409" s="52" t="s">
        <v>2214</v>
      </c>
      <c r="Q409" s="52" t="s">
        <v>2214</v>
      </c>
      <c r="R409" s="737"/>
      <c r="S409" s="735"/>
      <c r="T409" s="737" t="s">
        <v>206</v>
      </c>
      <c r="U409" s="737"/>
    </row>
    <row r="410">
      <c r="A410" s="733">
        <v>44774.0</v>
      </c>
      <c r="B410" s="52" t="str">
        <f t="shared" si="1"/>
        <v>08/2022</v>
      </c>
      <c r="C410" s="52" t="str">
        <f>IF(A410="","",VLOOKUP(A410,'THAM CHIẾU'!$A:$B,2,0))</f>
        <v>#N/A</v>
      </c>
      <c r="D410" s="52" t="str">
        <f>IF(E410&lt;&gt;0,VLOOKUP(E410,DM_DUAN,3,0),"")</f>
        <v/>
      </c>
      <c r="E410" s="735"/>
      <c r="F410" s="735"/>
      <c r="G410" s="735"/>
      <c r="H410" s="735"/>
      <c r="I410" s="735"/>
      <c r="J410" s="52" t="s">
        <v>2214</v>
      </c>
      <c r="K410" s="52" t="s">
        <v>2214</v>
      </c>
      <c r="L410" s="735" t="s">
        <v>226</v>
      </c>
      <c r="M410" s="68"/>
      <c r="N410" s="738">
        <v>1250000.0</v>
      </c>
      <c r="O410" s="735"/>
      <c r="P410" s="52" t="s">
        <v>2214</v>
      </c>
      <c r="Q410" s="52" t="s">
        <v>2214</v>
      </c>
      <c r="R410" s="737"/>
      <c r="S410" s="735"/>
      <c r="T410" s="737" t="s">
        <v>2234</v>
      </c>
      <c r="U410" s="737"/>
    </row>
    <row r="411">
      <c r="A411" s="733">
        <v>44774.0</v>
      </c>
      <c r="B411" s="52" t="str">
        <f t="shared" si="1"/>
        <v>08/2022</v>
      </c>
      <c r="C411" s="52" t="str">
        <f>IF(A411="","",VLOOKUP(A411,'THAM CHIẾU'!$A:$B,2,0))</f>
        <v>#N/A</v>
      </c>
      <c r="D411" s="52" t="str">
        <f>IF(E411&lt;&gt;0,VLOOKUP(E411,DM_DUAN,3,0),"")</f>
        <v/>
      </c>
      <c r="E411" s="735"/>
      <c r="F411" s="735"/>
      <c r="G411" s="735"/>
      <c r="H411" s="735"/>
      <c r="I411" s="735"/>
      <c r="J411" s="52" t="s">
        <v>2214</v>
      </c>
      <c r="K411" s="52" t="s">
        <v>2214</v>
      </c>
      <c r="L411" s="735" t="s">
        <v>174</v>
      </c>
      <c r="M411" s="68"/>
      <c r="N411" s="738">
        <v>4.0861E7</v>
      </c>
      <c r="O411" s="735"/>
      <c r="P411" s="52" t="s">
        <v>2214</v>
      </c>
      <c r="Q411" s="52" t="s">
        <v>2214</v>
      </c>
      <c r="R411" s="737"/>
      <c r="S411" s="735"/>
      <c r="T411" s="737" t="s">
        <v>2235</v>
      </c>
      <c r="U411" s="737"/>
    </row>
    <row r="412">
      <c r="A412" s="733">
        <v>44774.0</v>
      </c>
      <c r="B412" s="52" t="str">
        <f t="shared" si="1"/>
        <v>08/2022</v>
      </c>
      <c r="C412" s="52" t="str">
        <f>IF(A412="","",VLOOKUP(A412,'THAM CHIẾU'!$A:$B,2,0))</f>
        <v>#N/A</v>
      </c>
      <c r="D412" s="52" t="str">
        <f>IF(E412&lt;&gt;0,VLOOKUP(E412,DM_DUAN,3,0),"")</f>
        <v/>
      </c>
      <c r="E412" s="735"/>
      <c r="F412" s="735"/>
      <c r="G412" s="735"/>
      <c r="H412" s="735"/>
      <c r="I412" s="735"/>
      <c r="J412" s="52" t="s">
        <v>2214</v>
      </c>
      <c r="K412" s="52" t="s">
        <v>2214</v>
      </c>
      <c r="L412" s="735" t="s">
        <v>2236</v>
      </c>
      <c r="M412" s="68"/>
      <c r="N412" s="738">
        <v>1666000.0</v>
      </c>
      <c r="O412" s="735"/>
      <c r="P412" s="52" t="s">
        <v>2214</v>
      </c>
      <c r="Q412" s="52" t="s">
        <v>2214</v>
      </c>
      <c r="R412" s="737"/>
      <c r="S412" s="735"/>
      <c r="T412" s="737" t="s">
        <v>2237</v>
      </c>
      <c r="U412" s="737"/>
    </row>
    <row r="413">
      <c r="A413" s="733">
        <v>44774.0</v>
      </c>
      <c r="B413" s="52" t="str">
        <f t="shared" si="1"/>
        <v>08/2022</v>
      </c>
      <c r="C413" s="52" t="str">
        <f>IF(A413="","",VLOOKUP(A413,'THAM CHIẾU'!$A:$B,2,0))</f>
        <v>#N/A</v>
      </c>
      <c r="D413" s="52" t="str">
        <f>IF(E413&lt;&gt;0,VLOOKUP(E413,DM_DUAN,3,0),"")</f>
        <v/>
      </c>
      <c r="E413" s="735"/>
      <c r="F413" s="735"/>
      <c r="G413" s="735"/>
      <c r="H413" s="735"/>
      <c r="I413" s="735"/>
      <c r="J413" s="52" t="s">
        <v>2214</v>
      </c>
      <c r="K413" s="52" t="s">
        <v>2214</v>
      </c>
      <c r="L413" s="735"/>
      <c r="M413" s="68"/>
      <c r="N413" s="738"/>
      <c r="O413" s="735"/>
      <c r="P413" s="52" t="s">
        <v>2214</v>
      </c>
      <c r="Q413" s="52" t="s">
        <v>2214</v>
      </c>
      <c r="R413" s="737"/>
      <c r="S413" s="735"/>
      <c r="T413" s="737"/>
      <c r="U413" s="737"/>
    </row>
    <row r="414">
      <c r="A414" s="733">
        <v>44774.0</v>
      </c>
      <c r="B414" s="52" t="str">
        <f t="shared" si="1"/>
        <v>08/2022</v>
      </c>
      <c r="C414" s="52" t="str">
        <f>IF(A414="","",VLOOKUP(A414,'THAM CHIẾU'!$A:$B,2,0))</f>
        <v>#N/A</v>
      </c>
      <c r="D414" s="52" t="str">
        <f>IF(E414&lt;&gt;0,VLOOKUP(E414,DM_DUAN,3,0),"")</f>
        <v/>
      </c>
      <c r="E414" s="735"/>
      <c r="F414" s="735"/>
      <c r="G414" s="735"/>
      <c r="H414" s="735"/>
      <c r="I414" s="735"/>
      <c r="J414" s="52" t="s">
        <v>2214</v>
      </c>
      <c r="K414" s="52" t="s">
        <v>2214</v>
      </c>
      <c r="L414" s="735" t="s">
        <v>169</v>
      </c>
      <c r="M414" s="68"/>
      <c r="N414" s="738">
        <v>1.0643E7</v>
      </c>
      <c r="O414" s="735"/>
      <c r="P414" s="52" t="s">
        <v>2214</v>
      </c>
      <c r="Q414" s="52" t="s">
        <v>2214</v>
      </c>
      <c r="R414" s="737"/>
      <c r="S414" s="735"/>
      <c r="T414" s="737" t="s">
        <v>2240</v>
      </c>
      <c r="U414" s="737"/>
    </row>
    <row r="415">
      <c r="A415" s="733">
        <v>44774.0</v>
      </c>
      <c r="B415" s="52" t="str">
        <f t="shared" si="1"/>
        <v>08/2022</v>
      </c>
      <c r="C415" s="52" t="str">
        <f>IF(A415="","",VLOOKUP(A415,'THAM CHIẾU'!$A:$B,2,0))</f>
        <v>#N/A</v>
      </c>
      <c r="D415" s="52" t="str">
        <f>IF(E415&lt;&gt;0,VLOOKUP(E415,DM_DUAN,3,0),"")</f>
        <v/>
      </c>
      <c r="E415" s="735"/>
      <c r="F415" s="735"/>
      <c r="G415" s="735"/>
      <c r="H415" s="735"/>
      <c r="I415" s="735"/>
      <c r="J415" s="52" t="s">
        <v>2214</v>
      </c>
      <c r="K415" s="52" t="s">
        <v>2214</v>
      </c>
      <c r="L415" s="735" t="s">
        <v>190</v>
      </c>
      <c r="M415" s="68"/>
      <c r="N415" s="738">
        <v>3.9E9</v>
      </c>
      <c r="O415" s="735"/>
      <c r="P415" s="52" t="s">
        <v>2214</v>
      </c>
      <c r="Q415" s="52" t="s">
        <v>2214</v>
      </c>
      <c r="R415" s="737"/>
      <c r="S415" s="735"/>
      <c r="T415" s="737" t="s">
        <v>2241</v>
      </c>
      <c r="U415" s="737"/>
    </row>
    <row r="416">
      <c r="A416" s="733">
        <v>44774.0</v>
      </c>
      <c r="B416" s="52" t="str">
        <f t="shared" si="1"/>
        <v>08/2022</v>
      </c>
      <c r="C416" s="52" t="str">
        <f>IF(A416="","",VLOOKUP(A416,'THAM CHIẾU'!$A:$B,2,0))</f>
        <v>#N/A</v>
      </c>
      <c r="D416" s="52" t="str">
        <f>IF(E416&lt;&gt;0,VLOOKUP(E416,DM_DUAN,3,0),"")</f>
        <v/>
      </c>
      <c r="E416" s="735"/>
      <c r="F416" s="735"/>
      <c r="G416" s="735"/>
      <c r="H416" s="735"/>
      <c r="I416" s="735"/>
      <c r="J416" s="52" t="s">
        <v>2214</v>
      </c>
      <c r="K416" s="52" t="s">
        <v>2214</v>
      </c>
      <c r="L416" s="735" t="s">
        <v>194</v>
      </c>
      <c r="M416" s="68"/>
      <c r="N416" s="738">
        <v>1.04E9</v>
      </c>
      <c r="O416" s="735"/>
      <c r="P416" s="52" t="s">
        <v>2214</v>
      </c>
      <c r="Q416" s="52" t="s">
        <v>2214</v>
      </c>
      <c r="R416" s="737"/>
      <c r="S416" s="735"/>
      <c r="T416" s="737" t="s">
        <v>2242</v>
      </c>
      <c r="U416" s="737"/>
    </row>
    <row r="417">
      <c r="A417" s="733">
        <v>44774.0</v>
      </c>
      <c r="B417" s="52" t="str">
        <f t="shared" si="1"/>
        <v>08/2022</v>
      </c>
      <c r="C417" s="52" t="str">
        <f>IF(A417="","",VLOOKUP(A417,'THAM CHIẾU'!$A:$B,2,0))</f>
        <v>#N/A</v>
      </c>
      <c r="D417" s="52" t="str">
        <f>IF(E417&lt;&gt;0,VLOOKUP(E417,DM_DUAN,3,0),"")</f>
        <v/>
      </c>
      <c r="E417" s="735"/>
      <c r="F417" s="735"/>
      <c r="G417" s="735"/>
      <c r="H417" s="735"/>
      <c r="I417" s="735"/>
      <c r="J417" s="52" t="s">
        <v>2214</v>
      </c>
      <c r="K417" s="52" t="s">
        <v>2214</v>
      </c>
      <c r="L417" s="735" t="s">
        <v>1170</v>
      </c>
      <c r="M417" s="68"/>
      <c r="N417" s="738">
        <v>1.3E8</v>
      </c>
      <c r="O417" s="735"/>
      <c r="P417" s="52" t="s">
        <v>2214</v>
      </c>
      <c r="Q417" s="52" t="s">
        <v>2214</v>
      </c>
      <c r="R417" s="737"/>
      <c r="S417" s="735"/>
      <c r="T417" s="737" t="s">
        <v>1474</v>
      </c>
      <c r="U417" s="737"/>
    </row>
    <row r="418">
      <c r="A418" s="733">
        <v>44774.0</v>
      </c>
      <c r="B418" s="52" t="str">
        <f t="shared" si="1"/>
        <v>08/2022</v>
      </c>
      <c r="C418" s="52" t="str">
        <f>IF(A418="","",VLOOKUP(A418,'THAM CHIẾU'!$A:$B,2,0))</f>
        <v>#N/A</v>
      </c>
      <c r="D418" s="52" t="str">
        <f>IF(E418&lt;&gt;0,VLOOKUP(E418,DM_DUAN,3,0),"")</f>
        <v/>
      </c>
      <c r="E418" s="735"/>
      <c r="F418" s="735"/>
      <c r="G418" s="735"/>
      <c r="H418" s="735"/>
      <c r="I418" s="735"/>
      <c r="J418" s="52" t="s">
        <v>2214</v>
      </c>
      <c r="K418" s="52" t="s">
        <v>2214</v>
      </c>
      <c r="L418" s="735" t="s">
        <v>1142</v>
      </c>
      <c r="M418" s="68"/>
      <c r="N418" s="738">
        <v>1.248E9</v>
      </c>
      <c r="O418" s="735"/>
      <c r="P418" s="52" t="s">
        <v>2214</v>
      </c>
      <c r="Q418" s="52" t="s">
        <v>2214</v>
      </c>
      <c r="R418" s="737"/>
      <c r="S418" s="735"/>
      <c r="T418" s="737" t="s">
        <v>2244</v>
      </c>
      <c r="U418" s="737"/>
    </row>
    <row r="419">
      <c r="A419" s="733">
        <v>44774.0</v>
      </c>
      <c r="B419" s="52" t="str">
        <f t="shared" si="1"/>
        <v>08/2022</v>
      </c>
      <c r="C419" s="52" t="str">
        <f>IF(A419="","",VLOOKUP(A419,'THAM CHIẾU'!$A:$B,2,0))</f>
        <v>#N/A</v>
      </c>
      <c r="D419" s="52" t="str">
        <f>IF(E419&lt;&gt;0,VLOOKUP(E419,DM_DUAN,3,0),"")</f>
        <v/>
      </c>
      <c r="E419" s="735"/>
      <c r="F419" s="735"/>
      <c r="G419" s="735"/>
      <c r="H419" s="735"/>
      <c r="I419" s="735"/>
      <c r="J419" s="52" t="s">
        <v>2214</v>
      </c>
      <c r="K419" s="52" t="s">
        <v>2214</v>
      </c>
      <c r="L419" s="735" t="s">
        <v>181</v>
      </c>
      <c r="M419" s="68"/>
      <c r="N419" s="738">
        <v>1.3E9</v>
      </c>
      <c r="O419" s="735"/>
      <c r="P419" s="52" t="s">
        <v>2214</v>
      </c>
      <c r="Q419" s="52" t="s">
        <v>2214</v>
      </c>
      <c r="R419" s="737"/>
      <c r="S419" s="735"/>
      <c r="T419" s="737" t="s">
        <v>2245</v>
      </c>
      <c r="U419" s="737"/>
    </row>
    <row r="420">
      <c r="A420" s="733">
        <v>44774.0</v>
      </c>
      <c r="B420" s="52" t="str">
        <f t="shared" si="1"/>
        <v>08/2022</v>
      </c>
      <c r="C420" s="52" t="str">
        <f>IF(A420="","",VLOOKUP(A420,'THAM CHIẾU'!$A:$B,2,0))</f>
        <v>#N/A</v>
      </c>
      <c r="D420" s="52" t="str">
        <f>IF(E420&lt;&gt;0,VLOOKUP(E420,DM_DUAN,3,0),"")</f>
        <v/>
      </c>
      <c r="E420" s="735"/>
      <c r="F420" s="735"/>
      <c r="G420" s="735"/>
      <c r="H420" s="735"/>
      <c r="I420" s="735"/>
      <c r="J420" s="52" t="s">
        <v>2214</v>
      </c>
      <c r="K420" s="52" t="s">
        <v>2214</v>
      </c>
      <c r="L420" s="735" t="s">
        <v>2243</v>
      </c>
      <c r="M420" s="68"/>
      <c r="N420" s="738">
        <v>3.9E7</v>
      </c>
      <c r="O420" s="735"/>
      <c r="P420" s="52" t="s">
        <v>2214</v>
      </c>
      <c r="Q420" s="52" t="s">
        <v>2214</v>
      </c>
      <c r="R420" s="737"/>
      <c r="S420" s="735"/>
      <c r="T420" s="737" t="s">
        <v>2246</v>
      </c>
      <c r="U420" s="737"/>
    </row>
    <row r="421">
      <c r="A421" s="733"/>
      <c r="B421" s="52" t="str">
        <f t="shared" si="1"/>
        <v/>
      </c>
      <c r="C421" s="52" t="str">
        <f>IF(A421="","",VLOOKUP(A421,'THAM CHIẾU'!$A:$B,2,0))</f>
        <v/>
      </c>
      <c r="D421" s="52" t="str">
        <f>IF(E421&lt;&gt;0,VLOOKUP(E421,DM_DUAN,3,0),"")</f>
        <v/>
      </c>
      <c r="E421" s="735"/>
      <c r="F421" s="735"/>
      <c r="G421" s="735"/>
      <c r="H421" s="735"/>
      <c r="I421" s="735"/>
      <c r="J421" s="52" t="s">
        <v>2214</v>
      </c>
      <c r="K421" s="52" t="s">
        <v>2214</v>
      </c>
      <c r="L421" s="735"/>
      <c r="M421" s="68"/>
      <c r="N421" s="738">
        <v>0.0</v>
      </c>
      <c r="O421" s="735"/>
      <c r="P421" s="52" t="s">
        <v>2214</v>
      </c>
      <c r="Q421" s="52" t="s">
        <v>2214</v>
      </c>
      <c r="R421" s="737"/>
      <c r="S421" s="735"/>
      <c r="T421" s="737"/>
      <c r="U421" s="737"/>
    </row>
    <row r="422">
      <c r="A422" s="733">
        <v>44805.0</v>
      </c>
      <c r="B422" s="52" t="str">
        <f t="shared" si="1"/>
        <v>09/2022</v>
      </c>
      <c r="C422" s="52" t="str">
        <f>IF(A422="","",VLOOKUP(A422,'THAM CHIẾU'!$A:$B,2,0))</f>
        <v>#N/A</v>
      </c>
      <c r="D422" s="52" t="str">
        <f>IF(E422&lt;&gt;0,VLOOKUP(E422,DM_DUAN,3,0),"")</f>
        <v>THANHNAM</v>
      </c>
      <c r="E422" s="735" t="s">
        <v>175</v>
      </c>
      <c r="F422" s="735"/>
      <c r="G422" s="735"/>
      <c r="H422" s="735"/>
      <c r="I422" s="735"/>
      <c r="J422" s="52" t="s">
        <v>2214</v>
      </c>
      <c r="K422" s="52" t="s">
        <v>2214</v>
      </c>
      <c r="L422" s="735" t="s">
        <v>198</v>
      </c>
      <c r="M422" s="68"/>
      <c r="N422" s="738">
        <v>1.3333333E10</v>
      </c>
      <c r="O422" s="735"/>
      <c r="P422" s="52" t="s">
        <v>2214</v>
      </c>
      <c r="Q422" s="52" t="s">
        <v>2214</v>
      </c>
      <c r="R422" s="737"/>
      <c r="S422" s="735"/>
      <c r="T422" s="737"/>
      <c r="U422" s="737"/>
    </row>
    <row r="423">
      <c r="A423" s="733">
        <v>44805.0</v>
      </c>
      <c r="B423" s="52" t="str">
        <f t="shared" si="1"/>
        <v>09/2022</v>
      </c>
      <c r="C423" s="52" t="str">
        <f>IF(A423="","",VLOOKUP(A423,'THAM CHIẾU'!$A:$B,2,0))</f>
        <v>#N/A</v>
      </c>
      <c r="D423" s="52" t="str">
        <f>IF(E423&lt;&gt;0,VLOOKUP(E423,DM_DUAN,3,0),"")</f>
        <v>NAMPHONG</v>
      </c>
      <c r="E423" s="735" t="s">
        <v>2067</v>
      </c>
      <c r="F423" s="735"/>
      <c r="G423" s="735"/>
      <c r="H423" s="735"/>
      <c r="I423" s="735"/>
      <c r="J423" s="52" t="s">
        <v>2214</v>
      </c>
      <c r="K423" s="52" t="s">
        <v>2214</v>
      </c>
      <c r="L423" s="735" t="s">
        <v>198</v>
      </c>
      <c r="M423" s="68"/>
      <c r="N423" s="738">
        <v>4.0E10</v>
      </c>
      <c r="O423" s="735"/>
      <c r="P423" s="52" t="s">
        <v>2214</v>
      </c>
      <c r="Q423" s="52" t="s">
        <v>2214</v>
      </c>
      <c r="R423" s="737"/>
      <c r="S423" s="735"/>
      <c r="T423" s="737"/>
      <c r="U423" s="737"/>
    </row>
    <row r="424">
      <c r="A424" s="733">
        <v>44805.0</v>
      </c>
      <c r="B424" s="52" t="str">
        <f t="shared" si="1"/>
        <v>09/2022</v>
      </c>
      <c r="C424" s="52" t="str">
        <f>IF(A424="","",VLOOKUP(A424,'THAM CHIẾU'!$A:$B,2,0))</f>
        <v>#N/A</v>
      </c>
      <c r="D424" s="52" t="str">
        <f>IF(E424&lt;&gt;0,VLOOKUP(E424,DM_DUAN,3,0),"")</f>
        <v>NAMSAIGON</v>
      </c>
      <c r="E424" s="735" t="s">
        <v>215</v>
      </c>
      <c r="F424" s="735"/>
      <c r="G424" s="735"/>
      <c r="H424" s="735"/>
      <c r="I424" s="735"/>
      <c r="J424" s="52" t="s">
        <v>2214</v>
      </c>
      <c r="K424" s="52" t="s">
        <v>2214</v>
      </c>
      <c r="L424" s="735" t="s">
        <v>198</v>
      </c>
      <c r="M424" s="68"/>
      <c r="N424" s="738">
        <v>1.3333333E10</v>
      </c>
      <c r="O424" s="735"/>
      <c r="P424" s="52" t="s">
        <v>2214</v>
      </c>
      <c r="Q424" s="52" t="s">
        <v>2214</v>
      </c>
      <c r="R424" s="737"/>
      <c r="S424" s="735"/>
      <c r="T424" s="737"/>
      <c r="U424" s="737"/>
    </row>
    <row r="425">
      <c r="A425" s="733">
        <v>44805.0</v>
      </c>
      <c r="B425" s="52" t="str">
        <f t="shared" si="1"/>
        <v>09/2022</v>
      </c>
      <c r="C425" s="52" t="str">
        <f>IF(A425="","",VLOOKUP(A425,'THAM CHIẾU'!$A:$B,2,0))</f>
        <v>#N/A</v>
      </c>
      <c r="D425" s="52" t="str">
        <f>IF(E425&lt;&gt;0,VLOOKUP(E425,DM_DUAN,3,0),"")</f>
        <v>#N/A</v>
      </c>
      <c r="E425" s="735" t="s">
        <v>2069</v>
      </c>
      <c r="F425" s="735"/>
      <c r="G425" s="735"/>
      <c r="H425" s="735"/>
      <c r="I425" s="735"/>
      <c r="J425" s="52" t="s">
        <v>2214</v>
      </c>
      <c r="K425" s="52" t="s">
        <v>2214</v>
      </c>
      <c r="L425" s="735" t="s">
        <v>198</v>
      </c>
      <c r="M425" s="68"/>
      <c r="N425" s="738">
        <v>0.0</v>
      </c>
      <c r="O425" s="735"/>
      <c r="P425" s="52" t="s">
        <v>2214</v>
      </c>
      <c r="Q425" s="52" t="s">
        <v>2214</v>
      </c>
      <c r="R425" s="737"/>
      <c r="S425" s="735"/>
      <c r="T425" s="737"/>
      <c r="U425" s="737"/>
    </row>
    <row r="426">
      <c r="A426" s="733">
        <v>44805.0</v>
      </c>
      <c r="B426" s="52" t="str">
        <f t="shared" si="1"/>
        <v>09/2022</v>
      </c>
      <c r="C426" s="52" t="str">
        <f>IF(A426="","",VLOOKUP(A426,'THAM CHIẾU'!$A:$B,2,0))</f>
        <v>#N/A</v>
      </c>
      <c r="D426" s="52" t="str">
        <f>IF(E426&lt;&gt;0,VLOOKUP(E426,DM_DUAN,3,0),"")</f>
        <v>KHANGVUONG</v>
      </c>
      <c r="E426" s="735" t="s">
        <v>2070</v>
      </c>
      <c r="F426" s="735"/>
      <c r="G426" s="735"/>
      <c r="H426" s="735"/>
      <c r="I426" s="735"/>
      <c r="J426" s="52" t="s">
        <v>2214</v>
      </c>
      <c r="K426" s="52" t="s">
        <v>2214</v>
      </c>
      <c r="L426" s="735" t="s">
        <v>198</v>
      </c>
      <c r="M426" s="68"/>
      <c r="N426" s="738">
        <v>6.666666E9</v>
      </c>
      <c r="O426" s="735"/>
      <c r="P426" s="52" t="s">
        <v>2214</v>
      </c>
      <c r="Q426" s="52" t="s">
        <v>2214</v>
      </c>
      <c r="R426" s="737"/>
      <c r="S426" s="735"/>
      <c r="T426" s="737"/>
      <c r="U426" s="737"/>
    </row>
    <row r="427">
      <c r="A427" s="733">
        <v>44805.0</v>
      </c>
      <c r="B427" s="52" t="str">
        <f t="shared" si="1"/>
        <v>09/2022</v>
      </c>
      <c r="C427" s="52" t="str">
        <f>IF(A427="","",VLOOKUP(A427,'THAM CHIẾU'!$A:$B,2,0))</f>
        <v>#N/A</v>
      </c>
      <c r="D427" s="52" t="str">
        <f>IF(E427&lt;&gt;0,VLOOKUP(E427,DM_DUAN,3,0),"")</f>
        <v>PHUGIATHINH</v>
      </c>
      <c r="E427" s="735" t="s">
        <v>404</v>
      </c>
      <c r="F427" s="735"/>
      <c r="G427" s="735"/>
      <c r="H427" s="735"/>
      <c r="I427" s="735"/>
      <c r="J427" s="52" t="s">
        <v>2214</v>
      </c>
      <c r="K427" s="52" t="s">
        <v>2214</v>
      </c>
      <c r="L427" s="735" t="s">
        <v>198</v>
      </c>
      <c r="M427" s="68"/>
      <c r="N427" s="738">
        <v>6.666666E9</v>
      </c>
      <c r="O427" s="735"/>
      <c r="P427" s="52" t="s">
        <v>2214</v>
      </c>
      <c r="Q427" s="52" t="s">
        <v>2214</v>
      </c>
      <c r="R427" s="737"/>
      <c r="S427" s="735"/>
      <c r="T427" s="737"/>
      <c r="U427" s="737"/>
    </row>
    <row r="428">
      <c r="A428" s="733">
        <v>44805.0</v>
      </c>
      <c r="B428" s="52" t="str">
        <f t="shared" si="1"/>
        <v>09/2022</v>
      </c>
      <c r="C428" s="52" t="str">
        <f>IF(A428="","",VLOOKUP(A428,'THAM CHIẾU'!$A:$B,2,0))</f>
        <v>#N/A</v>
      </c>
      <c r="D428" s="52" t="str">
        <f>IF(E428&lt;&gt;0,VLOOKUP(E428,DM_DUAN,3,0),"")</f>
        <v>TRANANH</v>
      </c>
      <c r="E428" s="735" t="s">
        <v>2072</v>
      </c>
      <c r="F428" s="735"/>
      <c r="G428" s="735"/>
      <c r="H428" s="735"/>
      <c r="I428" s="735"/>
      <c r="J428" s="52" t="s">
        <v>2214</v>
      </c>
      <c r="K428" s="52" t="s">
        <v>2214</v>
      </c>
      <c r="L428" s="735" t="s">
        <v>198</v>
      </c>
      <c r="M428" s="68"/>
      <c r="N428" s="738">
        <v>1.3333333E10</v>
      </c>
      <c r="O428" s="735"/>
      <c r="P428" s="52" t="s">
        <v>2214</v>
      </c>
      <c r="Q428" s="52" t="s">
        <v>2214</v>
      </c>
      <c r="R428" s="737"/>
      <c r="S428" s="735"/>
      <c r="T428" s="737"/>
      <c r="U428" s="737"/>
    </row>
    <row r="429">
      <c r="A429" s="733">
        <v>44805.0</v>
      </c>
      <c r="B429" s="52" t="str">
        <f t="shared" si="1"/>
        <v>09/2022</v>
      </c>
      <c r="C429" s="52" t="str">
        <f>IF(A429="","",VLOOKUP(A429,'THAM CHIẾU'!$A:$B,2,0))</f>
        <v>#N/A</v>
      </c>
      <c r="D429" s="52" t="str">
        <f>IF(E429&lt;&gt;0,VLOOKUP(E429,DM_DUAN,3,0),"")</f>
        <v>PHITRUONG</v>
      </c>
      <c r="E429" s="735" t="s">
        <v>2073</v>
      </c>
      <c r="F429" s="735"/>
      <c r="G429" s="735"/>
      <c r="H429" s="735"/>
      <c r="I429" s="735"/>
      <c r="J429" s="52" t="s">
        <v>2214</v>
      </c>
      <c r="K429" s="52" t="s">
        <v>2214</v>
      </c>
      <c r="L429" s="735" t="s">
        <v>198</v>
      </c>
      <c r="M429" s="68"/>
      <c r="N429" s="738">
        <v>5.3333333E10</v>
      </c>
      <c r="O429" s="735"/>
      <c r="P429" s="52" t="s">
        <v>2214</v>
      </c>
      <c r="Q429" s="52" t="s">
        <v>2214</v>
      </c>
      <c r="R429" s="737"/>
      <c r="S429" s="735"/>
      <c r="T429" s="737"/>
      <c r="U429" s="737"/>
    </row>
    <row r="430">
      <c r="A430" s="733">
        <v>44805.0</v>
      </c>
      <c r="B430" s="52" t="str">
        <f t="shared" si="1"/>
        <v>09/2022</v>
      </c>
      <c r="C430" s="52" t="str">
        <f>IF(A430="","",VLOOKUP(A430,'THAM CHIẾU'!$A:$B,2,0))</f>
        <v>#N/A</v>
      </c>
      <c r="D430" s="52" t="str">
        <f>IF(E430&lt;&gt;0,VLOOKUP(E430,DM_DUAN,3,0),"")</f>
        <v>HOANGCAT</v>
      </c>
      <c r="E430" s="735" t="s">
        <v>2074</v>
      </c>
      <c r="F430" s="735"/>
      <c r="G430" s="735"/>
      <c r="H430" s="735"/>
      <c r="I430" s="735"/>
      <c r="J430" s="52" t="s">
        <v>2214</v>
      </c>
      <c r="K430" s="52" t="s">
        <v>2214</v>
      </c>
      <c r="L430" s="735" t="s">
        <v>198</v>
      </c>
      <c r="M430" s="68"/>
      <c r="N430" s="738">
        <v>2.6666666E10</v>
      </c>
      <c r="O430" s="735"/>
      <c r="P430" s="52" t="s">
        <v>2214</v>
      </c>
      <c r="Q430" s="52" t="s">
        <v>2214</v>
      </c>
      <c r="R430" s="737"/>
      <c r="S430" s="735"/>
      <c r="T430" s="737"/>
      <c r="U430" s="737"/>
    </row>
    <row r="431">
      <c r="A431" s="733">
        <v>44805.0</v>
      </c>
      <c r="B431" s="52" t="str">
        <f t="shared" si="1"/>
        <v>09/2022</v>
      </c>
      <c r="C431" s="52" t="str">
        <f>IF(A431="","",VLOOKUP(A431,'THAM CHIẾU'!$A:$B,2,0))</f>
        <v>#N/A</v>
      </c>
      <c r="D431" s="52" t="str">
        <f>IF(E431&lt;&gt;0,VLOOKUP(E431,DM_DUAN,3,0),"")</f>
        <v>THANHNAM</v>
      </c>
      <c r="E431" s="735" t="s">
        <v>175</v>
      </c>
      <c r="F431" s="735"/>
      <c r="G431" s="735"/>
      <c r="H431" s="735"/>
      <c r="I431" s="735"/>
      <c r="J431" s="52" t="s">
        <v>2214</v>
      </c>
      <c r="K431" s="52" t="s">
        <v>2214</v>
      </c>
      <c r="L431" s="735" t="s">
        <v>187</v>
      </c>
      <c r="M431" s="68"/>
      <c r="N431" s="738">
        <v>1.23999996E9</v>
      </c>
      <c r="O431" s="735"/>
      <c r="P431" s="52" t="s">
        <v>2214</v>
      </c>
      <c r="Q431" s="52" t="s">
        <v>2214</v>
      </c>
      <c r="R431" s="737"/>
      <c r="S431" s="735"/>
      <c r="T431" s="737"/>
      <c r="U431" s="737"/>
    </row>
    <row r="432">
      <c r="A432" s="733">
        <v>44805.0</v>
      </c>
      <c r="B432" s="52" t="str">
        <f t="shared" si="1"/>
        <v>09/2022</v>
      </c>
      <c r="C432" s="52" t="str">
        <f>IF(A432="","",VLOOKUP(A432,'THAM CHIẾU'!$A:$B,2,0))</f>
        <v>#N/A</v>
      </c>
      <c r="D432" s="52" t="str">
        <f>IF(E432&lt;&gt;0,VLOOKUP(E432,DM_DUAN,3,0),"")</f>
        <v>NAMPHONG</v>
      </c>
      <c r="E432" s="735" t="s">
        <v>2067</v>
      </c>
      <c r="F432" s="735"/>
      <c r="G432" s="735"/>
      <c r="H432" s="735"/>
      <c r="I432" s="735"/>
      <c r="J432" s="52" t="s">
        <v>2214</v>
      </c>
      <c r="K432" s="52" t="s">
        <v>2214</v>
      </c>
      <c r="L432" s="735" t="s">
        <v>187</v>
      </c>
      <c r="M432" s="68"/>
      <c r="N432" s="738">
        <v>4.8E9</v>
      </c>
      <c r="O432" s="735"/>
      <c r="P432" s="52" t="s">
        <v>2214</v>
      </c>
      <c r="Q432" s="52" t="s">
        <v>2214</v>
      </c>
      <c r="R432" s="737"/>
      <c r="S432" s="735"/>
      <c r="T432" s="737"/>
      <c r="U432" s="737"/>
    </row>
    <row r="433">
      <c r="A433" s="733">
        <v>44805.0</v>
      </c>
      <c r="B433" s="52" t="str">
        <f t="shared" si="1"/>
        <v>09/2022</v>
      </c>
      <c r="C433" s="52" t="str">
        <f>IF(A433="","",VLOOKUP(A433,'THAM CHIẾU'!$A:$B,2,0))</f>
        <v>#N/A</v>
      </c>
      <c r="D433" s="52" t="str">
        <f>IF(E433&lt;&gt;0,VLOOKUP(E433,DM_DUAN,3,0),"")</f>
        <v>NAMSAIGON</v>
      </c>
      <c r="E433" s="735" t="s">
        <v>215</v>
      </c>
      <c r="F433" s="735"/>
      <c r="G433" s="735"/>
      <c r="H433" s="735"/>
      <c r="I433" s="735"/>
      <c r="J433" s="52" t="s">
        <v>2214</v>
      </c>
      <c r="K433" s="52" t="s">
        <v>2214</v>
      </c>
      <c r="L433" s="735" t="s">
        <v>187</v>
      </c>
      <c r="M433" s="68"/>
      <c r="N433" s="738">
        <v>1.59999996E9</v>
      </c>
      <c r="O433" s="735"/>
      <c r="P433" s="52" t="s">
        <v>2214</v>
      </c>
      <c r="Q433" s="52" t="s">
        <v>2214</v>
      </c>
      <c r="R433" s="737"/>
      <c r="S433" s="735"/>
      <c r="T433" s="737"/>
      <c r="U433" s="737"/>
    </row>
    <row r="434">
      <c r="A434" s="733">
        <v>44805.0</v>
      </c>
      <c r="B434" s="52" t="str">
        <f t="shared" si="1"/>
        <v>09/2022</v>
      </c>
      <c r="C434" s="52" t="str">
        <f>IF(A434="","",VLOOKUP(A434,'THAM CHIẾU'!$A:$B,2,0))</f>
        <v>#N/A</v>
      </c>
      <c r="D434" s="52" t="str">
        <f>IF(E434&lt;&gt;0,VLOOKUP(E434,DM_DUAN,3,0),"")</f>
        <v>#N/A</v>
      </c>
      <c r="E434" s="735" t="s">
        <v>2069</v>
      </c>
      <c r="F434" s="735"/>
      <c r="G434" s="735"/>
      <c r="H434" s="735"/>
      <c r="I434" s="735"/>
      <c r="J434" s="52" t="s">
        <v>2214</v>
      </c>
      <c r="K434" s="52" t="s">
        <v>2214</v>
      </c>
      <c r="L434" s="735" t="s">
        <v>187</v>
      </c>
      <c r="M434" s="68"/>
      <c r="N434" s="738">
        <v>0.0</v>
      </c>
      <c r="O434" s="735"/>
      <c r="P434" s="52" t="s">
        <v>2214</v>
      </c>
      <c r="Q434" s="52" t="s">
        <v>2214</v>
      </c>
      <c r="R434" s="737"/>
      <c r="S434" s="735"/>
      <c r="T434" s="737"/>
      <c r="U434" s="737"/>
    </row>
    <row r="435">
      <c r="A435" s="733">
        <v>44805.0</v>
      </c>
      <c r="B435" s="52" t="str">
        <f t="shared" si="1"/>
        <v>09/2022</v>
      </c>
      <c r="C435" s="52" t="str">
        <f>IF(A435="","",VLOOKUP(A435,'THAM CHIẾU'!$A:$B,2,0))</f>
        <v>#N/A</v>
      </c>
      <c r="D435" s="52" t="str">
        <f>IF(E435&lt;&gt;0,VLOOKUP(E435,DM_DUAN,3,0),"")</f>
        <v>KHANGVUONG</v>
      </c>
      <c r="E435" s="735" t="s">
        <v>2070</v>
      </c>
      <c r="F435" s="735"/>
      <c r="G435" s="735"/>
      <c r="H435" s="735"/>
      <c r="I435" s="735"/>
      <c r="J435" s="52" t="s">
        <v>2214</v>
      </c>
      <c r="K435" s="52" t="s">
        <v>2214</v>
      </c>
      <c r="L435" s="735" t="s">
        <v>187</v>
      </c>
      <c r="M435" s="68"/>
      <c r="N435" s="738">
        <v>7.9999992E8</v>
      </c>
      <c r="O435" s="735"/>
      <c r="P435" s="52" t="s">
        <v>2214</v>
      </c>
      <c r="Q435" s="52" t="s">
        <v>2214</v>
      </c>
      <c r="R435" s="737"/>
      <c r="S435" s="735"/>
      <c r="T435" s="737"/>
      <c r="U435" s="737"/>
    </row>
    <row r="436">
      <c r="A436" s="733">
        <v>44805.0</v>
      </c>
      <c r="B436" s="52" t="str">
        <f t="shared" si="1"/>
        <v>09/2022</v>
      </c>
      <c r="C436" s="52" t="str">
        <f>IF(A436="","",VLOOKUP(A436,'THAM CHIẾU'!$A:$B,2,0))</f>
        <v>#N/A</v>
      </c>
      <c r="D436" s="52" t="str">
        <f>IF(E436&lt;&gt;0,VLOOKUP(E436,DM_DUAN,3,0),"")</f>
        <v>PHUGIATHINH</v>
      </c>
      <c r="E436" s="735" t="s">
        <v>404</v>
      </c>
      <c r="F436" s="735"/>
      <c r="G436" s="735"/>
      <c r="H436" s="735"/>
      <c r="I436" s="735"/>
      <c r="J436" s="52" t="s">
        <v>2214</v>
      </c>
      <c r="K436" s="52" t="s">
        <v>2214</v>
      </c>
      <c r="L436" s="735" t="s">
        <v>187</v>
      </c>
      <c r="M436" s="68"/>
      <c r="N436" s="738">
        <v>7.9999992E8</v>
      </c>
      <c r="O436" s="735"/>
      <c r="P436" s="52" t="s">
        <v>2214</v>
      </c>
      <c r="Q436" s="52" t="s">
        <v>2214</v>
      </c>
      <c r="R436" s="737"/>
      <c r="S436" s="735"/>
      <c r="T436" s="737"/>
      <c r="U436" s="737"/>
    </row>
    <row r="437">
      <c r="A437" s="733">
        <v>44805.0</v>
      </c>
      <c r="B437" s="52" t="str">
        <f t="shared" si="1"/>
        <v>09/2022</v>
      </c>
      <c r="C437" s="52" t="str">
        <f>IF(A437="","",VLOOKUP(A437,'THAM CHIẾU'!$A:$B,2,0))</f>
        <v>#N/A</v>
      </c>
      <c r="D437" s="52" t="str">
        <f>IF(E437&lt;&gt;0,VLOOKUP(E437,DM_DUAN,3,0),"")</f>
        <v>TRANANH</v>
      </c>
      <c r="E437" s="735" t="s">
        <v>2072</v>
      </c>
      <c r="F437" s="735"/>
      <c r="G437" s="735"/>
      <c r="H437" s="735"/>
      <c r="I437" s="735"/>
      <c r="J437" s="52" t="s">
        <v>2214</v>
      </c>
      <c r="K437" s="52" t="s">
        <v>2214</v>
      </c>
      <c r="L437" s="735" t="s">
        <v>187</v>
      </c>
      <c r="M437" s="68"/>
      <c r="N437" s="738">
        <v>1.59999996E9</v>
      </c>
      <c r="O437" s="735"/>
      <c r="P437" s="52" t="s">
        <v>2214</v>
      </c>
      <c r="Q437" s="52" t="s">
        <v>2214</v>
      </c>
      <c r="R437" s="737"/>
      <c r="S437" s="735"/>
      <c r="T437" s="737"/>
      <c r="U437" s="737"/>
    </row>
    <row r="438">
      <c r="A438" s="733">
        <v>44805.0</v>
      </c>
      <c r="B438" s="52" t="str">
        <f t="shared" si="1"/>
        <v>09/2022</v>
      </c>
      <c r="C438" s="52" t="str">
        <f>IF(A438="","",VLOOKUP(A438,'THAM CHIẾU'!$A:$B,2,0))</f>
        <v>#N/A</v>
      </c>
      <c r="D438" s="52" t="str">
        <f>IF(E438&lt;&gt;0,VLOOKUP(E438,DM_DUAN,3,0),"")</f>
        <v>PHITRUONG</v>
      </c>
      <c r="E438" s="735" t="s">
        <v>2073</v>
      </c>
      <c r="F438" s="735"/>
      <c r="G438" s="735"/>
      <c r="H438" s="735"/>
      <c r="I438" s="735"/>
      <c r="J438" s="52" t="s">
        <v>2214</v>
      </c>
      <c r="K438" s="52" t="s">
        <v>2214</v>
      </c>
      <c r="L438" s="735" t="s">
        <v>187</v>
      </c>
      <c r="M438" s="68"/>
      <c r="N438" s="738">
        <v>6.39999996E9</v>
      </c>
      <c r="O438" s="735"/>
      <c r="P438" s="52" t="s">
        <v>2214</v>
      </c>
      <c r="Q438" s="52" t="s">
        <v>2214</v>
      </c>
      <c r="R438" s="737"/>
      <c r="S438" s="735"/>
      <c r="T438" s="737"/>
      <c r="U438" s="737"/>
    </row>
    <row r="439">
      <c r="A439" s="733">
        <v>44805.0</v>
      </c>
      <c r="B439" s="52" t="str">
        <f t="shared" si="1"/>
        <v>09/2022</v>
      </c>
      <c r="C439" s="52" t="str">
        <f>IF(A439="","",VLOOKUP(A439,'THAM CHIẾU'!$A:$B,2,0))</f>
        <v>#N/A</v>
      </c>
      <c r="D439" s="52" t="str">
        <f>IF(E439&lt;&gt;0,VLOOKUP(E439,DM_DUAN,3,0),"")</f>
        <v>HOANGCAT</v>
      </c>
      <c r="E439" s="735" t="s">
        <v>2074</v>
      </c>
      <c r="F439" s="735"/>
      <c r="G439" s="735"/>
      <c r="H439" s="735"/>
      <c r="I439" s="735"/>
      <c r="J439" s="52" t="s">
        <v>2214</v>
      </c>
      <c r="K439" s="52" t="s">
        <v>2214</v>
      </c>
      <c r="L439" s="735" t="s">
        <v>187</v>
      </c>
      <c r="M439" s="68"/>
      <c r="N439" s="738">
        <v>3.19999992E9</v>
      </c>
      <c r="O439" s="735"/>
      <c r="P439" s="52" t="s">
        <v>2214</v>
      </c>
      <c r="Q439" s="52" t="s">
        <v>2214</v>
      </c>
      <c r="R439" s="737"/>
      <c r="S439" s="735"/>
      <c r="T439" s="737"/>
      <c r="U439" s="737"/>
    </row>
    <row r="440">
      <c r="A440" s="733">
        <v>44805.0</v>
      </c>
      <c r="B440" s="52" t="str">
        <f t="shared" si="1"/>
        <v>09/2022</v>
      </c>
      <c r="C440" s="52" t="str">
        <f>IF(A440="","",VLOOKUP(A440,'THAM CHIẾU'!$A:$B,2,0))</f>
        <v>#N/A</v>
      </c>
      <c r="D440" s="52" t="str">
        <f>IF(E440&lt;&gt;0,VLOOKUP(E440,DM_DUAN,3,0),"")</f>
        <v/>
      </c>
      <c r="E440" s="735"/>
      <c r="F440" s="735"/>
      <c r="G440" s="735" t="s">
        <v>207</v>
      </c>
      <c r="H440" s="735"/>
      <c r="I440" s="735"/>
      <c r="J440" s="52" t="s">
        <v>2214</v>
      </c>
      <c r="K440" s="52" t="s">
        <v>2214</v>
      </c>
      <c r="L440" s="735" t="s">
        <v>2215</v>
      </c>
      <c r="M440" s="68"/>
      <c r="N440" s="738">
        <v>43000.0</v>
      </c>
      <c r="O440" s="735"/>
      <c r="P440" s="52" t="s">
        <v>2214</v>
      </c>
      <c r="Q440" s="52" t="s">
        <v>2214</v>
      </c>
      <c r="R440" s="737"/>
      <c r="S440" s="735"/>
      <c r="T440" s="737" t="s">
        <v>2216</v>
      </c>
      <c r="U440" s="737"/>
    </row>
    <row r="441">
      <c r="A441" s="733">
        <v>44805.0</v>
      </c>
      <c r="B441" s="52" t="str">
        <f t="shared" si="1"/>
        <v>09/2022</v>
      </c>
      <c r="C441" s="52" t="str">
        <f>IF(A441="","",VLOOKUP(A441,'THAM CHIẾU'!$A:$B,2,0))</f>
        <v>#N/A</v>
      </c>
      <c r="D441" s="52" t="str">
        <f>IF(E441&lt;&gt;0,VLOOKUP(E441,DM_DUAN,3,0),"")</f>
        <v/>
      </c>
      <c r="E441" s="735"/>
      <c r="F441" s="735"/>
      <c r="G441" s="735"/>
      <c r="H441" s="735"/>
      <c r="I441" s="735"/>
      <c r="J441" s="52" t="s">
        <v>2214</v>
      </c>
      <c r="K441" s="52" t="s">
        <v>2214</v>
      </c>
      <c r="L441" s="735" t="s">
        <v>419</v>
      </c>
      <c r="M441" s="68"/>
      <c r="N441" s="738">
        <v>166000.0</v>
      </c>
      <c r="O441" s="735"/>
      <c r="P441" s="52" t="s">
        <v>2214</v>
      </c>
      <c r="Q441" s="52" t="s">
        <v>2214</v>
      </c>
      <c r="R441" s="737"/>
      <c r="S441" s="735"/>
      <c r="T441" s="737" t="s">
        <v>2217</v>
      </c>
      <c r="U441" s="737"/>
    </row>
    <row r="442">
      <c r="A442" s="733">
        <v>44805.0</v>
      </c>
      <c r="B442" s="52" t="str">
        <f t="shared" si="1"/>
        <v>09/2022</v>
      </c>
      <c r="C442" s="52" t="str">
        <f>IF(A442="","",VLOOKUP(A442,'THAM CHIẾU'!$A:$B,2,0))</f>
        <v>#N/A</v>
      </c>
      <c r="D442" s="52" t="str">
        <f>IF(E442&lt;&gt;0,VLOOKUP(E442,DM_DUAN,3,0),"")</f>
        <v/>
      </c>
      <c r="E442" s="735"/>
      <c r="F442" s="735"/>
      <c r="G442" s="735"/>
      <c r="H442" s="735"/>
      <c r="I442" s="735"/>
      <c r="J442" s="52" t="s">
        <v>2214</v>
      </c>
      <c r="K442" s="52" t="s">
        <v>2214</v>
      </c>
      <c r="L442" s="735" t="s">
        <v>573</v>
      </c>
      <c r="M442" s="68"/>
      <c r="N442" s="738">
        <v>250000.0</v>
      </c>
      <c r="O442" s="735"/>
      <c r="P442" s="52" t="s">
        <v>2214</v>
      </c>
      <c r="Q442" s="52" t="s">
        <v>2214</v>
      </c>
      <c r="R442" s="737"/>
      <c r="S442" s="735"/>
      <c r="T442" s="737" t="s">
        <v>2218</v>
      </c>
      <c r="U442" s="737"/>
    </row>
    <row r="443">
      <c r="A443" s="733">
        <v>44805.0</v>
      </c>
      <c r="B443" s="52" t="str">
        <f t="shared" si="1"/>
        <v>09/2022</v>
      </c>
      <c r="C443" s="52" t="str">
        <f>IF(A443="","",VLOOKUP(A443,'THAM CHIẾU'!$A:$B,2,0))</f>
        <v>#N/A</v>
      </c>
      <c r="D443" s="52" t="str">
        <f>IF(E443&lt;&gt;0,VLOOKUP(E443,DM_DUAN,3,0),"")</f>
        <v/>
      </c>
      <c r="E443" s="735"/>
      <c r="F443" s="735"/>
      <c r="G443" s="735"/>
      <c r="H443" s="735"/>
      <c r="I443" s="735"/>
      <c r="J443" s="52" t="s">
        <v>2214</v>
      </c>
      <c r="K443" s="52" t="s">
        <v>2214</v>
      </c>
      <c r="L443" s="735" t="s">
        <v>1273</v>
      </c>
      <c r="M443" s="68"/>
      <c r="N443" s="738">
        <v>328000.0</v>
      </c>
      <c r="O443" s="735"/>
      <c r="P443" s="52" t="s">
        <v>2214</v>
      </c>
      <c r="Q443" s="52" t="s">
        <v>2214</v>
      </c>
      <c r="R443" s="737"/>
      <c r="S443" s="735"/>
      <c r="T443" s="737" t="s">
        <v>1273</v>
      </c>
      <c r="U443" s="737"/>
    </row>
    <row r="444">
      <c r="A444" s="733">
        <v>44805.0</v>
      </c>
      <c r="B444" s="52" t="str">
        <f t="shared" si="1"/>
        <v>09/2022</v>
      </c>
      <c r="C444" s="52" t="str">
        <f>IF(A444="","",VLOOKUP(A444,'THAM CHIẾU'!$A:$B,2,0))</f>
        <v>#N/A</v>
      </c>
      <c r="D444" s="52" t="str">
        <f>IF(E444&lt;&gt;0,VLOOKUP(E444,DM_DUAN,3,0),"")</f>
        <v/>
      </c>
      <c r="E444" s="735"/>
      <c r="F444" s="735"/>
      <c r="G444" s="735"/>
      <c r="H444" s="735"/>
      <c r="I444" s="735"/>
      <c r="J444" s="52" t="s">
        <v>2214</v>
      </c>
      <c r="K444" s="52" t="s">
        <v>2214</v>
      </c>
      <c r="L444" s="735" t="s">
        <v>1153</v>
      </c>
      <c r="M444" s="68"/>
      <c r="N444" s="738">
        <v>8333000.0</v>
      </c>
      <c r="O444" s="735"/>
      <c r="P444" s="52" t="s">
        <v>2214</v>
      </c>
      <c r="Q444" s="52" t="s">
        <v>2214</v>
      </c>
      <c r="R444" s="737"/>
      <c r="S444" s="735"/>
      <c r="T444" s="737" t="s">
        <v>2219</v>
      </c>
      <c r="U444" s="737"/>
    </row>
    <row r="445">
      <c r="A445" s="733">
        <v>44805.0</v>
      </c>
      <c r="B445" s="52" t="str">
        <f t="shared" si="1"/>
        <v>09/2022</v>
      </c>
      <c r="C445" s="52" t="str">
        <f>IF(A445="","",VLOOKUP(A445,'THAM CHIẾU'!$A:$B,2,0))</f>
        <v>#N/A</v>
      </c>
      <c r="D445" s="52" t="str">
        <f>IF(E445&lt;&gt;0,VLOOKUP(E445,DM_DUAN,3,0),"")</f>
        <v/>
      </c>
      <c r="E445" s="735"/>
      <c r="F445" s="735"/>
      <c r="G445" s="735"/>
      <c r="H445" s="735"/>
      <c r="I445" s="735"/>
      <c r="J445" s="52" t="s">
        <v>2214</v>
      </c>
      <c r="K445" s="52" t="s">
        <v>2214</v>
      </c>
      <c r="L445" s="735" t="s">
        <v>2220</v>
      </c>
      <c r="M445" s="68"/>
      <c r="N445" s="738">
        <v>416000.0</v>
      </c>
      <c r="O445" s="735"/>
      <c r="P445" s="52" t="s">
        <v>2214</v>
      </c>
      <c r="Q445" s="52" t="s">
        <v>2214</v>
      </c>
      <c r="R445" s="737"/>
      <c r="S445" s="735"/>
      <c r="T445" s="737" t="s">
        <v>2221</v>
      </c>
      <c r="U445" s="737"/>
    </row>
    <row r="446">
      <c r="A446" s="733">
        <v>44805.0</v>
      </c>
      <c r="B446" s="52" t="str">
        <f t="shared" si="1"/>
        <v>09/2022</v>
      </c>
      <c r="C446" s="52" t="str">
        <f>IF(A446="","",VLOOKUP(A446,'THAM CHIẾU'!$A:$B,2,0))</f>
        <v>#N/A</v>
      </c>
      <c r="D446" s="52" t="str">
        <f>IF(E446&lt;&gt;0,VLOOKUP(E446,DM_DUAN,3,0),"")</f>
        <v/>
      </c>
      <c r="E446" s="735"/>
      <c r="F446" s="735"/>
      <c r="G446" s="735"/>
      <c r="H446" s="735"/>
      <c r="I446" s="735"/>
      <c r="J446" s="52" t="s">
        <v>2214</v>
      </c>
      <c r="K446" s="52" t="s">
        <v>2214</v>
      </c>
      <c r="L446" s="735" t="s">
        <v>262</v>
      </c>
      <c r="M446" s="68"/>
      <c r="N446" s="738">
        <v>833000.0</v>
      </c>
      <c r="O446" s="735"/>
      <c r="P446" s="52" t="s">
        <v>2214</v>
      </c>
      <c r="Q446" s="52" t="s">
        <v>2214</v>
      </c>
      <c r="R446" s="737"/>
      <c r="S446" s="735"/>
      <c r="T446" s="737" t="s">
        <v>2222</v>
      </c>
      <c r="U446" s="737"/>
    </row>
    <row r="447">
      <c r="A447" s="733">
        <v>44805.0</v>
      </c>
      <c r="B447" s="52" t="str">
        <f t="shared" si="1"/>
        <v>09/2022</v>
      </c>
      <c r="C447" s="52" t="str">
        <f>IF(A447="","",VLOOKUP(A447,'THAM CHIẾU'!$A:$B,2,0))</f>
        <v>#N/A</v>
      </c>
      <c r="D447" s="52" t="str">
        <f>IF(E447&lt;&gt;0,VLOOKUP(E447,DM_DUAN,3,0),"")</f>
        <v/>
      </c>
      <c r="E447" s="735"/>
      <c r="F447" s="735"/>
      <c r="G447" s="735"/>
      <c r="H447" s="735"/>
      <c r="I447" s="735"/>
      <c r="J447" s="52" t="s">
        <v>2214</v>
      </c>
      <c r="K447" s="52" t="s">
        <v>2214</v>
      </c>
      <c r="L447" s="735" t="s">
        <v>2223</v>
      </c>
      <c r="M447" s="68"/>
      <c r="N447" s="738">
        <v>4166000.0</v>
      </c>
      <c r="O447" s="735"/>
      <c r="P447" s="52" t="s">
        <v>2214</v>
      </c>
      <c r="Q447" s="52" t="s">
        <v>2214</v>
      </c>
      <c r="R447" s="737"/>
      <c r="S447" s="735"/>
      <c r="T447" s="737" t="s">
        <v>2224</v>
      </c>
      <c r="U447" s="737"/>
    </row>
    <row r="448">
      <c r="A448" s="733">
        <v>44805.0</v>
      </c>
      <c r="B448" s="52" t="str">
        <f t="shared" si="1"/>
        <v>09/2022</v>
      </c>
      <c r="C448" s="52" t="str">
        <f>IF(A448="","",VLOOKUP(A448,'THAM CHIẾU'!$A:$B,2,0))</f>
        <v>#N/A</v>
      </c>
      <c r="D448" s="52" t="str">
        <f>IF(E448&lt;&gt;0,VLOOKUP(E448,DM_DUAN,3,0),"")</f>
        <v/>
      </c>
      <c r="E448" s="735"/>
      <c r="F448" s="735"/>
      <c r="G448" s="735" t="s">
        <v>176</v>
      </c>
      <c r="H448" s="735"/>
      <c r="I448" s="735"/>
      <c r="J448" s="52" t="s">
        <v>2214</v>
      </c>
      <c r="K448" s="52" t="s">
        <v>2214</v>
      </c>
      <c r="L448" s="735" t="s">
        <v>374</v>
      </c>
      <c r="M448" s="68"/>
      <c r="N448" s="738">
        <v>1666000.0</v>
      </c>
      <c r="O448" s="735"/>
      <c r="P448" s="52" t="s">
        <v>2214</v>
      </c>
      <c r="Q448" s="52" t="s">
        <v>2214</v>
      </c>
      <c r="R448" s="737"/>
      <c r="S448" s="735"/>
      <c r="T448" s="737" t="s">
        <v>2225</v>
      </c>
      <c r="U448" s="737"/>
    </row>
    <row r="449">
      <c r="A449" s="733">
        <v>44805.0</v>
      </c>
      <c r="B449" s="52" t="str">
        <f t="shared" si="1"/>
        <v>09/2022</v>
      </c>
      <c r="C449" s="52" t="str">
        <f>IF(A449="","",VLOOKUP(A449,'THAM CHIẾU'!$A:$B,2,0))</f>
        <v>#N/A</v>
      </c>
      <c r="D449" s="52" t="str">
        <f>IF(E449&lt;&gt;0,VLOOKUP(E449,DM_DUAN,3,0),"")</f>
        <v/>
      </c>
      <c r="E449" s="735"/>
      <c r="F449" s="735"/>
      <c r="G449" s="735"/>
      <c r="H449" s="735"/>
      <c r="I449" s="735"/>
      <c r="J449" s="52" t="s">
        <v>2214</v>
      </c>
      <c r="K449" s="52" t="s">
        <v>2214</v>
      </c>
      <c r="L449" s="735" t="s">
        <v>380</v>
      </c>
      <c r="M449" s="68"/>
      <c r="N449" s="738">
        <v>1666000.0</v>
      </c>
      <c r="O449" s="735"/>
      <c r="P449" s="52" t="s">
        <v>2214</v>
      </c>
      <c r="Q449" s="52" t="s">
        <v>2214</v>
      </c>
      <c r="R449" s="737"/>
      <c r="S449" s="735"/>
      <c r="T449" s="737" t="s">
        <v>2226</v>
      </c>
      <c r="U449" s="737"/>
    </row>
    <row r="450">
      <c r="A450" s="733">
        <v>44805.0</v>
      </c>
      <c r="B450" s="52" t="str">
        <f t="shared" si="1"/>
        <v>09/2022</v>
      </c>
      <c r="C450" s="52" t="str">
        <f>IF(A450="","",VLOOKUP(A450,'THAM CHIẾU'!$A:$B,2,0))</f>
        <v>#N/A</v>
      </c>
      <c r="D450" s="52" t="str">
        <f>IF(E450&lt;&gt;0,VLOOKUP(E450,DM_DUAN,3,0),"")</f>
        <v/>
      </c>
      <c r="E450" s="735"/>
      <c r="F450" s="735"/>
      <c r="G450" s="735"/>
      <c r="H450" s="735"/>
      <c r="I450" s="735"/>
      <c r="J450" s="52" t="s">
        <v>2214</v>
      </c>
      <c r="K450" s="52" t="s">
        <v>2214</v>
      </c>
      <c r="L450" s="735" t="s">
        <v>272</v>
      </c>
      <c r="M450" s="68"/>
      <c r="N450" s="738">
        <v>6666000.0</v>
      </c>
      <c r="O450" s="735"/>
      <c r="P450" s="52" t="s">
        <v>2214</v>
      </c>
      <c r="Q450" s="52" t="s">
        <v>2214</v>
      </c>
      <c r="R450" s="737"/>
      <c r="S450" s="735"/>
      <c r="T450" s="737" t="s">
        <v>2227</v>
      </c>
      <c r="U450" s="737"/>
    </row>
    <row r="451">
      <c r="A451" s="733">
        <v>44805.0</v>
      </c>
      <c r="B451" s="52" t="str">
        <f t="shared" si="1"/>
        <v>09/2022</v>
      </c>
      <c r="C451" s="52" t="str">
        <f>IF(A451="","",VLOOKUP(A451,'THAM CHIẾU'!$A:$B,2,0))</f>
        <v>#N/A</v>
      </c>
      <c r="D451" s="52" t="str">
        <f>IF(E451&lt;&gt;0,VLOOKUP(E451,DM_DUAN,3,0),"")</f>
        <v/>
      </c>
      <c r="E451" s="735"/>
      <c r="F451" s="735"/>
      <c r="G451" s="735"/>
      <c r="H451" s="735"/>
      <c r="I451" s="735"/>
      <c r="J451" s="52" t="s">
        <v>2214</v>
      </c>
      <c r="K451" s="52" t="s">
        <v>2214</v>
      </c>
      <c r="L451" s="735" t="s">
        <v>380</v>
      </c>
      <c r="M451" s="68"/>
      <c r="N451" s="738">
        <v>833000.0</v>
      </c>
      <c r="O451" s="735"/>
      <c r="P451" s="52" t="s">
        <v>2214</v>
      </c>
      <c r="Q451" s="52" t="s">
        <v>2214</v>
      </c>
      <c r="R451" s="737"/>
      <c r="S451" s="735"/>
      <c r="T451" s="737" t="s">
        <v>2228</v>
      </c>
      <c r="U451" s="737"/>
    </row>
    <row r="452">
      <c r="A452" s="733">
        <v>44805.0</v>
      </c>
      <c r="B452" s="52" t="str">
        <f t="shared" si="1"/>
        <v>09/2022</v>
      </c>
      <c r="C452" s="52" t="str">
        <f>IF(A452="","",VLOOKUP(A452,'THAM CHIẾU'!$A:$B,2,0))</f>
        <v>#N/A</v>
      </c>
      <c r="D452" s="52" t="str">
        <f>IF(E452&lt;&gt;0,VLOOKUP(E452,DM_DUAN,3,0),"")</f>
        <v/>
      </c>
      <c r="E452" s="735"/>
      <c r="F452" s="735"/>
      <c r="G452" s="735"/>
      <c r="H452" s="735"/>
      <c r="I452" s="735"/>
      <c r="J452" s="52" t="s">
        <v>2214</v>
      </c>
      <c r="K452" s="52" t="s">
        <v>2214</v>
      </c>
      <c r="L452" s="735" t="s">
        <v>222</v>
      </c>
      <c r="M452" s="68"/>
      <c r="N452" s="738">
        <v>416000.0</v>
      </c>
      <c r="O452" s="735"/>
      <c r="P452" s="52" t="s">
        <v>2214</v>
      </c>
      <c r="Q452" s="52" t="s">
        <v>2214</v>
      </c>
      <c r="R452" s="737"/>
      <c r="S452" s="735"/>
      <c r="T452" s="737" t="s">
        <v>2229</v>
      </c>
      <c r="U452" s="737"/>
    </row>
    <row r="453">
      <c r="A453" s="733">
        <v>44805.0</v>
      </c>
      <c r="B453" s="52" t="str">
        <f t="shared" si="1"/>
        <v>09/2022</v>
      </c>
      <c r="C453" s="52" t="str">
        <f>IF(A453="","",VLOOKUP(A453,'THAM CHIẾU'!$A:$B,2,0))</f>
        <v>#N/A</v>
      </c>
      <c r="D453" s="52" t="str">
        <f>IF(E453&lt;&gt;0,VLOOKUP(E453,DM_DUAN,3,0),"")</f>
        <v/>
      </c>
      <c r="E453" s="735"/>
      <c r="F453" s="735"/>
      <c r="G453" s="735"/>
      <c r="H453" s="735"/>
      <c r="I453" s="735"/>
      <c r="J453" s="52" t="s">
        <v>2214</v>
      </c>
      <c r="K453" s="52" t="s">
        <v>2214</v>
      </c>
      <c r="L453" s="735" t="s">
        <v>267</v>
      </c>
      <c r="M453" s="68"/>
      <c r="N453" s="738">
        <v>3.184E8</v>
      </c>
      <c r="O453" s="735"/>
      <c r="P453" s="52" t="s">
        <v>2214</v>
      </c>
      <c r="Q453" s="52" t="s">
        <v>2214</v>
      </c>
      <c r="R453" s="737"/>
      <c r="S453" s="735"/>
      <c r="T453" s="737" t="s">
        <v>2230</v>
      </c>
      <c r="U453" s="737"/>
    </row>
    <row r="454">
      <c r="A454" s="733">
        <v>44805.0</v>
      </c>
      <c r="B454" s="52" t="str">
        <f t="shared" si="1"/>
        <v>09/2022</v>
      </c>
      <c r="C454" s="52" t="str">
        <f>IF(A454="","",VLOOKUP(A454,'THAM CHIẾU'!$A:$B,2,0))</f>
        <v>#N/A</v>
      </c>
      <c r="D454" s="52" t="str">
        <f>IF(E454&lt;&gt;0,VLOOKUP(E454,DM_DUAN,3,0),"")</f>
        <v/>
      </c>
      <c r="E454" s="735"/>
      <c r="F454" s="735"/>
      <c r="G454" s="735"/>
      <c r="H454" s="735"/>
      <c r="I454" s="735"/>
      <c r="J454" s="52" t="s">
        <v>2214</v>
      </c>
      <c r="K454" s="52" t="s">
        <v>2214</v>
      </c>
      <c r="L454" s="735" t="s">
        <v>270</v>
      </c>
      <c r="M454" s="68"/>
      <c r="N454" s="738">
        <v>4.5143E7</v>
      </c>
      <c r="O454" s="735"/>
      <c r="P454" s="52" t="s">
        <v>2214</v>
      </c>
      <c r="Q454" s="52" t="s">
        <v>2214</v>
      </c>
      <c r="R454" s="737"/>
      <c r="S454" s="735"/>
      <c r="T454" s="737" t="s">
        <v>2231</v>
      </c>
      <c r="U454" s="737"/>
    </row>
    <row r="455">
      <c r="A455" s="733">
        <v>44805.0</v>
      </c>
      <c r="B455" s="52" t="str">
        <f t="shared" si="1"/>
        <v>09/2022</v>
      </c>
      <c r="C455" s="52" t="str">
        <f>IF(A455="","",VLOOKUP(A455,'THAM CHIẾU'!$A:$B,2,0))</f>
        <v>#N/A</v>
      </c>
      <c r="D455" s="52" t="str">
        <f>IF(E455&lt;&gt;0,VLOOKUP(E455,DM_DUAN,3,0),"")</f>
        <v/>
      </c>
      <c r="E455" s="735"/>
      <c r="F455" s="735"/>
      <c r="G455" s="735"/>
      <c r="H455" s="735"/>
      <c r="I455" s="735"/>
      <c r="J455" s="52" t="s">
        <v>2214</v>
      </c>
      <c r="K455" s="52" t="s">
        <v>2214</v>
      </c>
      <c r="L455" s="735" t="s">
        <v>410</v>
      </c>
      <c r="M455" s="68"/>
      <c r="N455" s="738">
        <v>1250000.0</v>
      </c>
      <c r="O455" s="735"/>
      <c r="P455" s="52" t="s">
        <v>2214</v>
      </c>
      <c r="Q455" s="52" t="s">
        <v>2214</v>
      </c>
      <c r="R455" s="737"/>
      <c r="S455" s="735"/>
      <c r="T455" s="737" t="s">
        <v>410</v>
      </c>
      <c r="U455" s="737"/>
    </row>
    <row r="456">
      <c r="A456" s="733">
        <v>44805.0</v>
      </c>
      <c r="B456" s="52" t="str">
        <f t="shared" si="1"/>
        <v>09/2022</v>
      </c>
      <c r="C456" s="52" t="str">
        <f>IF(A456="","",VLOOKUP(A456,'THAM CHIẾU'!$A:$B,2,0))</f>
        <v>#N/A</v>
      </c>
      <c r="D456" s="52" t="str">
        <f>IF(E456&lt;&gt;0,VLOOKUP(E456,DM_DUAN,3,0),"")</f>
        <v/>
      </c>
      <c r="E456" s="735"/>
      <c r="F456" s="735"/>
      <c r="G456" s="735"/>
      <c r="H456" s="735"/>
      <c r="I456" s="735"/>
      <c r="J456" s="52" t="s">
        <v>2214</v>
      </c>
      <c r="K456" s="52" t="s">
        <v>2214</v>
      </c>
      <c r="L456" s="735" t="s">
        <v>252</v>
      </c>
      <c r="M456" s="68"/>
      <c r="N456" s="738">
        <v>1.6666E7</v>
      </c>
      <c r="O456" s="735"/>
      <c r="P456" s="52" t="s">
        <v>2214</v>
      </c>
      <c r="Q456" s="52" t="s">
        <v>2214</v>
      </c>
      <c r="R456" s="737"/>
      <c r="S456" s="735"/>
      <c r="T456" s="737" t="s">
        <v>2232</v>
      </c>
      <c r="U456" s="737"/>
    </row>
    <row r="457">
      <c r="A457" s="733">
        <v>44805.0</v>
      </c>
      <c r="B457" s="52" t="str">
        <f t="shared" si="1"/>
        <v>09/2022</v>
      </c>
      <c r="C457" s="52" t="str">
        <f>IF(A457="","",VLOOKUP(A457,'THAM CHIẾU'!$A:$B,2,0))</f>
        <v>#N/A</v>
      </c>
      <c r="D457" s="52" t="str">
        <f>IF(E457&lt;&gt;0,VLOOKUP(E457,DM_DUAN,3,0),"")</f>
        <v/>
      </c>
      <c r="E457" s="735"/>
      <c r="F457" s="735"/>
      <c r="G457" s="735"/>
      <c r="H457" s="735"/>
      <c r="I457" s="735"/>
      <c r="J457" s="52" t="s">
        <v>2214</v>
      </c>
      <c r="K457" s="52" t="s">
        <v>2214</v>
      </c>
      <c r="L457" s="735" t="s">
        <v>380</v>
      </c>
      <c r="M457" s="68"/>
      <c r="N457" s="738">
        <v>1666000.0</v>
      </c>
      <c r="O457" s="735"/>
      <c r="P457" s="52" t="s">
        <v>2214</v>
      </c>
      <c r="Q457" s="52" t="s">
        <v>2214</v>
      </c>
      <c r="R457" s="737"/>
      <c r="S457" s="735"/>
      <c r="T457" s="737" t="s">
        <v>2233</v>
      </c>
      <c r="U457" s="737"/>
    </row>
    <row r="458">
      <c r="A458" s="733">
        <v>44805.0</v>
      </c>
      <c r="B458" s="52" t="str">
        <f t="shared" si="1"/>
        <v>09/2022</v>
      </c>
      <c r="C458" s="52" t="str">
        <f>IF(A458="","",VLOOKUP(A458,'THAM CHIẾU'!$A:$B,2,0))</f>
        <v>#N/A</v>
      </c>
      <c r="D458" s="52" t="str">
        <f>IF(E458&lt;&gt;0,VLOOKUP(E458,DM_DUAN,3,0),"")</f>
        <v/>
      </c>
      <c r="E458" s="735"/>
      <c r="F458" s="735"/>
      <c r="G458" s="735"/>
      <c r="H458" s="735"/>
      <c r="I458" s="735"/>
      <c r="J458" s="52" t="s">
        <v>2214</v>
      </c>
      <c r="K458" s="52" t="s">
        <v>2214</v>
      </c>
      <c r="L458" s="735" t="s">
        <v>206</v>
      </c>
      <c r="M458" s="68"/>
      <c r="N458" s="738">
        <v>1703000.0</v>
      </c>
      <c r="O458" s="735"/>
      <c r="P458" s="52" t="s">
        <v>2214</v>
      </c>
      <c r="Q458" s="52" t="s">
        <v>2214</v>
      </c>
      <c r="R458" s="737"/>
      <c r="S458" s="735"/>
      <c r="T458" s="737" t="s">
        <v>206</v>
      </c>
      <c r="U458" s="737"/>
    </row>
    <row r="459">
      <c r="A459" s="733">
        <v>44805.0</v>
      </c>
      <c r="B459" s="52" t="str">
        <f t="shared" si="1"/>
        <v>09/2022</v>
      </c>
      <c r="C459" s="52" t="str">
        <f>IF(A459="","",VLOOKUP(A459,'THAM CHIẾU'!$A:$B,2,0))</f>
        <v>#N/A</v>
      </c>
      <c r="D459" s="52" t="str">
        <f>IF(E459&lt;&gt;0,VLOOKUP(E459,DM_DUAN,3,0),"")</f>
        <v/>
      </c>
      <c r="E459" s="735"/>
      <c r="F459" s="735"/>
      <c r="G459" s="735"/>
      <c r="H459" s="735"/>
      <c r="I459" s="735"/>
      <c r="J459" s="52" t="s">
        <v>2214</v>
      </c>
      <c r="K459" s="52" t="s">
        <v>2214</v>
      </c>
      <c r="L459" s="735" t="s">
        <v>226</v>
      </c>
      <c r="M459" s="68"/>
      <c r="N459" s="738">
        <v>1250000.0</v>
      </c>
      <c r="O459" s="735"/>
      <c r="P459" s="52" t="s">
        <v>2214</v>
      </c>
      <c r="Q459" s="52" t="s">
        <v>2214</v>
      </c>
      <c r="R459" s="737"/>
      <c r="S459" s="735"/>
      <c r="T459" s="737" t="s">
        <v>2234</v>
      </c>
      <c r="U459" s="737"/>
    </row>
    <row r="460">
      <c r="A460" s="733">
        <v>44805.0</v>
      </c>
      <c r="B460" s="52" t="str">
        <f t="shared" si="1"/>
        <v>09/2022</v>
      </c>
      <c r="C460" s="52" t="str">
        <f>IF(A460="","",VLOOKUP(A460,'THAM CHIẾU'!$A:$B,2,0))</f>
        <v>#N/A</v>
      </c>
      <c r="D460" s="52" t="str">
        <f>IF(E460&lt;&gt;0,VLOOKUP(E460,DM_DUAN,3,0),"")</f>
        <v/>
      </c>
      <c r="E460" s="735"/>
      <c r="F460" s="735"/>
      <c r="G460" s="735"/>
      <c r="H460" s="735"/>
      <c r="I460" s="735"/>
      <c r="J460" s="52" t="s">
        <v>2214</v>
      </c>
      <c r="K460" s="52" t="s">
        <v>2214</v>
      </c>
      <c r="L460" s="735" t="s">
        <v>174</v>
      </c>
      <c r="M460" s="68"/>
      <c r="N460" s="738">
        <v>4.0861E7</v>
      </c>
      <c r="O460" s="735"/>
      <c r="P460" s="52" t="s">
        <v>2214</v>
      </c>
      <c r="Q460" s="52" t="s">
        <v>2214</v>
      </c>
      <c r="R460" s="737"/>
      <c r="S460" s="735"/>
      <c r="T460" s="737" t="s">
        <v>2235</v>
      </c>
      <c r="U460" s="737"/>
    </row>
    <row r="461">
      <c r="A461" s="733">
        <v>44805.0</v>
      </c>
      <c r="B461" s="52" t="str">
        <f t="shared" si="1"/>
        <v>09/2022</v>
      </c>
      <c r="C461" s="52" t="str">
        <f>IF(A461="","",VLOOKUP(A461,'THAM CHIẾU'!$A:$B,2,0))</f>
        <v>#N/A</v>
      </c>
      <c r="D461" s="52" t="str">
        <f>IF(E461&lt;&gt;0,VLOOKUP(E461,DM_DUAN,3,0),"")</f>
        <v/>
      </c>
      <c r="E461" s="735"/>
      <c r="F461" s="735"/>
      <c r="G461" s="735"/>
      <c r="H461" s="735"/>
      <c r="I461" s="735"/>
      <c r="J461" s="52" t="s">
        <v>2214</v>
      </c>
      <c r="K461" s="52" t="s">
        <v>2214</v>
      </c>
      <c r="L461" s="735" t="s">
        <v>2236</v>
      </c>
      <c r="M461" s="68"/>
      <c r="N461" s="738">
        <v>1666000.0</v>
      </c>
      <c r="O461" s="735"/>
      <c r="P461" s="52" t="s">
        <v>2214</v>
      </c>
      <c r="Q461" s="52" t="s">
        <v>2214</v>
      </c>
      <c r="R461" s="737"/>
      <c r="S461" s="735"/>
      <c r="T461" s="737" t="s">
        <v>2237</v>
      </c>
      <c r="U461" s="737"/>
    </row>
    <row r="462">
      <c r="A462" s="733">
        <v>44805.0</v>
      </c>
      <c r="B462" s="52" t="str">
        <f t="shared" si="1"/>
        <v>09/2022</v>
      </c>
      <c r="C462" s="52" t="str">
        <f>IF(A462="","",VLOOKUP(A462,'THAM CHIẾU'!$A:$B,2,0))</f>
        <v>#N/A</v>
      </c>
      <c r="D462" s="52" t="str">
        <f>IF(E462&lt;&gt;0,VLOOKUP(E462,DM_DUAN,3,0),"")</f>
        <v/>
      </c>
      <c r="E462" s="735"/>
      <c r="F462" s="735"/>
      <c r="G462" s="735"/>
      <c r="H462" s="735"/>
      <c r="I462" s="735"/>
      <c r="J462" s="52" t="s">
        <v>2214</v>
      </c>
      <c r="K462" s="52" t="s">
        <v>2214</v>
      </c>
      <c r="L462" s="735"/>
      <c r="M462" s="68"/>
      <c r="N462" s="738"/>
      <c r="O462" s="735"/>
      <c r="P462" s="52" t="s">
        <v>2214</v>
      </c>
      <c r="Q462" s="52" t="s">
        <v>2214</v>
      </c>
      <c r="R462" s="737"/>
      <c r="S462" s="735"/>
      <c r="T462" s="737"/>
      <c r="U462" s="737"/>
    </row>
    <row r="463">
      <c r="A463" s="733">
        <v>44805.0</v>
      </c>
      <c r="B463" s="52" t="str">
        <f t="shared" si="1"/>
        <v>09/2022</v>
      </c>
      <c r="C463" s="52" t="str">
        <f>IF(A463="","",VLOOKUP(A463,'THAM CHIẾU'!$A:$B,2,0))</f>
        <v>#N/A</v>
      </c>
      <c r="D463" s="52" t="str">
        <f>IF(E463&lt;&gt;0,VLOOKUP(E463,DM_DUAN,3,0),"")</f>
        <v/>
      </c>
      <c r="E463" s="735"/>
      <c r="F463" s="735"/>
      <c r="G463" s="735"/>
      <c r="H463" s="735"/>
      <c r="I463" s="735"/>
      <c r="J463" s="52" t="s">
        <v>2214</v>
      </c>
      <c r="K463" s="52" t="s">
        <v>2214</v>
      </c>
      <c r="L463" s="735" t="s">
        <v>169</v>
      </c>
      <c r="M463" s="68"/>
      <c r="N463" s="738">
        <v>1.0643E7</v>
      </c>
      <c r="O463" s="735"/>
      <c r="P463" s="52" t="s">
        <v>2214</v>
      </c>
      <c r="Q463" s="52" t="s">
        <v>2214</v>
      </c>
      <c r="R463" s="737"/>
      <c r="S463" s="735"/>
      <c r="T463" s="737" t="s">
        <v>2240</v>
      </c>
      <c r="U463" s="737"/>
    </row>
    <row r="464">
      <c r="A464" s="733">
        <v>44805.0</v>
      </c>
      <c r="B464" s="52" t="str">
        <f t="shared" si="1"/>
        <v>09/2022</v>
      </c>
      <c r="C464" s="52" t="str">
        <f>IF(A464="","",VLOOKUP(A464,'THAM CHIẾU'!$A:$B,2,0))</f>
        <v>#N/A</v>
      </c>
      <c r="D464" s="52" t="str">
        <f>IF(E464&lt;&gt;0,VLOOKUP(E464,DM_DUAN,3,0),"")</f>
        <v/>
      </c>
      <c r="E464" s="735"/>
      <c r="F464" s="735"/>
      <c r="G464" s="735"/>
      <c r="H464" s="735"/>
      <c r="I464" s="735"/>
      <c r="J464" s="52" t="s">
        <v>2214</v>
      </c>
      <c r="K464" s="52" t="s">
        <v>2214</v>
      </c>
      <c r="L464" s="735" t="s">
        <v>190</v>
      </c>
      <c r="M464" s="68"/>
      <c r="N464" s="738">
        <v>3.9E9</v>
      </c>
      <c r="O464" s="735"/>
      <c r="P464" s="52" t="s">
        <v>2214</v>
      </c>
      <c r="Q464" s="52" t="s">
        <v>2214</v>
      </c>
      <c r="R464" s="737"/>
      <c r="S464" s="735"/>
      <c r="T464" s="737" t="s">
        <v>2241</v>
      </c>
      <c r="U464" s="737"/>
    </row>
    <row r="465">
      <c r="A465" s="733">
        <v>44805.0</v>
      </c>
      <c r="B465" s="52" t="str">
        <f t="shared" si="1"/>
        <v>09/2022</v>
      </c>
      <c r="C465" s="52" t="str">
        <f>IF(A465="","",VLOOKUP(A465,'THAM CHIẾU'!$A:$B,2,0))</f>
        <v>#N/A</v>
      </c>
      <c r="D465" s="52" t="str">
        <f>IF(E465&lt;&gt;0,VLOOKUP(E465,DM_DUAN,3,0),"")</f>
        <v/>
      </c>
      <c r="E465" s="735"/>
      <c r="F465" s="735"/>
      <c r="G465" s="735"/>
      <c r="H465" s="735"/>
      <c r="I465" s="735"/>
      <c r="J465" s="52" t="s">
        <v>2214</v>
      </c>
      <c r="K465" s="52" t="s">
        <v>2214</v>
      </c>
      <c r="L465" s="735" t="s">
        <v>194</v>
      </c>
      <c r="M465" s="68"/>
      <c r="N465" s="738">
        <v>1.04E9</v>
      </c>
      <c r="O465" s="735"/>
      <c r="P465" s="52" t="s">
        <v>2214</v>
      </c>
      <c r="Q465" s="52" t="s">
        <v>2214</v>
      </c>
      <c r="R465" s="737"/>
      <c r="S465" s="735"/>
      <c r="T465" s="737" t="s">
        <v>2242</v>
      </c>
      <c r="U465" s="737"/>
    </row>
    <row r="466">
      <c r="A466" s="733">
        <v>44805.0</v>
      </c>
      <c r="B466" s="52" t="str">
        <f t="shared" si="1"/>
        <v>09/2022</v>
      </c>
      <c r="C466" s="52" t="str">
        <f>IF(A466="","",VLOOKUP(A466,'THAM CHIẾU'!$A:$B,2,0))</f>
        <v>#N/A</v>
      </c>
      <c r="D466" s="52" t="str">
        <f>IF(E466&lt;&gt;0,VLOOKUP(E466,DM_DUAN,3,0),"")</f>
        <v/>
      </c>
      <c r="E466" s="735"/>
      <c r="F466" s="735"/>
      <c r="G466" s="735"/>
      <c r="H466" s="735"/>
      <c r="I466" s="735"/>
      <c r="J466" s="52" t="s">
        <v>2214</v>
      </c>
      <c r="K466" s="52" t="s">
        <v>2214</v>
      </c>
      <c r="L466" s="735" t="s">
        <v>1170</v>
      </c>
      <c r="M466" s="68"/>
      <c r="N466" s="738">
        <v>1.3E8</v>
      </c>
      <c r="O466" s="735"/>
      <c r="P466" s="52" t="s">
        <v>2214</v>
      </c>
      <c r="Q466" s="52" t="s">
        <v>2214</v>
      </c>
      <c r="R466" s="737"/>
      <c r="S466" s="735"/>
      <c r="T466" s="737" t="s">
        <v>1474</v>
      </c>
      <c r="U466" s="737"/>
    </row>
    <row r="467">
      <c r="A467" s="733">
        <v>44805.0</v>
      </c>
      <c r="B467" s="52" t="str">
        <f t="shared" si="1"/>
        <v>09/2022</v>
      </c>
      <c r="C467" s="52" t="str">
        <f>IF(A467="","",VLOOKUP(A467,'THAM CHIẾU'!$A:$B,2,0))</f>
        <v>#N/A</v>
      </c>
      <c r="D467" s="52" t="str">
        <f>IF(E467&lt;&gt;0,VLOOKUP(E467,DM_DUAN,3,0),"")</f>
        <v/>
      </c>
      <c r="E467" s="735"/>
      <c r="F467" s="735"/>
      <c r="G467" s="735"/>
      <c r="H467" s="735"/>
      <c r="I467" s="735"/>
      <c r="J467" s="52" t="s">
        <v>2214</v>
      </c>
      <c r="K467" s="52" t="s">
        <v>2214</v>
      </c>
      <c r="L467" s="735" t="s">
        <v>1142</v>
      </c>
      <c r="M467" s="68"/>
      <c r="N467" s="738">
        <v>1.248E9</v>
      </c>
      <c r="O467" s="735"/>
      <c r="P467" s="52" t="s">
        <v>2214</v>
      </c>
      <c r="Q467" s="52" t="s">
        <v>2214</v>
      </c>
      <c r="R467" s="737"/>
      <c r="S467" s="735"/>
      <c r="T467" s="737" t="s">
        <v>2244</v>
      </c>
      <c r="U467" s="737"/>
    </row>
    <row r="468">
      <c r="A468" s="733">
        <v>44805.0</v>
      </c>
      <c r="B468" s="52" t="str">
        <f t="shared" si="1"/>
        <v>09/2022</v>
      </c>
      <c r="C468" s="52" t="str">
        <f>IF(A468="","",VLOOKUP(A468,'THAM CHIẾU'!$A:$B,2,0))</f>
        <v>#N/A</v>
      </c>
      <c r="D468" s="52" t="str">
        <f>IF(E468&lt;&gt;0,VLOOKUP(E468,DM_DUAN,3,0),"")</f>
        <v/>
      </c>
      <c r="E468" s="735"/>
      <c r="F468" s="735"/>
      <c r="G468" s="735"/>
      <c r="H468" s="735"/>
      <c r="I468" s="735"/>
      <c r="J468" s="52" t="s">
        <v>2214</v>
      </c>
      <c r="K468" s="52" t="s">
        <v>2214</v>
      </c>
      <c r="L468" s="735" t="s">
        <v>181</v>
      </c>
      <c r="M468" s="68"/>
      <c r="N468" s="738">
        <v>1.3E9</v>
      </c>
      <c r="O468" s="735"/>
      <c r="P468" s="52" t="s">
        <v>2214</v>
      </c>
      <c r="Q468" s="52" t="s">
        <v>2214</v>
      </c>
      <c r="R468" s="737"/>
      <c r="S468" s="735"/>
      <c r="T468" s="737" t="s">
        <v>2245</v>
      </c>
      <c r="U468" s="737"/>
    </row>
    <row r="469">
      <c r="A469" s="733">
        <v>44805.0</v>
      </c>
      <c r="B469" s="52" t="str">
        <f t="shared" si="1"/>
        <v>09/2022</v>
      </c>
      <c r="C469" s="52" t="str">
        <f>IF(A469="","",VLOOKUP(A469,'THAM CHIẾU'!$A:$B,2,0))</f>
        <v>#N/A</v>
      </c>
      <c r="D469" s="52" t="str">
        <f>IF(E469&lt;&gt;0,VLOOKUP(E469,DM_DUAN,3,0),"")</f>
        <v/>
      </c>
      <c r="E469" s="735"/>
      <c r="F469" s="735"/>
      <c r="G469" s="735"/>
      <c r="H469" s="735"/>
      <c r="I469" s="735"/>
      <c r="J469" s="52" t="s">
        <v>2214</v>
      </c>
      <c r="K469" s="52" t="s">
        <v>2214</v>
      </c>
      <c r="L469" s="735" t="s">
        <v>2243</v>
      </c>
      <c r="M469" s="68"/>
      <c r="N469" s="738">
        <v>3.9E7</v>
      </c>
      <c r="O469" s="735"/>
      <c r="P469" s="52" t="s">
        <v>2214</v>
      </c>
      <c r="Q469" s="52" t="s">
        <v>2214</v>
      </c>
      <c r="R469" s="737"/>
      <c r="S469" s="735"/>
      <c r="T469" s="737" t="s">
        <v>2246</v>
      </c>
      <c r="U469" s="737"/>
    </row>
    <row r="470">
      <c r="A470" s="733">
        <v>44805.0</v>
      </c>
      <c r="B470" s="52" t="str">
        <f t="shared" si="1"/>
        <v>09/2022</v>
      </c>
      <c r="C470" s="52" t="str">
        <f>IF(A470="","",VLOOKUP(A470,'THAM CHIẾU'!$A:$B,2,0))</f>
        <v>#N/A</v>
      </c>
      <c r="D470" s="52" t="str">
        <f>IF(E470&lt;&gt;0,VLOOKUP(E470,DM_DUAN,3,0),"")</f>
        <v/>
      </c>
      <c r="E470" s="735"/>
      <c r="F470" s="735"/>
      <c r="G470" s="735"/>
      <c r="H470" s="735"/>
      <c r="I470" s="735"/>
      <c r="J470" s="52" t="s">
        <v>2214</v>
      </c>
      <c r="K470" s="52" t="s">
        <v>2214</v>
      </c>
      <c r="L470" s="735"/>
      <c r="M470" s="68"/>
      <c r="N470" s="738">
        <v>0.0</v>
      </c>
      <c r="O470" s="735"/>
      <c r="P470" s="52" t="s">
        <v>2214</v>
      </c>
      <c r="Q470" s="52" t="s">
        <v>2214</v>
      </c>
      <c r="R470" s="737"/>
      <c r="S470" s="735"/>
      <c r="T470" s="737"/>
      <c r="U470" s="737"/>
    </row>
    <row r="471">
      <c r="A471" s="733">
        <v>44805.0</v>
      </c>
      <c r="B471" s="52" t="str">
        <f t="shared" si="1"/>
        <v>09/2022</v>
      </c>
      <c r="C471" s="52" t="str">
        <f>IF(A471="","",VLOOKUP(A471,'THAM CHIẾU'!$A:$B,2,0))</f>
        <v>#N/A</v>
      </c>
      <c r="D471" s="52" t="str">
        <f>IF(E471&lt;&gt;0,VLOOKUP(E471,DM_DUAN,3,0),"")</f>
        <v/>
      </c>
      <c r="E471" s="735"/>
      <c r="F471" s="735"/>
      <c r="G471" s="735"/>
      <c r="H471" s="735"/>
      <c r="I471" s="735"/>
      <c r="J471" s="52" t="s">
        <v>2214</v>
      </c>
      <c r="K471" s="52" t="s">
        <v>2214</v>
      </c>
      <c r="L471" s="735"/>
      <c r="M471" s="68"/>
      <c r="N471" s="738">
        <v>0.0</v>
      </c>
      <c r="O471" s="735"/>
      <c r="P471" s="52" t="s">
        <v>2214</v>
      </c>
      <c r="Q471" s="52" t="s">
        <v>2214</v>
      </c>
      <c r="R471" s="737"/>
      <c r="S471" s="735"/>
      <c r="T471" s="737"/>
      <c r="U471" s="737"/>
    </row>
    <row r="472">
      <c r="A472" s="733"/>
      <c r="B472" s="52" t="str">
        <f t="shared" si="1"/>
        <v/>
      </c>
      <c r="C472" s="52" t="str">
        <f>IF(A472="","",VLOOKUP(A472,'THAM CHIẾU'!$A:$B,2,0))</f>
        <v/>
      </c>
      <c r="D472" s="52" t="str">
        <f>IF(E472&lt;&gt;0,VLOOKUP(E472,DM_DUAN,3,0),"")</f>
        <v/>
      </c>
      <c r="E472" s="735"/>
      <c r="F472" s="735"/>
      <c r="G472" s="735"/>
      <c r="H472" s="735"/>
      <c r="I472" s="735"/>
      <c r="J472" s="52" t="s">
        <v>2214</v>
      </c>
      <c r="K472" s="52" t="s">
        <v>2214</v>
      </c>
      <c r="L472" s="735"/>
      <c r="M472" s="68"/>
      <c r="N472" s="738">
        <v>0.0</v>
      </c>
      <c r="O472" s="735"/>
      <c r="P472" s="52" t="s">
        <v>2214</v>
      </c>
      <c r="Q472" s="52" t="s">
        <v>2214</v>
      </c>
      <c r="R472" s="737"/>
      <c r="S472" s="735"/>
      <c r="T472" s="737"/>
      <c r="U472" s="737"/>
    </row>
    <row r="473">
      <c r="A473" s="733">
        <v>44835.0</v>
      </c>
      <c r="B473" s="52" t="str">
        <f t="shared" si="1"/>
        <v>10/2022</v>
      </c>
      <c r="C473" s="52" t="str">
        <f>IF(A473="","",VLOOKUP(A473,'THAM CHIẾU'!$A:$B,2,0))</f>
        <v>#N/A</v>
      </c>
      <c r="D473" s="52" t="str">
        <f>IF(E473&lt;&gt;0,VLOOKUP(E473,DM_DUAN,3,0),"")</f>
        <v>THANHNAM</v>
      </c>
      <c r="E473" s="735" t="s">
        <v>175</v>
      </c>
      <c r="F473" s="735"/>
      <c r="G473" s="735"/>
      <c r="H473" s="735"/>
      <c r="I473" s="735"/>
      <c r="J473" s="52" t="s">
        <v>2214</v>
      </c>
      <c r="K473" s="52" t="s">
        <v>2214</v>
      </c>
      <c r="L473" s="735" t="s">
        <v>198</v>
      </c>
      <c r="M473" s="68"/>
      <c r="N473" s="738">
        <v>1.3333333E10</v>
      </c>
      <c r="O473" s="735"/>
      <c r="P473" s="52" t="s">
        <v>2214</v>
      </c>
      <c r="Q473" s="52" t="s">
        <v>2214</v>
      </c>
      <c r="R473" s="737"/>
      <c r="S473" s="735"/>
      <c r="T473" s="737"/>
      <c r="U473" s="737"/>
    </row>
    <row r="474">
      <c r="A474" s="733">
        <v>44835.0</v>
      </c>
      <c r="B474" s="52" t="str">
        <f t="shared" si="1"/>
        <v>10/2022</v>
      </c>
      <c r="C474" s="52" t="str">
        <f>IF(A474="","",VLOOKUP(A474,'THAM CHIẾU'!$A:$B,2,0))</f>
        <v>#N/A</v>
      </c>
      <c r="D474" s="52" t="str">
        <f>IF(E474&lt;&gt;0,VLOOKUP(E474,DM_DUAN,3,0),"")</f>
        <v>NAMPHONG</v>
      </c>
      <c r="E474" s="735" t="s">
        <v>2067</v>
      </c>
      <c r="F474" s="735"/>
      <c r="G474" s="735"/>
      <c r="H474" s="735"/>
      <c r="I474" s="735"/>
      <c r="J474" s="52" t="s">
        <v>2214</v>
      </c>
      <c r="K474" s="52" t="s">
        <v>2214</v>
      </c>
      <c r="L474" s="735" t="s">
        <v>198</v>
      </c>
      <c r="M474" s="68"/>
      <c r="N474" s="738">
        <v>4.0E10</v>
      </c>
      <c r="O474" s="735"/>
      <c r="P474" s="52" t="s">
        <v>2214</v>
      </c>
      <c r="Q474" s="52" t="s">
        <v>2214</v>
      </c>
      <c r="R474" s="737"/>
      <c r="S474" s="735"/>
      <c r="T474" s="737"/>
      <c r="U474" s="737"/>
    </row>
    <row r="475">
      <c r="A475" s="733">
        <v>44835.0</v>
      </c>
      <c r="B475" s="52" t="str">
        <f t="shared" si="1"/>
        <v>10/2022</v>
      </c>
      <c r="C475" s="52" t="str">
        <f>IF(A475="","",VLOOKUP(A475,'THAM CHIẾU'!$A:$B,2,0))</f>
        <v>#N/A</v>
      </c>
      <c r="D475" s="52" t="str">
        <f>IF(E475&lt;&gt;0,VLOOKUP(E475,DM_DUAN,3,0),"")</f>
        <v>NAMSAIGON</v>
      </c>
      <c r="E475" s="735" t="s">
        <v>215</v>
      </c>
      <c r="F475" s="735"/>
      <c r="G475" s="735"/>
      <c r="H475" s="735"/>
      <c r="I475" s="735"/>
      <c r="J475" s="52" t="s">
        <v>2214</v>
      </c>
      <c r="K475" s="52" t="s">
        <v>2214</v>
      </c>
      <c r="L475" s="735" t="s">
        <v>198</v>
      </c>
      <c r="M475" s="68"/>
      <c r="N475" s="738">
        <v>1.3333333E10</v>
      </c>
      <c r="O475" s="735"/>
      <c r="P475" s="52" t="s">
        <v>2214</v>
      </c>
      <c r="Q475" s="52" t="s">
        <v>2214</v>
      </c>
      <c r="R475" s="737"/>
      <c r="S475" s="735"/>
      <c r="T475" s="737"/>
      <c r="U475" s="737"/>
    </row>
    <row r="476">
      <c r="A476" s="733">
        <v>44835.0</v>
      </c>
      <c r="B476" s="52" t="str">
        <f t="shared" si="1"/>
        <v>10/2022</v>
      </c>
      <c r="C476" s="52" t="str">
        <f>IF(A476="","",VLOOKUP(A476,'THAM CHIẾU'!$A:$B,2,0))</f>
        <v>#N/A</v>
      </c>
      <c r="D476" s="52" t="str">
        <f>IF(E476&lt;&gt;0,VLOOKUP(E476,DM_DUAN,3,0),"")</f>
        <v>#N/A</v>
      </c>
      <c r="E476" s="735" t="s">
        <v>2069</v>
      </c>
      <c r="F476" s="735"/>
      <c r="G476" s="735"/>
      <c r="H476" s="735"/>
      <c r="I476" s="735"/>
      <c r="J476" s="52" t="s">
        <v>2214</v>
      </c>
      <c r="K476" s="52" t="s">
        <v>2214</v>
      </c>
      <c r="L476" s="735" t="s">
        <v>198</v>
      </c>
      <c r="M476" s="68"/>
      <c r="N476" s="738">
        <v>0.0</v>
      </c>
      <c r="O476" s="735"/>
      <c r="P476" s="52" t="s">
        <v>2214</v>
      </c>
      <c r="Q476" s="52" t="s">
        <v>2214</v>
      </c>
      <c r="R476" s="737"/>
      <c r="S476" s="735"/>
      <c r="T476" s="737"/>
      <c r="U476" s="737"/>
    </row>
    <row r="477">
      <c r="A477" s="733">
        <v>44835.0</v>
      </c>
      <c r="B477" s="52" t="str">
        <f t="shared" si="1"/>
        <v>10/2022</v>
      </c>
      <c r="C477" s="52" t="str">
        <f>IF(A477="","",VLOOKUP(A477,'THAM CHIẾU'!$A:$B,2,0))</f>
        <v>#N/A</v>
      </c>
      <c r="D477" s="52" t="str">
        <f>IF(E477&lt;&gt;0,VLOOKUP(E477,DM_DUAN,3,0),"")</f>
        <v>KHANGVUONG</v>
      </c>
      <c r="E477" s="735" t="s">
        <v>2070</v>
      </c>
      <c r="F477" s="735"/>
      <c r="G477" s="735"/>
      <c r="H477" s="735"/>
      <c r="I477" s="735"/>
      <c r="J477" s="52" t="s">
        <v>2214</v>
      </c>
      <c r="K477" s="52" t="s">
        <v>2214</v>
      </c>
      <c r="L477" s="735" t="s">
        <v>198</v>
      </c>
      <c r="M477" s="68"/>
      <c r="N477" s="738">
        <v>6.666666E9</v>
      </c>
      <c r="O477" s="735"/>
      <c r="P477" s="52" t="s">
        <v>2214</v>
      </c>
      <c r="Q477" s="52" t="s">
        <v>2214</v>
      </c>
      <c r="R477" s="737"/>
      <c r="S477" s="735"/>
      <c r="T477" s="737"/>
      <c r="U477" s="737"/>
    </row>
    <row r="478">
      <c r="A478" s="733">
        <v>44835.0</v>
      </c>
      <c r="B478" s="52" t="str">
        <f t="shared" si="1"/>
        <v>10/2022</v>
      </c>
      <c r="C478" s="52" t="str">
        <f>IF(A478="","",VLOOKUP(A478,'THAM CHIẾU'!$A:$B,2,0))</f>
        <v>#N/A</v>
      </c>
      <c r="D478" s="52" t="str">
        <f>IF(E478&lt;&gt;0,VLOOKUP(E478,DM_DUAN,3,0),"")</f>
        <v>PHUGIATHINH</v>
      </c>
      <c r="E478" s="735" t="s">
        <v>404</v>
      </c>
      <c r="F478" s="735"/>
      <c r="G478" s="735"/>
      <c r="H478" s="735"/>
      <c r="I478" s="735"/>
      <c r="J478" s="52" t="s">
        <v>2214</v>
      </c>
      <c r="K478" s="52" t="s">
        <v>2214</v>
      </c>
      <c r="L478" s="735" t="s">
        <v>198</v>
      </c>
      <c r="M478" s="68"/>
      <c r="N478" s="738">
        <v>6.666666E9</v>
      </c>
      <c r="O478" s="735"/>
      <c r="P478" s="52" t="s">
        <v>2214</v>
      </c>
      <c r="Q478" s="52" t="s">
        <v>2214</v>
      </c>
      <c r="R478" s="737"/>
      <c r="S478" s="735"/>
      <c r="T478" s="737"/>
      <c r="U478" s="737"/>
    </row>
    <row r="479">
      <c r="A479" s="733">
        <v>44835.0</v>
      </c>
      <c r="B479" s="52" t="str">
        <f t="shared" si="1"/>
        <v>10/2022</v>
      </c>
      <c r="C479" s="52" t="str">
        <f>IF(A479="","",VLOOKUP(A479,'THAM CHIẾU'!$A:$B,2,0))</f>
        <v>#N/A</v>
      </c>
      <c r="D479" s="52" t="str">
        <f>IF(E479&lt;&gt;0,VLOOKUP(E479,DM_DUAN,3,0),"")</f>
        <v>TRANANH</v>
      </c>
      <c r="E479" s="735" t="s">
        <v>2072</v>
      </c>
      <c r="F479" s="735"/>
      <c r="G479" s="735"/>
      <c r="H479" s="735"/>
      <c r="I479" s="735"/>
      <c r="J479" s="52" t="s">
        <v>2214</v>
      </c>
      <c r="K479" s="52" t="s">
        <v>2214</v>
      </c>
      <c r="L479" s="735" t="s">
        <v>198</v>
      </c>
      <c r="M479" s="68"/>
      <c r="N479" s="738">
        <v>1.3333333E10</v>
      </c>
      <c r="O479" s="735"/>
      <c r="P479" s="52" t="s">
        <v>2214</v>
      </c>
      <c r="Q479" s="52" t="s">
        <v>2214</v>
      </c>
      <c r="R479" s="737"/>
      <c r="S479" s="735"/>
      <c r="T479" s="737"/>
      <c r="U479" s="737"/>
    </row>
    <row r="480">
      <c r="A480" s="733">
        <v>44835.0</v>
      </c>
      <c r="B480" s="52" t="str">
        <f t="shared" si="1"/>
        <v>10/2022</v>
      </c>
      <c r="C480" s="52" t="str">
        <f>IF(A480="","",VLOOKUP(A480,'THAM CHIẾU'!$A:$B,2,0))</f>
        <v>#N/A</v>
      </c>
      <c r="D480" s="52" t="str">
        <f>IF(E480&lt;&gt;0,VLOOKUP(E480,DM_DUAN,3,0),"")</f>
        <v>PHITRUONG</v>
      </c>
      <c r="E480" s="735" t="s">
        <v>2073</v>
      </c>
      <c r="F480" s="735"/>
      <c r="G480" s="735"/>
      <c r="H480" s="735"/>
      <c r="I480" s="735"/>
      <c r="J480" s="52" t="s">
        <v>2214</v>
      </c>
      <c r="K480" s="52" t="s">
        <v>2214</v>
      </c>
      <c r="L480" s="735" t="s">
        <v>198</v>
      </c>
      <c r="M480" s="68"/>
      <c r="N480" s="738">
        <v>5.3333333E10</v>
      </c>
      <c r="O480" s="735"/>
      <c r="P480" s="52" t="s">
        <v>2214</v>
      </c>
      <c r="Q480" s="52" t="s">
        <v>2214</v>
      </c>
      <c r="R480" s="737"/>
      <c r="S480" s="735"/>
      <c r="T480" s="737"/>
      <c r="U480" s="737"/>
    </row>
    <row r="481">
      <c r="A481" s="733">
        <v>44835.0</v>
      </c>
      <c r="B481" s="52" t="str">
        <f t="shared" si="1"/>
        <v>10/2022</v>
      </c>
      <c r="C481" s="52" t="str">
        <f>IF(A481="","",VLOOKUP(A481,'THAM CHIẾU'!$A:$B,2,0))</f>
        <v>#N/A</v>
      </c>
      <c r="D481" s="52" t="str">
        <f>IF(E481&lt;&gt;0,VLOOKUP(E481,DM_DUAN,3,0),"")</f>
        <v>HOANGCAT</v>
      </c>
      <c r="E481" s="735" t="s">
        <v>2074</v>
      </c>
      <c r="F481" s="735"/>
      <c r="G481" s="735"/>
      <c r="H481" s="735"/>
      <c r="I481" s="735"/>
      <c r="J481" s="52" t="s">
        <v>2214</v>
      </c>
      <c r="K481" s="52" t="s">
        <v>2214</v>
      </c>
      <c r="L481" s="735" t="s">
        <v>198</v>
      </c>
      <c r="M481" s="68"/>
      <c r="N481" s="738">
        <v>2.6666666E10</v>
      </c>
      <c r="O481" s="735"/>
      <c r="P481" s="52" t="s">
        <v>2214</v>
      </c>
      <c r="Q481" s="52" t="s">
        <v>2214</v>
      </c>
      <c r="R481" s="737"/>
      <c r="S481" s="735"/>
      <c r="T481" s="737"/>
      <c r="U481" s="737"/>
    </row>
    <row r="482">
      <c r="A482" s="733">
        <v>44835.0</v>
      </c>
      <c r="B482" s="52" t="str">
        <f t="shared" si="1"/>
        <v>10/2022</v>
      </c>
      <c r="C482" s="52" t="str">
        <f>IF(A482="","",VLOOKUP(A482,'THAM CHIẾU'!$A:$B,2,0))</f>
        <v>#N/A</v>
      </c>
      <c r="D482" s="52" t="str">
        <f>IF(E482&lt;&gt;0,VLOOKUP(E482,DM_DUAN,3,0),"")</f>
        <v>THANHNAM</v>
      </c>
      <c r="E482" s="735" t="s">
        <v>175</v>
      </c>
      <c r="F482" s="735"/>
      <c r="G482" s="735"/>
      <c r="H482" s="735"/>
      <c r="I482" s="735"/>
      <c r="J482" s="52" t="s">
        <v>2214</v>
      </c>
      <c r="K482" s="52" t="s">
        <v>2214</v>
      </c>
      <c r="L482" s="735" t="s">
        <v>187</v>
      </c>
      <c r="M482" s="68"/>
      <c r="N482" s="738">
        <v>1.23999996E9</v>
      </c>
      <c r="O482" s="735"/>
      <c r="P482" s="52" t="s">
        <v>2214</v>
      </c>
      <c r="Q482" s="52" t="s">
        <v>2214</v>
      </c>
      <c r="R482" s="737"/>
      <c r="S482" s="735"/>
      <c r="T482" s="737"/>
      <c r="U482" s="737"/>
    </row>
    <row r="483">
      <c r="A483" s="733">
        <v>44835.0</v>
      </c>
      <c r="B483" s="52" t="str">
        <f t="shared" si="1"/>
        <v>10/2022</v>
      </c>
      <c r="C483" s="52" t="str">
        <f>IF(A483="","",VLOOKUP(A483,'THAM CHIẾU'!$A:$B,2,0))</f>
        <v>#N/A</v>
      </c>
      <c r="D483" s="52" t="str">
        <f>IF(E483&lt;&gt;0,VLOOKUP(E483,DM_DUAN,3,0),"")</f>
        <v>NAMPHONG</v>
      </c>
      <c r="E483" s="735" t="s">
        <v>2067</v>
      </c>
      <c r="F483" s="735"/>
      <c r="G483" s="735"/>
      <c r="H483" s="735"/>
      <c r="I483" s="735"/>
      <c r="J483" s="52" t="s">
        <v>2214</v>
      </c>
      <c r="K483" s="52" t="s">
        <v>2214</v>
      </c>
      <c r="L483" s="735" t="s">
        <v>187</v>
      </c>
      <c r="M483" s="68"/>
      <c r="N483" s="738">
        <v>4.8E9</v>
      </c>
      <c r="O483" s="735"/>
      <c r="P483" s="52" t="s">
        <v>2214</v>
      </c>
      <c r="Q483" s="52" t="s">
        <v>2214</v>
      </c>
      <c r="R483" s="737"/>
      <c r="S483" s="735"/>
      <c r="T483" s="737"/>
      <c r="U483" s="737"/>
    </row>
    <row r="484">
      <c r="A484" s="733">
        <v>44835.0</v>
      </c>
      <c r="B484" s="52" t="str">
        <f t="shared" si="1"/>
        <v>10/2022</v>
      </c>
      <c r="C484" s="52" t="str">
        <f>IF(A484="","",VLOOKUP(A484,'THAM CHIẾU'!$A:$B,2,0))</f>
        <v>#N/A</v>
      </c>
      <c r="D484" s="52" t="str">
        <f>IF(E484&lt;&gt;0,VLOOKUP(E484,DM_DUAN,3,0),"")</f>
        <v>NAMSAIGON</v>
      </c>
      <c r="E484" s="735" t="s">
        <v>215</v>
      </c>
      <c r="F484" s="735"/>
      <c r="G484" s="735"/>
      <c r="H484" s="735"/>
      <c r="I484" s="735"/>
      <c r="J484" s="52" t="s">
        <v>2214</v>
      </c>
      <c r="K484" s="52" t="s">
        <v>2214</v>
      </c>
      <c r="L484" s="735" t="s">
        <v>187</v>
      </c>
      <c r="M484" s="68"/>
      <c r="N484" s="738">
        <v>1.59999996E9</v>
      </c>
      <c r="O484" s="735"/>
      <c r="P484" s="52" t="s">
        <v>2214</v>
      </c>
      <c r="Q484" s="52" t="s">
        <v>2214</v>
      </c>
      <c r="R484" s="737"/>
      <c r="S484" s="735"/>
      <c r="T484" s="737"/>
      <c r="U484" s="737"/>
    </row>
    <row r="485">
      <c r="A485" s="733">
        <v>44835.0</v>
      </c>
      <c r="B485" s="52" t="str">
        <f t="shared" si="1"/>
        <v>10/2022</v>
      </c>
      <c r="C485" s="52" t="str">
        <f>IF(A485="","",VLOOKUP(A485,'THAM CHIẾU'!$A:$B,2,0))</f>
        <v>#N/A</v>
      </c>
      <c r="D485" s="52" t="str">
        <f>IF(E485&lt;&gt;0,VLOOKUP(E485,DM_DUAN,3,0),"")</f>
        <v>#N/A</v>
      </c>
      <c r="E485" s="735" t="s">
        <v>2069</v>
      </c>
      <c r="F485" s="735"/>
      <c r="G485" s="735"/>
      <c r="H485" s="735"/>
      <c r="I485" s="735"/>
      <c r="J485" s="52" t="s">
        <v>2214</v>
      </c>
      <c r="K485" s="52" t="s">
        <v>2214</v>
      </c>
      <c r="L485" s="735" t="s">
        <v>187</v>
      </c>
      <c r="M485" s="68"/>
      <c r="N485" s="738">
        <v>0.0</v>
      </c>
      <c r="O485" s="735"/>
      <c r="P485" s="52" t="s">
        <v>2214</v>
      </c>
      <c r="Q485" s="52" t="s">
        <v>2214</v>
      </c>
      <c r="R485" s="737"/>
      <c r="S485" s="735"/>
      <c r="T485" s="737"/>
      <c r="U485" s="737"/>
    </row>
    <row r="486">
      <c r="A486" s="733">
        <v>44835.0</v>
      </c>
      <c r="B486" s="52" t="str">
        <f t="shared" si="1"/>
        <v>10/2022</v>
      </c>
      <c r="C486" s="52" t="str">
        <f>IF(A486="","",VLOOKUP(A486,'THAM CHIẾU'!$A:$B,2,0))</f>
        <v>#N/A</v>
      </c>
      <c r="D486" s="52" t="str">
        <f>IF(E486&lt;&gt;0,VLOOKUP(E486,DM_DUAN,3,0),"")</f>
        <v>KHANGVUONG</v>
      </c>
      <c r="E486" s="735" t="s">
        <v>2070</v>
      </c>
      <c r="F486" s="735"/>
      <c r="G486" s="735"/>
      <c r="H486" s="735"/>
      <c r="I486" s="735"/>
      <c r="J486" s="52" t="s">
        <v>2214</v>
      </c>
      <c r="K486" s="52" t="s">
        <v>2214</v>
      </c>
      <c r="L486" s="735" t="s">
        <v>187</v>
      </c>
      <c r="M486" s="68"/>
      <c r="N486" s="738">
        <v>7.9999992E8</v>
      </c>
      <c r="O486" s="735"/>
      <c r="P486" s="52" t="s">
        <v>2214</v>
      </c>
      <c r="Q486" s="52" t="s">
        <v>2214</v>
      </c>
      <c r="R486" s="737"/>
      <c r="S486" s="735"/>
      <c r="T486" s="737"/>
      <c r="U486" s="737"/>
    </row>
    <row r="487">
      <c r="A487" s="733">
        <v>44835.0</v>
      </c>
      <c r="B487" s="52" t="str">
        <f t="shared" si="1"/>
        <v>10/2022</v>
      </c>
      <c r="C487" s="52" t="str">
        <f>IF(A487="","",VLOOKUP(A487,'THAM CHIẾU'!$A:$B,2,0))</f>
        <v>#N/A</v>
      </c>
      <c r="D487" s="52" t="str">
        <f>IF(E487&lt;&gt;0,VLOOKUP(E487,DM_DUAN,3,0),"")</f>
        <v>PHUGIATHINH</v>
      </c>
      <c r="E487" s="735" t="s">
        <v>404</v>
      </c>
      <c r="F487" s="735"/>
      <c r="G487" s="735"/>
      <c r="H487" s="735"/>
      <c r="I487" s="735"/>
      <c r="J487" s="52" t="s">
        <v>2214</v>
      </c>
      <c r="K487" s="52" t="s">
        <v>2214</v>
      </c>
      <c r="L487" s="735" t="s">
        <v>187</v>
      </c>
      <c r="M487" s="68"/>
      <c r="N487" s="738">
        <v>7.9999992E8</v>
      </c>
      <c r="O487" s="735"/>
      <c r="P487" s="52" t="s">
        <v>2214</v>
      </c>
      <c r="Q487" s="52" t="s">
        <v>2214</v>
      </c>
      <c r="R487" s="737"/>
      <c r="S487" s="735"/>
      <c r="T487" s="737"/>
      <c r="U487" s="737"/>
    </row>
    <row r="488">
      <c r="A488" s="733">
        <v>44835.0</v>
      </c>
      <c r="B488" s="52" t="str">
        <f t="shared" si="1"/>
        <v>10/2022</v>
      </c>
      <c r="C488" s="52" t="str">
        <f>IF(A488="","",VLOOKUP(A488,'THAM CHIẾU'!$A:$B,2,0))</f>
        <v>#N/A</v>
      </c>
      <c r="D488" s="52" t="str">
        <f>IF(E488&lt;&gt;0,VLOOKUP(E488,DM_DUAN,3,0),"")</f>
        <v>TRANANH</v>
      </c>
      <c r="E488" s="735" t="s">
        <v>2072</v>
      </c>
      <c r="F488" s="735"/>
      <c r="G488" s="735"/>
      <c r="H488" s="735"/>
      <c r="I488" s="735"/>
      <c r="J488" s="52" t="s">
        <v>2214</v>
      </c>
      <c r="K488" s="52" t="s">
        <v>2214</v>
      </c>
      <c r="L488" s="735" t="s">
        <v>187</v>
      </c>
      <c r="M488" s="68"/>
      <c r="N488" s="738">
        <v>1.59999996E9</v>
      </c>
      <c r="O488" s="735"/>
      <c r="P488" s="52" t="s">
        <v>2214</v>
      </c>
      <c r="Q488" s="52" t="s">
        <v>2214</v>
      </c>
      <c r="R488" s="737"/>
      <c r="S488" s="735"/>
      <c r="T488" s="737"/>
      <c r="U488" s="737"/>
    </row>
    <row r="489">
      <c r="A489" s="733">
        <v>44835.0</v>
      </c>
      <c r="B489" s="52" t="str">
        <f t="shared" si="1"/>
        <v>10/2022</v>
      </c>
      <c r="C489" s="52" t="str">
        <f>IF(A489="","",VLOOKUP(A489,'THAM CHIẾU'!$A:$B,2,0))</f>
        <v>#N/A</v>
      </c>
      <c r="D489" s="52" t="str">
        <f>IF(E489&lt;&gt;0,VLOOKUP(E489,DM_DUAN,3,0),"")</f>
        <v>PHITRUONG</v>
      </c>
      <c r="E489" s="735" t="s">
        <v>2073</v>
      </c>
      <c r="F489" s="735"/>
      <c r="G489" s="735"/>
      <c r="H489" s="735"/>
      <c r="I489" s="735"/>
      <c r="J489" s="52" t="s">
        <v>2214</v>
      </c>
      <c r="K489" s="52" t="s">
        <v>2214</v>
      </c>
      <c r="L489" s="735" t="s">
        <v>187</v>
      </c>
      <c r="M489" s="68"/>
      <c r="N489" s="738">
        <v>6.39999996E9</v>
      </c>
      <c r="O489" s="735"/>
      <c r="P489" s="52" t="s">
        <v>2214</v>
      </c>
      <c r="Q489" s="52" t="s">
        <v>2214</v>
      </c>
      <c r="R489" s="737"/>
      <c r="S489" s="735"/>
      <c r="T489" s="737"/>
      <c r="U489" s="737"/>
    </row>
    <row r="490">
      <c r="A490" s="733">
        <v>44835.0</v>
      </c>
      <c r="B490" s="52" t="str">
        <f t="shared" si="1"/>
        <v>10/2022</v>
      </c>
      <c r="C490" s="52" t="str">
        <f>IF(A490="","",VLOOKUP(A490,'THAM CHIẾU'!$A:$B,2,0))</f>
        <v>#N/A</v>
      </c>
      <c r="D490" s="52" t="str">
        <f>IF(E490&lt;&gt;0,VLOOKUP(E490,DM_DUAN,3,0),"")</f>
        <v>HOANGCAT</v>
      </c>
      <c r="E490" s="735" t="s">
        <v>2074</v>
      </c>
      <c r="F490" s="735"/>
      <c r="G490" s="735"/>
      <c r="H490" s="735"/>
      <c r="I490" s="735"/>
      <c r="J490" s="52" t="s">
        <v>2214</v>
      </c>
      <c r="K490" s="52" t="s">
        <v>2214</v>
      </c>
      <c r="L490" s="735" t="s">
        <v>187</v>
      </c>
      <c r="M490" s="68"/>
      <c r="N490" s="738">
        <v>3.19999992E9</v>
      </c>
      <c r="O490" s="735"/>
      <c r="P490" s="52" t="s">
        <v>2214</v>
      </c>
      <c r="Q490" s="52" t="s">
        <v>2214</v>
      </c>
      <c r="R490" s="737"/>
      <c r="S490" s="735"/>
      <c r="T490" s="737"/>
      <c r="U490" s="737"/>
    </row>
    <row r="491">
      <c r="A491" s="733">
        <v>44835.0</v>
      </c>
      <c r="B491" s="52" t="str">
        <f t="shared" si="1"/>
        <v>10/2022</v>
      </c>
      <c r="C491" s="52" t="str">
        <f>IF(A491="","",VLOOKUP(A491,'THAM CHIẾU'!$A:$B,2,0))</f>
        <v>#N/A</v>
      </c>
      <c r="D491" s="52" t="str">
        <f>IF(E491&lt;&gt;0,VLOOKUP(E491,DM_DUAN,3,0),"")</f>
        <v/>
      </c>
      <c r="E491" s="735"/>
      <c r="F491" s="735"/>
      <c r="G491" s="735" t="s">
        <v>207</v>
      </c>
      <c r="H491" s="735"/>
      <c r="I491" s="735"/>
      <c r="J491" s="52" t="s">
        <v>2214</v>
      </c>
      <c r="K491" s="52" t="s">
        <v>2214</v>
      </c>
      <c r="L491" s="735" t="s">
        <v>2215</v>
      </c>
      <c r="M491" s="68"/>
      <c r="N491" s="738">
        <v>43000.0</v>
      </c>
      <c r="O491" s="735"/>
      <c r="P491" s="52" t="s">
        <v>2214</v>
      </c>
      <c r="Q491" s="52" t="s">
        <v>2214</v>
      </c>
      <c r="R491" s="737"/>
      <c r="S491" s="735"/>
      <c r="T491" s="737" t="s">
        <v>2216</v>
      </c>
      <c r="U491" s="737"/>
    </row>
    <row r="492">
      <c r="A492" s="733">
        <v>44835.0</v>
      </c>
      <c r="B492" s="52" t="str">
        <f t="shared" si="1"/>
        <v>10/2022</v>
      </c>
      <c r="C492" s="52" t="str">
        <f>IF(A492="","",VLOOKUP(A492,'THAM CHIẾU'!$A:$B,2,0))</f>
        <v>#N/A</v>
      </c>
      <c r="D492" s="52" t="str">
        <f>IF(E492&lt;&gt;0,VLOOKUP(E492,DM_DUAN,3,0),"")</f>
        <v/>
      </c>
      <c r="E492" s="735"/>
      <c r="F492" s="735"/>
      <c r="G492" s="735"/>
      <c r="H492" s="735"/>
      <c r="I492" s="735"/>
      <c r="J492" s="52" t="s">
        <v>2214</v>
      </c>
      <c r="K492" s="52" t="s">
        <v>2214</v>
      </c>
      <c r="L492" s="735" t="s">
        <v>419</v>
      </c>
      <c r="M492" s="68"/>
      <c r="N492" s="738">
        <v>166000.0</v>
      </c>
      <c r="O492" s="735"/>
      <c r="P492" s="52" t="s">
        <v>2214</v>
      </c>
      <c r="Q492" s="52" t="s">
        <v>2214</v>
      </c>
      <c r="R492" s="737"/>
      <c r="S492" s="735"/>
      <c r="T492" s="737" t="s">
        <v>2217</v>
      </c>
      <c r="U492" s="737"/>
    </row>
    <row r="493">
      <c r="A493" s="733">
        <v>44835.0</v>
      </c>
      <c r="B493" s="52" t="str">
        <f t="shared" si="1"/>
        <v>10/2022</v>
      </c>
      <c r="C493" s="52" t="str">
        <f>IF(A493="","",VLOOKUP(A493,'THAM CHIẾU'!$A:$B,2,0))</f>
        <v>#N/A</v>
      </c>
      <c r="D493" s="52" t="str">
        <f>IF(E493&lt;&gt;0,VLOOKUP(E493,DM_DUAN,3,0),"")</f>
        <v/>
      </c>
      <c r="E493" s="735"/>
      <c r="F493" s="735"/>
      <c r="G493" s="735"/>
      <c r="H493" s="735"/>
      <c r="I493" s="735"/>
      <c r="J493" s="52" t="s">
        <v>2214</v>
      </c>
      <c r="K493" s="52" t="s">
        <v>2214</v>
      </c>
      <c r="L493" s="735" t="s">
        <v>573</v>
      </c>
      <c r="M493" s="68"/>
      <c r="N493" s="738">
        <v>250000.0</v>
      </c>
      <c r="O493" s="735"/>
      <c r="P493" s="52" t="s">
        <v>2214</v>
      </c>
      <c r="Q493" s="52" t="s">
        <v>2214</v>
      </c>
      <c r="R493" s="737"/>
      <c r="S493" s="735"/>
      <c r="T493" s="737" t="s">
        <v>2218</v>
      </c>
      <c r="U493" s="737"/>
    </row>
    <row r="494">
      <c r="A494" s="733">
        <v>44835.0</v>
      </c>
      <c r="B494" s="52" t="str">
        <f t="shared" si="1"/>
        <v>10/2022</v>
      </c>
      <c r="C494" s="52" t="str">
        <f>IF(A494="","",VLOOKUP(A494,'THAM CHIẾU'!$A:$B,2,0))</f>
        <v>#N/A</v>
      </c>
      <c r="D494" s="52" t="str">
        <f>IF(E494&lt;&gt;0,VLOOKUP(E494,DM_DUAN,3,0),"")</f>
        <v/>
      </c>
      <c r="E494" s="735"/>
      <c r="F494" s="735"/>
      <c r="G494" s="735"/>
      <c r="H494" s="735"/>
      <c r="I494" s="735"/>
      <c r="J494" s="52" t="s">
        <v>2214</v>
      </c>
      <c r="K494" s="52" t="s">
        <v>2214</v>
      </c>
      <c r="L494" s="735" t="s">
        <v>1273</v>
      </c>
      <c r="M494" s="68"/>
      <c r="N494" s="738">
        <v>328000.0</v>
      </c>
      <c r="O494" s="735"/>
      <c r="P494" s="52" t="s">
        <v>2214</v>
      </c>
      <c r="Q494" s="52" t="s">
        <v>2214</v>
      </c>
      <c r="R494" s="737"/>
      <c r="S494" s="735"/>
      <c r="T494" s="737" t="s">
        <v>1273</v>
      </c>
      <c r="U494" s="737"/>
    </row>
    <row r="495">
      <c r="A495" s="733">
        <v>44835.0</v>
      </c>
      <c r="B495" s="52" t="str">
        <f t="shared" si="1"/>
        <v>10/2022</v>
      </c>
      <c r="C495" s="52" t="str">
        <f>IF(A495="","",VLOOKUP(A495,'THAM CHIẾU'!$A:$B,2,0))</f>
        <v>#N/A</v>
      </c>
      <c r="D495" s="52" t="str">
        <f>IF(E495&lt;&gt;0,VLOOKUP(E495,DM_DUAN,3,0),"")</f>
        <v/>
      </c>
      <c r="E495" s="735"/>
      <c r="F495" s="735"/>
      <c r="G495" s="735"/>
      <c r="H495" s="735"/>
      <c r="I495" s="735"/>
      <c r="J495" s="52" t="s">
        <v>2214</v>
      </c>
      <c r="K495" s="52" t="s">
        <v>2214</v>
      </c>
      <c r="L495" s="735" t="s">
        <v>1153</v>
      </c>
      <c r="M495" s="68"/>
      <c r="N495" s="738">
        <v>8333000.0</v>
      </c>
      <c r="O495" s="735"/>
      <c r="P495" s="52" t="s">
        <v>2214</v>
      </c>
      <c r="Q495" s="52" t="s">
        <v>2214</v>
      </c>
      <c r="R495" s="737"/>
      <c r="S495" s="735"/>
      <c r="T495" s="737" t="s">
        <v>2219</v>
      </c>
      <c r="U495" s="737"/>
    </row>
    <row r="496">
      <c r="A496" s="733">
        <v>44835.0</v>
      </c>
      <c r="B496" s="52" t="str">
        <f t="shared" si="1"/>
        <v>10/2022</v>
      </c>
      <c r="C496" s="52" t="str">
        <f>IF(A496="","",VLOOKUP(A496,'THAM CHIẾU'!$A:$B,2,0))</f>
        <v>#N/A</v>
      </c>
      <c r="D496" s="52" t="str">
        <f>IF(E496&lt;&gt;0,VLOOKUP(E496,DM_DUAN,3,0),"")</f>
        <v/>
      </c>
      <c r="E496" s="735"/>
      <c r="F496" s="735"/>
      <c r="G496" s="735"/>
      <c r="H496" s="735"/>
      <c r="I496" s="735"/>
      <c r="J496" s="52" t="s">
        <v>2214</v>
      </c>
      <c r="K496" s="52" t="s">
        <v>2214</v>
      </c>
      <c r="L496" s="735" t="s">
        <v>2220</v>
      </c>
      <c r="M496" s="68"/>
      <c r="N496" s="738">
        <v>416000.0</v>
      </c>
      <c r="O496" s="735"/>
      <c r="P496" s="52" t="s">
        <v>2214</v>
      </c>
      <c r="Q496" s="52" t="s">
        <v>2214</v>
      </c>
      <c r="R496" s="737"/>
      <c r="S496" s="735"/>
      <c r="T496" s="737" t="s">
        <v>2221</v>
      </c>
      <c r="U496" s="737"/>
    </row>
    <row r="497">
      <c r="A497" s="733">
        <v>44835.0</v>
      </c>
      <c r="B497" s="52" t="str">
        <f t="shared" si="1"/>
        <v>10/2022</v>
      </c>
      <c r="C497" s="52" t="str">
        <f>IF(A497="","",VLOOKUP(A497,'THAM CHIẾU'!$A:$B,2,0))</f>
        <v>#N/A</v>
      </c>
      <c r="D497" s="52" t="str">
        <f>IF(E497&lt;&gt;0,VLOOKUP(E497,DM_DUAN,3,0),"")</f>
        <v/>
      </c>
      <c r="E497" s="735"/>
      <c r="F497" s="735"/>
      <c r="G497" s="735"/>
      <c r="H497" s="735"/>
      <c r="I497" s="735"/>
      <c r="J497" s="52" t="s">
        <v>2214</v>
      </c>
      <c r="K497" s="52" t="s">
        <v>2214</v>
      </c>
      <c r="L497" s="735" t="s">
        <v>262</v>
      </c>
      <c r="M497" s="68"/>
      <c r="N497" s="738">
        <v>833000.0</v>
      </c>
      <c r="O497" s="735"/>
      <c r="P497" s="52" t="s">
        <v>2214</v>
      </c>
      <c r="Q497" s="52" t="s">
        <v>2214</v>
      </c>
      <c r="R497" s="737"/>
      <c r="S497" s="735"/>
      <c r="T497" s="737" t="s">
        <v>2222</v>
      </c>
      <c r="U497" s="737"/>
    </row>
    <row r="498">
      <c r="A498" s="733">
        <v>44835.0</v>
      </c>
      <c r="B498" s="52" t="str">
        <f t="shared" si="1"/>
        <v>10/2022</v>
      </c>
      <c r="C498" s="52" t="str">
        <f>IF(A498="","",VLOOKUP(A498,'THAM CHIẾU'!$A:$B,2,0))</f>
        <v>#N/A</v>
      </c>
      <c r="D498" s="52" t="str">
        <f>IF(E498&lt;&gt;0,VLOOKUP(E498,DM_DUAN,3,0),"")</f>
        <v/>
      </c>
      <c r="E498" s="735"/>
      <c r="F498" s="735"/>
      <c r="G498" s="735"/>
      <c r="H498" s="735"/>
      <c r="I498" s="735"/>
      <c r="J498" s="52" t="s">
        <v>2214</v>
      </c>
      <c r="K498" s="52" t="s">
        <v>2214</v>
      </c>
      <c r="L498" s="735" t="s">
        <v>2223</v>
      </c>
      <c r="M498" s="68"/>
      <c r="N498" s="738">
        <v>4166000.0</v>
      </c>
      <c r="O498" s="735"/>
      <c r="P498" s="52" t="s">
        <v>2214</v>
      </c>
      <c r="Q498" s="52" t="s">
        <v>2214</v>
      </c>
      <c r="R498" s="737"/>
      <c r="S498" s="735"/>
      <c r="T498" s="737" t="s">
        <v>2224</v>
      </c>
      <c r="U498" s="737"/>
    </row>
    <row r="499">
      <c r="A499" s="733">
        <v>44835.0</v>
      </c>
      <c r="B499" s="52" t="str">
        <f t="shared" si="1"/>
        <v>10/2022</v>
      </c>
      <c r="C499" s="52" t="str">
        <f>IF(A499="","",VLOOKUP(A499,'THAM CHIẾU'!$A:$B,2,0))</f>
        <v>#N/A</v>
      </c>
      <c r="D499" s="52" t="str">
        <f>IF(E499&lt;&gt;0,VLOOKUP(E499,DM_DUAN,3,0),"")</f>
        <v/>
      </c>
      <c r="E499" s="735"/>
      <c r="F499" s="735"/>
      <c r="G499" s="735" t="s">
        <v>176</v>
      </c>
      <c r="H499" s="735"/>
      <c r="I499" s="735"/>
      <c r="J499" s="52" t="s">
        <v>2214</v>
      </c>
      <c r="K499" s="52" t="s">
        <v>2214</v>
      </c>
      <c r="L499" s="735" t="s">
        <v>374</v>
      </c>
      <c r="M499" s="68"/>
      <c r="N499" s="738">
        <v>1666000.0</v>
      </c>
      <c r="O499" s="735"/>
      <c r="P499" s="52" t="s">
        <v>2214</v>
      </c>
      <c r="Q499" s="52" t="s">
        <v>2214</v>
      </c>
      <c r="R499" s="737"/>
      <c r="S499" s="735"/>
      <c r="T499" s="737" t="s">
        <v>2225</v>
      </c>
      <c r="U499" s="737"/>
    </row>
    <row r="500">
      <c r="A500" s="733">
        <v>44835.0</v>
      </c>
      <c r="B500" s="52" t="str">
        <f t="shared" si="1"/>
        <v>10/2022</v>
      </c>
      <c r="C500" s="52" t="str">
        <f>IF(A500="","",VLOOKUP(A500,'THAM CHIẾU'!$A:$B,2,0))</f>
        <v>#N/A</v>
      </c>
      <c r="D500" s="52" t="str">
        <f>IF(E500&lt;&gt;0,VLOOKUP(E500,DM_DUAN,3,0),"")</f>
        <v/>
      </c>
      <c r="E500" s="735"/>
      <c r="F500" s="735"/>
      <c r="G500" s="735"/>
      <c r="H500" s="735"/>
      <c r="I500" s="735"/>
      <c r="J500" s="52" t="s">
        <v>2214</v>
      </c>
      <c r="K500" s="52" t="s">
        <v>2214</v>
      </c>
      <c r="L500" s="735" t="s">
        <v>380</v>
      </c>
      <c r="M500" s="68"/>
      <c r="N500" s="738">
        <v>1666000.0</v>
      </c>
      <c r="O500" s="735"/>
      <c r="P500" s="52" t="s">
        <v>2214</v>
      </c>
      <c r="Q500" s="52" t="s">
        <v>2214</v>
      </c>
      <c r="R500" s="737"/>
      <c r="S500" s="735"/>
      <c r="T500" s="737" t="s">
        <v>2226</v>
      </c>
      <c r="U500" s="737"/>
    </row>
    <row r="501">
      <c r="A501" s="733">
        <v>44835.0</v>
      </c>
      <c r="B501" s="52" t="str">
        <f t="shared" si="1"/>
        <v>10/2022</v>
      </c>
      <c r="C501" s="52" t="str">
        <f>IF(A501="","",VLOOKUP(A501,'THAM CHIẾU'!$A:$B,2,0))</f>
        <v>#N/A</v>
      </c>
      <c r="D501" s="52" t="str">
        <f>IF(E501&lt;&gt;0,VLOOKUP(E501,DM_DUAN,3,0),"")</f>
        <v/>
      </c>
      <c r="E501" s="735"/>
      <c r="F501" s="735"/>
      <c r="G501" s="735"/>
      <c r="H501" s="735"/>
      <c r="I501" s="735"/>
      <c r="J501" s="52" t="s">
        <v>2214</v>
      </c>
      <c r="K501" s="52" t="s">
        <v>2214</v>
      </c>
      <c r="L501" s="735" t="s">
        <v>272</v>
      </c>
      <c r="M501" s="68"/>
      <c r="N501" s="738">
        <v>6666000.0</v>
      </c>
      <c r="O501" s="735"/>
      <c r="P501" s="52" t="s">
        <v>2214</v>
      </c>
      <c r="Q501" s="52" t="s">
        <v>2214</v>
      </c>
      <c r="R501" s="737"/>
      <c r="S501" s="735"/>
      <c r="T501" s="737" t="s">
        <v>2227</v>
      </c>
      <c r="U501" s="737"/>
    </row>
    <row r="502">
      <c r="A502" s="733">
        <v>44835.0</v>
      </c>
      <c r="B502" s="52" t="str">
        <f t="shared" si="1"/>
        <v>10/2022</v>
      </c>
      <c r="C502" s="52" t="str">
        <f>IF(A502="","",VLOOKUP(A502,'THAM CHIẾU'!$A:$B,2,0))</f>
        <v>#N/A</v>
      </c>
      <c r="D502" s="52" t="str">
        <f>IF(E502&lt;&gt;0,VLOOKUP(E502,DM_DUAN,3,0),"")</f>
        <v/>
      </c>
      <c r="E502" s="735"/>
      <c r="F502" s="735"/>
      <c r="G502" s="735"/>
      <c r="H502" s="735"/>
      <c r="I502" s="735"/>
      <c r="J502" s="52" t="s">
        <v>2214</v>
      </c>
      <c r="K502" s="52" t="s">
        <v>2214</v>
      </c>
      <c r="L502" s="735" t="s">
        <v>380</v>
      </c>
      <c r="M502" s="68"/>
      <c r="N502" s="738">
        <v>833000.0</v>
      </c>
      <c r="O502" s="735"/>
      <c r="P502" s="52" t="s">
        <v>2214</v>
      </c>
      <c r="Q502" s="52" t="s">
        <v>2214</v>
      </c>
      <c r="R502" s="737"/>
      <c r="S502" s="735"/>
      <c r="T502" s="737" t="s">
        <v>2228</v>
      </c>
      <c r="U502" s="737"/>
    </row>
    <row r="503">
      <c r="A503" s="733">
        <v>44835.0</v>
      </c>
      <c r="B503" s="52" t="str">
        <f t="shared" si="1"/>
        <v>10/2022</v>
      </c>
      <c r="C503" s="52" t="str">
        <f>IF(A503="","",VLOOKUP(A503,'THAM CHIẾU'!$A:$B,2,0))</f>
        <v>#N/A</v>
      </c>
      <c r="D503" s="52" t="str">
        <f>IF(E503&lt;&gt;0,VLOOKUP(E503,DM_DUAN,3,0),"")</f>
        <v/>
      </c>
      <c r="E503" s="735"/>
      <c r="F503" s="735"/>
      <c r="G503" s="735"/>
      <c r="H503" s="735"/>
      <c r="I503" s="735"/>
      <c r="J503" s="52" t="s">
        <v>2214</v>
      </c>
      <c r="K503" s="52" t="s">
        <v>2214</v>
      </c>
      <c r="L503" s="735" t="s">
        <v>222</v>
      </c>
      <c r="M503" s="68"/>
      <c r="N503" s="738">
        <v>416000.0</v>
      </c>
      <c r="O503" s="735"/>
      <c r="P503" s="52" t="s">
        <v>2214</v>
      </c>
      <c r="Q503" s="52" t="s">
        <v>2214</v>
      </c>
      <c r="R503" s="737"/>
      <c r="S503" s="735"/>
      <c r="T503" s="737" t="s">
        <v>2229</v>
      </c>
      <c r="U503" s="737"/>
    </row>
    <row r="504">
      <c r="A504" s="733">
        <v>44835.0</v>
      </c>
      <c r="B504" s="52" t="str">
        <f t="shared" si="1"/>
        <v>10/2022</v>
      </c>
      <c r="C504" s="52" t="str">
        <f>IF(A504="","",VLOOKUP(A504,'THAM CHIẾU'!$A:$B,2,0))</f>
        <v>#N/A</v>
      </c>
      <c r="D504" s="52" t="str">
        <f>IF(E504&lt;&gt;0,VLOOKUP(E504,DM_DUAN,3,0),"")</f>
        <v/>
      </c>
      <c r="E504" s="735"/>
      <c r="F504" s="735"/>
      <c r="G504" s="735"/>
      <c r="H504" s="735"/>
      <c r="I504" s="735"/>
      <c r="J504" s="52" t="s">
        <v>2214</v>
      </c>
      <c r="K504" s="52" t="s">
        <v>2214</v>
      </c>
      <c r="L504" s="735" t="s">
        <v>267</v>
      </c>
      <c r="M504" s="68"/>
      <c r="N504" s="738">
        <v>3.184E8</v>
      </c>
      <c r="O504" s="735"/>
      <c r="P504" s="52" t="s">
        <v>2214</v>
      </c>
      <c r="Q504" s="52" t="s">
        <v>2214</v>
      </c>
      <c r="R504" s="737"/>
      <c r="S504" s="735"/>
      <c r="T504" s="737" t="s">
        <v>2230</v>
      </c>
      <c r="U504" s="737"/>
    </row>
    <row r="505">
      <c r="A505" s="733">
        <v>44835.0</v>
      </c>
      <c r="B505" s="52" t="str">
        <f t="shared" si="1"/>
        <v>10/2022</v>
      </c>
      <c r="C505" s="52" t="str">
        <f>IF(A505="","",VLOOKUP(A505,'THAM CHIẾU'!$A:$B,2,0))</f>
        <v>#N/A</v>
      </c>
      <c r="D505" s="52" t="str">
        <f>IF(E505&lt;&gt;0,VLOOKUP(E505,DM_DUAN,3,0),"")</f>
        <v/>
      </c>
      <c r="E505" s="735"/>
      <c r="F505" s="735"/>
      <c r="G505" s="735"/>
      <c r="H505" s="735"/>
      <c r="I505" s="735"/>
      <c r="J505" s="52" t="s">
        <v>2214</v>
      </c>
      <c r="K505" s="52" t="s">
        <v>2214</v>
      </c>
      <c r="L505" s="735" t="s">
        <v>270</v>
      </c>
      <c r="M505" s="68"/>
      <c r="N505" s="738">
        <v>4.5143E7</v>
      </c>
      <c r="O505" s="735"/>
      <c r="P505" s="52" t="s">
        <v>2214</v>
      </c>
      <c r="Q505" s="52" t="s">
        <v>2214</v>
      </c>
      <c r="R505" s="737"/>
      <c r="S505" s="735"/>
      <c r="T505" s="737" t="s">
        <v>2231</v>
      </c>
      <c r="U505" s="737"/>
    </row>
    <row r="506">
      <c r="A506" s="733">
        <v>44835.0</v>
      </c>
      <c r="B506" s="52" t="str">
        <f t="shared" si="1"/>
        <v>10/2022</v>
      </c>
      <c r="C506" s="52" t="str">
        <f>IF(A506="","",VLOOKUP(A506,'THAM CHIẾU'!$A:$B,2,0))</f>
        <v>#N/A</v>
      </c>
      <c r="D506" s="52" t="str">
        <f>IF(E506&lt;&gt;0,VLOOKUP(E506,DM_DUAN,3,0),"")</f>
        <v/>
      </c>
      <c r="E506" s="735"/>
      <c r="F506" s="735"/>
      <c r="G506" s="735"/>
      <c r="H506" s="735"/>
      <c r="I506" s="735"/>
      <c r="J506" s="52" t="s">
        <v>2214</v>
      </c>
      <c r="K506" s="52" t="s">
        <v>2214</v>
      </c>
      <c r="L506" s="735" t="s">
        <v>410</v>
      </c>
      <c r="M506" s="68"/>
      <c r="N506" s="738">
        <v>1250000.0</v>
      </c>
      <c r="O506" s="735"/>
      <c r="P506" s="52" t="s">
        <v>2214</v>
      </c>
      <c r="Q506" s="52" t="s">
        <v>2214</v>
      </c>
      <c r="R506" s="737"/>
      <c r="S506" s="735"/>
      <c r="T506" s="737" t="s">
        <v>410</v>
      </c>
      <c r="U506" s="737"/>
    </row>
    <row r="507">
      <c r="A507" s="733">
        <v>44835.0</v>
      </c>
      <c r="B507" s="52" t="str">
        <f t="shared" si="1"/>
        <v>10/2022</v>
      </c>
      <c r="C507" s="52" t="str">
        <f>IF(A507="","",VLOOKUP(A507,'THAM CHIẾU'!$A:$B,2,0))</f>
        <v>#N/A</v>
      </c>
      <c r="D507" s="52" t="str">
        <f>IF(E507&lt;&gt;0,VLOOKUP(E507,DM_DUAN,3,0),"")</f>
        <v/>
      </c>
      <c r="E507" s="735"/>
      <c r="F507" s="735"/>
      <c r="G507" s="735"/>
      <c r="H507" s="735"/>
      <c r="I507" s="735"/>
      <c r="J507" s="52" t="s">
        <v>2214</v>
      </c>
      <c r="K507" s="52" t="s">
        <v>2214</v>
      </c>
      <c r="L507" s="735" t="s">
        <v>252</v>
      </c>
      <c r="M507" s="68"/>
      <c r="N507" s="738">
        <v>1.6666E7</v>
      </c>
      <c r="O507" s="735"/>
      <c r="P507" s="52" t="s">
        <v>2214</v>
      </c>
      <c r="Q507" s="52" t="s">
        <v>2214</v>
      </c>
      <c r="R507" s="737"/>
      <c r="S507" s="735"/>
      <c r="T507" s="737" t="s">
        <v>2232</v>
      </c>
      <c r="U507" s="737"/>
    </row>
    <row r="508">
      <c r="A508" s="733">
        <v>44835.0</v>
      </c>
      <c r="B508" s="52" t="str">
        <f t="shared" si="1"/>
        <v>10/2022</v>
      </c>
      <c r="C508" s="52" t="str">
        <f>IF(A508="","",VLOOKUP(A508,'THAM CHIẾU'!$A:$B,2,0))</f>
        <v>#N/A</v>
      </c>
      <c r="D508" s="52" t="str">
        <f>IF(E508&lt;&gt;0,VLOOKUP(E508,DM_DUAN,3,0),"")</f>
        <v/>
      </c>
      <c r="E508" s="735"/>
      <c r="F508" s="735"/>
      <c r="G508" s="735"/>
      <c r="H508" s="735"/>
      <c r="I508" s="735"/>
      <c r="J508" s="52" t="s">
        <v>2214</v>
      </c>
      <c r="K508" s="52" t="s">
        <v>2214</v>
      </c>
      <c r="L508" s="735" t="s">
        <v>380</v>
      </c>
      <c r="M508" s="68"/>
      <c r="N508" s="738">
        <v>1666000.0</v>
      </c>
      <c r="O508" s="735"/>
      <c r="P508" s="52" t="s">
        <v>2214</v>
      </c>
      <c r="Q508" s="52" t="s">
        <v>2214</v>
      </c>
      <c r="R508" s="737"/>
      <c r="S508" s="735"/>
      <c r="T508" s="737" t="s">
        <v>2233</v>
      </c>
      <c r="U508" s="737"/>
    </row>
    <row r="509">
      <c r="A509" s="733">
        <v>44835.0</v>
      </c>
      <c r="B509" s="52" t="str">
        <f t="shared" si="1"/>
        <v>10/2022</v>
      </c>
      <c r="C509" s="52" t="str">
        <f>IF(A509="","",VLOOKUP(A509,'THAM CHIẾU'!$A:$B,2,0))</f>
        <v>#N/A</v>
      </c>
      <c r="D509" s="52" t="str">
        <f>IF(E509&lt;&gt;0,VLOOKUP(E509,DM_DUAN,3,0),"")</f>
        <v/>
      </c>
      <c r="E509" s="735"/>
      <c r="F509" s="735"/>
      <c r="G509" s="735"/>
      <c r="H509" s="735"/>
      <c r="I509" s="735"/>
      <c r="J509" s="52" t="s">
        <v>2214</v>
      </c>
      <c r="K509" s="52" t="s">
        <v>2214</v>
      </c>
      <c r="L509" s="735" t="s">
        <v>206</v>
      </c>
      <c r="M509" s="68"/>
      <c r="N509" s="738">
        <v>1703000.0</v>
      </c>
      <c r="O509" s="735"/>
      <c r="P509" s="52" t="s">
        <v>2214</v>
      </c>
      <c r="Q509" s="52" t="s">
        <v>2214</v>
      </c>
      <c r="R509" s="737"/>
      <c r="S509" s="735"/>
      <c r="T509" s="737" t="s">
        <v>206</v>
      </c>
      <c r="U509" s="737"/>
    </row>
    <row r="510">
      <c r="A510" s="733">
        <v>44835.0</v>
      </c>
      <c r="B510" s="52" t="str">
        <f t="shared" si="1"/>
        <v>10/2022</v>
      </c>
      <c r="C510" s="52" t="str">
        <f>IF(A510="","",VLOOKUP(A510,'THAM CHIẾU'!$A:$B,2,0))</f>
        <v>#N/A</v>
      </c>
      <c r="D510" s="52" t="str">
        <f>IF(E510&lt;&gt;0,VLOOKUP(E510,DM_DUAN,3,0),"")</f>
        <v/>
      </c>
      <c r="E510" s="735"/>
      <c r="F510" s="735"/>
      <c r="G510" s="735"/>
      <c r="H510" s="735"/>
      <c r="I510" s="735"/>
      <c r="J510" s="52" t="s">
        <v>2214</v>
      </c>
      <c r="K510" s="52" t="s">
        <v>2214</v>
      </c>
      <c r="L510" s="735" t="s">
        <v>226</v>
      </c>
      <c r="M510" s="68"/>
      <c r="N510" s="738">
        <v>1250000.0</v>
      </c>
      <c r="O510" s="735"/>
      <c r="P510" s="52" t="s">
        <v>2214</v>
      </c>
      <c r="Q510" s="52" t="s">
        <v>2214</v>
      </c>
      <c r="R510" s="737"/>
      <c r="S510" s="735"/>
      <c r="T510" s="737" t="s">
        <v>2234</v>
      </c>
      <c r="U510" s="737"/>
    </row>
    <row r="511">
      <c r="A511" s="733">
        <v>44835.0</v>
      </c>
      <c r="B511" s="52" t="str">
        <f t="shared" si="1"/>
        <v>10/2022</v>
      </c>
      <c r="C511" s="52" t="str">
        <f>IF(A511="","",VLOOKUP(A511,'THAM CHIẾU'!$A:$B,2,0))</f>
        <v>#N/A</v>
      </c>
      <c r="D511" s="52" t="str">
        <f>IF(E511&lt;&gt;0,VLOOKUP(E511,DM_DUAN,3,0),"")</f>
        <v/>
      </c>
      <c r="E511" s="735"/>
      <c r="F511" s="735"/>
      <c r="G511" s="735"/>
      <c r="H511" s="735"/>
      <c r="I511" s="735"/>
      <c r="J511" s="52" t="s">
        <v>2214</v>
      </c>
      <c r="K511" s="52" t="s">
        <v>2214</v>
      </c>
      <c r="L511" s="735" t="s">
        <v>174</v>
      </c>
      <c r="M511" s="68"/>
      <c r="N511" s="738">
        <v>4.0861E7</v>
      </c>
      <c r="O511" s="735"/>
      <c r="P511" s="52" t="s">
        <v>2214</v>
      </c>
      <c r="Q511" s="52" t="s">
        <v>2214</v>
      </c>
      <c r="R511" s="737"/>
      <c r="S511" s="735"/>
      <c r="T511" s="737" t="s">
        <v>2235</v>
      </c>
      <c r="U511" s="737"/>
    </row>
    <row r="512">
      <c r="A512" s="733">
        <v>44835.0</v>
      </c>
      <c r="B512" s="52" t="str">
        <f t="shared" si="1"/>
        <v>10/2022</v>
      </c>
      <c r="C512" s="52" t="str">
        <f>IF(A512="","",VLOOKUP(A512,'THAM CHIẾU'!$A:$B,2,0))</f>
        <v>#N/A</v>
      </c>
      <c r="D512" s="52" t="str">
        <f>IF(E512&lt;&gt;0,VLOOKUP(E512,DM_DUAN,3,0),"")</f>
        <v/>
      </c>
      <c r="E512" s="735"/>
      <c r="F512" s="735"/>
      <c r="G512" s="735"/>
      <c r="H512" s="735"/>
      <c r="I512" s="735"/>
      <c r="J512" s="52" t="s">
        <v>2214</v>
      </c>
      <c r="K512" s="52" t="s">
        <v>2214</v>
      </c>
      <c r="L512" s="735" t="s">
        <v>2236</v>
      </c>
      <c r="M512" s="68"/>
      <c r="N512" s="738">
        <v>1666000.0</v>
      </c>
      <c r="O512" s="735"/>
      <c r="P512" s="52" t="s">
        <v>2214</v>
      </c>
      <c r="Q512" s="52" t="s">
        <v>2214</v>
      </c>
      <c r="R512" s="737"/>
      <c r="S512" s="735"/>
      <c r="T512" s="737" t="s">
        <v>2237</v>
      </c>
      <c r="U512" s="737"/>
    </row>
    <row r="513">
      <c r="A513" s="733">
        <v>44835.0</v>
      </c>
      <c r="B513" s="52" t="str">
        <f t="shared" si="1"/>
        <v>10/2022</v>
      </c>
      <c r="C513" s="52" t="str">
        <f>IF(A513="","",VLOOKUP(A513,'THAM CHIẾU'!$A:$B,2,0))</f>
        <v>#N/A</v>
      </c>
      <c r="D513" s="52" t="str">
        <f>IF(E513&lt;&gt;0,VLOOKUP(E513,DM_DUAN,3,0),"")</f>
        <v/>
      </c>
      <c r="E513" s="735"/>
      <c r="F513" s="735"/>
      <c r="G513" s="735"/>
      <c r="H513" s="735"/>
      <c r="I513" s="735"/>
      <c r="J513" s="52" t="s">
        <v>2214</v>
      </c>
      <c r="K513" s="52" t="s">
        <v>2214</v>
      </c>
      <c r="L513" s="735"/>
      <c r="M513" s="68"/>
      <c r="N513" s="738"/>
      <c r="O513" s="735"/>
      <c r="P513" s="52" t="s">
        <v>2214</v>
      </c>
      <c r="Q513" s="52" t="s">
        <v>2214</v>
      </c>
      <c r="R513" s="737"/>
      <c r="S513" s="735"/>
      <c r="T513" s="737"/>
      <c r="U513" s="737"/>
    </row>
    <row r="514">
      <c r="A514" s="733">
        <v>44835.0</v>
      </c>
      <c r="B514" s="52" t="str">
        <f t="shared" si="1"/>
        <v>10/2022</v>
      </c>
      <c r="C514" s="52" t="str">
        <f>IF(A514="","",VLOOKUP(A514,'THAM CHIẾU'!$A:$B,2,0))</f>
        <v>#N/A</v>
      </c>
      <c r="D514" s="52" t="str">
        <f>IF(E514&lt;&gt;0,VLOOKUP(E514,DM_DUAN,3,0),"")</f>
        <v/>
      </c>
      <c r="E514" s="735"/>
      <c r="F514" s="735"/>
      <c r="G514" s="735"/>
      <c r="H514" s="735"/>
      <c r="I514" s="735"/>
      <c r="J514" s="52" t="s">
        <v>2214</v>
      </c>
      <c r="K514" s="52" t="s">
        <v>2214</v>
      </c>
      <c r="L514" s="735" t="s">
        <v>169</v>
      </c>
      <c r="M514" s="68"/>
      <c r="N514" s="738">
        <v>1.0643E7</v>
      </c>
      <c r="O514" s="735"/>
      <c r="P514" s="52" t="s">
        <v>2214</v>
      </c>
      <c r="Q514" s="52" t="s">
        <v>2214</v>
      </c>
      <c r="R514" s="737"/>
      <c r="S514" s="735"/>
      <c r="T514" s="737" t="s">
        <v>2240</v>
      </c>
      <c r="U514" s="737"/>
    </row>
    <row r="515">
      <c r="A515" s="733">
        <v>44835.0</v>
      </c>
      <c r="B515" s="52" t="str">
        <f t="shared" si="1"/>
        <v>10/2022</v>
      </c>
      <c r="C515" s="52" t="str">
        <f>IF(A515="","",VLOOKUP(A515,'THAM CHIẾU'!$A:$B,2,0))</f>
        <v>#N/A</v>
      </c>
      <c r="D515" s="52" t="str">
        <f>IF(E515&lt;&gt;0,VLOOKUP(E515,DM_DUAN,3,0),"")</f>
        <v/>
      </c>
      <c r="E515" s="735"/>
      <c r="F515" s="735"/>
      <c r="G515" s="735"/>
      <c r="H515" s="735"/>
      <c r="I515" s="735"/>
      <c r="J515" s="52" t="s">
        <v>2214</v>
      </c>
      <c r="K515" s="52" t="s">
        <v>2214</v>
      </c>
      <c r="L515" s="735" t="s">
        <v>190</v>
      </c>
      <c r="M515" s="68"/>
      <c r="N515" s="738">
        <v>3.9E9</v>
      </c>
      <c r="O515" s="735"/>
      <c r="P515" s="52" t="s">
        <v>2214</v>
      </c>
      <c r="Q515" s="52" t="s">
        <v>2214</v>
      </c>
      <c r="R515" s="737"/>
      <c r="S515" s="735"/>
      <c r="T515" s="737" t="s">
        <v>2241</v>
      </c>
      <c r="U515" s="737"/>
    </row>
    <row r="516">
      <c r="A516" s="733">
        <v>44835.0</v>
      </c>
      <c r="B516" s="52" t="str">
        <f t="shared" si="1"/>
        <v>10/2022</v>
      </c>
      <c r="C516" s="52" t="str">
        <f>IF(A516="","",VLOOKUP(A516,'THAM CHIẾU'!$A:$B,2,0))</f>
        <v>#N/A</v>
      </c>
      <c r="D516" s="52" t="str">
        <f>IF(E516&lt;&gt;0,VLOOKUP(E516,DM_DUAN,3,0),"")</f>
        <v/>
      </c>
      <c r="E516" s="735"/>
      <c r="F516" s="735"/>
      <c r="G516" s="735"/>
      <c r="H516" s="735"/>
      <c r="I516" s="735"/>
      <c r="J516" s="52" t="s">
        <v>2214</v>
      </c>
      <c r="K516" s="52" t="s">
        <v>2214</v>
      </c>
      <c r="L516" s="735" t="s">
        <v>194</v>
      </c>
      <c r="M516" s="68"/>
      <c r="N516" s="738">
        <v>1.04E9</v>
      </c>
      <c r="O516" s="735"/>
      <c r="P516" s="52" t="s">
        <v>2214</v>
      </c>
      <c r="Q516" s="52" t="s">
        <v>2214</v>
      </c>
      <c r="R516" s="737"/>
      <c r="S516" s="735"/>
      <c r="T516" s="737" t="s">
        <v>2242</v>
      </c>
      <c r="U516" s="737"/>
    </row>
    <row r="517">
      <c r="A517" s="733">
        <v>44835.0</v>
      </c>
      <c r="B517" s="52" t="str">
        <f t="shared" si="1"/>
        <v>10/2022</v>
      </c>
      <c r="C517" s="52" t="str">
        <f>IF(A517="","",VLOOKUP(A517,'THAM CHIẾU'!$A:$B,2,0))</f>
        <v>#N/A</v>
      </c>
      <c r="D517" s="52" t="str">
        <f>IF(E517&lt;&gt;0,VLOOKUP(E517,DM_DUAN,3,0),"")</f>
        <v/>
      </c>
      <c r="E517" s="735"/>
      <c r="F517" s="735"/>
      <c r="G517" s="735"/>
      <c r="H517" s="735"/>
      <c r="I517" s="735"/>
      <c r="J517" s="52" t="s">
        <v>2214</v>
      </c>
      <c r="K517" s="52" t="s">
        <v>2214</v>
      </c>
      <c r="L517" s="735" t="s">
        <v>1170</v>
      </c>
      <c r="M517" s="68"/>
      <c r="N517" s="738">
        <v>1.3E8</v>
      </c>
      <c r="O517" s="735"/>
      <c r="P517" s="52" t="s">
        <v>2214</v>
      </c>
      <c r="Q517" s="52" t="s">
        <v>2214</v>
      </c>
      <c r="R517" s="737"/>
      <c r="S517" s="735"/>
      <c r="T517" s="737" t="s">
        <v>1474</v>
      </c>
      <c r="U517" s="737"/>
    </row>
    <row r="518">
      <c r="A518" s="733">
        <v>44835.0</v>
      </c>
      <c r="B518" s="52" t="str">
        <f t="shared" si="1"/>
        <v>10/2022</v>
      </c>
      <c r="C518" s="52" t="str">
        <f>IF(A518="","",VLOOKUP(A518,'THAM CHIẾU'!$A:$B,2,0))</f>
        <v>#N/A</v>
      </c>
      <c r="D518" s="52" t="str">
        <f>IF(E518&lt;&gt;0,VLOOKUP(E518,DM_DUAN,3,0),"")</f>
        <v/>
      </c>
      <c r="E518" s="735"/>
      <c r="F518" s="735"/>
      <c r="G518" s="735"/>
      <c r="H518" s="735"/>
      <c r="I518" s="735"/>
      <c r="J518" s="52" t="s">
        <v>2214</v>
      </c>
      <c r="K518" s="52" t="s">
        <v>2214</v>
      </c>
      <c r="L518" s="735" t="s">
        <v>1142</v>
      </c>
      <c r="M518" s="68"/>
      <c r="N518" s="738">
        <v>1.248E9</v>
      </c>
      <c r="O518" s="735"/>
      <c r="P518" s="52" t="s">
        <v>2214</v>
      </c>
      <c r="Q518" s="52" t="s">
        <v>2214</v>
      </c>
      <c r="R518" s="737"/>
      <c r="S518" s="735"/>
      <c r="T518" s="737" t="s">
        <v>2244</v>
      </c>
      <c r="U518" s="737"/>
    </row>
    <row r="519">
      <c r="A519" s="733">
        <v>44835.0</v>
      </c>
      <c r="B519" s="52" t="str">
        <f t="shared" si="1"/>
        <v>10/2022</v>
      </c>
      <c r="C519" s="52" t="str">
        <f>IF(A519="","",VLOOKUP(A519,'THAM CHIẾU'!$A:$B,2,0))</f>
        <v>#N/A</v>
      </c>
      <c r="D519" s="52" t="str">
        <f>IF(E519&lt;&gt;0,VLOOKUP(E519,DM_DUAN,3,0),"")</f>
        <v/>
      </c>
      <c r="E519" s="735"/>
      <c r="F519" s="735"/>
      <c r="G519" s="735"/>
      <c r="H519" s="735"/>
      <c r="I519" s="735"/>
      <c r="J519" s="52" t="s">
        <v>2214</v>
      </c>
      <c r="K519" s="52" t="s">
        <v>2214</v>
      </c>
      <c r="L519" s="735" t="s">
        <v>181</v>
      </c>
      <c r="M519" s="68"/>
      <c r="N519" s="738">
        <v>1.3E9</v>
      </c>
      <c r="O519" s="735"/>
      <c r="P519" s="52" t="s">
        <v>2214</v>
      </c>
      <c r="Q519" s="52" t="s">
        <v>2214</v>
      </c>
      <c r="R519" s="737"/>
      <c r="S519" s="735"/>
      <c r="T519" s="737" t="s">
        <v>2245</v>
      </c>
      <c r="U519" s="737"/>
    </row>
    <row r="520">
      <c r="A520" s="733">
        <v>44835.0</v>
      </c>
      <c r="B520" s="52" t="str">
        <f t="shared" si="1"/>
        <v>10/2022</v>
      </c>
      <c r="C520" s="52" t="str">
        <f>IF(A520="","",VLOOKUP(A520,'THAM CHIẾU'!$A:$B,2,0))</f>
        <v>#N/A</v>
      </c>
      <c r="D520" s="52" t="str">
        <f>IF(E520&lt;&gt;0,VLOOKUP(E520,DM_DUAN,3,0),"")</f>
        <v/>
      </c>
      <c r="E520" s="735"/>
      <c r="F520" s="735"/>
      <c r="G520" s="735"/>
      <c r="H520" s="735"/>
      <c r="I520" s="735"/>
      <c r="J520" s="52" t="s">
        <v>2214</v>
      </c>
      <c r="K520" s="52" t="s">
        <v>2214</v>
      </c>
      <c r="L520" s="735" t="s">
        <v>2243</v>
      </c>
      <c r="M520" s="68"/>
      <c r="N520" s="738">
        <v>3.9E7</v>
      </c>
      <c r="O520" s="735"/>
      <c r="P520" s="52" t="s">
        <v>2214</v>
      </c>
      <c r="Q520" s="52" t="s">
        <v>2214</v>
      </c>
      <c r="R520" s="737"/>
      <c r="S520" s="735"/>
      <c r="T520" s="737" t="s">
        <v>2246</v>
      </c>
      <c r="U520" s="737"/>
    </row>
    <row r="521">
      <c r="A521" s="733"/>
      <c r="B521" s="52" t="str">
        <f t="shared" si="1"/>
        <v/>
      </c>
      <c r="C521" s="52" t="str">
        <f>IF(A521="","",VLOOKUP(A521,'THAM CHIẾU'!$A:$B,2,0))</f>
        <v/>
      </c>
      <c r="D521" s="52" t="str">
        <f>IF(E521&lt;&gt;0,VLOOKUP(E521,DM_DUAN,3,0),"")</f>
        <v/>
      </c>
      <c r="E521" s="735"/>
      <c r="F521" s="735"/>
      <c r="G521" s="735"/>
      <c r="H521" s="735"/>
      <c r="I521" s="735"/>
      <c r="J521" s="52" t="s">
        <v>2214</v>
      </c>
      <c r="K521" s="52" t="s">
        <v>2214</v>
      </c>
      <c r="L521" s="735"/>
      <c r="M521" s="68"/>
      <c r="N521" s="738">
        <v>0.0</v>
      </c>
      <c r="O521" s="735"/>
      <c r="P521" s="52" t="s">
        <v>2214</v>
      </c>
      <c r="Q521" s="52" t="s">
        <v>2214</v>
      </c>
      <c r="R521" s="737"/>
      <c r="S521" s="735"/>
      <c r="T521" s="737"/>
      <c r="U521" s="737"/>
    </row>
    <row r="522">
      <c r="A522" s="733"/>
      <c r="B522" s="52" t="str">
        <f t="shared" si="1"/>
        <v/>
      </c>
      <c r="C522" s="52" t="str">
        <f>IF(A522="","",VLOOKUP(A522,'THAM CHIẾU'!$A:$B,2,0))</f>
        <v/>
      </c>
      <c r="D522" s="52" t="str">
        <f>IF(E522&lt;&gt;0,VLOOKUP(E522,DM_DUAN,3,0),"")</f>
        <v/>
      </c>
      <c r="E522" s="735"/>
      <c r="F522" s="735"/>
      <c r="G522" s="735"/>
      <c r="H522" s="735"/>
      <c r="I522" s="735"/>
      <c r="J522" s="52" t="s">
        <v>2214</v>
      </c>
      <c r="K522" s="52" t="s">
        <v>2214</v>
      </c>
      <c r="L522" s="735"/>
      <c r="M522" s="68"/>
      <c r="N522" s="738">
        <v>0.0</v>
      </c>
      <c r="O522" s="735"/>
      <c r="P522" s="52" t="s">
        <v>2214</v>
      </c>
      <c r="Q522" s="52" t="s">
        <v>2214</v>
      </c>
      <c r="R522" s="737"/>
      <c r="S522" s="735"/>
      <c r="T522" s="737"/>
      <c r="U522" s="737"/>
    </row>
    <row r="523">
      <c r="A523" s="733"/>
      <c r="B523" s="52" t="str">
        <f t="shared" si="1"/>
        <v/>
      </c>
      <c r="C523" s="52" t="str">
        <f>IF(A523="","",VLOOKUP(A523,'THAM CHIẾU'!$A:$B,2,0))</f>
        <v/>
      </c>
      <c r="D523" s="52" t="str">
        <f>IF(E523&lt;&gt;0,VLOOKUP(E523,DM_DUAN,3,0),"")</f>
        <v/>
      </c>
      <c r="E523" s="735"/>
      <c r="F523" s="735"/>
      <c r="G523" s="735"/>
      <c r="H523" s="735"/>
      <c r="I523" s="735"/>
      <c r="J523" s="52" t="s">
        <v>2214</v>
      </c>
      <c r="K523" s="52" t="s">
        <v>2214</v>
      </c>
      <c r="L523" s="735"/>
      <c r="M523" s="68"/>
      <c r="N523" s="738">
        <v>0.0</v>
      </c>
      <c r="O523" s="735"/>
      <c r="P523" s="52" t="s">
        <v>2214</v>
      </c>
      <c r="Q523" s="52" t="s">
        <v>2214</v>
      </c>
      <c r="R523" s="737"/>
      <c r="S523" s="735"/>
      <c r="T523" s="737"/>
      <c r="U523" s="737"/>
    </row>
    <row r="524">
      <c r="A524" s="733">
        <v>44866.0</v>
      </c>
      <c r="B524" s="52" t="str">
        <f t="shared" si="1"/>
        <v>11/2022</v>
      </c>
      <c r="C524" s="52" t="str">
        <f>IF(A524="","",VLOOKUP(A524,'THAM CHIẾU'!$A:$B,2,0))</f>
        <v>#N/A</v>
      </c>
      <c r="D524" s="52" t="str">
        <f>IF(E524&lt;&gt;0,VLOOKUP(E524,DM_DUAN,3,0),"")</f>
        <v>THANHNAM</v>
      </c>
      <c r="E524" s="735" t="s">
        <v>175</v>
      </c>
      <c r="F524" s="735"/>
      <c r="G524" s="735"/>
      <c r="H524" s="735"/>
      <c r="I524" s="735"/>
      <c r="J524" s="52" t="s">
        <v>2214</v>
      </c>
      <c r="K524" s="52" t="s">
        <v>2214</v>
      </c>
      <c r="L524" s="735" t="s">
        <v>198</v>
      </c>
      <c r="M524" s="68"/>
      <c r="N524" s="738">
        <v>1.3333333E10</v>
      </c>
      <c r="O524" s="735"/>
      <c r="P524" s="52" t="s">
        <v>2214</v>
      </c>
      <c r="Q524" s="52" t="s">
        <v>2214</v>
      </c>
      <c r="R524" s="737"/>
      <c r="S524" s="735"/>
      <c r="T524" s="737"/>
      <c r="U524" s="737"/>
    </row>
    <row r="525">
      <c r="A525" s="733">
        <v>44866.0</v>
      </c>
      <c r="B525" s="52" t="str">
        <f t="shared" si="1"/>
        <v>11/2022</v>
      </c>
      <c r="C525" s="52" t="str">
        <f>IF(A525="","",VLOOKUP(A525,'THAM CHIẾU'!$A:$B,2,0))</f>
        <v>#N/A</v>
      </c>
      <c r="D525" s="52" t="str">
        <f>IF(E525&lt;&gt;0,VLOOKUP(E525,DM_DUAN,3,0),"")</f>
        <v>NAMPHONG</v>
      </c>
      <c r="E525" s="735" t="s">
        <v>2067</v>
      </c>
      <c r="F525" s="735"/>
      <c r="G525" s="735"/>
      <c r="H525" s="735"/>
      <c r="I525" s="735"/>
      <c r="J525" s="52" t="s">
        <v>2214</v>
      </c>
      <c r="K525" s="52" t="s">
        <v>2214</v>
      </c>
      <c r="L525" s="735" t="s">
        <v>198</v>
      </c>
      <c r="M525" s="68"/>
      <c r="N525" s="738">
        <v>4.0E10</v>
      </c>
      <c r="O525" s="735"/>
      <c r="P525" s="52" t="s">
        <v>2214</v>
      </c>
      <c r="Q525" s="52" t="s">
        <v>2214</v>
      </c>
      <c r="R525" s="737"/>
      <c r="S525" s="735"/>
      <c r="T525" s="737"/>
      <c r="U525" s="737"/>
    </row>
    <row r="526">
      <c r="A526" s="733">
        <v>44866.0</v>
      </c>
      <c r="B526" s="52" t="str">
        <f t="shared" si="1"/>
        <v>11/2022</v>
      </c>
      <c r="C526" s="52" t="str">
        <f>IF(A526="","",VLOOKUP(A526,'THAM CHIẾU'!$A:$B,2,0))</f>
        <v>#N/A</v>
      </c>
      <c r="D526" s="52" t="str">
        <f>IF(E526&lt;&gt;0,VLOOKUP(E526,DM_DUAN,3,0),"")</f>
        <v>NAMSAIGON</v>
      </c>
      <c r="E526" s="735" t="s">
        <v>215</v>
      </c>
      <c r="F526" s="735"/>
      <c r="G526" s="735"/>
      <c r="H526" s="735"/>
      <c r="I526" s="735"/>
      <c r="J526" s="52" t="s">
        <v>2214</v>
      </c>
      <c r="K526" s="52" t="s">
        <v>2214</v>
      </c>
      <c r="L526" s="735" t="s">
        <v>198</v>
      </c>
      <c r="M526" s="68"/>
      <c r="N526" s="738">
        <v>1.3333333E10</v>
      </c>
      <c r="O526" s="735"/>
      <c r="P526" s="52" t="s">
        <v>2214</v>
      </c>
      <c r="Q526" s="52" t="s">
        <v>2214</v>
      </c>
      <c r="R526" s="737"/>
      <c r="S526" s="735"/>
      <c r="T526" s="737"/>
      <c r="U526" s="737"/>
    </row>
    <row r="527">
      <c r="A527" s="733">
        <v>44866.0</v>
      </c>
      <c r="B527" s="52" t="str">
        <f t="shared" si="1"/>
        <v>11/2022</v>
      </c>
      <c r="C527" s="52" t="str">
        <f>IF(A527="","",VLOOKUP(A527,'THAM CHIẾU'!$A:$B,2,0))</f>
        <v>#N/A</v>
      </c>
      <c r="D527" s="52" t="str">
        <f>IF(E527&lt;&gt;0,VLOOKUP(E527,DM_DUAN,3,0),"")</f>
        <v>#N/A</v>
      </c>
      <c r="E527" s="735" t="s">
        <v>2069</v>
      </c>
      <c r="F527" s="735"/>
      <c r="G527" s="735"/>
      <c r="H527" s="735"/>
      <c r="I527" s="735"/>
      <c r="J527" s="52" t="s">
        <v>2214</v>
      </c>
      <c r="K527" s="52" t="s">
        <v>2214</v>
      </c>
      <c r="L527" s="735" t="s">
        <v>198</v>
      </c>
      <c r="M527" s="68"/>
      <c r="N527" s="738">
        <v>0.0</v>
      </c>
      <c r="O527" s="735"/>
      <c r="P527" s="52" t="s">
        <v>2214</v>
      </c>
      <c r="Q527" s="52" t="s">
        <v>2214</v>
      </c>
      <c r="R527" s="737"/>
      <c r="S527" s="735"/>
      <c r="T527" s="737"/>
      <c r="U527" s="737"/>
    </row>
    <row r="528">
      <c r="A528" s="733">
        <v>44866.0</v>
      </c>
      <c r="B528" s="52" t="str">
        <f t="shared" si="1"/>
        <v>11/2022</v>
      </c>
      <c r="C528" s="52" t="str">
        <f>IF(A528="","",VLOOKUP(A528,'THAM CHIẾU'!$A:$B,2,0))</f>
        <v>#N/A</v>
      </c>
      <c r="D528" s="52" t="str">
        <f>IF(E528&lt;&gt;0,VLOOKUP(E528,DM_DUAN,3,0),"")</f>
        <v>KHANGVUONG</v>
      </c>
      <c r="E528" s="735" t="s">
        <v>2070</v>
      </c>
      <c r="F528" s="735"/>
      <c r="G528" s="735"/>
      <c r="H528" s="735"/>
      <c r="I528" s="735"/>
      <c r="J528" s="52" t="s">
        <v>2214</v>
      </c>
      <c r="K528" s="52" t="s">
        <v>2214</v>
      </c>
      <c r="L528" s="735" t="s">
        <v>198</v>
      </c>
      <c r="M528" s="68"/>
      <c r="N528" s="738">
        <v>6.666666E9</v>
      </c>
      <c r="O528" s="735"/>
      <c r="P528" s="52" t="s">
        <v>2214</v>
      </c>
      <c r="Q528" s="52" t="s">
        <v>2214</v>
      </c>
      <c r="R528" s="737"/>
      <c r="S528" s="735"/>
      <c r="T528" s="737"/>
      <c r="U528" s="737"/>
    </row>
    <row r="529">
      <c r="A529" s="733">
        <v>44866.0</v>
      </c>
      <c r="B529" s="52" t="str">
        <f t="shared" si="1"/>
        <v>11/2022</v>
      </c>
      <c r="C529" s="52" t="str">
        <f>IF(A529="","",VLOOKUP(A529,'THAM CHIẾU'!$A:$B,2,0))</f>
        <v>#N/A</v>
      </c>
      <c r="D529" s="52" t="str">
        <f>IF(E529&lt;&gt;0,VLOOKUP(E529,DM_DUAN,3,0),"")</f>
        <v>PHUGIATHINH</v>
      </c>
      <c r="E529" s="735" t="s">
        <v>404</v>
      </c>
      <c r="F529" s="735"/>
      <c r="G529" s="735"/>
      <c r="H529" s="735"/>
      <c r="I529" s="735"/>
      <c r="J529" s="52" t="s">
        <v>2214</v>
      </c>
      <c r="K529" s="52" t="s">
        <v>2214</v>
      </c>
      <c r="L529" s="735" t="s">
        <v>198</v>
      </c>
      <c r="M529" s="68"/>
      <c r="N529" s="738">
        <v>6.666666E9</v>
      </c>
      <c r="O529" s="735"/>
      <c r="P529" s="52" t="s">
        <v>2214</v>
      </c>
      <c r="Q529" s="52" t="s">
        <v>2214</v>
      </c>
      <c r="R529" s="737"/>
      <c r="S529" s="735"/>
      <c r="T529" s="737"/>
      <c r="U529" s="737"/>
    </row>
    <row r="530">
      <c r="A530" s="733">
        <v>44866.0</v>
      </c>
      <c r="B530" s="52" t="str">
        <f t="shared" si="1"/>
        <v>11/2022</v>
      </c>
      <c r="C530" s="52" t="str">
        <f>IF(A530="","",VLOOKUP(A530,'THAM CHIẾU'!$A:$B,2,0))</f>
        <v>#N/A</v>
      </c>
      <c r="D530" s="52" t="str">
        <f>IF(E530&lt;&gt;0,VLOOKUP(E530,DM_DUAN,3,0),"")</f>
        <v>TRANANH</v>
      </c>
      <c r="E530" s="735" t="s">
        <v>2072</v>
      </c>
      <c r="F530" s="735"/>
      <c r="G530" s="735"/>
      <c r="H530" s="735"/>
      <c r="I530" s="735"/>
      <c r="J530" s="52" t="s">
        <v>2214</v>
      </c>
      <c r="K530" s="52" t="s">
        <v>2214</v>
      </c>
      <c r="L530" s="735" t="s">
        <v>198</v>
      </c>
      <c r="M530" s="68"/>
      <c r="N530" s="738">
        <v>1.3333333E10</v>
      </c>
      <c r="O530" s="735"/>
      <c r="P530" s="52" t="s">
        <v>2214</v>
      </c>
      <c r="Q530" s="52" t="s">
        <v>2214</v>
      </c>
      <c r="R530" s="737"/>
      <c r="S530" s="735"/>
      <c r="T530" s="737"/>
      <c r="U530" s="737"/>
    </row>
    <row r="531">
      <c r="A531" s="733">
        <v>44866.0</v>
      </c>
      <c r="B531" s="52" t="str">
        <f t="shared" si="1"/>
        <v>11/2022</v>
      </c>
      <c r="C531" s="52" t="str">
        <f>IF(A531="","",VLOOKUP(A531,'THAM CHIẾU'!$A:$B,2,0))</f>
        <v>#N/A</v>
      </c>
      <c r="D531" s="52" t="str">
        <f>IF(E531&lt;&gt;0,VLOOKUP(E531,DM_DUAN,3,0),"")</f>
        <v>PHITRUONG</v>
      </c>
      <c r="E531" s="735" t="s">
        <v>2073</v>
      </c>
      <c r="F531" s="735"/>
      <c r="G531" s="735"/>
      <c r="H531" s="735"/>
      <c r="I531" s="735"/>
      <c r="J531" s="52" t="s">
        <v>2214</v>
      </c>
      <c r="K531" s="52" t="s">
        <v>2214</v>
      </c>
      <c r="L531" s="735" t="s">
        <v>198</v>
      </c>
      <c r="M531" s="68"/>
      <c r="N531" s="738">
        <v>5.3333333E10</v>
      </c>
      <c r="O531" s="735"/>
      <c r="P531" s="52" t="s">
        <v>2214</v>
      </c>
      <c r="Q531" s="52" t="s">
        <v>2214</v>
      </c>
      <c r="R531" s="737"/>
      <c r="S531" s="735"/>
      <c r="T531" s="737"/>
      <c r="U531" s="737"/>
    </row>
    <row r="532">
      <c r="A532" s="733">
        <v>44866.0</v>
      </c>
      <c r="B532" s="52" t="str">
        <f t="shared" si="1"/>
        <v>11/2022</v>
      </c>
      <c r="C532" s="52" t="str">
        <f>IF(A532="","",VLOOKUP(A532,'THAM CHIẾU'!$A:$B,2,0))</f>
        <v>#N/A</v>
      </c>
      <c r="D532" s="52" t="str">
        <f>IF(E532&lt;&gt;0,VLOOKUP(E532,DM_DUAN,3,0),"")</f>
        <v>HOANGCAT</v>
      </c>
      <c r="E532" s="735" t="s">
        <v>2074</v>
      </c>
      <c r="F532" s="735"/>
      <c r="G532" s="735"/>
      <c r="H532" s="735"/>
      <c r="I532" s="735"/>
      <c r="J532" s="52" t="s">
        <v>2214</v>
      </c>
      <c r="K532" s="52" t="s">
        <v>2214</v>
      </c>
      <c r="L532" s="735" t="s">
        <v>198</v>
      </c>
      <c r="M532" s="68"/>
      <c r="N532" s="738">
        <v>2.6666666E10</v>
      </c>
      <c r="O532" s="735"/>
      <c r="P532" s="52" t="s">
        <v>2214</v>
      </c>
      <c r="Q532" s="52" t="s">
        <v>2214</v>
      </c>
      <c r="R532" s="737"/>
      <c r="S532" s="735"/>
      <c r="T532" s="737"/>
      <c r="U532" s="737"/>
    </row>
    <row r="533">
      <c r="A533" s="733">
        <v>44866.0</v>
      </c>
      <c r="B533" s="52" t="str">
        <f t="shared" si="1"/>
        <v>11/2022</v>
      </c>
      <c r="C533" s="52" t="str">
        <f>IF(A533="","",VLOOKUP(A533,'THAM CHIẾU'!$A:$B,2,0))</f>
        <v>#N/A</v>
      </c>
      <c r="D533" s="52" t="str">
        <f>IF(E533&lt;&gt;0,VLOOKUP(E533,DM_DUAN,3,0),"")</f>
        <v>THANHNAM</v>
      </c>
      <c r="E533" s="735" t="s">
        <v>175</v>
      </c>
      <c r="F533" s="735"/>
      <c r="G533" s="735"/>
      <c r="H533" s="735"/>
      <c r="I533" s="735"/>
      <c r="J533" s="52" t="s">
        <v>2214</v>
      </c>
      <c r="K533" s="52" t="s">
        <v>2214</v>
      </c>
      <c r="L533" s="735" t="s">
        <v>187</v>
      </c>
      <c r="M533" s="68"/>
      <c r="N533" s="738">
        <v>1.23999996E9</v>
      </c>
      <c r="O533" s="735"/>
      <c r="P533" s="52" t="s">
        <v>2214</v>
      </c>
      <c r="Q533" s="52" t="s">
        <v>2214</v>
      </c>
      <c r="R533" s="737"/>
      <c r="S533" s="735"/>
      <c r="T533" s="737"/>
      <c r="U533" s="737"/>
    </row>
    <row r="534">
      <c r="A534" s="733">
        <v>44866.0</v>
      </c>
      <c r="B534" s="52" t="str">
        <f t="shared" si="1"/>
        <v>11/2022</v>
      </c>
      <c r="C534" s="52" t="str">
        <f>IF(A534="","",VLOOKUP(A534,'THAM CHIẾU'!$A:$B,2,0))</f>
        <v>#N/A</v>
      </c>
      <c r="D534" s="52" t="str">
        <f>IF(E534&lt;&gt;0,VLOOKUP(E534,DM_DUAN,3,0),"")</f>
        <v>NAMPHONG</v>
      </c>
      <c r="E534" s="735" t="s">
        <v>2067</v>
      </c>
      <c r="F534" s="735"/>
      <c r="G534" s="735"/>
      <c r="H534" s="735"/>
      <c r="I534" s="735"/>
      <c r="J534" s="52" t="s">
        <v>2214</v>
      </c>
      <c r="K534" s="52" t="s">
        <v>2214</v>
      </c>
      <c r="L534" s="735" t="s">
        <v>187</v>
      </c>
      <c r="M534" s="68"/>
      <c r="N534" s="738">
        <v>4.8E9</v>
      </c>
      <c r="O534" s="735"/>
      <c r="P534" s="52" t="s">
        <v>2214</v>
      </c>
      <c r="Q534" s="52" t="s">
        <v>2214</v>
      </c>
      <c r="R534" s="737"/>
      <c r="S534" s="735"/>
      <c r="T534" s="737"/>
      <c r="U534" s="737"/>
    </row>
    <row r="535">
      <c r="A535" s="733">
        <v>44866.0</v>
      </c>
      <c r="B535" s="52" t="str">
        <f t="shared" si="1"/>
        <v>11/2022</v>
      </c>
      <c r="C535" s="52" t="str">
        <f>IF(A535="","",VLOOKUP(A535,'THAM CHIẾU'!$A:$B,2,0))</f>
        <v>#N/A</v>
      </c>
      <c r="D535" s="52" t="str">
        <f>IF(E535&lt;&gt;0,VLOOKUP(E535,DM_DUAN,3,0),"")</f>
        <v>NAMSAIGON</v>
      </c>
      <c r="E535" s="735" t="s">
        <v>215</v>
      </c>
      <c r="F535" s="735"/>
      <c r="G535" s="735"/>
      <c r="H535" s="735"/>
      <c r="I535" s="735"/>
      <c r="J535" s="52" t="s">
        <v>2214</v>
      </c>
      <c r="K535" s="52" t="s">
        <v>2214</v>
      </c>
      <c r="L535" s="735" t="s">
        <v>187</v>
      </c>
      <c r="M535" s="68"/>
      <c r="N535" s="738">
        <v>1.59999996E9</v>
      </c>
      <c r="O535" s="735"/>
      <c r="P535" s="52" t="s">
        <v>2214</v>
      </c>
      <c r="Q535" s="52" t="s">
        <v>2214</v>
      </c>
      <c r="R535" s="737"/>
      <c r="S535" s="735"/>
      <c r="T535" s="737"/>
      <c r="U535" s="737"/>
    </row>
    <row r="536">
      <c r="A536" s="733">
        <v>44866.0</v>
      </c>
      <c r="B536" s="52" t="str">
        <f t="shared" si="1"/>
        <v>11/2022</v>
      </c>
      <c r="C536" s="52" t="str">
        <f>IF(A536="","",VLOOKUP(A536,'THAM CHIẾU'!$A:$B,2,0))</f>
        <v>#N/A</v>
      </c>
      <c r="D536" s="52" t="str">
        <f>IF(E536&lt;&gt;0,VLOOKUP(E536,DM_DUAN,3,0),"")</f>
        <v>#N/A</v>
      </c>
      <c r="E536" s="735" t="s">
        <v>2069</v>
      </c>
      <c r="F536" s="735"/>
      <c r="G536" s="735"/>
      <c r="H536" s="735"/>
      <c r="I536" s="735"/>
      <c r="J536" s="52" t="s">
        <v>2214</v>
      </c>
      <c r="K536" s="52" t="s">
        <v>2214</v>
      </c>
      <c r="L536" s="735" t="s">
        <v>187</v>
      </c>
      <c r="M536" s="68"/>
      <c r="N536" s="738">
        <v>0.0</v>
      </c>
      <c r="O536" s="735"/>
      <c r="P536" s="52" t="s">
        <v>2214</v>
      </c>
      <c r="Q536" s="52" t="s">
        <v>2214</v>
      </c>
      <c r="R536" s="737"/>
      <c r="S536" s="735"/>
      <c r="T536" s="737"/>
      <c r="U536" s="737"/>
    </row>
    <row r="537">
      <c r="A537" s="733">
        <v>44866.0</v>
      </c>
      <c r="B537" s="52" t="str">
        <f t="shared" si="1"/>
        <v>11/2022</v>
      </c>
      <c r="C537" s="52" t="str">
        <f>IF(A537="","",VLOOKUP(A537,'THAM CHIẾU'!$A:$B,2,0))</f>
        <v>#N/A</v>
      </c>
      <c r="D537" s="52" t="str">
        <f>IF(E537&lt;&gt;0,VLOOKUP(E537,DM_DUAN,3,0),"")</f>
        <v>KHANGVUONG</v>
      </c>
      <c r="E537" s="735" t="s">
        <v>2070</v>
      </c>
      <c r="F537" s="735"/>
      <c r="G537" s="735"/>
      <c r="H537" s="735"/>
      <c r="I537" s="735"/>
      <c r="J537" s="52" t="s">
        <v>2214</v>
      </c>
      <c r="K537" s="52" t="s">
        <v>2214</v>
      </c>
      <c r="L537" s="735" t="s">
        <v>187</v>
      </c>
      <c r="M537" s="68"/>
      <c r="N537" s="738">
        <v>7.9999992E8</v>
      </c>
      <c r="O537" s="735"/>
      <c r="P537" s="52" t="s">
        <v>2214</v>
      </c>
      <c r="Q537" s="52" t="s">
        <v>2214</v>
      </c>
      <c r="R537" s="737"/>
      <c r="S537" s="735"/>
      <c r="T537" s="737"/>
      <c r="U537" s="737"/>
    </row>
    <row r="538">
      <c r="A538" s="733">
        <v>44866.0</v>
      </c>
      <c r="B538" s="52" t="str">
        <f t="shared" si="1"/>
        <v>11/2022</v>
      </c>
      <c r="C538" s="52" t="str">
        <f>IF(A538="","",VLOOKUP(A538,'THAM CHIẾU'!$A:$B,2,0))</f>
        <v>#N/A</v>
      </c>
      <c r="D538" s="52" t="str">
        <f>IF(E538&lt;&gt;0,VLOOKUP(E538,DM_DUAN,3,0),"")</f>
        <v>PHUGIATHINH</v>
      </c>
      <c r="E538" s="735" t="s">
        <v>404</v>
      </c>
      <c r="F538" s="735"/>
      <c r="G538" s="735"/>
      <c r="H538" s="735"/>
      <c r="I538" s="735"/>
      <c r="J538" s="52" t="s">
        <v>2214</v>
      </c>
      <c r="K538" s="52" t="s">
        <v>2214</v>
      </c>
      <c r="L538" s="735" t="s">
        <v>187</v>
      </c>
      <c r="M538" s="68"/>
      <c r="N538" s="738">
        <v>7.9999992E8</v>
      </c>
      <c r="O538" s="735"/>
      <c r="P538" s="52" t="s">
        <v>2214</v>
      </c>
      <c r="Q538" s="52" t="s">
        <v>2214</v>
      </c>
      <c r="R538" s="737"/>
      <c r="S538" s="735"/>
      <c r="T538" s="737"/>
      <c r="U538" s="737"/>
    </row>
    <row r="539">
      <c r="A539" s="733">
        <v>44866.0</v>
      </c>
      <c r="B539" s="52" t="str">
        <f t="shared" si="1"/>
        <v>11/2022</v>
      </c>
      <c r="C539" s="52" t="str">
        <f>IF(A539="","",VLOOKUP(A539,'THAM CHIẾU'!$A:$B,2,0))</f>
        <v>#N/A</v>
      </c>
      <c r="D539" s="52" t="str">
        <f>IF(E539&lt;&gt;0,VLOOKUP(E539,DM_DUAN,3,0),"")</f>
        <v>TRANANH</v>
      </c>
      <c r="E539" s="735" t="s">
        <v>2072</v>
      </c>
      <c r="F539" s="735"/>
      <c r="G539" s="735"/>
      <c r="H539" s="735"/>
      <c r="I539" s="735"/>
      <c r="J539" s="52" t="s">
        <v>2214</v>
      </c>
      <c r="K539" s="52" t="s">
        <v>2214</v>
      </c>
      <c r="L539" s="735" t="s">
        <v>187</v>
      </c>
      <c r="M539" s="68"/>
      <c r="N539" s="738">
        <v>1.59999996E9</v>
      </c>
      <c r="O539" s="735"/>
      <c r="P539" s="52" t="s">
        <v>2214</v>
      </c>
      <c r="Q539" s="52" t="s">
        <v>2214</v>
      </c>
      <c r="R539" s="737"/>
      <c r="S539" s="735"/>
      <c r="T539" s="737"/>
      <c r="U539" s="737"/>
    </row>
    <row r="540">
      <c r="A540" s="733">
        <v>44866.0</v>
      </c>
      <c r="B540" s="52" t="str">
        <f t="shared" si="1"/>
        <v>11/2022</v>
      </c>
      <c r="C540" s="52" t="str">
        <f>IF(A540="","",VLOOKUP(A540,'THAM CHIẾU'!$A:$B,2,0))</f>
        <v>#N/A</v>
      </c>
      <c r="D540" s="52" t="str">
        <f>IF(E540&lt;&gt;0,VLOOKUP(E540,DM_DUAN,3,0),"")</f>
        <v>PHITRUONG</v>
      </c>
      <c r="E540" s="735" t="s">
        <v>2073</v>
      </c>
      <c r="F540" s="735"/>
      <c r="G540" s="735"/>
      <c r="H540" s="735"/>
      <c r="I540" s="735"/>
      <c r="J540" s="52" t="s">
        <v>2214</v>
      </c>
      <c r="K540" s="52" t="s">
        <v>2214</v>
      </c>
      <c r="L540" s="735" t="s">
        <v>187</v>
      </c>
      <c r="M540" s="68"/>
      <c r="N540" s="738">
        <v>6.39999996E9</v>
      </c>
      <c r="O540" s="735"/>
      <c r="P540" s="52" t="s">
        <v>2214</v>
      </c>
      <c r="Q540" s="52" t="s">
        <v>2214</v>
      </c>
      <c r="R540" s="737"/>
      <c r="S540" s="735"/>
      <c r="T540" s="737"/>
      <c r="U540" s="737"/>
    </row>
    <row r="541">
      <c r="A541" s="733">
        <v>44866.0</v>
      </c>
      <c r="B541" s="52" t="str">
        <f t="shared" si="1"/>
        <v>11/2022</v>
      </c>
      <c r="C541" s="52" t="str">
        <f>IF(A541="","",VLOOKUP(A541,'THAM CHIẾU'!$A:$B,2,0))</f>
        <v>#N/A</v>
      </c>
      <c r="D541" s="52" t="str">
        <f>IF(E541&lt;&gt;0,VLOOKUP(E541,DM_DUAN,3,0),"")</f>
        <v>HOANGCAT</v>
      </c>
      <c r="E541" s="735" t="s">
        <v>2074</v>
      </c>
      <c r="F541" s="735"/>
      <c r="G541" s="735"/>
      <c r="H541" s="735"/>
      <c r="I541" s="735"/>
      <c r="J541" s="52" t="s">
        <v>2214</v>
      </c>
      <c r="K541" s="52" t="s">
        <v>2214</v>
      </c>
      <c r="L541" s="735" t="s">
        <v>187</v>
      </c>
      <c r="M541" s="68"/>
      <c r="N541" s="738">
        <v>3.19999992E9</v>
      </c>
      <c r="O541" s="735"/>
      <c r="P541" s="52" t="s">
        <v>2214</v>
      </c>
      <c r="Q541" s="52" t="s">
        <v>2214</v>
      </c>
      <c r="R541" s="737"/>
      <c r="S541" s="735"/>
      <c r="T541" s="737"/>
      <c r="U541" s="737"/>
    </row>
    <row r="542">
      <c r="A542" s="733">
        <v>44866.0</v>
      </c>
      <c r="B542" s="52" t="str">
        <f t="shared" si="1"/>
        <v>11/2022</v>
      </c>
      <c r="C542" s="52" t="str">
        <f>IF(A542="","",VLOOKUP(A542,'THAM CHIẾU'!$A:$B,2,0))</f>
        <v>#N/A</v>
      </c>
      <c r="D542" s="52" t="str">
        <f>IF(E542&lt;&gt;0,VLOOKUP(E542,DM_DUAN,3,0),"")</f>
        <v/>
      </c>
      <c r="E542" s="735"/>
      <c r="F542" s="735"/>
      <c r="G542" s="735" t="s">
        <v>207</v>
      </c>
      <c r="H542" s="735"/>
      <c r="I542" s="735"/>
      <c r="J542" s="52" t="s">
        <v>2214</v>
      </c>
      <c r="K542" s="52" t="s">
        <v>2214</v>
      </c>
      <c r="L542" s="735" t="s">
        <v>2215</v>
      </c>
      <c r="M542" s="68"/>
      <c r="N542" s="738">
        <v>43000.0</v>
      </c>
      <c r="O542" s="735"/>
      <c r="P542" s="52" t="s">
        <v>2214</v>
      </c>
      <c r="Q542" s="52" t="s">
        <v>2214</v>
      </c>
      <c r="R542" s="737"/>
      <c r="S542" s="735"/>
      <c r="T542" s="737" t="s">
        <v>2216</v>
      </c>
      <c r="U542" s="737"/>
    </row>
    <row r="543">
      <c r="A543" s="733">
        <v>44866.0</v>
      </c>
      <c r="B543" s="52" t="str">
        <f t="shared" si="1"/>
        <v>11/2022</v>
      </c>
      <c r="C543" s="52" t="str">
        <f>IF(A543="","",VLOOKUP(A543,'THAM CHIẾU'!$A:$B,2,0))</f>
        <v>#N/A</v>
      </c>
      <c r="D543" s="52" t="str">
        <f>IF(E543&lt;&gt;0,VLOOKUP(E543,DM_DUAN,3,0),"")</f>
        <v/>
      </c>
      <c r="E543" s="735"/>
      <c r="F543" s="735"/>
      <c r="G543" s="735"/>
      <c r="H543" s="735"/>
      <c r="I543" s="735"/>
      <c r="J543" s="52" t="s">
        <v>2214</v>
      </c>
      <c r="K543" s="52" t="s">
        <v>2214</v>
      </c>
      <c r="L543" s="735" t="s">
        <v>419</v>
      </c>
      <c r="M543" s="68"/>
      <c r="N543" s="738">
        <v>166000.0</v>
      </c>
      <c r="O543" s="735"/>
      <c r="P543" s="52" t="s">
        <v>2214</v>
      </c>
      <c r="Q543" s="52" t="s">
        <v>2214</v>
      </c>
      <c r="R543" s="737"/>
      <c r="S543" s="735"/>
      <c r="T543" s="737" t="s">
        <v>2217</v>
      </c>
      <c r="U543" s="737"/>
    </row>
    <row r="544">
      <c r="A544" s="733">
        <v>44866.0</v>
      </c>
      <c r="B544" s="52" t="str">
        <f t="shared" si="1"/>
        <v>11/2022</v>
      </c>
      <c r="C544" s="52" t="str">
        <f>IF(A544="","",VLOOKUP(A544,'THAM CHIẾU'!$A:$B,2,0))</f>
        <v>#N/A</v>
      </c>
      <c r="D544" s="52" t="str">
        <f>IF(E544&lt;&gt;0,VLOOKUP(E544,DM_DUAN,3,0),"")</f>
        <v/>
      </c>
      <c r="E544" s="735"/>
      <c r="F544" s="735"/>
      <c r="G544" s="735"/>
      <c r="H544" s="735"/>
      <c r="I544" s="735"/>
      <c r="J544" s="52" t="s">
        <v>2214</v>
      </c>
      <c r="K544" s="52" t="s">
        <v>2214</v>
      </c>
      <c r="L544" s="735" t="s">
        <v>573</v>
      </c>
      <c r="M544" s="68"/>
      <c r="N544" s="738">
        <v>250000.0</v>
      </c>
      <c r="O544" s="735"/>
      <c r="P544" s="52" t="s">
        <v>2214</v>
      </c>
      <c r="Q544" s="52" t="s">
        <v>2214</v>
      </c>
      <c r="R544" s="737"/>
      <c r="S544" s="735"/>
      <c r="T544" s="737" t="s">
        <v>2218</v>
      </c>
      <c r="U544" s="737"/>
    </row>
    <row r="545">
      <c r="A545" s="733">
        <v>44866.0</v>
      </c>
      <c r="B545" s="52" t="str">
        <f t="shared" si="1"/>
        <v>11/2022</v>
      </c>
      <c r="C545" s="52" t="str">
        <f>IF(A545="","",VLOOKUP(A545,'THAM CHIẾU'!$A:$B,2,0))</f>
        <v>#N/A</v>
      </c>
      <c r="D545" s="52" t="str">
        <f>IF(E545&lt;&gt;0,VLOOKUP(E545,DM_DUAN,3,0),"")</f>
        <v/>
      </c>
      <c r="E545" s="735"/>
      <c r="F545" s="735"/>
      <c r="G545" s="735"/>
      <c r="H545" s="735"/>
      <c r="I545" s="735"/>
      <c r="J545" s="52" t="s">
        <v>2214</v>
      </c>
      <c r="K545" s="52" t="s">
        <v>2214</v>
      </c>
      <c r="L545" s="735" t="s">
        <v>1273</v>
      </c>
      <c r="M545" s="68"/>
      <c r="N545" s="738">
        <v>328000.0</v>
      </c>
      <c r="O545" s="735"/>
      <c r="P545" s="52" t="s">
        <v>2214</v>
      </c>
      <c r="Q545" s="52" t="s">
        <v>2214</v>
      </c>
      <c r="R545" s="737"/>
      <c r="S545" s="735"/>
      <c r="T545" s="737" t="s">
        <v>1273</v>
      </c>
      <c r="U545" s="737"/>
    </row>
    <row r="546">
      <c r="A546" s="733">
        <v>44866.0</v>
      </c>
      <c r="B546" s="52" t="str">
        <f t="shared" si="1"/>
        <v>11/2022</v>
      </c>
      <c r="C546" s="52" t="str">
        <f>IF(A546="","",VLOOKUP(A546,'THAM CHIẾU'!$A:$B,2,0))</f>
        <v>#N/A</v>
      </c>
      <c r="D546" s="52" t="str">
        <f>IF(E546&lt;&gt;0,VLOOKUP(E546,DM_DUAN,3,0),"")</f>
        <v/>
      </c>
      <c r="E546" s="735"/>
      <c r="F546" s="735"/>
      <c r="G546" s="735"/>
      <c r="H546" s="735"/>
      <c r="I546" s="735"/>
      <c r="J546" s="52" t="s">
        <v>2214</v>
      </c>
      <c r="K546" s="52" t="s">
        <v>2214</v>
      </c>
      <c r="L546" s="735" t="s">
        <v>1153</v>
      </c>
      <c r="M546" s="68"/>
      <c r="N546" s="738">
        <v>8333000.0</v>
      </c>
      <c r="O546" s="735"/>
      <c r="P546" s="52" t="s">
        <v>2214</v>
      </c>
      <c r="Q546" s="52" t="s">
        <v>2214</v>
      </c>
      <c r="R546" s="737"/>
      <c r="S546" s="735"/>
      <c r="T546" s="737" t="s">
        <v>2219</v>
      </c>
      <c r="U546" s="737"/>
    </row>
    <row r="547">
      <c r="A547" s="733">
        <v>44866.0</v>
      </c>
      <c r="B547" s="52" t="str">
        <f t="shared" si="1"/>
        <v>11/2022</v>
      </c>
      <c r="C547" s="52" t="str">
        <f>IF(A547="","",VLOOKUP(A547,'THAM CHIẾU'!$A:$B,2,0))</f>
        <v>#N/A</v>
      </c>
      <c r="D547" s="52" t="str">
        <f>IF(E547&lt;&gt;0,VLOOKUP(E547,DM_DUAN,3,0),"")</f>
        <v/>
      </c>
      <c r="E547" s="735"/>
      <c r="F547" s="735"/>
      <c r="G547" s="735"/>
      <c r="H547" s="735"/>
      <c r="I547" s="735"/>
      <c r="J547" s="52" t="s">
        <v>2214</v>
      </c>
      <c r="K547" s="52" t="s">
        <v>2214</v>
      </c>
      <c r="L547" s="735" t="s">
        <v>2220</v>
      </c>
      <c r="M547" s="68"/>
      <c r="N547" s="738">
        <v>416000.0</v>
      </c>
      <c r="O547" s="735"/>
      <c r="P547" s="52" t="s">
        <v>2214</v>
      </c>
      <c r="Q547" s="52" t="s">
        <v>2214</v>
      </c>
      <c r="R547" s="737"/>
      <c r="S547" s="735"/>
      <c r="T547" s="737" t="s">
        <v>2221</v>
      </c>
      <c r="U547" s="737"/>
    </row>
    <row r="548">
      <c r="A548" s="733">
        <v>44866.0</v>
      </c>
      <c r="B548" s="52" t="str">
        <f t="shared" si="1"/>
        <v>11/2022</v>
      </c>
      <c r="C548" s="52" t="str">
        <f>IF(A548="","",VLOOKUP(A548,'THAM CHIẾU'!$A:$B,2,0))</f>
        <v>#N/A</v>
      </c>
      <c r="D548" s="52" t="str">
        <f>IF(E548&lt;&gt;0,VLOOKUP(E548,DM_DUAN,3,0),"")</f>
        <v/>
      </c>
      <c r="E548" s="735"/>
      <c r="F548" s="735"/>
      <c r="G548" s="735"/>
      <c r="H548" s="735"/>
      <c r="I548" s="735"/>
      <c r="J548" s="52" t="s">
        <v>2214</v>
      </c>
      <c r="K548" s="52" t="s">
        <v>2214</v>
      </c>
      <c r="L548" s="735" t="s">
        <v>262</v>
      </c>
      <c r="M548" s="68"/>
      <c r="N548" s="738">
        <v>833000.0</v>
      </c>
      <c r="O548" s="735"/>
      <c r="P548" s="52" t="s">
        <v>2214</v>
      </c>
      <c r="Q548" s="52" t="s">
        <v>2214</v>
      </c>
      <c r="R548" s="737"/>
      <c r="S548" s="735"/>
      <c r="T548" s="737" t="s">
        <v>2222</v>
      </c>
      <c r="U548" s="737"/>
    </row>
    <row r="549">
      <c r="A549" s="733">
        <v>44866.0</v>
      </c>
      <c r="B549" s="52" t="str">
        <f t="shared" si="1"/>
        <v>11/2022</v>
      </c>
      <c r="C549" s="52" t="str">
        <f>IF(A549="","",VLOOKUP(A549,'THAM CHIẾU'!$A:$B,2,0))</f>
        <v>#N/A</v>
      </c>
      <c r="D549" s="52" t="str">
        <f>IF(E549&lt;&gt;0,VLOOKUP(E549,DM_DUAN,3,0),"")</f>
        <v/>
      </c>
      <c r="E549" s="735"/>
      <c r="F549" s="735"/>
      <c r="G549" s="735"/>
      <c r="H549" s="735"/>
      <c r="I549" s="735"/>
      <c r="J549" s="52" t="s">
        <v>2214</v>
      </c>
      <c r="K549" s="52" t="s">
        <v>2214</v>
      </c>
      <c r="L549" s="735" t="s">
        <v>2223</v>
      </c>
      <c r="M549" s="68"/>
      <c r="N549" s="738">
        <v>4166000.0</v>
      </c>
      <c r="O549" s="735"/>
      <c r="P549" s="52" t="s">
        <v>2214</v>
      </c>
      <c r="Q549" s="52" t="s">
        <v>2214</v>
      </c>
      <c r="R549" s="737"/>
      <c r="S549" s="735"/>
      <c r="T549" s="737" t="s">
        <v>2224</v>
      </c>
      <c r="U549" s="737"/>
    </row>
    <row r="550">
      <c r="A550" s="733">
        <v>44866.0</v>
      </c>
      <c r="B550" s="52" t="str">
        <f t="shared" si="1"/>
        <v>11/2022</v>
      </c>
      <c r="C550" s="52" t="str">
        <f>IF(A550="","",VLOOKUP(A550,'THAM CHIẾU'!$A:$B,2,0))</f>
        <v>#N/A</v>
      </c>
      <c r="D550" s="52" t="str">
        <f>IF(E550&lt;&gt;0,VLOOKUP(E550,DM_DUAN,3,0),"")</f>
        <v/>
      </c>
      <c r="E550" s="735"/>
      <c r="F550" s="735"/>
      <c r="G550" s="735" t="s">
        <v>176</v>
      </c>
      <c r="H550" s="735"/>
      <c r="I550" s="735"/>
      <c r="J550" s="52" t="s">
        <v>2214</v>
      </c>
      <c r="K550" s="52" t="s">
        <v>2214</v>
      </c>
      <c r="L550" s="735" t="s">
        <v>374</v>
      </c>
      <c r="M550" s="68"/>
      <c r="N550" s="738">
        <v>1666000.0</v>
      </c>
      <c r="O550" s="735"/>
      <c r="P550" s="52" t="s">
        <v>2214</v>
      </c>
      <c r="Q550" s="52" t="s">
        <v>2214</v>
      </c>
      <c r="R550" s="737"/>
      <c r="S550" s="735"/>
      <c r="T550" s="737" t="s">
        <v>2225</v>
      </c>
      <c r="U550" s="737"/>
    </row>
    <row r="551">
      <c r="A551" s="733">
        <v>44866.0</v>
      </c>
      <c r="B551" s="52" t="str">
        <f t="shared" si="1"/>
        <v>11/2022</v>
      </c>
      <c r="C551" s="52" t="str">
        <f>IF(A551="","",VLOOKUP(A551,'THAM CHIẾU'!$A:$B,2,0))</f>
        <v>#N/A</v>
      </c>
      <c r="D551" s="52" t="str">
        <f>IF(E551&lt;&gt;0,VLOOKUP(E551,DM_DUAN,3,0),"")</f>
        <v/>
      </c>
      <c r="E551" s="735"/>
      <c r="F551" s="735"/>
      <c r="G551" s="735"/>
      <c r="H551" s="735"/>
      <c r="I551" s="735"/>
      <c r="J551" s="52" t="s">
        <v>2214</v>
      </c>
      <c r="K551" s="52" t="s">
        <v>2214</v>
      </c>
      <c r="L551" s="735" t="s">
        <v>380</v>
      </c>
      <c r="M551" s="68"/>
      <c r="N551" s="738">
        <v>1666000.0</v>
      </c>
      <c r="O551" s="735"/>
      <c r="P551" s="52" t="s">
        <v>2214</v>
      </c>
      <c r="Q551" s="52" t="s">
        <v>2214</v>
      </c>
      <c r="R551" s="737"/>
      <c r="S551" s="735"/>
      <c r="T551" s="737" t="s">
        <v>2226</v>
      </c>
      <c r="U551" s="737"/>
    </row>
    <row r="552">
      <c r="A552" s="733">
        <v>44866.0</v>
      </c>
      <c r="B552" s="52" t="str">
        <f t="shared" si="1"/>
        <v>11/2022</v>
      </c>
      <c r="C552" s="52" t="str">
        <f>IF(A552="","",VLOOKUP(A552,'THAM CHIẾU'!$A:$B,2,0))</f>
        <v>#N/A</v>
      </c>
      <c r="D552" s="52" t="str">
        <f>IF(E552&lt;&gt;0,VLOOKUP(E552,DM_DUAN,3,0),"")</f>
        <v/>
      </c>
      <c r="E552" s="735"/>
      <c r="F552" s="735"/>
      <c r="G552" s="735"/>
      <c r="H552" s="735"/>
      <c r="I552" s="735"/>
      <c r="J552" s="52" t="s">
        <v>2214</v>
      </c>
      <c r="K552" s="52" t="s">
        <v>2214</v>
      </c>
      <c r="L552" s="735" t="s">
        <v>272</v>
      </c>
      <c r="M552" s="68"/>
      <c r="N552" s="738">
        <v>6666000.0</v>
      </c>
      <c r="O552" s="735"/>
      <c r="P552" s="52" t="s">
        <v>2214</v>
      </c>
      <c r="Q552" s="52" t="s">
        <v>2214</v>
      </c>
      <c r="R552" s="737"/>
      <c r="S552" s="735"/>
      <c r="T552" s="737" t="s">
        <v>2227</v>
      </c>
      <c r="U552" s="737"/>
    </row>
    <row r="553">
      <c r="A553" s="733">
        <v>44866.0</v>
      </c>
      <c r="B553" s="52" t="str">
        <f t="shared" si="1"/>
        <v>11/2022</v>
      </c>
      <c r="C553" s="52" t="str">
        <f>IF(A553="","",VLOOKUP(A553,'THAM CHIẾU'!$A:$B,2,0))</f>
        <v>#N/A</v>
      </c>
      <c r="D553" s="52" t="str">
        <f>IF(E553&lt;&gt;0,VLOOKUP(E553,DM_DUAN,3,0),"")</f>
        <v/>
      </c>
      <c r="E553" s="735"/>
      <c r="F553" s="735"/>
      <c r="G553" s="735"/>
      <c r="H553" s="735"/>
      <c r="I553" s="735"/>
      <c r="J553" s="52" t="s">
        <v>2214</v>
      </c>
      <c r="K553" s="52" t="s">
        <v>2214</v>
      </c>
      <c r="L553" s="735" t="s">
        <v>380</v>
      </c>
      <c r="M553" s="68"/>
      <c r="N553" s="738">
        <v>833000.0</v>
      </c>
      <c r="O553" s="735"/>
      <c r="P553" s="52" t="s">
        <v>2214</v>
      </c>
      <c r="Q553" s="52" t="s">
        <v>2214</v>
      </c>
      <c r="R553" s="737"/>
      <c r="S553" s="735"/>
      <c r="T553" s="737" t="s">
        <v>2228</v>
      </c>
      <c r="U553" s="737"/>
    </row>
    <row r="554">
      <c r="A554" s="733">
        <v>44866.0</v>
      </c>
      <c r="B554" s="52" t="str">
        <f t="shared" si="1"/>
        <v>11/2022</v>
      </c>
      <c r="C554" s="52" t="str">
        <f>IF(A554="","",VLOOKUP(A554,'THAM CHIẾU'!$A:$B,2,0))</f>
        <v>#N/A</v>
      </c>
      <c r="D554" s="52" t="str">
        <f>IF(E554&lt;&gt;0,VLOOKUP(E554,DM_DUAN,3,0),"")</f>
        <v/>
      </c>
      <c r="E554" s="735"/>
      <c r="F554" s="735"/>
      <c r="G554" s="735"/>
      <c r="H554" s="735"/>
      <c r="I554" s="735"/>
      <c r="J554" s="52" t="s">
        <v>2214</v>
      </c>
      <c r="K554" s="52" t="s">
        <v>2214</v>
      </c>
      <c r="L554" s="735" t="s">
        <v>222</v>
      </c>
      <c r="M554" s="68"/>
      <c r="N554" s="738">
        <v>416000.0</v>
      </c>
      <c r="O554" s="735"/>
      <c r="P554" s="52" t="s">
        <v>2214</v>
      </c>
      <c r="Q554" s="52" t="s">
        <v>2214</v>
      </c>
      <c r="R554" s="737"/>
      <c r="S554" s="735"/>
      <c r="T554" s="737" t="s">
        <v>2229</v>
      </c>
      <c r="U554" s="737"/>
    </row>
    <row r="555">
      <c r="A555" s="733">
        <v>44866.0</v>
      </c>
      <c r="B555" s="52" t="str">
        <f t="shared" si="1"/>
        <v>11/2022</v>
      </c>
      <c r="C555" s="52" t="str">
        <f>IF(A555="","",VLOOKUP(A555,'THAM CHIẾU'!$A:$B,2,0))</f>
        <v>#N/A</v>
      </c>
      <c r="D555" s="52" t="str">
        <f>IF(E555&lt;&gt;0,VLOOKUP(E555,DM_DUAN,3,0),"")</f>
        <v/>
      </c>
      <c r="E555" s="735"/>
      <c r="F555" s="735"/>
      <c r="G555" s="735"/>
      <c r="H555" s="735"/>
      <c r="I555" s="735"/>
      <c r="J555" s="52" t="s">
        <v>2214</v>
      </c>
      <c r="K555" s="52" t="s">
        <v>2214</v>
      </c>
      <c r="L555" s="735" t="s">
        <v>267</v>
      </c>
      <c r="M555" s="68"/>
      <c r="N555" s="738">
        <v>3.184E8</v>
      </c>
      <c r="O555" s="735"/>
      <c r="P555" s="52" t="s">
        <v>2214</v>
      </c>
      <c r="Q555" s="52" t="s">
        <v>2214</v>
      </c>
      <c r="R555" s="737"/>
      <c r="S555" s="735"/>
      <c r="T555" s="737" t="s">
        <v>2230</v>
      </c>
      <c r="U555" s="737"/>
    </row>
    <row r="556">
      <c r="A556" s="733">
        <v>44866.0</v>
      </c>
      <c r="B556" s="52" t="str">
        <f t="shared" si="1"/>
        <v>11/2022</v>
      </c>
      <c r="C556" s="52" t="str">
        <f>IF(A556="","",VLOOKUP(A556,'THAM CHIẾU'!$A:$B,2,0))</f>
        <v>#N/A</v>
      </c>
      <c r="D556" s="52" t="str">
        <f>IF(E556&lt;&gt;0,VLOOKUP(E556,DM_DUAN,3,0),"")</f>
        <v/>
      </c>
      <c r="E556" s="735"/>
      <c r="F556" s="735"/>
      <c r="G556" s="735"/>
      <c r="H556" s="735"/>
      <c r="I556" s="735"/>
      <c r="J556" s="52" t="s">
        <v>2214</v>
      </c>
      <c r="K556" s="52" t="s">
        <v>2214</v>
      </c>
      <c r="L556" s="735" t="s">
        <v>270</v>
      </c>
      <c r="M556" s="68"/>
      <c r="N556" s="738">
        <v>4.5143E7</v>
      </c>
      <c r="O556" s="735"/>
      <c r="P556" s="52" t="s">
        <v>2214</v>
      </c>
      <c r="Q556" s="52" t="s">
        <v>2214</v>
      </c>
      <c r="R556" s="737"/>
      <c r="S556" s="735"/>
      <c r="T556" s="737" t="s">
        <v>2231</v>
      </c>
      <c r="U556" s="737"/>
    </row>
    <row r="557">
      <c r="A557" s="733">
        <v>44866.0</v>
      </c>
      <c r="B557" s="52" t="str">
        <f t="shared" si="1"/>
        <v>11/2022</v>
      </c>
      <c r="C557" s="52" t="str">
        <f>IF(A557="","",VLOOKUP(A557,'THAM CHIẾU'!$A:$B,2,0))</f>
        <v>#N/A</v>
      </c>
      <c r="D557" s="52" t="str">
        <f>IF(E557&lt;&gt;0,VLOOKUP(E557,DM_DUAN,3,0),"")</f>
        <v/>
      </c>
      <c r="E557" s="735"/>
      <c r="F557" s="735"/>
      <c r="G557" s="735"/>
      <c r="H557" s="735"/>
      <c r="I557" s="735"/>
      <c r="J557" s="52" t="s">
        <v>2214</v>
      </c>
      <c r="K557" s="52" t="s">
        <v>2214</v>
      </c>
      <c r="L557" s="735" t="s">
        <v>410</v>
      </c>
      <c r="M557" s="68"/>
      <c r="N557" s="738">
        <v>1250000.0</v>
      </c>
      <c r="O557" s="735"/>
      <c r="P557" s="52" t="s">
        <v>2214</v>
      </c>
      <c r="Q557" s="52" t="s">
        <v>2214</v>
      </c>
      <c r="R557" s="737"/>
      <c r="S557" s="735"/>
      <c r="T557" s="737" t="s">
        <v>410</v>
      </c>
      <c r="U557" s="737"/>
    </row>
    <row r="558">
      <c r="A558" s="733">
        <v>44866.0</v>
      </c>
      <c r="B558" s="52" t="str">
        <f t="shared" si="1"/>
        <v>11/2022</v>
      </c>
      <c r="C558" s="52" t="str">
        <f>IF(A558="","",VLOOKUP(A558,'THAM CHIẾU'!$A:$B,2,0))</f>
        <v>#N/A</v>
      </c>
      <c r="D558" s="52" t="str">
        <f>IF(E558&lt;&gt;0,VLOOKUP(E558,DM_DUAN,3,0),"")</f>
        <v/>
      </c>
      <c r="E558" s="735"/>
      <c r="F558" s="735"/>
      <c r="G558" s="735"/>
      <c r="H558" s="735"/>
      <c r="I558" s="735"/>
      <c r="J558" s="52" t="s">
        <v>2214</v>
      </c>
      <c r="K558" s="52" t="s">
        <v>2214</v>
      </c>
      <c r="L558" s="735" t="s">
        <v>252</v>
      </c>
      <c r="M558" s="68"/>
      <c r="N558" s="738">
        <v>1.6666E7</v>
      </c>
      <c r="O558" s="735"/>
      <c r="P558" s="52" t="s">
        <v>2214</v>
      </c>
      <c r="Q558" s="52" t="s">
        <v>2214</v>
      </c>
      <c r="R558" s="737"/>
      <c r="S558" s="735"/>
      <c r="T558" s="737" t="s">
        <v>2232</v>
      </c>
      <c r="U558" s="737"/>
    </row>
    <row r="559">
      <c r="A559" s="733">
        <v>44866.0</v>
      </c>
      <c r="B559" s="52" t="str">
        <f t="shared" si="1"/>
        <v>11/2022</v>
      </c>
      <c r="C559" s="52" t="str">
        <f>IF(A559="","",VLOOKUP(A559,'THAM CHIẾU'!$A:$B,2,0))</f>
        <v>#N/A</v>
      </c>
      <c r="D559" s="52" t="str">
        <f>IF(E559&lt;&gt;0,VLOOKUP(E559,DM_DUAN,3,0),"")</f>
        <v/>
      </c>
      <c r="E559" s="735"/>
      <c r="F559" s="735"/>
      <c r="G559" s="735"/>
      <c r="H559" s="735"/>
      <c r="I559" s="735"/>
      <c r="J559" s="52" t="s">
        <v>2214</v>
      </c>
      <c r="K559" s="52" t="s">
        <v>2214</v>
      </c>
      <c r="L559" s="735" t="s">
        <v>380</v>
      </c>
      <c r="M559" s="68"/>
      <c r="N559" s="738">
        <v>1666000.0</v>
      </c>
      <c r="O559" s="735"/>
      <c r="P559" s="52" t="s">
        <v>2214</v>
      </c>
      <c r="Q559" s="52" t="s">
        <v>2214</v>
      </c>
      <c r="R559" s="737"/>
      <c r="S559" s="735"/>
      <c r="T559" s="737" t="s">
        <v>2233</v>
      </c>
      <c r="U559" s="737"/>
    </row>
    <row r="560">
      <c r="A560" s="733">
        <v>44866.0</v>
      </c>
      <c r="B560" s="52" t="str">
        <f t="shared" si="1"/>
        <v>11/2022</v>
      </c>
      <c r="C560" s="52" t="str">
        <f>IF(A560="","",VLOOKUP(A560,'THAM CHIẾU'!$A:$B,2,0))</f>
        <v>#N/A</v>
      </c>
      <c r="D560" s="52" t="str">
        <f>IF(E560&lt;&gt;0,VLOOKUP(E560,DM_DUAN,3,0),"")</f>
        <v/>
      </c>
      <c r="E560" s="735"/>
      <c r="F560" s="735"/>
      <c r="G560" s="735"/>
      <c r="H560" s="735"/>
      <c r="I560" s="735"/>
      <c r="J560" s="52" t="s">
        <v>2214</v>
      </c>
      <c r="K560" s="52" t="s">
        <v>2214</v>
      </c>
      <c r="L560" s="735" t="s">
        <v>206</v>
      </c>
      <c r="M560" s="68"/>
      <c r="N560" s="738">
        <v>1703000.0</v>
      </c>
      <c r="O560" s="735"/>
      <c r="P560" s="52" t="s">
        <v>2214</v>
      </c>
      <c r="Q560" s="52" t="s">
        <v>2214</v>
      </c>
      <c r="R560" s="737"/>
      <c r="S560" s="735"/>
      <c r="T560" s="737" t="s">
        <v>206</v>
      </c>
      <c r="U560" s="737"/>
    </row>
    <row r="561">
      <c r="A561" s="733">
        <v>44866.0</v>
      </c>
      <c r="B561" s="52" t="str">
        <f t="shared" si="1"/>
        <v>11/2022</v>
      </c>
      <c r="C561" s="52" t="str">
        <f>IF(A561="","",VLOOKUP(A561,'THAM CHIẾU'!$A:$B,2,0))</f>
        <v>#N/A</v>
      </c>
      <c r="D561" s="52" t="str">
        <f>IF(E561&lt;&gt;0,VLOOKUP(E561,DM_DUAN,3,0),"")</f>
        <v/>
      </c>
      <c r="E561" s="735"/>
      <c r="F561" s="735"/>
      <c r="G561" s="735"/>
      <c r="H561" s="735"/>
      <c r="I561" s="735"/>
      <c r="J561" s="52" t="s">
        <v>2214</v>
      </c>
      <c r="K561" s="52" t="s">
        <v>2214</v>
      </c>
      <c r="L561" s="735" t="s">
        <v>226</v>
      </c>
      <c r="M561" s="68"/>
      <c r="N561" s="738">
        <v>1250000.0</v>
      </c>
      <c r="O561" s="735"/>
      <c r="P561" s="52" t="s">
        <v>2214</v>
      </c>
      <c r="Q561" s="52" t="s">
        <v>2214</v>
      </c>
      <c r="R561" s="737"/>
      <c r="S561" s="735"/>
      <c r="T561" s="737" t="s">
        <v>2234</v>
      </c>
      <c r="U561" s="737"/>
    </row>
    <row r="562">
      <c r="A562" s="733">
        <v>44866.0</v>
      </c>
      <c r="B562" s="52" t="str">
        <f t="shared" si="1"/>
        <v>11/2022</v>
      </c>
      <c r="C562" s="52" t="str">
        <f>IF(A562="","",VLOOKUP(A562,'THAM CHIẾU'!$A:$B,2,0))</f>
        <v>#N/A</v>
      </c>
      <c r="D562" s="52" t="str">
        <f>IF(E562&lt;&gt;0,VLOOKUP(E562,DM_DUAN,3,0),"")</f>
        <v/>
      </c>
      <c r="E562" s="735"/>
      <c r="F562" s="735"/>
      <c r="G562" s="735"/>
      <c r="H562" s="735"/>
      <c r="I562" s="735"/>
      <c r="J562" s="52" t="s">
        <v>2214</v>
      </c>
      <c r="K562" s="52" t="s">
        <v>2214</v>
      </c>
      <c r="L562" s="735" t="s">
        <v>174</v>
      </c>
      <c r="M562" s="68"/>
      <c r="N562" s="738">
        <v>4.0861E7</v>
      </c>
      <c r="O562" s="735"/>
      <c r="P562" s="52" t="s">
        <v>2214</v>
      </c>
      <c r="Q562" s="52" t="s">
        <v>2214</v>
      </c>
      <c r="R562" s="737"/>
      <c r="S562" s="735"/>
      <c r="T562" s="737" t="s">
        <v>2235</v>
      </c>
      <c r="U562" s="737"/>
    </row>
    <row r="563">
      <c r="A563" s="733">
        <v>44866.0</v>
      </c>
      <c r="B563" s="52" t="str">
        <f t="shared" si="1"/>
        <v>11/2022</v>
      </c>
      <c r="C563" s="52" t="str">
        <f>IF(A563="","",VLOOKUP(A563,'THAM CHIẾU'!$A:$B,2,0))</f>
        <v>#N/A</v>
      </c>
      <c r="D563" s="52" t="str">
        <f>IF(E563&lt;&gt;0,VLOOKUP(E563,DM_DUAN,3,0),"")</f>
        <v/>
      </c>
      <c r="E563" s="735"/>
      <c r="F563" s="735"/>
      <c r="G563" s="735"/>
      <c r="H563" s="735"/>
      <c r="I563" s="735"/>
      <c r="J563" s="52" t="s">
        <v>2214</v>
      </c>
      <c r="K563" s="52" t="s">
        <v>2214</v>
      </c>
      <c r="L563" s="735" t="s">
        <v>2236</v>
      </c>
      <c r="M563" s="68"/>
      <c r="N563" s="738">
        <v>1666000.0</v>
      </c>
      <c r="O563" s="735"/>
      <c r="P563" s="52" t="s">
        <v>2214</v>
      </c>
      <c r="Q563" s="52" t="s">
        <v>2214</v>
      </c>
      <c r="R563" s="737"/>
      <c r="S563" s="735"/>
      <c r="T563" s="737" t="s">
        <v>2237</v>
      </c>
      <c r="U563" s="737"/>
    </row>
    <row r="564">
      <c r="A564" s="733">
        <v>44866.0</v>
      </c>
      <c r="B564" s="52" t="str">
        <f t="shared" si="1"/>
        <v>11/2022</v>
      </c>
      <c r="C564" s="52" t="str">
        <f>IF(A564="","",VLOOKUP(A564,'THAM CHIẾU'!$A:$B,2,0))</f>
        <v>#N/A</v>
      </c>
      <c r="D564" s="52" t="str">
        <f>IF(E564&lt;&gt;0,VLOOKUP(E564,DM_DUAN,3,0),"")</f>
        <v/>
      </c>
      <c r="E564" s="735"/>
      <c r="F564" s="735"/>
      <c r="G564" s="735"/>
      <c r="H564" s="735"/>
      <c r="I564" s="735"/>
      <c r="J564" s="52" t="s">
        <v>2214</v>
      </c>
      <c r="K564" s="52" t="s">
        <v>2214</v>
      </c>
      <c r="L564" s="735"/>
      <c r="M564" s="68"/>
      <c r="N564" s="738"/>
      <c r="O564" s="735"/>
      <c r="P564" s="52" t="s">
        <v>2214</v>
      </c>
      <c r="Q564" s="52" t="s">
        <v>2214</v>
      </c>
      <c r="R564" s="737"/>
      <c r="S564" s="735"/>
      <c r="T564" s="737"/>
      <c r="U564" s="737"/>
    </row>
    <row r="565">
      <c r="A565" s="733">
        <v>44866.0</v>
      </c>
      <c r="B565" s="52" t="str">
        <f t="shared" si="1"/>
        <v>11/2022</v>
      </c>
      <c r="C565" s="52" t="str">
        <f>IF(A565="","",VLOOKUP(A565,'THAM CHIẾU'!$A:$B,2,0))</f>
        <v>#N/A</v>
      </c>
      <c r="D565" s="52" t="str">
        <f>IF(E565&lt;&gt;0,VLOOKUP(E565,DM_DUAN,3,0),"")</f>
        <v/>
      </c>
      <c r="E565" s="735"/>
      <c r="F565" s="735"/>
      <c r="G565" s="735"/>
      <c r="H565" s="735"/>
      <c r="I565" s="735"/>
      <c r="J565" s="52" t="s">
        <v>2214</v>
      </c>
      <c r="K565" s="52" t="s">
        <v>2214</v>
      </c>
      <c r="L565" s="735" t="s">
        <v>169</v>
      </c>
      <c r="M565" s="68"/>
      <c r="N565" s="738">
        <v>1.0643E7</v>
      </c>
      <c r="O565" s="735"/>
      <c r="P565" s="52" t="s">
        <v>2214</v>
      </c>
      <c r="Q565" s="52" t="s">
        <v>2214</v>
      </c>
      <c r="R565" s="737"/>
      <c r="S565" s="735"/>
      <c r="T565" s="737" t="s">
        <v>2240</v>
      </c>
      <c r="U565" s="737"/>
    </row>
    <row r="566">
      <c r="A566" s="733">
        <v>44866.0</v>
      </c>
      <c r="B566" s="52" t="str">
        <f t="shared" si="1"/>
        <v>11/2022</v>
      </c>
      <c r="C566" s="52" t="str">
        <f>IF(A566="","",VLOOKUP(A566,'THAM CHIẾU'!$A:$B,2,0))</f>
        <v>#N/A</v>
      </c>
      <c r="D566" s="52" t="str">
        <f>IF(E566&lt;&gt;0,VLOOKUP(E566,DM_DUAN,3,0),"")</f>
        <v/>
      </c>
      <c r="E566" s="735"/>
      <c r="F566" s="735"/>
      <c r="G566" s="735"/>
      <c r="H566" s="735"/>
      <c r="I566" s="735"/>
      <c r="J566" s="52" t="s">
        <v>2214</v>
      </c>
      <c r="K566" s="52" t="s">
        <v>2214</v>
      </c>
      <c r="L566" s="735" t="s">
        <v>190</v>
      </c>
      <c r="M566" s="68"/>
      <c r="N566" s="738">
        <v>3.9E9</v>
      </c>
      <c r="O566" s="735"/>
      <c r="P566" s="52" t="s">
        <v>2214</v>
      </c>
      <c r="Q566" s="52" t="s">
        <v>2214</v>
      </c>
      <c r="R566" s="737"/>
      <c r="S566" s="735"/>
      <c r="T566" s="737" t="s">
        <v>2241</v>
      </c>
      <c r="U566" s="737"/>
    </row>
    <row r="567">
      <c r="A567" s="733">
        <v>44866.0</v>
      </c>
      <c r="B567" s="52" t="str">
        <f t="shared" si="1"/>
        <v>11/2022</v>
      </c>
      <c r="C567" s="52" t="str">
        <f>IF(A567="","",VLOOKUP(A567,'THAM CHIẾU'!$A:$B,2,0))</f>
        <v>#N/A</v>
      </c>
      <c r="D567" s="52" t="str">
        <f>IF(E567&lt;&gt;0,VLOOKUP(E567,DM_DUAN,3,0),"")</f>
        <v/>
      </c>
      <c r="E567" s="735"/>
      <c r="F567" s="735"/>
      <c r="G567" s="735"/>
      <c r="H567" s="735"/>
      <c r="I567" s="735"/>
      <c r="J567" s="52" t="s">
        <v>2214</v>
      </c>
      <c r="K567" s="52" t="s">
        <v>2214</v>
      </c>
      <c r="L567" s="735" t="s">
        <v>194</v>
      </c>
      <c r="M567" s="68"/>
      <c r="N567" s="738">
        <v>1.04E9</v>
      </c>
      <c r="O567" s="735"/>
      <c r="P567" s="52" t="s">
        <v>2214</v>
      </c>
      <c r="Q567" s="52" t="s">
        <v>2214</v>
      </c>
      <c r="R567" s="737"/>
      <c r="S567" s="735"/>
      <c r="T567" s="737" t="s">
        <v>2242</v>
      </c>
      <c r="U567" s="737"/>
    </row>
    <row r="568">
      <c r="A568" s="733">
        <v>44866.0</v>
      </c>
      <c r="B568" s="52" t="str">
        <f t="shared" si="1"/>
        <v>11/2022</v>
      </c>
      <c r="C568" s="52" t="str">
        <f>IF(A568="","",VLOOKUP(A568,'THAM CHIẾU'!$A:$B,2,0))</f>
        <v>#N/A</v>
      </c>
      <c r="D568" s="52" t="str">
        <f>IF(E568&lt;&gt;0,VLOOKUP(E568,DM_DUAN,3,0),"")</f>
        <v/>
      </c>
      <c r="E568" s="735"/>
      <c r="F568" s="735"/>
      <c r="G568" s="735"/>
      <c r="H568" s="735"/>
      <c r="I568" s="735"/>
      <c r="J568" s="52" t="s">
        <v>2214</v>
      </c>
      <c r="K568" s="52" t="s">
        <v>2214</v>
      </c>
      <c r="L568" s="735" t="s">
        <v>1170</v>
      </c>
      <c r="M568" s="68"/>
      <c r="N568" s="738">
        <v>1.3E8</v>
      </c>
      <c r="O568" s="735"/>
      <c r="P568" s="52" t="s">
        <v>2214</v>
      </c>
      <c r="Q568" s="52" t="s">
        <v>2214</v>
      </c>
      <c r="R568" s="737"/>
      <c r="S568" s="735"/>
      <c r="T568" s="737" t="s">
        <v>1474</v>
      </c>
      <c r="U568" s="737"/>
    </row>
    <row r="569">
      <c r="A569" s="733">
        <v>44866.0</v>
      </c>
      <c r="B569" s="52" t="str">
        <f t="shared" si="1"/>
        <v>11/2022</v>
      </c>
      <c r="C569" s="52" t="str">
        <f>IF(A569="","",VLOOKUP(A569,'THAM CHIẾU'!$A:$B,2,0))</f>
        <v>#N/A</v>
      </c>
      <c r="D569" s="52" t="str">
        <f>IF(E569&lt;&gt;0,VLOOKUP(E569,DM_DUAN,3,0),"")</f>
        <v/>
      </c>
      <c r="E569" s="735"/>
      <c r="F569" s="735"/>
      <c r="G569" s="735"/>
      <c r="H569" s="735"/>
      <c r="I569" s="735"/>
      <c r="J569" s="52" t="s">
        <v>2214</v>
      </c>
      <c r="K569" s="52" t="s">
        <v>2214</v>
      </c>
      <c r="L569" s="735" t="s">
        <v>1142</v>
      </c>
      <c r="M569" s="68"/>
      <c r="N569" s="738">
        <v>1.248E9</v>
      </c>
      <c r="O569" s="735"/>
      <c r="P569" s="52" t="s">
        <v>2214</v>
      </c>
      <c r="Q569" s="52" t="s">
        <v>2214</v>
      </c>
      <c r="R569" s="737"/>
      <c r="S569" s="735"/>
      <c r="T569" s="737" t="s">
        <v>2244</v>
      </c>
      <c r="U569" s="737"/>
    </row>
    <row r="570">
      <c r="A570" s="733">
        <v>44866.0</v>
      </c>
      <c r="B570" s="52" t="str">
        <f t="shared" si="1"/>
        <v>11/2022</v>
      </c>
      <c r="C570" s="52" t="str">
        <f>IF(A570="","",VLOOKUP(A570,'THAM CHIẾU'!$A:$B,2,0))</f>
        <v>#N/A</v>
      </c>
      <c r="D570" s="52" t="str">
        <f>IF(E570&lt;&gt;0,VLOOKUP(E570,DM_DUAN,3,0),"")</f>
        <v/>
      </c>
      <c r="E570" s="735"/>
      <c r="F570" s="735"/>
      <c r="G570" s="735"/>
      <c r="H570" s="735"/>
      <c r="I570" s="735"/>
      <c r="J570" s="52" t="s">
        <v>2214</v>
      </c>
      <c r="K570" s="52" t="s">
        <v>2214</v>
      </c>
      <c r="L570" s="735" t="s">
        <v>181</v>
      </c>
      <c r="M570" s="68"/>
      <c r="N570" s="738">
        <v>1.3E9</v>
      </c>
      <c r="O570" s="735"/>
      <c r="P570" s="52" t="s">
        <v>2214</v>
      </c>
      <c r="Q570" s="52" t="s">
        <v>2214</v>
      </c>
      <c r="R570" s="737"/>
      <c r="S570" s="735"/>
      <c r="T570" s="737" t="s">
        <v>2245</v>
      </c>
      <c r="U570" s="737"/>
    </row>
    <row r="571">
      <c r="A571" s="733">
        <v>44866.0</v>
      </c>
      <c r="B571" s="52" t="str">
        <f t="shared" si="1"/>
        <v>11/2022</v>
      </c>
      <c r="C571" s="52" t="str">
        <f>IF(A571="","",VLOOKUP(A571,'THAM CHIẾU'!$A:$B,2,0))</f>
        <v>#N/A</v>
      </c>
      <c r="D571" s="52" t="str">
        <f>IF(E571&lt;&gt;0,VLOOKUP(E571,DM_DUAN,3,0),"")</f>
        <v/>
      </c>
      <c r="E571" s="735"/>
      <c r="F571" s="735"/>
      <c r="G571" s="735"/>
      <c r="H571" s="735"/>
      <c r="I571" s="735"/>
      <c r="J571" s="52" t="s">
        <v>2214</v>
      </c>
      <c r="K571" s="52" t="s">
        <v>2214</v>
      </c>
      <c r="L571" s="735" t="s">
        <v>2243</v>
      </c>
      <c r="M571" s="68"/>
      <c r="N571" s="738">
        <v>3.9E7</v>
      </c>
      <c r="O571" s="735"/>
      <c r="P571" s="52" t="s">
        <v>2214</v>
      </c>
      <c r="Q571" s="52" t="s">
        <v>2214</v>
      </c>
      <c r="R571" s="737"/>
      <c r="S571" s="735"/>
      <c r="T571" s="737" t="s">
        <v>2246</v>
      </c>
      <c r="U571" s="737"/>
    </row>
    <row r="572">
      <c r="A572" s="733"/>
      <c r="B572" s="52" t="str">
        <f t="shared" si="1"/>
        <v/>
      </c>
      <c r="C572" s="52" t="str">
        <f>IF(A572="","",VLOOKUP(A572,'THAM CHIẾU'!$A:$B,2,0))</f>
        <v/>
      </c>
      <c r="D572" s="52" t="str">
        <f>IF(E572&lt;&gt;0,VLOOKUP(E572,DM_DUAN,3,0),"")</f>
        <v/>
      </c>
      <c r="E572" s="735"/>
      <c r="F572" s="735"/>
      <c r="G572" s="735"/>
      <c r="H572" s="735"/>
      <c r="I572" s="735"/>
      <c r="J572" s="52" t="s">
        <v>2214</v>
      </c>
      <c r="K572" s="52" t="s">
        <v>2214</v>
      </c>
      <c r="L572" s="735"/>
      <c r="M572" s="68"/>
      <c r="N572" s="738">
        <v>0.0</v>
      </c>
      <c r="O572" s="735"/>
      <c r="P572" s="52" t="s">
        <v>2214</v>
      </c>
      <c r="Q572" s="52" t="s">
        <v>2214</v>
      </c>
      <c r="R572" s="737"/>
      <c r="S572" s="735"/>
      <c r="T572" s="737"/>
      <c r="U572" s="737"/>
    </row>
    <row r="573">
      <c r="A573" s="733">
        <v>44896.0</v>
      </c>
      <c r="B573" s="52" t="str">
        <f t="shared" si="1"/>
        <v>12/2022</v>
      </c>
      <c r="C573" s="52" t="str">
        <f>IF(A573="","",VLOOKUP(A573,'THAM CHIẾU'!$A:$B,2,0))</f>
        <v>#N/A</v>
      </c>
      <c r="D573" s="52" t="str">
        <f>IF(E573&lt;&gt;0,VLOOKUP(E573,DM_DUAN,3,0),"")</f>
        <v>THANHNAM</v>
      </c>
      <c r="E573" s="735" t="s">
        <v>175</v>
      </c>
      <c r="F573" s="735"/>
      <c r="G573" s="735"/>
      <c r="H573" s="735"/>
      <c r="I573" s="735"/>
      <c r="J573" s="52" t="s">
        <v>2214</v>
      </c>
      <c r="K573" s="52" t="s">
        <v>2214</v>
      </c>
      <c r="L573" s="735" t="s">
        <v>198</v>
      </c>
      <c r="M573" s="68"/>
      <c r="N573" s="738">
        <v>1.3333333E10</v>
      </c>
      <c r="O573" s="735"/>
      <c r="P573" s="52" t="s">
        <v>2214</v>
      </c>
      <c r="Q573" s="52" t="s">
        <v>2214</v>
      </c>
      <c r="R573" s="737"/>
      <c r="S573" s="735"/>
      <c r="T573" s="737"/>
      <c r="U573" s="737"/>
    </row>
    <row r="574">
      <c r="A574" s="733">
        <v>44896.0</v>
      </c>
      <c r="B574" s="52" t="str">
        <f t="shared" si="1"/>
        <v>12/2022</v>
      </c>
      <c r="C574" s="52" t="str">
        <f>IF(A574="","",VLOOKUP(A574,'THAM CHIẾU'!$A:$B,2,0))</f>
        <v>#N/A</v>
      </c>
      <c r="D574" s="52" t="str">
        <f>IF(E574&lt;&gt;0,VLOOKUP(E574,DM_DUAN,3,0),"")</f>
        <v>NAMPHONG</v>
      </c>
      <c r="E574" s="735" t="s">
        <v>2067</v>
      </c>
      <c r="F574" s="735"/>
      <c r="G574" s="735"/>
      <c r="H574" s="735"/>
      <c r="I574" s="735"/>
      <c r="J574" s="52" t="s">
        <v>2214</v>
      </c>
      <c r="K574" s="52" t="s">
        <v>2214</v>
      </c>
      <c r="L574" s="735" t="s">
        <v>198</v>
      </c>
      <c r="M574" s="68"/>
      <c r="N574" s="738">
        <v>4.0E10</v>
      </c>
      <c r="O574" s="735"/>
      <c r="P574" s="52" t="s">
        <v>2214</v>
      </c>
      <c r="Q574" s="52" t="s">
        <v>2214</v>
      </c>
      <c r="R574" s="737"/>
      <c r="S574" s="735"/>
      <c r="T574" s="737"/>
      <c r="U574" s="737"/>
    </row>
    <row r="575">
      <c r="A575" s="733">
        <v>44896.0</v>
      </c>
      <c r="B575" s="52" t="str">
        <f t="shared" si="1"/>
        <v>12/2022</v>
      </c>
      <c r="C575" s="52" t="str">
        <f>IF(A575="","",VLOOKUP(A575,'THAM CHIẾU'!$A:$B,2,0))</f>
        <v>#N/A</v>
      </c>
      <c r="D575" s="52" t="str">
        <f>IF(E575&lt;&gt;0,VLOOKUP(E575,DM_DUAN,3,0),"")</f>
        <v>NAMSAIGON</v>
      </c>
      <c r="E575" s="735" t="s">
        <v>215</v>
      </c>
      <c r="F575" s="735"/>
      <c r="G575" s="735"/>
      <c r="H575" s="735"/>
      <c r="I575" s="735"/>
      <c r="J575" s="52" t="s">
        <v>2214</v>
      </c>
      <c r="K575" s="52" t="s">
        <v>2214</v>
      </c>
      <c r="L575" s="735" t="s">
        <v>198</v>
      </c>
      <c r="M575" s="68"/>
      <c r="N575" s="738">
        <v>1.3333333E10</v>
      </c>
      <c r="O575" s="735"/>
      <c r="P575" s="52" t="s">
        <v>2214</v>
      </c>
      <c r="Q575" s="52" t="s">
        <v>2214</v>
      </c>
      <c r="R575" s="737"/>
      <c r="S575" s="735"/>
      <c r="T575" s="737"/>
      <c r="U575" s="737"/>
    </row>
    <row r="576">
      <c r="A576" s="733">
        <v>44896.0</v>
      </c>
      <c r="B576" s="52" t="str">
        <f t="shared" si="1"/>
        <v>12/2022</v>
      </c>
      <c r="C576" s="52" t="str">
        <f>IF(A576="","",VLOOKUP(A576,'THAM CHIẾU'!$A:$B,2,0))</f>
        <v>#N/A</v>
      </c>
      <c r="D576" s="52" t="str">
        <f>IF(E576&lt;&gt;0,VLOOKUP(E576,DM_DUAN,3,0),"")</f>
        <v>#N/A</v>
      </c>
      <c r="E576" s="735" t="s">
        <v>2069</v>
      </c>
      <c r="F576" s="735"/>
      <c r="G576" s="735"/>
      <c r="H576" s="735"/>
      <c r="I576" s="735"/>
      <c r="J576" s="52" t="s">
        <v>2214</v>
      </c>
      <c r="K576" s="52" t="s">
        <v>2214</v>
      </c>
      <c r="L576" s="735" t="s">
        <v>198</v>
      </c>
      <c r="M576" s="68"/>
      <c r="N576" s="738">
        <v>0.0</v>
      </c>
      <c r="O576" s="735"/>
      <c r="P576" s="52" t="s">
        <v>2214</v>
      </c>
      <c r="Q576" s="52" t="s">
        <v>2214</v>
      </c>
      <c r="R576" s="737"/>
      <c r="S576" s="735"/>
      <c r="T576" s="737"/>
      <c r="U576" s="737"/>
    </row>
    <row r="577">
      <c r="A577" s="733">
        <v>44896.0</v>
      </c>
      <c r="B577" s="52" t="str">
        <f t="shared" si="1"/>
        <v>12/2022</v>
      </c>
      <c r="C577" s="52" t="str">
        <f>IF(A577="","",VLOOKUP(A577,'THAM CHIẾU'!$A:$B,2,0))</f>
        <v>#N/A</v>
      </c>
      <c r="D577" s="52" t="str">
        <f>IF(E577&lt;&gt;0,VLOOKUP(E577,DM_DUAN,3,0),"")</f>
        <v>KHANGVUONG</v>
      </c>
      <c r="E577" s="735" t="s">
        <v>2070</v>
      </c>
      <c r="F577" s="735"/>
      <c r="G577" s="735"/>
      <c r="H577" s="735"/>
      <c r="I577" s="735"/>
      <c r="J577" s="52" t="s">
        <v>2214</v>
      </c>
      <c r="K577" s="52" t="s">
        <v>2214</v>
      </c>
      <c r="L577" s="735" t="s">
        <v>198</v>
      </c>
      <c r="M577" s="68"/>
      <c r="N577" s="738">
        <v>6.666666E9</v>
      </c>
      <c r="O577" s="735"/>
      <c r="P577" s="52" t="s">
        <v>2214</v>
      </c>
      <c r="Q577" s="52" t="s">
        <v>2214</v>
      </c>
      <c r="R577" s="737"/>
      <c r="S577" s="735"/>
      <c r="T577" s="737"/>
      <c r="U577" s="737"/>
    </row>
    <row r="578">
      <c r="A578" s="733">
        <v>44896.0</v>
      </c>
      <c r="B578" s="52" t="str">
        <f t="shared" si="1"/>
        <v>12/2022</v>
      </c>
      <c r="C578" s="52" t="str">
        <f>IF(A578="","",VLOOKUP(A578,'THAM CHIẾU'!$A:$B,2,0))</f>
        <v>#N/A</v>
      </c>
      <c r="D578" s="52" t="str">
        <f>IF(E578&lt;&gt;0,VLOOKUP(E578,DM_DUAN,3,0),"")</f>
        <v>PHUGIATHINH</v>
      </c>
      <c r="E578" s="735" t="s">
        <v>404</v>
      </c>
      <c r="F578" s="735"/>
      <c r="G578" s="735"/>
      <c r="H578" s="735"/>
      <c r="I578" s="735"/>
      <c r="J578" s="52" t="s">
        <v>2214</v>
      </c>
      <c r="K578" s="52" t="s">
        <v>2214</v>
      </c>
      <c r="L578" s="735" t="s">
        <v>198</v>
      </c>
      <c r="M578" s="68"/>
      <c r="N578" s="738">
        <v>6.666666E9</v>
      </c>
      <c r="O578" s="735"/>
      <c r="P578" s="52" t="s">
        <v>2214</v>
      </c>
      <c r="Q578" s="52" t="s">
        <v>2214</v>
      </c>
      <c r="R578" s="737"/>
      <c r="S578" s="735"/>
      <c r="T578" s="737"/>
      <c r="U578" s="737"/>
    </row>
    <row r="579">
      <c r="A579" s="733">
        <v>44896.0</v>
      </c>
      <c r="B579" s="52" t="str">
        <f t="shared" si="1"/>
        <v>12/2022</v>
      </c>
      <c r="C579" s="52" t="str">
        <f>IF(A579="","",VLOOKUP(A579,'THAM CHIẾU'!$A:$B,2,0))</f>
        <v>#N/A</v>
      </c>
      <c r="D579" s="52" t="str">
        <f>IF(E579&lt;&gt;0,VLOOKUP(E579,DM_DUAN,3,0),"")</f>
        <v>TRANANH</v>
      </c>
      <c r="E579" s="735" t="s">
        <v>2072</v>
      </c>
      <c r="F579" s="735"/>
      <c r="G579" s="735"/>
      <c r="H579" s="735"/>
      <c r="I579" s="735"/>
      <c r="J579" s="52" t="s">
        <v>2214</v>
      </c>
      <c r="K579" s="52" t="s">
        <v>2214</v>
      </c>
      <c r="L579" s="735" t="s">
        <v>198</v>
      </c>
      <c r="M579" s="68"/>
      <c r="N579" s="738">
        <v>1.3333333E10</v>
      </c>
      <c r="O579" s="735"/>
      <c r="P579" s="52" t="s">
        <v>2214</v>
      </c>
      <c r="Q579" s="52" t="s">
        <v>2214</v>
      </c>
      <c r="R579" s="737"/>
      <c r="S579" s="735"/>
      <c r="T579" s="737"/>
      <c r="U579" s="737"/>
    </row>
    <row r="580">
      <c r="A580" s="733">
        <v>44896.0</v>
      </c>
      <c r="B580" s="52" t="str">
        <f t="shared" si="1"/>
        <v>12/2022</v>
      </c>
      <c r="C580" s="52" t="str">
        <f>IF(A580="","",VLOOKUP(A580,'THAM CHIẾU'!$A:$B,2,0))</f>
        <v>#N/A</v>
      </c>
      <c r="D580" s="52" t="str">
        <f>IF(E580&lt;&gt;0,VLOOKUP(E580,DM_DUAN,3,0),"")</f>
        <v>PHITRUONG</v>
      </c>
      <c r="E580" s="735" t="s">
        <v>2073</v>
      </c>
      <c r="F580" s="735"/>
      <c r="G580" s="735"/>
      <c r="H580" s="735"/>
      <c r="I580" s="735"/>
      <c r="J580" s="52" t="s">
        <v>2214</v>
      </c>
      <c r="K580" s="52" t="s">
        <v>2214</v>
      </c>
      <c r="L580" s="735" t="s">
        <v>198</v>
      </c>
      <c r="M580" s="68"/>
      <c r="N580" s="738">
        <v>5.3333333E10</v>
      </c>
      <c r="O580" s="735"/>
      <c r="P580" s="52" t="s">
        <v>2214</v>
      </c>
      <c r="Q580" s="52" t="s">
        <v>2214</v>
      </c>
      <c r="R580" s="737"/>
      <c r="S580" s="735"/>
      <c r="T580" s="737"/>
      <c r="U580" s="737"/>
    </row>
    <row r="581">
      <c r="A581" s="733">
        <v>44896.0</v>
      </c>
      <c r="B581" s="52" t="str">
        <f t="shared" si="1"/>
        <v>12/2022</v>
      </c>
      <c r="C581" s="52" t="str">
        <f>IF(A581="","",VLOOKUP(A581,'THAM CHIẾU'!$A:$B,2,0))</f>
        <v>#N/A</v>
      </c>
      <c r="D581" s="52" t="str">
        <f>IF(E581&lt;&gt;0,VLOOKUP(E581,DM_DUAN,3,0),"")</f>
        <v>HOANGCAT</v>
      </c>
      <c r="E581" s="735" t="s">
        <v>2074</v>
      </c>
      <c r="F581" s="735"/>
      <c r="G581" s="735"/>
      <c r="H581" s="735"/>
      <c r="I581" s="735"/>
      <c r="J581" s="52" t="s">
        <v>2214</v>
      </c>
      <c r="K581" s="52" t="s">
        <v>2214</v>
      </c>
      <c r="L581" s="735" t="s">
        <v>198</v>
      </c>
      <c r="M581" s="68"/>
      <c r="N581" s="738">
        <v>2.6666666E10</v>
      </c>
      <c r="O581" s="735"/>
      <c r="P581" s="52" t="s">
        <v>2214</v>
      </c>
      <c r="Q581" s="52" t="s">
        <v>2214</v>
      </c>
      <c r="R581" s="737"/>
      <c r="S581" s="735"/>
      <c r="T581" s="737"/>
      <c r="U581" s="737"/>
    </row>
    <row r="582">
      <c r="A582" s="733">
        <v>44896.0</v>
      </c>
      <c r="B582" s="52" t="str">
        <f t="shared" si="1"/>
        <v>12/2022</v>
      </c>
      <c r="C582" s="52" t="str">
        <f>IF(A582="","",VLOOKUP(A582,'THAM CHIẾU'!$A:$B,2,0))</f>
        <v>#N/A</v>
      </c>
      <c r="D582" s="52" t="str">
        <f>IF(E582&lt;&gt;0,VLOOKUP(E582,DM_DUAN,3,0),"")</f>
        <v>THANHNAM</v>
      </c>
      <c r="E582" s="735" t="s">
        <v>175</v>
      </c>
      <c r="F582" s="735"/>
      <c r="G582" s="735"/>
      <c r="H582" s="735"/>
      <c r="I582" s="735"/>
      <c r="J582" s="52" t="s">
        <v>2214</v>
      </c>
      <c r="K582" s="52" t="s">
        <v>2214</v>
      </c>
      <c r="L582" s="735" t="s">
        <v>187</v>
      </c>
      <c r="M582" s="68"/>
      <c r="N582" s="738">
        <v>1.23999996E9</v>
      </c>
      <c r="O582" s="735"/>
      <c r="P582" s="52" t="s">
        <v>2214</v>
      </c>
      <c r="Q582" s="52" t="s">
        <v>2214</v>
      </c>
      <c r="R582" s="737"/>
      <c r="S582" s="735"/>
      <c r="T582" s="737"/>
      <c r="U582" s="737"/>
    </row>
    <row r="583">
      <c r="A583" s="733">
        <v>44896.0</v>
      </c>
      <c r="B583" s="52" t="str">
        <f t="shared" si="1"/>
        <v>12/2022</v>
      </c>
      <c r="C583" s="52" t="str">
        <f>IF(A583="","",VLOOKUP(A583,'THAM CHIẾU'!$A:$B,2,0))</f>
        <v>#N/A</v>
      </c>
      <c r="D583" s="52" t="str">
        <f>IF(E583&lt;&gt;0,VLOOKUP(E583,DM_DUAN,3,0),"")</f>
        <v>NAMPHONG</v>
      </c>
      <c r="E583" s="735" t="s">
        <v>2067</v>
      </c>
      <c r="F583" s="735"/>
      <c r="G583" s="735"/>
      <c r="H583" s="735"/>
      <c r="I583" s="735"/>
      <c r="J583" s="52" t="s">
        <v>2214</v>
      </c>
      <c r="K583" s="52" t="s">
        <v>2214</v>
      </c>
      <c r="L583" s="735" t="s">
        <v>187</v>
      </c>
      <c r="M583" s="68"/>
      <c r="N583" s="738">
        <v>4.8E9</v>
      </c>
      <c r="O583" s="735"/>
      <c r="P583" s="52" t="s">
        <v>2214</v>
      </c>
      <c r="Q583" s="52" t="s">
        <v>2214</v>
      </c>
      <c r="R583" s="737"/>
      <c r="S583" s="735"/>
      <c r="T583" s="737"/>
      <c r="U583" s="737"/>
    </row>
    <row r="584">
      <c r="A584" s="733">
        <v>44896.0</v>
      </c>
      <c r="B584" s="52" t="str">
        <f t="shared" si="1"/>
        <v>12/2022</v>
      </c>
      <c r="C584" s="52" t="str">
        <f>IF(A584="","",VLOOKUP(A584,'THAM CHIẾU'!$A:$B,2,0))</f>
        <v>#N/A</v>
      </c>
      <c r="D584" s="52" t="str">
        <f>IF(E584&lt;&gt;0,VLOOKUP(E584,DM_DUAN,3,0),"")</f>
        <v>NAMSAIGON</v>
      </c>
      <c r="E584" s="735" t="s">
        <v>215</v>
      </c>
      <c r="F584" s="735"/>
      <c r="G584" s="735"/>
      <c r="H584" s="735"/>
      <c r="I584" s="735"/>
      <c r="J584" s="52" t="s">
        <v>2214</v>
      </c>
      <c r="K584" s="52" t="s">
        <v>2214</v>
      </c>
      <c r="L584" s="735" t="s">
        <v>187</v>
      </c>
      <c r="M584" s="68"/>
      <c r="N584" s="738">
        <v>1.59999996E9</v>
      </c>
      <c r="O584" s="735"/>
      <c r="P584" s="52" t="s">
        <v>2214</v>
      </c>
      <c r="Q584" s="52" t="s">
        <v>2214</v>
      </c>
      <c r="R584" s="737"/>
      <c r="S584" s="735"/>
      <c r="T584" s="737"/>
      <c r="U584" s="737"/>
    </row>
    <row r="585">
      <c r="A585" s="733">
        <v>44896.0</v>
      </c>
      <c r="B585" s="52" t="str">
        <f t="shared" si="1"/>
        <v>12/2022</v>
      </c>
      <c r="C585" s="52" t="str">
        <f>IF(A585="","",VLOOKUP(A585,'THAM CHIẾU'!$A:$B,2,0))</f>
        <v>#N/A</v>
      </c>
      <c r="D585" s="52" t="str">
        <f>IF(E585&lt;&gt;0,VLOOKUP(E585,DM_DUAN,3,0),"")</f>
        <v>#N/A</v>
      </c>
      <c r="E585" s="735" t="s">
        <v>2069</v>
      </c>
      <c r="F585" s="735"/>
      <c r="G585" s="735"/>
      <c r="H585" s="735"/>
      <c r="I585" s="735"/>
      <c r="J585" s="52" t="s">
        <v>2214</v>
      </c>
      <c r="K585" s="52" t="s">
        <v>2214</v>
      </c>
      <c r="L585" s="735" t="s">
        <v>187</v>
      </c>
      <c r="M585" s="68"/>
      <c r="N585" s="738">
        <v>0.0</v>
      </c>
      <c r="O585" s="735"/>
      <c r="P585" s="52" t="s">
        <v>2214</v>
      </c>
      <c r="Q585" s="52" t="s">
        <v>2214</v>
      </c>
      <c r="R585" s="737"/>
      <c r="S585" s="735"/>
      <c r="T585" s="737"/>
      <c r="U585" s="737"/>
    </row>
    <row r="586">
      <c r="A586" s="733">
        <v>44896.0</v>
      </c>
      <c r="B586" s="52" t="str">
        <f t="shared" si="1"/>
        <v>12/2022</v>
      </c>
      <c r="C586" s="52" t="str">
        <f>IF(A586="","",VLOOKUP(A586,'THAM CHIẾU'!$A:$B,2,0))</f>
        <v>#N/A</v>
      </c>
      <c r="D586" s="52" t="str">
        <f>IF(E586&lt;&gt;0,VLOOKUP(E586,DM_DUAN,3,0),"")</f>
        <v>KHANGVUONG</v>
      </c>
      <c r="E586" s="735" t="s">
        <v>2070</v>
      </c>
      <c r="F586" s="735"/>
      <c r="G586" s="735"/>
      <c r="H586" s="735"/>
      <c r="I586" s="735"/>
      <c r="J586" s="52" t="s">
        <v>2214</v>
      </c>
      <c r="K586" s="52" t="s">
        <v>2214</v>
      </c>
      <c r="L586" s="735" t="s">
        <v>187</v>
      </c>
      <c r="M586" s="68"/>
      <c r="N586" s="738">
        <v>7.9999992E8</v>
      </c>
      <c r="O586" s="735"/>
      <c r="P586" s="52" t="s">
        <v>2214</v>
      </c>
      <c r="Q586" s="52" t="s">
        <v>2214</v>
      </c>
      <c r="R586" s="737"/>
      <c r="S586" s="735"/>
      <c r="T586" s="737"/>
      <c r="U586" s="737"/>
    </row>
    <row r="587">
      <c r="A587" s="733">
        <v>44896.0</v>
      </c>
      <c r="B587" s="52" t="str">
        <f t="shared" si="1"/>
        <v>12/2022</v>
      </c>
      <c r="C587" s="52" t="str">
        <f>IF(A587="","",VLOOKUP(A587,'THAM CHIẾU'!$A:$B,2,0))</f>
        <v>#N/A</v>
      </c>
      <c r="D587" s="52" t="str">
        <f>IF(E587&lt;&gt;0,VLOOKUP(E587,DM_DUAN,3,0),"")</f>
        <v>PHUGIATHINH</v>
      </c>
      <c r="E587" s="735" t="s">
        <v>404</v>
      </c>
      <c r="F587" s="735"/>
      <c r="G587" s="735"/>
      <c r="H587" s="735"/>
      <c r="I587" s="735"/>
      <c r="J587" s="52" t="s">
        <v>2214</v>
      </c>
      <c r="K587" s="52" t="s">
        <v>2214</v>
      </c>
      <c r="L587" s="735" t="s">
        <v>187</v>
      </c>
      <c r="M587" s="68"/>
      <c r="N587" s="738">
        <v>7.9999992E8</v>
      </c>
      <c r="O587" s="735"/>
      <c r="P587" s="52" t="s">
        <v>2214</v>
      </c>
      <c r="Q587" s="52" t="s">
        <v>2214</v>
      </c>
      <c r="R587" s="737"/>
      <c r="S587" s="735"/>
      <c r="T587" s="737"/>
      <c r="U587" s="737"/>
    </row>
    <row r="588">
      <c r="A588" s="733">
        <v>44896.0</v>
      </c>
      <c r="B588" s="52" t="str">
        <f t="shared" si="1"/>
        <v>12/2022</v>
      </c>
      <c r="C588" s="52" t="str">
        <f>IF(A588="","",VLOOKUP(A588,'THAM CHIẾU'!$A:$B,2,0))</f>
        <v>#N/A</v>
      </c>
      <c r="D588" s="52" t="str">
        <f>IF(E588&lt;&gt;0,VLOOKUP(E588,DM_DUAN,3,0),"")</f>
        <v>TRANANH</v>
      </c>
      <c r="E588" s="735" t="s">
        <v>2072</v>
      </c>
      <c r="F588" s="735"/>
      <c r="G588" s="735"/>
      <c r="H588" s="735"/>
      <c r="I588" s="735"/>
      <c r="J588" s="52" t="s">
        <v>2214</v>
      </c>
      <c r="K588" s="52" t="s">
        <v>2214</v>
      </c>
      <c r="L588" s="735" t="s">
        <v>187</v>
      </c>
      <c r="M588" s="68"/>
      <c r="N588" s="738">
        <v>1.59999996E9</v>
      </c>
      <c r="O588" s="735"/>
      <c r="P588" s="52" t="s">
        <v>2214</v>
      </c>
      <c r="Q588" s="52" t="s">
        <v>2214</v>
      </c>
      <c r="R588" s="737"/>
      <c r="S588" s="735"/>
      <c r="T588" s="737"/>
      <c r="U588" s="737"/>
    </row>
    <row r="589">
      <c r="A589" s="733">
        <v>44896.0</v>
      </c>
      <c r="B589" s="52" t="str">
        <f t="shared" si="1"/>
        <v>12/2022</v>
      </c>
      <c r="C589" s="52" t="str">
        <f>IF(A589="","",VLOOKUP(A589,'THAM CHIẾU'!$A:$B,2,0))</f>
        <v>#N/A</v>
      </c>
      <c r="D589" s="52" t="str">
        <f>IF(E589&lt;&gt;0,VLOOKUP(E589,DM_DUAN,3,0),"")</f>
        <v>PHITRUONG</v>
      </c>
      <c r="E589" s="735" t="s">
        <v>2073</v>
      </c>
      <c r="F589" s="735"/>
      <c r="G589" s="735"/>
      <c r="H589" s="735"/>
      <c r="I589" s="735"/>
      <c r="J589" s="52" t="s">
        <v>2214</v>
      </c>
      <c r="K589" s="52" t="s">
        <v>2214</v>
      </c>
      <c r="L589" s="735" t="s">
        <v>187</v>
      </c>
      <c r="M589" s="68"/>
      <c r="N589" s="738">
        <v>6.39999996E9</v>
      </c>
      <c r="O589" s="735"/>
      <c r="P589" s="52" t="s">
        <v>2214</v>
      </c>
      <c r="Q589" s="52" t="s">
        <v>2214</v>
      </c>
      <c r="R589" s="737"/>
      <c r="S589" s="735"/>
      <c r="T589" s="737"/>
      <c r="U589" s="737"/>
    </row>
    <row r="590">
      <c r="A590" s="733">
        <v>44896.0</v>
      </c>
      <c r="B590" s="52" t="str">
        <f t="shared" si="1"/>
        <v>12/2022</v>
      </c>
      <c r="C590" s="52" t="str">
        <f>IF(A590="","",VLOOKUP(A590,'THAM CHIẾU'!$A:$B,2,0))</f>
        <v>#N/A</v>
      </c>
      <c r="D590" s="52" t="str">
        <f>IF(E590&lt;&gt;0,VLOOKUP(E590,DM_DUAN,3,0),"")</f>
        <v>HOANGCAT</v>
      </c>
      <c r="E590" s="735" t="s">
        <v>2074</v>
      </c>
      <c r="F590" s="735"/>
      <c r="G590" s="735"/>
      <c r="H590" s="735"/>
      <c r="I590" s="735"/>
      <c r="J590" s="52" t="s">
        <v>2214</v>
      </c>
      <c r="K590" s="52" t="s">
        <v>2214</v>
      </c>
      <c r="L590" s="735" t="s">
        <v>187</v>
      </c>
      <c r="M590" s="68"/>
      <c r="N590" s="738">
        <v>3.19999992E9</v>
      </c>
      <c r="O590" s="735"/>
      <c r="P590" s="52" t="s">
        <v>2214</v>
      </c>
      <c r="Q590" s="52" t="s">
        <v>2214</v>
      </c>
      <c r="R590" s="737"/>
      <c r="S590" s="735"/>
      <c r="T590" s="737"/>
      <c r="U590" s="737"/>
    </row>
    <row r="591">
      <c r="A591" s="733">
        <v>44896.0</v>
      </c>
      <c r="B591" s="52" t="str">
        <f t="shared" si="1"/>
        <v>12/2022</v>
      </c>
      <c r="C591" s="52" t="str">
        <f>IF(A591="","",VLOOKUP(A591,'THAM CHIẾU'!$A:$B,2,0))</f>
        <v>#N/A</v>
      </c>
      <c r="D591" s="52" t="str">
        <f>IF(E591&lt;&gt;0,VLOOKUP(E591,DM_DUAN,3,0),"")</f>
        <v/>
      </c>
      <c r="E591" s="735"/>
      <c r="F591" s="735"/>
      <c r="G591" s="735" t="s">
        <v>207</v>
      </c>
      <c r="H591" s="735"/>
      <c r="I591" s="735"/>
      <c r="J591" s="52" t="s">
        <v>2214</v>
      </c>
      <c r="K591" s="52" t="s">
        <v>2214</v>
      </c>
      <c r="L591" s="735" t="s">
        <v>2215</v>
      </c>
      <c r="M591" s="68"/>
      <c r="N591" s="738">
        <v>43000.0</v>
      </c>
      <c r="O591" s="735"/>
      <c r="P591" s="52" t="s">
        <v>2214</v>
      </c>
      <c r="Q591" s="52" t="s">
        <v>2214</v>
      </c>
      <c r="R591" s="737"/>
      <c r="S591" s="735"/>
      <c r="T591" s="737" t="s">
        <v>2216</v>
      </c>
      <c r="U591" s="737"/>
    </row>
    <row r="592">
      <c r="A592" s="733">
        <v>44896.0</v>
      </c>
      <c r="B592" s="52" t="str">
        <f t="shared" si="1"/>
        <v>12/2022</v>
      </c>
      <c r="C592" s="52" t="str">
        <f>IF(A592="","",VLOOKUP(A592,'THAM CHIẾU'!$A:$B,2,0))</f>
        <v>#N/A</v>
      </c>
      <c r="D592" s="52" t="str">
        <f>IF(E592&lt;&gt;0,VLOOKUP(E592,DM_DUAN,3,0),"")</f>
        <v/>
      </c>
      <c r="E592" s="735"/>
      <c r="F592" s="735"/>
      <c r="G592" s="735"/>
      <c r="H592" s="735"/>
      <c r="I592" s="735"/>
      <c r="J592" s="52" t="s">
        <v>2214</v>
      </c>
      <c r="K592" s="52" t="s">
        <v>2214</v>
      </c>
      <c r="L592" s="735" t="s">
        <v>419</v>
      </c>
      <c r="M592" s="68"/>
      <c r="N592" s="738">
        <v>166000.0</v>
      </c>
      <c r="O592" s="735"/>
      <c r="P592" s="52" t="s">
        <v>2214</v>
      </c>
      <c r="Q592" s="52" t="s">
        <v>2214</v>
      </c>
      <c r="R592" s="737"/>
      <c r="S592" s="735"/>
      <c r="T592" s="737" t="s">
        <v>2217</v>
      </c>
      <c r="U592" s="737"/>
    </row>
    <row r="593">
      <c r="A593" s="733">
        <v>44896.0</v>
      </c>
      <c r="B593" s="52" t="str">
        <f t="shared" si="1"/>
        <v>12/2022</v>
      </c>
      <c r="C593" s="52" t="str">
        <f>IF(A593="","",VLOOKUP(A593,'THAM CHIẾU'!$A:$B,2,0))</f>
        <v>#N/A</v>
      </c>
      <c r="D593" s="52" t="str">
        <f>IF(E593&lt;&gt;0,VLOOKUP(E593,DM_DUAN,3,0),"")</f>
        <v/>
      </c>
      <c r="E593" s="735"/>
      <c r="F593" s="735"/>
      <c r="G593" s="735"/>
      <c r="H593" s="735"/>
      <c r="I593" s="735"/>
      <c r="J593" s="52" t="s">
        <v>2214</v>
      </c>
      <c r="K593" s="52" t="s">
        <v>2214</v>
      </c>
      <c r="L593" s="735" t="s">
        <v>573</v>
      </c>
      <c r="M593" s="68"/>
      <c r="N593" s="738">
        <v>250000.0</v>
      </c>
      <c r="O593" s="735"/>
      <c r="P593" s="52" t="s">
        <v>2214</v>
      </c>
      <c r="Q593" s="52" t="s">
        <v>2214</v>
      </c>
      <c r="R593" s="737"/>
      <c r="S593" s="735"/>
      <c r="T593" s="737" t="s">
        <v>2218</v>
      </c>
      <c r="U593" s="737"/>
    </row>
    <row r="594">
      <c r="A594" s="733">
        <v>44896.0</v>
      </c>
      <c r="B594" s="52" t="str">
        <f t="shared" si="1"/>
        <v>12/2022</v>
      </c>
      <c r="C594" s="52" t="str">
        <f>IF(A594="","",VLOOKUP(A594,'THAM CHIẾU'!$A:$B,2,0))</f>
        <v>#N/A</v>
      </c>
      <c r="D594" s="52" t="str">
        <f>IF(E594&lt;&gt;0,VLOOKUP(E594,DM_DUAN,3,0),"")</f>
        <v/>
      </c>
      <c r="E594" s="735"/>
      <c r="F594" s="735"/>
      <c r="G594" s="735"/>
      <c r="H594" s="735"/>
      <c r="I594" s="735"/>
      <c r="J594" s="52" t="s">
        <v>2214</v>
      </c>
      <c r="K594" s="52" t="s">
        <v>2214</v>
      </c>
      <c r="L594" s="735" t="s">
        <v>1273</v>
      </c>
      <c r="M594" s="68"/>
      <c r="N594" s="738">
        <v>328000.0</v>
      </c>
      <c r="O594" s="735"/>
      <c r="P594" s="52" t="s">
        <v>2214</v>
      </c>
      <c r="Q594" s="52" t="s">
        <v>2214</v>
      </c>
      <c r="R594" s="737"/>
      <c r="S594" s="735"/>
      <c r="T594" s="737" t="s">
        <v>1273</v>
      </c>
      <c r="U594" s="737"/>
    </row>
    <row r="595">
      <c r="A595" s="733">
        <v>44896.0</v>
      </c>
      <c r="B595" s="52" t="str">
        <f t="shared" si="1"/>
        <v>12/2022</v>
      </c>
      <c r="C595" s="52" t="str">
        <f>IF(A595="","",VLOOKUP(A595,'THAM CHIẾU'!$A:$B,2,0))</f>
        <v>#N/A</v>
      </c>
      <c r="D595" s="52" t="str">
        <f>IF(E595&lt;&gt;0,VLOOKUP(E595,DM_DUAN,3,0),"")</f>
        <v/>
      </c>
      <c r="E595" s="735"/>
      <c r="F595" s="735"/>
      <c r="G595" s="735"/>
      <c r="H595" s="735"/>
      <c r="I595" s="735"/>
      <c r="J595" s="52" t="s">
        <v>2214</v>
      </c>
      <c r="K595" s="52" t="s">
        <v>2214</v>
      </c>
      <c r="L595" s="735" t="s">
        <v>1153</v>
      </c>
      <c r="M595" s="68"/>
      <c r="N595" s="738">
        <v>8333000.0</v>
      </c>
      <c r="O595" s="735"/>
      <c r="P595" s="52" t="s">
        <v>2214</v>
      </c>
      <c r="Q595" s="52" t="s">
        <v>2214</v>
      </c>
      <c r="R595" s="737"/>
      <c r="S595" s="735"/>
      <c r="T595" s="737" t="s">
        <v>2219</v>
      </c>
      <c r="U595" s="737"/>
    </row>
    <row r="596">
      <c r="A596" s="733">
        <v>44896.0</v>
      </c>
      <c r="B596" s="52" t="str">
        <f t="shared" si="1"/>
        <v>12/2022</v>
      </c>
      <c r="C596" s="52" t="str">
        <f>IF(A596="","",VLOOKUP(A596,'THAM CHIẾU'!$A:$B,2,0))</f>
        <v>#N/A</v>
      </c>
      <c r="D596" s="52" t="str">
        <f>IF(E596&lt;&gt;0,VLOOKUP(E596,DM_DUAN,3,0),"")</f>
        <v/>
      </c>
      <c r="E596" s="735"/>
      <c r="F596" s="735"/>
      <c r="G596" s="735"/>
      <c r="H596" s="735"/>
      <c r="I596" s="735"/>
      <c r="J596" s="52" t="s">
        <v>2214</v>
      </c>
      <c r="K596" s="52" t="s">
        <v>2214</v>
      </c>
      <c r="L596" s="735" t="s">
        <v>2220</v>
      </c>
      <c r="M596" s="68"/>
      <c r="N596" s="738">
        <v>416000.0</v>
      </c>
      <c r="O596" s="735"/>
      <c r="P596" s="52" t="s">
        <v>2214</v>
      </c>
      <c r="Q596" s="52" t="s">
        <v>2214</v>
      </c>
      <c r="R596" s="737"/>
      <c r="S596" s="735"/>
      <c r="T596" s="737" t="s">
        <v>2221</v>
      </c>
      <c r="U596" s="737"/>
    </row>
    <row r="597">
      <c r="A597" s="733">
        <v>44896.0</v>
      </c>
      <c r="B597" s="52" t="str">
        <f t="shared" si="1"/>
        <v>12/2022</v>
      </c>
      <c r="C597" s="52" t="str">
        <f>IF(A597="","",VLOOKUP(A597,'THAM CHIẾU'!$A:$B,2,0))</f>
        <v>#N/A</v>
      </c>
      <c r="D597" s="52" t="str">
        <f>IF(E597&lt;&gt;0,VLOOKUP(E597,DM_DUAN,3,0),"")</f>
        <v/>
      </c>
      <c r="E597" s="735"/>
      <c r="F597" s="735"/>
      <c r="G597" s="735"/>
      <c r="H597" s="735"/>
      <c r="I597" s="735"/>
      <c r="J597" s="52" t="s">
        <v>2214</v>
      </c>
      <c r="K597" s="52" t="s">
        <v>2214</v>
      </c>
      <c r="L597" s="735" t="s">
        <v>262</v>
      </c>
      <c r="M597" s="68"/>
      <c r="N597" s="738">
        <v>833000.0</v>
      </c>
      <c r="O597" s="735"/>
      <c r="P597" s="52" t="s">
        <v>2214</v>
      </c>
      <c r="Q597" s="52" t="s">
        <v>2214</v>
      </c>
      <c r="R597" s="737"/>
      <c r="S597" s="735"/>
      <c r="T597" s="737" t="s">
        <v>2222</v>
      </c>
      <c r="U597" s="737"/>
    </row>
    <row r="598">
      <c r="A598" s="733">
        <v>44896.0</v>
      </c>
      <c r="B598" s="52" t="str">
        <f t="shared" si="1"/>
        <v>12/2022</v>
      </c>
      <c r="C598" s="52" t="str">
        <f>IF(A598="","",VLOOKUP(A598,'THAM CHIẾU'!$A:$B,2,0))</f>
        <v>#N/A</v>
      </c>
      <c r="D598" s="52" t="str">
        <f>IF(E598&lt;&gt;0,VLOOKUP(E598,DM_DUAN,3,0),"")</f>
        <v/>
      </c>
      <c r="E598" s="735"/>
      <c r="F598" s="735"/>
      <c r="G598" s="735"/>
      <c r="H598" s="735"/>
      <c r="I598" s="735"/>
      <c r="J598" s="52" t="s">
        <v>2214</v>
      </c>
      <c r="K598" s="52" t="s">
        <v>2214</v>
      </c>
      <c r="L598" s="735" t="s">
        <v>2223</v>
      </c>
      <c r="M598" s="68"/>
      <c r="N598" s="738">
        <v>4166000.0</v>
      </c>
      <c r="O598" s="735"/>
      <c r="P598" s="52" t="s">
        <v>2214</v>
      </c>
      <c r="Q598" s="52" t="s">
        <v>2214</v>
      </c>
      <c r="R598" s="737"/>
      <c r="S598" s="735"/>
      <c r="T598" s="737" t="s">
        <v>2224</v>
      </c>
      <c r="U598" s="737"/>
    </row>
    <row r="599">
      <c r="A599" s="733">
        <v>44896.0</v>
      </c>
      <c r="B599" s="52" t="str">
        <f t="shared" si="1"/>
        <v>12/2022</v>
      </c>
      <c r="C599" s="52" t="str">
        <f>IF(A599="","",VLOOKUP(A599,'THAM CHIẾU'!$A:$B,2,0))</f>
        <v>#N/A</v>
      </c>
      <c r="D599" s="52" t="str">
        <f>IF(E599&lt;&gt;0,VLOOKUP(E599,DM_DUAN,3,0),"")</f>
        <v/>
      </c>
      <c r="E599" s="735"/>
      <c r="F599" s="735"/>
      <c r="G599" s="735" t="s">
        <v>176</v>
      </c>
      <c r="H599" s="735"/>
      <c r="I599" s="735"/>
      <c r="J599" s="52" t="s">
        <v>2214</v>
      </c>
      <c r="K599" s="52" t="s">
        <v>2214</v>
      </c>
      <c r="L599" s="735" t="s">
        <v>374</v>
      </c>
      <c r="M599" s="68"/>
      <c r="N599" s="738">
        <v>1666000.0</v>
      </c>
      <c r="O599" s="735"/>
      <c r="P599" s="52" t="s">
        <v>2214</v>
      </c>
      <c r="Q599" s="52" t="s">
        <v>2214</v>
      </c>
      <c r="R599" s="737"/>
      <c r="S599" s="735"/>
      <c r="T599" s="737" t="s">
        <v>2225</v>
      </c>
      <c r="U599" s="737"/>
    </row>
    <row r="600">
      <c r="A600" s="733">
        <v>44896.0</v>
      </c>
      <c r="B600" s="52" t="str">
        <f t="shared" si="1"/>
        <v>12/2022</v>
      </c>
      <c r="C600" s="52" t="str">
        <f>IF(A600="","",VLOOKUP(A600,'THAM CHIẾU'!$A:$B,2,0))</f>
        <v>#N/A</v>
      </c>
      <c r="D600" s="52" t="str">
        <f>IF(E600&lt;&gt;0,VLOOKUP(E600,DM_DUAN,3,0),"")</f>
        <v/>
      </c>
      <c r="E600" s="735"/>
      <c r="F600" s="735"/>
      <c r="G600" s="735"/>
      <c r="H600" s="735"/>
      <c r="I600" s="735"/>
      <c r="J600" s="52" t="s">
        <v>2214</v>
      </c>
      <c r="K600" s="52" t="s">
        <v>2214</v>
      </c>
      <c r="L600" s="735" t="s">
        <v>380</v>
      </c>
      <c r="M600" s="68"/>
      <c r="N600" s="738">
        <v>1666000.0</v>
      </c>
      <c r="O600" s="735"/>
      <c r="P600" s="52" t="s">
        <v>2214</v>
      </c>
      <c r="Q600" s="52" t="s">
        <v>2214</v>
      </c>
      <c r="R600" s="737"/>
      <c r="S600" s="735"/>
      <c r="T600" s="737" t="s">
        <v>2226</v>
      </c>
      <c r="U600" s="737"/>
    </row>
    <row r="601">
      <c r="A601" s="733">
        <v>44896.0</v>
      </c>
      <c r="B601" s="52" t="str">
        <f t="shared" si="1"/>
        <v>12/2022</v>
      </c>
      <c r="C601" s="52" t="str">
        <f>IF(A601="","",VLOOKUP(A601,'THAM CHIẾU'!$A:$B,2,0))</f>
        <v>#N/A</v>
      </c>
      <c r="D601" s="52" t="str">
        <f>IF(E601&lt;&gt;0,VLOOKUP(E601,DM_DUAN,3,0),"")</f>
        <v/>
      </c>
      <c r="E601" s="735"/>
      <c r="F601" s="735"/>
      <c r="G601" s="735"/>
      <c r="H601" s="735"/>
      <c r="I601" s="735"/>
      <c r="J601" s="52" t="s">
        <v>2214</v>
      </c>
      <c r="K601" s="52" t="s">
        <v>2214</v>
      </c>
      <c r="L601" s="735" t="s">
        <v>272</v>
      </c>
      <c r="M601" s="68"/>
      <c r="N601" s="738">
        <v>6666000.0</v>
      </c>
      <c r="O601" s="735"/>
      <c r="P601" s="52" t="s">
        <v>2214</v>
      </c>
      <c r="Q601" s="52" t="s">
        <v>2214</v>
      </c>
      <c r="R601" s="737"/>
      <c r="S601" s="735"/>
      <c r="T601" s="737" t="s">
        <v>2227</v>
      </c>
      <c r="U601" s="737"/>
    </row>
    <row r="602">
      <c r="A602" s="733">
        <v>44896.0</v>
      </c>
      <c r="B602" s="52" t="str">
        <f t="shared" si="1"/>
        <v>12/2022</v>
      </c>
      <c r="C602" s="52" t="str">
        <f>IF(A602="","",VLOOKUP(A602,'THAM CHIẾU'!$A:$B,2,0))</f>
        <v>#N/A</v>
      </c>
      <c r="D602" s="52" t="str">
        <f>IF(E602&lt;&gt;0,VLOOKUP(E602,DM_DUAN,3,0),"")</f>
        <v/>
      </c>
      <c r="E602" s="735"/>
      <c r="F602" s="735"/>
      <c r="G602" s="735"/>
      <c r="H602" s="735"/>
      <c r="I602" s="735"/>
      <c r="J602" s="52" t="s">
        <v>2214</v>
      </c>
      <c r="K602" s="52" t="s">
        <v>2214</v>
      </c>
      <c r="L602" s="735" t="s">
        <v>380</v>
      </c>
      <c r="M602" s="68"/>
      <c r="N602" s="738">
        <v>833000.0</v>
      </c>
      <c r="O602" s="735"/>
      <c r="P602" s="52" t="s">
        <v>2214</v>
      </c>
      <c r="Q602" s="52" t="s">
        <v>2214</v>
      </c>
      <c r="R602" s="737"/>
      <c r="S602" s="735"/>
      <c r="T602" s="737" t="s">
        <v>2228</v>
      </c>
      <c r="U602" s="737"/>
    </row>
    <row r="603">
      <c r="A603" s="733">
        <v>44896.0</v>
      </c>
      <c r="B603" s="52" t="str">
        <f t="shared" si="1"/>
        <v>12/2022</v>
      </c>
      <c r="C603" s="52" t="str">
        <f>IF(A603="","",VLOOKUP(A603,'THAM CHIẾU'!$A:$B,2,0))</f>
        <v>#N/A</v>
      </c>
      <c r="D603" s="52" t="str">
        <f>IF(E603&lt;&gt;0,VLOOKUP(E603,DM_DUAN,3,0),"")</f>
        <v/>
      </c>
      <c r="E603" s="735"/>
      <c r="F603" s="735"/>
      <c r="G603" s="735"/>
      <c r="H603" s="735"/>
      <c r="I603" s="735"/>
      <c r="J603" s="52" t="s">
        <v>2214</v>
      </c>
      <c r="K603" s="52" t="s">
        <v>2214</v>
      </c>
      <c r="L603" s="735" t="s">
        <v>222</v>
      </c>
      <c r="M603" s="68"/>
      <c r="N603" s="738">
        <v>416000.0</v>
      </c>
      <c r="O603" s="735"/>
      <c r="P603" s="52" t="s">
        <v>2214</v>
      </c>
      <c r="Q603" s="52" t="s">
        <v>2214</v>
      </c>
      <c r="R603" s="737"/>
      <c r="S603" s="735"/>
      <c r="T603" s="737" t="s">
        <v>2229</v>
      </c>
      <c r="U603" s="737"/>
    </row>
    <row r="604">
      <c r="A604" s="733">
        <v>44896.0</v>
      </c>
      <c r="B604" s="52" t="str">
        <f t="shared" si="1"/>
        <v>12/2022</v>
      </c>
      <c r="C604" s="52" t="str">
        <f>IF(A604="","",VLOOKUP(A604,'THAM CHIẾU'!$A:$B,2,0))</f>
        <v>#N/A</v>
      </c>
      <c r="D604" s="52" t="str">
        <f>IF(E604&lt;&gt;0,VLOOKUP(E604,DM_DUAN,3,0),"")</f>
        <v/>
      </c>
      <c r="E604" s="735"/>
      <c r="F604" s="735"/>
      <c r="G604" s="735"/>
      <c r="H604" s="735"/>
      <c r="I604" s="735"/>
      <c r="J604" s="52" t="s">
        <v>2214</v>
      </c>
      <c r="K604" s="52" t="s">
        <v>2214</v>
      </c>
      <c r="L604" s="735" t="s">
        <v>267</v>
      </c>
      <c r="M604" s="68"/>
      <c r="N604" s="738">
        <v>3.184E8</v>
      </c>
      <c r="O604" s="735"/>
      <c r="P604" s="52" t="s">
        <v>2214</v>
      </c>
      <c r="Q604" s="52" t="s">
        <v>2214</v>
      </c>
      <c r="R604" s="737"/>
      <c r="S604" s="735"/>
      <c r="T604" s="737" t="s">
        <v>2230</v>
      </c>
      <c r="U604" s="737"/>
    </row>
    <row r="605">
      <c r="A605" s="733">
        <v>44896.0</v>
      </c>
      <c r="B605" s="52" t="str">
        <f t="shared" si="1"/>
        <v>12/2022</v>
      </c>
      <c r="C605" s="52" t="str">
        <f>IF(A605="","",VLOOKUP(A605,'THAM CHIẾU'!$A:$B,2,0))</f>
        <v>#N/A</v>
      </c>
      <c r="D605" s="52" t="str">
        <f>IF(E605&lt;&gt;0,VLOOKUP(E605,DM_DUAN,3,0),"")</f>
        <v/>
      </c>
      <c r="E605" s="735"/>
      <c r="F605" s="735"/>
      <c r="G605" s="735"/>
      <c r="H605" s="735"/>
      <c r="I605" s="735"/>
      <c r="J605" s="52" t="s">
        <v>2214</v>
      </c>
      <c r="K605" s="52" t="s">
        <v>2214</v>
      </c>
      <c r="L605" s="735" t="s">
        <v>270</v>
      </c>
      <c r="M605" s="68"/>
      <c r="N605" s="738">
        <v>4.5143E7</v>
      </c>
      <c r="O605" s="735"/>
      <c r="P605" s="52" t="s">
        <v>2214</v>
      </c>
      <c r="Q605" s="52" t="s">
        <v>2214</v>
      </c>
      <c r="R605" s="737"/>
      <c r="S605" s="735"/>
      <c r="T605" s="737" t="s">
        <v>2231</v>
      </c>
      <c r="U605" s="737"/>
    </row>
    <row r="606">
      <c r="A606" s="733">
        <v>44896.0</v>
      </c>
      <c r="B606" s="52" t="str">
        <f t="shared" si="1"/>
        <v>12/2022</v>
      </c>
      <c r="C606" s="52" t="str">
        <f>IF(A606="","",VLOOKUP(A606,'THAM CHIẾU'!$A:$B,2,0))</f>
        <v>#N/A</v>
      </c>
      <c r="D606" s="52" t="str">
        <f>IF(E606&lt;&gt;0,VLOOKUP(E606,DM_DUAN,3,0),"")</f>
        <v/>
      </c>
      <c r="E606" s="735"/>
      <c r="F606" s="735"/>
      <c r="G606" s="735"/>
      <c r="H606" s="735"/>
      <c r="I606" s="735"/>
      <c r="J606" s="52" t="s">
        <v>2214</v>
      </c>
      <c r="K606" s="52" t="s">
        <v>2214</v>
      </c>
      <c r="L606" s="735" t="s">
        <v>410</v>
      </c>
      <c r="M606" s="68"/>
      <c r="N606" s="738">
        <v>1250000.0</v>
      </c>
      <c r="O606" s="735"/>
      <c r="P606" s="52" t="s">
        <v>2214</v>
      </c>
      <c r="Q606" s="52" t="s">
        <v>2214</v>
      </c>
      <c r="R606" s="737"/>
      <c r="S606" s="735"/>
      <c r="T606" s="737" t="s">
        <v>410</v>
      </c>
      <c r="U606" s="737"/>
    </row>
    <row r="607">
      <c r="A607" s="733">
        <v>44896.0</v>
      </c>
      <c r="B607" s="52" t="str">
        <f t="shared" si="1"/>
        <v>12/2022</v>
      </c>
      <c r="C607" s="52" t="str">
        <f>IF(A607="","",VLOOKUP(A607,'THAM CHIẾU'!$A:$B,2,0))</f>
        <v>#N/A</v>
      </c>
      <c r="D607" s="52" t="str">
        <f>IF(E607&lt;&gt;0,VLOOKUP(E607,DM_DUAN,3,0),"")</f>
        <v/>
      </c>
      <c r="E607" s="735"/>
      <c r="F607" s="735"/>
      <c r="G607" s="735"/>
      <c r="H607" s="735"/>
      <c r="I607" s="735"/>
      <c r="J607" s="52" t="s">
        <v>2214</v>
      </c>
      <c r="K607" s="52" t="s">
        <v>2214</v>
      </c>
      <c r="L607" s="735" t="s">
        <v>252</v>
      </c>
      <c r="M607" s="68"/>
      <c r="N607" s="738">
        <v>1.6666E7</v>
      </c>
      <c r="O607" s="735"/>
      <c r="P607" s="52" t="s">
        <v>2214</v>
      </c>
      <c r="Q607" s="52" t="s">
        <v>2214</v>
      </c>
      <c r="R607" s="737"/>
      <c r="S607" s="735"/>
      <c r="T607" s="737" t="s">
        <v>2232</v>
      </c>
      <c r="U607" s="737"/>
    </row>
    <row r="608">
      <c r="A608" s="733">
        <v>44896.0</v>
      </c>
      <c r="B608" s="52" t="str">
        <f t="shared" si="1"/>
        <v>12/2022</v>
      </c>
      <c r="C608" s="52" t="str">
        <f>IF(A608="","",VLOOKUP(A608,'THAM CHIẾU'!$A:$B,2,0))</f>
        <v>#N/A</v>
      </c>
      <c r="D608" s="52" t="str">
        <f>IF(E608&lt;&gt;0,VLOOKUP(E608,DM_DUAN,3,0),"")</f>
        <v/>
      </c>
      <c r="E608" s="735"/>
      <c r="F608" s="735"/>
      <c r="G608" s="735"/>
      <c r="H608" s="735"/>
      <c r="I608" s="735"/>
      <c r="J608" s="52" t="s">
        <v>2214</v>
      </c>
      <c r="K608" s="52" t="s">
        <v>2214</v>
      </c>
      <c r="L608" s="735" t="s">
        <v>380</v>
      </c>
      <c r="M608" s="68"/>
      <c r="N608" s="738">
        <v>1666000.0</v>
      </c>
      <c r="O608" s="735"/>
      <c r="P608" s="52" t="s">
        <v>2214</v>
      </c>
      <c r="Q608" s="52" t="s">
        <v>2214</v>
      </c>
      <c r="R608" s="737"/>
      <c r="S608" s="735"/>
      <c r="T608" s="737" t="s">
        <v>2233</v>
      </c>
      <c r="U608" s="737"/>
    </row>
    <row r="609">
      <c r="A609" s="733">
        <v>44896.0</v>
      </c>
      <c r="B609" s="52" t="str">
        <f t="shared" si="1"/>
        <v>12/2022</v>
      </c>
      <c r="C609" s="52" t="str">
        <f>IF(A609="","",VLOOKUP(A609,'THAM CHIẾU'!$A:$B,2,0))</f>
        <v>#N/A</v>
      </c>
      <c r="D609" s="52" t="str">
        <f>IF(E609&lt;&gt;0,VLOOKUP(E609,DM_DUAN,3,0),"")</f>
        <v/>
      </c>
      <c r="E609" s="735"/>
      <c r="F609" s="735"/>
      <c r="G609" s="735"/>
      <c r="H609" s="735"/>
      <c r="I609" s="735"/>
      <c r="J609" s="52" t="s">
        <v>2214</v>
      </c>
      <c r="K609" s="52" t="s">
        <v>2214</v>
      </c>
      <c r="L609" s="735" t="s">
        <v>206</v>
      </c>
      <c r="M609" s="68"/>
      <c r="N609" s="738">
        <v>1703000.0</v>
      </c>
      <c r="O609" s="735"/>
      <c r="P609" s="52" t="s">
        <v>2214</v>
      </c>
      <c r="Q609" s="52" t="s">
        <v>2214</v>
      </c>
      <c r="R609" s="737"/>
      <c r="S609" s="735"/>
      <c r="T609" s="737" t="s">
        <v>206</v>
      </c>
      <c r="U609" s="737"/>
    </row>
    <row r="610">
      <c r="A610" s="733">
        <v>44896.0</v>
      </c>
      <c r="B610" s="52" t="str">
        <f t="shared" si="1"/>
        <v>12/2022</v>
      </c>
      <c r="C610" s="52" t="str">
        <f>IF(A610="","",VLOOKUP(A610,'THAM CHIẾU'!$A:$B,2,0))</f>
        <v>#N/A</v>
      </c>
      <c r="D610" s="52" t="str">
        <f>IF(E610&lt;&gt;0,VLOOKUP(E610,DM_DUAN,3,0),"")</f>
        <v/>
      </c>
      <c r="E610" s="735"/>
      <c r="F610" s="735"/>
      <c r="G610" s="735"/>
      <c r="H610" s="735"/>
      <c r="I610" s="735"/>
      <c r="J610" s="52" t="s">
        <v>2214</v>
      </c>
      <c r="K610" s="52" t="s">
        <v>2214</v>
      </c>
      <c r="L610" s="735" t="s">
        <v>226</v>
      </c>
      <c r="M610" s="68"/>
      <c r="N610" s="738">
        <v>1250000.0</v>
      </c>
      <c r="O610" s="735"/>
      <c r="P610" s="52" t="s">
        <v>2214</v>
      </c>
      <c r="Q610" s="52" t="s">
        <v>2214</v>
      </c>
      <c r="R610" s="737"/>
      <c r="S610" s="735"/>
      <c r="T610" s="737" t="s">
        <v>2234</v>
      </c>
      <c r="U610" s="737"/>
    </row>
    <row r="611">
      <c r="A611" s="733">
        <v>44896.0</v>
      </c>
      <c r="B611" s="52" t="str">
        <f t="shared" si="1"/>
        <v>12/2022</v>
      </c>
      <c r="C611" s="52" t="str">
        <f>IF(A611="","",VLOOKUP(A611,'THAM CHIẾU'!$A:$B,2,0))</f>
        <v>#N/A</v>
      </c>
      <c r="D611" s="52" t="str">
        <f>IF(E611&lt;&gt;0,VLOOKUP(E611,DM_DUAN,3,0),"")</f>
        <v/>
      </c>
      <c r="E611" s="735"/>
      <c r="F611" s="735"/>
      <c r="G611" s="735"/>
      <c r="H611" s="735"/>
      <c r="I611" s="735"/>
      <c r="J611" s="52" t="s">
        <v>2214</v>
      </c>
      <c r="K611" s="52" t="s">
        <v>2214</v>
      </c>
      <c r="L611" s="735" t="s">
        <v>174</v>
      </c>
      <c r="M611" s="68"/>
      <c r="N611" s="738">
        <v>4.0861E7</v>
      </c>
      <c r="O611" s="735"/>
      <c r="P611" s="52" t="s">
        <v>2214</v>
      </c>
      <c r="Q611" s="52" t="s">
        <v>2214</v>
      </c>
      <c r="R611" s="737"/>
      <c r="S611" s="735"/>
      <c r="T611" s="737" t="s">
        <v>2235</v>
      </c>
      <c r="U611" s="737"/>
    </row>
    <row r="612">
      <c r="A612" s="733">
        <v>44896.0</v>
      </c>
      <c r="B612" s="52" t="str">
        <f t="shared" si="1"/>
        <v>12/2022</v>
      </c>
      <c r="C612" s="52" t="str">
        <f>IF(A612="","",VLOOKUP(A612,'THAM CHIẾU'!$A:$B,2,0))</f>
        <v>#N/A</v>
      </c>
      <c r="D612" s="52" t="str">
        <f>IF(E612&lt;&gt;0,VLOOKUP(E612,DM_DUAN,3,0),"")</f>
        <v/>
      </c>
      <c r="E612" s="735"/>
      <c r="F612" s="735"/>
      <c r="G612" s="735"/>
      <c r="H612" s="735"/>
      <c r="I612" s="735"/>
      <c r="J612" s="52" t="s">
        <v>2214</v>
      </c>
      <c r="K612" s="52" t="s">
        <v>2214</v>
      </c>
      <c r="L612" s="735" t="s">
        <v>2236</v>
      </c>
      <c r="M612" s="68"/>
      <c r="N612" s="738">
        <v>1666000.0</v>
      </c>
      <c r="O612" s="735"/>
      <c r="P612" s="52" t="s">
        <v>2214</v>
      </c>
      <c r="Q612" s="52" t="s">
        <v>2214</v>
      </c>
      <c r="R612" s="737"/>
      <c r="S612" s="735"/>
      <c r="T612" s="737" t="s">
        <v>2237</v>
      </c>
      <c r="U612" s="737"/>
    </row>
    <row r="613">
      <c r="A613" s="733">
        <v>44896.0</v>
      </c>
      <c r="B613" s="52" t="str">
        <f t="shared" si="1"/>
        <v>12/2022</v>
      </c>
      <c r="C613" s="52" t="str">
        <f>IF(A613="","",VLOOKUP(A613,'THAM CHIẾU'!$A:$B,2,0))</f>
        <v>#N/A</v>
      </c>
      <c r="D613" s="52" t="str">
        <f>IF(E613&lt;&gt;0,VLOOKUP(E613,DM_DUAN,3,0),"")</f>
        <v/>
      </c>
      <c r="E613" s="735"/>
      <c r="F613" s="735"/>
      <c r="G613" s="735"/>
      <c r="H613" s="735"/>
      <c r="I613" s="735"/>
      <c r="J613" s="52" t="s">
        <v>2214</v>
      </c>
      <c r="K613" s="52" t="s">
        <v>2214</v>
      </c>
      <c r="L613" s="735"/>
      <c r="M613" s="68"/>
      <c r="N613" s="738"/>
      <c r="O613" s="735"/>
      <c r="P613" s="52" t="s">
        <v>2214</v>
      </c>
      <c r="Q613" s="52" t="s">
        <v>2214</v>
      </c>
      <c r="R613" s="737"/>
      <c r="S613" s="735"/>
      <c r="T613" s="737"/>
      <c r="U613" s="737"/>
    </row>
    <row r="614">
      <c r="A614" s="733">
        <v>44896.0</v>
      </c>
      <c r="B614" s="52" t="str">
        <f t="shared" si="1"/>
        <v>12/2022</v>
      </c>
      <c r="C614" s="52" t="str">
        <f>IF(A614="","",VLOOKUP(A614,'THAM CHIẾU'!$A:$B,2,0))</f>
        <v>#N/A</v>
      </c>
      <c r="D614" s="52" t="str">
        <f>IF(E614&lt;&gt;0,VLOOKUP(E614,DM_DUAN,3,0),"")</f>
        <v/>
      </c>
      <c r="E614" s="735"/>
      <c r="F614" s="735"/>
      <c r="G614" s="735"/>
      <c r="H614" s="735"/>
      <c r="I614" s="735"/>
      <c r="J614" s="52" t="s">
        <v>2214</v>
      </c>
      <c r="K614" s="52" t="s">
        <v>2214</v>
      </c>
      <c r="L614" s="735" t="s">
        <v>169</v>
      </c>
      <c r="M614" s="68"/>
      <c r="N614" s="738">
        <v>1.0643E7</v>
      </c>
      <c r="O614" s="735"/>
      <c r="P614" s="52" t="s">
        <v>2214</v>
      </c>
      <c r="Q614" s="52" t="s">
        <v>2214</v>
      </c>
      <c r="R614" s="737"/>
      <c r="S614" s="735"/>
      <c r="T614" s="737" t="s">
        <v>2240</v>
      </c>
      <c r="U614" s="737"/>
    </row>
    <row r="615">
      <c r="A615" s="733">
        <v>44896.0</v>
      </c>
      <c r="B615" s="52" t="str">
        <f t="shared" si="1"/>
        <v>12/2022</v>
      </c>
      <c r="C615" s="52" t="str">
        <f>IF(A615="","",VLOOKUP(A615,'THAM CHIẾU'!$A:$B,2,0))</f>
        <v>#N/A</v>
      </c>
      <c r="D615" s="52" t="str">
        <f>IF(E615&lt;&gt;0,VLOOKUP(E615,DM_DUAN,3,0),"")</f>
        <v/>
      </c>
      <c r="E615" s="735"/>
      <c r="F615" s="735"/>
      <c r="G615" s="735"/>
      <c r="H615" s="735"/>
      <c r="I615" s="735"/>
      <c r="J615" s="52" t="s">
        <v>2214</v>
      </c>
      <c r="K615" s="52" t="s">
        <v>2214</v>
      </c>
      <c r="L615" s="735" t="s">
        <v>190</v>
      </c>
      <c r="M615" s="68"/>
      <c r="N615" s="738">
        <v>3.9E9</v>
      </c>
      <c r="O615" s="735"/>
      <c r="P615" s="52" t="s">
        <v>2214</v>
      </c>
      <c r="Q615" s="52" t="s">
        <v>2214</v>
      </c>
      <c r="R615" s="737"/>
      <c r="S615" s="735"/>
      <c r="T615" s="737" t="s">
        <v>2241</v>
      </c>
      <c r="U615" s="737"/>
    </row>
    <row r="616">
      <c r="A616" s="733">
        <v>44896.0</v>
      </c>
      <c r="B616" s="52" t="str">
        <f t="shared" si="1"/>
        <v>12/2022</v>
      </c>
      <c r="C616" s="52" t="str">
        <f>IF(A616="","",VLOOKUP(A616,'THAM CHIẾU'!$A:$B,2,0))</f>
        <v>#N/A</v>
      </c>
      <c r="D616" s="52" t="str">
        <f>IF(E616&lt;&gt;0,VLOOKUP(E616,DM_DUAN,3,0),"")</f>
        <v/>
      </c>
      <c r="E616" s="735"/>
      <c r="F616" s="735"/>
      <c r="G616" s="735"/>
      <c r="H616" s="735"/>
      <c r="I616" s="735"/>
      <c r="J616" s="52" t="s">
        <v>2214</v>
      </c>
      <c r="K616" s="52" t="s">
        <v>2214</v>
      </c>
      <c r="L616" s="735" t="s">
        <v>194</v>
      </c>
      <c r="M616" s="68"/>
      <c r="N616" s="738">
        <v>1.04E9</v>
      </c>
      <c r="O616" s="735"/>
      <c r="P616" s="52" t="s">
        <v>2214</v>
      </c>
      <c r="Q616" s="52" t="s">
        <v>2214</v>
      </c>
      <c r="R616" s="737"/>
      <c r="S616" s="735"/>
      <c r="T616" s="737" t="s">
        <v>2242</v>
      </c>
      <c r="U616" s="737"/>
    </row>
    <row r="617">
      <c r="A617" s="733">
        <v>44896.0</v>
      </c>
      <c r="B617" s="52" t="str">
        <f t="shared" si="1"/>
        <v>12/2022</v>
      </c>
      <c r="C617" s="52" t="str">
        <f>IF(A617="","",VLOOKUP(A617,'THAM CHIẾU'!$A:$B,2,0))</f>
        <v>#N/A</v>
      </c>
      <c r="D617" s="52" t="str">
        <f>IF(E617&lt;&gt;0,VLOOKUP(E617,DM_DUAN,3,0),"")</f>
        <v/>
      </c>
      <c r="E617" s="735"/>
      <c r="F617" s="735"/>
      <c r="G617" s="735"/>
      <c r="H617" s="735"/>
      <c r="I617" s="735"/>
      <c r="J617" s="52" t="s">
        <v>2214</v>
      </c>
      <c r="K617" s="52" t="s">
        <v>2214</v>
      </c>
      <c r="L617" s="735" t="s">
        <v>1170</v>
      </c>
      <c r="M617" s="68"/>
      <c r="N617" s="738">
        <v>1.3E8</v>
      </c>
      <c r="O617" s="735"/>
      <c r="P617" s="52" t="s">
        <v>2214</v>
      </c>
      <c r="Q617" s="52" t="s">
        <v>2214</v>
      </c>
      <c r="R617" s="737"/>
      <c r="S617" s="735"/>
      <c r="T617" s="737" t="s">
        <v>1474</v>
      </c>
      <c r="U617" s="737"/>
    </row>
    <row r="618">
      <c r="A618" s="733">
        <v>44896.0</v>
      </c>
      <c r="B618" s="52" t="str">
        <f t="shared" si="1"/>
        <v>12/2022</v>
      </c>
      <c r="C618" s="52" t="str">
        <f>IF(A618="","",VLOOKUP(A618,'THAM CHIẾU'!$A:$B,2,0))</f>
        <v>#N/A</v>
      </c>
      <c r="D618" s="52" t="str">
        <f>IF(E618&lt;&gt;0,VLOOKUP(E618,DM_DUAN,3,0),"")</f>
        <v/>
      </c>
      <c r="E618" s="735"/>
      <c r="F618" s="735"/>
      <c r="G618" s="735"/>
      <c r="H618" s="735"/>
      <c r="I618" s="735"/>
      <c r="J618" s="52" t="s">
        <v>2214</v>
      </c>
      <c r="K618" s="52" t="s">
        <v>2214</v>
      </c>
      <c r="L618" s="735" t="s">
        <v>1142</v>
      </c>
      <c r="M618" s="68"/>
      <c r="N618" s="738">
        <v>1.248E9</v>
      </c>
      <c r="O618" s="735"/>
      <c r="P618" s="52" t="s">
        <v>2214</v>
      </c>
      <c r="Q618" s="52" t="s">
        <v>2214</v>
      </c>
      <c r="R618" s="737"/>
      <c r="S618" s="735"/>
      <c r="T618" s="737" t="s">
        <v>2244</v>
      </c>
      <c r="U618" s="737"/>
    </row>
    <row r="619">
      <c r="A619" s="733">
        <v>44896.0</v>
      </c>
      <c r="B619" s="52" t="str">
        <f t="shared" si="1"/>
        <v>12/2022</v>
      </c>
      <c r="C619" s="52" t="str">
        <f>IF(A619="","",VLOOKUP(A619,'THAM CHIẾU'!$A:$B,2,0))</f>
        <v>#N/A</v>
      </c>
      <c r="D619" s="52" t="str">
        <f>IF(E619&lt;&gt;0,VLOOKUP(E619,DM_DUAN,3,0),"")</f>
        <v/>
      </c>
      <c r="E619" s="735"/>
      <c r="F619" s="735"/>
      <c r="G619" s="735"/>
      <c r="H619" s="735"/>
      <c r="I619" s="735"/>
      <c r="J619" s="52" t="s">
        <v>2214</v>
      </c>
      <c r="K619" s="52" t="s">
        <v>2214</v>
      </c>
      <c r="L619" s="735" t="s">
        <v>181</v>
      </c>
      <c r="M619" s="68"/>
      <c r="N619" s="738">
        <v>1.3E9</v>
      </c>
      <c r="O619" s="735"/>
      <c r="P619" s="52" t="s">
        <v>2214</v>
      </c>
      <c r="Q619" s="52" t="s">
        <v>2214</v>
      </c>
      <c r="R619" s="737"/>
      <c r="S619" s="735"/>
      <c r="T619" s="737" t="s">
        <v>2245</v>
      </c>
      <c r="U619" s="737"/>
    </row>
    <row r="620">
      <c r="A620" s="733">
        <v>44896.0</v>
      </c>
      <c r="B620" s="52" t="str">
        <f t="shared" si="1"/>
        <v>12/2022</v>
      </c>
      <c r="C620" s="52" t="str">
        <f>IF(A620="","",VLOOKUP(A620,'THAM CHIẾU'!$A:$B,2,0))</f>
        <v>#N/A</v>
      </c>
      <c r="D620" s="52" t="str">
        <f>IF(E620&lt;&gt;0,VLOOKUP(E620,DM_DUAN,3,0),"")</f>
        <v/>
      </c>
      <c r="E620" s="735"/>
      <c r="F620" s="735"/>
      <c r="G620" s="735"/>
      <c r="H620" s="735"/>
      <c r="I620" s="735"/>
      <c r="J620" s="52" t="s">
        <v>2214</v>
      </c>
      <c r="K620" s="52" t="s">
        <v>2214</v>
      </c>
      <c r="L620" s="735" t="s">
        <v>2243</v>
      </c>
      <c r="M620" s="68"/>
      <c r="N620" s="738">
        <v>3.9E7</v>
      </c>
      <c r="O620" s="735"/>
      <c r="P620" s="52" t="s">
        <v>2214</v>
      </c>
      <c r="Q620" s="52" t="s">
        <v>2214</v>
      </c>
      <c r="R620" s="737"/>
      <c r="S620" s="735"/>
      <c r="T620" s="737" t="s">
        <v>2246</v>
      </c>
      <c r="U620" s="737"/>
    </row>
    <row r="621">
      <c r="A621" s="733"/>
      <c r="B621" s="52" t="str">
        <f t="shared" si="1"/>
        <v/>
      </c>
      <c r="C621" s="52" t="str">
        <f>IF(A621="","",VLOOKUP(A621,'THAM CHIẾU'!$A:$B,2,0))</f>
        <v/>
      </c>
      <c r="D621" s="52" t="str">
        <f>IF(E621&lt;&gt;0,VLOOKUP(E621,DM_DUAN,3,0),"")</f>
        <v/>
      </c>
      <c r="E621" s="735"/>
      <c r="F621" s="735"/>
      <c r="G621" s="735"/>
      <c r="H621" s="735"/>
      <c r="I621" s="735"/>
      <c r="J621" s="52" t="s">
        <v>2214</v>
      </c>
      <c r="K621" s="52" t="s">
        <v>2214</v>
      </c>
      <c r="L621" s="735"/>
      <c r="M621" s="68"/>
      <c r="N621" s="738">
        <v>0.0</v>
      </c>
      <c r="O621" s="735"/>
      <c r="P621" s="52" t="s">
        <v>2214</v>
      </c>
      <c r="Q621" s="52" t="s">
        <v>2214</v>
      </c>
      <c r="R621" s="737"/>
      <c r="S621" s="735"/>
      <c r="T621" s="737"/>
      <c r="U621" s="737"/>
    </row>
    <row r="622">
      <c r="A622" s="733"/>
      <c r="B622" s="52" t="str">
        <f t="shared" si="1"/>
        <v/>
      </c>
      <c r="C622" s="52" t="str">
        <f>IF(A622="","",VLOOKUP(A622,'THAM CHIẾU'!$A:$B,2,0))</f>
        <v/>
      </c>
      <c r="D622" s="52" t="str">
        <f>IF(E622&lt;&gt;0,VLOOKUP(E622,DM_DUAN,3,0),"")</f>
        <v/>
      </c>
      <c r="E622" s="735"/>
      <c r="F622" s="735"/>
      <c r="G622" s="735"/>
      <c r="H622" s="735"/>
      <c r="I622" s="735"/>
      <c r="J622" s="52" t="s">
        <v>2214</v>
      </c>
      <c r="K622" s="52" t="s">
        <v>2214</v>
      </c>
      <c r="L622" s="735"/>
      <c r="M622" s="68"/>
      <c r="N622" s="738">
        <v>0.0</v>
      </c>
      <c r="O622" s="735"/>
      <c r="P622" s="52" t="s">
        <v>2214</v>
      </c>
      <c r="Q622" s="52" t="s">
        <v>2214</v>
      </c>
      <c r="R622" s="737"/>
      <c r="S622" s="735"/>
      <c r="T622" s="737"/>
      <c r="U622" s="737"/>
    </row>
    <row r="623">
      <c r="A623" s="733"/>
      <c r="B623" s="52" t="str">
        <f t="shared" si="1"/>
        <v/>
      </c>
      <c r="C623" s="52" t="str">
        <f>IF(A623="","",VLOOKUP(A623,'THAM CHIẾU'!$A:$B,2,0))</f>
        <v/>
      </c>
      <c r="D623" s="52" t="str">
        <f>IF(E623&lt;&gt;0,VLOOKUP(E623,DM_DUAN,3,0),"")</f>
        <v/>
      </c>
      <c r="E623" s="735"/>
      <c r="F623" s="735"/>
      <c r="G623" s="735"/>
      <c r="H623" s="735"/>
      <c r="I623" s="735"/>
      <c r="J623" s="52" t="s">
        <v>2214</v>
      </c>
      <c r="K623" s="52" t="s">
        <v>2214</v>
      </c>
      <c r="L623" s="735"/>
      <c r="M623" s="68"/>
      <c r="N623" s="738">
        <v>0.0</v>
      </c>
      <c r="O623" s="735"/>
      <c r="P623" s="52" t="s">
        <v>2214</v>
      </c>
      <c r="Q623" s="52" t="s">
        <v>2214</v>
      </c>
      <c r="R623" s="737"/>
      <c r="S623" s="735"/>
      <c r="T623" s="737"/>
      <c r="U623" s="737"/>
    </row>
    <row r="624">
      <c r="A624" s="733"/>
      <c r="B624" s="52" t="str">
        <f t="shared" si="1"/>
        <v/>
      </c>
      <c r="C624" s="52" t="str">
        <f>IF(A624="","",VLOOKUP(A624,'THAM CHIẾU'!$A:$B,2,0))</f>
        <v/>
      </c>
      <c r="D624" s="52" t="str">
        <f>IF(E624&lt;&gt;0,VLOOKUP(E624,DM_DUAN,3,0),"")</f>
        <v/>
      </c>
      <c r="E624" s="735"/>
      <c r="F624" s="735"/>
      <c r="G624" s="735"/>
      <c r="H624" s="735"/>
      <c r="I624" s="735"/>
      <c r="J624" s="52" t="s">
        <v>2214</v>
      </c>
      <c r="K624" s="52" t="s">
        <v>2214</v>
      </c>
      <c r="L624" s="735"/>
      <c r="M624" s="68"/>
      <c r="N624" s="738">
        <v>0.0</v>
      </c>
      <c r="O624" s="735"/>
      <c r="P624" s="52" t="s">
        <v>2214</v>
      </c>
      <c r="Q624" s="52" t="s">
        <v>2214</v>
      </c>
      <c r="R624" s="737"/>
      <c r="S624" s="735"/>
      <c r="T624" s="737"/>
      <c r="U624" s="737"/>
    </row>
    <row r="625">
      <c r="A625" s="733"/>
      <c r="B625" s="52" t="str">
        <f t="shared" si="1"/>
        <v/>
      </c>
      <c r="C625" s="52" t="str">
        <f>IF(A625="","",VLOOKUP(A625,'THAM CHIẾU'!$A:$B,2,0))</f>
        <v/>
      </c>
      <c r="D625" s="52" t="str">
        <f>IF(E625&lt;&gt;0,VLOOKUP(E625,DM_DUAN,3,0),"")</f>
        <v/>
      </c>
      <c r="E625" s="735"/>
      <c r="F625" s="735"/>
      <c r="G625" s="735"/>
      <c r="H625" s="735"/>
      <c r="I625" s="735"/>
      <c r="J625" s="52" t="s">
        <v>2214</v>
      </c>
      <c r="K625" s="52" t="s">
        <v>2214</v>
      </c>
      <c r="L625" s="735"/>
      <c r="M625" s="68"/>
      <c r="N625" s="738">
        <v>0.0</v>
      </c>
      <c r="O625" s="735"/>
      <c r="P625" s="52" t="s">
        <v>2214</v>
      </c>
      <c r="Q625" s="52" t="s">
        <v>2214</v>
      </c>
      <c r="R625" s="737"/>
      <c r="S625" s="735"/>
      <c r="T625" s="737"/>
      <c r="U625" s="737"/>
    </row>
    <row r="626">
      <c r="A626" s="733"/>
      <c r="B626" s="52" t="str">
        <f t="shared" si="1"/>
        <v/>
      </c>
      <c r="C626" s="52" t="str">
        <f>IF(A626="","",VLOOKUP(A626,'THAM CHIẾU'!$A:$B,2,0))</f>
        <v/>
      </c>
      <c r="D626" s="52" t="str">
        <f>IF(E626&lt;&gt;0,VLOOKUP(E626,DM_DUAN,3,0),"")</f>
        <v/>
      </c>
      <c r="E626" s="735"/>
      <c r="F626" s="735"/>
      <c r="G626" s="735"/>
      <c r="H626" s="735"/>
      <c r="I626" s="735"/>
      <c r="J626" s="52" t="s">
        <v>2214</v>
      </c>
      <c r="K626" s="52" t="s">
        <v>2214</v>
      </c>
      <c r="L626" s="735"/>
      <c r="M626" s="68"/>
      <c r="N626" s="738">
        <v>0.0</v>
      </c>
      <c r="O626" s="735"/>
      <c r="P626" s="52" t="s">
        <v>2214</v>
      </c>
      <c r="Q626" s="52" t="s">
        <v>2214</v>
      </c>
      <c r="R626" s="737"/>
      <c r="S626" s="735"/>
      <c r="T626" s="737"/>
      <c r="U626" s="737"/>
    </row>
    <row r="627">
      <c r="A627" s="733"/>
      <c r="B627" s="52" t="str">
        <f t="shared" si="1"/>
        <v/>
      </c>
      <c r="C627" s="52" t="str">
        <f>IF(A627="","",VLOOKUP(A627,'THAM CHIẾU'!$A:$B,2,0))</f>
        <v/>
      </c>
      <c r="D627" s="52" t="str">
        <f>IF(E627&lt;&gt;0,VLOOKUP(E627,DM_DUAN,3,0),"")</f>
        <v/>
      </c>
      <c r="E627" s="735"/>
      <c r="F627" s="735"/>
      <c r="G627" s="735"/>
      <c r="H627" s="735"/>
      <c r="I627" s="735"/>
      <c r="J627" s="52" t="s">
        <v>2214</v>
      </c>
      <c r="K627" s="52" t="s">
        <v>2214</v>
      </c>
      <c r="L627" s="735"/>
      <c r="M627" s="68"/>
      <c r="N627" s="738">
        <v>0.0</v>
      </c>
      <c r="O627" s="735"/>
      <c r="P627" s="52" t="s">
        <v>2214</v>
      </c>
      <c r="Q627" s="52" t="s">
        <v>2214</v>
      </c>
      <c r="R627" s="737"/>
      <c r="S627" s="735"/>
      <c r="T627" s="737"/>
      <c r="U627" s="737"/>
    </row>
    <row r="628">
      <c r="A628" s="733"/>
      <c r="B628" s="52" t="str">
        <f t="shared" si="1"/>
        <v/>
      </c>
      <c r="C628" s="52" t="str">
        <f>IF(A628="","",VLOOKUP(A628,'THAM CHIẾU'!$A:$B,2,0))</f>
        <v/>
      </c>
      <c r="D628" s="52" t="str">
        <f>IF(E628&lt;&gt;0,VLOOKUP(E628,DM_DUAN,3,0),"")</f>
        <v/>
      </c>
      <c r="E628" s="735"/>
      <c r="F628" s="735"/>
      <c r="G628" s="735"/>
      <c r="H628" s="735"/>
      <c r="I628" s="735"/>
      <c r="J628" s="52" t="s">
        <v>2214</v>
      </c>
      <c r="K628" s="52" t="s">
        <v>2214</v>
      </c>
      <c r="L628" s="735"/>
      <c r="M628" s="68"/>
      <c r="N628" s="738">
        <v>0.0</v>
      </c>
      <c r="O628" s="735"/>
      <c r="P628" s="52" t="s">
        <v>2214</v>
      </c>
      <c r="Q628" s="52" t="s">
        <v>2214</v>
      </c>
      <c r="R628" s="737"/>
      <c r="S628" s="735"/>
      <c r="T628" s="737"/>
      <c r="U628" s="737"/>
    </row>
    <row r="629">
      <c r="A629" s="733"/>
      <c r="B629" s="52" t="str">
        <f t="shared" si="1"/>
        <v/>
      </c>
      <c r="C629" s="52" t="str">
        <f>IF(A629="","",VLOOKUP(A629,'THAM CHIẾU'!$A:$B,2,0))</f>
        <v/>
      </c>
      <c r="D629" s="52" t="str">
        <f>IF(E629&lt;&gt;0,VLOOKUP(E629,DM_DUAN,3,0),"")</f>
        <v/>
      </c>
      <c r="E629" s="735"/>
      <c r="F629" s="735"/>
      <c r="G629" s="735"/>
      <c r="H629" s="735"/>
      <c r="I629" s="735"/>
      <c r="J629" s="52" t="s">
        <v>2214</v>
      </c>
      <c r="K629" s="52" t="s">
        <v>2214</v>
      </c>
      <c r="L629" s="735"/>
      <c r="M629" s="68"/>
      <c r="N629" s="738">
        <v>0.0</v>
      </c>
      <c r="O629" s="735"/>
      <c r="P629" s="52" t="s">
        <v>2214</v>
      </c>
      <c r="Q629" s="52" t="s">
        <v>2214</v>
      </c>
      <c r="R629" s="737"/>
      <c r="S629" s="735"/>
      <c r="T629" s="737"/>
      <c r="U629" s="737"/>
    </row>
    <row r="630">
      <c r="A630" s="733"/>
      <c r="B630" s="52" t="str">
        <f t="shared" si="1"/>
        <v/>
      </c>
      <c r="C630" s="52" t="str">
        <f>IF(A630="","",VLOOKUP(A630,'THAM CHIẾU'!$A:$B,2,0))</f>
        <v/>
      </c>
      <c r="D630" s="52" t="str">
        <f>IF(E630&lt;&gt;0,VLOOKUP(E630,DM_DUAN,3,0),"")</f>
        <v/>
      </c>
      <c r="E630" s="735"/>
      <c r="F630" s="735"/>
      <c r="G630" s="735"/>
      <c r="H630" s="735"/>
      <c r="I630" s="735"/>
      <c r="J630" s="52" t="s">
        <v>2214</v>
      </c>
      <c r="K630" s="52" t="s">
        <v>2214</v>
      </c>
      <c r="L630" s="735"/>
      <c r="M630" s="68"/>
      <c r="N630" s="738">
        <v>0.0</v>
      </c>
      <c r="O630" s="735"/>
      <c r="P630" s="52" t="s">
        <v>2214</v>
      </c>
      <c r="Q630" s="52" t="s">
        <v>2214</v>
      </c>
      <c r="R630" s="737"/>
      <c r="S630" s="735"/>
      <c r="T630" s="737"/>
      <c r="U630" s="737"/>
    </row>
    <row r="631">
      <c r="A631" s="733"/>
      <c r="B631" s="52" t="str">
        <f t="shared" si="1"/>
        <v/>
      </c>
      <c r="C631" s="52" t="str">
        <f>IF(A631="","",VLOOKUP(A631,'THAM CHIẾU'!$A:$B,2,0))</f>
        <v/>
      </c>
      <c r="D631" s="52" t="str">
        <f>IF(E631&lt;&gt;0,VLOOKUP(E631,DM_DUAN,3,0),"")</f>
        <v/>
      </c>
      <c r="E631" s="735"/>
      <c r="F631" s="735"/>
      <c r="G631" s="735"/>
      <c r="H631" s="735"/>
      <c r="I631" s="735"/>
      <c r="J631" s="52" t="s">
        <v>2214</v>
      </c>
      <c r="K631" s="52" t="s">
        <v>2214</v>
      </c>
      <c r="L631" s="735"/>
      <c r="M631" s="68"/>
      <c r="N631" s="738">
        <v>0.0</v>
      </c>
      <c r="O631" s="735"/>
      <c r="P631" s="52" t="s">
        <v>2214</v>
      </c>
      <c r="Q631" s="52" t="s">
        <v>2214</v>
      </c>
      <c r="R631" s="737"/>
      <c r="S631" s="735"/>
      <c r="T631" s="737"/>
      <c r="U631" s="737"/>
    </row>
    <row r="632">
      <c r="A632" s="733"/>
      <c r="B632" s="52" t="str">
        <f t="shared" si="1"/>
        <v/>
      </c>
      <c r="C632" s="52" t="str">
        <f>IF(A632="","",VLOOKUP(A632,'THAM CHIẾU'!$A:$B,2,0))</f>
        <v/>
      </c>
      <c r="D632" s="52" t="str">
        <f>IF(E632&lt;&gt;0,VLOOKUP(E632,DM_DUAN,3,0),"")</f>
        <v/>
      </c>
      <c r="E632" s="735"/>
      <c r="F632" s="735"/>
      <c r="G632" s="735"/>
      <c r="H632" s="735"/>
      <c r="I632" s="735"/>
      <c r="J632" s="52" t="s">
        <v>2214</v>
      </c>
      <c r="K632" s="52" t="s">
        <v>2214</v>
      </c>
      <c r="L632" s="735"/>
      <c r="M632" s="68"/>
      <c r="N632" s="738">
        <v>0.0</v>
      </c>
      <c r="O632" s="735"/>
      <c r="P632" s="52" t="s">
        <v>2214</v>
      </c>
      <c r="Q632" s="52" t="s">
        <v>2214</v>
      </c>
      <c r="R632" s="737"/>
      <c r="S632" s="735"/>
      <c r="T632" s="737"/>
      <c r="U632" s="737"/>
    </row>
    <row r="633">
      <c r="A633" s="733"/>
      <c r="B633" s="52" t="str">
        <f t="shared" si="1"/>
        <v/>
      </c>
      <c r="C633" s="52" t="str">
        <f>IF(A633="","",VLOOKUP(A633,'THAM CHIẾU'!$A:$B,2,0))</f>
        <v/>
      </c>
      <c r="D633" s="52" t="str">
        <f>IF(E633&lt;&gt;0,VLOOKUP(E633,DM_DUAN,3,0),"")</f>
        <v/>
      </c>
      <c r="E633" s="735"/>
      <c r="F633" s="735"/>
      <c r="G633" s="735"/>
      <c r="H633" s="735"/>
      <c r="I633" s="735"/>
      <c r="J633" s="52" t="s">
        <v>2214</v>
      </c>
      <c r="K633" s="52" t="s">
        <v>2214</v>
      </c>
      <c r="L633" s="735"/>
      <c r="M633" s="68"/>
      <c r="N633" s="738">
        <v>0.0</v>
      </c>
      <c r="O633" s="735"/>
      <c r="P633" s="52" t="s">
        <v>2214</v>
      </c>
      <c r="Q633" s="52" t="s">
        <v>2214</v>
      </c>
      <c r="R633" s="737"/>
      <c r="S633" s="735"/>
      <c r="T633" s="737"/>
      <c r="U633" s="737"/>
    </row>
    <row r="634">
      <c r="A634" s="733"/>
      <c r="B634" s="52" t="str">
        <f t="shared" si="1"/>
        <v/>
      </c>
      <c r="C634" s="52" t="str">
        <f>IF(A634="","",VLOOKUP(A634,'THAM CHIẾU'!$A:$B,2,0))</f>
        <v/>
      </c>
      <c r="D634" s="52" t="str">
        <f>IF(E634&lt;&gt;0,VLOOKUP(E634,DM_DUAN,3,0),"")</f>
        <v/>
      </c>
      <c r="E634" s="735"/>
      <c r="F634" s="735"/>
      <c r="G634" s="735"/>
      <c r="H634" s="735"/>
      <c r="I634" s="735"/>
      <c r="J634" s="52" t="s">
        <v>2214</v>
      </c>
      <c r="K634" s="52" t="s">
        <v>2214</v>
      </c>
      <c r="L634" s="735"/>
      <c r="M634" s="68"/>
      <c r="N634" s="738">
        <v>0.0</v>
      </c>
      <c r="O634" s="735"/>
      <c r="P634" s="52" t="s">
        <v>2214</v>
      </c>
      <c r="Q634" s="52" t="s">
        <v>2214</v>
      </c>
      <c r="R634" s="737"/>
      <c r="S634" s="735"/>
      <c r="T634" s="737"/>
      <c r="U634" s="737"/>
    </row>
    <row r="635">
      <c r="A635" s="733"/>
      <c r="B635" s="52" t="str">
        <f t="shared" si="1"/>
        <v/>
      </c>
      <c r="C635" s="52" t="str">
        <f>IF(A635="","",VLOOKUP(A635,'THAM CHIẾU'!$A:$B,2,0))</f>
        <v/>
      </c>
      <c r="D635" s="52" t="str">
        <f>IF(E635&lt;&gt;0,VLOOKUP(E635,DM_DUAN,3,0),"")</f>
        <v/>
      </c>
      <c r="E635" s="735"/>
      <c r="F635" s="735"/>
      <c r="G635" s="735"/>
      <c r="H635" s="735"/>
      <c r="I635" s="735"/>
      <c r="J635" s="52" t="s">
        <v>2214</v>
      </c>
      <c r="K635" s="52" t="s">
        <v>2214</v>
      </c>
      <c r="L635" s="735"/>
      <c r="M635" s="68"/>
      <c r="N635" s="738">
        <v>0.0</v>
      </c>
      <c r="O635" s="735"/>
      <c r="P635" s="52" t="s">
        <v>2214</v>
      </c>
      <c r="Q635" s="52" t="s">
        <v>2214</v>
      </c>
      <c r="R635" s="737"/>
      <c r="S635" s="735"/>
      <c r="T635" s="737"/>
      <c r="U635" s="737"/>
    </row>
    <row r="636">
      <c r="A636" s="733"/>
      <c r="B636" s="52" t="str">
        <f t="shared" si="1"/>
        <v/>
      </c>
      <c r="C636" s="52" t="str">
        <f>IF(A636="","",VLOOKUP(A636,'THAM CHIẾU'!$A:$B,2,0))</f>
        <v/>
      </c>
      <c r="D636" s="52" t="str">
        <f>IF(E636&lt;&gt;0,VLOOKUP(E636,DM_DUAN,3,0),"")</f>
        <v/>
      </c>
      <c r="E636" s="735"/>
      <c r="F636" s="735"/>
      <c r="G636" s="735"/>
      <c r="H636" s="735"/>
      <c r="I636" s="735"/>
      <c r="J636" s="52" t="s">
        <v>2214</v>
      </c>
      <c r="K636" s="52" t="s">
        <v>2214</v>
      </c>
      <c r="L636" s="735"/>
      <c r="M636" s="68"/>
      <c r="N636" s="738">
        <v>0.0</v>
      </c>
      <c r="O636" s="735"/>
      <c r="P636" s="52" t="s">
        <v>2214</v>
      </c>
      <c r="Q636" s="52" t="s">
        <v>2214</v>
      </c>
      <c r="R636" s="737"/>
      <c r="S636" s="735"/>
      <c r="T636" s="737"/>
      <c r="U636" s="737"/>
    </row>
    <row r="637">
      <c r="A637" s="733"/>
      <c r="B637" s="52" t="str">
        <f t="shared" si="1"/>
        <v/>
      </c>
      <c r="C637" s="52" t="str">
        <f>IF(A637="","",VLOOKUP(A637,'THAM CHIẾU'!$A:$B,2,0))</f>
        <v/>
      </c>
      <c r="D637" s="52" t="str">
        <f>IF(E637&lt;&gt;0,VLOOKUP(E637,DM_DUAN,3,0),"")</f>
        <v/>
      </c>
      <c r="E637" s="735"/>
      <c r="F637" s="735"/>
      <c r="G637" s="735"/>
      <c r="H637" s="735"/>
      <c r="I637" s="735"/>
      <c r="J637" s="52" t="s">
        <v>2214</v>
      </c>
      <c r="K637" s="52" t="s">
        <v>2214</v>
      </c>
      <c r="L637" s="735"/>
      <c r="M637" s="68"/>
      <c r="N637" s="738">
        <v>0.0</v>
      </c>
      <c r="O637" s="735"/>
      <c r="P637" s="52" t="s">
        <v>2214</v>
      </c>
      <c r="Q637" s="52" t="s">
        <v>2214</v>
      </c>
      <c r="R637" s="737"/>
      <c r="S637" s="735"/>
      <c r="T637" s="737"/>
      <c r="U637" s="737"/>
    </row>
    <row r="638">
      <c r="A638" s="733"/>
      <c r="B638" s="52" t="str">
        <f t="shared" si="1"/>
        <v/>
      </c>
      <c r="C638" s="52" t="str">
        <f>IF(A638="","",VLOOKUP(A638,'THAM CHIẾU'!$A:$B,2,0))</f>
        <v/>
      </c>
      <c r="D638" s="52" t="str">
        <f>IF(E638&lt;&gt;0,VLOOKUP(E638,DM_DUAN,3,0),"")</f>
        <v/>
      </c>
      <c r="E638" s="735"/>
      <c r="F638" s="735"/>
      <c r="G638" s="735"/>
      <c r="H638" s="735"/>
      <c r="I638" s="735"/>
      <c r="J638" s="52" t="s">
        <v>2214</v>
      </c>
      <c r="K638" s="52" t="s">
        <v>2214</v>
      </c>
      <c r="L638" s="735"/>
      <c r="M638" s="68"/>
      <c r="N638" s="738">
        <v>0.0</v>
      </c>
      <c r="O638" s="735"/>
      <c r="P638" s="52" t="s">
        <v>2214</v>
      </c>
      <c r="Q638" s="52" t="s">
        <v>2214</v>
      </c>
      <c r="R638" s="737"/>
      <c r="S638" s="735"/>
      <c r="T638" s="737"/>
      <c r="U638" s="737"/>
    </row>
    <row r="639">
      <c r="A639" s="733"/>
      <c r="B639" s="52" t="str">
        <f t="shared" si="1"/>
        <v/>
      </c>
      <c r="C639" s="52" t="str">
        <f>IF(A639="","",VLOOKUP(A639,'THAM CHIẾU'!$A:$B,2,0))</f>
        <v/>
      </c>
      <c r="D639" s="52" t="str">
        <f>IF(E639&lt;&gt;0,VLOOKUP(E639,DM_DUAN,3,0),"")</f>
        <v/>
      </c>
      <c r="E639" s="735"/>
      <c r="F639" s="735"/>
      <c r="G639" s="735"/>
      <c r="H639" s="735"/>
      <c r="I639" s="735"/>
      <c r="J639" s="52" t="s">
        <v>2214</v>
      </c>
      <c r="K639" s="52" t="s">
        <v>2214</v>
      </c>
      <c r="L639" s="735"/>
      <c r="M639" s="68"/>
      <c r="N639" s="738">
        <v>0.0</v>
      </c>
      <c r="O639" s="735"/>
      <c r="P639" s="52" t="s">
        <v>2214</v>
      </c>
      <c r="Q639" s="52" t="s">
        <v>2214</v>
      </c>
      <c r="R639" s="737"/>
      <c r="S639" s="735"/>
      <c r="T639" s="737"/>
      <c r="U639" s="737"/>
    </row>
    <row r="640">
      <c r="A640" s="733"/>
      <c r="B640" s="52" t="str">
        <f t="shared" si="1"/>
        <v/>
      </c>
      <c r="C640" s="52" t="str">
        <f>IF(A640="","",VLOOKUP(A640,'THAM CHIẾU'!$A:$B,2,0))</f>
        <v/>
      </c>
      <c r="D640" s="52" t="str">
        <f>IF(E640&lt;&gt;0,VLOOKUP(E640,DM_DUAN,3,0),"")</f>
        <v/>
      </c>
      <c r="E640" s="735"/>
      <c r="F640" s="735"/>
      <c r="G640" s="735"/>
      <c r="H640" s="735"/>
      <c r="I640" s="735"/>
      <c r="J640" s="52" t="s">
        <v>2214</v>
      </c>
      <c r="K640" s="52" t="s">
        <v>2214</v>
      </c>
      <c r="L640" s="735"/>
      <c r="M640" s="68"/>
      <c r="N640" s="738">
        <v>0.0</v>
      </c>
      <c r="O640" s="735"/>
      <c r="P640" s="52" t="s">
        <v>2214</v>
      </c>
      <c r="Q640" s="52" t="s">
        <v>2214</v>
      </c>
      <c r="R640" s="737"/>
      <c r="S640" s="735"/>
      <c r="T640" s="737"/>
      <c r="U640" s="737"/>
    </row>
    <row r="641">
      <c r="A641" s="733"/>
      <c r="B641" s="52" t="str">
        <f t="shared" si="1"/>
        <v/>
      </c>
      <c r="C641" s="52" t="str">
        <f>IF(A641="","",VLOOKUP(A641,'THAM CHIẾU'!$A:$B,2,0))</f>
        <v/>
      </c>
      <c r="D641" s="52" t="str">
        <f>IF(E641&lt;&gt;0,VLOOKUP(E641,DM_DUAN,3,0),"")</f>
        <v/>
      </c>
      <c r="E641" s="735"/>
      <c r="F641" s="735"/>
      <c r="G641" s="735"/>
      <c r="H641" s="735"/>
      <c r="I641" s="735"/>
      <c r="J641" s="52" t="s">
        <v>2214</v>
      </c>
      <c r="K641" s="52" t="s">
        <v>2214</v>
      </c>
      <c r="L641" s="735"/>
      <c r="M641" s="68"/>
      <c r="N641" s="738">
        <v>0.0</v>
      </c>
      <c r="O641" s="735"/>
      <c r="P641" s="52" t="s">
        <v>2214</v>
      </c>
      <c r="Q641" s="52" t="s">
        <v>2214</v>
      </c>
      <c r="R641" s="737"/>
      <c r="S641" s="735"/>
      <c r="T641" s="737"/>
      <c r="U641" s="737"/>
    </row>
    <row r="642">
      <c r="A642" s="733"/>
      <c r="B642" s="52" t="str">
        <f t="shared" si="1"/>
        <v/>
      </c>
      <c r="C642" s="52" t="str">
        <f>IF(A642="","",VLOOKUP(A642,'THAM CHIẾU'!$A:$B,2,0))</f>
        <v/>
      </c>
      <c r="D642" s="52" t="str">
        <f>IF(E642&lt;&gt;0,VLOOKUP(E642,DM_DUAN,3,0),"")</f>
        <v/>
      </c>
      <c r="E642" s="735"/>
      <c r="F642" s="735"/>
      <c r="G642" s="735"/>
      <c r="H642" s="735"/>
      <c r="I642" s="735"/>
      <c r="J642" s="52" t="s">
        <v>2214</v>
      </c>
      <c r="K642" s="52" t="s">
        <v>2214</v>
      </c>
      <c r="L642" s="735"/>
      <c r="M642" s="68"/>
      <c r="N642" s="738">
        <v>0.0</v>
      </c>
      <c r="O642" s="735"/>
      <c r="P642" s="52" t="s">
        <v>2214</v>
      </c>
      <c r="Q642" s="52" t="s">
        <v>2214</v>
      </c>
      <c r="R642" s="737"/>
      <c r="S642" s="735"/>
      <c r="T642" s="737"/>
      <c r="U642" s="737"/>
    </row>
    <row r="643">
      <c r="A643" s="733"/>
      <c r="B643" s="52" t="str">
        <f t="shared" si="1"/>
        <v/>
      </c>
      <c r="C643" s="52" t="str">
        <f>IF(A643="","",VLOOKUP(A643,'THAM CHIẾU'!$A:$B,2,0))</f>
        <v/>
      </c>
      <c r="D643" s="52" t="str">
        <f>IF(E643&lt;&gt;0,VLOOKUP(E643,DM_DUAN,3,0),"")</f>
        <v/>
      </c>
      <c r="E643" s="735"/>
      <c r="F643" s="735"/>
      <c r="G643" s="735"/>
      <c r="H643" s="735"/>
      <c r="I643" s="735"/>
      <c r="J643" s="52" t="s">
        <v>2214</v>
      </c>
      <c r="K643" s="52" t="s">
        <v>2214</v>
      </c>
      <c r="L643" s="735"/>
      <c r="M643" s="68"/>
      <c r="N643" s="738">
        <v>0.0</v>
      </c>
      <c r="O643" s="735"/>
      <c r="P643" s="52" t="s">
        <v>2214</v>
      </c>
      <c r="Q643" s="52" t="s">
        <v>2214</v>
      </c>
      <c r="R643" s="737"/>
      <c r="S643" s="735"/>
      <c r="T643" s="737"/>
      <c r="U643" s="737"/>
    </row>
    <row r="644">
      <c r="A644" s="733"/>
      <c r="B644" s="52" t="str">
        <f t="shared" si="1"/>
        <v/>
      </c>
      <c r="C644" s="52" t="str">
        <f>IF(A644="","",VLOOKUP(A644,'THAM CHIẾU'!$A:$B,2,0))</f>
        <v/>
      </c>
      <c r="D644" s="52" t="str">
        <f>IF(E644&lt;&gt;0,VLOOKUP(E644,DM_DUAN,3,0),"")</f>
        <v/>
      </c>
      <c r="E644" s="735"/>
      <c r="F644" s="735"/>
      <c r="G644" s="735"/>
      <c r="H644" s="735"/>
      <c r="I644" s="735"/>
      <c r="J644" s="52" t="s">
        <v>2214</v>
      </c>
      <c r="K644" s="52" t="s">
        <v>2214</v>
      </c>
      <c r="L644" s="735"/>
      <c r="M644" s="68"/>
      <c r="N644" s="738">
        <v>0.0</v>
      </c>
      <c r="O644" s="735"/>
      <c r="P644" s="52" t="s">
        <v>2214</v>
      </c>
      <c r="Q644" s="52" t="s">
        <v>2214</v>
      </c>
      <c r="R644" s="737"/>
      <c r="S644" s="735"/>
      <c r="T644" s="737"/>
      <c r="U644" s="737"/>
    </row>
    <row r="645">
      <c r="A645" s="733"/>
      <c r="B645" s="52" t="str">
        <f t="shared" si="1"/>
        <v/>
      </c>
      <c r="C645" s="52" t="str">
        <f>IF(A645="","",VLOOKUP(A645,'THAM CHIẾU'!$A:$B,2,0))</f>
        <v/>
      </c>
      <c r="D645" s="52" t="str">
        <f>IF(E645&lt;&gt;0,VLOOKUP(E645,DM_DUAN,3,0),"")</f>
        <v/>
      </c>
      <c r="E645" s="735"/>
      <c r="F645" s="735"/>
      <c r="G645" s="735"/>
      <c r="H645" s="735"/>
      <c r="I645" s="735"/>
      <c r="J645" s="52" t="s">
        <v>2214</v>
      </c>
      <c r="K645" s="52" t="s">
        <v>2214</v>
      </c>
      <c r="L645" s="735"/>
      <c r="M645" s="68"/>
      <c r="N645" s="738">
        <v>0.0</v>
      </c>
      <c r="O645" s="735"/>
      <c r="P645" s="52" t="s">
        <v>2214</v>
      </c>
      <c r="Q645" s="52" t="s">
        <v>2214</v>
      </c>
      <c r="R645" s="737"/>
      <c r="S645" s="735"/>
      <c r="T645" s="737"/>
      <c r="U645" s="737"/>
    </row>
    <row r="646">
      <c r="A646" s="733"/>
      <c r="B646" s="52" t="str">
        <f t="shared" si="1"/>
        <v/>
      </c>
      <c r="C646" s="52" t="str">
        <f>IF(A646="","",VLOOKUP(A646,'THAM CHIẾU'!$A:$B,2,0))</f>
        <v/>
      </c>
      <c r="D646" s="52" t="str">
        <f>IF(E646&lt;&gt;0,VLOOKUP(E646,DM_DUAN,3,0),"")</f>
        <v/>
      </c>
      <c r="E646" s="735"/>
      <c r="F646" s="735"/>
      <c r="G646" s="735"/>
      <c r="H646" s="735"/>
      <c r="I646" s="735"/>
      <c r="J646" s="52" t="s">
        <v>2214</v>
      </c>
      <c r="K646" s="52" t="s">
        <v>2214</v>
      </c>
      <c r="L646" s="735"/>
      <c r="M646" s="68"/>
      <c r="N646" s="738">
        <v>0.0</v>
      </c>
      <c r="O646" s="735"/>
      <c r="P646" s="52" t="s">
        <v>2214</v>
      </c>
      <c r="Q646" s="52" t="s">
        <v>2214</v>
      </c>
      <c r="R646" s="737"/>
      <c r="S646" s="735"/>
      <c r="T646" s="737"/>
      <c r="U646" s="737"/>
    </row>
    <row r="647">
      <c r="A647" s="733"/>
      <c r="B647" s="52" t="str">
        <f t="shared" si="1"/>
        <v/>
      </c>
      <c r="C647" s="52" t="str">
        <f>IF(A647="","",VLOOKUP(A647,'THAM CHIẾU'!$A:$B,2,0))</f>
        <v/>
      </c>
      <c r="D647" s="52" t="str">
        <f>IF(E647&lt;&gt;0,VLOOKUP(E647,DM_DUAN,3,0),"")</f>
        <v/>
      </c>
      <c r="E647" s="735"/>
      <c r="F647" s="735"/>
      <c r="G647" s="735"/>
      <c r="H647" s="735"/>
      <c r="I647" s="735"/>
      <c r="J647" s="52" t="s">
        <v>2214</v>
      </c>
      <c r="K647" s="52" t="s">
        <v>2214</v>
      </c>
      <c r="L647" s="735"/>
      <c r="M647" s="68"/>
      <c r="N647" s="738">
        <v>0.0</v>
      </c>
      <c r="O647" s="735"/>
      <c r="P647" s="52" t="s">
        <v>2214</v>
      </c>
      <c r="Q647" s="52" t="s">
        <v>2214</v>
      </c>
      <c r="R647" s="737"/>
      <c r="S647" s="735"/>
      <c r="T647" s="737"/>
      <c r="U647" s="737"/>
    </row>
    <row r="648">
      <c r="A648" s="733"/>
      <c r="B648" s="52" t="str">
        <f t="shared" si="1"/>
        <v/>
      </c>
      <c r="C648" s="52" t="str">
        <f>IF(A648="","",VLOOKUP(A648,'THAM CHIẾU'!$A:$B,2,0))</f>
        <v/>
      </c>
      <c r="D648" s="52" t="str">
        <f>IF(E648&lt;&gt;0,VLOOKUP(E648,DM_DUAN,3,0),"")</f>
        <v/>
      </c>
      <c r="E648" s="735"/>
      <c r="F648" s="735"/>
      <c r="G648" s="735"/>
      <c r="H648" s="735"/>
      <c r="I648" s="735"/>
      <c r="J648" s="52" t="s">
        <v>2214</v>
      </c>
      <c r="K648" s="52" t="s">
        <v>2214</v>
      </c>
      <c r="L648" s="735"/>
      <c r="M648" s="68"/>
      <c r="N648" s="738">
        <v>0.0</v>
      </c>
      <c r="O648" s="735"/>
      <c r="P648" s="52" t="s">
        <v>2214</v>
      </c>
      <c r="Q648" s="52" t="s">
        <v>2214</v>
      </c>
      <c r="R648" s="737"/>
      <c r="S648" s="735"/>
      <c r="T648" s="737"/>
      <c r="U648" s="737"/>
    </row>
    <row r="649">
      <c r="A649" s="733"/>
      <c r="B649" s="52" t="str">
        <f t="shared" si="1"/>
        <v/>
      </c>
      <c r="C649" s="52" t="str">
        <f>IF(A649="","",VLOOKUP(A649,'THAM CHIẾU'!$A:$B,2,0))</f>
        <v/>
      </c>
      <c r="D649" s="52" t="str">
        <f>IF(E649&lt;&gt;0,VLOOKUP(E649,DM_DUAN,3,0),"")</f>
        <v/>
      </c>
      <c r="E649" s="735"/>
      <c r="F649" s="735"/>
      <c r="G649" s="735"/>
      <c r="H649" s="735"/>
      <c r="I649" s="735"/>
      <c r="J649" s="52" t="s">
        <v>2214</v>
      </c>
      <c r="K649" s="52" t="s">
        <v>2214</v>
      </c>
      <c r="L649" s="735"/>
      <c r="M649" s="68"/>
      <c r="N649" s="738">
        <v>0.0</v>
      </c>
      <c r="O649" s="735"/>
      <c r="P649" s="52" t="s">
        <v>2214</v>
      </c>
      <c r="Q649" s="52" t="s">
        <v>2214</v>
      </c>
      <c r="R649" s="737"/>
      <c r="S649" s="735"/>
      <c r="T649" s="737"/>
      <c r="U649" s="737"/>
    </row>
    <row r="650">
      <c r="A650" s="733"/>
      <c r="B650" s="52" t="str">
        <f t="shared" si="1"/>
        <v/>
      </c>
      <c r="C650" s="52" t="str">
        <f>IF(A650="","",VLOOKUP(A650,'THAM CHIẾU'!$A:$B,2,0))</f>
        <v/>
      </c>
      <c r="D650" s="52" t="str">
        <f>IF(E650&lt;&gt;0,VLOOKUP(E650,DM_DUAN,3,0),"")</f>
        <v/>
      </c>
      <c r="E650" s="735"/>
      <c r="F650" s="735"/>
      <c r="G650" s="735"/>
      <c r="H650" s="735"/>
      <c r="I650" s="735"/>
      <c r="J650" s="52" t="s">
        <v>2214</v>
      </c>
      <c r="K650" s="52" t="s">
        <v>2214</v>
      </c>
      <c r="L650" s="735"/>
      <c r="M650" s="68"/>
      <c r="N650" s="738">
        <v>0.0</v>
      </c>
      <c r="O650" s="735"/>
      <c r="P650" s="52" t="s">
        <v>2214</v>
      </c>
      <c r="Q650" s="52" t="s">
        <v>2214</v>
      </c>
      <c r="R650" s="737"/>
      <c r="S650" s="735"/>
      <c r="T650" s="737"/>
      <c r="U650" s="737"/>
    </row>
    <row r="651">
      <c r="A651" s="733"/>
      <c r="B651" s="52" t="str">
        <f t="shared" si="1"/>
        <v/>
      </c>
      <c r="C651" s="52" t="str">
        <f>IF(A651="","",VLOOKUP(A651,'THAM CHIẾU'!$A:$B,2,0))</f>
        <v/>
      </c>
      <c r="D651" s="52" t="str">
        <f>IF(E651&lt;&gt;0,VLOOKUP(E651,DM_DUAN,3,0),"")</f>
        <v/>
      </c>
      <c r="E651" s="735"/>
      <c r="F651" s="735"/>
      <c r="G651" s="735"/>
      <c r="H651" s="735"/>
      <c r="I651" s="735"/>
      <c r="J651" s="52" t="s">
        <v>2214</v>
      </c>
      <c r="K651" s="52" t="s">
        <v>2214</v>
      </c>
      <c r="L651" s="735"/>
      <c r="M651" s="68"/>
      <c r="N651" s="738">
        <v>0.0</v>
      </c>
      <c r="O651" s="735"/>
      <c r="P651" s="52" t="s">
        <v>2214</v>
      </c>
      <c r="Q651" s="52" t="s">
        <v>2214</v>
      </c>
      <c r="R651" s="737"/>
      <c r="S651" s="735"/>
      <c r="T651" s="737"/>
      <c r="U651" s="737"/>
    </row>
    <row r="652">
      <c r="A652" s="733"/>
      <c r="B652" s="52" t="str">
        <f t="shared" si="1"/>
        <v/>
      </c>
      <c r="C652" s="52" t="str">
        <f>IF(A652="","",VLOOKUP(A652,'THAM CHIẾU'!$A:$B,2,0))</f>
        <v/>
      </c>
      <c r="D652" s="52" t="str">
        <f>IF(E652&lt;&gt;0,VLOOKUP(E652,DM_DUAN,3,0),"")</f>
        <v/>
      </c>
      <c r="E652" s="735"/>
      <c r="F652" s="735"/>
      <c r="G652" s="735"/>
      <c r="H652" s="735"/>
      <c r="I652" s="735"/>
      <c r="J652" s="52" t="s">
        <v>2214</v>
      </c>
      <c r="K652" s="52" t="s">
        <v>2214</v>
      </c>
      <c r="L652" s="735"/>
      <c r="M652" s="68"/>
      <c r="N652" s="738">
        <v>0.0</v>
      </c>
      <c r="O652" s="735"/>
      <c r="P652" s="52" t="s">
        <v>2214</v>
      </c>
      <c r="Q652" s="52" t="s">
        <v>2214</v>
      </c>
      <c r="R652" s="737"/>
      <c r="S652" s="735"/>
      <c r="T652" s="737"/>
      <c r="U652" s="737"/>
    </row>
    <row r="653">
      <c r="A653" s="733"/>
      <c r="B653" s="52" t="str">
        <f t="shared" si="1"/>
        <v/>
      </c>
      <c r="C653" s="52" t="str">
        <f>IF(A653="","",VLOOKUP(A653,'THAM CHIẾU'!$A:$B,2,0))</f>
        <v/>
      </c>
      <c r="D653" s="52" t="str">
        <f>IF(E653&lt;&gt;0,VLOOKUP(E653,DM_DUAN,3,0),"")</f>
        <v/>
      </c>
      <c r="E653" s="735"/>
      <c r="F653" s="735"/>
      <c r="G653" s="735"/>
      <c r="H653" s="735"/>
      <c r="I653" s="735"/>
      <c r="J653" s="52" t="s">
        <v>2214</v>
      </c>
      <c r="K653" s="52" t="s">
        <v>2214</v>
      </c>
      <c r="L653" s="735"/>
      <c r="M653" s="68"/>
      <c r="N653" s="738">
        <v>0.0</v>
      </c>
      <c r="O653" s="735"/>
      <c r="P653" s="52" t="s">
        <v>2214</v>
      </c>
      <c r="Q653" s="52" t="s">
        <v>2214</v>
      </c>
      <c r="R653" s="737"/>
      <c r="S653" s="735"/>
      <c r="T653" s="737"/>
      <c r="U653" s="737"/>
    </row>
    <row r="654">
      <c r="A654" s="733"/>
      <c r="B654" s="52" t="str">
        <f t="shared" si="1"/>
        <v/>
      </c>
      <c r="C654" s="52" t="str">
        <f>IF(A654="","",VLOOKUP(A654,'THAM CHIẾU'!$A:$B,2,0))</f>
        <v/>
      </c>
      <c r="D654" s="52" t="str">
        <f>IF(E654&lt;&gt;0,VLOOKUP(E654,DM_DUAN,3,0),"")</f>
        <v/>
      </c>
      <c r="E654" s="735"/>
      <c r="F654" s="735"/>
      <c r="G654" s="735"/>
      <c r="H654" s="735"/>
      <c r="I654" s="735"/>
      <c r="J654" s="52" t="s">
        <v>2214</v>
      </c>
      <c r="K654" s="52" t="s">
        <v>2214</v>
      </c>
      <c r="L654" s="735"/>
      <c r="M654" s="68"/>
      <c r="N654" s="738">
        <v>0.0</v>
      </c>
      <c r="O654" s="735"/>
      <c r="P654" s="52" t="s">
        <v>2214</v>
      </c>
      <c r="Q654" s="52" t="s">
        <v>2214</v>
      </c>
      <c r="R654" s="737"/>
      <c r="S654" s="735"/>
      <c r="T654" s="737"/>
      <c r="U654" s="737"/>
    </row>
    <row r="655">
      <c r="A655" s="733"/>
      <c r="B655" s="52" t="str">
        <f t="shared" si="1"/>
        <v/>
      </c>
      <c r="C655" s="52" t="str">
        <f>IF(A655="","",VLOOKUP(A655,'THAM CHIẾU'!$A:$B,2,0))</f>
        <v/>
      </c>
      <c r="D655" s="52" t="str">
        <f>IF(E655&lt;&gt;0,VLOOKUP(E655,DM_DUAN,3,0),"")</f>
        <v/>
      </c>
      <c r="E655" s="735"/>
      <c r="F655" s="735"/>
      <c r="G655" s="735"/>
      <c r="H655" s="735"/>
      <c r="I655" s="735"/>
      <c r="J655" s="52" t="s">
        <v>2214</v>
      </c>
      <c r="K655" s="52" t="s">
        <v>2214</v>
      </c>
      <c r="L655" s="735"/>
      <c r="M655" s="68"/>
      <c r="N655" s="738">
        <v>0.0</v>
      </c>
      <c r="O655" s="735"/>
      <c r="P655" s="52" t="s">
        <v>2214</v>
      </c>
      <c r="Q655" s="52" t="s">
        <v>2214</v>
      </c>
      <c r="R655" s="737"/>
      <c r="S655" s="735"/>
      <c r="T655" s="737"/>
      <c r="U655" s="737"/>
    </row>
    <row r="656">
      <c r="A656" s="733"/>
      <c r="B656" s="52" t="str">
        <f t="shared" si="1"/>
        <v/>
      </c>
      <c r="C656" s="52" t="str">
        <f>IF(A656="","",VLOOKUP(A656,'THAM CHIẾU'!$A:$B,2,0))</f>
        <v/>
      </c>
      <c r="D656" s="52" t="str">
        <f>IF(E656&lt;&gt;0,VLOOKUP(E656,DM_DUAN,3,0),"")</f>
        <v/>
      </c>
      <c r="E656" s="735"/>
      <c r="F656" s="735"/>
      <c r="G656" s="735"/>
      <c r="H656" s="735"/>
      <c r="I656" s="735"/>
      <c r="J656" s="52" t="s">
        <v>2214</v>
      </c>
      <c r="K656" s="52" t="s">
        <v>2214</v>
      </c>
      <c r="L656" s="735"/>
      <c r="M656" s="68"/>
      <c r="N656" s="738">
        <v>0.0</v>
      </c>
      <c r="O656" s="735"/>
      <c r="P656" s="52" t="s">
        <v>2214</v>
      </c>
      <c r="Q656" s="52" t="s">
        <v>2214</v>
      </c>
      <c r="R656" s="737"/>
      <c r="S656" s="735"/>
      <c r="T656" s="737"/>
      <c r="U656" s="737"/>
    </row>
    <row r="657">
      <c r="A657" s="733"/>
      <c r="B657" s="52" t="str">
        <f t="shared" si="1"/>
        <v/>
      </c>
      <c r="C657" s="52" t="str">
        <f>IF(A657="","",VLOOKUP(A657,'THAM CHIẾU'!$A:$B,2,0))</f>
        <v/>
      </c>
      <c r="D657" s="52" t="str">
        <f>IF(E657&lt;&gt;0,VLOOKUP(E657,DM_DUAN,3,0),"")</f>
        <v/>
      </c>
      <c r="E657" s="735"/>
      <c r="F657" s="735"/>
      <c r="G657" s="735"/>
      <c r="H657" s="735"/>
      <c r="I657" s="735"/>
      <c r="J657" s="52" t="s">
        <v>2214</v>
      </c>
      <c r="K657" s="52" t="s">
        <v>2214</v>
      </c>
      <c r="L657" s="735"/>
      <c r="M657" s="68"/>
      <c r="N657" s="738">
        <v>0.0</v>
      </c>
      <c r="O657" s="735"/>
      <c r="P657" s="52" t="s">
        <v>2214</v>
      </c>
      <c r="Q657" s="52" t="s">
        <v>2214</v>
      </c>
      <c r="R657" s="737"/>
      <c r="S657" s="735"/>
      <c r="T657" s="737"/>
      <c r="U657" s="737"/>
    </row>
    <row r="658">
      <c r="A658" s="733"/>
      <c r="B658" s="52" t="str">
        <f t="shared" si="1"/>
        <v/>
      </c>
      <c r="C658" s="52" t="str">
        <f>IF(A658="","",VLOOKUP(A658,'THAM CHIẾU'!$A:$B,2,0))</f>
        <v/>
      </c>
      <c r="D658" s="52" t="str">
        <f>IF(E658&lt;&gt;0,VLOOKUP(E658,DM_DUAN,3,0),"")</f>
        <v/>
      </c>
      <c r="E658" s="735"/>
      <c r="F658" s="735"/>
      <c r="G658" s="735"/>
      <c r="H658" s="735"/>
      <c r="I658" s="735"/>
      <c r="J658" s="52" t="s">
        <v>2214</v>
      </c>
      <c r="K658" s="52" t="s">
        <v>2214</v>
      </c>
      <c r="L658" s="735"/>
      <c r="M658" s="68"/>
      <c r="N658" s="738">
        <v>0.0</v>
      </c>
      <c r="O658" s="735"/>
      <c r="P658" s="52" t="s">
        <v>2214</v>
      </c>
      <c r="Q658" s="52" t="s">
        <v>2214</v>
      </c>
      <c r="R658" s="737"/>
      <c r="S658" s="735"/>
      <c r="T658" s="737"/>
      <c r="U658" s="737"/>
    </row>
    <row r="659">
      <c r="A659" s="733"/>
      <c r="B659" s="52" t="str">
        <f t="shared" si="1"/>
        <v/>
      </c>
      <c r="C659" s="52" t="str">
        <f>IF(A659="","",VLOOKUP(A659,'THAM CHIẾU'!$A:$B,2,0))</f>
        <v/>
      </c>
      <c r="D659" s="52" t="str">
        <f>IF(E659&lt;&gt;0,VLOOKUP(E659,DM_DUAN,3,0),"")</f>
        <v/>
      </c>
      <c r="E659" s="735"/>
      <c r="F659" s="735"/>
      <c r="G659" s="735"/>
      <c r="H659" s="735"/>
      <c r="I659" s="735"/>
      <c r="J659" s="52" t="s">
        <v>2214</v>
      </c>
      <c r="K659" s="52" t="s">
        <v>2214</v>
      </c>
      <c r="L659" s="735"/>
      <c r="M659" s="68"/>
      <c r="N659" s="738">
        <v>0.0</v>
      </c>
      <c r="O659" s="735"/>
      <c r="P659" s="52" t="s">
        <v>2214</v>
      </c>
      <c r="Q659" s="52" t="s">
        <v>2214</v>
      </c>
      <c r="R659" s="737"/>
      <c r="S659" s="735"/>
      <c r="T659" s="737"/>
      <c r="U659" s="737"/>
    </row>
    <row r="660">
      <c r="A660" s="733"/>
      <c r="B660" s="52" t="str">
        <f t="shared" si="1"/>
        <v/>
      </c>
      <c r="C660" s="52" t="str">
        <f>IF(A660="","",VLOOKUP(A660,'THAM CHIẾU'!$A:$B,2,0))</f>
        <v/>
      </c>
      <c r="D660" s="52" t="str">
        <f>IF(E660&lt;&gt;0,VLOOKUP(E660,DM_DUAN,3,0),"")</f>
        <v/>
      </c>
      <c r="E660" s="735"/>
      <c r="F660" s="735"/>
      <c r="G660" s="735"/>
      <c r="H660" s="735"/>
      <c r="I660" s="735"/>
      <c r="J660" s="52" t="s">
        <v>2214</v>
      </c>
      <c r="K660" s="52" t="s">
        <v>2214</v>
      </c>
      <c r="L660" s="735"/>
      <c r="M660" s="68"/>
      <c r="N660" s="738">
        <v>0.0</v>
      </c>
      <c r="O660" s="735"/>
      <c r="P660" s="52" t="s">
        <v>2214</v>
      </c>
      <c r="Q660" s="52" t="s">
        <v>2214</v>
      </c>
      <c r="R660" s="737"/>
      <c r="S660" s="735"/>
      <c r="T660" s="737"/>
      <c r="U660" s="737"/>
    </row>
    <row r="661">
      <c r="A661" s="733"/>
      <c r="B661" s="52" t="str">
        <f t="shared" si="1"/>
        <v/>
      </c>
      <c r="C661" s="52" t="str">
        <f>IF(A661="","",VLOOKUP(A661,'THAM CHIẾU'!$A:$B,2,0))</f>
        <v/>
      </c>
      <c r="D661" s="52" t="str">
        <f>IF(E661&lt;&gt;0,VLOOKUP(E661,DM_DUAN,3,0),"")</f>
        <v/>
      </c>
      <c r="E661" s="735"/>
      <c r="F661" s="735"/>
      <c r="G661" s="735"/>
      <c r="H661" s="735"/>
      <c r="I661" s="735"/>
      <c r="J661" s="52" t="s">
        <v>2214</v>
      </c>
      <c r="K661" s="52" t="s">
        <v>2214</v>
      </c>
      <c r="L661" s="735"/>
      <c r="M661" s="68"/>
      <c r="N661" s="738">
        <v>0.0</v>
      </c>
      <c r="O661" s="735"/>
      <c r="P661" s="52" t="s">
        <v>2214</v>
      </c>
      <c r="Q661" s="52" t="s">
        <v>2214</v>
      </c>
      <c r="R661" s="737"/>
      <c r="S661" s="735"/>
      <c r="T661" s="737"/>
      <c r="U661" s="737"/>
    </row>
    <row r="662">
      <c r="A662" s="733"/>
      <c r="B662" s="52" t="str">
        <f t="shared" si="1"/>
        <v/>
      </c>
      <c r="C662" s="52" t="str">
        <f>IF(A662="","",VLOOKUP(A662,'THAM CHIẾU'!$A:$B,2,0))</f>
        <v/>
      </c>
      <c r="D662" s="52" t="str">
        <f>IF(E662&lt;&gt;0,VLOOKUP(E662,DM_DUAN,3,0),"")</f>
        <v/>
      </c>
      <c r="E662" s="735"/>
      <c r="F662" s="735"/>
      <c r="G662" s="735"/>
      <c r="H662" s="735"/>
      <c r="I662" s="735"/>
      <c r="J662" s="52" t="s">
        <v>2214</v>
      </c>
      <c r="K662" s="52" t="s">
        <v>2214</v>
      </c>
      <c r="L662" s="735"/>
      <c r="M662" s="68"/>
      <c r="N662" s="738">
        <v>0.0</v>
      </c>
      <c r="O662" s="735"/>
      <c r="P662" s="52" t="s">
        <v>2214</v>
      </c>
      <c r="Q662" s="52" t="s">
        <v>2214</v>
      </c>
      <c r="R662" s="737"/>
      <c r="S662" s="735"/>
      <c r="T662" s="737"/>
      <c r="U662" s="737"/>
    </row>
    <row r="663">
      <c r="A663" s="733"/>
      <c r="B663" s="52" t="str">
        <f t="shared" si="1"/>
        <v/>
      </c>
      <c r="C663" s="52" t="str">
        <f>IF(A663="","",VLOOKUP(A663,'THAM CHIẾU'!$A:$B,2,0))</f>
        <v/>
      </c>
      <c r="D663" s="52" t="str">
        <f>IF(E663&lt;&gt;0,VLOOKUP(E663,DM_DUAN,3,0),"")</f>
        <v/>
      </c>
      <c r="E663" s="735"/>
      <c r="F663" s="735"/>
      <c r="G663" s="735"/>
      <c r="H663" s="735"/>
      <c r="I663" s="735"/>
      <c r="J663" s="52" t="s">
        <v>2214</v>
      </c>
      <c r="K663" s="52" t="s">
        <v>2214</v>
      </c>
      <c r="L663" s="735"/>
      <c r="M663" s="68"/>
      <c r="N663" s="738">
        <v>0.0</v>
      </c>
      <c r="O663" s="735"/>
      <c r="P663" s="52" t="s">
        <v>2214</v>
      </c>
      <c r="Q663" s="52" t="s">
        <v>2214</v>
      </c>
      <c r="R663" s="737"/>
      <c r="S663" s="735"/>
      <c r="T663" s="737"/>
      <c r="U663" s="737"/>
    </row>
    <row r="664">
      <c r="A664" s="733"/>
      <c r="B664" s="52" t="str">
        <f t="shared" si="1"/>
        <v/>
      </c>
      <c r="C664" s="52" t="str">
        <f>IF(A664="","",VLOOKUP(A664,'THAM CHIẾU'!$A:$B,2,0))</f>
        <v/>
      </c>
      <c r="D664" s="52" t="str">
        <f>IF(E664&lt;&gt;0,VLOOKUP(E664,DM_DUAN,3,0),"")</f>
        <v/>
      </c>
      <c r="E664" s="735"/>
      <c r="F664" s="735"/>
      <c r="G664" s="735"/>
      <c r="H664" s="735"/>
      <c r="I664" s="735"/>
      <c r="J664" s="52" t="s">
        <v>2214</v>
      </c>
      <c r="K664" s="52" t="s">
        <v>2214</v>
      </c>
      <c r="L664" s="735"/>
      <c r="M664" s="68"/>
      <c r="N664" s="738">
        <v>0.0</v>
      </c>
      <c r="O664" s="735"/>
      <c r="P664" s="52" t="s">
        <v>2214</v>
      </c>
      <c r="Q664" s="52" t="s">
        <v>2214</v>
      </c>
      <c r="R664" s="737"/>
      <c r="S664" s="735"/>
      <c r="T664" s="737"/>
      <c r="U664" s="737"/>
    </row>
    <row r="665">
      <c r="A665" s="733"/>
      <c r="B665" s="52" t="str">
        <f t="shared" si="1"/>
        <v/>
      </c>
      <c r="C665" s="52" t="str">
        <f>IF(A665="","",VLOOKUP(A665,'THAM CHIẾU'!$A:$B,2,0))</f>
        <v/>
      </c>
      <c r="D665" s="52" t="str">
        <f>IF(E665&lt;&gt;0,VLOOKUP(E665,DM_DUAN,3,0),"")</f>
        <v/>
      </c>
      <c r="E665" s="735"/>
      <c r="F665" s="735"/>
      <c r="G665" s="735"/>
      <c r="H665" s="735"/>
      <c r="I665" s="735"/>
      <c r="J665" s="52" t="s">
        <v>2214</v>
      </c>
      <c r="K665" s="52" t="s">
        <v>2214</v>
      </c>
      <c r="L665" s="735"/>
      <c r="M665" s="68"/>
      <c r="N665" s="738">
        <v>0.0</v>
      </c>
      <c r="O665" s="735"/>
      <c r="P665" s="52" t="s">
        <v>2214</v>
      </c>
      <c r="Q665" s="52" t="s">
        <v>2214</v>
      </c>
      <c r="R665" s="737"/>
      <c r="S665" s="735"/>
      <c r="T665" s="737"/>
      <c r="U665" s="737"/>
    </row>
    <row r="666">
      <c r="A666" s="733"/>
      <c r="B666" s="52" t="str">
        <f t="shared" si="1"/>
        <v/>
      </c>
      <c r="C666" s="52" t="str">
        <f>IF(A666="","",VLOOKUP(A666,'THAM CHIẾU'!$A:$B,2,0))</f>
        <v/>
      </c>
      <c r="D666" s="52" t="str">
        <f>IF(E666&lt;&gt;0,VLOOKUP(E666,DM_DUAN,3,0),"")</f>
        <v/>
      </c>
      <c r="E666" s="735"/>
      <c r="F666" s="735"/>
      <c r="G666" s="735"/>
      <c r="H666" s="735"/>
      <c r="I666" s="735"/>
      <c r="J666" s="52" t="s">
        <v>2214</v>
      </c>
      <c r="K666" s="52" t="s">
        <v>2214</v>
      </c>
      <c r="L666" s="735"/>
      <c r="M666" s="68"/>
      <c r="N666" s="738">
        <v>0.0</v>
      </c>
      <c r="O666" s="735"/>
      <c r="P666" s="52" t="s">
        <v>2214</v>
      </c>
      <c r="Q666" s="52" t="s">
        <v>2214</v>
      </c>
      <c r="R666" s="737"/>
      <c r="S666" s="735"/>
      <c r="T666" s="737"/>
      <c r="U666" s="737"/>
    </row>
    <row r="667">
      <c r="A667" s="733"/>
      <c r="B667" s="52" t="str">
        <f t="shared" si="1"/>
        <v/>
      </c>
      <c r="C667" s="52" t="str">
        <f>IF(A667="","",VLOOKUP(A667,'THAM CHIẾU'!$A:$B,2,0))</f>
        <v/>
      </c>
      <c r="D667" s="52" t="str">
        <f>IF(E667&lt;&gt;0,VLOOKUP(E667,DM_DUAN,3,0),"")</f>
        <v/>
      </c>
      <c r="E667" s="735"/>
      <c r="F667" s="735"/>
      <c r="G667" s="735"/>
      <c r="H667" s="735"/>
      <c r="I667" s="735"/>
      <c r="J667" s="52" t="s">
        <v>2214</v>
      </c>
      <c r="K667" s="52" t="s">
        <v>2214</v>
      </c>
      <c r="L667" s="735"/>
      <c r="M667" s="68"/>
      <c r="N667" s="738">
        <v>0.0</v>
      </c>
      <c r="O667" s="735"/>
      <c r="P667" s="52" t="s">
        <v>2214</v>
      </c>
      <c r="Q667" s="52" t="s">
        <v>2214</v>
      </c>
      <c r="R667" s="737"/>
      <c r="S667" s="735"/>
      <c r="T667" s="737"/>
      <c r="U667" s="737"/>
    </row>
    <row r="668">
      <c r="A668" s="733"/>
      <c r="B668" s="52" t="str">
        <f t="shared" si="1"/>
        <v/>
      </c>
      <c r="C668" s="52" t="str">
        <f>IF(A668="","",VLOOKUP(A668,'THAM CHIẾU'!$A:$B,2,0))</f>
        <v/>
      </c>
      <c r="D668" s="52" t="str">
        <f>IF(E668&lt;&gt;0,VLOOKUP(E668,DM_DUAN,3,0),"")</f>
        <v/>
      </c>
      <c r="E668" s="735"/>
      <c r="F668" s="735"/>
      <c r="G668" s="735"/>
      <c r="H668" s="735"/>
      <c r="I668" s="735"/>
      <c r="J668" s="52" t="s">
        <v>2214</v>
      </c>
      <c r="K668" s="52" t="s">
        <v>2214</v>
      </c>
      <c r="L668" s="735"/>
      <c r="M668" s="68"/>
      <c r="N668" s="738">
        <v>0.0</v>
      </c>
      <c r="O668" s="735"/>
      <c r="P668" s="52" t="s">
        <v>2214</v>
      </c>
      <c r="Q668" s="52" t="s">
        <v>2214</v>
      </c>
      <c r="R668" s="737"/>
      <c r="S668" s="735"/>
      <c r="T668" s="737"/>
      <c r="U668" s="737"/>
    </row>
    <row r="669">
      <c r="A669" s="733"/>
      <c r="B669" s="52" t="str">
        <f t="shared" si="1"/>
        <v/>
      </c>
      <c r="C669" s="52" t="str">
        <f>IF(A669="","",VLOOKUP(A669,'THAM CHIẾU'!$A:$B,2,0))</f>
        <v/>
      </c>
      <c r="D669" s="52" t="str">
        <f>IF(E669&lt;&gt;0,VLOOKUP(E669,DM_DUAN,3,0),"")</f>
        <v/>
      </c>
      <c r="E669" s="735"/>
      <c r="F669" s="735"/>
      <c r="G669" s="735"/>
      <c r="H669" s="735"/>
      <c r="I669" s="735"/>
      <c r="J669" s="52" t="s">
        <v>2214</v>
      </c>
      <c r="K669" s="52" t="s">
        <v>2214</v>
      </c>
      <c r="L669" s="735"/>
      <c r="M669" s="68"/>
      <c r="N669" s="738">
        <v>0.0</v>
      </c>
      <c r="O669" s="735"/>
      <c r="P669" s="52" t="s">
        <v>2214</v>
      </c>
      <c r="Q669" s="52" t="s">
        <v>2214</v>
      </c>
      <c r="R669" s="737"/>
      <c r="S669" s="735"/>
      <c r="T669" s="737"/>
      <c r="U669" s="737"/>
    </row>
    <row r="670">
      <c r="A670" s="733"/>
      <c r="B670" s="52" t="str">
        <f t="shared" si="1"/>
        <v/>
      </c>
      <c r="C670" s="52" t="str">
        <f>IF(A670="","",VLOOKUP(A670,'THAM CHIẾU'!$A:$B,2,0))</f>
        <v/>
      </c>
      <c r="D670" s="52" t="str">
        <f>IF(E670&lt;&gt;0,VLOOKUP(E670,DM_DUAN,3,0),"")</f>
        <v/>
      </c>
      <c r="E670" s="735"/>
      <c r="F670" s="735"/>
      <c r="G670" s="735"/>
      <c r="H670" s="735"/>
      <c r="I670" s="735"/>
      <c r="J670" s="52" t="s">
        <v>2214</v>
      </c>
      <c r="K670" s="52" t="s">
        <v>2214</v>
      </c>
      <c r="L670" s="735"/>
      <c r="M670" s="68"/>
      <c r="N670" s="738">
        <v>0.0</v>
      </c>
      <c r="O670" s="735"/>
      <c r="P670" s="52" t="s">
        <v>2214</v>
      </c>
      <c r="Q670" s="52" t="s">
        <v>2214</v>
      </c>
      <c r="R670" s="737"/>
      <c r="S670" s="735"/>
      <c r="T670" s="737"/>
      <c r="U670" s="737"/>
    </row>
    <row r="671">
      <c r="A671" s="733"/>
      <c r="B671" s="52" t="str">
        <f t="shared" si="1"/>
        <v/>
      </c>
      <c r="C671" s="52" t="str">
        <f>IF(A671="","",VLOOKUP(A671,'THAM CHIẾU'!$A:$B,2,0))</f>
        <v/>
      </c>
      <c r="D671" s="52" t="str">
        <f>IF(E671&lt;&gt;0,VLOOKUP(E671,DM_DUAN,3,0),"")</f>
        <v/>
      </c>
      <c r="E671" s="735"/>
      <c r="F671" s="735"/>
      <c r="G671" s="735"/>
      <c r="H671" s="735"/>
      <c r="I671" s="735"/>
      <c r="J671" s="52" t="s">
        <v>2214</v>
      </c>
      <c r="K671" s="52" t="s">
        <v>2214</v>
      </c>
      <c r="L671" s="735"/>
      <c r="M671" s="68"/>
      <c r="N671" s="738">
        <v>0.0</v>
      </c>
      <c r="O671" s="735"/>
      <c r="P671" s="52" t="s">
        <v>2214</v>
      </c>
      <c r="Q671" s="52" t="s">
        <v>2214</v>
      </c>
      <c r="R671" s="737"/>
      <c r="S671" s="735"/>
      <c r="T671" s="737"/>
      <c r="U671" s="737"/>
    </row>
    <row r="672">
      <c r="A672" s="733"/>
      <c r="B672" s="52" t="str">
        <f t="shared" si="1"/>
        <v/>
      </c>
      <c r="C672" s="52" t="str">
        <f>IF(A672="","",VLOOKUP(A672,'THAM CHIẾU'!$A:$B,2,0))</f>
        <v/>
      </c>
      <c r="D672" s="52" t="str">
        <f>IF(E672&lt;&gt;0,VLOOKUP(E672,DM_DUAN,3,0),"")</f>
        <v/>
      </c>
      <c r="E672" s="735"/>
      <c r="F672" s="735"/>
      <c r="G672" s="735"/>
      <c r="H672" s="735"/>
      <c r="I672" s="735"/>
      <c r="J672" s="52" t="s">
        <v>2214</v>
      </c>
      <c r="K672" s="52" t="s">
        <v>2214</v>
      </c>
      <c r="L672" s="735"/>
      <c r="M672" s="68"/>
      <c r="N672" s="738">
        <v>0.0</v>
      </c>
      <c r="O672" s="735"/>
      <c r="P672" s="52" t="s">
        <v>2214</v>
      </c>
      <c r="Q672" s="52" t="s">
        <v>2214</v>
      </c>
      <c r="R672" s="737"/>
      <c r="S672" s="735"/>
      <c r="T672" s="737"/>
      <c r="U672" s="737"/>
    </row>
    <row r="673">
      <c r="A673" s="733"/>
      <c r="B673" s="52" t="str">
        <f t="shared" si="1"/>
        <v/>
      </c>
      <c r="C673" s="52" t="str">
        <f>IF(A673="","",VLOOKUP(A673,'THAM CHIẾU'!$A:$B,2,0))</f>
        <v/>
      </c>
      <c r="D673" s="52" t="str">
        <f>IF(E673&lt;&gt;0,VLOOKUP(E673,DM_DUAN,3,0),"")</f>
        <v/>
      </c>
      <c r="E673" s="735"/>
      <c r="F673" s="735"/>
      <c r="G673" s="735"/>
      <c r="H673" s="735"/>
      <c r="I673" s="735"/>
      <c r="J673" s="52" t="s">
        <v>2214</v>
      </c>
      <c r="K673" s="52" t="s">
        <v>2214</v>
      </c>
      <c r="L673" s="735"/>
      <c r="M673" s="68"/>
      <c r="N673" s="738">
        <v>0.0</v>
      </c>
      <c r="O673" s="735"/>
      <c r="P673" s="52" t="s">
        <v>2214</v>
      </c>
      <c r="Q673" s="52" t="s">
        <v>2214</v>
      </c>
      <c r="R673" s="737"/>
      <c r="S673" s="735"/>
      <c r="T673" s="737"/>
      <c r="U673" s="737"/>
    </row>
    <row r="674">
      <c r="A674" s="733"/>
      <c r="B674" s="52" t="str">
        <f t="shared" si="1"/>
        <v/>
      </c>
      <c r="C674" s="52" t="str">
        <f>IF(A674="","",VLOOKUP(A674,'THAM CHIẾU'!$A:$B,2,0))</f>
        <v/>
      </c>
      <c r="D674" s="52" t="str">
        <f>IF(E674&lt;&gt;0,VLOOKUP(E674,DM_DUAN,3,0),"")</f>
        <v/>
      </c>
      <c r="E674" s="735"/>
      <c r="F674" s="735"/>
      <c r="G674" s="735"/>
      <c r="H674" s="735"/>
      <c r="I674" s="735"/>
      <c r="J674" s="52" t="s">
        <v>2214</v>
      </c>
      <c r="K674" s="52" t="s">
        <v>2214</v>
      </c>
      <c r="L674" s="735"/>
      <c r="M674" s="68"/>
      <c r="N674" s="738">
        <v>0.0</v>
      </c>
      <c r="O674" s="735"/>
      <c r="P674" s="52" t="s">
        <v>2214</v>
      </c>
      <c r="Q674" s="52" t="s">
        <v>2214</v>
      </c>
      <c r="R674" s="737"/>
      <c r="S674" s="735"/>
      <c r="T674" s="737"/>
      <c r="U674" s="737"/>
    </row>
    <row r="675">
      <c r="A675" s="733"/>
      <c r="B675" s="52" t="str">
        <f t="shared" si="1"/>
        <v/>
      </c>
      <c r="C675" s="52" t="str">
        <f>IF(A675="","",VLOOKUP(A675,'THAM CHIẾU'!$A:$B,2,0))</f>
        <v/>
      </c>
      <c r="D675" s="52" t="str">
        <f>IF(E675&lt;&gt;0,VLOOKUP(E675,DM_DUAN,3,0),"")</f>
        <v/>
      </c>
      <c r="E675" s="735"/>
      <c r="F675" s="735"/>
      <c r="G675" s="735"/>
      <c r="H675" s="735"/>
      <c r="I675" s="735"/>
      <c r="J675" s="52" t="s">
        <v>2214</v>
      </c>
      <c r="K675" s="52" t="s">
        <v>2214</v>
      </c>
      <c r="L675" s="735"/>
      <c r="M675" s="68"/>
      <c r="N675" s="738">
        <v>0.0</v>
      </c>
      <c r="O675" s="735"/>
      <c r="P675" s="52" t="s">
        <v>2214</v>
      </c>
      <c r="Q675" s="52" t="s">
        <v>2214</v>
      </c>
      <c r="R675" s="737"/>
      <c r="S675" s="735"/>
      <c r="T675" s="737"/>
      <c r="U675" s="737"/>
    </row>
    <row r="676">
      <c r="A676" s="733"/>
      <c r="B676" s="52" t="str">
        <f t="shared" si="1"/>
        <v/>
      </c>
      <c r="C676" s="52" t="str">
        <f>IF(A676="","",VLOOKUP(A676,'THAM CHIẾU'!$A:$B,2,0))</f>
        <v/>
      </c>
      <c r="D676" s="52" t="str">
        <f>IF(E676&lt;&gt;0,VLOOKUP(E676,DM_DUAN,3,0),"")</f>
        <v/>
      </c>
      <c r="E676" s="735"/>
      <c r="F676" s="735"/>
      <c r="G676" s="735"/>
      <c r="H676" s="735"/>
      <c r="I676" s="735"/>
      <c r="J676" s="52" t="s">
        <v>2214</v>
      </c>
      <c r="K676" s="52" t="s">
        <v>2214</v>
      </c>
      <c r="L676" s="735"/>
      <c r="M676" s="68"/>
      <c r="N676" s="738">
        <v>0.0</v>
      </c>
      <c r="O676" s="735"/>
      <c r="P676" s="52" t="s">
        <v>2214</v>
      </c>
      <c r="Q676" s="52" t="s">
        <v>2214</v>
      </c>
      <c r="R676" s="737"/>
      <c r="S676" s="735"/>
      <c r="T676" s="737"/>
      <c r="U676" s="737"/>
    </row>
    <row r="677">
      <c r="A677" s="733"/>
      <c r="B677" s="52" t="str">
        <f t="shared" si="1"/>
        <v/>
      </c>
      <c r="C677" s="52" t="str">
        <f>IF(A677="","",VLOOKUP(A677,'THAM CHIẾU'!$A:$B,2,0))</f>
        <v/>
      </c>
      <c r="D677" s="52" t="str">
        <f>IF(E677&lt;&gt;0,VLOOKUP(E677,DM_DUAN,3,0),"")</f>
        <v/>
      </c>
      <c r="E677" s="735"/>
      <c r="F677" s="735"/>
      <c r="G677" s="735"/>
      <c r="H677" s="735"/>
      <c r="I677" s="735"/>
      <c r="J677" s="52" t="s">
        <v>2214</v>
      </c>
      <c r="K677" s="52" t="s">
        <v>2214</v>
      </c>
      <c r="L677" s="735"/>
      <c r="M677" s="68"/>
      <c r="N677" s="738">
        <v>0.0</v>
      </c>
      <c r="O677" s="735"/>
      <c r="P677" s="52" t="s">
        <v>2214</v>
      </c>
      <c r="Q677" s="52" t="s">
        <v>2214</v>
      </c>
      <c r="R677" s="737"/>
      <c r="S677" s="735"/>
      <c r="T677" s="737"/>
      <c r="U677" s="737"/>
    </row>
    <row r="678">
      <c r="A678" s="733"/>
      <c r="B678" s="52" t="str">
        <f t="shared" si="1"/>
        <v/>
      </c>
      <c r="C678" s="52" t="str">
        <f>IF(A678="","",VLOOKUP(A678,'THAM CHIẾU'!$A:$B,2,0))</f>
        <v/>
      </c>
      <c r="D678" s="52" t="str">
        <f>IF(E678&lt;&gt;0,VLOOKUP(E678,DM_DUAN,3,0),"")</f>
        <v/>
      </c>
      <c r="E678" s="735"/>
      <c r="F678" s="735"/>
      <c r="G678" s="735"/>
      <c r="H678" s="735"/>
      <c r="I678" s="735"/>
      <c r="J678" s="52" t="s">
        <v>2214</v>
      </c>
      <c r="K678" s="52" t="s">
        <v>2214</v>
      </c>
      <c r="L678" s="735"/>
      <c r="M678" s="68"/>
      <c r="N678" s="738">
        <v>0.0</v>
      </c>
      <c r="O678" s="735"/>
      <c r="P678" s="52" t="s">
        <v>2214</v>
      </c>
      <c r="Q678" s="52" t="s">
        <v>2214</v>
      </c>
      <c r="R678" s="737"/>
      <c r="S678" s="735"/>
      <c r="T678" s="737"/>
      <c r="U678" s="737"/>
    </row>
    <row r="679">
      <c r="A679" s="733"/>
      <c r="B679" s="52" t="str">
        <f t="shared" si="1"/>
        <v/>
      </c>
      <c r="C679" s="52" t="str">
        <f>IF(A679="","",VLOOKUP(A679,'THAM CHIẾU'!$A:$B,2,0))</f>
        <v/>
      </c>
      <c r="D679" s="52" t="str">
        <f>IF(E679&lt;&gt;0,VLOOKUP(E679,DM_DUAN,3,0),"")</f>
        <v/>
      </c>
      <c r="E679" s="735"/>
      <c r="F679" s="735"/>
      <c r="G679" s="735"/>
      <c r="H679" s="735"/>
      <c r="I679" s="735"/>
      <c r="J679" s="52" t="s">
        <v>2214</v>
      </c>
      <c r="K679" s="52" t="s">
        <v>2214</v>
      </c>
      <c r="L679" s="735"/>
      <c r="M679" s="68"/>
      <c r="N679" s="738">
        <v>0.0</v>
      </c>
      <c r="O679" s="735"/>
      <c r="P679" s="52" t="s">
        <v>2214</v>
      </c>
      <c r="Q679" s="52" t="s">
        <v>2214</v>
      </c>
      <c r="R679" s="737"/>
      <c r="S679" s="735"/>
      <c r="T679" s="737"/>
      <c r="U679" s="737"/>
    </row>
    <row r="680">
      <c r="A680" s="733"/>
      <c r="B680" s="52" t="str">
        <f t="shared" si="1"/>
        <v/>
      </c>
      <c r="C680" s="52" t="str">
        <f>IF(A680="","",VLOOKUP(A680,'THAM CHIẾU'!$A:$B,2,0))</f>
        <v/>
      </c>
      <c r="D680" s="52" t="str">
        <f>IF(E680&lt;&gt;0,VLOOKUP(E680,DM_DUAN,3,0),"")</f>
        <v/>
      </c>
      <c r="E680" s="735"/>
      <c r="F680" s="735"/>
      <c r="G680" s="735"/>
      <c r="H680" s="735"/>
      <c r="I680" s="735"/>
      <c r="J680" s="52" t="s">
        <v>2214</v>
      </c>
      <c r="K680" s="52" t="s">
        <v>2214</v>
      </c>
      <c r="L680" s="735"/>
      <c r="M680" s="68"/>
      <c r="N680" s="738">
        <v>0.0</v>
      </c>
      <c r="O680" s="735"/>
      <c r="P680" s="52" t="s">
        <v>2214</v>
      </c>
      <c r="Q680" s="52" t="s">
        <v>2214</v>
      </c>
      <c r="R680" s="737"/>
      <c r="S680" s="735"/>
      <c r="T680" s="737"/>
      <c r="U680" s="737"/>
    </row>
    <row r="681">
      <c r="A681" s="733"/>
      <c r="B681" s="52" t="str">
        <f t="shared" si="1"/>
        <v/>
      </c>
      <c r="C681" s="52" t="str">
        <f>IF(A681="","",VLOOKUP(A681,'THAM CHIẾU'!$A:$B,2,0))</f>
        <v/>
      </c>
      <c r="D681" s="52" t="str">
        <f>IF(E681&lt;&gt;0,VLOOKUP(E681,DM_DUAN,3,0),"")</f>
        <v/>
      </c>
      <c r="E681" s="735"/>
      <c r="F681" s="735"/>
      <c r="G681" s="735"/>
      <c r="H681" s="735"/>
      <c r="I681" s="735"/>
      <c r="J681" s="52" t="s">
        <v>2214</v>
      </c>
      <c r="K681" s="52" t="s">
        <v>2214</v>
      </c>
      <c r="L681" s="735"/>
      <c r="M681" s="68"/>
      <c r="N681" s="738">
        <v>0.0</v>
      </c>
      <c r="O681" s="735"/>
      <c r="P681" s="52" t="s">
        <v>2214</v>
      </c>
      <c r="Q681" s="52" t="s">
        <v>2214</v>
      </c>
      <c r="R681" s="737"/>
      <c r="S681" s="735"/>
      <c r="T681" s="737"/>
      <c r="U681" s="737"/>
    </row>
    <row r="682">
      <c r="A682" s="733"/>
      <c r="B682" s="52" t="str">
        <f t="shared" si="1"/>
        <v/>
      </c>
      <c r="C682" s="52" t="str">
        <f>IF(A682="","",VLOOKUP(A682,'THAM CHIẾU'!$A:$B,2,0))</f>
        <v/>
      </c>
      <c r="D682" s="52" t="str">
        <f>IF(E682&lt;&gt;0,VLOOKUP(E682,DM_DUAN,3,0),"")</f>
        <v/>
      </c>
      <c r="E682" s="735"/>
      <c r="F682" s="735"/>
      <c r="G682" s="735"/>
      <c r="H682" s="735"/>
      <c r="I682" s="735"/>
      <c r="J682" s="52" t="s">
        <v>2214</v>
      </c>
      <c r="K682" s="52" t="s">
        <v>2214</v>
      </c>
      <c r="L682" s="735"/>
      <c r="M682" s="68"/>
      <c r="N682" s="738">
        <v>0.0</v>
      </c>
      <c r="O682" s="735"/>
      <c r="P682" s="52" t="s">
        <v>2214</v>
      </c>
      <c r="Q682" s="52" t="s">
        <v>2214</v>
      </c>
      <c r="R682" s="737"/>
      <c r="S682" s="735"/>
      <c r="T682" s="737"/>
      <c r="U682" s="737"/>
    </row>
    <row r="683">
      <c r="A683" s="733"/>
      <c r="B683" s="52" t="str">
        <f t="shared" si="1"/>
        <v/>
      </c>
      <c r="C683" s="52" t="str">
        <f>IF(A683="","",VLOOKUP(A683,'THAM CHIẾU'!$A:$B,2,0))</f>
        <v/>
      </c>
      <c r="D683" s="52" t="str">
        <f>IF(E683&lt;&gt;0,VLOOKUP(E683,DM_DUAN,3,0),"")</f>
        <v/>
      </c>
      <c r="E683" s="735"/>
      <c r="F683" s="735"/>
      <c r="G683" s="735"/>
      <c r="H683" s="735"/>
      <c r="I683" s="735"/>
      <c r="J683" s="52" t="s">
        <v>2214</v>
      </c>
      <c r="K683" s="52" t="s">
        <v>2214</v>
      </c>
      <c r="L683" s="735"/>
      <c r="M683" s="68"/>
      <c r="N683" s="738">
        <v>0.0</v>
      </c>
      <c r="O683" s="735"/>
      <c r="P683" s="52" t="s">
        <v>2214</v>
      </c>
      <c r="Q683" s="52" t="s">
        <v>2214</v>
      </c>
      <c r="R683" s="737"/>
      <c r="S683" s="735"/>
      <c r="T683" s="737"/>
      <c r="U683" s="737"/>
    </row>
    <row r="684">
      <c r="A684" s="733"/>
      <c r="B684" s="52" t="str">
        <f t="shared" si="1"/>
        <v/>
      </c>
      <c r="C684" s="52" t="str">
        <f>IF(A684="","",VLOOKUP(A684,'THAM CHIẾU'!$A:$B,2,0))</f>
        <v/>
      </c>
      <c r="D684" s="52" t="str">
        <f>IF(E684&lt;&gt;0,VLOOKUP(E684,DM_DUAN,3,0),"")</f>
        <v/>
      </c>
      <c r="E684" s="735"/>
      <c r="F684" s="735"/>
      <c r="G684" s="735"/>
      <c r="H684" s="735"/>
      <c r="I684" s="735"/>
      <c r="J684" s="52" t="s">
        <v>2214</v>
      </c>
      <c r="K684" s="52" t="s">
        <v>2214</v>
      </c>
      <c r="L684" s="735"/>
      <c r="M684" s="68"/>
      <c r="N684" s="738">
        <v>0.0</v>
      </c>
      <c r="O684" s="735"/>
      <c r="P684" s="52" t="s">
        <v>2214</v>
      </c>
      <c r="Q684" s="52" t="s">
        <v>2214</v>
      </c>
      <c r="R684" s="737"/>
      <c r="S684" s="735"/>
      <c r="T684" s="737"/>
      <c r="U684" s="737"/>
    </row>
    <row r="685">
      <c r="A685" s="733"/>
      <c r="B685" s="52" t="str">
        <f t="shared" si="1"/>
        <v/>
      </c>
      <c r="C685" s="52" t="str">
        <f>IF(A685="","",VLOOKUP(A685,'THAM CHIẾU'!$A:$B,2,0))</f>
        <v/>
      </c>
      <c r="D685" s="52" t="str">
        <f>IF(E685&lt;&gt;0,VLOOKUP(E685,DM_DUAN,3,0),"")</f>
        <v/>
      </c>
      <c r="E685" s="735"/>
      <c r="F685" s="735"/>
      <c r="G685" s="735"/>
      <c r="H685" s="735"/>
      <c r="I685" s="735"/>
      <c r="J685" s="52" t="s">
        <v>2214</v>
      </c>
      <c r="K685" s="52" t="s">
        <v>2214</v>
      </c>
      <c r="L685" s="735"/>
      <c r="M685" s="68"/>
      <c r="N685" s="738">
        <v>0.0</v>
      </c>
      <c r="O685" s="735"/>
      <c r="P685" s="52" t="s">
        <v>2214</v>
      </c>
      <c r="Q685" s="52" t="s">
        <v>2214</v>
      </c>
      <c r="R685" s="737"/>
      <c r="S685" s="735"/>
      <c r="T685" s="737"/>
      <c r="U685" s="737"/>
    </row>
    <row r="686">
      <c r="A686" s="733"/>
      <c r="B686" s="52" t="str">
        <f t="shared" si="1"/>
        <v/>
      </c>
      <c r="C686" s="52" t="str">
        <f>IF(A686="","",VLOOKUP(A686,'THAM CHIẾU'!$A:$B,2,0))</f>
        <v/>
      </c>
      <c r="D686" s="52" t="str">
        <f>IF(E686&lt;&gt;0,VLOOKUP(E686,DM_DUAN,3,0),"")</f>
        <v/>
      </c>
      <c r="E686" s="735"/>
      <c r="F686" s="735"/>
      <c r="G686" s="735"/>
      <c r="H686" s="735"/>
      <c r="I686" s="735"/>
      <c r="J686" s="52" t="s">
        <v>2214</v>
      </c>
      <c r="K686" s="52" t="s">
        <v>2214</v>
      </c>
      <c r="L686" s="735"/>
      <c r="M686" s="68"/>
      <c r="N686" s="738">
        <v>0.0</v>
      </c>
      <c r="O686" s="735"/>
      <c r="P686" s="52" t="s">
        <v>2214</v>
      </c>
      <c r="Q686" s="52" t="s">
        <v>2214</v>
      </c>
      <c r="R686" s="737"/>
      <c r="S686" s="735"/>
      <c r="T686" s="737"/>
      <c r="U686" s="737"/>
    </row>
    <row r="687">
      <c r="A687" s="733"/>
      <c r="B687" s="52" t="str">
        <f t="shared" si="1"/>
        <v/>
      </c>
      <c r="C687" s="52" t="str">
        <f>IF(A687="","",VLOOKUP(A687,'THAM CHIẾU'!$A:$B,2,0))</f>
        <v/>
      </c>
      <c r="D687" s="52" t="str">
        <f>IF(E687&lt;&gt;0,VLOOKUP(E687,DM_DUAN,3,0),"")</f>
        <v/>
      </c>
      <c r="E687" s="735"/>
      <c r="F687" s="735"/>
      <c r="G687" s="735"/>
      <c r="H687" s="735"/>
      <c r="I687" s="735"/>
      <c r="J687" s="52" t="s">
        <v>2214</v>
      </c>
      <c r="K687" s="52" t="s">
        <v>2214</v>
      </c>
      <c r="L687" s="735"/>
      <c r="M687" s="68"/>
      <c r="N687" s="738">
        <v>0.0</v>
      </c>
      <c r="O687" s="735"/>
      <c r="P687" s="52" t="s">
        <v>2214</v>
      </c>
      <c r="Q687" s="52" t="s">
        <v>2214</v>
      </c>
      <c r="R687" s="737"/>
      <c r="S687" s="735"/>
      <c r="T687" s="737"/>
      <c r="U687" s="737"/>
    </row>
    <row r="688">
      <c r="A688" s="733"/>
      <c r="B688" s="52" t="str">
        <f t="shared" si="1"/>
        <v/>
      </c>
      <c r="C688" s="52" t="str">
        <f>IF(A688="","",VLOOKUP(A688,'THAM CHIẾU'!$A:$B,2,0))</f>
        <v/>
      </c>
      <c r="D688" s="52" t="str">
        <f>IF(E688&lt;&gt;0,VLOOKUP(E688,DM_DUAN,3,0),"")</f>
        <v/>
      </c>
      <c r="E688" s="735"/>
      <c r="F688" s="735"/>
      <c r="G688" s="735"/>
      <c r="H688" s="735"/>
      <c r="I688" s="735"/>
      <c r="J688" s="52" t="s">
        <v>2214</v>
      </c>
      <c r="K688" s="52" t="s">
        <v>2214</v>
      </c>
      <c r="L688" s="735"/>
      <c r="M688" s="68"/>
      <c r="N688" s="738">
        <v>0.0</v>
      </c>
      <c r="O688" s="735"/>
      <c r="P688" s="52" t="s">
        <v>2214</v>
      </c>
      <c r="Q688" s="52" t="s">
        <v>2214</v>
      </c>
      <c r="R688" s="737"/>
      <c r="S688" s="735"/>
      <c r="T688" s="737"/>
      <c r="U688" s="737"/>
    </row>
    <row r="689">
      <c r="A689" s="733"/>
      <c r="B689" s="52" t="str">
        <f t="shared" si="1"/>
        <v/>
      </c>
      <c r="C689" s="52" t="str">
        <f>IF(A689="","",VLOOKUP(A689,'THAM CHIẾU'!$A:$B,2,0))</f>
        <v/>
      </c>
      <c r="D689" s="52" t="str">
        <f>IF(E689&lt;&gt;0,VLOOKUP(E689,DM_DUAN,3,0),"")</f>
        <v/>
      </c>
      <c r="E689" s="735"/>
      <c r="F689" s="735"/>
      <c r="G689" s="735"/>
      <c r="H689" s="735"/>
      <c r="I689" s="735"/>
      <c r="J689" s="52" t="s">
        <v>2214</v>
      </c>
      <c r="K689" s="52" t="s">
        <v>2214</v>
      </c>
      <c r="L689" s="735"/>
      <c r="M689" s="68"/>
      <c r="N689" s="738">
        <v>0.0</v>
      </c>
      <c r="O689" s="735"/>
      <c r="P689" s="52" t="s">
        <v>2214</v>
      </c>
      <c r="Q689" s="52" t="s">
        <v>2214</v>
      </c>
      <c r="R689" s="737"/>
      <c r="S689" s="735"/>
      <c r="T689" s="737"/>
      <c r="U689" s="737"/>
    </row>
    <row r="690">
      <c r="A690" s="733"/>
      <c r="B690" s="52" t="str">
        <f t="shared" si="1"/>
        <v/>
      </c>
      <c r="C690" s="52" t="str">
        <f>IF(A690="","",VLOOKUP(A690,'THAM CHIẾU'!$A:$B,2,0))</f>
        <v/>
      </c>
      <c r="D690" s="52" t="str">
        <f>IF(E690&lt;&gt;0,VLOOKUP(E690,DM_DUAN,3,0),"")</f>
        <v/>
      </c>
      <c r="E690" s="735"/>
      <c r="F690" s="735"/>
      <c r="G690" s="735"/>
      <c r="H690" s="735"/>
      <c r="I690" s="735"/>
      <c r="J690" s="52" t="s">
        <v>2214</v>
      </c>
      <c r="K690" s="52" t="s">
        <v>2214</v>
      </c>
      <c r="L690" s="735"/>
      <c r="M690" s="68"/>
      <c r="N690" s="738">
        <v>0.0</v>
      </c>
      <c r="O690" s="735"/>
      <c r="P690" s="52" t="s">
        <v>2214</v>
      </c>
      <c r="Q690" s="52" t="s">
        <v>2214</v>
      </c>
      <c r="R690" s="737"/>
      <c r="S690" s="735"/>
      <c r="T690" s="737"/>
      <c r="U690" s="737"/>
    </row>
    <row r="691">
      <c r="A691" s="733"/>
      <c r="B691" s="52" t="str">
        <f t="shared" si="1"/>
        <v/>
      </c>
      <c r="C691" s="52" t="str">
        <f>IF(A691="","",VLOOKUP(A691,'THAM CHIẾU'!$A:$B,2,0))</f>
        <v/>
      </c>
      <c r="D691" s="52" t="str">
        <f>IF(E691&lt;&gt;0,VLOOKUP(E691,DM_DUAN,3,0),"")</f>
        <v/>
      </c>
      <c r="E691" s="735"/>
      <c r="F691" s="735"/>
      <c r="G691" s="735"/>
      <c r="H691" s="735"/>
      <c r="I691" s="735"/>
      <c r="J691" s="52" t="s">
        <v>2214</v>
      </c>
      <c r="K691" s="52" t="s">
        <v>2214</v>
      </c>
      <c r="L691" s="735"/>
      <c r="M691" s="68"/>
      <c r="N691" s="738">
        <v>0.0</v>
      </c>
      <c r="O691" s="735"/>
      <c r="P691" s="52" t="s">
        <v>2214</v>
      </c>
      <c r="Q691" s="52" t="s">
        <v>2214</v>
      </c>
      <c r="R691" s="737"/>
      <c r="S691" s="735"/>
      <c r="T691" s="737"/>
      <c r="U691" s="737"/>
    </row>
    <row r="692">
      <c r="A692" s="733"/>
      <c r="B692" s="52" t="str">
        <f t="shared" si="1"/>
        <v/>
      </c>
      <c r="C692" s="52" t="str">
        <f>IF(A692="","",VLOOKUP(A692,'THAM CHIẾU'!$A:$B,2,0))</f>
        <v/>
      </c>
      <c r="D692" s="52" t="str">
        <f>IF(E692&lt;&gt;0,VLOOKUP(E692,DM_DUAN,3,0),"")</f>
        <v/>
      </c>
      <c r="E692" s="735"/>
      <c r="F692" s="735"/>
      <c r="G692" s="735"/>
      <c r="H692" s="735"/>
      <c r="I692" s="735"/>
      <c r="J692" s="52" t="s">
        <v>2214</v>
      </c>
      <c r="K692" s="52" t="s">
        <v>2214</v>
      </c>
      <c r="L692" s="735"/>
      <c r="M692" s="68"/>
      <c r="N692" s="738">
        <v>0.0</v>
      </c>
      <c r="O692" s="735"/>
      <c r="P692" s="52" t="s">
        <v>2214</v>
      </c>
      <c r="Q692" s="52" t="s">
        <v>2214</v>
      </c>
      <c r="R692" s="737"/>
      <c r="S692" s="735"/>
      <c r="T692" s="737"/>
      <c r="U692" s="737"/>
    </row>
    <row r="693">
      <c r="A693" s="733"/>
      <c r="B693" s="52" t="str">
        <f t="shared" si="1"/>
        <v/>
      </c>
      <c r="C693" s="52" t="str">
        <f>IF(A693="","",VLOOKUP(A693,'THAM CHIẾU'!$A:$B,2,0))</f>
        <v/>
      </c>
      <c r="D693" s="52" t="str">
        <f>IF(E693&lt;&gt;0,VLOOKUP(E693,DM_DUAN,3,0),"")</f>
        <v/>
      </c>
      <c r="E693" s="735"/>
      <c r="F693" s="735"/>
      <c r="G693" s="735"/>
      <c r="H693" s="735"/>
      <c r="I693" s="735"/>
      <c r="J693" s="52" t="s">
        <v>2214</v>
      </c>
      <c r="K693" s="52" t="s">
        <v>2214</v>
      </c>
      <c r="L693" s="735"/>
      <c r="M693" s="68"/>
      <c r="N693" s="738">
        <v>0.0</v>
      </c>
      <c r="O693" s="735"/>
      <c r="P693" s="52" t="s">
        <v>2214</v>
      </c>
      <c r="Q693" s="52" t="s">
        <v>2214</v>
      </c>
      <c r="R693" s="737"/>
      <c r="S693" s="735"/>
      <c r="T693" s="737"/>
      <c r="U693" s="737"/>
    </row>
    <row r="694">
      <c r="A694" s="733"/>
      <c r="B694" s="52" t="str">
        <f t="shared" si="1"/>
        <v/>
      </c>
      <c r="C694" s="52" t="str">
        <f>IF(A694="","",VLOOKUP(A694,'THAM CHIẾU'!$A:$B,2,0))</f>
        <v/>
      </c>
      <c r="D694" s="52" t="str">
        <f>IF(E694&lt;&gt;0,VLOOKUP(E694,DM_DUAN,3,0),"")</f>
        <v/>
      </c>
      <c r="E694" s="735"/>
      <c r="F694" s="735"/>
      <c r="G694" s="735"/>
      <c r="H694" s="735"/>
      <c r="I694" s="735"/>
      <c r="J694" s="52" t="s">
        <v>2214</v>
      </c>
      <c r="K694" s="52" t="s">
        <v>2214</v>
      </c>
      <c r="L694" s="735"/>
      <c r="M694" s="68"/>
      <c r="N694" s="738">
        <v>0.0</v>
      </c>
      <c r="O694" s="735"/>
      <c r="P694" s="52" t="s">
        <v>2214</v>
      </c>
      <c r="Q694" s="52" t="s">
        <v>2214</v>
      </c>
      <c r="R694" s="737"/>
      <c r="S694" s="735"/>
      <c r="T694" s="737"/>
      <c r="U694" s="737"/>
    </row>
    <row r="695">
      <c r="A695" s="733"/>
      <c r="B695" s="52" t="str">
        <f t="shared" si="1"/>
        <v/>
      </c>
      <c r="C695" s="52" t="str">
        <f>IF(A695="","",VLOOKUP(A695,'THAM CHIẾU'!$A:$B,2,0))</f>
        <v/>
      </c>
      <c r="D695" s="52" t="str">
        <f>IF(E695&lt;&gt;0,VLOOKUP(E695,DM_DUAN,3,0),"")</f>
        <v/>
      </c>
      <c r="E695" s="735"/>
      <c r="F695" s="735"/>
      <c r="G695" s="735"/>
      <c r="H695" s="735"/>
      <c r="I695" s="735"/>
      <c r="J695" s="52" t="s">
        <v>2214</v>
      </c>
      <c r="K695" s="52" t="s">
        <v>2214</v>
      </c>
      <c r="L695" s="735"/>
      <c r="M695" s="68"/>
      <c r="N695" s="738">
        <v>0.0</v>
      </c>
      <c r="O695" s="735"/>
      <c r="P695" s="52" t="s">
        <v>2214</v>
      </c>
      <c r="Q695" s="52" t="s">
        <v>2214</v>
      </c>
      <c r="R695" s="737"/>
      <c r="S695" s="735"/>
      <c r="T695" s="737"/>
      <c r="U695" s="737"/>
    </row>
    <row r="696">
      <c r="A696" s="733"/>
      <c r="B696" s="52" t="str">
        <f t="shared" si="1"/>
        <v/>
      </c>
      <c r="C696" s="52" t="str">
        <f>IF(A696="","",VLOOKUP(A696,'THAM CHIẾU'!$A:$B,2,0))</f>
        <v/>
      </c>
      <c r="D696" s="52" t="str">
        <f>IF(E696&lt;&gt;0,VLOOKUP(E696,DM_DUAN,3,0),"")</f>
        <v/>
      </c>
      <c r="E696" s="735"/>
      <c r="F696" s="735"/>
      <c r="G696" s="735"/>
      <c r="H696" s="735"/>
      <c r="I696" s="735"/>
      <c r="J696" s="52" t="s">
        <v>2214</v>
      </c>
      <c r="K696" s="52" t="s">
        <v>2214</v>
      </c>
      <c r="L696" s="735"/>
      <c r="M696" s="68"/>
      <c r="N696" s="738">
        <v>0.0</v>
      </c>
      <c r="O696" s="735"/>
      <c r="P696" s="52" t="s">
        <v>2214</v>
      </c>
      <c r="Q696" s="52" t="s">
        <v>2214</v>
      </c>
      <c r="R696" s="737"/>
      <c r="S696" s="735"/>
      <c r="T696" s="737"/>
      <c r="U696" s="737"/>
    </row>
    <row r="697">
      <c r="A697" s="733"/>
      <c r="B697" s="52" t="str">
        <f t="shared" si="1"/>
        <v/>
      </c>
      <c r="C697" s="52" t="str">
        <f>IF(A697="","",VLOOKUP(A697,'THAM CHIẾU'!$A:$B,2,0))</f>
        <v/>
      </c>
      <c r="D697" s="52" t="str">
        <f>IF(E697&lt;&gt;0,VLOOKUP(E697,DM_DUAN,3,0),"")</f>
        <v/>
      </c>
      <c r="E697" s="735"/>
      <c r="F697" s="735"/>
      <c r="G697" s="735"/>
      <c r="H697" s="735"/>
      <c r="I697" s="735"/>
      <c r="J697" s="52" t="s">
        <v>2214</v>
      </c>
      <c r="K697" s="52" t="s">
        <v>2214</v>
      </c>
      <c r="L697" s="735"/>
      <c r="M697" s="68"/>
      <c r="N697" s="738">
        <v>0.0</v>
      </c>
      <c r="O697" s="735"/>
      <c r="P697" s="52" t="s">
        <v>2214</v>
      </c>
      <c r="Q697" s="52" t="s">
        <v>2214</v>
      </c>
      <c r="R697" s="737"/>
      <c r="S697" s="735"/>
      <c r="T697" s="737"/>
      <c r="U697" s="737"/>
    </row>
    <row r="698">
      <c r="A698" s="733"/>
      <c r="B698" s="52" t="str">
        <f t="shared" si="1"/>
        <v/>
      </c>
      <c r="C698" s="52" t="str">
        <f>IF(A698="","",VLOOKUP(A698,'THAM CHIẾU'!$A:$B,2,0))</f>
        <v/>
      </c>
      <c r="D698" s="52" t="str">
        <f>IF(E698&lt;&gt;0,VLOOKUP(E698,DM_DUAN,3,0),"")</f>
        <v/>
      </c>
      <c r="E698" s="735"/>
      <c r="F698" s="735"/>
      <c r="G698" s="735"/>
      <c r="H698" s="735"/>
      <c r="I698" s="735"/>
      <c r="J698" s="52" t="s">
        <v>2214</v>
      </c>
      <c r="K698" s="52" t="s">
        <v>2214</v>
      </c>
      <c r="L698" s="735"/>
      <c r="M698" s="68"/>
      <c r="N698" s="738">
        <v>0.0</v>
      </c>
      <c r="O698" s="735"/>
      <c r="P698" s="52" t="s">
        <v>2214</v>
      </c>
      <c r="Q698" s="52" t="s">
        <v>2214</v>
      </c>
      <c r="R698" s="737"/>
      <c r="S698" s="735"/>
      <c r="T698" s="737"/>
      <c r="U698" s="737"/>
    </row>
    <row r="699">
      <c r="A699" s="733"/>
      <c r="B699" s="52" t="str">
        <f t="shared" si="1"/>
        <v/>
      </c>
      <c r="C699" s="52" t="str">
        <f>IF(A699="","",VLOOKUP(A699,'THAM CHIẾU'!$A:$B,2,0))</f>
        <v/>
      </c>
      <c r="D699" s="52" t="str">
        <f>IF(E699&lt;&gt;0,VLOOKUP(E699,DM_DUAN,3,0),"")</f>
        <v/>
      </c>
      <c r="E699" s="735"/>
      <c r="F699" s="735"/>
      <c r="G699" s="735"/>
      <c r="H699" s="735"/>
      <c r="I699" s="735"/>
      <c r="J699" s="52" t="s">
        <v>2214</v>
      </c>
      <c r="K699" s="52" t="s">
        <v>2214</v>
      </c>
      <c r="L699" s="735"/>
      <c r="M699" s="68"/>
      <c r="N699" s="738">
        <v>0.0</v>
      </c>
      <c r="O699" s="735"/>
      <c r="P699" s="52" t="s">
        <v>2214</v>
      </c>
      <c r="Q699" s="52" t="s">
        <v>2214</v>
      </c>
      <c r="R699" s="737"/>
      <c r="S699" s="735"/>
      <c r="T699" s="737"/>
      <c r="U699" s="737"/>
    </row>
    <row r="700">
      <c r="A700" s="733"/>
      <c r="B700" s="52" t="str">
        <f t="shared" si="1"/>
        <v/>
      </c>
      <c r="C700" s="52" t="str">
        <f>IF(A700="","",VLOOKUP(A700,'THAM CHIẾU'!$A:$B,2,0))</f>
        <v/>
      </c>
      <c r="D700" s="52" t="str">
        <f>IF(E700&lt;&gt;0,VLOOKUP(E700,DM_DUAN,3,0),"")</f>
        <v/>
      </c>
      <c r="E700" s="735"/>
      <c r="F700" s="735"/>
      <c r="G700" s="735"/>
      <c r="H700" s="735"/>
      <c r="I700" s="735"/>
      <c r="J700" s="52" t="s">
        <v>2214</v>
      </c>
      <c r="K700" s="52" t="s">
        <v>2214</v>
      </c>
      <c r="L700" s="735"/>
      <c r="M700" s="68"/>
      <c r="N700" s="738">
        <v>0.0</v>
      </c>
      <c r="O700" s="735"/>
      <c r="P700" s="52" t="s">
        <v>2214</v>
      </c>
      <c r="Q700" s="52" t="s">
        <v>2214</v>
      </c>
      <c r="R700" s="737"/>
      <c r="S700" s="735"/>
      <c r="T700" s="737"/>
      <c r="U700" s="737"/>
    </row>
    <row r="701">
      <c r="A701" s="733"/>
      <c r="B701" s="52" t="str">
        <f t="shared" si="1"/>
        <v/>
      </c>
      <c r="C701" s="52" t="str">
        <f>IF(A701="","",VLOOKUP(A701,'THAM CHIẾU'!$A:$B,2,0))</f>
        <v/>
      </c>
      <c r="D701" s="52" t="str">
        <f>IF(E701&lt;&gt;0,VLOOKUP(E701,DM_DUAN,3,0),"")</f>
        <v/>
      </c>
      <c r="E701" s="735"/>
      <c r="F701" s="735"/>
      <c r="G701" s="735"/>
      <c r="H701" s="735"/>
      <c r="I701" s="735"/>
      <c r="J701" s="52" t="s">
        <v>2214</v>
      </c>
      <c r="K701" s="52" t="s">
        <v>2214</v>
      </c>
      <c r="L701" s="735"/>
      <c r="M701" s="68"/>
      <c r="N701" s="738">
        <v>0.0</v>
      </c>
      <c r="O701" s="735"/>
      <c r="P701" s="52" t="s">
        <v>2214</v>
      </c>
      <c r="Q701" s="52" t="s">
        <v>2214</v>
      </c>
      <c r="R701" s="737"/>
      <c r="S701" s="735"/>
      <c r="T701" s="737"/>
      <c r="U701" s="737"/>
    </row>
    <row r="702">
      <c r="A702" s="733"/>
      <c r="B702" s="52" t="str">
        <f t="shared" si="1"/>
        <v/>
      </c>
      <c r="C702" s="52" t="str">
        <f>IF(A702="","",VLOOKUP(A702,'THAM CHIẾU'!$A:$B,2,0))</f>
        <v/>
      </c>
      <c r="D702" s="52" t="str">
        <f>IF(E702&lt;&gt;0,VLOOKUP(E702,DM_DUAN,3,0),"")</f>
        <v/>
      </c>
      <c r="E702" s="735"/>
      <c r="F702" s="735"/>
      <c r="G702" s="735"/>
      <c r="H702" s="735"/>
      <c r="I702" s="735"/>
      <c r="J702" s="52" t="s">
        <v>2214</v>
      </c>
      <c r="K702" s="52" t="s">
        <v>2214</v>
      </c>
      <c r="L702" s="735"/>
      <c r="M702" s="68"/>
      <c r="N702" s="738">
        <v>0.0</v>
      </c>
      <c r="O702" s="735"/>
      <c r="P702" s="52" t="s">
        <v>2214</v>
      </c>
      <c r="Q702" s="52" t="s">
        <v>2214</v>
      </c>
      <c r="R702" s="737"/>
      <c r="S702" s="735"/>
      <c r="T702" s="737"/>
      <c r="U702" s="737"/>
    </row>
    <row r="703">
      <c r="A703" s="733"/>
      <c r="B703" s="52" t="str">
        <f t="shared" si="1"/>
        <v/>
      </c>
      <c r="C703" s="52" t="str">
        <f>IF(A703="","",VLOOKUP(A703,'THAM CHIẾU'!$A:$B,2,0))</f>
        <v/>
      </c>
      <c r="D703" s="52" t="str">
        <f>IF(E703&lt;&gt;0,VLOOKUP(E703,DM_DUAN,3,0),"")</f>
        <v/>
      </c>
      <c r="E703" s="735"/>
      <c r="F703" s="735"/>
      <c r="G703" s="735"/>
      <c r="H703" s="735"/>
      <c r="I703" s="735"/>
      <c r="J703" s="52" t="s">
        <v>2214</v>
      </c>
      <c r="K703" s="52" t="s">
        <v>2214</v>
      </c>
      <c r="L703" s="735"/>
      <c r="M703" s="68"/>
      <c r="N703" s="738">
        <v>0.0</v>
      </c>
      <c r="O703" s="735"/>
      <c r="P703" s="52" t="s">
        <v>2214</v>
      </c>
      <c r="Q703" s="52" t="s">
        <v>2214</v>
      </c>
      <c r="R703" s="737"/>
      <c r="S703" s="735"/>
      <c r="T703" s="737"/>
      <c r="U703" s="737"/>
    </row>
    <row r="704">
      <c r="A704" s="733"/>
      <c r="B704" s="52" t="str">
        <f t="shared" si="1"/>
        <v/>
      </c>
      <c r="C704" s="52" t="str">
        <f>IF(A704="","",VLOOKUP(A704,'THAM CHIẾU'!$A:$B,2,0))</f>
        <v/>
      </c>
      <c r="D704" s="52" t="str">
        <f>IF(E704&lt;&gt;0,VLOOKUP(E704,DM_DUAN,3,0),"")</f>
        <v/>
      </c>
      <c r="E704" s="735"/>
      <c r="F704" s="735"/>
      <c r="G704" s="735"/>
      <c r="H704" s="735"/>
      <c r="I704" s="735"/>
      <c r="J704" s="52" t="s">
        <v>2214</v>
      </c>
      <c r="K704" s="52" t="s">
        <v>2214</v>
      </c>
      <c r="L704" s="735"/>
      <c r="M704" s="68"/>
      <c r="N704" s="738">
        <v>0.0</v>
      </c>
      <c r="O704" s="735"/>
      <c r="P704" s="52" t="s">
        <v>2214</v>
      </c>
      <c r="Q704" s="52" t="s">
        <v>2214</v>
      </c>
      <c r="R704" s="737"/>
      <c r="S704" s="735"/>
      <c r="T704" s="737"/>
      <c r="U704" s="737"/>
    </row>
    <row r="705">
      <c r="A705" s="733"/>
      <c r="B705" s="52" t="str">
        <f t="shared" si="1"/>
        <v/>
      </c>
      <c r="C705" s="52" t="str">
        <f>IF(A705="","",VLOOKUP(A705,'THAM CHIẾU'!$A:$B,2,0))</f>
        <v/>
      </c>
      <c r="D705" s="52" t="str">
        <f>IF(E705&lt;&gt;0,VLOOKUP(E705,DM_DUAN,3,0),"")</f>
        <v/>
      </c>
      <c r="E705" s="735"/>
      <c r="F705" s="735"/>
      <c r="G705" s="735"/>
      <c r="H705" s="735"/>
      <c r="I705" s="735"/>
      <c r="J705" s="52" t="s">
        <v>2214</v>
      </c>
      <c r="K705" s="52" t="s">
        <v>2214</v>
      </c>
      <c r="L705" s="735"/>
      <c r="M705" s="68"/>
      <c r="N705" s="738">
        <v>0.0</v>
      </c>
      <c r="O705" s="735"/>
      <c r="P705" s="52" t="s">
        <v>2214</v>
      </c>
      <c r="Q705" s="52" t="s">
        <v>2214</v>
      </c>
      <c r="R705" s="737"/>
      <c r="S705" s="735"/>
      <c r="T705" s="737"/>
      <c r="U705" s="737"/>
    </row>
    <row r="706">
      <c r="A706" s="733"/>
      <c r="B706" s="52" t="str">
        <f t="shared" si="1"/>
        <v/>
      </c>
      <c r="C706" s="52" t="str">
        <f>IF(A706="","",VLOOKUP(A706,'THAM CHIẾU'!$A:$B,2,0))</f>
        <v/>
      </c>
      <c r="D706" s="52" t="str">
        <f>IF(E706&lt;&gt;0,VLOOKUP(E706,DM_DUAN,3,0),"")</f>
        <v/>
      </c>
      <c r="E706" s="735"/>
      <c r="F706" s="735"/>
      <c r="G706" s="735"/>
      <c r="H706" s="735"/>
      <c r="I706" s="735"/>
      <c r="J706" s="52" t="s">
        <v>2214</v>
      </c>
      <c r="K706" s="52" t="s">
        <v>2214</v>
      </c>
      <c r="L706" s="735"/>
      <c r="M706" s="68"/>
      <c r="N706" s="738">
        <v>0.0</v>
      </c>
      <c r="O706" s="735"/>
      <c r="P706" s="52" t="s">
        <v>2214</v>
      </c>
      <c r="Q706" s="52" t="s">
        <v>2214</v>
      </c>
      <c r="R706" s="737"/>
      <c r="S706" s="735"/>
      <c r="T706" s="737"/>
      <c r="U706" s="737"/>
    </row>
    <row r="707">
      <c r="A707" s="733"/>
      <c r="B707" s="52" t="str">
        <f t="shared" si="1"/>
        <v/>
      </c>
      <c r="C707" s="52" t="str">
        <f>IF(A707="","",VLOOKUP(A707,'THAM CHIẾU'!$A:$B,2,0))</f>
        <v/>
      </c>
      <c r="D707" s="52" t="str">
        <f>IF(E707&lt;&gt;0,VLOOKUP(E707,DM_DUAN,3,0),"")</f>
        <v/>
      </c>
      <c r="E707" s="735"/>
      <c r="F707" s="735"/>
      <c r="G707" s="735"/>
      <c r="H707" s="735"/>
      <c r="I707" s="735"/>
      <c r="J707" s="52" t="s">
        <v>2214</v>
      </c>
      <c r="K707" s="52" t="s">
        <v>2214</v>
      </c>
      <c r="L707" s="735"/>
      <c r="M707" s="68"/>
      <c r="N707" s="738">
        <v>0.0</v>
      </c>
      <c r="O707" s="735"/>
      <c r="P707" s="52" t="s">
        <v>2214</v>
      </c>
      <c r="Q707" s="52" t="s">
        <v>2214</v>
      </c>
      <c r="R707" s="737"/>
      <c r="S707" s="735"/>
      <c r="T707" s="737"/>
      <c r="U707" s="737"/>
    </row>
    <row r="708">
      <c r="A708" s="733"/>
      <c r="B708" s="52" t="str">
        <f t="shared" si="1"/>
        <v/>
      </c>
      <c r="C708" s="52" t="str">
        <f>IF(A708="","",VLOOKUP(A708,'THAM CHIẾU'!$A:$B,2,0))</f>
        <v/>
      </c>
      <c r="D708" s="52" t="str">
        <f>IF(E708&lt;&gt;0,VLOOKUP(E708,DM_DUAN,3,0),"")</f>
        <v/>
      </c>
      <c r="E708" s="735"/>
      <c r="F708" s="735"/>
      <c r="G708" s="735"/>
      <c r="H708" s="735"/>
      <c r="I708" s="735"/>
      <c r="J708" s="52" t="s">
        <v>2214</v>
      </c>
      <c r="K708" s="52" t="s">
        <v>2214</v>
      </c>
      <c r="L708" s="735"/>
      <c r="M708" s="68"/>
      <c r="N708" s="738">
        <v>0.0</v>
      </c>
      <c r="O708" s="735"/>
      <c r="P708" s="52" t="s">
        <v>2214</v>
      </c>
      <c r="Q708" s="52" t="s">
        <v>2214</v>
      </c>
      <c r="R708" s="737"/>
      <c r="S708" s="735"/>
      <c r="T708" s="737"/>
      <c r="U708" s="737"/>
    </row>
    <row r="709">
      <c r="A709" s="733"/>
      <c r="B709" s="52" t="str">
        <f t="shared" si="1"/>
        <v/>
      </c>
      <c r="C709" s="52" t="str">
        <f>IF(A709="","",VLOOKUP(A709,'THAM CHIẾU'!$A:$B,2,0))</f>
        <v/>
      </c>
      <c r="D709" s="52" t="str">
        <f>IF(E709&lt;&gt;0,VLOOKUP(E709,DM_DUAN,3,0),"")</f>
        <v/>
      </c>
      <c r="E709" s="735"/>
      <c r="F709" s="735"/>
      <c r="G709" s="735"/>
      <c r="H709" s="735"/>
      <c r="I709" s="735"/>
      <c r="J709" s="52" t="s">
        <v>2214</v>
      </c>
      <c r="K709" s="52" t="s">
        <v>2214</v>
      </c>
      <c r="L709" s="735"/>
      <c r="M709" s="68"/>
      <c r="N709" s="738">
        <v>0.0</v>
      </c>
      <c r="O709" s="735"/>
      <c r="P709" s="52" t="s">
        <v>2214</v>
      </c>
      <c r="Q709" s="52" t="s">
        <v>2214</v>
      </c>
      <c r="R709" s="737"/>
      <c r="S709" s="735"/>
      <c r="T709" s="737"/>
      <c r="U709" s="737"/>
    </row>
    <row r="710">
      <c r="A710" s="733"/>
      <c r="B710" s="52" t="str">
        <f t="shared" si="1"/>
        <v/>
      </c>
      <c r="C710" s="52" t="str">
        <f>IF(A710="","",VLOOKUP(A710,'THAM CHIẾU'!$A:$B,2,0))</f>
        <v/>
      </c>
      <c r="D710" s="52" t="str">
        <f>IF(E710&lt;&gt;0,VLOOKUP(E710,DM_DUAN,3,0),"")</f>
        <v/>
      </c>
      <c r="E710" s="735"/>
      <c r="F710" s="735"/>
      <c r="G710" s="735"/>
      <c r="H710" s="735"/>
      <c r="I710" s="735"/>
      <c r="J710" s="52" t="s">
        <v>2214</v>
      </c>
      <c r="K710" s="52" t="s">
        <v>2214</v>
      </c>
      <c r="L710" s="735"/>
      <c r="M710" s="68"/>
      <c r="N710" s="738">
        <v>0.0</v>
      </c>
      <c r="O710" s="735"/>
      <c r="P710" s="52" t="s">
        <v>2214</v>
      </c>
      <c r="Q710" s="52" t="s">
        <v>2214</v>
      </c>
      <c r="R710" s="737"/>
      <c r="S710" s="735"/>
      <c r="T710" s="737"/>
      <c r="U710" s="737"/>
    </row>
    <row r="711">
      <c r="A711" s="733"/>
      <c r="B711" s="52" t="str">
        <f t="shared" si="1"/>
        <v/>
      </c>
      <c r="C711" s="52" t="str">
        <f>IF(A711="","",VLOOKUP(A711,'THAM CHIẾU'!$A:$B,2,0))</f>
        <v/>
      </c>
      <c r="D711" s="52" t="str">
        <f>IF(E711&lt;&gt;0,VLOOKUP(E711,DM_DUAN,3,0),"")</f>
        <v/>
      </c>
      <c r="E711" s="735"/>
      <c r="F711" s="735"/>
      <c r="G711" s="735"/>
      <c r="H711" s="735"/>
      <c r="I711" s="735"/>
      <c r="J711" s="52" t="s">
        <v>2214</v>
      </c>
      <c r="K711" s="52" t="s">
        <v>2214</v>
      </c>
      <c r="L711" s="735"/>
      <c r="M711" s="68"/>
      <c r="N711" s="738">
        <v>0.0</v>
      </c>
      <c r="O711" s="735"/>
      <c r="P711" s="52" t="s">
        <v>2214</v>
      </c>
      <c r="Q711" s="52" t="s">
        <v>2214</v>
      </c>
      <c r="R711" s="737"/>
      <c r="S711" s="735"/>
      <c r="T711" s="737"/>
      <c r="U711" s="737"/>
    </row>
    <row r="712">
      <c r="A712" s="733"/>
      <c r="B712" s="52" t="str">
        <f t="shared" si="1"/>
        <v/>
      </c>
      <c r="C712" s="52" t="str">
        <f>IF(A712="","",VLOOKUP(A712,'THAM CHIẾU'!$A:$B,2,0))</f>
        <v/>
      </c>
      <c r="D712" s="52" t="str">
        <f>IF(E712&lt;&gt;0,VLOOKUP(E712,DM_DUAN,3,0),"")</f>
        <v/>
      </c>
      <c r="E712" s="735"/>
      <c r="F712" s="735"/>
      <c r="G712" s="735"/>
      <c r="H712" s="735"/>
      <c r="I712" s="735"/>
      <c r="J712" s="52" t="s">
        <v>2214</v>
      </c>
      <c r="K712" s="52" t="s">
        <v>2214</v>
      </c>
      <c r="L712" s="735"/>
      <c r="M712" s="68"/>
      <c r="N712" s="738">
        <v>0.0</v>
      </c>
      <c r="O712" s="735"/>
      <c r="P712" s="52" t="s">
        <v>2214</v>
      </c>
      <c r="Q712" s="52" t="s">
        <v>2214</v>
      </c>
      <c r="R712" s="737"/>
      <c r="S712" s="735"/>
      <c r="T712" s="737"/>
      <c r="U712" s="737"/>
    </row>
    <row r="713">
      <c r="A713" s="733"/>
      <c r="B713" s="52" t="str">
        <f t="shared" si="1"/>
        <v/>
      </c>
      <c r="C713" s="52" t="str">
        <f>IF(A713="","",VLOOKUP(A713,'THAM CHIẾU'!$A:$B,2,0))</f>
        <v/>
      </c>
      <c r="D713" s="52" t="str">
        <f>IF(E713&lt;&gt;0,VLOOKUP(E713,DM_DUAN,3,0),"")</f>
        <v/>
      </c>
      <c r="E713" s="735"/>
      <c r="F713" s="735"/>
      <c r="G713" s="735"/>
      <c r="H713" s="735"/>
      <c r="I713" s="735"/>
      <c r="J713" s="52" t="s">
        <v>2214</v>
      </c>
      <c r="K713" s="52" t="s">
        <v>2214</v>
      </c>
      <c r="L713" s="735"/>
      <c r="M713" s="68"/>
      <c r="N713" s="738">
        <v>0.0</v>
      </c>
      <c r="O713" s="735"/>
      <c r="P713" s="52" t="s">
        <v>2214</v>
      </c>
      <c r="Q713" s="52" t="s">
        <v>2214</v>
      </c>
      <c r="R713" s="737"/>
      <c r="S713" s="735"/>
      <c r="T713" s="737"/>
      <c r="U713" s="737"/>
    </row>
    <row r="714">
      <c r="A714" s="733"/>
      <c r="B714" s="52" t="str">
        <f t="shared" si="1"/>
        <v/>
      </c>
      <c r="C714" s="52" t="str">
        <f>IF(A714="","",VLOOKUP(A714,'THAM CHIẾU'!$A:$B,2,0))</f>
        <v/>
      </c>
      <c r="D714" s="52" t="str">
        <f>IF(E714&lt;&gt;0,VLOOKUP(E714,DM_DUAN,3,0),"")</f>
        <v/>
      </c>
      <c r="E714" s="735"/>
      <c r="F714" s="735"/>
      <c r="G714" s="735"/>
      <c r="H714" s="735"/>
      <c r="I714" s="735"/>
      <c r="J714" s="52" t="s">
        <v>2214</v>
      </c>
      <c r="K714" s="52" t="s">
        <v>2214</v>
      </c>
      <c r="L714" s="735"/>
      <c r="M714" s="68"/>
      <c r="N714" s="738">
        <v>0.0</v>
      </c>
      <c r="O714" s="735"/>
      <c r="P714" s="52" t="s">
        <v>2214</v>
      </c>
      <c r="Q714" s="52" t="s">
        <v>2214</v>
      </c>
      <c r="R714" s="737"/>
      <c r="S714" s="735"/>
      <c r="T714" s="737"/>
      <c r="U714" s="737"/>
    </row>
    <row r="715">
      <c r="A715" s="733"/>
      <c r="B715" s="52" t="str">
        <f t="shared" si="1"/>
        <v/>
      </c>
      <c r="C715" s="52" t="str">
        <f>IF(A715="","",VLOOKUP(A715,'THAM CHIẾU'!$A:$B,2,0))</f>
        <v/>
      </c>
      <c r="D715" s="52" t="str">
        <f>IF(E715&lt;&gt;0,VLOOKUP(E715,DM_DUAN,3,0),"")</f>
        <v/>
      </c>
      <c r="E715" s="735"/>
      <c r="F715" s="735"/>
      <c r="G715" s="735"/>
      <c r="H715" s="735"/>
      <c r="I715" s="735"/>
      <c r="J715" s="52" t="s">
        <v>2214</v>
      </c>
      <c r="K715" s="52" t="s">
        <v>2214</v>
      </c>
      <c r="L715" s="735"/>
      <c r="M715" s="68"/>
      <c r="N715" s="738">
        <v>0.0</v>
      </c>
      <c r="O715" s="735"/>
      <c r="P715" s="52" t="s">
        <v>2214</v>
      </c>
      <c r="Q715" s="52" t="s">
        <v>2214</v>
      </c>
      <c r="R715" s="737"/>
      <c r="S715" s="735"/>
      <c r="T715" s="737"/>
      <c r="U715" s="737"/>
    </row>
    <row r="716">
      <c r="A716" s="733"/>
      <c r="B716" s="52" t="str">
        <f t="shared" si="1"/>
        <v/>
      </c>
      <c r="C716" s="52" t="str">
        <f>IF(A716="","",VLOOKUP(A716,'THAM CHIẾU'!$A:$B,2,0))</f>
        <v/>
      </c>
      <c r="D716" s="52" t="str">
        <f>IF(E716&lt;&gt;0,VLOOKUP(E716,DM_DUAN,3,0),"")</f>
        <v/>
      </c>
      <c r="E716" s="735"/>
      <c r="F716" s="735"/>
      <c r="G716" s="735"/>
      <c r="H716" s="735"/>
      <c r="I716" s="735"/>
      <c r="J716" s="52" t="s">
        <v>2214</v>
      </c>
      <c r="K716" s="52" t="s">
        <v>2214</v>
      </c>
      <c r="L716" s="735"/>
      <c r="M716" s="68"/>
      <c r="N716" s="738">
        <v>0.0</v>
      </c>
      <c r="O716" s="735"/>
      <c r="P716" s="52" t="s">
        <v>2214</v>
      </c>
      <c r="Q716" s="52" t="s">
        <v>2214</v>
      </c>
      <c r="R716" s="737"/>
      <c r="S716" s="735"/>
      <c r="T716" s="737"/>
      <c r="U716" s="737"/>
    </row>
    <row r="717">
      <c r="A717" s="733"/>
      <c r="B717" s="52" t="str">
        <f t="shared" si="1"/>
        <v/>
      </c>
      <c r="C717" s="52" t="str">
        <f>IF(A717="","",VLOOKUP(A717,'THAM CHIẾU'!$A:$B,2,0))</f>
        <v/>
      </c>
      <c r="D717" s="52" t="str">
        <f>IF(E717&lt;&gt;0,VLOOKUP(E717,DM_DUAN,3,0),"")</f>
        <v/>
      </c>
      <c r="E717" s="735"/>
      <c r="F717" s="735"/>
      <c r="G717" s="735"/>
      <c r="H717" s="735"/>
      <c r="I717" s="735"/>
      <c r="J717" s="52" t="s">
        <v>2214</v>
      </c>
      <c r="K717" s="52" t="s">
        <v>2214</v>
      </c>
      <c r="L717" s="735"/>
      <c r="M717" s="68"/>
      <c r="N717" s="738">
        <v>0.0</v>
      </c>
      <c r="O717" s="735"/>
      <c r="P717" s="52" t="s">
        <v>2214</v>
      </c>
      <c r="Q717" s="52" t="s">
        <v>2214</v>
      </c>
      <c r="R717" s="737"/>
      <c r="S717" s="735"/>
      <c r="T717" s="737"/>
      <c r="U717" s="737"/>
    </row>
    <row r="718">
      <c r="A718" s="733"/>
      <c r="B718" s="52" t="str">
        <f t="shared" si="1"/>
        <v/>
      </c>
      <c r="C718" s="52" t="str">
        <f>IF(A718="","",VLOOKUP(A718,'THAM CHIẾU'!$A:$B,2,0))</f>
        <v/>
      </c>
      <c r="D718" s="52" t="str">
        <f>IF(E718&lt;&gt;0,VLOOKUP(E718,DM_DUAN,3,0),"")</f>
        <v/>
      </c>
      <c r="E718" s="735"/>
      <c r="F718" s="735"/>
      <c r="G718" s="735"/>
      <c r="H718" s="735"/>
      <c r="I718" s="735"/>
      <c r="J718" s="52" t="s">
        <v>2214</v>
      </c>
      <c r="K718" s="52" t="s">
        <v>2214</v>
      </c>
      <c r="L718" s="735"/>
      <c r="M718" s="68"/>
      <c r="N718" s="738">
        <v>0.0</v>
      </c>
      <c r="O718" s="735"/>
      <c r="P718" s="52" t="s">
        <v>2214</v>
      </c>
      <c r="Q718" s="52" t="s">
        <v>2214</v>
      </c>
      <c r="R718" s="737"/>
      <c r="S718" s="735"/>
      <c r="T718" s="737"/>
      <c r="U718" s="737"/>
    </row>
    <row r="719">
      <c r="A719" s="733"/>
      <c r="B719" s="52" t="str">
        <f t="shared" si="1"/>
        <v/>
      </c>
      <c r="C719" s="52" t="str">
        <f>IF(A719="","",VLOOKUP(A719,'THAM CHIẾU'!$A:$B,2,0))</f>
        <v/>
      </c>
      <c r="D719" s="52" t="str">
        <f>IF(E719&lt;&gt;0,VLOOKUP(E719,DM_DUAN,3,0),"")</f>
        <v/>
      </c>
      <c r="E719" s="735"/>
      <c r="F719" s="735"/>
      <c r="G719" s="735"/>
      <c r="H719" s="735"/>
      <c r="I719" s="735"/>
      <c r="J719" s="52" t="s">
        <v>2214</v>
      </c>
      <c r="K719" s="52" t="s">
        <v>2214</v>
      </c>
      <c r="L719" s="735"/>
      <c r="M719" s="68"/>
      <c r="N719" s="738">
        <v>0.0</v>
      </c>
      <c r="O719" s="735"/>
      <c r="P719" s="52" t="s">
        <v>2214</v>
      </c>
      <c r="Q719" s="52" t="s">
        <v>2214</v>
      </c>
      <c r="R719" s="737"/>
      <c r="S719" s="735"/>
      <c r="T719" s="737"/>
      <c r="U719" s="737"/>
    </row>
    <row r="720">
      <c r="A720" s="733"/>
      <c r="B720" s="52" t="str">
        <f t="shared" si="1"/>
        <v/>
      </c>
      <c r="C720" s="52" t="str">
        <f>IF(A720="","",VLOOKUP(A720,'THAM CHIẾU'!$A:$B,2,0))</f>
        <v/>
      </c>
      <c r="D720" s="52" t="str">
        <f>IF(E720&lt;&gt;0,VLOOKUP(E720,DM_DUAN,3,0),"")</f>
        <v/>
      </c>
      <c r="E720" s="735"/>
      <c r="F720" s="735"/>
      <c r="G720" s="735"/>
      <c r="H720" s="735"/>
      <c r="I720" s="735"/>
      <c r="J720" s="52" t="s">
        <v>2214</v>
      </c>
      <c r="K720" s="52" t="s">
        <v>2214</v>
      </c>
      <c r="L720" s="735"/>
      <c r="M720" s="68"/>
      <c r="N720" s="738">
        <v>0.0</v>
      </c>
      <c r="O720" s="735"/>
      <c r="P720" s="52" t="s">
        <v>2214</v>
      </c>
      <c r="Q720" s="52" t="s">
        <v>2214</v>
      </c>
      <c r="R720" s="737"/>
      <c r="S720" s="735"/>
      <c r="T720" s="737"/>
      <c r="U720" s="737"/>
    </row>
    <row r="721">
      <c r="A721" s="733"/>
      <c r="B721" s="52" t="str">
        <f t="shared" si="1"/>
        <v/>
      </c>
      <c r="C721" s="52" t="str">
        <f>IF(A721="","",VLOOKUP(A721,'THAM CHIẾU'!$A:$B,2,0))</f>
        <v/>
      </c>
      <c r="D721" s="52" t="str">
        <f>IF(E721&lt;&gt;0,VLOOKUP(E721,DM_DUAN,3,0),"")</f>
        <v/>
      </c>
      <c r="E721" s="735"/>
      <c r="F721" s="735"/>
      <c r="G721" s="735"/>
      <c r="H721" s="735"/>
      <c r="I721" s="735"/>
      <c r="J721" s="52" t="s">
        <v>2214</v>
      </c>
      <c r="K721" s="52" t="s">
        <v>2214</v>
      </c>
      <c r="L721" s="735"/>
      <c r="M721" s="68"/>
      <c r="N721" s="738">
        <v>0.0</v>
      </c>
      <c r="O721" s="735"/>
      <c r="P721" s="52" t="s">
        <v>2214</v>
      </c>
      <c r="Q721" s="52" t="s">
        <v>2214</v>
      </c>
      <c r="R721" s="737"/>
      <c r="S721" s="735"/>
      <c r="T721" s="737"/>
      <c r="U721" s="737"/>
    </row>
    <row r="722">
      <c r="A722" s="733"/>
      <c r="B722" s="52" t="str">
        <f t="shared" si="1"/>
        <v/>
      </c>
      <c r="C722" s="52" t="str">
        <f>IF(A722="","",VLOOKUP(A722,'THAM CHIẾU'!$A:$B,2,0))</f>
        <v/>
      </c>
      <c r="D722" s="52" t="str">
        <f>IF(E722&lt;&gt;0,VLOOKUP(E722,DM_DUAN,3,0),"")</f>
        <v/>
      </c>
      <c r="E722" s="735"/>
      <c r="F722" s="735"/>
      <c r="G722" s="735"/>
      <c r="H722" s="735"/>
      <c r="I722" s="735"/>
      <c r="J722" s="52" t="s">
        <v>2214</v>
      </c>
      <c r="K722" s="52" t="s">
        <v>2214</v>
      </c>
      <c r="L722" s="735"/>
      <c r="M722" s="68"/>
      <c r="N722" s="738">
        <v>0.0</v>
      </c>
      <c r="O722" s="735"/>
      <c r="P722" s="52" t="s">
        <v>2214</v>
      </c>
      <c r="Q722" s="52" t="s">
        <v>2214</v>
      </c>
      <c r="R722" s="737"/>
      <c r="S722" s="735"/>
      <c r="T722" s="737"/>
      <c r="U722" s="737"/>
    </row>
    <row r="723">
      <c r="A723" s="733"/>
      <c r="B723" s="52" t="str">
        <f t="shared" si="1"/>
        <v/>
      </c>
      <c r="C723" s="52" t="str">
        <f>IF(A723="","",VLOOKUP(A723,'THAM CHIẾU'!$A:$B,2,0))</f>
        <v/>
      </c>
      <c r="D723" s="52" t="str">
        <f>IF(E723&lt;&gt;0,VLOOKUP(E723,DM_DUAN,3,0),"")</f>
        <v/>
      </c>
      <c r="E723" s="735"/>
      <c r="F723" s="735"/>
      <c r="G723" s="735"/>
      <c r="H723" s="735"/>
      <c r="I723" s="735"/>
      <c r="J723" s="52" t="s">
        <v>2214</v>
      </c>
      <c r="K723" s="52" t="s">
        <v>2214</v>
      </c>
      <c r="L723" s="735"/>
      <c r="M723" s="68"/>
      <c r="N723" s="738">
        <v>0.0</v>
      </c>
      <c r="O723" s="735"/>
      <c r="P723" s="52" t="s">
        <v>2214</v>
      </c>
      <c r="Q723" s="52" t="s">
        <v>2214</v>
      </c>
      <c r="R723" s="737"/>
      <c r="S723" s="735"/>
      <c r="T723" s="737"/>
      <c r="U723" s="737"/>
    </row>
    <row r="724">
      <c r="A724" s="733"/>
      <c r="B724" s="52" t="str">
        <f t="shared" si="1"/>
        <v/>
      </c>
      <c r="C724" s="52" t="str">
        <f>IF(A724="","",VLOOKUP(A724,'THAM CHIẾU'!$A:$B,2,0))</f>
        <v/>
      </c>
      <c r="D724" s="52" t="str">
        <f>IF(E724&lt;&gt;0,VLOOKUP(E724,DM_DUAN,3,0),"")</f>
        <v/>
      </c>
      <c r="E724" s="735"/>
      <c r="F724" s="735"/>
      <c r="G724" s="735"/>
      <c r="H724" s="735"/>
      <c r="I724" s="735"/>
      <c r="J724" s="52" t="s">
        <v>2214</v>
      </c>
      <c r="K724" s="52" t="s">
        <v>2214</v>
      </c>
      <c r="L724" s="735"/>
      <c r="M724" s="68"/>
      <c r="N724" s="738">
        <v>0.0</v>
      </c>
      <c r="O724" s="735"/>
      <c r="P724" s="52" t="s">
        <v>2214</v>
      </c>
      <c r="Q724" s="52" t="s">
        <v>2214</v>
      </c>
      <c r="R724" s="737"/>
      <c r="S724" s="735"/>
      <c r="T724" s="737"/>
      <c r="U724" s="737"/>
    </row>
    <row r="725">
      <c r="A725" s="733"/>
      <c r="B725" s="52" t="str">
        <f t="shared" si="1"/>
        <v/>
      </c>
      <c r="C725" s="52" t="str">
        <f>IF(A725="","",VLOOKUP(A725,'THAM CHIẾU'!$A:$B,2,0))</f>
        <v/>
      </c>
      <c r="D725" s="52" t="str">
        <f>IF(E725&lt;&gt;0,VLOOKUP(E725,DM_DUAN,3,0),"")</f>
        <v/>
      </c>
      <c r="E725" s="735"/>
      <c r="F725" s="735"/>
      <c r="G725" s="735"/>
      <c r="H725" s="735"/>
      <c r="I725" s="735"/>
      <c r="J725" s="52" t="s">
        <v>2214</v>
      </c>
      <c r="K725" s="52" t="s">
        <v>2214</v>
      </c>
      <c r="L725" s="735"/>
      <c r="M725" s="68"/>
      <c r="N725" s="738">
        <v>0.0</v>
      </c>
      <c r="O725" s="735"/>
      <c r="P725" s="52" t="s">
        <v>2214</v>
      </c>
      <c r="Q725" s="52" t="s">
        <v>2214</v>
      </c>
      <c r="R725" s="737"/>
      <c r="S725" s="735"/>
      <c r="T725" s="737"/>
      <c r="U725" s="737"/>
    </row>
    <row r="726">
      <c r="A726" s="733"/>
      <c r="B726" s="52" t="str">
        <f t="shared" si="1"/>
        <v/>
      </c>
      <c r="C726" s="52" t="str">
        <f>IF(A726="","",VLOOKUP(A726,'THAM CHIẾU'!$A:$B,2,0))</f>
        <v/>
      </c>
      <c r="D726" s="52" t="str">
        <f>IF(E726&lt;&gt;0,VLOOKUP(E726,DM_DUAN,3,0),"")</f>
        <v/>
      </c>
      <c r="E726" s="735"/>
      <c r="F726" s="735"/>
      <c r="G726" s="735"/>
      <c r="H726" s="735"/>
      <c r="I726" s="735"/>
      <c r="J726" s="52" t="s">
        <v>2214</v>
      </c>
      <c r="K726" s="52" t="s">
        <v>2214</v>
      </c>
      <c r="L726" s="735"/>
      <c r="M726" s="68"/>
      <c r="N726" s="738">
        <v>0.0</v>
      </c>
      <c r="O726" s="735"/>
      <c r="P726" s="52" t="s">
        <v>2214</v>
      </c>
      <c r="Q726" s="52" t="s">
        <v>2214</v>
      </c>
      <c r="R726" s="737"/>
      <c r="S726" s="735"/>
      <c r="T726" s="737"/>
      <c r="U726" s="737"/>
    </row>
    <row r="727">
      <c r="A727" s="733"/>
      <c r="B727" s="52" t="str">
        <f t="shared" si="1"/>
        <v/>
      </c>
      <c r="C727" s="52" t="str">
        <f>IF(A727="","",VLOOKUP(A727,'THAM CHIẾU'!$A:$B,2,0))</f>
        <v/>
      </c>
      <c r="D727" s="52" t="str">
        <f>IF(E727&lt;&gt;0,VLOOKUP(E727,DM_DUAN,3,0),"")</f>
        <v/>
      </c>
      <c r="E727" s="735"/>
      <c r="F727" s="735"/>
      <c r="G727" s="735"/>
      <c r="H727" s="735"/>
      <c r="I727" s="735"/>
      <c r="J727" s="52" t="s">
        <v>2214</v>
      </c>
      <c r="K727" s="52" t="s">
        <v>2214</v>
      </c>
      <c r="L727" s="735"/>
      <c r="M727" s="68"/>
      <c r="N727" s="738">
        <v>0.0</v>
      </c>
      <c r="O727" s="735"/>
      <c r="P727" s="52" t="s">
        <v>2214</v>
      </c>
      <c r="Q727" s="52" t="s">
        <v>2214</v>
      </c>
      <c r="R727" s="737"/>
      <c r="S727" s="735"/>
      <c r="T727" s="737"/>
      <c r="U727" s="737"/>
    </row>
    <row r="728">
      <c r="A728" s="733"/>
      <c r="B728" s="52" t="str">
        <f t="shared" si="1"/>
        <v/>
      </c>
      <c r="C728" s="52" t="str">
        <f>IF(A728="","",VLOOKUP(A728,'THAM CHIẾU'!$A:$B,2,0))</f>
        <v/>
      </c>
      <c r="D728" s="52" t="str">
        <f>IF(E728&lt;&gt;0,VLOOKUP(E728,DM_DUAN,3,0),"")</f>
        <v/>
      </c>
      <c r="E728" s="735"/>
      <c r="F728" s="735"/>
      <c r="G728" s="735"/>
      <c r="H728" s="735"/>
      <c r="I728" s="735"/>
      <c r="J728" s="52" t="s">
        <v>2214</v>
      </c>
      <c r="K728" s="52" t="s">
        <v>2214</v>
      </c>
      <c r="L728" s="735"/>
      <c r="M728" s="68"/>
      <c r="N728" s="739"/>
      <c r="O728" s="735"/>
      <c r="P728" s="52" t="s">
        <v>2214</v>
      </c>
      <c r="Q728" s="52" t="s">
        <v>2214</v>
      </c>
      <c r="R728" s="737"/>
      <c r="S728" s="735"/>
      <c r="T728" s="737"/>
      <c r="U728" s="737"/>
    </row>
    <row r="729">
      <c r="A729" s="733"/>
      <c r="B729" s="52" t="str">
        <f t="shared" si="1"/>
        <v/>
      </c>
      <c r="C729" s="52" t="str">
        <f>IF(A729="","",VLOOKUP(A729,'THAM CHIẾU'!$A:$B,2,0))</f>
        <v/>
      </c>
      <c r="D729" s="52" t="str">
        <f>IF(E729&lt;&gt;0,VLOOKUP(E729,DM_DUAN,3,0),"")</f>
        <v/>
      </c>
      <c r="E729" s="735"/>
      <c r="F729" s="735"/>
      <c r="G729" s="735"/>
      <c r="H729" s="735"/>
      <c r="I729" s="735"/>
      <c r="J729" s="52" t="s">
        <v>2214</v>
      </c>
      <c r="K729" s="52" t="s">
        <v>2214</v>
      </c>
      <c r="L729" s="735"/>
      <c r="M729" s="68"/>
      <c r="N729" s="739"/>
      <c r="O729" s="735"/>
      <c r="P729" s="52" t="s">
        <v>2214</v>
      </c>
      <c r="Q729" s="52" t="s">
        <v>2214</v>
      </c>
      <c r="R729" s="737"/>
      <c r="S729" s="735"/>
      <c r="T729" s="737"/>
      <c r="U729" s="737"/>
    </row>
    <row r="730">
      <c r="A730" s="733"/>
      <c r="B730" s="52" t="str">
        <f t="shared" si="1"/>
        <v/>
      </c>
      <c r="C730" s="52" t="str">
        <f>IF(A730="","",VLOOKUP(A730,'THAM CHIẾU'!$A:$B,2,0))</f>
        <v/>
      </c>
      <c r="D730" s="52" t="str">
        <f>IF(E730&lt;&gt;0,VLOOKUP(E730,DM_DUAN,3,0),"")</f>
        <v/>
      </c>
      <c r="E730" s="735"/>
      <c r="F730" s="735"/>
      <c r="G730" s="735"/>
      <c r="H730" s="735"/>
      <c r="I730" s="735"/>
      <c r="J730" s="52" t="s">
        <v>2214</v>
      </c>
      <c r="K730" s="52" t="s">
        <v>2214</v>
      </c>
      <c r="L730" s="735"/>
      <c r="M730" s="68"/>
      <c r="N730" s="739"/>
      <c r="O730" s="735"/>
      <c r="P730" s="52" t="s">
        <v>2214</v>
      </c>
      <c r="Q730" s="52" t="s">
        <v>2214</v>
      </c>
      <c r="R730" s="737"/>
      <c r="S730" s="735"/>
      <c r="T730" s="737"/>
      <c r="U730" s="737"/>
    </row>
    <row r="731">
      <c r="A731" s="733"/>
      <c r="B731" s="52" t="str">
        <f t="shared" si="1"/>
        <v/>
      </c>
      <c r="C731" s="52" t="str">
        <f>IF(A731="","",VLOOKUP(A731,'THAM CHIẾU'!$A:$B,2,0))</f>
        <v/>
      </c>
      <c r="D731" s="52" t="str">
        <f>IF(E731&lt;&gt;0,VLOOKUP(E731,DM_DUAN,3,0),"")</f>
        <v/>
      </c>
      <c r="E731" s="735"/>
      <c r="F731" s="735"/>
      <c r="G731" s="735"/>
      <c r="H731" s="735"/>
      <c r="I731" s="735"/>
      <c r="J731" s="52" t="s">
        <v>2214</v>
      </c>
      <c r="K731" s="52" t="s">
        <v>2214</v>
      </c>
      <c r="L731" s="735"/>
      <c r="M731" s="68"/>
      <c r="N731" s="739"/>
      <c r="O731" s="735"/>
      <c r="P731" s="52" t="s">
        <v>2214</v>
      </c>
      <c r="Q731" s="52" t="s">
        <v>2214</v>
      </c>
      <c r="R731" s="737"/>
      <c r="S731" s="735"/>
      <c r="T731" s="737"/>
      <c r="U731" s="737"/>
    </row>
    <row r="732">
      <c r="A732" s="733"/>
      <c r="B732" s="52" t="str">
        <f t="shared" si="1"/>
        <v/>
      </c>
      <c r="C732" s="52" t="str">
        <f>IF(A732="","",VLOOKUP(A732,'THAM CHIẾU'!$A:$B,2,0))</f>
        <v/>
      </c>
      <c r="D732" s="52" t="str">
        <f>IF(E732&lt;&gt;0,VLOOKUP(E732,DM_DUAN,3,0),"")</f>
        <v/>
      </c>
      <c r="E732" s="735"/>
      <c r="F732" s="735"/>
      <c r="G732" s="735"/>
      <c r="H732" s="735"/>
      <c r="I732" s="735"/>
      <c r="J732" s="52" t="s">
        <v>2214</v>
      </c>
      <c r="K732" s="52" t="s">
        <v>2214</v>
      </c>
      <c r="L732" s="735"/>
      <c r="M732" s="68"/>
      <c r="N732" s="739"/>
      <c r="O732" s="735"/>
      <c r="P732" s="52" t="s">
        <v>2214</v>
      </c>
      <c r="Q732" s="52" t="s">
        <v>2214</v>
      </c>
      <c r="R732" s="737"/>
      <c r="S732" s="735"/>
      <c r="T732" s="737"/>
      <c r="U732" s="737"/>
    </row>
    <row r="733">
      <c r="A733" s="733"/>
      <c r="B733" s="52" t="str">
        <f t="shared" si="1"/>
        <v/>
      </c>
      <c r="C733" s="52" t="str">
        <f>IF(A733="","",VLOOKUP(A733,'THAM CHIẾU'!$A:$B,2,0))</f>
        <v/>
      </c>
      <c r="D733" s="52" t="str">
        <f>IF(E733&lt;&gt;0,VLOOKUP(E733,DM_DUAN,3,0),"")</f>
        <v/>
      </c>
      <c r="E733" s="735"/>
      <c r="F733" s="735"/>
      <c r="G733" s="735"/>
      <c r="H733" s="735"/>
      <c r="I733" s="735"/>
      <c r="J733" s="52" t="s">
        <v>2214</v>
      </c>
      <c r="K733" s="52" t="s">
        <v>2214</v>
      </c>
      <c r="L733" s="735"/>
      <c r="M733" s="68"/>
      <c r="N733" s="739"/>
      <c r="O733" s="735"/>
      <c r="P733" s="52" t="s">
        <v>2214</v>
      </c>
      <c r="Q733" s="52" t="s">
        <v>2214</v>
      </c>
      <c r="R733" s="737"/>
      <c r="S733" s="735"/>
      <c r="T733" s="737"/>
      <c r="U733" s="737"/>
    </row>
    <row r="734">
      <c r="A734" s="733"/>
      <c r="B734" s="52" t="str">
        <f t="shared" si="1"/>
        <v/>
      </c>
      <c r="C734" s="52" t="str">
        <f>IF(A734="","",VLOOKUP(A734,'THAM CHIẾU'!$A:$B,2,0))</f>
        <v/>
      </c>
      <c r="D734" s="52" t="str">
        <f>IF(E734&lt;&gt;0,VLOOKUP(E734,DM_DUAN,3,0),"")</f>
        <v/>
      </c>
      <c r="E734" s="735"/>
      <c r="F734" s="735"/>
      <c r="G734" s="735"/>
      <c r="H734" s="735"/>
      <c r="I734" s="735"/>
      <c r="J734" s="52" t="s">
        <v>2214</v>
      </c>
      <c r="K734" s="52" t="s">
        <v>2214</v>
      </c>
      <c r="L734" s="735"/>
      <c r="M734" s="68"/>
      <c r="N734" s="739"/>
      <c r="O734" s="735"/>
      <c r="P734" s="52" t="s">
        <v>2214</v>
      </c>
      <c r="Q734" s="52" t="s">
        <v>2214</v>
      </c>
      <c r="R734" s="737"/>
      <c r="S734" s="735"/>
      <c r="T734" s="737"/>
      <c r="U734" s="737"/>
    </row>
    <row r="735">
      <c r="A735" s="733"/>
      <c r="B735" s="52" t="str">
        <f t="shared" si="1"/>
        <v/>
      </c>
      <c r="C735" s="52" t="str">
        <f>IF(A735="","",VLOOKUP(A735,'THAM CHIẾU'!$A:$B,2,0))</f>
        <v/>
      </c>
      <c r="D735" s="52" t="str">
        <f>IF(E735&lt;&gt;0,VLOOKUP(E735,DM_DUAN,3,0),"")</f>
        <v/>
      </c>
      <c r="E735" s="735"/>
      <c r="F735" s="735"/>
      <c r="G735" s="735"/>
      <c r="H735" s="735"/>
      <c r="I735" s="735"/>
      <c r="J735" s="52" t="s">
        <v>2214</v>
      </c>
      <c r="K735" s="52" t="s">
        <v>2214</v>
      </c>
      <c r="L735" s="735"/>
      <c r="M735" s="68"/>
      <c r="N735" s="739"/>
      <c r="O735" s="735"/>
      <c r="P735" s="52" t="s">
        <v>2214</v>
      </c>
      <c r="Q735" s="52" t="s">
        <v>2214</v>
      </c>
      <c r="R735" s="737"/>
      <c r="S735" s="735"/>
      <c r="T735" s="737"/>
      <c r="U735" s="737"/>
    </row>
    <row r="736">
      <c r="A736" s="733"/>
      <c r="B736" s="52" t="str">
        <f t="shared" si="1"/>
        <v/>
      </c>
      <c r="C736" s="52" t="str">
        <f>IF(A736="","",VLOOKUP(A736,'THAM CHIẾU'!$A:$B,2,0))</f>
        <v/>
      </c>
      <c r="D736" s="52" t="str">
        <f>IF(E736&lt;&gt;0,VLOOKUP(E736,DM_DUAN,3,0),"")</f>
        <v/>
      </c>
      <c r="E736" s="735"/>
      <c r="F736" s="735"/>
      <c r="G736" s="735"/>
      <c r="H736" s="735"/>
      <c r="I736" s="735"/>
      <c r="J736" s="52" t="s">
        <v>2214</v>
      </c>
      <c r="K736" s="52" t="s">
        <v>2214</v>
      </c>
      <c r="L736" s="735"/>
      <c r="M736" s="68"/>
      <c r="N736" s="739"/>
      <c r="O736" s="735"/>
      <c r="P736" s="52" t="s">
        <v>2214</v>
      </c>
      <c r="Q736" s="52" t="s">
        <v>2214</v>
      </c>
      <c r="R736" s="737"/>
      <c r="S736" s="735"/>
      <c r="T736" s="737"/>
      <c r="U736" s="737"/>
    </row>
    <row r="737">
      <c r="A737" s="733"/>
      <c r="B737" s="52" t="str">
        <f t="shared" si="1"/>
        <v/>
      </c>
      <c r="C737" s="52" t="str">
        <f>IF(A737="","",VLOOKUP(A737,'THAM CHIẾU'!$A:$B,2,0))</f>
        <v/>
      </c>
      <c r="D737" s="52" t="str">
        <f>IF(E737&lt;&gt;0,VLOOKUP(E737,DM_DUAN,3,0),"")</f>
        <v/>
      </c>
      <c r="E737" s="735"/>
      <c r="F737" s="735"/>
      <c r="G737" s="735"/>
      <c r="H737" s="735"/>
      <c r="I737" s="735"/>
      <c r="J737" s="52" t="s">
        <v>2214</v>
      </c>
      <c r="K737" s="52" t="s">
        <v>2214</v>
      </c>
      <c r="L737" s="735"/>
      <c r="M737" s="68"/>
      <c r="N737" s="739"/>
      <c r="O737" s="735"/>
      <c r="P737" s="52" t="s">
        <v>2214</v>
      </c>
      <c r="Q737" s="52" t="s">
        <v>2214</v>
      </c>
      <c r="R737" s="737"/>
      <c r="S737" s="735"/>
      <c r="T737" s="737"/>
      <c r="U737" s="737"/>
    </row>
    <row r="738">
      <c r="A738" s="733"/>
      <c r="B738" s="52" t="str">
        <f t="shared" si="1"/>
        <v/>
      </c>
      <c r="C738" s="52" t="str">
        <f>IF(A738="","",VLOOKUP(A738,'THAM CHIẾU'!$A:$B,2,0))</f>
        <v/>
      </c>
      <c r="D738" s="52" t="str">
        <f>IF(E738&lt;&gt;0,VLOOKUP(E738,DM_DUAN,3,0),"")</f>
        <v/>
      </c>
      <c r="E738" s="735"/>
      <c r="F738" s="735"/>
      <c r="G738" s="735"/>
      <c r="H738" s="735"/>
      <c r="I738" s="735"/>
      <c r="J738" s="52" t="s">
        <v>2214</v>
      </c>
      <c r="K738" s="52" t="s">
        <v>2214</v>
      </c>
      <c r="L738" s="735"/>
      <c r="M738" s="68"/>
      <c r="N738" s="739"/>
      <c r="O738" s="735"/>
      <c r="P738" s="52" t="s">
        <v>2214</v>
      </c>
      <c r="Q738" s="52" t="s">
        <v>2214</v>
      </c>
      <c r="R738" s="737"/>
      <c r="S738" s="735"/>
      <c r="T738" s="737"/>
      <c r="U738" s="737"/>
    </row>
    <row r="739">
      <c r="A739" s="733"/>
      <c r="B739" s="52" t="str">
        <f t="shared" si="1"/>
        <v/>
      </c>
      <c r="C739" s="52" t="str">
        <f>IF(A739="","",VLOOKUP(A739,'THAM CHIẾU'!$A:$B,2,0))</f>
        <v/>
      </c>
      <c r="D739" s="52" t="str">
        <f>IF(E739&lt;&gt;0,VLOOKUP(E739,DM_DUAN,3,0),"")</f>
        <v/>
      </c>
      <c r="E739" s="735"/>
      <c r="F739" s="735"/>
      <c r="G739" s="735"/>
      <c r="H739" s="735"/>
      <c r="I739" s="735"/>
      <c r="J739" s="52" t="s">
        <v>2214</v>
      </c>
      <c r="K739" s="52" t="s">
        <v>2214</v>
      </c>
      <c r="L739" s="735"/>
      <c r="M739" s="68"/>
      <c r="N739" s="739"/>
      <c r="O739" s="735"/>
      <c r="P739" s="52" t="s">
        <v>2214</v>
      </c>
      <c r="Q739" s="52" t="s">
        <v>2214</v>
      </c>
      <c r="R739" s="737"/>
      <c r="S739" s="735"/>
      <c r="T739" s="737"/>
      <c r="U739" s="737"/>
    </row>
    <row r="740">
      <c r="A740" s="733"/>
      <c r="B740" s="52" t="str">
        <f t="shared" si="1"/>
        <v/>
      </c>
      <c r="C740" s="52" t="str">
        <f>IF(A740="","",VLOOKUP(A740,'THAM CHIẾU'!$A:$B,2,0))</f>
        <v/>
      </c>
      <c r="D740" s="52" t="str">
        <f>IF(E740&lt;&gt;0,VLOOKUP(E740,DM_DUAN,3,0),"")</f>
        <v/>
      </c>
      <c r="E740" s="735"/>
      <c r="F740" s="735"/>
      <c r="G740" s="735"/>
      <c r="H740" s="735"/>
      <c r="I740" s="735"/>
      <c r="J740" s="52" t="s">
        <v>2214</v>
      </c>
      <c r="K740" s="52" t="s">
        <v>2214</v>
      </c>
      <c r="L740" s="735"/>
      <c r="M740" s="68"/>
      <c r="N740" s="739"/>
      <c r="O740" s="735"/>
      <c r="P740" s="52" t="s">
        <v>2214</v>
      </c>
      <c r="Q740" s="52" t="s">
        <v>2214</v>
      </c>
      <c r="R740" s="737"/>
      <c r="S740" s="735"/>
      <c r="T740" s="737"/>
      <c r="U740" s="737"/>
    </row>
    <row r="741">
      <c r="A741" s="733"/>
      <c r="B741" s="52" t="str">
        <f t="shared" si="1"/>
        <v/>
      </c>
      <c r="C741" s="52" t="str">
        <f>IF(A741="","",VLOOKUP(A741,'THAM CHIẾU'!$A:$B,2,0))</f>
        <v/>
      </c>
      <c r="D741" s="52" t="str">
        <f>IF(E741&lt;&gt;0,VLOOKUP(E741,DM_DUAN,3,0),"")</f>
        <v/>
      </c>
      <c r="E741" s="735"/>
      <c r="F741" s="735"/>
      <c r="G741" s="735"/>
      <c r="H741" s="735"/>
      <c r="I741" s="735"/>
      <c r="J741" s="52" t="s">
        <v>2214</v>
      </c>
      <c r="K741" s="52" t="s">
        <v>2214</v>
      </c>
      <c r="L741" s="735"/>
      <c r="M741" s="68"/>
      <c r="N741" s="739"/>
      <c r="O741" s="735"/>
      <c r="P741" s="52" t="s">
        <v>2214</v>
      </c>
      <c r="Q741" s="52" t="s">
        <v>2214</v>
      </c>
      <c r="R741" s="737"/>
      <c r="S741" s="735"/>
      <c r="T741" s="737"/>
      <c r="U741" s="737"/>
    </row>
    <row r="742">
      <c r="A742" s="733"/>
      <c r="B742" s="52" t="str">
        <f t="shared" si="1"/>
        <v/>
      </c>
      <c r="C742" s="52" t="str">
        <f>IF(A742="","",VLOOKUP(A742,'THAM CHIẾU'!$A:$B,2,0))</f>
        <v/>
      </c>
      <c r="D742" s="52" t="str">
        <f>IF(E742&lt;&gt;0,VLOOKUP(E742,DM_DUAN,3,0),"")</f>
        <v/>
      </c>
      <c r="E742" s="735"/>
      <c r="F742" s="735"/>
      <c r="G742" s="735"/>
      <c r="H742" s="735"/>
      <c r="I742" s="735"/>
      <c r="J742" s="52" t="s">
        <v>2214</v>
      </c>
      <c r="K742" s="52" t="s">
        <v>2214</v>
      </c>
      <c r="L742" s="735"/>
      <c r="M742" s="68"/>
      <c r="N742" s="739"/>
      <c r="O742" s="735"/>
      <c r="P742" s="52" t="s">
        <v>2214</v>
      </c>
      <c r="Q742" s="52" t="s">
        <v>2214</v>
      </c>
      <c r="R742" s="737"/>
      <c r="S742" s="735"/>
      <c r="T742" s="737"/>
      <c r="U742" s="737"/>
    </row>
    <row r="743">
      <c r="A743" s="733"/>
      <c r="B743" s="52" t="str">
        <f t="shared" si="1"/>
        <v/>
      </c>
      <c r="C743" s="52" t="str">
        <f>IF(A743="","",VLOOKUP(A743,'THAM CHIẾU'!$A:$B,2,0))</f>
        <v/>
      </c>
      <c r="D743" s="52" t="str">
        <f>IF(E743&lt;&gt;0,VLOOKUP(E743,DM_DUAN,3,0),"")</f>
        <v/>
      </c>
      <c r="E743" s="735"/>
      <c r="F743" s="735"/>
      <c r="G743" s="735"/>
      <c r="H743" s="735"/>
      <c r="I743" s="735"/>
      <c r="J743" s="52" t="s">
        <v>2214</v>
      </c>
      <c r="K743" s="52" t="s">
        <v>2214</v>
      </c>
      <c r="L743" s="735"/>
      <c r="M743" s="68"/>
      <c r="N743" s="739"/>
      <c r="O743" s="735"/>
      <c r="P743" s="52" t="s">
        <v>2214</v>
      </c>
      <c r="Q743" s="52" t="s">
        <v>2214</v>
      </c>
      <c r="R743" s="737"/>
      <c r="S743" s="735"/>
      <c r="T743" s="737"/>
      <c r="U743" s="737"/>
    </row>
    <row r="744">
      <c r="A744" s="733"/>
      <c r="B744" s="52" t="str">
        <f t="shared" si="1"/>
        <v/>
      </c>
      <c r="C744" s="52" t="str">
        <f>IF(A744="","",VLOOKUP(A744,'THAM CHIẾU'!$A:$B,2,0))</f>
        <v/>
      </c>
      <c r="D744" s="52" t="str">
        <f>IF(E744&lt;&gt;0,VLOOKUP(E744,DM_DUAN,3,0),"")</f>
        <v/>
      </c>
      <c r="E744" s="735"/>
      <c r="F744" s="735"/>
      <c r="G744" s="735"/>
      <c r="H744" s="735"/>
      <c r="I744" s="735"/>
      <c r="J744" s="52" t="s">
        <v>2214</v>
      </c>
      <c r="K744" s="52" t="s">
        <v>2214</v>
      </c>
      <c r="L744" s="735"/>
      <c r="M744" s="68"/>
      <c r="N744" s="739"/>
      <c r="O744" s="735"/>
      <c r="P744" s="52" t="s">
        <v>2214</v>
      </c>
      <c r="Q744" s="52" t="s">
        <v>2214</v>
      </c>
      <c r="R744" s="737"/>
      <c r="S744" s="735"/>
      <c r="T744" s="737"/>
      <c r="U744" s="737"/>
    </row>
    <row r="745">
      <c r="A745" s="733"/>
      <c r="B745" s="52" t="str">
        <f t="shared" si="1"/>
        <v/>
      </c>
      <c r="C745" s="52" t="str">
        <f>IF(A745="","",VLOOKUP(A745,'THAM CHIẾU'!$A:$B,2,0))</f>
        <v/>
      </c>
      <c r="D745" s="52" t="str">
        <f>IF(E745&lt;&gt;0,VLOOKUP(E745,DM_DUAN,3,0),"")</f>
        <v/>
      </c>
      <c r="E745" s="735"/>
      <c r="F745" s="735"/>
      <c r="G745" s="735"/>
      <c r="H745" s="735"/>
      <c r="I745" s="735"/>
      <c r="J745" s="52" t="s">
        <v>2214</v>
      </c>
      <c r="K745" s="52" t="s">
        <v>2214</v>
      </c>
      <c r="L745" s="735"/>
      <c r="M745" s="68"/>
      <c r="N745" s="739"/>
      <c r="O745" s="735"/>
      <c r="P745" s="52" t="s">
        <v>2214</v>
      </c>
      <c r="Q745" s="52" t="s">
        <v>2214</v>
      </c>
      <c r="R745" s="737"/>
      <c r="S745" s="735"/>
      <c r="T745" s="737"/>
      <c r="U745" s="737"/>
    </row>
    <row r="746">
      <c r="A746" s="733"/>
      <c r="B746" s="52" t="str">
        <f t="shared" si="1"/>
        <v/>
      </c>
      <c r="C746" s="52" t="str">
        <f>IF(A746="","",VLOOKUP(A746,'THAM CHIẾU'!$A:$B,2,0))</f>
        <v/>
      </c>
      <c r="D746" s="52" t="str">
        <f>IF(E746&lt;&gt;0,VLOOKUP(E746,DM_DUAN,3,0),"")</f>
        <v/>
      </c>
      <c r="E746" s="735"/>
      <c r="F746" s="735"/>
      <c r="G746" s="735"/>
      <c r="H746" s="735"/>
      <c r="I746" s="735"/>
      <c r="J746" s="52" t="s">
        <v>2214</v>
      </c>
      <c r="K746" s="52" t="s">
        <v>2214</v>
      </c>
      <c r="L746" s="735"/>
      <c r="M746" s="68"/>
      <c r="N746" s="739"/>
      <c r="O746" s="735"/>
      <c r="P746" s="52" t="s">
        <v>2214</v>
      </c>
      <c r="Q746" s="52" t="s">
        <v>2214</v>
      </c>
      <c r="R746" s="737"/>
      <c r="S746" s="735"/>
      <c r="T746" s="737"/>
      <c r="U746" s="737"/>
    </row>
    <row r="747">
      <c r="A747" s="733"/>
      <c r="B747" s="52" t="str">
        <f t="shared" si="1"/>
        <v/>
      </c>
      <c r="C747" s="52" t="str">
        <f>IF(A747="","",VLOOKUP(A747,'THAM CHIẾU'!$A:$B,2,0))</f>
        <v/>
      </c>
      <c r="D747" s="52" t="str">
        <f>IF(E747&lt;&gt;0,VLOOKUP(E747,DM_DUAN,3,0),"")</f>
        <v/>
      </c>
      <c r="E747" s="735"/>
      <c r="F747" s="735"/>
      <c r="G747" s="735"/>
      <c r="H747" s="735"/>
      <c r="I747" s="735"/>
      <c r="J747" s="52" t="s">
        <v>2214</v>
      </c>
      <c r="K747" s="52" t="s">
        <v>2214</v>
      </c>
      <c r="L747" s="735"/>
      <c r="M747" s="68"/>
      <c r="N747" s="739"/>
      <c r="O747" s="735"/>
      <c r="P747" s="52" t="s">
        <v>2214</v>
      </c>
      <c r="Q747" s="52" t="s">
        <v>2214</v>
      </c>
      <c r="R747" s="737"/>
      <c r="S747" s="735"/>
      <c r="T747" s="737"/>
      <c r="U747" s="737"/>
    </row>
    <row r="748">
      <c r="A748" s="733"/>
      <c r="B748" s="52" t="str">
        <f t="shared" si="1"/>
        <v/>
      </c>
      <c r="C748" s="52" t="str">
        <f>IF(A748="","",VLOOKUP(A748,'THAM CHIẾU'!$A:$B,2,0))</f>
        <v/>
      </c>
      <c r="D748" s="52" t="str">
        <f>IF(E748&lt;&gt;0,VLOOKUP(E748,DM_DUAN,3,0),"")</f>
        <v/>
      </c>
      <c r="E748" s="735"/>
      <c r="F748" s="735"/>
      <c r="G748" s="735"/>
      <c r="H748" s="735"/>
      <c r="I748" s="735"/>
      <c r="J748" s="52" t="s">
        <v>2214</v>
      </c>
      <c r="K748" s="52" t="s">
        <v>2214</v>
      </c>
      <c r="L748" s="735"/>
      <c r="M748" s="68"/>
      <c r="N748" s="739"/>
      <c r="O748" s="735"/>
      <c r="P748" s="52" t="s">
        <v>2214</v>
      </c>
      <c r="Q748" s="52" t="s">
        <v>2214</v>
      </c>
      <c r="R748" s="737"/>
      <c r="S748" s="735"/>
      <c r="T748" s="737"/>
      <c r="U748" s="737"/>
    </row>
    <row r="749">
      <c r="A749" s="733"/>
      <c r="B749" s="52" t="str">
        <f t="shared" si="1"/>
        <v/>
      </c>
      <c r="C749" s="52" t="str">
        <f>IF(A749="","",VLOOKUP(A749,'THAM CHIẾU'!$A:$B,2,0))</f>
        <v/>
      </c>
      <c r="D749" s="52" t="str">
        <f>IF(E749&lt;&gt;0,VLOOKUP(E749,DM_DUAN,3,0),"")</f>
        <v/>
      </c>
      <c r="E749" s="735"/>
      <c r="F749" s="735"/>
      <c r="G749" s="735"/>
      <c r="H749" s="735"/>
      <c r="I749" s="735"/>
      <c r="J749" s="52" t="s">
        <v>2214</v>
      </c>
      <c r="K749" s="52" t="s">
        <v>2214</v>
      </c>
      <c r="L749" s="735"/>
      <c r="M749" s="68"/>
      <c r="N749" s="739"/>
      <c r="O749" s="735"/>
      <c r="P749" s="52" t="s">
        <v>2214</v>
      </c>
      <c r="Q749" s="52" t="s">
        <v>2214</v>
      </c>
      <c r="R749" s="737"/>
      <c r="S749" s="735"/>
      <c r="T749" s="737"/>
      <c r="U749" s="737"/>
    </row>
    <row r="750">
      <c r="A750" s="733"/>
      <c r="B750" s="52" t="str">
        <f t="shared" si="1"/>
        <v/>
      </c>
      <c r="C750" s="52" t="str">
        <f>IF(A750="","",VLOOKUP(A750,'THAM CHIẾU'!$A:$B,2,0))</f>
        <v/>
      </c>
      <c r="D750" s="52" t="str">
        <f>IF(E750&lt;&gt;0,VLOOKUP(E750,DM_DUAN,3,0),"")</f>
        <v/>
      </c>
      <c r="E750" s="735"/>
      <c r="F750" s="735"/>
      <c r="G750" s="735"/>
      <c r="H750" s="735"/>
      <c r="I750" s="735"/>
      <c r="J750" s="52" t="s">
        <v>2214</v>
      </c>
      <c r="K750" s="52" t="s">
        <v>2214</v>
      </c>
      <c r="L750" s="735"/>
      <c r="M750" s="68"/>
      <c r="N750" s="739"/>
      <c r="O750" s="735"/>
      <c r="P750" s="52" t="s">
        <v>2214</v>
      </c>
      <c r="Q750" s="52" t="s">
        <v>2214</v>
      </c>
      <c r="R750" s="737"/>
      <c r="S750" s="735"/>
      <c r="T750" s="737"/>
      <c r="U750" s="737"/>
    </row>
    <row r="751">
      <c r="A751" s="733"/>
      <c r="B751" s="52" t="str">
        <f t="shared" si="1"/>
        <v/>
      </c>
      <c r="C751" s="52" t="str">
        <f>IF(A751="","",VLOOKUP(A751,'THAM CHIẾU'!$A:$B,2,0))</f>
        <v/>
      </c>
      <c r="D751" s="52" t="str">
        <f>IF(E751&lt;&gt;0,VLOOKUP(E751,DM_DUAN,3,0),"")</f>
        <v/>
      </c>
      <c r="E751" s="735"/>
      <c r="F751" s="735"/>
      <c r="G751" s="735"/>
      <c r="H751" s="735"/>
      <c r="I751" s="735"/>
      <c r="J751" s="52" t="s">
        <v>2214</v>
      </c>
      <c r="K751" s="52" t="s">
        <v>2214</v>
      </c>
      <c r="L751" s="735"/>
      <c r="M751" s="68"/>
      <c r="N751" s="739"/>
      <c r="O751" s="735"/>
      <c r="P751" s="52" t="s">
        <v>2214</v>
      </c>
      <c r="Q751" s="52" t="s">
        <v>2214</v>
      </c>
      <c r="R751" s="737"/>
      <c r="S751" s="735"/>
      <c r="T751" s="737"/>
      <c r="U751" s="737"/>
    </row>
    <row r="752">
      <c r="A752" s="733"/>
      <c r="B752" s="52" t="str">
        <f t="shared" si="1"/>
        <v/>
      </c>
      <c r="C752" s="52" t="str">
        <f>IF(A752="","",VLOOKUP(A752,'THAM CHIẾU'!$A:$B,2,0))</f>
        <v/>
      </c>
      <c r="D752" s="52" t="str">
        <f>IF(E752&lt;&gt;0,VLOOKUP(E752,DM_DUAN,3,0),"")</f>
        <v/>
      </c>
      <c r="E752" s="735"/>
      <c r="F752" s="735"/>
      <c r="G752" s="735"/>
      <c r="H752" s="735"/>
      <c r="I752" s="735"/>
      <c r="J752" s="52" t="s">
        <v>2214</v>
      </c>
      <c r="K752" s="52" t="s">
        <v>2214</v>
      </c>
      <c r="L752" s="735"/>
      <c r="M752" s="68"/>
      <c r="N752" s="739"/>
      <c r="O752" s="735"/>
      <c r="P752" s="52" t="s">
        <v>2214</v>
      </c>
      <c r="Q752" s="52" t="s">
        <v>2214</v>
      </c>
      <c r="R752" s="737"/>
      <c r="S752" s="735"/>
      <c r="T752" s="737"/>
      <c r="U752" s="737"/>
    </row>
    <row r="753">
      <c r="A753" s="733"/>
      <c r="B753" s="52" t="str">
        <f t="shared" si="1"/>
        <v/>
      </c>
      <c r="C753" s="52" t="str">
        <f>IF(A753="","",VLOOKUP(A753,'THAM CHIẾU'!$A:$B,2,0))</f>
        <v/>
      </c>
      <c r="D753" s="52" t="str">
        <f>IF(E753&lt;&gt;0,VLOOKUP(E753,DM_DUAN,3,0),"")</f>
        <v/>
      </c>
      <c r="E753" s="735"/>
      <c r="F753" s="735"/>
      <c r="G753" s="735"/>
      <c r="H753" s="735"/>
      <c r="I753" s="735"/>
      <c r="J753" s="52" t="s">
        <v>2214</v>
      </c>
      <c r="K753" s="52" t="s">
        <v>2214</v>
      </c>
      <c r="L753" s="735"/>
      <c r="M753" s="68"/>
      <c r="N753" s="739"/>
      <c r="O753" s="735"/>
      <c r="P753" s="52" t="s">
        <v>2214</v>
      </c>
      <c r="Q753" s="52" t="s">
        <v>2214</v>
      </c>
      <c r="R753" s="737"/>
      <c r="S753" s="735"/>
      <c r="T753" s="737"/>
      <c r="U753" s="737"/>
    </row>
    <row r="754">
      <c r="A754" s="733"/>
      <c r="B754" s="52" t="str">
        <f t="shared" si="1"/>
        <v/>
      </c>
      <c r="C754" s="52" t="str">
        <f>IF(A754="","",VLOOKUP(A754,'THAM CHIẾU'!$A:$B,2,0))</f>
        <v/>
      </c>
      <c r="D754" s="52" t="str">
        <f>IF(E754&lt;&gt;0,VLOOKUP(E754,DM_DUAN,3,0),"")</f>
        <v/>
      </c>
      <c r="E754" s="735"/>
      <c r="F754" s="735"/>
      <c r="G754" s="735"/>
      <c r="H754" s="735"/>
      <c r="I754" s="735"/>
      <c r="J754" s="52" t="s">
        <v>2214</v>
      </c>
      <c r="K754" s="52" t="s">
        <v>2214</v>
      </c>
      <c r="L754" s="735"/>
      <c r="M754" s="68"/>
      <c r="N754" s="739"/>
      <c r="O754" s="735"/>
      <c r="P754" s="52" t="s">
        <v>2214</v>
      </c>
      <c r="Q754" s="52" t="s">
        <v>2214</v>
      </c>
      <c r="R754" s="737"/>
      <c r="S754" s="735"/>
      <c r="T754" s="737"/>
      <c r="U754" s="737"/>
    </row>
    <row r="755">
      <c r="A755" s="733"/>
      <c r="B755" s="52" t="str">
        <f t="shared" si="1"/>
        <v/>
      </c>
      <c r="C755" s="52" t="str">
        <f>IF(A755="","",VLOOKUP(A755,'THAM CHIẾU'!$A:$B,2,0))</f>
        <v/>
      </c>
      <c r="D755" s="52" t="str">
        <f>IF(E755&lt;&gt;0,VLOOKUP(E755,DM_DUAN,3,0),"")</f>
        <v/>
      </c>
      <c r="E755" s="735"/>
      <c r="F755" s="735"/>
      <c r="G755" s="735"/>
      <c r="H755" s="735"/>
      <c r="I755" s="735"/>
      <c r="J755" s="52" t="s">
        <v>2214</v>
      </c>
      <c r="K755" s="52" t="s">
        <v>2214</v>
      </c>
      <c r="L755" s="735"/>
      <c r="M755" s="68"/>
      <c r="N755" s="739"/>
      <c r="O755" s="735"/>
      <c r="P755" s="52" t="s">
        <v>2214</v>
      </c>
      <c r="Q755" s="52" t="s">
        <v>2214</v>
      </c>
      <c r="R755" s="737"/>
      <c r="S755" s="735"/>
      <c r="T755" s="737"/>
      <c r="U755" s="737"/>
    </row>
    <row r="756">
      <c r="A756" s="733"/>
      <c r="B756" s="52" t="str">
        <f t="shared" si="1"/>
        <v/>
      </c>
      <c r="C756" s="52" t="str">
        <f>IF(A756="","",VLOOKUP(A756,'THAM CHIẾU'!$A:$B,2,0))</f>
        <v/>
      </c>
      <c r="D756" s="52" t="str">
        <f>IF(E756&lt;&gt;0,VLOOKUP(E756,DM_DUAN,3,0),"")</f>
        <v/>
      </c>
      <c r="E756" s="735"/>
      <c r="F756" s="735"/>
      <c r="G756" s="735"/>
      <c r="H756" s="735"/>
      <c r="I756" s="735"/>
      <c r="J756" s="52" t="s">
        <v>2214</v>
      </c>
      <c r="K756" s="52" t="s">
        <v>2214</v>
      </c>
      <c r="L756" s="735"/>
      <c r="M756" s="68"/>
      <c r="N756" s="739"/>
      <c r="O756" s="735"/>
      <c r="P756" s="52" t="s">
        <v>2214</v>
      </c>
      <c r="Q756" s="52" t="s">
        <v>2214</v>
      </c>
      <c r="R756" s="737"/>
      <c r="S756" s="735"/>
      <c r="T756" s="737"/>
      <c r="U756" s="737"/>
    </row>
    <row r="757">
      <c r="A757" s="733"/>
      <c r="B757" s="52" t="str">
        <f t="shared" si="1"/>
        <v/>
      </c>
      <c r="C757" s="52" t="str">
        <f>IF(A757="","",VLOOKUP(A757,'THAM CHIẾU'!$A:$B,2,0))</f>
        <v/>
      </c>
      <c r="D757" s="52" t="str">
        <f>IF(E757&lt;&gt;0,VLOOKUP(E757,DM_DUAN,3,0),"")</f>
        <v/>
      </c>
      <c r="E757" s="735"/>
      <c r="F757" s="735"/>
      <c r="G757" s="735"/>
      <c r="H757" s="735"/>
      <c r="I757" s="735"/>
      <c r="J757" s="52" t="s">
        <v>2214</v>
      </c>
      <c r="K757" s="52" t="s">
        <v>2214</v>
      </c>
      <c r="L757" s="735"/>
      <c r="M757" s="68"/>
      <c r="N757" s="739"/>
      <c r="O757" s="735"/>
      <c r="P757" s="52" t="s">
        <v>2214</v>
      </c>
      <c r="Q757" s="52" t="s">
        <v>2214</v>
      </c>
      <c r="R757" s="737"/>
      <c r="S757" s="735"/>
      <c r="T757" s="737"/>
      <c r="U757" s="737"/>
    </row>
    <row r="758">
      <c r="A758" s="733"/>
      <c r="B758" s="52" t="str">
        <f t="shared" si="1"/>
        <v/>
      </c>
      <c r="C758" s="52" t="str">
        <f>IF(A758="","",VLOOKUP(A758,'THAM CHIẾU'!$A:$B,2,0))</f>
        <v/>
      </c>
      <c r="D758" s="52" t="str">
        <f>IF(E758&lt;&gt;0,VLOOKUP(E758,DM_DUAN,3,0),"")</f>
        <v/>
      </c>
      <c r="E758" s="735"/>
      <c r="F758" s="735"/>
      <c r="G758" s="735"/>
      <c r="H758" s="735"/>
      <c r="I758" s="735"/>
      <c r="J758" s="52" t="s">
        <v>2214</v>
      </c>
      <c r="K758" s="52" t="s">
        <v>2214</v>
      </c>
      <c r="L758" s="735"/>
      <c r="M758" s="68"/>
      <c r="N758" s="739"/>
      <c r="O758" s="735"/>
      <c r="P758" s="52" t="s">
        <v>2214</v>
      </c>
      <c r="Q758" s="52" t="s">
        <v>2214</v>
      </c>
      <c r="R758" s="737"/>
      <c r="S758" s="735"/>
      <c r="T758" s="737"/>
      <c r="U758" s="737"/>
    </row>
    <row r="759">
      <c r="A759" s="733"/>
      <c r="B759" s="52" t="str">
        <f t="shared" si="1"/>
        <v/>
      </c>
      <c r="C759" s="52" t="str">
        <f>IF(A759="","",VLOOKUP(A759,'THAM CHIẾU'!$A:$B,2,0))</f>
        <v/>
      </c>
      <c r="D759" s="52" t="str">
        <f>IF(E759&lt;&gt;0,VLOOKUP(E759,DM_DUAN,3,0),"")</f>
        <v/>
      </c>
      <c r="E759" s="735"/>
      <c r="F759" s="735"/>
      <c r="G759" s="735"/>
      <c r="H759" s="735"/>
      <c r="I759" s="735"/>
      <c r="J759" s="52" t="s">
        <v>2214</v>
      </c>
      <c r="K759" s="52" t="s">
        <v>2214</v>
      </c>
      <c r="L759" s="735"/>
      <c r="M759" s="68"/>
      <c r="N759" s="739"/>
      <c r="O759" s="735"/>
      <c r="P759" s="52" t="s">
        <v>2214</v>
      </c>
      <c r="Q759" s="52" t="s">
        <v>2214</v>
      </c>
      <c r="R759" s="737"/>
      <c r="S759" s="735"/>
      <c r="T759" s="737"/>
      <c r="U759" s="737"/>
    </row>
    <row r="760">
      <c r="A760" s="733"/>
      <c r="B760" s="52" t="str">
        <f t="shared" si="1"/>
        <v/>
      </c>
      <c r="C760" s="52" t="str">
        <f>IF(A760="","",VLOOKUP(A760,'THAM CHIẾU'!$A:$B,2,0))</f>
        <v/>
      </c>
      <c r="D760" s="52" t="str">
        <f>IF(E760&lt;&gt;0,VLOOKUP(E760,DM_DUAN,3,0),"")</f>
        <v/>
      </c>
      <c r="E760" s="735"/>
      <c r="F760" s="735"/>
      <c r="G760" s="735"/>
      <c r="H760" s="735"/>
      <c r="I760" s="735"/>
      <c r="J760" s="52" t="s">
        <v>2214</v>
      </c>
      <c r="K760" s="52" t="s">
        <v>2214</v>
      </c>
      <c r="L760" s="735"/>
      <c r="M760" s="68"/>
      <c r="N760" s="739"/>
      <c r="O760" s="735"/>
      <c r="P760" s="52" t="s">
        <v>2214</v>
      </c>
      <c r="Q760" s="52" t="s">
        <v>2214</v>
      </c>
      <c r="R760" s="737"/>
      <c r="S760" s="735"/>
      <c r="T760" s="737"/>
      <c r="U760" s="737"/>
    </row>
    <row r="761">
      <c r="A761" s="733"/>
      <c r="B761" s="52" t="str">
        <f t="shared" si="1"/>
        <v/>
      </c>
      <c r="C761" s="52" t="str">
        <f>IF(A761="","",VLOOKUP(A761,'THAM CHIẾU'!$A:$B,2,0))</f>
        <v/>
      </c>
      <c r="D761" s="52" t="str">
        <f>IF(E761&lt;&gt;0,VLOOKUP(E761,DM_DUAN,3,0),"")</f>
        <v/>
      </c>
      <c r="E761" s="735"/>
      <c r="F761" s="735"/>
      <c r="G761" s="735"/>
      <c r="H761" s="735"/>
      <c r="I761" s="735"/>
      <c r="J761" s="52" t="s">
        <v>2214</v>
      </c>
      <c r="K761" s="52" t="s">
        <v>2214</v>
      </c>
      <c r="L761" s="735"/>
      <c r="M761" s="68"/>
      <c r="N761" s="739"/>
      <c r="O761" s="735"/>
      <c r="P761" s="52" t="s">
        <v>2214</v>
      </c>
      <c r="Q761" s="52" t="s">
        <v>2214</v>
      </c>
      <c r="R761" s="737"/>
      <c r="S761" s="735"/>
      <c r="T761" s="737"/>
      <c r="U761" s="737"/>
    </row>
    <row r="762">
      <c r="A762" s="733"/>
      <c r="B762" s="52" t="str">
        <f t="shared" si="1"/>
        <v/>
      </c>
      <c r="C762" s="52" t="str">
        <f>IF(A762="","",VLOOKUP(A762,'THAM CHIẾU'!$A:$B,2,0))</f>
        <v/>
      </c>
      <c r="D762" s="52" t="str">
        <f>IF(E762&lt;&gt;0,VLOOKUP(E762,DM_DUAN,3,0),"")</f>
        <v/>
      </c>
      <c r="E762" s="735"/>
      <c r="F762" s="735"/>
      <c r="G762" s="735"/>
      <c r="H762" s="735"/>
      <c r="I762" s="735"/>
      <c r="J762" s="52" t="s">
        <v>2214</v>
      </c>
      <c r="K762" s="52" t="s">
        <v>2214</v>
      </c>
      <c r="L762" s="735"/>
      <c r="M762" s="68"/>
      <c r="N762" s="739"/>
      <c r="O762" s="735"/>
      <c r="P762" s="52" t="s">
        <v>2214</v>
      </c>
      <c r="Q762" s="52" t="s">
        <v>2214</v>
      </c>
      <c r="R762" s="737"/>
      <c r="S762" s="735"/>
      <c r="T762" s="737"/>
      <c r="U762" s="737"/>
    </row>
    <row r="763">
      <c r="A763" s="733"/>
      <c r="B763" s="52" t="str">
        <f t="shared" si="1"/>
        <v/>
      </c>
      <c r="C763" s="52" t="str">
        <f>IF(A763="","",VLOOKUP(A763,'THAM CHIẾU'!$A:$B,2,0))</f>
        <v/>
      </c>
      <c r="D763" s="52" t="str">
        <f>IF(E763&lt;&gt;0,VLOOKUP(E763,DM_DUAN,3,0),"")</f>
        <v/>
      </c>
      <c r="E763" s="735"/>
      <c r="F763" s="735"/>
      <c r="G763" s="735"/>
      <c r="H763" s="735"/>
      <c r="I763" s="735"/>
      <c r="J763" s="52" t="s">
        <v>2214</v>
      </c>
      <c r="K763" s="52" t="s">
        <v>2214</v>
      </c>
      <c r="L763" s="735"/>
      <c r="M763" s="68"/>
      <c r="N763" s="739"/>
      <c r="O763" s="735"/>
      <c r="P763" s="52" t="s">
        <v>2214</v>
      </c>
      <c r="Q763" s="52" t="s">
        <v>2214</v>
      </c>
      <c r="R763" s="737"/>
      <c r="S763" s="735"/>
      <c r="T763" s="737"/>
      <c r="U763" s="737"/>
    </row>
    <row r="764">
      <c r="A764" s="733"/>
      <c r="B764" s="52" t="str">
        <f t="shared" si="1"/>
        <v/>
      </c>
      <c r="C764" s="52" t="str">
        <f>IF(A764="","",VLOOKUP(A764,'THAM CHIẾU'!$A:$B,2,0))</f>
        <v/>
      </c>
      <c r="D764" s="52" t="str">
        <f>IF(E764&lt;&gt;0,VLOOKUP(E764,DM_DUAN,3,0),"")</f>
        <v/>
      </c>
      <c r="E764" s="735"/>
      <c r="F764" s="735"/>
      <c r="G764" s="735"/>
      <c r="H764" s="735"/>
      <c r="I764" s="735"/>
      <c r="J764" s="52" t="s">
        <v>2214</v>
      </c>
      <c r="K764" s="52" t="s">
        <v>2214</v>
      </c>
      <c r="L764" s="735"/>
      <c r="M764" s="68"/>
      <c r="N764" s="739"/>
      <c r="O764" s="735"/>
      <c r="P764" s="52" t="s">
        <v>2214</v>
      </c>
      <c r="Q764" s="52" t="s">
        <v>2214</v>
      </c>
      <c r="R764" s="737"/>
      <c r="S764" s="735"/>
      <c r="T764" s="737"/>
      <c r="U764" s="737"/>
    </row>
    <row r="765">
      <c r="A765" s="733"/>
      <c r="B765" s="52" t="str">
        <f t="shared" si="1"/>
        <v/>
      </c>
      <c r="C765" s="52" t="str">
        <f>IF(A765="","",VLOOKUP(A765,'THAM CHIẾU'!$A:$B,2,0))</f>
        <v/>
      </c>
      <c r="D765" s="52" t="str">
        <f>IF(E765&lt;&gt;0,VLOOKUP(E765,DM_DUAN,3,0),"")</f>
        <v/>
      </c>
      <c r="E765" s="735"/>
      <c r="F765" s="735"/>
      <c r="G765" s="735"/>
      <c r="H765" s="735"/>
      <c r="I765" s="735"/>
      <c r="J765" s="52" t="s">
        <v>2214</v>
      </c>
      <c r="K765" s="52" t="s">
        <v>2214</v>
      </c>
      <c r="L765" s="735"/>
      <c r="M765" s="68"/>
      <c r="N765" s="739"/>
      <c r="O765" s="735"/>
      <c r="P765" s="52" t="s">
        <v>2214</v>
      </c>
      <c r="Q765" s="52" t="s">
        <v>2214</v>
      </c>
      <c r="R765" s="737"/>
      <c r="S765" s="735"/>
      <c r="T765" s="737"/>
      <c r="U765" s="737"/>
    </row>
    <row r="766">
      <c r="A766" s="733"/>
      <c r="B766" s="52" t="str">
        <f t="shared" si="1"/>
        <v/>
      </c>
      <c r="C766" s="52" t="str">
        <f>IF(A766="","",VLOOKUP(A766,'THAM CHIẾU'!$A:$B,2,0))</f>
        <v/>
      </c>
      <c r="D766" s="52" t="str">
        <f>IF(E766&lt;&gt;0,VLOOKUP(E766,DM_DUAN,3,0),"")</f>
        <v/>
      </c>
      <c r="E766" s="735"/>
      <c r="F766" s="735"/>
      <c r="G766" s="735"/>
      <c r="H766" s="735"/>
      <c r="I766" s="735"/>
      <c r="J766" s="52" t="s">
        <v>2214</v>
      </c>
      <c r="K766" s="52" t="s">
        <v>2214</v>
      </c>
      <c r="L766" s="735"/>
      <c r="M766" s="68"/>
      <c r="N766" s="739"/>
      <c r="O766" s="735"/>
      <c r="P766" s="52" t="s">
        <v>2214</v>
      </c>
      <c r="Q766" s="52" t="s">
        <v>2214</v>
      </c>
      <c r="R766" s="737"/>
      <c r="S766" s="735"/>
      <c r="T766" s="737"/>
      <c r="U766" s="737"/>
    </row>
    <row r="767">
      <c r="A767" s="733"/>
      <c r="B767" s="52" t="str">
        <f t="shared" si="1"/>
        <v/>
      </c>
      <c r="C767" s="52" t="str">
        <f>IF(A767="","",VLOOKUP(A767,'THAM CHIẾU'!$A:$B,2,0))</f>
        <v/>
      </c>
      <c r="D767" s="52" t="str">
        <f>IF(E767&lt;&gt;0,VLOOKUP(E767,DM_DUAN,3,0),"")</f>
        <v/>
      </c>
      <c r="E767" s="735"/>
      <c r="F767" s="735"/>
      <c r="G767" s="735"/>
      <c r="H767" s="735"/>
      <c r="I767" s="735"/>
      <c r="J767" s="52" t="s">
        <v>2214</v>
      </c>
      <c r="K767" s="52" t="s">
        <v>2214</v>
      </c>
      <c r="L767" s="735"/>
      <c r="M767" s="68"/>
      <c r="N767" s="739"/>
      <c r="O767" s="735"/>
      <c r="P767" s="52" t="s">
        <v>2214</v>
      </c>
      <c r="Q767" s="52" t="s">
        <v>2214</v>
      </c>
      <c r="R767" s="737"/>
      <c r="S767" s="735"/>
      <c r="T767" s="737"/>
      <c r="U767" s="737"/>
    </row>
    <row r="768">
      <c r="A768" s="733"/>
      <c r="B768" s="52" t="str">
        <f t="shared" si="1"/>
        <v/>
      </c>
      <c r="C768" s="52" t="str">
        <f>IF(A768="","",VLOOKUP(A768,'THAM CHIẾU'!$A:$B,2,0))</f>
        <v/>
      </c>
      <c r="D768" s="52" t="str">
        <f>IF(E768&lt;&gt;0,VLOOKUP(E768,DM_DUAN,3,0),"")</f>
        <v/>
      </c>
      <c r="E768" s="735"/>
      <c r="F768" s="735"/>
      <c r="G768" s="735"/>
      <c r="H768" s="735"/>
      <c r="I768" s="735"/>
      <c r="J768" s="52" t="s">
        <v>2214</v>
      </c>
      <c r="K768" s="52" t="s">
        <v>2214</v>
      </c>
      <c r="L768" s="735"/>
      <c r="M768" s="68"/>
      <c r="N768" s="739"/>
      <c r="O768" s="735"/>
      <c r="P768" s="52" t="s">
        <v>2214</v>
      </c>
      <c r="Q768" s="52" t="s">
        <v>2214</v>
      </c>
      <c r="R768" s="737"/>
      <c r="S768" s="735"/>
      <c r="T768" s="737"/>
      <c r="U768" s="737"/>
    </row>
    <row r="769">
      <c r="A769" s="733"/>
      <c r="B769" s="52" t="str">
        <f t="shared" si="1"/>
        <v/>
      </c>
      <c r="C769" s="52" t="str">
        <f>IF(A769="","",VLOOKUP(A769,'THAM CHIẾU'!$A:$B,2,0))</f>
        <v/>
      </c>
      <c r="D769" s="52" t="str">
        <f>IF(E769&lt;&gt;0,VLOOKUP(E769,DM_DUAN,3,0),"")</f>
        <v/>
      </c>
      <c r="E769" s="735"/>
      <c r="F769" s="735"/>
      <c r="G769" s="735"/>
      <c r="H769" s="735"/>
      <c r="I769" s="735"/>
      <c r="J769" s="52" t="s">
        <v>2214</v>
      </c>
      <c r="K769" s="52" t="s">
        <v>2214</v>
      </c>
      <c r="L769" s="735"/>
      <c r="M769" s="68"/>
      <c r="N769" s="739"/>
      <c r="O769" s="735"/>
      <c r="P769" s="52" t="s">
        <v>2214</v>
      </c>
      <c r="Q769" s="52" t="s">
        <v>2214</v>
      </c>
      <c r="R769" s="737"/>
      <c r="S769" s="735"/>
      <c r="T769" s="737"/>
      <c r="U769" s="737"/>
    </row>
    <row r="770">
      <c r="A770" s="733"/>
      <c r="B770" s="52" t="str">
        <f t="shared" si="1"/>
        <v/>
      </c>
      <c r="C770" s="52" t="str">
        <f>IF(A770="","",VLOOKUP(A770,'THAM CHIẾU'!$A:$B,2,0))</f>
        <v/>
      </c>
      <c r="D770" s="52" t="str">
        <f>IF(E770&lt;&gt;0,VLOOKUP(E770,DM_DUAN,3,0),"")</f>
        <v/>
      </c>
      <c r="E770" s="735"/>
      <c r="F770" s="735"/>
      <c r="G770" s="735"/>
      <c r="H770" s="735"/>
      <c r="I770" s="735"/>
      <c r="J770" s="52" t="s">
        <v>2214</v>
      </c>
      <c r="K770" s="52" t="s">
        <v>2214</v>
      </c>
      <c r="L770" s="735"/>
      <c r="M770" s="68"/>
      <c r="N770" s="739"/>
      <c r="O770" s="735"/>
      <c r="P770" s="52" t="s">
        <v>2214</v>
      </c>
      <c r="Q770" s="52" t="s">
        <v>2214</v>
      </c>
      <c r="R770" s="737"/>
      <c r="S770" s="735"/>
      <c r="T770" s="737"/>
      <c r="U770" s="737"/>
    </row>
    <row r="771">
      <c r="A771" s="733"/>
      <c r="B771" s="52" t="str">
        <f t="shared" si="1"/>
        <v/>
      </c>
      <c r="C771" s="52" t="str">
        <f>IF(A771="","",VLOOKUP(A771,'THAM CHIẾU'!$A:$B,2,0))</f>
        <v/>
      </c>
      <c r="D771" s="52" t="str">
        <f>IF(E771&lt;&gt;0,VLOOKUP(E771,DM_DUAN,3,0),"")</f>
        <v/>
      </c>
      <c r="E771" s="735"/>
      <c r="F771" s="735"/>
      <c r="G771" s="735"/>
      <c r="H771" s="735"/>
      <c r="I771" s="735"/>
      <c r="J771" s="52" t="s">
        <v>2214</v>
      </c>
      <c r="K771" s="52" t="s">
        <v>2214</v>
      </c>
      <c r="L771" s="735"/>
      <c r="M771" s="68"/>
      <c r="N771" s="739"/>
      <c r="O771" s="735"/>
      <c r="P771" s="52" t="s">
        <v>2214</v>
      </c>
      <c r="Q771" s="52" t="s">
        <v>2214</v>
      </c>
      <c r="R771" s="737"/>
      <c r="S771" s="735"/>
      <c r="T771" s="737"/>
      <c r="U771" s="737"/>
    </row>
    <row r="772">
      <c r="A772" s="733"/>
      <c r="B772" s="52" t="str">
        <f t="shared" si="1"/>
        <v/>
      </c>
      <c r="C772" s="52" t="str">
        <f>IF(A772="","",VLOOKUP(A772,'THAM CHIẾU'!$A:$B,2,0))</f>
        <v/>
      </c>
      <c r="D772" s="52" t="str">
        <f>IF(E772&lt;&gt;0,VLOOKUP(E772,DM_DUAN,3,0),"")</f>
        <v/>
      </c>
      <c r="E772" s="735"/>
      <c r="F772" s="735"/>
      <c r="G772" s="735"/>
      <c r="H772" s="735"/>
      <c r="I772" s="735"/>
      <c r="J772" s="52" t="s">
        <v>2214</v>
      </c>
      <c r="K772" s="52" t="s">
        <v>2214</v>
      </c>
      <c r="L772" s="735"/>
      <c r="M772" s="68"/>
      <c r="N772" s="739"/>
      <c r="O772" s="735"/>
      <c r="P772" s="52" t="s">
        <v>2214</v>
      </c>
      <c r="Q772" s="52" t="s">
        <v>2214</v>
      </c>
      <c r="R772" s="737"/>
      <c r="S772" s="735"/>
      <c r="T772" s="737"/>
      <c r="U772" s="737"/>
    </row>
    <row r="773">
      <c r="A773" s="733"/>
      <c r="B773" s="52" t="str">
        <f t="shared" si="1"/>
        <v/>
      </c>
      <c r="C773" s="52" t="str">
        <f>IF(A773="","",VLOOKUP(A773,'THAM CHIẾU'!$A:$B,2,0))</f>
        <v/>
      </c>
      <c r="D773" s="52" t="str">
        <f>IF(E773&lt;&gt;0,VLOOKUP(E773,DM_DUAN,3,0),"")</f>
        <v/>
      </c>
      <c r="E773" s="735"/>
      <c r="F773" s="735"/>
      <c r="G773" s="735"/>
      <c r="H773" s="735"/>
      <c r="I773" s="735"/>
      <c r="J773" s="52" t="s">
        <v>2214</v>
      </c>
      <c r="K773" s="52" t="s">
        <v>2214</v>
      </c>
      <c r="L773" s="735"/>
      <c r="M773" s="68"/>
      <c r="N773" s="739"/>
      <c r="O773" s="735"/>
      <c r="P773" s="52" t="s">
        <v>2214</v>
      </c>
      <c r="Q773" s="52" t="s">
        <v>2214</v>
      </c>
      <c r="R773" s="737"/>
      <c r="S773" s="735"/>
      <c r="T773" s="737"/>
      <c r="U773" s="737"/>
    </row>
    <row r="774">
      <c r="A774" s="733"/>
      <c r="B774" s="52" t="str">
        <f t="shared" si="1"/>
        <v/>
      </c>
      <c r="C774" s="52" t="str">
        <f>IF(A774="","",VLOOKUP(A774,'THAM CHIẾU'!$A:$B,2,0))</f>
        <v/>
      </c>
      <c r="D774" s="52" t="str">
        <f>IF(E774&lt;&gt;0,VLOOKUP(E774,DM_DUAN,3,0),"")</f>
        <v/>
      </c>
      <c r="E774" s="735"/>
      <c r="F774" s="735"/>
      <c r="G774" s="735"/>
      <c r="H774" s="735"/>
      <c r="I774" s="735"/>
      <c r="J774" s="52" t="s">
        <v>2214</v>
      </c>
      <c r="K774" s="52" t="s">
        <v>2214</v>
      </c>
      <c r="L774" s="735"/>
      <c r="M774" s="68"/>
      <c r="N774" s="739"/>
      <c r="O774" s="735"/>
      <c r="P774" s="52" t="s">
        <v>2214</v>
      </c>
      <c r="Q774" s="52" t="s">
        <v>2214</v>
      </c>
      <c r="R774" s="737"/>
      <c r="S774" s="735"/>
      <c r="T774" s="737"/>
      <c r="U774" s="737"/>
    </row>
    <row r="775">
      <c r="A775" s="733"/>
      <c r="B775" s="52" t="str">
        <f t="shared" si="1"/>
        <v/>
      </c>
      <c r="C775" s="52" t="str">
        <f>IF(A775="","",VLOOKUP(A775,'THAM CHIẾU'!$A:$B,2,0))</f>
        <v/>
      </c>
      <c r="D775" s="52" t="str">
        <f>IF(E775&lt;&gt;0,VLOOKUP(E775,DM_DUAN,3,0),"")</f>
        <v/>
      </c>
      <c r="E775" s="735"/>
      <c r="F775" s="735"/>
      <c r="G775" s="735"/>
      <c r="H775" s="735"/>
      <c r="I775" s="735"/>
      <c r="J775" s="52" t="s">
        <v>2214</v>
      </c>
      <c r="K775" s="52" t="s">
        <v>2214</v>
      </c>
      <c r="L775" s="735"/>
      <c r="M775" s="68"/>
      <c r="N775" s="739"/>
      <c r="O775" s="735"/>
      <c r="P775" s="52" t="s">
        <v>2214</v>
      </c>
      <c r="Q775" s="52" t="s">
        <v>2214</v>
      </c>
      <c r="R775" s="737"/>
      <c r="S775" s="735"/>
      <c r="T775" s="737"/>
      <c r="U775" s="737"/>
    </row>
    <row r="776">
      <c r="A776" s="733"/>
      <c r="B776" s="52" t="str">
        <f t="shared" si="1"/>
        <v/>
      </c>
      <c r="C776" s="52" t="str">
        <f>IF(A776="","",VLOOKUP(A776,'THAM CHIẾU'!$A:$B,2,0))</f>
        <v/>
      </c>
      <c r="D776" s="52" t="str">
        <f>IF(E776&lt;&gt;0,VLOOKUP(E776,DM_DUAN,3,0),"")</f>
        <v/>
      </c>
      <c r="E776" s="735"/>
      <c r="F776" s="735"/>
      <c r="G776" s="735"/>
      <c r="H776" s="735"/>
      <c r="I776" s="735"/>
      <c r="J776" s="52" t="s">
        <v>2214</v>
      </c>
      <c r="K776" s="52" t="s">
        <v>2214</v>
      </c>
      <c r="L776" s="735"/>
      <c r="M776" s="68"/>
      <c r="N776" s="739"/>
      <c r="O776" s="735"/>
      <c r="P776" s="52" t="s">
        <v>2214</v>
      </c>
      <c r="Q776" s="52" t="s">
        <v>2214</v>
      </c>
      <c r="R776" s="737"/>
      <c r="S776" s="735"/>
      <c r="T776" s="737"/>
      <c r="U776" s="737"/>
    </row>
    <row r="777">
      <c r="A777" s="733"/>
      <c r="B777" s="52" t="str">
        <f t="shared" si="1"/>
        <v/>
      </c>
      <c r="C777" s="52" t="str">
        <f>IF(A777="","",VLOOKUP(A777,'THAM CHIẾU'!$A:$B,2,0))</f>
        <v/>
      </c>
      <c r="D777" s="52" t="str">
        <f>IF(E777&lt;&gt;0,VLOOKUP(E777,DM_DUAN,3,0),"")</f>
        <v/>
      </c>
      <c r="E777" s="735"/>
      <c r="F777" s="735"/>
      <c r="G777" s="735"/>
      <c r="H777" s="735"/>
      <c r="I777" s="735"/>
      <c r="J777" s="52" t="s">
        <v>2214</v>
      </c>
      <c r="K777" s="52" t="s">
        <v>2214</v>
      </c>
      <c r="L777" s="735"/>
      <c r="M777" s="68"/>
      <c r="N777" s="739"/>
      <c r="O777" s="735"/>
      <c r="P777" s="52" t="s">
        <v>2214</v>
      </c>
      <c r="Q777" s="52" t="s">
        <v>2214</v>
      </c>
      <c r="R777" s="737"/>
      <c r="S777" s="735"/>
      <c r="T777" s="737"/>
      <c r="U777" s="737"/>
    </row>
    <row r="778">
      <c r="A778" s="733"/>
      <c r="B778" s="52" t="str">
        <f t="shared" si="1"/>
        <v/>
      </c>
      <c r="C778" s="52" t="str">
        <f>IF(A778="","",VLOOKUP(A778,'THAM CHIẾU'!$A:$B,2,0))</f>
        <v/>
      </c>
      <c r="D778" s="52" t="str">
        <f>IF(E778&lt;&gt;0,VLOOKUP(E778,DM_DUAN,3,0),"")</f>
        <v/>
      </c>
      <c r="E778" s="735"/>
      <c r="F778" s="735"/>
      <c r="G778" s="735"/>
      <c r="H778" s="735"/>
      <c r="I778" s="735"/>
      <c r="J778" s="52" t="s">
        <v>2214</v>
      </c>
      <c r="K778" s="52" t="s">
        <v>2214</v>
      </c>
      <c r="L778" s="735"/>
      <c r="M778" s="68"/>
      <c r="N778" s="739"/>
      <c r="O778" s="735"/>
      <c r="P778" s="52" t="s">
        <v>2214</v>
      </c>
      <c r="Q778" s="52" t="s">
        <v>2214</v>
      </c>
      <c r="R778" s="737"/>
      <c r="S778" s="735"/>
      <c r="T778" s="737"/>
      <c r="U778" s="737"/>
    </row>
    <row r="779">
      <c r="A779" s="733"/>
      <c r="B779" s="52" t="str">
        <f t="shared" si="1"/>
        <v/>
      </c>
      <c r="C779" s="52" t="str">
        <f>IF(A779="","",VLOOKUP(A779,'THAM CHIẾU'!$A:$B,2,0))</f>
        <v/>
      </c>
      <c r="D779" s="52" t="str">
        <f>IF(E779&lt;&gt;0,VLOOKUP(E779,DM_DUAN,3,0),"")</f>
        <v/>
      </c>
      <c r="E779" s="735"/>
      <c r="F779" s="735"/>
      <c r="G779" s="735"/>
      <c r="H779" s="735"/>
      <c r="I779" s="735"/>
      <c r="J779" s="52" t="s">
        <v>2214</v>
      </c>
      <c r="K779" s="52" t="s">
        <v>2214</v>
      </c>
      <c r="L779" s="735"/>
      <c r="M779" s="68"/>
      <c r="N779" s="739"/>
      <c r="O779" s="735"/>
      <c r="P779" s="52" t="s">
        <v>2214</v>
      </c>
      <c r="Q779" s="52" t="s">
        <v>2214</v>
      </c>
      <c r="R779" s="737"/>
      <c r="S779" s="735"/>
      <c r="T779" s="737"/>
      <c r="U779" s="737"/>
    </row>
    <row r="780">
      <c r="A780" s="733"/>
      <c r="B780" s="52" t="str">
        <f t="shared" si="1"/>
        <v/>
      </c>
      <c r="C780" s="52" t="str">
        <f>IF(A780="","",VLOOKUP(A780,'THAM CHIẾU'!$A:$B,2,0))</f>
        <v/>
      </c>
      <c r="D780" s="52" t="str">
        <f>IF(E780&lt;&gt;0,VLOOKUP(E780,DM_DUAN,3,0),"")</f>
        <v/>
      </c>
      <c r="E780" s="735"/>
      <c r="F780" s="735"/>
      <c r="G780" s="735"/>
      <c r="H780" s="735"/>
      <c r="I780" s="735"/>
      <c r="J780" s="52" t="s">
        <v>2214</v>
      </c>
      <c r="K780" s="52" t="s">
        <v>2214</v>
      </c>
      <c r="L780" s="735"/>
      <c r="M780" s="68"/>
      <c r="N780" s="739"/>
      <c r="O780" s="735"/>
      <c r="P780" s="52" t="s">
        <v>2214</v>
      </c>
      <c r="Q780" s="52" t="s">
        <v>2214</v>
      </c>
      <c r="R780" s="737"/>
      <c r="S780" s="735"/>
      <c r="T780" s="737"/>
      <c r="U780" s="737"/>
    </row>
    <row r="781">
      <c r="A781" s="733"/>
      <c r="B781" s="52" t="str">
        <f t="shared" si="1"/>
        <v/>
      </c>
      <c r="C781" s="52" t="str">
        <f>IF(A781="","",VLOOKUP(A781,'THAM CHIẾU'!$A:$B,2,0))</f>
        <v/>
      </c>
      <c r="D781" s="52" t="str">
        <f>IF(E781&lt;&gt;0,VLOOKUP(E781,DM_DUAN,3,0),"")</f>
        <v/>
      </c>
      <c r="E781" s="735"/>
      <c r="F781" s="735"/>
      <c r="G781" s="735"/>
      <c r="H781" s="735"/>
      <c r="I781" s="735"/>
      <c r="J781" s="52" t="s">
        <v>2214</v>
      </c>
      <c r="K781" s="52" t="s">
        <v>2214</v>
      </c>
      <c r="L781" s="735"/>
      <c r="M781" s="68"/>
      <c r="N781" s="739"/>
      <c r="O781" s="735"/>
      <c r="P781" s="52" t="s">
        <v>2214</v>
      </c>
      <c r="Q781" s="52" t="s">
        <v>2214</v>
      </c>
      <c r="R781" s="737"/>
      <c r="S781" s="735"/>
      <c r="T781" s="737"/>
      <c r="U781" s="737"/>
    </row>
    <row r="782">
      <c r="A782" s="733"/>
      <c r="B782" s="52" t="str">
        <f t="shared" si="1"/>
        <v/>
      </c>
      <c r="C782" s="52" t="str">
        <f>IF(A782="","",VLOOKUP(A782,'THAM CHIẾU'!$A:$B,2,0))</f>
        <v/>
      </c>
      <c r="D782" s="52" t="str">
        <f>IF(E782&lt;&gt;0,VLOOKUP(E782,DM_DUAN,3,0),"")</f>
        <v/>
      </c>
      <c r="E782" s="735"/>
      <c r="F782" s="735"/>
      <c r="G782" s="735"/>
      <c r="H782" s="735"/>
      <c r="I782" s="735"/>
      <c r="J782" s="52" t="s">
        <v>2214</v>
      </c>
      <c r="K782" s="52" t="s">
        <v>2214</v>
      </c>
      <c r="L782" s="735"/>
      <c r="M782" s="68"/>
      <c r="N782" s="739"/>
      <c r="O782" s="735"/>
      <c r="P782" s="52" t="s">
        <v>2214</v>
      </c>
      <c r="Q782" s="52" t="s">
        <v>2214</v>
      </c>
      <c r="R782" s="737"/>
      <c r="S782" s="735"/>
      <c r="T782" s="737"/>
      <c r="U782" s="737"/>
    </row>
    <row r="783">
      <c r="A783" s="733"/>
      <c r="B783" s="52" t="str">
        <f t="shared" si="1"/>
        <v/>
      </c>
      <c r="C783" s="52" t="str">
        <f>IF(A783="","",VLOOKUP(A783,'THAM CHIẾU'!$A:$B,2,0))</f>
        <v/>
      </c>
      <c r="D783" s="52" t="str">
        <f>IF(E783&lt;&gt;0,VLOOKUP(E783,DM_DUAN,3,0),"")</f>
        <v/>
      </c>
      <c r="E783" s="735"/>
      <c r="F783" s="735"/>
      <c r="G783" s="735"/>
      <c r="H783" s="735"/>
      <c r="I783" s="735"/>
      <c r="J783" s="52" t="s">
        <v>2214</v>
      </c>
      <c r="K783" s="52" t="s">
        <v>2214</v>
      </c>
      <c r="L783" s="735"/>
      <c r="M783" s="68"/>
      <c r="N783" s="739"/>
      <c r="O783" s="735"/>
      <c r="P783" s="52" t="s">
        <v>2214</v>
      </c>
      <c r="Q783" s="52" t="s">
        <v>2214</v>
      </c>
      <c r="R783" s="737"/>
      <c r="S783" s="735"/>
      <c r="T783" s="737"/>
      <c r="U783" s="737"/>
    </row>
    <row r="784">
      <c r="A784" s="733"/>
      <c r="B784" s="52" t="str">
        <f t="shared" si="1"/>
        <v/>
      </c>
      <c r="C784" s="52" t="str">
        <f>IF(A784="","",VLOOKUP(A784,'THAM CHIẾU'!$A:$B,2,0))</f>
        <v/>
      </c>
      <c r="D784" s="52" t="str">
        <f>IF(E784&lt;&gt;0,VLOOKUP(E784,DM_DUAN,3,0),"")</f>
        <v/>
      </c>
      <c r="E784" s="735"/>
      <c r="F784" s="735"/>
      <c r="G784" s="735"/>
      <c r="H784" s="735"/>
      <c r="I784" s="735"/>
      <c r="J784" s="52" t="s">
        <v>2214</v>
      </c>
      <c r="K784" s="52" t="s">
        <v>2214</v>
      </c>
      <c r="L784" s="735"/>
      <c r="M784" s="68"/>
      <c r="N784" s="739"/>
      <c r="O784" s="735"/>
      <c r="P784" s="52" t="s">
        <v>2214</v>
      </c>
      <c r="Q784" s="52" t="s">
        <v>2214</v>
      </c>
      <c r="R784" s="737"/>
      <c r="S784" s="735"/>
      <c r="T784" s="737"/>
      <c r="U784" s="737"/>
    </row>
    <row r="785">
      <c r="A785" s="733"/>
      <c r="B785" s="52" t="str">
        <f t="shared" si="1"/>
        <v/>
      </c>
      <c r="C785" s="52" t="str">
        <f>IF(A785="","",VLOOKUP(A785,'THAM CHIẾU'!$A:$B,2,0))</f>
        <v/>
      </c>
      <c r="D785" s="52" t="str">
        <f>IF(E785&lt;&gt;0,VLOOKUP(E785,DM_DUAN,3,0),"")</f>
        <v/>
      </c>
      <c r="E785" s="735"/>
      <c r="F785" s="735"/>
      <c r="G785" s="735"/>
      <c r="H785" s="735"/>
      <c r="I785" s="735"/>
      <c r="J785" s="52" t="s">
        <v>2214</v>
      </c>
      <c r="K785" s="52" t="s">
        <v>2214</v>
      </c>
      <c r="L785" s="735"/>
      <c r="M785" s="68"/>
      <c r="N785" s="739"/>
      <c r="O785" s="735"/>
      <c r="P785" s="52" t="s">
        <v>2214</v>
      </c>
      <c r="Q785" s="52" t="s">
        <v>2214</v>
      </c>
      <c r="R785" s="737"/>
      <c r="S785" s="735"/>
      <c r="T785" s="737"/>
      <c r="U785" s="737"/>
    </row>
    <row r="786">
      <c r="A786" s="733"/>
      <c r="B786" s="52" t="str">
        <f t="shared" si="1"/>
        <v/>
      </c>
      <c r="C786" s="52" t="str">
        <f>IF(A786="","",VLOOKUP(A786,'THAM CHIẾU'!$A:$B,2,0))</f>
        <v/>
      </c>
      <c r="D786" s="52" t="str">
        <f>IF(E786&lt;&gt;0,VLOOKUP(E786,DM_DUAN,3,0),"")</f>
        <v/>
      </c>
      <c r="E786" s="735"/>
      <c r="F786" s="735"/>
      <c r="G786" s="735"/>
      <c r="H786" s="735"/>
      <c r="I786" s="735"/>
      <c r="J786" s="52" t="s">
        <v>2214</v>
      </c>
      <c r="K786" s="52" t="s">
        <v>2214</v>
      </c>
      <c r="L786" s="735"/>
      <c r="M786" s="68"/>
      <c r="N786" s="739"/>
      <c r="O786" s="735"/>
      <c r="P786" s="52" t="s">
        <v>2214</v>
      </c>
      <c r="Q786" s="52" t="s">
        <v>2214</v>
      </c>
      <c r="R786" s="737"/>
      <c r="S786" s="735"/>
      <c r="T786" s="737"/>
      <c r="U786" s="737"/>
    </row>
    <row r="787">
      <c r="A787" s="733"/>
      <c r="B787" s="52" t="str">
        <f t="shared" si="1"/>
        <v/>
      </c>
      <c r="C787" s="52" t="str">
        <f>IF(A787="","",VLOOKUP(A787,'THAM CHIẾU'!$A:$B,2,0))</f>
        <v/>
      </c>
      <c r="D787" s="52" t="str">
        <f>IF(E787&lt;&gt;0,VLOOKUP(E787,DM_DUAN,3,0),"")</f>
        <v/>
      </c>
      <c r="E787" s="735"/>
      <c r="F787" s="735"/>
      <c r="G787" s="735"/>
      <c r="H787" s="735"/>
      <c r="I787" s="735"/>
      <c r="J787" s="52" t="s">
        <v>2214</v>
      </c>
      <c r="K787" s="52" t="s">
        <v>2214</v>
      </c>
      <c r="L787" s="735"/>
      <c r="M787" s="68"/>
      <c r="N787" s="739"/>
      <c r="O787" s="735"/>
      <c r="P787" s="52" t="s">
        <v>2214</v>
      </c>
      <c r="Q787" s="52" t="s">
        <v>2214</v>
      </c>
      <c r="R787" s="737"/>
      <c r="S787" s="735"/>
      <c r="T787" s="737"/>
      <c r="U787" s="737"/>
    </row>
    <row r="788">
      <c r="A788" s="733"/>
      <c r="B788" s="52" t="str">
        <f t="shared" si="1"/>
        <v/>
      </c>
      <c r="C788" s="52" t="str">
        <f>IF(A788="","",VLOOKUP(A788,'THAM CHIẾU'!$A:$B,2,0))</f>
        <v/>
      </c>
      <c r="D788" s="52" t="str">
        <f>IF(E788&lt;&gt;0,VLOOKUP(E788,DM_DUAN,3,0),"")</f>
        <v/>
      </c>
      <c r="E788" s="735"/>
      <c r="F788" s="735"/>
      <c r="G788" s="735"/>
      <c r="H788" s="735"/>
      <c r="I788" s="735"/>
      <c r="J788" s="52" t="s">
        <v>2214</v>
      </c>
      <c r="K788" s="52" t="s">
        <v>2214</v>
      </c>
      <c r="L788" s="735"/>
      <c r="M788" s="68"/>
      <c r="N788" s="739"/>
      <c r="O788" s="735"/>
      <c r="P788" s="52" t="s">
        <v>2214</v>
      </c>
      <c r="Q788" s="52" t="s">
        <v>2214</v>
      </c>
      <c r="R788" s="737"/>
      <c r="S788" s="735"/>
      <c r="T788" s="737"/>
      <c r="U788" s="737"/>
    </row>
    <row r="789">
      <c r="A789" s="733"/>
      <c r="B789" s="52" t="str">
        <f t="shared" si="1"/>
        <v/>
      </c>
      <c r="C789" s="52" t="str">
        <f>IF(A789="","",VLOOKUP(A789,'THAM CHIẾU'!$A:$B,2,0))</f>
        <v/>
      </c>
      <c r="D789" s="52" t="str">
        <f>IF(E789&lt;&gt;0,VLOOKUP(E789,DM_DUAN,3,0),"")</f>
        <v/>
      </c>
      <c r="E789" s="735"/>
      <c r="F789" s="735"/>
      <c r="G789" s="735"/>
      <c r="H789" s="735"/>
      <c r="I789" s="735"/>
      <c r="J789" s="52" t="s">
        <v>2214</v>
      </c>
      <c r="K789" s="52" t="s">
        <v>2214</v>
      </c>
      <c r="L789" s="735"/>
      <c r="M789" s="68"/>
      <c r="N789" s="739"/>
      <c r="O789" s="735"/>
      <c r="P789" s="52" t="s">
        <v>2214</v>
      </c>
      <c r="Q789" s="52" t="s">
        <v>2214</v>
      </c>
      <c r="R789" s="737"/>
      <c r="S789" s="735"/>
      <c r="T789" s="737"/>
      <c r="U789" s="737"/>
    </row>
    <row r="790">
      <c r="A790" s="733"/>
      <c r="B790" s="52" t="str">
        <f t="shared" si="1"/>
        <v/>
      </c>
      <c r="C790" s="52" t="str">
        <f>IF(A790="","",VLOOKUP(A790,'THAM CHIẾU'!$A:$B,2,0))</f>
        <v/>
      </c>
      <c r="D790" s="52" t="str">
        <f>IF(E790&lt;&gt;0,VLOOKUP(E790,DM_DUAN,3,0),"")</f>
        <v/>
      </c>
      <c r="E790" s="735"/>
      <c r="F790" s="735"/>
      <c r="G790" s="735"/>
      <c r="H790" s="735"/>
      <c r="I790" s="735"/>
      <c r="J790" s="52" t="s">
        <v>2214</v>
      </c>
      <c r="K790" s="52" t="s">
        <v>2214</v>
      </c>
      <c r="L790" s="735"/>
      <c r="M790" s="68"/>
      <c r="N790" s="739"/>
      <c r="O790" s="735"/>
      <c r="P790" s="52" t="s">
        <v>2214</v>
      </c>
      <c r="Q790" s="52" t="s">
        <v>2214</v>
      </c>
      <c r="R790" s="737"/>
      <c r="S790" s="735"/>
      <c r="T790" s="737"/>
      <c r="U790" s="737"/>
    </row>
    <row r="791">
      <c r="A791" s="733"/>
      <c r="B791" s="52" t="str">
        <f t="shared" si="1"/>
        <v/>
      </c>
      <c r="C791" s="52" t="str">
        <f>IF(A791="","",VLOOKUP(A791,'THAM CHIẾU'!$A:$B,2,0))</f>
        <v/>
      </c>
      <c r="D791" s="52" t="str">
        <f>IF(E791&lt;&gt;0,VLOOKUP(E791,DM_DUAN,3,0),"")</f>
        <v/>
      </c>
      <c r="E791" s="735"/>
      <c r="F791" s="735"/>
      <c r="G791" s="735"/>
      <c r="H791" s="735"/>
      <c r="I791" s="735"/>
      <c r="J791" s="52" t="s">
        <v>2214</v>
      </c>
      <c r="K791" s="52" t="s">
        <v>2214</v>
      </c>
      <c r="L791" s="735"/>
      <c r="M791" s="68"/>
      <c r="N791" s="739"/>
      <c r="O791" s="735"/>
      <c r="P791" s="52" t="s">
        <v>2214</v>
      </c>
      <c r="Q791" s="52" t="s">
        <v>2214</v>
      </c>
      <c r="R791" s="737"/>
      <c r="S791" s="735"/>
      <c r="T791" s="737"/>
      <c r="U791" s="737"/>
    </row>
    <row r="792">
      <c r="A792" s="733"/>
      <c r="B792" s="52" t="str">
        <f t="shared" si="1"/>
        <v/>
      </c>
      <c r="C792" s="52" t="str">
        <f>IF(A792="","",VLOOKUP(A792,'THAM CHIẾU'!$A:$B,2,0))</f>
        <v/>
      </c>
      <c r="D792" s="52" t="str">
        <f>IF(E792&lt;&gt;0,VLOOKUP(E792,DM_DUAN,3,0),"")</f>
        <v/>
      </c>
      <c r="E792" s="735"/>
      <c r="F792" s="735"/>
      <c r="G792" s="735"/>
      <c r="H792" s="735"/>
      <c r="I792" s="735"/>
      <c r="J792" s="52" t="s">
        <v>2214</v>
      </c>
      <c r="K792" s="52" t="s">
        <v>2214</v>
      </c>
      <c r="L792" s="735"/>
      <c r="M792" s="68"/>
      <c r="N792" s="739"/>
      <c r="O792" s="735"/>
      <c r="P792" s="52" t="s">
        <v>2214</v>
      </c>
      <c r="Q792" s="52" t="s">
        <v>2214</v>
      </c>
      <c r="R792" s="737"/>
      <c r="S792" s="735"/>
      <c r="T792" s="737"/>
      <c r="U792" s="737"/>
    </row>
    <row r="793">
      <c r="A793" s="733"/>
      <c r="B793" s="52" t="str">
        <f t="shared" si="1"/>
        <v/>
      </c>
      <c r="C793" s="52" t="str">
        <f>IF(A793="","",VLOOKUP(A793,'THAM CHIẾU'!$A:$B,2,0))</f>
        <v/>
      </c>
      <c r="D793" s="52" t="str">
        <f>IF(E793&lt;&gt;0,VLOOKUP(E793,DM_DUAN,3,0),"")</f>
        <v/>
      </c>
      <c r="E793" s="735"/>
      <c r="F793" s="735"/>
      <c r="G793" s="735"/>
      <c r="H793" s="735"/>
      <c r="I793" s="735"/>
      <c r="J793" s="52" t="s">
        <v>2214</v>
      </c>
      <c r="K793" s="52" t="s">
        <v>2214</v>
      </c>
      <c r="L793" s="735"/>
      <c r="M793" s="68"/>
      <c r="N793" s="739"/>
      <c r="O793" s="735"/>
      <c r="P793" s="52" t="s">
        <v>2214</v>
      </c>
      <c r="Q793" s="52" t="s">
        <v>2214</v>
      </c>
      <c r="R793" s="737"/>
      <c r="S793" s="735"/>
      <c r="T793" s="737"/>
      <c r="U793" s="737"/>
    </row>
    <row r="794">
      <c r="A794" s="733"/>
      <c r="B794" s="52" t="str">
        <f t="shared" si="1"/>
        <v/>
      </c>
      <c r="C794" s="52" t="str">
        <f>IF(A794="","",VLOOKUP(A794,'THAM CHIẾU'!$A:$B,2,0))</f>
        <v/>
      </c>
      <c r="D794" s="52" t="str">
        <f>IF(E794&lt;&gt;0,VLOOKUP(E794,DM_DUAN,3,0),"")</f>
        <v/>
      </c>
      <c r="E794" s="735"/>
      <c r="F794" s="735"/>
      <c r="G794" s="735"/>
      <c r="H794" s="735"/>
      <c r="I794" s="735"/>
      <c r="J794" s="52" t="s">
        <v>2214</v>
      </c>
      <c r="K794" s="52" t="s">
        <v>2214</v>
      </c>
      <c r="L794" s="735"/>
      <c r="M794" s="68"/>
      <c r="N794" s="739"/>
      <c r="O794" s="735"/>
      <c r="P794" s="52" t="s">
        <v>2214</v>
      </c>
      <c r="Q794" s="52" t="s">
        <v>2214</v>
      </c>
      <c r="R794" s="737"/>
      <c r="S794" s="735"/>
      <c r="T794" s="737"/>
      <c r="U794" s="737"/>
    </row>
    <row r="795">
      <c r="A795" s="733"/>
      <c r="B795" s="52" t="str">
        <f t="shared" si="1"/>
        <v/>
      </c>
      <c r="C795" s="52" t="str">
        <f>IF(A795="","",VLOOKUP(A795,'THAM CHIẾU'!$A:$B,2,0))</f>
        <v/>
      </c>
      <c r="D795" s="52" t="str">
        <f>IF(E795&lt;&gt;0,VLOOKUP(E795,DM_DUAN,3,0),"")</f>
        <v/>
      </c>
      <c r="E795" s="735"/>
      <c r="F795" s="735"/>
      <c r="G795" s="735"/>
      <c r="H795" s="735"/>
      <c r="I795" s="735"/>
      <c r="J795" s="52" t="s">
        <v>2214</v>
      </c>
      <c r="K795" s="52" t="s">
        <v>2214</v>
      </c>
      <c r="L795" s="735"/>
      <c r="M795" s="68"/>
      <c r="N795" s="739"/>
      <c r="O795" s="735"/>
      <c r="P795" s="52" t="s">
        <v>2214</v>
      </c>
      <c r="Q795" s="52" t="s">
        <v>2214</v>
      </c>
      <c r="R795" s="737"/>
      <c r="S795" s="735"/>
      <c r="T795" s="737"/>
      <c r="U795" s="737"/>
    </row>
    <row r="796">
      <c r="A796" s="733"/>
      <c r="B796" s="52" t="str">
        <f t="shared" si="1"/>
        <v/>
      </c>
      <c r="C796" s="52" t="str">
        <f>IF(A796="","",VLOOKUP(A796,'THAM CHIẾU'!$A:$B,2,0))</f>
        <v/>
      </c>
      <c r="D796" s="52" t="str">
        <f>IF(E796&lt;&gt;0,VLOOKUP(E796,DM_DUAN,3,0),"")</f>
        <v/>
      </c>
      <c r="E796" s="735"/>
      <c r="F796" s="735"/>
      <c r="G796" s="735"/>
      <c r="H796" s="735"/>
      <c r="I796" s="735"/>
      <c r="J796" s="52" t="s">
        <v>2214</v>
      </c>
      <c r="K796" s="52" t="s">
        <v>2214</v>
      </c>
      <c r="L796" s="735"/>
      <c r="M796" s="68"/>
      <c r="N796" s="739"/>
      <c r="O796" s="735"/>
      <c r="P796" s="52" t="s">
        <v>2214</v>
      </c>
      <c r="Q796" s="52" t="s">
        <v>2214</v>
      </c>
      <c r="R796" s="737"/>
      <c r="S796" s="735"/>
      <c r="T796" s="737"/>
      <c r="U796" s="737"/>
    </row>
    <row r="797">
      <c r="A797" s="733"/>
      <c r="B797" s="52" t="str">
        <f t="shared" si="1"/>
        <v/>
      </c>
      <c r="C797" s="52" t="str">
        <f>IF(A797="","",VLOOKUP(A797,'THAM CHIẾU'!$A:$B,2,0))</f>
        <v/>
      </c>
      <c r="D797" s="52" t="str">
        <f>IF(E797&lt;&gt;0,VLOOKUP(E797,DM_DUAN,3,0),"")</f>
        <v/>
      </c>
      <c r="E797" s="735"/>
      <c r="F797" s="735"/>
      <c r="G797" s="735"/>
      <c r="H797" s="735"/>
      <c r="I797" s="735"/>
      <c r="J797" s="52" t="s">
        <v>2214</v>
      </c>
      <c r="K797" s="52" t="s">
        <v>2214</v>
      </c>
      <c r="L797" s="735"/>
      <c r="M797" s="68"/>
      <c r="N797" s="739"/>
      <c r="O797" s="735"/>
      <c r="P797" s="52" t="s">
        <v>2214</v>
      </c>
      <c r="Q797" s="52" t="s">
        <v>2214</v>
      </c>
      <c r="R797" s="737"/>
      <c r="S797" s="735"/>
      <c r="T797" s="737"/>
      <c r="U797" s="737"/>
    </row>
    <row r="798">
      <c r="A798" s="733"/>
      <c r="B798" s="52" t="str">
        <f t="shared" si="1"/>
        <v/>
      </c>
      <c r="C798" s="52" t="str">
        <f>IF(A798="","",VLOOKUP(A798,'THAM CHIẾU'!$A:$B,2,0))</f>
        <v/>
      </c>
      <c r="D798" s="52" t="str">
        <f>IF(E798&lt;&gt;0,VLOOKUP(E798,DM_DUAN,3,0),"")</f>
        <v/>
      </c>
      <c r="E798" s="735"/>
      <c r="F798" s="735"/>
      <c r="G798" s="735"/>
      <c r="H798" s="735"/>
      <c r="I798" s="735"/>
      <c r="J798" s="52" t="s">
        <v>2214</v>
      </c>
      <c r="K798" s="52" t="s">
        <v>2214</v>
      </c>
      <c r="L798" s="735"/>
      <c r="M798" s="68"/>
      <c r="N798" s="739"/>
      <c r="O798" s="735"/>
      <c r="P798" s="52" t="s">
        <v>2214</v>
      </c>
      <c r="Q798" s="52" t="s">
        <v>2214</v>
      </c>
      <c r="R798" s="737"/>
      <c r="S798" s="735"/>
      <c r="T798" s="737"/>
      <c r="U798" s="737"/>
    </row>
    <row r="799">
      <c r="A799" s="733"/>
      <c r="B799" s="52" t="str">
        <f t="shared" si="1"/>
        <v/>
      </c>
      <c r="C799" s="52" t="str">
        <f>IF(A799="","",VLOOKUP(A799,'THAM CHIẾU'!$A:$B,2,0))</f>
        <v/>
      </c>
      <c r="D799" s="52" t="str">
        <f>IF(E799&lt;&gt;0,VLOOKUP(E799,DM_DUAN,3,0),"")</f>
        <v/>
      </c>
      <c r="E799" s="735"/>
      <c r="F799" s="735"/>
      <c r="G799" s="735"/>
      <c r="H799" s="735"/>
      <c r="I799" s="735"/>
      <c r="J799" s="52" t="s">
        <v>2214</v>
      </c>
      <c r="K799" s="52" t="s">
        <v>2214</v>
      </c>
      <c r="L799" s="735"/>
      <c r="M799" s="68"/>
      <c r="N799" s="739"/>
      <c r="O799" s="735"/>
      <c r="P799" s="52" t="s">
        <v>2214</v>
      </c>
      <c r="Q799" s="52" t="s">
        <v>2214</v>
      </c>
      <c r="R799" s="737"/>
      <c r="S799" s="735"/>
      <c r="T799" s="737"/>
      <c r="U799" s="737"/>
    </row>
    <row r="800">
      <c r="A800" s="733"/>
      <c r="B800" s="52" t="str">
        <f t="shared" si="1"/>
        <v/>
      </c>
      <c r="C800" s="52" t="str">
        <f>IF(A800="","",VLOOKUP(A800,'THAM CHIẾU'!$A:$B,2,0))</f>
        <v/>
      </c>
      <c r="D800" s="52" t="str">
        <f>IF(E800&lt;&gt;0,VLOOKUP(E800,DM_DUAN,3,0),"")</f>
        <v/>
      </c>
      <c r="E800" s="735"/>
      <c r="F800" s="735"/>
      <c r="G800" s="735"/>
      <c r="H800" s="735"/>
      <c r="I800" s="735"/>
      <c r="J800" s="52" t="s">
        <v>2214</v>
      </c>
      <c r="K800" s="52" t="s">
        <v>2214</v>
      </c>
      <c r="L800" s="735"/>
      <c r="M800" s="68"/>
      <c r="N800" s="739"/>
      <c r="O800" s="735"/>
      <c r="P800" s="52" t="s">
        <v>2214</v>
      </c>
      <c r="Q800" s="52" t="s">
        <v>2214</v>
      </c>
      <c r="R800" s="737"/>
      <c r="S800" s="735"/>
      <c r="T800" s="737"/>
      <c r="U800" s="737"/>
    </row>
    <row r="801">
      <c r="A801" s="733"/>
      <c r="B801" s="52" t="str">
        <f t="shared" si="1"/>
        <v/>
      </c>
      <c r="C801" s="52" t="str">
        <f>IF(A801="","",VLOOKUP(A801,'THAM CHIẾU'!$A:$B,2,0))</f>
        <v/>
      </c>
      <c r="D801" s="52" t="str">
        <f>IF(E801&lt;&gt;0,VLOOKUP(E801,DM_DUAN,3,0),"")</f>
        <v/>
      </c>
      <c r="E801" s="735"/>
      <c r="F801" s="735"/>
      <c r="G801" s="735"/>
      <c r="H801" s="735"/>
      <c r="I801" s="735"/>
      <c r="J801" s="52" t="s">
        <v>2214</v>
      </c>
      <c r="K801" s="52" t="s">
        <v>2214</v>
      </c>
      <c r="L801" s="735"/>
      <c r="M801" s="68"/>
      <c r="N801" s="739"/>
      <c r="O801" s="735"/>
      <c r="P801" s="52" t="s">
        <v>2214</v>
      </c>
      <c r="Q801" s="52" t="s">
        <v>2214</v>
      </c>
      <c r="R801" s="737"/>
      <c r="S801" s="735"/>
      <c r="T801" s="737"/>
      <c r="U801" s="737"/>
    </row>
    <row r="802">
      <c r="A802" s="733"/>
      <c r="B802" s="52" t="str">
        <f t="shared" si="1"/>
        <v/>
      </c>
      <c r="C802" s="52" t="str">
        <f>IF(A802="","",VLOOKUP(A802,'THAM CHIẾU'!$A:$B,2,0))</f>
        <v/>
      </c>
      <c r="D802" s="52" t="str">
        <f>IF(E802&lt;&gt;0,VLOOKUP(E802,DM_DUAN,3,0),"")</f>
        <v/>
      </c>
      <c r="E802" s="735"/>
      <c r="F802" s="735"/>
      <c r="G802" s="735"/>
      <c r="H802" s="735"/>
      <c r="I802" s="735"/>
      <c r="J802" s="52" t="s">
        <v>2214</v>
      </c>
      <c r="K802" s="52" t="s">
        <v>2214</v>
      </c>
      <c r="L802" s="735"/>
      <c r="M802" s="68"/>
      <c r="N802" s="739"/>
      <c r="O802" s="735"/>
      <c r="P802" s="52" t="s">
        <v>2214</v>
      </c>
      <c r="Q802" s="52" t="s">
        <v>2214</v>
      </c>
      <c r="R802" s="737"/>
      <c r="S802" s="735"/>
      <c r="T802" s="737"/>
      <c r="U802" s="737"/>
    </row>
    <row r="803">
      <c r="A803" s="733"/>
      <c r="B803" s="52" t="str">
        <f t="shared" si="1"/>
        <v/>
      </c>
      <c r="C803" s="52" t="str">
        <f>IF(A803="","",VLOOKUP(A803,'THAM CHIẾU'!$A:$B,2,0))</f>
        <v/>
      </c>
      <c r="D803" s="52" t="str">
        <f>IF(E803&lt;&gt;0,VLOOKUP(E803,DM_DUAN,3,0),"")</f>
        <v/>
      </c>
      <c r="E803" s="735"/>
      <c r="F803" s="735"/>
      <c r="G803" s="735"/>
      <c r="H803" s="735"/>
      <c r="I803" s="735"/>
      <c r="J803" s="52" t="s">
        <v>2214</v>
      </c>
      <c r="K803" s="52" t="s">
        <v>2214</v>
      </c>
      <c r="L803" s="735"/>
      <c r="M803" s="68"/>
      <c r="N803" s="739"/>
      <c r="O803" s="735"/>
      <c r="P803" s="52" t="s">
        <v>2214</v>
      </c>
      <c r="Q803" s="52" t="s">
        <v>2214</v>
      </c>
      <c r="R803" s="737"/>
      <c r="S803" s="735"/>
      <c r="T803" s="737"/>
      <c r="U803" s="737"/>
    </row>
    <row r="804">
      <c r="A804" s="733"/>
      <c r="B804" s="52" t="str">
        <f t="shared" si="1"/>
        <v/>
      </c>
      <c r="C804" s="52" t="str">
        <f>IF(A804="","",VLOOKUP(A804,'THAM CHIẾU'!$A:$B,2,0))</f>
        <v/>
      </c>
      <c r="D804" s="52" t="str">
        <f>IF(E804&lt;&gt;0,VLOOKUP(E804,DM_DUAN,3,0),"")</f>
        <v/>
      </c>
      <c r="E804" s="735"/>
      <c r="F804" s="735"/>
      <c r="G804" s="735"/>
      <c r="H804" s="735"/>
      <c r="I804" s="735"/>
      <c r="J804" s="52" t="s">
        <v>2214</v>
      </c>
      <c r="K804" s="52" t="s">
        <v>2214</v>
      </c>
      <c r="L804" s="735"/>
      <c r="M804" s="68"/>
      <c r="N804" s="739"/>
      <c r="O804" s="735"/>
      <c r="P804" s="52" t="s">
        <v>2214</v>
      </c>
      <c r="Q804" s="52" t="s">
        <v>2214</v>
      </c>
      <c r="R804" s="737"/>
      <c r="S804" s="735"/>
      <c r="T804" s="737"/>
      <c r="U804" s="737"/>
    </row>
    <row r="805">
      <c r="A805" s="733"/>
      <c r="B805" s="52" t="str">
        <f t="shared" si="1"/>
        <v/>
      </c>
      <c r="C805" s="52" t="str">
        <f>IF(A805="","",VLOOKUP(A805,'THAM CHIẾU'!$A:$B,2,0))</f>
        <v/>
      </c>
      <c r="D805" s="52" t="str">
        <f>IF(E805&lt;&gt;0,VLOOKUP(E805,DM_DUAN,3,0),"")</f>
        <v/>
      </c>
      <c r="E805" s="735"/>
      <c r="F805" s="735"/>
      <c r="G805" s="735"/>
      <c r="H805" s="735"/>
      <c r="I805" s="735"/>
      <c r="J805" s="52" t="s">
        <v>2214</v>
      </c>
      <c r="K805" s="52" t="s">
        <v>2214</v>
      </c>
      <c r="L805" s="735"/>
      <c r="M805" s="68"/>
      <c r="N805" s="739"/>
      <c r="O805" s="735"/>
      <c r="P805" s="52" t="s">
        <v>2214</v>
      </c>
      <c r="Q805" s="52" t="s">
        <v>2214</v>
      </c>
      <c r="R805" s="737"/>
      <c r="S805" s="735"/>
      <c r="T805" s="737"/>
      <c r="U805" s="737"/>
    </row>
    <row r="806">
      <c r="A806" s="733"/>
      <c r="B806" s="52" t="str">
        <f t="shared" si="1"/>
        <v/>
      </c>
      <c r="C806" s="52" t="str">
        <f>IF(A806="","",VLOOKUP(A806,'THAM CHIẾU'!$A:$B,2,0))</f>
        <v/>
      </c>
      <c r="D806" s="52" t="str">
        <f>IF(E806&lt;&gt;0,VLOOKUP(E806,DM_DUAN,3,0),"")</f>
        <v/>
      </c>
      <c r="E806" s="735"/>
      <c r="F806" s="735"/>
      <c r="G806" s="735"/>
      <c r="H806" s="735"/>
      <c r="I806" s="735"/>
      <c r="J806" s="52" t="s">
        <v>2214</v>
      </c>
      <c r="K806" s="52" t="s">
        <v>2214</v>
      </c>
      <c r="L806" s="735"/>
      <c r="M806" s="68"/>
      <c r="N806" s="739"/>
      <c r="O806" s="735"/>
      <c r="P806" s="52" t="s">
        <v>2214</v>
      </c>
      <c r="Q806" s="52" t="s">
        <v>2214</v>
      </c>
      <c r="R806" s="737"/>
      <c r="S806" s="735"/>
      <c r="T806" s="737"/>
      <c r="U806" s="737"/>
    </row>
    <row r="807">
      <c r="A807" s="733"/>
      <c r="B807" s="52" t="str">
        <f t="shared" si="1"/>
        <v/>
      </c>
      <c r="C807" s="52" t="str">
        <f>IF(A807="","",VLOOKUP(A807,'THAM CHIẾU'!$A:$B,2,0))</f>
        <v/>
      </c>
      <c r="D807" s="52" t="str">
        <f>IF(E807&lt;&gt;0,VLOOKUP(E807,DM_DUAN,3,0),"")</f>
        <v/>
      </c>
      <c r="E807" s="735"/>
      <c r="F807" s="735"/>
      <c r="G807" s="735"/>
      <c r="H807" s="735"/>
      <c r="I807" s="735"/>
      <c r="J807" s="52" t="s">
        <v>2214</v>
      </c>
      <c r="K807" s="52" t="s">
        <v>2214</v>
      </c>
      <c r="L807" s="735"/>
      <c r="M807" s="68"/>
      <c r="N807" s="739"/>
      <c r="O807" s="735"/>
      <c r="P807" s="52" t="s">
        <v>2214</v>
      </c>
      <c r="Q807" s="52" t="s">
        <v>2214</v>
      </c>
      <c r="R807" s="737"/>
      <c r="S807" s="735"/>
      <c r="T807" s="737"/>
      <c r="U807" s="737"/>
    </row>
    <row r="808">
      <c r="A808" s="733"/>
      <c r="B808" s="52" t="str">
        <f t="shared" si="1"/>
        <v/>
      </c>
      <c r="C808" s="52" t="str">
        <f>IF(A808="","",VLOOKUP(A808,'THAM CHIẾU'!$A:$B,2,0))</f>
        <v/>
      </c>
      <c r="D808" s="52" t="str">
        <f>IF(E808&lt;&gt;0,VLOOKUP(E808,DM_DUAN,3,0),"")</f>
        <v/>
      </c>
      <c r="E808" s="735"/>
      <c r="F808" s="735"/>
      <c r="G808" s="735"/>
      <c r="H808" s="735"/>
      <c r="I808" s="735"/>
      <c r="J808" s="52" t="s">
        <v>2214</v>
      </c>
      <c r="K808" s="52" t="s">
        <v>2214</v>
      </c>
      <c r="L808" s="735"/>
      <c r="M808" s="68"/>
      <c r="N808" s="739"/>
      <c r="O808" s="735"/>
      <c r="P808" s="52" t="s">
        <v>2214</v>
      </c>
      <c r="Q808" s="52" t="s">
        <v>2214</v>
      </c>
      <c r="R808" s="737"/>
      <c r="S808" s="735"/>
      <c r="T808" s="737"/>
      <c r="U808" s="737"/>
    </row>
    <row r="809">
      <c r="A809" s="733"/>
      <c r="B809" s="52" t="str">
        <f t="shared" si="1"/>
        <v/>
      </c>
      <c r="C809" s="52" t="str">
        <f>IF(A809="","",VLOOKUP(A809,'THAM CHIẾU'!$A:$B,2,0))</f>
        <v/>
      </c>
      <c r="D809" s="52" t="str">
        <f>IF(E809&lt;&gt;0,VLOOKUP(E809,DM_DUAN,3,0),"")</f>
        <v/>
      </c>
      <c r="E809" s="735"/>
      <c r="F809" s="735"/>
      <c r="G809" s="735"/>
      <c r="H809" s="735"/>
      <c r="I809" s="735"/>
      <c r="J809" s="52" t="s">
        <v>2214</v>
      </c>
      <c r="K809" s="52" t="s">
        <v>2214</v>
      </c>
      <c r="L809" s="735"/>
      <c r="M809" s="68"/>
      <c r="N809" s="739"/>
      <c r="O809" s="735"/>
      <c r="P809" s="52" t="s">
        <v>2214</v>
      </c>
      <c r="Q809" s="52" t="s">
        <v>2214</v>
      </c>
      <c r="R809" s="737"/>
      <c r="S809" s="735"/>
      <c r="T809" s="737"/>
      <c r="U809" s="737"/>
    </row>
    <row r="810">
      <c r="A810" s="733"/>
      <c r="B810" s="52" t="str">
        <f t="shared" si="1"/>
        <v/>
      </c>
      <c r="C810" s="52" t="str">
        <f>IF(A810="","",VLOOKUP(A810,'THAM CHIẾU'!$A:$B,2,0))</f>
        <v/>
      </c>
      <c r="D810" s="52" t="str">
        <f>IF(E810&lt;&gt;0,VLOOKUP(E810,DM_DUAN,3,0),"")</f>
        <v/>
      </c>
      <c r="E810" s="735"/>
      <c r="F810" s="735"/>
      <c r="G810" s="735"/>
      <c r="H810" s="735"/>
      <c r="I810" s="735"/>
      <c r="J810" s="52" t="s">
        <v>2214</v>
      </c>
      <c r="K810" s="52" t="s">
        <v>2214</v>
      </c>
      <c r="L810" s="735"/>
      <c r="M810" s="68"/>
      <c r="N810" s="739"/>
      <c r="O810" s="735"/>
      <c r="P810" s="52" t="s">
        <v>2214</v>
      </c>
      <c r="Q810" s="52" t="s">
        <v>2214</v>
      </c>
      <c r="R810" s="737"/>
      <c r="S810" s="735"/>
      <c r="T810" s="737"/>
      <c r="U810" s="737"/>
    </row>
    <row r="811">
      <c r="A811" s="733"/>
      <c r="B811" s="52" t="str">
        <f t="shared" si="1"/>
        <v/>
      </c>
      <c r="C811" s="52" t="str">
        <f>IF(A811="","",VLOOKUP(A811,'THAM CHIẾU'!$A:$B,2,0))</f>
        <v/>
      </c>
      <c r="D811" s="52" t="str">
        <f>IF(E811&lt;&gt;0,VLOOKUP(E811,DM_DUAN,3,0),"")</f>
        <v/>
      </c>
      <c r="E811" s="735"/>
      <c r="F811" s="735"/>
      <c r="G811" s="735"/>
      <c r="H811" s="735"/>
      <c r="I811" s="735"/>
      <c r="J811" s="52" t="s">
        <v>2214</v>
      </c>
      <c r="K811" s="52" t="s">
        <v>2214</v>
      </c>
      <c r="L811" s="735"/>
      <c r="M811" s="68"/>
      <c r="N811" s="739"/>
      <c r="O811" s="735"/>
      <c r="P811" s="52" t="s">
        <v>2214</v>
      </c>
      <c r="Q811" s="52" t="s">
        <v>2214</v>
      </c>
      <c r="R811" s="737"/>
      <c r="S811" s="735"/>
      <c r="T811" s="737"/>
      <c r="U811" s="737"/>
    </row>
    <row r="812">
      <c r="A812" s="733"/>
      <c r="B812" s="52" t="str">
        <f t="shared" si="1"/>
        <v/>
      </c>
      <c r="C812" s="52" t="str">
        <f>IF(A812="","",VLOOKUP(A812,'THAM CHIẾU'!$A:$B,2,0))</f>
        <v/>
      </c>
      <c r="D812" s="52" t="str">
        <f>IF(E812&lt;&gt;0,VLOOKUP(E812,DM_DUAN,3,0),"")</f>
        <v/>
      </c>
      <c r="E812" s="735"/>
      <c r="F812" s="735"/>
      <c r="G812" s="735"/>
      <c r="H812" s="735"/>
      <c r="I812" s="735"/>
      <c r="J812" s="52" t="s">
        <v>2214</v>
      </c>
      <c r="K812" s="52" t="s">
        <v>2214</v>
      </c>
      <c r="L812" s="735"/>
      <c r="M812" s="68"/>
      <c r="N812" s="739"/>
      <c r="O812" s="735"/>
      <c r="P812" s="52" t="s">
        <v>2214</v>
      </c>
      <c r="Q812" s="52" t="s">
        <v>2214</v>
      </c>
      <c r="R812" s="737"/>
      <c r="S812" s="735"/>
      <c r="T812" s="737"/>
      <c r="U812" s="737"/>
    </row>
    <row r="813">
      <c r="A813" s="733"/>
      <c r="B813" s="52" t="str">
        <f t="shared" si="1"/>
        <v/>
      </c>
      <c r="C813" s="52" t="str">
        <f>IF(A813="","",VLOOKUP(A813,'THAM CHIẾU'!$A:$B,2,0))</f>
        <v/>
      </c>
      <c r="D813" s="52" t="str">
        <f>IF(E813&lt;&gt;0,VLOOKUP(E813,DM_DUAN,3,0),"")</f>
        <v/>
      </c>
      <c r="E813" s="735"/>
      <c r="F813" s="735"/>
      <c r="G813" s="735"/>
      <c r="H813" s="735"/>
      <c r="I813" s="735"/>
      <c r="J813" s="52" t="s">
        <v>2214</v>
      </c>
      <c r="K813" s="52" t="s">
        <v>2214</v>
      </c>
      <c r="L813" s="735"/>
      <c r="M813" s="68"/>
      <c r="N813" s="739"/>
      <c r="O813" s="735"/>
      <c r="P813" s="52" t="s">
        <v>2214</v>
      </c>
      <c r="Q813" s="52" t="s">
        <v>2214</v>
      </c>
      <c r="R813" s="737"/>
      <c r="S813" s="735"/>
      <c r="T813" s="737"/>
      <c r="U813" s="737"/>
    </row>
    <row r="814">
      <c r="A814" s="733"/>
      <c r="B814" s="52" t="str">
        <f t="shared" si="1"/>
        <v/>
      </c>
      <c r="C814" s="52" t="str">
        <f>IF(A814="","",VLOOKUP(A814,'THAM CHIẾU'!$A:$B,2,0))</f>
        <v/>
      </c>
      <c r="D814" s="52" t="str">
        <f>IF(E814&lt;&gt;0,VLOOKUP(E814,DM_DUAN,3,0),"")</f>
        <v/>
      </c>
      <c r="E814" s="735"/>
      <c r="F814" s="735"/>
      <c r="G814" s="735"/>
      <c r="H814" s="735"/>
      <c r="I814" s="735"/>
      <c r="J814" s="52" t="s">
        <v>2214</v>
      </c>
      <c r="K814" s="52" t="s">
        <v>2214</v>
      </c>
      <c r="L814" s="735"/>
      <c r="M814" s="68"/>
      <c r="N814" s="739"/>
      <c r="O814" s="735"/>
      <c r="P814" s="52" t="s">
        <v>2214</v>
      </c>
      <c r="Q814" s="52" t="s">
        <v>2214</v>
      </c>
      <c r="R814" s="737"/>
      <c r="S814" s="735"/>
      <c r="T814" s="737"/>
      <c r="U814" s="737"/>
    </row>
    <row r="815">
      <c r="A815" s="733"/>
      <c r="B815" s="52" t="str">
        <f t="shared" si="1"/>
        <v/>
      </c>
      <c r="C815" s="52" t="str">
        <f>IF(A815="","",VLOOKUP(A815,'THAM CHIẾU'!$A:$B,2,0))</f>
        <v/>
      </c>
      <c r="D815" s="52" t="str">
        <f>IF(E815&lt;&gt;0,VLOOKUP(E815,DM_DUAN,3,0),"")</f>
        <v/>
      </c>
      <c r="E815" s="735"/>
      <c r="F815" s="735"/>
      <c r="G815" s="735"/>
      <c r="H815" s="735"/>
      <c r="I815" s="735"/>
      <c r="J815" s="52" t="s">
        <v>2214</v>
      </c>
      <c r="K815" s="52" t="s">
        <v>2214</v>
      </c>
      <c r="L815" s="735"/>
      <c r="M815" s="68"/>
      <c r="N815" s="739"/>
      <c r="O815" s="735"/>
      <c r="P815" s="52" t="s">
        <v>2214</v>
      </c>
      <c r="Q815" s="52" t="s">
        <v>2214</v>
      </c>
      <c r="R815" s="737"/>
      <c r="S815" s="735"/>
      <c r="T815" s="737"/>
      <c r="U815" s="737"/>
    </row>
    <row r="816">
      <c r="A816" s="733"/>
      <c r="B816" s="52" t="str">
        <f t="shared" si="1"/>
        <v/>
      </c>
      <c r="C816" s="52" t="str">
        <f>IF(A816="","",VLOOKUP(A816,'THAM CHIẾU'!$A:$B,2,0))</f>
        <v/>
      </c>
      <c r="D816" s="52" t="str">
        <f>IF(E816&lt;&gt;0,VLOOKUP(E816,DM_DUAN,3,0),"")</f>
        <v/>
      </c>
      <c r="E816" s="735"/>
      <c r="F816" s="735"/>
      <c r="G816" s="735"/>
      <c r="H816" s="735"/>
      <c r="I816" s="735"/>
      <c r="J816" s="52" t="s">
        <v>2214</v>
      </c>
      <c r="K816" s="52" t="s">
        <v>2214</v>
      </c>
      <c r="L816" s="735"/>
      <c r="M816" s="68"/>
      <c r="N816" s="739"/>
      <c r="O816" s="735"/>
      <c r="P816" s="52" t="s">
        <v>2214</v>
      </c>
      <c r="Q816" s="52" t="s">
        <v>2214</v>
      </c>
      <c r="R816" s="737"/>
      <c r="S816" s="735"/>
      <c r="T816" s="737"/>
      <c r="U816" s="737"/>
    </row>
    <row r="817">
      <c r="A817" s="733"/>
      <c r="B817" s="52" t="str">
        <f t="shared" si="1"/>
        <v/>
      </c>
      <c r="C817" s="52" t="str">
        <f>IF(A817="","",VLOOKUP(A817,'THAM CHIẾU'!$A:$B,2,0))</f>
        <v/>
      </c>
      <c r="D817" s="52" t="str">
        <f>IF(E817&lt;&gt;0,VLOOKUP(E817,DM_DUAN,3,0),"")</f>
        <v/>
      </c>
      <c r="E817" s="735"/>
      <c r="F817" s="735"/>
      <c r="G817" s="735"/>
      <c r="H817" s="735"/>
      <c r="I817" s="735"/>
      <c r="J817" s="52" t="s">
        <v>2214</v>
      </c>
      <c r="K817" s="52" t="s">
        <v>2214</v>
      </c>
      <c r="L817" s="735"/>
      <c r="M817" s="68"/>
      <c r="N817" s="739"/>
      <c r="O817" s="735"/>
      <c r="P817" s="52" t="s">
        <v>2214</v>
      </c>
      <c r="Q817" s="52" t="s">
        <v>2214</v>
      </c>
      <c r="R817" s="737"/>
      <c r="S817" s="735"/>
      <c r="T817" s="737"/>
      <c r="U817" s="737"/>
    </row>
    <row r="818">
      <c r="A818" s="733"/>
      <c r="B818" s="52" t="str">
        <f t="shared" si="1"/>
        <v/>
      </c>
      <c r="C818" s="52" t="str">
        <f>IF(A818="","",VLOOKUP(A818,'THAM CHIẾU'!$A:$B,2,0))</f>
        <v/>
      </c>
      <c r="D818" s="52" t="str">
        <f>IF(E818&lt;&gt;0,VLOOKUP(E818,DM_DUAN,3,0),"")</f>
        <v/>
      </c>
      <c r="E818" s="735"/>
      <c r="F818" s="735"/>
      <c r="G818" s="735"/>
      <c r="H818" s="735"/>
      <c r="I818" s="735"/>
      <c r="J818" s="52" t="s">
        <v>2214</v>
      </c>
      <c r="K818" s="52" t="s">
        <v>2214</v>
      </c>
      <c r="L818" s="735"/>
      <c r="M818" s="68"/>
      <c r="N818" s="739"/>
      <c r="O818" s="735"/>
      <c r="P818" s="52" t="s">
        <v>2214</v>
      </c>
      <c r="Q818" s="52" t="s">
        <v>2214</v>
      </c>
      <c r="R818" s="737"/>
      <c r="S818" s="735"/>
      <c r="T818" s="737"/>
      <c r="U818" s="737"/>
    </row>
    <row r="819">
      <c r="A819" s="733"/>
      <c r="B819" s="52" t="str">
        <f t="shared" si="1"/>
        <v/>
      </c>
      <c r="C819" s="52" t="str">
        <f>IF(A819="","",VLOOKUP(A819,'THAM CHIẾU'!$A:$B,2,0))</f>
        <v/>
      </c>
      <c r="D819" s="52" t="str">
        <f>IF(E819&lt;&gt;0,VLOOKUP(E819,DM_DUAN,3,0),"")</f>
        <v/>
      </c>
      <c r="E819" s="735"/>
      <c r="F819" s="735"/>
      <c r="G819" s="735"/>
      <c r="H819" s="735"/>
      <c r="I819" s="735"/>
      <c r="J819" s="52" t="s">
        <v>2214</v>
      </c>
      <c r="K819" s="52" t="s">
        <v>2214</v>
      </c>
      <c r="L819" s="735"/>
      <c r="M819" s="68"/>
      <c r="N819" s="739"/>
      <c r="O819" s="735"/>
      <c r="P819" s="52" t="s">
        <v>2214</v>
      </c>
      <c r="Q819" s="52" t="s">
        <v>2214</v>
      </c>
      <c r="R819" s="737"/>
      <c r="S819" s="735"/>
      <c r="T819" s="737"/>
      <c r="U819" s="737"/>
    </row>
    <row r="820">
      <c r="A820" s="733"/>
      <c r="B820" s="52" t="str">
        <f t="shared" si="1"/>
        <v/>
      </c>
      <c r="C820" s="52" t="str">
        <f>IF(A820="","",VLOOKUP(A820,'THAM CHIẾU'!$A:$B,2,0))</f>
        <v/>
      </c>
      <c r="D820" s="52" t="str">
        <f>IF(E820&lt;&gt;0,VLOOKUP(E820,DM_DUAN,3,0),"")</f>
        <v/>
      </c>
      <c r="E820" s="735"/>
      <c r="F820" s="735"/>
      <c r="G820" s="735"/>
      <c r="H820" s="735"/>
      <c r="I820" s="735"/>
      <c r="J820" s="52" t="s">
        <v>2214</v>
      </c>
      <c r="K820" s="52" t="s">
        <v>2214</v>
      </c>
      <c r="L820" s="735"/>
      <c r="M820" s="68"/>
      <c r="N820" s="739"/>
      <c r="O820" s="735"/>
      <c r="P820" s="52" t="s">
        <v>2214</v>
      </c>
      <c r="Q820" s="52" t="s">
        <v>2214</v>
      </c>
      <c r="R820" s="737"/>
      <c r="S820" s="735"/>
      <c r="T820" s="737"/>
      <c r="U820" s="737"/>
    </row>
    <row r="821">
      <c r="A821" s="733"/>
      <c r="B821" s="52" t="str">
        <f t="shared" si="1"/>
        <v/>
      </c>
      <c r="C821" s="52" t="str">
        <f>IF(A821="","",VLOOKUP(A821,'THAM CHIẾU'!$A:$B,2,0))</f>
        <v/>
      </c>
      <c r="D821" s="52" t="str">
        <f>IF(E821&lt;&gt;0,VLOOKUP(E821,DM_DUAN,3,0),"")</f>
        <v/>
      </c>
      <c r="E821" s="735"/>
      <c r="F821" s="735"/>
      <c r="G821" s="735"/>
      <c r="H821" s="735"/>
      <c r="I821" s="735"/>
      <c r="J821" s="52" t="s">
        <v>2214</v>
      </c>
      <c r="K821" s="52" t="s">
        <v>2214</v>
      </c>
      <c r="L821" s="735"/>
      <c r="M821" s="68"/>
      <c r="N821" s="739"/>
      <c r="O821" s="735"/>
      <c r="P821" s="52" t="s">
        <v>2214</v>
      </c>
      <c r="Q821" s="52" t="s">
        <v>2214</v>
      </c>
      <c r="R821" s="737"/>
      <c r="S821" s="735"/>
      <c r="T821" s="737"/>
      <c r="U821" s="737"/>
    </row>
    <row r="822">
      <c r="A822" s="733"/>
      <c r="B822" s="52" t="str">
        <f t="shared" si="1"/>
        <v/>
      </c>
      <c r="C822" s="52" t="str">
        <f>IF(A822="","",VLOOKUP(A822,'THAM CHIẾU'!$A:$B,2,0))</f>
        <v/>
      </c>
      <c r="D822" s="52" t="str">
        <f>IF(E822&lt;&gt;0,VLOOKUP(E822,DM_DUAN,3,0),"")</f>
        <v/>
      </c>
      <c r="E822" s="735"/>
      <c r="F822" s="735"/>
      <c r="G822" s="735"/>
      <c r="H822" s="735"/>
      <c r="I822" s="735"/>
      <c r="J822" s="52" t="s">
        <v>2214</v>
      </c>
      <c r="K822" s="52" t="s">
        <v>2214</v>
      </c>
      <c r="L822" s="735"/>
      <c r="M822" s="68"/>
      <c r="N822" s="739"/>
      <c r="O822" s="735"/>
      <c r="P822" s="52" t="s">
        <v>2214</v>
      </c>
      <c r="Q822" s="52" t="s">
        <v>2214</v>
      </c>
      <c r="R822" s="737"/>
      <c r="S822" s="735"/>
      <c r="T822" s="737"/>
      <c r="U822" s="737"/>
    </row>
    <row r="823">
      <c r="A823" s="733"/>
      <c r="B823" s="52" t="str">
        <f t="shared" si="1"/>
        <v/>
      </c>
      <c r="C823" s="52" t="str">
        <f>IF(A823="","",VLOOKUP(A823,'THAM CHIẾU'!$A:$B,2,0))</f>
        <v/>
      </c>
      <c r="D823" s="52" t="str">
        <f>IF(E823&lt;&gt;0,VLOOKUP(E823,DM_DUAN,3,0),"")</f>
        <v/>
      </c>
      <c r="E823" s="735"/>
      <c r="F823" s="735"/>
      <c r="G823" s="735"/>
      <c r="H823" s="735"/>
      <c r="I823" s="735"/>
      <c r="J823" s="52" t="s">
        <v>2214</v>
      </c>
      <c r="K823" s="52" t="s">
        <v>2214</v>
      </c>
      <c r="L823" s="735"/>
      <c r="M823" s="68"/>
      <c r="N823" s="739"/>
      <c r="O823" s="735"/>
      <c r="P823" s="52" t="s">
        <v>2214</v>
      </c>
      <c r="Q823" s="52" t="s">
        <v>2214</v>
      </c>
      <c r="R823" s="737"/>
      <c r="S823" s="735"/>
      <c r="T823" s="737"/>
      <c r="U823" s="737"/>
    </row>
    <row r="824">
      <c r="A824" s="733"/>
      <c r="B824" s="52" t="str">
        <f t="shared" si="1"/>
        <v/>
      </c>
      <c r="C824" s="52" t="str">
        <f>IF(A824="","",VLOOKUP(A824,'THAM CHIẾU'!$A:$B,2,0))</f>
        <v/>
      </c>
      <c r="D824" s="52" t="str">
        <f>IF(E824&lt;&gt;0,VLOOKUP(E824,DM_DUAN,3,0),"")</f>
        <v/>
      </c>
      <c r="E824" s="735"/>
      <c r="F824" s="735"/>
      <c r="G824" s="735"/>
      <c r="H824" s="735"/>
      <c r="I824" s="735"/>
      <c r="J824" s="52" t="s">
        <v>2214</v>
      </c>
      <c r="K824" s="52" t="s">
        <v>2214</v>
      </c>
      <c r="L824" s="735"/>
      <c r="M824" s="68"/>
      <c r="N824" s="739"/>
      <c r="O824" s="735"/>
      <c r="P824" s="52" t="s">
        <v>2214</v>
      </c>
      <c r="Q824" s="52" t="s">
        <v>2214</v>
      </c>
      <c r="R824" s="737"/>
      <c r="S824" s="735"/>
      <c r="T824" s="737"/>
      <c r="U824" s="737"/>
    </row>
    <row r="825">
      <c r="A825" s="733"/>
      <c r="B825" s="52" t="str">
        <f t="shared" si="1"/>
        <v/>
      </c>
      <c r="C825" s="52" t="str">
        <f>IF(A825="","",VLOOKUP(A825,'THAM CHIẾU'!$A:$B,2,0))</f>
        <v/>
      </c>
      <c r="D825" s="52" t="str">
        <f>IF(E825&lt;&gt;0,VLOOKUP(E825,DM_DUAN,3,0),"")</f>
        <v/>
      </c>
      <c r="E825" s="735"/>
      <c r="F825" s="735"/>
      <c r="G825" s="735"/>
      <c r="H825" s="735"/>
      <c r="I825" s="735"/>
      <c r="J825" s="52" t="s">
        <v>2214</v>
      </c>
      <c r="K825" s="52" t="s">
        <v>2214</v>
      </c>
      <c r="L825" s="735"/>
      <c r="M825" s="68"/>
      <c r="N825" s="739"/>
      <c r="O825" s="735"/>
      <c r="P825" s="52" t="s">
        <v>2214</v>
      </c>
      <c r="Q825" s="52" t="s">
        <v>2214</v>
      </c>
      <c r="R825" s="737"/>
      <c r="S825" s="735"/>
      <c r="T825" s="737"/>
      <c r="U825" s="737"/>
    </row>
    <row r="826">
      <c r="A826" s="733"/>
      <c r="B826" s="52" t="str">
        <f t="shared" si="1"/>
        <v/>
      </c>
      <c r="C826" s="52" t="str">
        <f>IF(A826="","",VLOOKUP(A826,'THAM CHIẾU'!$A:$B,2,0))</f>
        <v/>
      </c>
      <c r="D826" s="52" t="str">
        <f>IF(E826&lt;&gt;0,VLOOKUP(E826,DM_DUAN,3,0),"")</f>
        <v/>
      </c>
      <c r="E826" s="735"/>
      <c r="F826" s="735"/>
      <c r="G826" s="735"/>
      <c r="H826" s="735"/>
      <c r="I826" s="735"/>
      <c r="J826" s="52" t="s">
        <v>2214</v>
      </c>
      <c r="K826" s="52" t="s">
        <v>2214</v>
      </c>
      <c r="L826" s="735"/>
      <c r="M826" s="68"/>
      <c r="N826" s="739"/>
      <c r="O826" s="735"/>
      <c r="P826" s="52" t="s">
        <v>2214</v>
      </c>
      <c r="Q826" s="52" t="s">
        <v>2214</v>
      </c>
      <c r="R826" s="737"/>
      <c r="S826" s="735"/>
      <c r="T826" s="737"/>
      <c r="U826" s="737"/>
    </row>
    <row r="827">
      <c r="A827" s="733"/>
      <c r="B827" s="52" t="str">
        <f t="shared" si="1"/>
        <v/>
      </c>
      <c r="C827" s="52" t="str">
        <f>IF(A827="","",VLOOKUP(A827,'THAM CHIẾU'!$A:$B,2,0))</f>
        <v/>
      </c>
      <c r="D827" s="52" t="str">
        <f>IF(E827&lt;&gt;0,VLOOKUP(E827,DM_DUAN,3,0),"")</f>
        <v/>
      </c>
      <c r="E827" s="735"/>
      <c r="F827" s="735"/>
      <c r="G827" s="735"/>
      <c r="H827" s="735"/>
      <c r="I827" s="735"/>
      <c r="J827" s="52" t="s">
        <v>2214</v>
      </c>
      <c r="K827" s="52" t="s">
        <v>2214</v>
      </c>
      <c r="L827" s="735"/>
      <c r="M827" s="68"/>
      <c r="N827" s="739"/>
      <c r="O827" s="735"/>
      <c r="P827" s="52" t="s">
        <v>2214</v>
      </c>
      <c r="Q827" s="52" t="s">
        <v>2214</v>
      </c>
      <c r="R827" s="737"/>
      <c r="S827" s="735"/>
      <c r="T827" s="737"/>
      <c r="U827" s="737"/>
    </row>
    <row r="828">
      <c r="A828" s="733"/>
      <c r="B828" s="52" t="str">
        <f t="shared" si="1"/>
        <v/>
      </c>
      <c r="C828" s="52" t="str">
        <f>IF(A828="","",VLOOKUP(A828,'THAM CHIẾU'!$A:$B,2,0))</f>
        <v/>
      </c>
      <c r="D828" s="52" t="str">
        <f>IF(E828&lt;&gt;0,VLOOKUP(E828,DM_DUAN,3,0),"")</f>
        <v/>
      </c>
      <c r="E828" s="735"/>
      <c r="F828" s="735"/>
      <c r="G828" s="735"/>
      <c r="H828" s="735"/>
      <c r="I828" s="735"/>
      <c r="J828" s="52" t="s">
        <v>2214</v>
      </c>
      <c r="K828" s="52" t="s">
        <v>2214</v>
      </c>
      <c r="L828" s="735"/>
      <c r="M828" s="68"/>
      <c r="N828" s="739"/>
      <c r="O828" s="735"/>
      <c r="P828" s="52" t="s">
        <v>2214</v>
      </c>
      <c r="Q828" s="52" t="s">
        <v>2214</v>
      </c>
      <c r="R828" s="737"/>
      <c r="S828" s="735"/>
      <c r="T828" s="737"/>
      <c r="U828" s="737"/>
    </row>
    <row r="829">
      <c r="A829" s="733"/>
      <c r="B829" s="52" t="str">
        <f t="shared" si="1"/>
        <v/>
      </c>
      <c r="C829" s="52" t="str">
        <f>IF(A829="","",VLOOKUP(A829,'THAM CHIẾU'!$A:$B,2,0))</f>
        <v/>
      </c>
      <c r="D829" s="52" t="str">
        <f>IF(E829&lt;&gt;0,VLOOKUP(E829,DM_DUAN,3,0),"")</f>
        <v/>
      </c>
      <c r="E829" s="735"/>
      <c r="F829" s="735"/>
      <c r="G829" s="735"/>
      <c r="H829" s="735"/>
      <c r="I829" s="735"/>
      <c r="J829" s="52" t="s">
        <v>2214</v>
      </c>
      <c r="K829" s="52" t="s">
        <v>2214</v>
      </c>
      <c r="L829" s="735"/>
      <c r="M829" s="68"/>
      <c r="N829" s="739"/>
      <c r="O829" s="735"/>
      <c r="P829" s="52" t="s">
        <v>2214</v>
      </c>
      <c r="Q829" s="52" t="s">
        <v>2214</v>
      </c>
      <c r="R829" s="737"/>
      <c r="S829" s="735"/>
      <c r="T829" s="737"/>
      <c r="U829" s="737"/>
    </row>
    <row r="830">
      <c r="A830" s="733"/>
      <c r="B830" s="52" t="str">
        <f t="shared" si="1"/>
        <v/>
      </c>
      <c r="C830" s="52" t="str">
        <f>IF(A830="","",VLOOKUP(A830,'THAM CHIẾU'!$A:$B,2,0))</f>
        <v/>
      </c>
      <c r="D830" s="52" t="str">
        <f>IF(E830&lt;&gt;0,VLOOKUP(E830,DM_DUAN,3,0),"")</f>
        <v/>
      </c>
      <c r="E830" s="735"/>
      <c r="F830" s="735"/>
      <c r="G830" s="735"/>
      <c r="H830" s="735"/>
      <c r="I830" s="735"/>
      <c r="J830" s="52" t="s">
        <v>2214</v>
      </c>
      <c r="K830" s="52" t="s">
        <v>2214</v>
      </c>
      <c r="L830" s="735"/>
      <c r="M830" s="68"/>
      <c r="N830" s="739"/>
      <c r="O830" s="735"/>
      <c r="P830" s="52" t="s">
        <v>2214</v>
      </c>
      <c r="Q830" s="52" t="s">
        <v>2214</v>
      </c>
      <c r="R830" s="737"/>
      <c r="S830" s="735"/>
      <c r="T830" s="737"/>
      <c r="U830" s="737"/>
    </row>
    <row r="831">
      <c r="A831" s="733"/>
      <c r="B831" s="52" t="str">
        <f t="shared" si="1"/>
        <v/>
      </c>
      <c r="C831" s="52" t="str">
        <f>IF(A831="","",VLOOKUP(A831,'THAM CHIẾU'!$A:$B,2,0))</f>
        <v/>
      </c>
      <c r="D831" s="52" t="str">
        <f>IF(E831&lt;&gt;0,VLOOKUP(E831,DM_DUAN,3,0),"")</f>
        <v/>
      </c>
      <c r="E831" s="735"/>
      <c r="F831" s="735"/>
      <c r="G831" s="735"/>
      <c r="H831" s="735"/>
      <c r="I831" s="735"/>
      <c r="J831" s="52" t="s">
        <v>2214</v>
      </c>
      <c r="K831" s="52" t="s">
        <v>2214</v>
      </c>
      <c r="L831" s="735"/>
      <c r="M831" s="68"/>
      <c r="N831" s="739"/>
      <c r="O831" s="735"/>
      <c r="P831" s="52" t="s">
        <v>2214</v>
      </c>
      <c r="Q831" s="52" t="s">
        <v>2214</v>
      </c>
      <c r="R831" s="737"/>
      <c r="S831" s="735"/>
      <c r="T831" s="737"/>
      <c r="U831" s="737"/>
    </row>
    <row r="832">
      <c r="A832" s="733"/>
      <c r="B832" s="52" t="str">
        <f t="shared" si="1"/>
        <v/>
      </c>
      <c r="C832" s="52" t="str">
        <f>IF(A832="","",VLOOKUP(A832,'THAM CHIẾU'!$A:$B,2,0))</f>
        <v/>
      </c>
      <c r="D832" s="52" t="str">
        <f>IF(E832&lt;&gt;0,VLOOKUP(E832,DM_DUAN,3,0),"")</f>
        <v/>
      </c>
      <c r="E832" s="735"/>
      <c r="F832" s="735"/>
      <c r="G832" s="735"/>
      <c r="H832" s="735"/>
      <c r="I832" s="735"/>
      <c r="J832" s="52" t="s">
        <v>2214</v>
      </c>
      <c r="K832" s="52" t="s">
        <v>2214</v>
      </c>
      <c r="L832" s="735"/>
      <c r="M832" s="68"/>
      <c r="N832" s="739"/>
      <c r="O832" s="735"/>
      <c r="P832" s="52" t="s">
        <v>2214</v>
      </c>
      <c r="Q832" s="52" t="s">
        <v>2214</v>
      </c>
      <c r="R832" s="737"/>
      <c r="S832" s="735"/>
      <c r="T832" s="737"/>
      <c r="U832" s="737"/>
    </row>
    <row r="833">
      <c r="A833" s="733"/>
      <c r="B833" s="52" t="str">
        <f t="shared" si="1"/>
        <v/>
      </c>
      <c r="C833" s="52" t="str">
        <f>IF(A833="","",VLOOKUP(A833,'THAM CHIẾU'!$A:$B,2,0))</f>
        <v/>
      </c>
      <c r="D833" s="52" t="str">
        <f>IF(E833&lt;&gt;0,VLOOKUP(E833,DM_DUAN,3,0),"")</f>
        <v/>
      </c>
      <c r="E833" s="735"/>
      <c r="F833" s="735"/>
      <c r="G833" s="735"/>
      <c r="H833" s="735"/>
      <c r="I833" s="735"/>
      <c r="J833" s="52" t="s">
        <v>2214</v>
      </c>
      <c r="K833" s="52" t="s">
        <v>2214</v>
      </c>
      <c r="L833" s="735"/>
      <c r="M833" s="68"/>
      <c r="N833" s="739"/>
      <c r="O833" s="735"/>
      <c r="P833" s="52" t="s">
        <v>2214</v>
      </c>
      <c r="Q833" s="52" t="s">
        <v>2214</v>
      </c>
      <c r="R833" s="737"/>
      <c r="S833" s="735"/>
      <c r="T833" s="737"/>
      <c r="U833" s="737"/>
    </row>
    <row r="834">
      <c r="A834" s="733"/>
      <c r="B834" s="52" t="str">
        <f t="shared" si="1"/>
        <v/>
      </c>
      <c r="C834" s="52" t="str">
        <f>IF(A834="","",VLOOKUP(A834,'THAM CHIẾU'!$A:$B,2,0))</f>
        <v/>
      </c>
      <c r="D834" s="52" t="str">
        <f>IF(E834&lt;&gt;0,VLOOKUP(E834,DM_DUAN,3,0),"")</f>
        <v/>
      </c>
      <c r="E834" s="735"/>
      <c r="F834" s="735"/>
      <c r="G834" s="735"/>
      <c r="H834" s="735"/>
      <c r="I834" s="735"/>
      <c r="J834" s="52" t="s">
        <v>2214</v>
      </c>
      <c r="K834" s="52" t="s">
        <v>2214</v>
      </c>
      <c r="L834" s="735"/>
      <c r="M834" s="68"/>
      <c r="N834" s="739"/>
      <c r="O834" s="735"/>
      <c r="P834" s="52" t="s">
        <v>2214</v>
      </c>
      <c r="Q834" s="52" t="s">
        <v>2214</v>
      </c>
      <c r="R834" s="737"/>
      <c r="S834" s="735"/>
      <c r="T834" s="737"/>
      <c r="U834" s="737"/>
    </row>
    <row r="835">
      <c r="A835" s="733"/>
      <c r="B835" s="52" t="str">
        <f t="shared" si="1"/>
        <v/>
      </c>
      <c r="C835" s="52" t="str">
        <f>IF(A835="","",VLOOKUP(A835,'THAM CHIẾU'!$A:$B,2,0))</f>
        <v/>
      </c>
      <c r="D835" s="52" t="str">
        <f>IF(E835&lt;&gt;0,VLOOKUP(E835,DM_DUAN,3,0),"")</f>
        <v/>
      </c>
      <c r="E835" s="735"/>
      <c r="F835" s="735"/>
      <c r="G835" s="735"/>
      <c r="H835" s="735"/>
      <c r="I835" s="735"/>
      <c r="J835" s="52" t="s">
        <v>2214</v>
      </c>
      <c r="K835" s="52" t="s">
        <v>2214</v>
      </c>
      <c r="L835" s="735"/>
      <c r="M835" s="68"/>
      <c r="N835" s="739"/>
      <c r="O835" s="735"/>
      <c r="P835" s="52" t="s">
        <v>2214</v>
      </c>
      <c r="Q835" s="52" t="s">
        <v>2214</v>
      </c>
      <c r="R835" s="737"/>
      <c r="S835" s="735"/>
      <c r="T835" s="737"/>
      <c r="U835" s="737"/>
    </row>
    <row r="836">
      <c r="A836" s="733"/>
      <c r="B836" s="52" t="str">
        <f t="shared" si="1"/>
        <v/>
      </c>
      <c r="C836" s="52" t="str">
        <f>IF(A836="","",VLOOKUP(A836,'THAM CHIẾU'!$A:$B,2,0))</f>
        <v/>
      </c>
      <c r="D836" s="52" t="str">
        <f>IF(E836&lt;&gt;0,VLOOKUP(E836,DM_DUAN,3,0),"")</f>
        <v/>
      </c>
      <c r="E836" s="735"/>
      <c r="F836" s="735"/>
      <c r="G836" s="735"/>
      <c r="H836" s="735"/>
      <c r="I836" s="735"/>
      <c r="J836" s="52" t="s">
        <v>2214</v>
      </c>
      <c r="K836" s="52" t="s">
        <v>2214</v>
      </c>
      <c r="L836" s="735"/>
      <c r="M836" s="68"/>
      <c r="N836" s="739"/>
      <c r="O836" s="735"/>
      <c r="P836" s="52" t="s">
        <v>2214</v>
      </c>
      <c r="Q836" s="52" t="s">
        <v>2214</v>
      </c>
      <c r="R836" s="737"/>
      <c r="S836" s="735"/>
      <c r="T836" s="737"/>
      <c r="U836" s="737"/>
    </row>
    <row r="837">
      <c r="A837" s="733"/>
      <c r="B837" s="52" t="str">
        <f t="shared" si="1"/>
        <v/>
      </c>
      <c r="C837" s="52" t="str">
        <f>IF(A837="","",VLOOKUP(A837,'THAM CHIẾU'!$A:$B,2,0))</f>
        <v/>
      </c>
      <c r="D837" s="52" t="str">
        <f>IF(E837&lt;&gt;0,VLOOKUP(E837,DM_DUAN,3,0),"")</f>
        <v/>
      </c>
      <c r="E837" s="735"/>
      <c r="F837" s="735"/>
      <c r="G837" s="735"/>
      <c r="H837" s="735"/>
      <c r="I837" s="735"/>
      <c r="J837" s="52" t="s">
        <v>2214</v>
      </c>
      <c r="K837" s="52" t="s">
        <v>2214</v>
      </c>
      <c r="L837" s="735"/>
      <c r="M837" s="68"/>
      <c r="N837" s="739"/>
      <c r="O837" s="735"/>
      <c r="P837" s="52" t="s">
        <v>2214</v>
      </c>
      <c r="Q837" s="52" t="s">
        <v>2214</v>
      </c>
      <c r="R837" s="737"/>
      <c r="S837" s="735"/>
      <c r="T837" s="737"/>
      <c r="U837" s="737"/>
    </row>
    <row r="838">
      <c r="A838" s="733"/>
      <c r="B838" s="52" t="str">
        <f t="shared" si="1"/>
        <v/>
      </c>
      <c r="C838" s="52" t="str">
        <f>IF(A838="","",VLOOKUP(A838,'THAM CHIẾU'!$A:$B,2,0))</f>
        <v/>
      </c>
      <c r="D838" s="52" t="str">
        <f>IF(E838&lt;&gt;0,VLOOKUP(E838,DM_DUAN,3,0),"")</f>
        <v/>
      </c>
      <c r="E838" s="735"/>
      <c r="F838" s="735"/>
      <c r="G838" s="735"/>
      <c r="H838" s="735"/>
      <c r="I838" s="735"/>
      <c r="J838" s="52" t="s">
        <v>2214</v>
      </c>
      <c r="K838" s="52" t="s">
        <v>2214</v>
      </c>
      <c r="L838" s="735"/>
      <c r="M838" s="68"/>
      <c r="N838" s="739"/>
      <c r="O838" s="735"/>
      <c r="P838" s="52" t="s">
        <v>2214</v>
      </c>
      <c r="Q838" s="52" t="s">
        <v>2214</v>
      </c>
      <c r="R838" s="737"/>
      <c r="S838" s="735"/>
      <c r="T838" s="737"/>
      <c r="U838" s="737"/>
    </row>
    <row r="839">
      <c r="A839" s="733"/>
      <c r="B839" s="52" t="str">
        <f t="shared" si="1"/>
        <v/>
      </c>
      <c r="C839" s="52" t="str">
        <f>IF(A839="","",VLOOKUP(A839,'THAM CHIẾU'!$A:$B,2,0))</f>
        <v/>
      </c>
      <c r="D839" s="52" t="str">
        <f>IF(E839&lt;&gt;0,VLOOKUP(E839,DM_DUAN,3,0),"")</f>
        <v/>
      </c>
      <c r="E839" s="735"/>
      <c r="F839" s="735"/>
      <c r="G839" s="735"/>
      <c r="H839" s="735"/>
      <c r="I839" s="735"/>
      <c r="J839" s="52" t="s">
        <v>2214</v>
      </c>
      <c r="K839" s="52" t="s">
        <v>2214</v>
      </c>
      <c r="L839" s="735"/>
      <c r="M839" s="68"/>
      <c r="N839" s="739"/>
      <c r="O839" s="735"/>
      <c r="P839" s="52" t="s">
        <v>2214</v>
      </c>
      <c r="Q839" s="52" t="s">
        <v>2214</v>
      </c>
      <c r="R839" s="737"/>
      <c r="S839" s="735"/>
      <c r="T839" s="737"/>
      <c r="U839" s="737"/>
    </row>
    <row r="840">
      <c r="A840" s="733"/>
      <c r="B840" s="52" t="str">
        <f t="shared" si="1"/>
        <v/>
      </c>
      <c r="C840" s="52" t="str">
        <f>IF(A840="","",VLOOKUP(A840,'THAM CHIẾU'!$A:$B,2,0))</f>
        <v/>
      </c>
      <c r="D840" s="52" t="str">
        <f>IF(E840&lt;&gt;0,VLOOKUP(E840,DM_DUAN,3,0),"")</f>
        <v/>
      </c>
      <c r="E840" s="735"/>
      <c r="F840" s="735"/>
      <c r="G840" s="735"/>
      <c r="H840" s="735"/>
      <c r="I840" s="735"/>
      <c r="J840" s="52" t="s">
        <v>2214</v>
      </c>
      <c r="K840" s="52" t="s">
        <v>2214</v>
      </c>
      <c r="L840" s="735"/>
      <c r="M840" s="68"/>
      <c r="N840" s="739"/>
      <c r="O840" s="735"/>
      <c r="P840" s="52" t="s">
        <v>2214</v>
      </c>
      <c r="Q840" s="52" t="s">
        <v>2214</v>
      </c>
      <c r="R840" s="737"/>
      <c r="S840" s="735"/>
      <c r="T840" s="737"/>
      <c r="U840" s="737"/>
    </row>
    <row r="841">
      <c r="A841" s="733"/>
      <c r="B841" s="52" t="str">
        <f t="shared" si="1"/>
        <v/>
      </c>
      <c r="C841" s="52" t="str">
        <f>IF(A841="","",VLOOKUP(A841,'THAM CHIẾU'!$A:$B,2,0))</f>
        <v/>
      </c>
      <c r="D841" s="52" t="str">
        <f>IF(E841&lt;&gt;0,VLOOKUP(E841,DM_DUAN,3,0),"")</f>
        <v/>
      </c>
      <c r="E841" s="735"/>
      <c r="F841" s="735"/>
      <c r="G841" s="735"/>
      <c r="H841" s="735"/>
      <c r="I841" s="735"/>
      <c r="J841" s="52" t="s">
        <v>2214</v>
      </c>
      <c r="K841" s="52" t="s">
        <v>2214</v>
      </c>
      <c r="L841" s="735"/>
      <c r="M841" s="68"/>
      <c r="N841" s="739"/>
      <c r="O841" s="735"/>
      <c r="P841" s="52" t="s">
        <v>2214</v>
      </c>
      <c r="Q841" s="52" t="s">
        <v>2214</v>
      </c>
      <c r="R841" s="737"/>
      <c r="S841" s="735"/>
      <c r="T841" s="737"/>
      <c r="U841" s="737"/>
    </row>
    <row r="842">
      <c r="A842" s="733"/>
      <c r="B842" s="52" t="str">
        <f t="shared" si="1"/>
        <v/>
      </c>
      <c r="C842" s="52" t="str">
        <f>IF(A842="","",VLOOKUP(A842,'THAM CHIẾU'!$A:$B,2,0))</f>
        <v/>
      </c>
      <c r="D842" s="52" t="str">
        <f>IF(E842&lt;&gt;0,VLOOKUP(E842,DM_DUAN,3,0),"")</f>
        <v/>
      </c>
      <c r="E842" s="735"/>
      <c r="F842" s="735"/>
      <c r="G842" s="735"/>
      <c r="H842" s="735"/>
      <c r="I842" s="735"/>
      <c r="J842" s="52" t="s">
        <v>2214</v>
      </c>
      <c r="K842" s="52" t="s">
        <v>2214</v>
      </c>
      <c r="L842" s="735"/>
      <c r="M842" s="68"/>
      <c r="N842" s="739"/>
      <c r="O842" s="735"/>
      <c r="P842" s="52" t="s">
        <v>2214</v>
      </c>
      <c r="Q842" s="52" t="s">
        <v>2214</v>
      </c>
      <c r="R842" s="737"/>
      <c r="S842" s="735"/>
      <c r="T842" s="737"/>
      <c r="U842" s="737"/>
    </row>
    <row r="843">
      <c r="A843" s="733"/>
      <c r="B843" s="52" t="str">
        <f t="shared" si="1"/>
        <v/>
      </c>
      <c r="C843" s="52" t="str">
        <f>IF(A843="","",VLOOKUP(A843,'THAM CHIẾU'!$A:$B,2,0))</f>
        <v/>
      </c>
      <c r="D843" s="52" t="str">
        <f>IF(E843&lt;&gt;0,VLOOKUP(E843,DM_DUAN,3,0),"")</f>
        <v/>
      </c>
      <c r="E843" s="735"/>
      <c r="F843" s="735"/>
      <c r="G843" s="735"/>
      <c r="H843" s="735"/>
      <c r="I843" s="735"/>
      <c r="J843" s="52" t="s">
        <v>2214</v>
      </c>
      <c r="K843" s="52" t="s">
        <v>2214</v>
      </c>
      <c r="L843" s="735"/>
      <c r="M843" s="68"/>
      <c r="N843" s="739"/>
      <c r="O843" s="735"/>
      <c r="P843" s="52" t="s">
        <v>2214</v>
      </c>
      <c r="Q843" s="52" t="s">
        <v>2214</v>
      </c>
      <c r="R843" s="737"/>
      <c r="S843" s="735"/>
      <c r="T843" s="737"/>
      <c r="U843" s="737"/>
    </row>
    <row r="844">
      <c r="A844" s="733"/>
      <c r="B844" s="52" t="str">
        <f t="shared" si="1"/>
        <v/>
      </c>
      <c r="C844" s="52" t="str">
        <f>IF(A844="","",VLOOKUP(A844,'THAM CHIẾU'!$A:$B,2,0))</f>
        <v/>
      </c>
      <c r="D844" s="52" t="str">
        <f>IF(E844&lt;&gt;0,VLOOKUP(E844,DM_DUAN,3,0),"")</f>
        <v/>
      </c>
      <c r="E844" s="735"/>
      <c r="F844" s="735"/>
      <c r="G844" s="735"/>
      <c r="H844" s="735"/>
      <c r="I844" s="735"/>
      <c r="J844" s="52" t="s">
        <v>2214</v>
      </c>
      <c r="K844" s="52" t="s">
        <v>2214</v>
      </c>
      <c r="L844" s="735"/>
      <c r="M844" s="68"/>
      <c r="N844" s="739"/>
      <c r="O844" s="735"/>
      <c r="P844" s="52" t="s">
        <v>2214</v>
      </c>
      <c r="Q844" s="52" t="s">
        <v>2214</v>
      </c>
      <c r="R844" s="737"/>
      <c r="S844" s="735"/>
      <c r="T844" s="737"/>
      <c r="U844" s="737"/>
    </row>
    <row r="845">
      <c r="A845" s="733"/>
      <c r="B845" s="52" t="str">
        <f t="shared" si="1"/>
        <v/>
      </c>
      <c r="C845" s="52" t="str">
        <f>IF(A845="","",VLOOKUP(A845,'THAM CHIẾU'!$A:$B,2,0))</f>
        <v/>
      </c>
      <c r="D845" s="52" t="str">
        <f>IF(E845&lt;&gt;0,VLOOKUP(E845,DM_DUAN,3,0),"")</f>
        <v/>
      </c>
      <c r="E845" s="735"/>
      <c r="F845" s="735"/>
      <c r="G845" s="735"/>
      <c r="H845" s="735"/>
      <c r="I845" s="735"/>
      <c r="J845" s="52" t="s">
        <v>2214</v>
      </c>
      <c r="K845" s="52" t="s">
        <v>2214</v>
      </c>
      <c r="L845" s="735"/>
      <c r="M845" s="68"/>
      <c r="N845" s="739"/>
      <c r="O845" s="735"/>
      <c r="P845" s="52" t="s">
        <v>2214</v>
      </c>
      <c r="Q845" s="52" t="s">
        <v>2214</v>
      </c>
      <c r="R845" s="737"/>
      <c r="S845" s="735"/>
      <c r="T845" s="737"/>
      <c r="U845" s="737"/>
    </row>
    <row r="846">
      <c r="A846" s="733"/>
      <c r="B846" s="52" t="str">
        <f t="shared" si="1"/>
        <v/>
      </c>
      <c r="C846" s="52" t="str">
        <f>IF(A846="","",VLOOKUP(A846,'THAM CHIẾU'!$A:$B,2,0))</f>
        <v/>
      </c>
      <c r="D846" s="52" t="str">
        <f>IF(E846&lt;&gt;0,VLOOKUP(E846,DM_DUAN,3,0),"")</f>
        <v/>
      </c>
      <c r="E846" s="735"/>
      <c r="F846" s="735"/>
      <c r="G846" s="735"/>
      <c r="H846" s="735"/>
      <c r="I846" s="735"/>
      <c r="J846" s="52" t="s">
        <v>2214</v>
      </c>
      <c r="K846" s="52" t="s">
        <v>2214</v>
      </c>
      <c r="L846" s="735"/>
      <c r="M846" s="68"/>
      <c r="N846" s="739"/>
      <c r="O846" s="735"/>
      <c r="P846" s="52" t="s">
        <v>2214</v>
      </c>
      <c r="Q846" s="52" t="s">
        <v>2214</v>
      </c>
      <c r="R846" s="737"/>
      <c r="S846" s="735"/>
      <c r="T846" s="737"/>
      <c r="U846" s="737"/>
    </row>
    <row r="847">
      <c r="A847" s="733"/>
      <c r="B847" s="52" t="str">
        <f t="shared" si="1"/>
        <v/>
      </c>
      <c r="C847" s="52" t="str">
        <f>IF(A847="","",VLOOKUP(A847,'THAM CHIẾU'!$A:$B,2,0))</f>
        <v/>
      </c>
      <c r="D847" s="52" t="str">
        <f>IF(E847&lt;&gt;0,VLOOKUP(E847,DM_DUAN,3,0),"")</f>
        <v/>
      </c>
      <c r="E847" s="735"/>
      <c r="F847" s="735"/>
      <c r="G847" s="735"/>
      <c r="H847" s="735"/>
      <c r="I847" s="735"/>
      <c r="J847" s="52" t="s">
        <v>2214</v>
      </c>
      <c r="K847" s="52" t="s">
        <v>2214</v>
      </c>
      <c r="L847" s="735"/>
      <c r="M847" s="68"/>
      <c r="N847" s="739"/>
      <c r="O847" s="735"/>
      <c r="P847" s="52" t="s">
        <v>2214</v>
      </c>
      <c r="Q847" s="52" t="s">
        <v>2214</v>
      </c>
      <c r="R847" s="737"/>
      <c r="S847" s="735"/>
      <c r="T847" s="737"/>
      <c r="U847" s="737"/>
    </row>
    <row r="848">
      <c r="A848" s="733"/>
      <c r="B848" s="52" t="str">
        <f t="shared" si="1"/>
        <v/>
      </c>
      <c r="C848" s="52" t="str">
        <f>IF(A848="","",VLOOKUP(A848,'THAM CHIẾU'!$A:$B,2,0))</f>
        <v/>
      </c>
      <c r="D848" s="52" t="str">
        <f>IF(E848&lt;&gt;0,VLOOKUP(E848,DM_DUAN,3,0),"")</f>
        <v/>
      </c>
      <c r="E848" s="735"/>
      <c r="F848" s="735"/>
      <c r="G848" s="735"/>
      <c r="H848" s="735"/>
      <c r="I848" s="735"/>
      <c r="J848" s="52" t="s">
        <v>2214</v>
      </c>
      <c r="K848" s="52" t="s">
        <v>2214</v>
      </c>
      <c r="L848" s="735"/>
      <c r="M848" s="68"/>
      <c r="N848" s="739"/>
      <c r="O848" s="735"/>
      <c r="P848" s="52" t="s">
        <v>2214</v>
      </c>
      <c r="Q848" s="52" t="s">
        <v>2214</v>
      </c>
      <c r="R848" s="737"/>
      <c r="S848" s="735"/>
      <c r="T848" s="737"/>
      <c r="U848" s="737"/>
    </row>
    <row r="849">
      <c r="A849" s="733"/>
      <c r="B849" s="52" t="str">
        <f t="shared" si="1"/>
        <v/>
      </c>
      <c r="C849" s="52" t="str">
        <f>IF(A849="","",VLOOKUP(A849,'THAM CHIẾU'!$A:$B,2,0))</f>
        <v/>
      </c>
      <c r="D849" s="52" t="str">
        <f>IF(E849&lt;&gt;0,VLOOKUP(E849,DM_DUAN,3,0),"")</f>
        <v/>
      </c>
      <c r="E849" s="735"/>
      <c r="F849" s="735"/>
      <c r="G849" s="735"/>
      <c r="H849" s="735"/>
      <c r="I849" s="735"/>
      <c r="J849" s="52" t="s">
        <v>2214</v>
      </c>
      <c r="K849" s="52" t="s">
        <v>2214</v>
      </c>
      <c r="L849" s="735"/>
      <c r="M849" s="68"/>
      <c r="N849" s="739"/>
      <c r="O849" s="735"/>
      <c r="P849" s="52" t="s">
        <v>2214</v>
      </c>
      <c r="Q849" s="52" t="s">
        <v>2214</v>
      </c>
      <c r="R849" s="737"/>
      <c r="S849" s="735"/>
      <c r="T849" s="737"/>
      <c r="U849" s="737"/>
    </row>
    <row r="850">
      <c r="A850" s="733"/>
      <c r="B850" s="52" t="str">
        <f t="shared" si="1"/>
        <v/>
      </c>
      <c r="C850" s="52" t="str">
        <f>IF(A850="","",VLOOKUP(A850,'THAM CHIẾU'!$A:$B,2,0))</f>
        <v/>
      </c>
      <c r="D850" s="52" t="str">
        <f>IF(E850&lt;&gt;0,VLOOKUP(E850,DM_DUAN,3,0),"")</f>
        <v/>
      </c>
      <c r="E850" s="735"/>
      <c r="F850" s="735"/>
      <c r="G850" s="735"/>
      <c r="H850" s="735"/>
      <c r="I850" s="735"/>
      <c r="J850" s="52" t="s">
        <v>2214</v>
      </c>
      <c r="K850" s="52" t="s">
        <v>2214</v>
      </c>
      <c r="L850" s="735"/>
      <c r="M850" s="68"/>
      <c r="N850" s="739"/>
      <c r="O850" s="735"/>
      <c r="P850" s="52" t="s">
        <v>2214</v>
      </c>
      <c r="Q850" s="52" t="s">
        <v>2214</v>
      </c>
      <c r="R850" s="737"/>
      <c r="S850" s="735"/>
      <c r="T850" s="737"/>
      <c r="U850" s="737"/>
    </row>
    <row r="851">
      <c r="A851" s="733"/>
      <c r="B851" s="52" t="str">
        <f t="shared" si="1"/>
        <v/>
      </c>
      <c r="C851" s="52" t="str">
        <f>IF(A851="","",VLOOKUP(A851,'THAM CHIẾU'!$A:$B,2,0))</f>
        <v/>
      </c>
      <c r="D851" s="52" t="str">
        <f>IF(E851&lt;&gt;0,VLOOKUP(E851,DM_DUAN,3,0),"")</f>
        <v/>
      </c>
      <c r="E851" s="735"/>
      <c r="F851" s="735"/>
      <c r="G851" s="735"/>
      <c r="H851" s="735"/>
      <c r="I851" s="735"/>
      <c r="J851" s="52" t="s">
        <v>2214</v>
      </c>
      <c r="K851" s="52" t="s">
        <v>2214</v>
      </c>
      <c r="L851" s="735"/>
      <c r="M851" s="68"/>
      <c r="N851" s="739"/>
      <c r="O851" s="735"/>
      <c r="P851" s="52" t="s">
        <v>2214</v>
      </c>
      <c r="Q851" s="52" t="s">
        <v>2214</v>
      </c>
      <c r="R851" s="737"/>
      <c r="S851" s="735"/>
      <c r="T851" s="737"/>
      <c r="U851" s="737"/>
    </row>
    <row r="852">
      <c r="A852" s="733"/>
      <c r="B852" s="52" t="str">
        <f t="shared" si="1"/>
        <v/>
      </c>
      <c r="C852" s="52" t="str">
        <f>IF(A852="","",VLOOKUP(A852,'THAM CHIẾU'!$A:$B,2,0))</f>
        <v/>
      </c>
      <c r="D852" s="52" t="str">
        <f>IF(E852&lt;&gt;0,VLOOKUP(E852,DM_DUAN,3,0),"")</f>
        <v/>
      </c>
      <c r="E852" s="735"/>
      <c r="F852" s="735"/>
      <c r="G852" s="735"/>
      <c r="H852" s="735"/>
      <c r="I852" s="735"/>
      <c r="J852" s="52" t="s">
        <v>2214</v>
      </c>
      <c r="K852" s="52" t="s">
        <v>2214</v>
      </c>
      <c r="L852" s="735"/>
      <c r="M852" s="68"/>
      <c r="N852" s="739"/>
      <c r="O852" s="735"/>
      <c r="P852" s="52" t="s">
        <v>2214</v>
      </c>
      <c r="Q852" s="52" t="s">
        <v>2214</v>
      </c>
      <c r="R852" s="737"/>
      <c r="S852" s="735"/>
      <c r="T852" s="737"/>
      <c r="U852" s="737"/>
    </row>
    <row r="853">
      <c r="A853" s="733"/>
      <c r="B853" s="52" t="str">
        <f t="shared" si="1"/>
        <v/>
      </c>
      <c r="C853" s="52" t="str">
        <f>IF(A853="","",VLOOKUP(A853,'THAM CHIẾU'!$A:$B,2,0))</f>
        <v/>
      </c>
      <c r="D853" s="52" t="str">
        <f>IF(E853&lt;&gt;0,VLOOKUP(E853,DM_DUAN,3,0),"")</f>
        <v/>
      </c>
      <c r="E853" s="735"/>
      <c r="F853" s="735"/>
      <c r="G853" s="735"/>
      <c r="H853" s="735"/>
      <c r="I853" s="735"/>
      <c r="J853" s="52" t="s">
        <v>2214</v>
      </c>
      <c r="K853" s="52" t="s">
        <v>2214</v>
      </c>
      <c r="L853" s="735"/>
      <c r="M853" s="68"/>
      <c r="N853" s="739"/>
      <c r="O853" s="735"/>
      <c r="P853" s="52" t="s">
        <v>2214</v>
      </c>
      <c r="Q853" s="52" t="s">
        <v>2214</v>
      </c>
      <c r="R853" s="737"/>
      <c r="S853" s="735"/>
      <c r="T853" s="737"/>
      <c r="U853" s="737"/>
    </row>
    <row r="854">
      <c r="A854" s="733"/>
      <c r="B854" s="52" t="str">
        <f t="shared" si="1"/>
        <v/>
      </c>
      <c r="C854" s="52" t="str">
        <f>IF(A854="","",VLOOKUP(A854,'THAM CHIẾU'!$A:$B,2,0))</f>
        <v/>
      </c>
      <c r="D854" s="52" t="str">
        <f>IF(E854&lt;&gt;0,VLOOKUP(E854,DM_DUAN,3,0),"")</f>
        <v/>
      </c>
      <c r="E854" s="735"/>
      <c r="F854" s="735"/>
      <c r="G854" s="735"/>
      <c r="H854" s="735"/>
      <c r="I854" s="735"/>
      <c r="J854" s="52" t="s">
        <v>2214</v>
      </c>
      <c r="K854" s="52" t="s">
        <v>2214</v>
      </c>
      <c r="L854" s="735"/>
      <c r="M854" s="68"/>
      <c r="N854" s="739"/>
      <c r="O854" s="735"/>
      <c r="P854" s="52" t="s">
        <v>2214</v>
      </c>
      <c r="Q854" s="52" t="s">
        <v>2214</v>
      </c>
      <c r="R854" s="737"/>
      <c r="S854" s="735"/>
      <c r="T854" s="737"/>
      <c r="U854" s="737"/>
    </row>
    <row r="855">
      <c r="A855" s="733"/>
      <c r="B855" s="52" t="str">
        <f t="shared" si="1"/>
        <v/>
      </c>
      <c r="C855" s="52" t="str">
        <f>IF(A855="","",VLOOKUP(A855,'THAM CHIẾU'!$A:$B,2,0))</f>
        <v/>
      </c>
      <c r="D855" s="52" t="str">
        <f>IF(E855&lt;&gt;0,VLOOKUP(E855,DM_DUAN,3,0),"")</f>
        <v/>
      </c>
      <c r="E855" s="735"/>
      <c r="F855" s="735"/>
      <c r="G855" s="735"/>
      <c r="H855" s="735"/>
      <c r="I855" s="735"/>
      <c r="J855" s="52" t="s">
        <v>2214</v>
      </c>
      <c r="K855" s="52" t="s">
        <v>2214</v>
      </c>
      <c r="L855" s="735"/>
      <c r="M855" s="68"/>
      <c r="N855" s="739"/>
      <c r="O855" s="735"/>
      <c r="P855" s="52" t="s">
        <v>2214</v>
      </c>
      <c r="Q855" s="52" t="s">
        <v>2214</v>
      </c>
      <c r="R855" s="737"/>
      <c r="S855" s="735"/>
      <c r="T855" s="737"/>
      <c r="U855" s="737"/>
    </row>
    <row r="856">
      <c r="A856" s="733"/>
      <c r="B856" s="52" t="str">
        <f t="shared" si="1"/>
        <v/>
      </c>
      <c r="C856" s="52" t="str">
        <f>IF(A856="","",VLOOKUP(A856,'THAM CHIẾU'!$A:$B,2,0))</f>
        <v/>
      </c>
      <c r="D856" s="52" t="str">
        <f>IF(E856&lt;&gt;0,VLOOKUP(E856,DM_DUAN,3,0),"")</f>
        <v/>
      </c>
      <c r="E856" s="735"/>
      <c r="F856" s="735"/>
      <c r="G856" s="735"/>
      <c r="H856" s="735"/>
      <c r="I856" s="735"/>
      <c r="J856" s="52" t="s">
        <v>2214</v>
      </c>
      <c r="K856" s="52" t="s">
        <v>2214</v>
      </c>
      <c r="L856" s="735"/>
      <c r="M856" s="68"/>
      <c r="N856" s="739"/>
      <c r="O856" s="735"/>
      <c r="P856" s="52" t="s">
        <v>2214</v>
      </c>
      <c r="Q856" s="52" t="s">
        <v>2214</v>
      </c>
      <c r="R856" s="737"/>
      <c r="S856" s="735"/>
      <c r="T856" s="737"/>
      <c r="U856" s="737"/>
    </row>
    <row r="857">
      <c r="A857" s="733"/>
      <c r="B857" s="52" t="str">
        <f t="shared" si="1"/>
        <v/>
      </c>
      <c r="C857" s="52" t="str">
        <f>IF(A857="","",VLOOKUP(A857,'THAM CHIẾU'!$A:$B,2,0))</f>
        <v/>
      </c>
      <c r="D857" s="52" t="str">
        <f>IF(E857&lt;&gt;0,VLOOKUP(E857,DM_DUAN,3,0),"")</f>
        <v/>
      </c>
      <c r="E857" s="735"/>
      <c r="F857" s="735"/>
      <c r="G857" s="735"/>
      <c r="H857" s="735"/>
      <c r="I857" s="735"/>
      <c r="J857" s="52" t="s">
        <v>2214</v>
      </c>
      <c r="K857" s="52" t="s">
        <v>2214</v>
      </c>
      <c r="L857" s="735"/>
      <c r="M857" s="68"/>
      <c r="N857" s="739"/>
      <c r="O857" s="735"/>
      <c r="P857" s="52" t="s">
        <v>2214</v>
      </c>
      <c r="Q857" s="52" t="s">
        <v>2214</v>
      </c>
      <c r="R857" s="737"/>
      <c r="S857" s="735"/>
      <c r="T857" s="737"/>
      <c r="U857" s="737"/>
    </row>
    <row r="858">
      <c r="A858" s="733"/>
      <c r="B858" s="52" t="str">
        <f t="shared" si="1"/>
        <v/>
      </c>
      <c r="C858" s="52" t="str">
        <f>IF(A858="","",VLOOKUP(A858,'THAM CHIẾU'!$A:$B,2,0))</f>
        <v/>
      </c>
      <c r="D858" s="52" t="str">
        <f>IF(E858&lt;&gt;0,VLOOKUP(E858,DM_DUAN,3,0),"")</f>
        <v/>
      </c>
      <c r="E858" s="735"/>
      <c r="F858" s="735"/>
      <c r="G858" s="735"/>
      <c r="H858" s="735"/>
      <c r="I858" s="735"/>
      <c r="J858" s="52" t="s">
        <v>2214</v>
      </c>
      <c r="K858" s="52" t="s">
        <v>2214</v>
      </c>
      <c r="L858" s="735"/>
      <c r="M858" s="68"/>
      <c r="N858" s="739"/>
      <c r="O858" s="735"/>
      <c r="P858" s="52" t="s">
        <v>2214</v>
      </c>
      <c r="Q858" s="52" t="s">
        <v>2214</v>
      </c>
      <c r="R858" s="737"/>
      <c r="S858" s="735"/>
      <c r="T858" s="737"/>
      <c r="U858" s="737"/>
    </row>
    <row r="859">
      <c r="A859" s="733"/>
      <c r="B859" s="52" t="str">
        <f t="shared" si="1"/>
        <v/>
      </c>
      <c r="C859" s="52" t="str">
        <f>IF(A859="","",VLOOKUP(A859,'THAM CHIẾU'!$A:$B,2,0))</f>
        <v/>
      </c>
      <c r="D859" s="52" t="str">
        <f>IF(E859&lt;&gt;0,VLOOKUP(E859,DM_DUAN,3,0),"")</f>
        <v/>
      </c>
      <c r="E859" s="735"/>
      <c r="F859" s="735"/>
      <c r="G859" s="735"/>
      <c r="H859" s="735"/>
      <c r="I859" s="735"/>
      <c r="J859" s="52" t="s">
        <v>2214</v>
      </c>
      <c r="K859" s="52" t="s">
        <v>2214</v>
      </c>
      <c r="L859" s="735"/>
      <c r="M859" s="68"/>
      <c r="N859" s="739"/>
      <c r="O859" s="735"/>
      <c r="P859" s="52" t="s">
        <v>2214</v>
      </c>
      <c r="Q859" s="52" t="s">
        <v>2214</v>
      </c>
      <c r="R859" s="737"/>
      <c r="S859" s="735"/>
      <c r="T859" s="737"/>
      <c r="U859" s="737"/>
    </row>
    <row r="860">
      <c r="A860" s="733"/>
      <c r="B860" s="52" t="str">
        <f t="shared" si="1"/>
        <v/>
      </c>
      <c r="C860" s="52" t="str">
        <f>IF(A860="","",VLOOKUP(A860,'THAM CHIẾU'!$A:$B,2,0))</f>
        <v/>
      </c>
      <c r="D860" s="52" t="str">
        <f>IF(E860&lt;&gt;0,VLOOKUP(E860,DM_DUAN,3,0),"")</f>
        <v/>
      </c>
      <c r="E860" s="735"/>
      <c r="F860" s="735"/>
      <c r="G860" s="735"/>
      <c r="H860" s="735"/>
      <c r="I860" s="735"/>
      <c r="J860" s="52" t="s">
        <v>2214</v>
      </c>
      <c r="K860" s="52" t="s">
        <v>2214</v>
      </c>
      <c r="L860" s="735"/>
      <c r="M860" s="68"/>
      <c r="N860" s="739"/>
      <c r="O860" s="735"/>
      <c r="P860" s="52" t="s">
        <v>2214</v>
      </c>
      <c r="Q860" s="52" t="s">
        <v>2214</v>
      </c>
      <c r="R860" s="737"/>
      <c r="S860" s="735"/>
      <c r="T860" s="737"/>
      <c r="U860" s="737"/>
    </row>
    <row r="861">
      <c r="A861" s="733"/>
      <c r="B861" s="52" t="str">
        <f t="shared" si="1"/>
        <v/>
      </c>
      <c r="C861" s="52" t="str">
        <f>IF(A861="","",VLOOKUP(A861,'THAM CHIẾU'!$A:$B,2,0))</f>
        <v/>
      </c>
      <c r="D861" s="52" t="str">
        <f>IF(E861&lt;&gt;0,VLOOKUP(E861,DM_DUAN,3,0),"")</f>
        <v/>
      </c>
      <c r="E861" s="735"/>
      <c r="F861" s="735"/>
      <c r="G861" s="735"/>
      <c r="H861" s="735"/>
      <c r="I861" s="735"/>
      <c r="J861" s="52" t="s">
        <v>2214</v>
      </c>
      <c r="K861" s="52" t="s">
        <v>2214</v>
      </c>
      <c r="L861" s="735"/>
      <c r="M861" s="68"/>
      <c r="N861" s="739"/>
      <c r="O861" s="735"/>
      <c r="P861" s="52" t="s">
        <v>2214</v>
      </c>
      <c r="Q861" s="52" t="s">
        <v>2214</v>
      </c>
      <c r="R861" s="737"/>
      <c r="S861" s="735"/>
      <c r="T861" s="737"/>
      <c r="U861" s="737"/>
    </row>
    <row r="862">
      <c r="A862" s="733"/>
      <c r="B862" s="52" t="str">
        <f t="shared" si="1"/>
        <v/>
      </c>
      <c r="C862" s="52" t="str">
        <f>IF(A862="","",VLOOKUP(A862,'THAM CHIẾU'!$A:$B,2,0))</f>
        <v/>
      </c>
      <c r="D862" s="52" t="str">
        <f>IF(E862&lt;&gt;0,VLOOKUP(E862,DM_DUAN,3,0),"")</f>
        <v/>
      </c>
      <c r="E862" s="735"/>
      <c r="F862" s="735"/>
      <c r="G862" s="735"/>
      <c r="H862" s="735"/>
      <c r="I862" s="735"/>
      <c r="J862" s="52" t="s">
        <v>2214</v>
      </c>
      <c r="K862" s="52" t="s">
        <v>2214</v>
      </c>
      <c r="L862" s="735"/>
      <c r="M862" s="68"/>
      <c r="N862" s="739"/>
      <c r="O862" s="735"/>
      <c r="P862" s="52" t="s">
        <v>2214</v>
      </c>
      <c r="Q862" s="52" t="s">
        <v>2214</v>
      </c>
      <c r="R862" s="737"/>
      <c r="S862" s="735"/>
      <c r="T862" s="737"/>
      <c r="U862" s="737"/>
    </row>
    <row r="863">
      <c r="A863" s="733"/>
      <c r="B863" s="52" t="str">
        <f t="shared" si="1"/>
        <v/>
      </c>
      <c r="C863" s="52" t="str">
        <f>IF(A863="","",VLOOKUP(A863,'THAM CHIẾU'!$A:$B,2,0))</f>
        <v/>
      </c>
      <c r="D863" s="52" t="str">
        <f>IF(E863&lt;&gt;0,VLOOKUP(E863,DM_DUAN,3,0),"")</f>
        <v/>
      </c>
      <c r="E863" s="735"/>
      <c r="F863" s="735"/>
      <c r="G863" s="735"/>
      <c r="H863" s="735"/>
      <c r="I863" s="735"/>
      <c r="J863" s="52" t="s">
        <v>2214</v>
      </c>
      <c r="K863" s="52" t="s">
        <v>2214</v>
      </c>
      <c r="L863" s="735"/>
      <c r="M863" s="68"/>
      <c r="N863" s="739"/>
      <c r="O863" s="735"/>
      <c r="P863" s="52" t="s">
        <v>2214</v>
      </c>
      <c r="Q863" s="52" t="s">
        <v>2214</v>
      </c>
      <c r="R863" s="737"/>
      <c r="S863" s="735"/>
      <c r="T863" s="737"/>
      <c r="U863" s="737"/>
    </row>
    <row r="864">
      <c r="A864" s="733"/>
      <c r="B864" s="52" t="str">
        <f t="shared" si="1"/>
        <v/>
      </c>
      <c r="C864" s="52" t="str">
        <f>IF(A864="","",VLOOKUP(A864,'THAM CHIẾU'!$A:$B,2,0))</f>
        <v/>
      </c>
      <c r="D864" s="52" t="str">
        <f>IF(E864&lt;&gt;0,VLOOKUP(E864,DM_DUAN,3,0),"")</f>
        <v/>
      </c>
      <c r="E864" s="735"/>
      <c r="F864" s="735"/>
      <c r="G864" s="735"/>
      <c r="H864" s="735"/>
      <c r="I864" s="735"/>
      <c r="J864" s="52" t="s">
        <v>2214</v>
      </c>
      <c r="K864" s="52" t="s">
        <v>2214</v>
      </c>
      <c r="L864" s="735"/>
      <c r="M864" s="68"/>
      <c r="N864" s="739"/>
      <c r="O864" s="735"/>
      <c r="P864" s="52" t="s">
        <v>2214</v>
      </c>
      <c r="Q864" s="52" t="s">
        <v>2214</v>
      </c>
      <c r="R864" s="737"/>
      <c r="S864" s="735"/>
      <c r="T864" s="737"/>
      <c r="U864" s="737"/>
    </row>
    <row r="865">
      <c r="A865" s="733"/>
      <c r="B865" s="52" t="str">
        <f t="shared" si="1"/>
        <v/>
      </c>
      <c r="C865" s="52" t="str">
        <f>IF(A865="","",VLOOKUP(A865,'THAM CHIẾU'!$A:$B,2,0))</f>
        <v/>
      </c>
      <c r="D865" s="52" t="str">
        <f>IF(E865&lt;&gt;0,VLOOKUP(E865,DM_DUAN,3,0),"")</f>
        <v/>
      </c>
      <c r="E865" s="735"/>
      <c r="F865" s="735"/>
      <c r="G865" s="735"/>
      <c r="H865" s="735"/>
      <c r="I865" s="735"/>
      <c r="J865" s="52" t="s">
        <v>2214</v>
      </c>
      <c r="K865" s="52" t="s">
        <v>2214</v>
      </c>
      <c r="L865" s="735"/>
      <c r="M865" s="68"/>
      <c r="N865" s="739"/>
      <c r="O865" s="735"/>
      <c r="P865" s="52" t="s">
        <v>2214</v>
      </c>
      <c r="Q865" s="52" t="s">
        <v>2214</v>
      </c>
      <c r="R865" s="737"/>
      <c r="S865" s="735"/>
      <c r="T865" s="737"/>
      <c r="U865" s="737"/>
    </row>
    <row r="866">
      <c r="A866" s="733"/>
      <c r="B866" s="52" t="str">
        <f t="shared" si="1"/>
        <v/>
      </c>
      <c r="C866" s="52" t="str">
        <f>IF(A866="","",VLOOKUP(A866,'THAM CHIẾU'!$A:$B,2,0))</f>
        <v/>
      </c>
      <c r="D866" s="52" t="str">
        <f>IF(E866&lt;&gt;0,VLOOKUP(E866,DM_DUAN,3,0),"")</f>
        <v/>
      </c>
      <c r="E866" s="735"/>
      <c r="F866" s="735"/>
      <c r="G866" s="735"/>
      <c r="H866" s="735"/>
      <c r="I866" s="735"/>
      <c r="J866" s="52" t="s">
        <v>2214</v>
      </c>
      <c r="K866" s="52" t="s">
        <v>2214</v>
      </c>
      <c r="L866" s="735"/>
      <c r="M866" s="68"/>
      <c r="N866" s="739"/>
      <c r="O866" s="735"/>
      <c r="P866" s="52" t="s">
        <v>2214</v>
      </c>
      <c r="Q866" s="52" t="s">
        <v>2214</v>
      </c>
      <c r="R866" s="737"/>
      <c r="S866" s="735"/>
      <c r="T866" s="737"/>
      <c r="U866" s="737"/>
    </row>
    <row r="867">
      <c r="A867" s="733"/>
      <c r="B867" s="52" t="str">
        <f t="shared" si="1"/>
        <v/>
      </c>
      <c r="C867" s="52" t="str">
        <f>IF(A867="","",VLOOKUP(A867,'THAM CHIẾU'!$A:$B,2,0))</f>
        <v/>
      </c>
      <c r="D867" s="52" t="str">
        <f>IF(E867&lt;&gt;0,VLOOKUP(E867,DM_DUAN,3,0),"")</f>
        <v/>
      </c>
      <c r="E867" s="735"/>
      <c r="F867" s="735"/>
      <c r="G867" s="735"/>
      <c r="H867" s="735"/>
      <c r="I867" s="735"/>
      <c r="J867" s="52" t="s">
        <v>2214</v>
      </c>
      <c r="K867" s="52" t="s">
        <v>2214</v>
      </c>
      <c r="L867" s="735"/>
      <c r="M867" s="68"/>
      <c r="N867" s="739"/>
      <c r="O867" s="735"/>
      <c r="P867" s="52" t="s">
        <v>2214</v>
      </c>
      <c r="Q867" s="52" t="s">
        <v>2214</v>
      </c>
      <c r="R867" s="737"/>
      <c r="S867" s="735"/>
      <c r="T867" s="737"/>
      <c r="U867" s="737"/>
    </row>
    <row r="868">
      <c r="A868" s="733"/>
      <c r="B868" s="52" t="str">
        <f t="shared" si="1"/>
        <v/>
      </c>
      <c r="C868" s="52" t="str">
        <f>IF(A868="","",VLOOKUP(A868,'THAM CHIẾU'!$A:$B,2,0))</f>
        <v/>
      </c>
      <c r="D868" s="52" t="str">
        <f>IF(E868&lt;&gt;0,VLOOKUP(E868,DM_DUAN,3,0),"")</f>
        <v/>
      </c>
      <c r="E868" s="735"/>
      <c r="F868" s="735"/>
      <c r="G868" s="735"/>
      <c r="H868" s="735"/>
      <c r="I868" s="735"/>
      <c r="J868" s="52" t="s">
        <v>2214</v>
      </c>
      <c r="K868" s="52" t="s">
        <v>2214</v>
      </c>
      <c r="L868" s="735"/>
      <c r="M868" s="68"/>
      <c r="N868" s="739"/>
      <c r="O868" s="735"/>
      <c r="P868" s="52" t="s">
        <v>2214</v>
      </c>
      <c r="Q868" s="52" t="s">
        <v>2214</v>
      </c>
      <c r="R868" s="737"/>
      <c r="S868" s="735"/>
      <c r="T868" s="737"/>
      <c r="U868" s="737"/>
    </row>
    <row r="869">
      <c r="A869" s="733"/>
      <c r="B869" s="52" t="str">
        <f t="shared" si="1"/>
        <v/>
      </c>
      <c r="C869" s="52" t="str">
        <f>IF(A869="","",VLOOKUP(A869,'THAM CHIẾU'!$A:$B,2,0))</f>
        <v/>
      </c>
      <c r="D869" s="52" t="str">
        <f>IF(E869&lt;&gt;0,VLOOKUP(E869,DM_DUAN,3,0),"")</f>
        <v/>
      </c>
      <c r="E869" s="735"/>
      <c r="F869" s="735"/>
      <c r="G869" s="735"/>
      <c r="H869" s="735"/>
      <c r="I869" s="735"/>
      <c r="J869" s="52" t="s">
        <v>2214</v>
      </c>
      <c r="K869" s="52" t="s">
        <v>2214</v>
      </c>
      <c r="L869" s="735"/>
      <c r="M869" s="68"/>
      <c r="N869" s="739"/>
      <c r="O869" s="735"/>
      <c r="P869" s="52" t="s">
        <v>2214</v>
      </c>
      <c r="Q869" s="52" t="s">
        <v>2214</v>
      </c>
      <c r="R869" s="737"/>
      <c r="S869" s="735"/>
      <c r="T869" s="737"/>
      <c r="U869" s="737"/>
    </row>
    <row r="870">
      <c r="A870" s="733"/>
      <c r="B870" s="52" t="str">
        <f t="shared" si="1"/>
        <v/>
      </c>
      <c r="C870" s="52" t="str">
        <f>IF(A870="","",VLOOKUP(A870,'THAM CHIẾU'!$A:$B,2,0))</f>
        <v/>
      </c>
      <c r="D870" s="52" t="str">
        <f>IF(E870&lt;&gt;0,VLOOKUP(E870,DM_DUAN,3,0),"")</f>
        <v/>
      </c>
      <c r="E870" s="735"/>
      <c r="F870" s="735"/>
      <c r="G870" s="735"/>
      <c r="H870" s="735"/>
      <c r="I870" s="735"/>
      <c r="J870" s="52" t="s">
        <v>2214</v>
      </c>
      <c r="K870" s="52" t="s">
        <v>2214</v>
      </c>
      <c r="L870" s="735"/>
      <c r="M870" s="68"/>
      <c r="N870" s="739"/>
      <c r="O870" s="735"/>
      <c r="P870" s="52" t="s">
        <v>2214</v>
      </c>
      <c r="Q870" s="52" t="s">
        <v>2214</v>
      </c>
      <c r="R870" s="737"/>
      <c r="S870" s="735"/>
      <c r="T870" s="737"/>
      <c r="U870" s="737"/>
    </row>
    <row r="871">
      <c r="A871" s="733"/>
      <c r="B871" s="52" t="str">
        <f t="shared" si="1"/>
        <v/>
      </c>
      <c r="C871" s="52" t="str">
        <f>IF(A871="","",VLOOKUP(A871,'THAM CHIẾU'!$A:$B,2,0))</f>
        <v/>
      </c>
      <c r="D871" s="52" t="str">
        <f>IF(E871&lt;&gt;0,VLOOKUP(E871,DM_DUAN,3,0),"")</f>
        <v/>
      </c>
      <c r="E871" s="735"/>
      <c r="F871" s="735"/>
      <c r="G871" s="735"/>
      <c r="H871" s="735"/>
      <c r="I871" s="735"/>
      <c r="J871" s="52" t="s">
        <v>2214</v>
      </c>
      <c r="K871" s="52" t="s">
        <v>2214</v>
      </c>
      <c r="L871" s="735"/>
      <c r="M871" s="68"/>
      <c r="N871" s="739"/>
      <c r="O871" s="735"/>
      <c r="P871" s="52" t="s">
        <v>2214</v>
      </c>
      <c r="Q871" s="52" t="s">
        <v>2214</v>
      </c>
      <c r="R871" s="737"/>
      <c r="S871" s="735"/>
      <c r="T871" s="737"/>
      <c r="U871" s="737"/>
    </row>
    <row r="872">
      <c r="A872" s="733"/>
      <c r="B872" s="52" t="str">
        <f t="shared" si="1"/>
        <v/>
      </c>
      <c r="C872" s="52" t="str">
        <f>IF(A872="","",VLOOKUP(A872,'THAM CHIẾU'!$A:$B,2,0))</f>
        <v/>
      </c>
      <c r="D872" s="52" t="str">
        <f>IF(E872&lt;&gt;0,VLOOKUP(E872,DM_DUAN,3,0),"")</f>
        <v/>
      </c>
      <c r="E872" s="735"/>
      <c r="F872" s="735"/>
      <c r="G872" s="735"/>
      <c r="H872" s="735"/>
      <c r="I872" s="735"/>
      <c r="J872" s="52" t="s">
        <v>2214</v>
      </c>
      <c r="K872" s="52" t="s">
        <v>2214</v>
      </c>
      <c r="L872" s="735"/>
      <c r="M872" s="68"/>
      <c r="N872" s="739"/>
      <c r="O872" s="735"/>
      <c r="P872" s="52" t="s">
        <v>2214</v>
      </c>
      <c r="Q872" s="52" t="s">
        <v>2214</v>
      </c>
      <c r="R872" s="737"/>
      <c r="S872" s="735"/>
      <c r="T872" s="737"/>
      <c r="U872" s="737"/>
    </row>
    <row r="873">
      <c r="A873" s="733"/>
      <c r="B873" s="52" t="str">
        <f t="shared" si="1"/>
        <v/>
      </c>
      <c r="C873" s="52" t="str">
        <f>IF(A873="","",VLOOKUP(A873,'THAM CHIẾU'!$A:$B,2,0))</f>
        <v/>
      </c>
      <c r="D873" s="52" t="str">
        <f>IF(E873&lt;&gt;0,VLOOKUP(E873,DM_DUAN,3,0),"")</f>
        <v/>
      </c>
      <c r="E873" s="735"/>
      <c r="F873" s="735"/>
      <c r="G873" s="735"/>
      <c r="H873" s="735"/>
      <c r="I873" s="735"/>
      <c r="J873" s="52" t="s">
        <v>2214</v>
      </c>
      <c r="K873" s="52" t="s">
        <v>2214</v>
      </c>
      <c r="L873" s="735"/>
      <c r="M873" s="68"/>
      <c r="N873" s="739"/>
      <c r="O873" s="735"/>
      <c r="P873" s="52" t="s">
        <v>2214</v>
      </c>
      <c r="Q873" s="52" t="s">
        <v>2214</v>
      </c>
      <c r="R873" s="737"/>
      <c r="S873" s="735"/>
      <c r="T873" s="737"/>
      <c r="U873" s="737"/>
    </row>
    <row r="874">
      <c r="A874" s="733"/>
      <c r="B874" s="52" t="str">
        <f t="shared" si="1"/>
        <v/>
      </c>
      <c r="C874" s="52" t="str">
        <f>IF(A874="","",VLOOKUP(A874,'THAM CHIẾU'!$A:$B,2,0))</f>
        <v/>
      </c>
      <c r="D874" s="52" t="str">
        <f>IF(E874&lt;&gt;0,VLOOKUP(E874,DM_DUAN,3,0),"")</f>
        <v/>
      </c>
      <c r="E874" s="735"/>
      <c r="F874" s="735"/>
      <c r="G874" s="735"/>
      <c r="H874" s="735"/>
      <c r="I874" s="735"/>
      <c r="J874" s="52" t="s">
        <v>2214</v>
      </c>
      <c r="K874" s="52" t="s">
        <v>2214</v>
      </c>
      <c r="L874" s="735"/>
      <c r="M874" s="68"/>
      <c r="N874" s="739"/>
      <c r="O874" s="735"/>
      <c r="P874" s="52" t="s">
        <v>2214</v>
      </c>
      <c r="Q874" s="52" t="s">
        <v>2214</v>
      </c>
      <c r="R874" s="737"/>
      <c r="S874" s="735"/>
      <c r="T874" s="737"/>
      <c r="U874" s="737"/>
    </row>
    <row r="875">
      <c r="A875" s="733"/>
      <c r="B875" s="52" t="str">
        <f t="shared" si="1"/>
        <v/>
      </c>
      <c r="C875" s="52" t="str">
        <f>IF(A875="","",VLOOKUP(A875,'THAM CHIẾU'!$A:$B,2,0))</f>
        <v/>
      </c>
      <c r="D875" s="52" t="str">
        <f>IF(E875&lt;&gt;0,VLOOKUP(E875,DM_DUAN,3,0),"")</f>
        <v/>
      </c>
      <c r="E875" s="735"/>
      <c r="F875" s="735"/>
      <c r="G875" s="735"/>
      <c r="H875" s="735"/>
      <c r="I875" s="735"/>
      <c r="J875" s="52" t="s">
        <v>2214</v>
      </c>
      <c r="K875" s="52" t="s">
        <v>2214</v>
      </c>
      <c r="L875" s="735"/>
      <c r="M875" s="68"/>
      <c r="N875" s="739"/>
      <c r="O875" s="735"/>
      <c r="P875" s="52" t="s">
        <v>2214</v>
      </c>
      <c r="Q875" s="52" t="s">
        <v>2214</v>
      </c>
      <c r="R875" s="737"/>
      <c r="S875" s="735"/>
      <c r="T875" s="737"/>
      <c r="U875" s="737"/>
    </row>
    <row r="876">
      <c r="A876" s="733"/>
      <c r="B876" s="52" t="str">
        <f t="shared" si="1"/>
        <v/>
      </c>
      <c r="C876" s="52" t="str">
        <f>IF(A876="","",VLOOKUP(A876,'THAM CHIẾU'!$A:$B,2,0))</f>
        <v/>
      </c>
      <c r="D876" s="52" t="str">
        <f>IF(E876&lt;&gt;0,VLOOKUP(E876,DM_DUAN,3,0),"")</f>
        <v/>
      </c>
      <c r="E876" s="735"/>
      <c r="F876" s="735"/>
      <c r="G876" s="735"/>
      <c r="H876" s="735"/>
      <c r="I876" s="735"/>
      <c r="J876" s="52" t="s">
        <v>2214</v>
      </c>
      <c r="K876" s="52" t="s">
        <v>2214</v>
      </c>
      <c r="L876" s="735"/>
      <c r="M876" s="68"/>
      <c r="N876" s="739"/>
      <c r="O876" s="735"/>
      <c r="P876" s="52" t="s">
        <v>2214</v>
      </c>
      <c r="Q876" s="52" t="s">
        <v>2214</v>
      </c>
      <c r="R876" s="737"/>
      <c r="S876" s="735"/>
      <c r="T876" s="737"/>
      <c r="U876" s="737"/>
    </row>
    <row r="877">
      <c r="A877" s="733"/>
      <c r="B877" s="52" t="str">
        <f t="shared" si="1"/>
        <v/>
      </c>
      <c r="C877" s="52" t="str">
        <f>IF(A877="","",VLOOKUP(A877,'THAM CHIẾU'!$A:$B,2,0))</f>
        <v/>
      </c>
      <c r="D877" s="52" t="str">
        <f>IF(E877&lt;&gt;0,VLOOKUP(E877,DM_DUAN,3,0),"")</f>
        <v/>
      </c>
      <c r="E877" s="735"/>
      <c r="F877" s="735"/>
      <c r="G877" s="735"/>
      <c r="H877" s="735"/>
      <c r="I877" s="735"/>
      <c r="J877" s="52" t="s">
        <v>2214</v>
      </c>
      <c r="K877" s="52" t="s">
        <v>2214</v>
      </c>
      <c r="L877" s="735"/>
      <c r="M877" s="68"/>
      <c r="N877" s="739"/>
      <c r="O877" s="735"/>
      <c r="P877" s="52" t="s">
        <v>2214</v>
      </c>
      <c r="Q877" s="52" t="s">
        <v>2214</v>
      </c>
      <c r="R877" s="737"/>
      <c r="S877" s="735"/>
      <c r="T877" s="737"/>
      <c r="U877" s="737"/>
    </row>
    <row r="878">
      <c r="A878" s="733"/>
      <c r="B878" s="52" t="str">
        <f t="shared" si="1"/>
        <v/>
      </c>
      <c r="C878" s="52" t="str">
        <f>IF(A878="","",VLOOKUP(A878,'THAM CHIẾU'!$A:$B,2,0))</f>
        <v/>
      </c>
      <c r="D878" s="52" t="str">
        <f>IF(E878&lt;&gt;0,VLOOKUP(E878,DM_DUAN,3,0),"")</f>
        <v/>
      </c>
      <c r="E878" s="735"/>
      <c r="F878" s="735"/>
      <c r="G878" s="735"/>
      <c r="H878" s="735"/>
      <c r="I878" s="735"/>
      <c r="J878" s="52" t="s">
        <v>2214</v>
      </c>
      <c r="K878" s="52" t="s">
        <v>2214</v>
      </c>
      <c r="L878" s="735"/>
      <c r="M878" s="68"/>
      <c r="N878" s="739"/>
      <c r="O878" s="735"/>
      <c r="P878" s="52" t="s">
        <v>2214</v>
      </c>
      <c r="Q878" s="52" t="s">
        <v>2214</v>
      </c>
      <c r="R878" s="737"/>
      <c r="S878" s="735"/>
      <c r="T878" s="737"/>
      <c r="U878" s="737"/>
    </row>
    <row r="879">
      <c r="A879" s="733"/>
      <c r="B879" s="52" t="str">
        <f t="shared" si="1"/>
        <v/>
      </c>
      <c r="C879" s="52" t="str">
        <f>IF(A879="","",VLOOKUP(A879,'THAM CHIẾU'!$A:$B,2,0))</f>
        <v/>
      </c>
      <c r="D879" s="52" t="str">
        <f>IF(E879&lt;&gt;0,VLOOKUP(E879,DM_DUAN,3,0),"")</f>
        <v/>
      </c>
      <c r="E879" s="735"/>
      <c r="F879" s="735"/>
      <c r="G879" s="735"/>
      <c r="H879" s="735"/>
      <c r="I879" s="735"/>
      <c r="J879" s="52" t="s">
        <v>2214</v>
      </c>
      <c r="K879" s="52" t="s">
        <v>2214</v>
      </c>
      <c r="L879" s="735"/>
      <c r="M879" s="68"/>
      <c r="N879" s="739"/>
      <c r="O879" s="735"/>
      <c r="P879" s="52" t="s">
        <v>2214</v>
      </c>
      <c r="Q879" s="52" t="s">
        <v>2214</v>
      </c>
      <c r="R879" s="737"/>
      <c r="S879" s="735"/>
      <c r="T879" s="737"/>
      <c r="U879" s="737"/>
    </row>
    <row r="880">
      <c r="A880" s="733"/>
      <c r="B880" s="52" t="str">
        <f t="shared" si="1"/>
        <v/>
      </c>
      <c r="C880" s="52" t="str">
        <f>IF(A880="","",VLOOKUP(A880,'THAM CHIẾU'!$A:$B,2,0))</f>
        <v/>
      </c>
      <c r="D880" s="52" t="str">
        <f>IF(E880&lt;&gt;0,VLOOKUP(E880,DM_DUAN,3,0),"")</f>
        <v/>
      </c>
      <c r="E880" s="735"/>
      <c r="F880" s="735"/>
      <c r="G880" s="735"/>
      <c r="H880" s="735"/>
      <c r="I880" s="735"/>
      <c r="J880" s="52" t="s">
        <v>2214</v>
      </c>
      <c r="K880" s="52" t="s">
        <v>2214</v>
      </c>
      <c r="L880" s="735"/>
      <c r="M880" s="68"/>
      <c r="N880" s="739"/>
      <c r="O880" s="735"/>
      <c r="P880" s="52" t="s">
        <v>2214</v>
      </c>
      <c r="Q880" s="52" t="s">
        <v>2214</v>
      </c>
      <c r="R880" s="737"/>
      <c r="S880" s="735"/>
      <c r="T880" s="737"/>
      <c r="U880" s="737"/>
    </row>
    <row r="881">
      <c r="A881" s="733"/>
      <c r="B881" s="52" t="str">
        <f t="shared" si="1"/>
        <v/>
      </c>
      <c r="C881" s="52" t="str">
        <f>IF(A881="","",VLOOKUP(A881,'THAM CHIẾU'!$A:$B,2,0))</f>
        <v/>
      </c>
      <c r="D881" s="52" t="str">
        <f>IF(E881&lt;&gt;0,VLOOKUP(E881,DM_DUAN,3,0),"")</f>
        <v/>
      </c>
      <c r="E881" s="735"/>
      <c r="F881" s="735"/>
      <c r="G881" s="735"/>
      <c r="H881" s="735"/>
      <c r="I881" s="735"/>
      <c r="J881" s="52" t="s">
        <v>2214</v>
      </c>
      <c r="K881" s="52" t="s">
        <v>2214</v>
      </c>
      <c r="L881" s="735"/>
      <c r="M881" s="68"/>
      <c r="N881" s="739"/>
      <c r="O881" s="735"/>
      <c r="P881" s="52" t="s">
        <v>2214</v>
      </c>
      <c r="Q881" s="52" t="s">
        <v>2214</v>
      </c>
      <c r="R881" s="737"/>
      <c r="S881" s="735"/>
      <c r="T881" s="737"/>
      <c r="U881" s="737"/>
    </row>
    <row r="882">
      <c r="A882" s="733"/>
      <c r="B882" s="52" t="str">
        <f t="shared" si="1"/>
        <v/>
      </c>
      <c r="C882" s="52" t="str">
        <f>IF(A882="","",VLOOKUP(A882,'THAM CHIẾU'!$A:$B,2,0))</f>
        <v/>
      </c>
      <c r="D882" s="52" t="str">
        <f>IF(E882&lt;&gt;0,VLOOKUP(E882,DM_DUAN,3,0),"")</f>
        <v/>
      </c>
      <c r="E882" s="735"/>
      <c r="F882" s="735"/>
      <c r="G882" s="735"/>
      <c r="H882" s="735"/>
      <c r="I882" s="735"/>
      <c r="J882" s="52" t="s">
        <v>2214</v>
      </c>
      <c r="K882" s="52" t="s">
        <v>2214</v>
      </c>
      <c r="L882" s="735"/>
      <c r="M882" s="68"/>
      <c r="N882" s="739"/>
      <c r="O882" s="735"/>
      <c r="P882" s="52" t="s">
        <v>2214</v>
      </c>
      <c r="Q882" s="52" t="s">
        <v>2214</v>
      </c>
      <c r="R882" s="737"/>
      <c r="S882" s="735"/>
      <c r="T882" s="737"/>
      <c r="U882" s="737"/>
    </row>
    <row r="883">
      <c r="A883" s="733"/>
      <c r="B883" s="52" t="str">
        <f t="shared" si="1"/>
        <v/>
      </c>
      <c r="C883" s="52" t="str">
        <f>IF(A883="","",VLOOKUP(A883,'THAM CHIẾU'!$A:$B,2,0))</f>
        <v/>
      </c>
      <c r="D883" s="52" t="str">
        <f>IF(E883&lt;&gt;0,VLOOKUP(E883,DM_DUAN,3,0),"")</f>
        <v/>
      </c>
      <c r="E883" s="735"/>
      <c r="F883" s="735"/>
      <c r="G883" s="735"/>
      <c r="H883" s="735"/>
      <c r="I883" s="735"/>
      <c r="J883" s="52" t="s">
        <v>2214</v>
      </c>
      <c r="K883" s="52" t="s">
        <v>2214</v>
      </c>
      <c r="L883" s="735"/>
      <c r="M883" s="68"/>
      <c r="N883" s="739"/>
      <c r="O883" s="735"/>
      <c r="P883" s="52" t="s">
        <v>2214</v>
      </c>
      <c r="Q883" s="52" t="s">
        <v>2214</v>
      </c>
      <c r="R883" s="737"/>
      <c r="S883" s="735"/>
      <c r="T883" s="737"/>
      <c r="U883" s="737"/>
    </row>
    <row r="884">
      <c r="A884" s="733"/>
      <c r="B884" s="52" t="str">
        <f t="shared" si="1"/>
        <v/>
      </c>
      <c r="C884" s="52" t="str">
        <f>IF(A884="","",VLOOKUP(A884,'THAM CHIẾU'!$A:$B,2,0))</f>
        <v/>
      </c>
      <c r="D884" s="52" t="str">
        <f>IF(E884&lt;&gt;0,VLOOKUP(E884,DM_DUAN,3,0),"")</f>
        <v/>
      </c>
      <c r="E884" s="735"/>
      <c r="F884" s="735"/>
      <c r="G884" s="735"/>
      <c r="H884" s="735"/>
      <c r="I884" s="735"/>
      <c r="J884" s="52" t="s">
        <v>2214</v>
      </c>
      <c r="K884" s="52" t="s">
        <v>2214</v>
      </c>
      <c r="L884" s="735"/>
      <c r="M884" s="68"/>
      <c r="N884" s="739"/>
      <c r="O884" s="735"/>
      <c r="P884" s="52" t="s">
        <v>2214</v>
      </c>
      <c r="Q884" s="52" t="s">
        <v>2214</v>
      </c>
      <c r="R884" s="737"/>
      <c r="S884" s="735"/>
      <c r="T884" s="737"/>
      <c r="U884" s="737"/>
    </row>
    <row r="885">
      <c r="A885" s="733"/>
      <c r="B885" s="52" t="str">
        <f t="shared" si="1"/>
        <v/>
      </c>
      <c r="C885" s="52" t="str">
        <f>IF(A885="","",VLOOKUP(A885,'THAM CHIẾU'!$A:$B,2,0))</f>
        <v/>
      </c>
      <c r="D885" s="52" t="str">
        <f>IF(E885&lt;&gt;0,VLOOKUP(E885,DM_DUAN,3,0),"")</f>
        <v/>
      </c>
      <c r="E885" s="735"/>
      <c r="F885" s="735"/>
      <c r="G885" s="735"/>
      <c r="H885" s="735"/>
      <c r="I885" s="735"/>
      <c r="J885" s="52" t="s">
        <v>2214</v>
      </c>
      <c r="K885" s="52" t="s">
        <v>2214</v>
      </c>
      <c r="L885" s="735"/>
      <c r="M885" s="68"/>
      <c r="N885" s="739"/>
      <c r="O885" s="735"/>
      <c r="P885" s="52" t="s">
        <v>2214</v>
      </c>
      <c r="Q885" s="52" t="s">
        <v>2214</v>
      </c>
      <c r="R885" s="737"/>
      <c r="S885" s="735"/>
      <c r="T885" s="737"/>
      <c r="U885" s="737"/>
    </row>
    <row r="886">
      <c r="A886" s="733"/>
      <c r="B886" s="52" t="str">
        <f t="shared" si="1"/>
        <v/>
      </c>
      <c r="C886" s="52" t="str">
        <f>IF(A886="","",VLOOKUP(A886,'THAM CHIẾU'!$A:$B,2,0))</f>
        <v/>
      </c>
      <c r="D886" s="52" t="str">
        <f>IF(E886&lt;&gt;0,VLOOKUP(E886,DM_DUAN,3,0),"")</f>
        <v/>
      </c>
      <c r="E886" s="735"/>
      <c r="F886" s="735"/>
      <c r="G886" s="735"/>
      <c r="H886" s="735"/>
      <c r="I886" s="735"/>
      <c r="J886" s="52" t="s">
        <v>2214</v>
      </c>
      <c r="K886" s="52" t="s">
        <v>2214</v>
      </c>
      <c r="L886" s="735"/>
      <c r="M886" s="68"/>
      <c r="N886" s="739"/>
      <c r="O886" s="735"/>
      <c r="P886" s="52" t="s">
        <v>2214</v>
      </c>
      <c r="Q886" s="52" t="s">
        <v>2214</v>
      </c>
      <c r="R886" s="737"/>
      <c r="S886" s="735"/>
      <c r="T886" s="737"/>
      <c r="U886" s="737"/>
    </row>
    <row r="887">
      <c r="A887" s="733"/>
      <c r="B887" s="52" t="str">
        <f t="shared" si="1"/>
        <v/>
      </c>
      <c r="C887" s="52" t="str">
        <f>IF(A887="","",VLOOKUP(A887,'THAM CHIẾU'!$A:$B,2,0))</f>
        <v/>
      </c>
      <c r="D887" s="52" t="str">
        <f>IF(E887&lt;&gt;0,VLOOKUP(E887,DM_DUAN,3,0),"")</f>
        <v/>
      </c>
      <c r="E887" s="735"/>
      <c r="F887" s="735"/>
      <c r="G887" s="735"/>
      <c r="H887" s="735"/>
      <c r="I887" s="735"/>
      <c r="J887" s="52" t="s">
        <v>2214</v>
      </c>
      <c r="K887" s="52" t="s">
        <v>2214</v>
      </c>
      <c r="L887" s="735"/>
      <c r="M887" s="68"/>
      <c r="N887" s="739"/>
      <c r="O887" s="735"/>
      <c r="P887" s="52" t="s">
        <v>2214</v>
      </c>
      <c r="Q887" s="52" t="s">
        <v>2214</v>
      </c>
      <c r="R887" s="737"/>
      <c r="S887" s="735"/>
      <c r="T887" s="737"/>
      <c r="U887" s="737"/>
    </row>
    <row r="888">
      <c r="A888" s="733"/>
      <c r="B888" s="52" t="str">
        <f t="shared" si="1"/>
        <v/>
      </c>
      <c r="C888" s="52" t="str">
        <f>IF(A888="","",VLOOKUP(A888,'THAM CHIẾU'!$A:$B,2,0))</f>
        <v/>
      </c>
      <c r="D888" s="52" t="str">
        <f>IF(E888&lt;&gt;0,VLOOKUP(E888,DM_DUAN,3,0),"")</f>
        <v/>
      </c>
      <c r="E888" s="735"/>
      <c r="F888" s="735"/>
      <c r="G888" s="735"/>
      <c r="H888" s="735"/>
      <c r="I888" s="735"/>
      <c r="J888" s="52" t="s">
        <v>2214</v>
      </c>
      <c r="K888" s="52" t="s">
        <v>2214</v>
      </c>
      <c r="L888" s="735"/>
      <c r="M888" s="68"/>
      <c r="N888" s="739"/>
      <c r="O888" s="735"/>
      <c r="P888" s="52" t="s">
        <v>2214</v>
      </c>
      <c r="Q888" s="52" t="s">
        <v>2214</v>
      </c>
      <c r="R888" s="737"/>
      <c r="S888" s="735"/>
      <c r="T888" s="737"/>
      <c r="U888" s="737"/>
    </row>
    <row r="889">
      <c r="A889" s="733"/>
      <c r="B889" s="52" t="str">
        <f t="shared" si="1"/>
        <v/>
      </c>
      <c r="C889" s="52" t="str">
        <f>IF(A889="","",VLOOKUP(A889,'THAM CHIẾU'!$A:$B,2,0))</f>
        <v/>
      </c>
      <c r="D889" s="52" t="str">
        <f>IF(E889&lt;&gt;0,VLOOKUP(E889,DM_DUAN,3,0),"")</f>
        <v/>
      </c>
      <c r="E889" s="735"/>
      <c r="F889" s="735"/>
      <c r="G889" s="735"/>
      <c r="H889" s="735"/>
      <c r="I889" s="735"/>
      <c r="J889" s="52" t="s">
        <v>2214</v>
      </c>
      <c r="K889" s="52" t="s">
        <v>2214</v>
      </c>
      <c r="L889" s="735"/>
      <c r="M889" s="68"/>
      <c r="N889" s="739"/>
      <c r="O889" s="735"/>
      <c r="P889" s="52" t="s">
        <v>2214</v>
      </c>
      <c r="Q889" s="52" t="s">
        <v>2214</v>
      </c>
      <c r="R889" s="737"/>
      <c r="S889" s="735"/>
      <c r="T889" s="737"/>
      <c r="U889" s="737"/>
    </row>
    <row r="890">
      <c r="A890" s="733"/>
      <c r="B890" s="52" t="str">
        <f t="shared" si="1"/>
        <v/>
      </c>
      <c r="C890" s="52" t="str">
        <f>IF(A890="","",VLOOKUP(A890,'THAM CHIẾU'!$A:$B,2,0))</f>
        <v/>
      </c>
      <c r="D890" s="52" t="str">
        <f>IF(E890&lt;&gt;0,VLOOKUP(E890,DM_DUAN,3,0),"")</f>
        <v/>
      </c>
      <c r="E890" s="735"/>
      <c r="F890" s="735"/>
      <c r="G890" s="735"/>
      <c r="H890" s="735"/>
      <c r="I890" s="735"/>
      <c r="J890" s="52" t="s">
        <v>2214</v>
      </c>
      <c r="K890" s="52" t="s">
        <v>2214</v>
      </c>
      <c r="L890" s="735"/>
      <c r="M890" s="68"/>
      <c r="N890" s="739"/>
      <c r="O890" s="735"/>
      <c r="P890" s="52" t="s">
        <v>2214</v>
      </c>
      <c r="Q890" s="52" t="s">
        <v>2214</v>
      </c>
      <c r="R890" s="737"/>
      <c r="S890" s="735"/>
      <c r="T890" s="737"/>
      <c r="U890" s="737"/>
    </row>
    <row r="891">
      <c r="A891" s="733"/>
      <c r="B891" s="52" t="str">
        <f t="shared" si="1"/>
        <v/>
      </c>
      <c r="C891" s="52" t="str">
        <f>IF(A891="","",VLOOKUP(A891,'THAM CHIẾU'!$A:$B,2,0))</f>
        <v/>
      </c>
      <c r="D891" s="52" t="str">
        <f>IF(E891&lt;&gt;0,VLOOKUP(E891,DM_DUAN,3,0),"")</f>
        <v/>
      </c>
      <c r="E891" s="735"/>
      <c r="F891" s="735"/>
      <c r="G891" s="735"/>
      <c r="H891" s="735"/>
      <c r="I891" s="735"/>
      <c r="J891" s="52" t="s">
        <v>2214</v>
      </c>
      <c r="K891" s="52" t="s">
        <v>2214</v>
      </c>
      <c r="L891" s="735"/>
      <c r="M891" s="68"/>
      <c r="N891" s="739"/>
      <c r="O891" s="735"/>
      <c r="P891" s="52" t="s">
        <v>2214</v>
      </c>
      <c r="Q891" s="52" t="s">
        <v>2214</v>
      </c>
      <c r="R891" s="737"/>
      <c r="S891" s="735"/>
      <c r="T891" s="737"/>
      <c r="U891" s="737"/>
    </row>
    <row r="892">
      <c r="A892" s="733"/>
      <c r="B892" s="52" t="str">
        <f t="shared" si="1"/>
        <v/>
      </c>
      <c r="C892" s="52" t="str">
        <f>IF(A892="","",VLOOKUP(A892,'THAM CHIẾU'!$A:$B,2,0))</f>
        <v/>
      </c>
      <c r="D892" s="52" t="str">
        <f>IF(E892&lt;&gt;0,VLOOKUP(E892,DM_DUAN,3,0),"")</f>
        <v/>
      </c>
      <c r="E892" s="735"/>
      <c r="F892" s="735"/>
      <c r="G892" s="735"/>
      <c r="H892" s="735"/>
      <c r="I892" s="735"/>
      <c r="J892" s="52" t="s">
        <v>2214</v>
      </c>
      <c r="K892" s="52" t="s">
        <v>2214</v>
      </c>
      <c r="L892" s="735"/>
      <c r="M892" s="68"/>
      <c r="N892" s="739"/>
      <c r="O892" s="735"/>
      <c r="P892" s="52" t="s">
        <v>2214</v>
      </c>
      <c r="Q892" s="52" t="s">
        <v>2214</v>
      </c>
      <c r="R892" s="737"/>
      <c r="S892" s="735"/>
      <c r="T892" s="737"/>
      <c r="U892" s="737"/>
    </row>
    <row r="893">
      <c r="A893" s="733"/>
      <c r="B893" s="52" t="str">
        <f t="shared" si="1"/>
        <v/>
      </c>
      <c r="C893" s="52" t="str">
        <f>IF(A893="","",VLOOKUP(A893,'THAM CHIẾU'!$A:$B,2,0))</f>
        <v/>
      </c>
      <c r="D893" s="52" t="str">
        <f>IF(E893&lt;&gt;0,VLOOKUP(E893,DM_DUAN,3,0),"")</f>
        <v/>
      </c>
      <c r="E893" s="735"/>
      <c r="F893" s="735"/>
      <c r="G893" s="735"/>
      <c r="H893" s="735"/>
      <c r="I893" s="735"/>
      <c r="J893" s="52" t="s">
        <v>2214</v>
      </c>
      <c r="K893" s="52" t="s">
        <v>2214</v>
      </c>
      <c r="L893" s="735"/>
      <c r="M893" s="68"/>
      <c r="N893" s="739"/>
      <c r="O893" s="735"/>
      <c r="P893" s="52" t="s">
        <v>2214</v>
      </c>
      <c r="Q893" s="52" t="s">
        <v>2214</v>
      </c>
      <c r="R893" s="737"/>
      <c r="S893" s="735"/>
      <c r="T893" s="737"/>
      <c r="U893" s="737"/>
    </row>
    <row r="894">
      <c r="A894" s="733"/>
      <c r="B894" s="52" t="str">
        <f t="shared" si="1"/>
        <v/>
      </c>
      <c r="C894" s="52" t="str">
        <f>IF(A894="","",VLOOKUP(A894,'THAM CHIẾU'!$A:$B,2,0))</f>
        <v/>
      </c>
      <c r="D894" s="52" t="str">
        <f>IF(E894&lt;&gt;0,VLOOKUP(E894,DM_DUAN,3,0),"")</f>
        <v/>
      </c>
      <c r="E894" s="735"/>
      <c r="F894" s="735"/>
      <c r="G894" s="735"/>
      <c r="H894" s="735"/>
      <c r="I894" s="735"/>
      <c r="J894" s="52" t="s">
        <v>2214</v>
      </c>
      <c r="K894" s="52" t="s">
        <v>2214</v>
      </c>
      <c r="L894" s="735"/>
      <c r="M894" s="68"/>
      <c r="N894" s="739"/>
      <c r="O894" s="735"/>
      <c r="P894" s="52" t="s">
        <v>2214</v>
      </c>
      <c r="Q894" s="52" t="s">
        <v>2214</v>
      </c>
      <c r="R894" s="737"/>
      <c r="S894" s="735"/>
      <c r="T894" s="737"/>
      <c r="U894" s="737"/>
    </row>
    <row r="895">
      <c r="A895" s="733"/>
      <c r="B895" s="52" t="str">
        <f t="shared" si="1"/>
        <v/>
      </c>
      <c r="C895" s="52" t="str">
        <f>IF(A895="","",VLOOKUP(A895,'THAM CHIẾU'!$A:$B,2,0))</f>
        <v/>
      </c>
      <c r="D895" s="52" t="str">
        <f>IF(E895&lt;&gt;0,VLOOKUP(E895,DM_DUAN,3,0),"")</f>
        <v/>
      </c>
      <c r="E895" s="735"/>
      <c r="F895" s="735"/>
      <c r="G895" s="735"/>
      <c r="H895" s="735"/>
      <c r="I895" s="735"/>
      <c r="J895" s="52" t="s">
        <v>2214</v>
      </c>
      <c r="K895" s="52" t="s">
        <v>2214</v>
      </c>
      <c r="L895" s="735"/>
      <c r="M895" s="68"/>
      <c r="N895" s="739"/>
      <c r="O895" s="735"/>
      <c r="P895" s="52" t="s">
        <v>2214</v>
      </c>
      <c r="Q895" s="52" t="s">
        <v>2214</v>
      </c>
      <c r="R895" s="737"/>
      <c r="S895" s="735"/>
      <c r="T895" s="737"/>
      <c r="U895" s="737"/>
    </row>
    <row r="896">
      <c r="A896" s="733"/>
      <c r="B896" s="52" t="str">
        <f t="shared" si="1"/>
        <v/>
      </c>
      <c r="C896" s="52" t="str">
        <f>IF(A896="","",VLOOKUP(A896,'THAM CHIẾU'!$A:$B,2,0))</f>
        <v/>
      </c>
      <c r="D896" s="52" t="str">
        <f>IF(E896&lt;&gt;0,VLOOKUP(E896,DM_DUAN,3,0),"")</f>
        <v/>
      </c>
      <c r="E896" s="735"/>
      <c r="F896" s="735"/>
      <c r="G896" s="735"/>
      <c r="H896" s="735"/>
      <c r="I896" s="735"/>
      <c r="J896" s="52" t="s">
        <v>2214</v>
      </c>
      <c r="K896" s="52" t="s">
        <v>2214</v>
      </c>
      <c r="L896" s="735"/>
      <c r="M896" s="68"/>
      <c r="N896" s="739"/>
      <c r="O896" s="735"/>
      <c r="P896" s="52" t="s">
        <v>2214</v>
      </c>
      <c r="Q896" s="52" t="s">
        <v>2214</v>
      </c>
      <c r="R896" s="737"/>
      <c r="S896" s="735"/>
      <c r="T896" s="737"/>
      <c r="U896" s="737"/>
    </row>
    <row r="897">
      <c r="A897" s="733"/>
      <c r="B897" s="52" t="str">
        <f t="shared" si="1"/>
        <v/>
      </c>
      <c r="C897" s="52" t="str">
        <f>IF(A897="","",VLOOKUP(A897,'THAM CHIẾU'!$A:$B,2,0))</f>
        <v/>
      </c>
      <c r="D897" s="52" t="str">
        <f>IF(E897&lt;&gt;0,VLOOKUP(E897,DM_DUAN,3,0),"")</f>
        <v/>
      </c>
      <c r="E897" s="735"/>
      <c r="F897" s="735"/>
      <c r="G897" s="735"/>
      <c r="H897" s="735"/>
      <c r="I897" s="735"/>
      <c r="J897" s="52" t="s">
        <v>2214</v>
      </c>
      <c r="K897" s="52" t="s">
        <v>2214</v>
      </c>
      <c r="L897" s="735"/>
      <c r="M897" s="68"/>
      <c r="N897" s="739"/>
      <c r="O897" s="735"/>
      <c r="P897" s="52" t="s">
        <v>2214</v>
      </c>
      <c r="Q897" s="52" t="s">
        <v>2214</v>
      </c>
      <c r="R897" s="737"/>
      <c r="S897" s="735"/>
      <c r="T897" s="737"/>
      <c r="U897" s="737"/>
    </row>
    <row r="898">
      <c r="A898" s="733"/>
      <c r="B898" s="52" t="str">
        <f t="shared" si="1"/>
        <v/>
      </c>
      <c r="C898" s="52" t="str">
        <f>IF(A898="","",VLOOKUP(A898,'THAM CHIẾU'!$A:$B,2,0))</f>
        <v/>
      </c>
      <c r="D898" s="52" t="str">
        <f>IF(E898&lt;&gt;0,VLOOKUP(E898,DM_DUAN,3,0),"")</f>
        <v/>
      </c>
      <c r="E898" s="735"/>
      <c r="F898" s="735"/>
      <c r="G898" s="735"/>
      <c r="H898" s="735"/>
      <c r="I898" s="735"/>
      <c r="J898" s="52" t="s">
        <v>2214</v>
      </c>
      <c r="K898" s="52" t="s">
        <v>2214</v>
      </c>
      <c r="L898" s="735"/>
      <c r="M898" s="68"/>
      <c r="N898" s="739"/>
      <c r="O898" s="735"/>
      <c r="P898" s="52" t="s">
        <v>2214</v>
      </c>
      <c r="Q898" s="52" t="s">
        <v>2214</v>
      </c>
      <c r="R898" s="737"/>
      <c r="S898" s="735"/>
      <c r="T898" s="737"/>
      <c r="U898" s="737"/>
    </row>
    <row r="899">
      <c r="A899" s="733"/>
      <c r="B899" s="52" t="str">
        <f t="shared" si="1"/>
        <v/>
      </c>
      <c r="C899" s="52" t="str">
        <f>IF(A899="","",VLOOKUP(A899,'THAM CHIẾU'!$A:$B,2,0))</f>
        <v/>
      </c>
      <c r="D899" s="52" t="str">
        <f>IF(E899&lt;&gt;0,VLOOKUP(E899,DM_DUAN,3,0),"")</f>
        <v/>
      </c>
      <c r="E899" s="735"/>
      <c r="F899" s="735"/>
      <c r="G899" s="735"/>
      <c r="H899" s="735"/>
      <c r="I899" s="735"/>
      <c r="J899" s="52" t="s">
        <v>2214</v>
      </c>
      <c r="K899" s="52" t="s">
        <v>2214</v>
      </c>
      <c r="L899" s="735"/>
      <c r="M899" s="68"/>
      <c r="N899" s="739"/>
      <c r="O899" s="735"/>
      <c r="P899" s="52" t="s">
        <v>2214</v>
      </c>
      <c r="Q899" s="52" t="s">
        <v>2214</v>
      </c>
      <c r="R899" s="737"/>
      <c r="S899" s="735"/>
      <c r="T899" s="737"/>
      <c r="U899" s="737"/>
    </row>
    <row r="900">
      <c r="A900" s="733"/>
      <c r="B900" s="52" t="str">
        <f t="shared" si="1"/>
        <v/>
      </c>
      <c r="C900" s="52" t="str">
        <f>IF(A900="","",VLOOKUP(A900,'THAM CHIẾU'!$A:$B,2,0))</f>
        <v/>
      </c>
      <c r="D900" s="52" t="str">
        <f>IF(E900&lt;&gt;0,VLOOKUP(E900,DM_DUAN,3,0),"")</f>
        <v/>
      </c>
      <c r="E900" s="735"/>
      <c r="F900" s="735"/>
      <c r="G900" s="735"/>
      <c r="H900" s="735"/>
      <c r="I900" s="735"/>
      <c r="J900" s="52" t="s">
        <v>2214</v>
      </c>
      <c r="K900" s="52" t="s">
        <v>2214</v>
      </c>
      <c r="L900" s="735"/>
      <c r="M900" s="68"/>
      <c r="N900" s="739"/>
      <c r="O900" s="735"/>
      <c r="P900" s="52" t="s">
        <v>2214</v>
      </c>
      <c r="Q900" s="52" t="s">
        <v>2214</v>
      </c>
      <c r="R900" s="737"/>
      <c r="S900" s="735"/>
      <c r="T900" s="737"/>
      <c r="U900" s="737"/>
    </row>
    <row r="901">
      <c r="A901" s="733"/>
      <c r="B901" s="52" t="str">
        <f t="shared" si="1"/>
        <v/>
      </c>
      <c r="C901" s="52" t="str">
        <f>IF(A901="","",VLOOKUP(A901,'THAM CHIẾU'!$A:$B,2,0))</f>
        <v/>
      </c>
      <c r="D901" s="52" t="str">
        <f>IF(E901&lt;&gt;0,VLOOKUP(E901,DM_DUAN,3,0),"")</f>
        <v/>
      </c>
      <c r="E901" s="735"/>
      <c r="F901" s="735"/>
      <c r="G901" s="735"/>
      <c r="H901" s="735"/>
      <c r="I901" s="735"/>
      <c r="J901" s="52" t="s">
        <v>2214</v>
      </c>
      <c r="K901" s="52" t="s">
        <v>2214</v>
      </c>
      <c r="L901" s="735"/>
      <c r="M901" s="68"/>
      <c r="N901" s="739"/>
      <c r="O901" s="735"/>
      <c r="P901" s="52" t="s">
        <v>2214</v>
      </c>
      <c r="Q901" s="52" t="s">
        <v>2214</v>
      </c>
      <c r="R901" s="737"/>
      <c r="S901" s="735"/>
      <c r="T901" s="737"/>
      <c r="U901" s="737"/>
    </row>
    <row r="902">
      <c r="A902" s="733"/>
      <c r="B902" s="52" t="str">
        <f t="shared" si="1"/>
        <v/>
      </c>
      <c r="C902" s="52" t="str">
        <f>IF(A902="","",VLOOKUP(A902,'THAM CHIẾU'!$A:$B,2,0))</f>
        <v/>
      </c>
      <c r="D902" s="52" t="str">
        <f>IF(E902&lt;&gt;0,VLOOKUP(E902,DM_DUAN,3,0),"")</f>
        <v/>
      </c>
      <c r="E902" s="735"/>
      <c r="F902" s="735"/>
      <c r="G902" s="735"/>
      <c r="H902" s="735"/>
      <c r="I902" s="735"/>
      <c r="J902" s="52" t="s">
        <v>2214</v>
      </c>
      <c r="K902" s="52" t="s">
        <v>2214</v>
      </c>
      <c r="L902" s="735"/>
      <c r="M902" s="68"/>
      <c r="N902" s="739"/>
      <c r="O902" s="735"/>
      <c r="P902" s="52" t="s">
        <v>2214</v>
      </c>
      <c r="Q902" s="52" t="s">
        <v>2214</v>
      </c>
      <c r="R902" s="737"/>
      <c r="S902" s="735"/>
      <c r="T902" s="737"/>
      <c r="U902" s="737"/>
    </row>
    <row r="903">
      <c r="A903" s="733"/>
      <c r="B903" s="52" t="str">
        <f t="shared" si="1"/>
        <v/>
      </c>
      <c r="C903" s="52" t="str">
        <f>IF(A903="","",VLOOKUP(A903,'THAM CHIẾU'!$A:$B,2,0))</f>
        <v/>
      </c>
      <c r="D903" s="52" t="str">
        <f>IF(E903&lt;&gt;0,VLOOKUP(E903,DM_DUAN,3,0),"")</f>
        <v/>
      </c>
      <c r="E903" s="735"/>
      <c r="F903" s="735"/>
      <c r="G903" s="735"/>
      <c r="H903" s="735"/>
      <c r="I903" s="735"/>
      <c r="J903" s="52" t="s">
        <v>2214</v>
      </c>
      <c r="K903" s="52" t="s">
        <v>2214</v>
      </c>
      <c r="L903" s="735"/>
      <c r="M903" s="68"/>
      <c r="N903" s="739"/>
      <c r="O903" s="735"/>
      <c r="P903" s="52" t="s">
        <v>2214</v>
      </c>
      <c r="Q903" s="52" t="s">
        <v>2214</v>
      </c>
      <c r="R903" s="737"/>
      <c r="S903" s="735"/>
      <c r="T903" s="737"/>
      <c r="U903" s="737"/>
    </row>
    <row r="904">
      <c r="A904" s="733"/>
      <c r="B904" s="52" t="str">
        <f t="shared" si="1"/>
        <v/>
      </c>
      <c r="C904" s="52" t="str">
        <f>IF(A904="","",VLOOKUP(A904,'THAM CHIẾU'!$A:$B,2,0))</f>
        <v/>
      </c>
      <c r="D904" s="52" t="str">
        <f>IF(E904&lt;&gt;0,VLOOKUP(E904,DM_DUAN,3,0),"")</f>
        <v/>
      </c>
      <c r="E904" s="735"/>
      <c r="F904" s="735"/>
      <c r="G904" s="735"/>
      <c r="H904" s="735"/>
      <c r="I904" s="735"/>
      <c r="J904" s="52" t="s">
        <v>2214</v>
      </c>
      <c r="K904" s="52" t="s">
        <v>2214</v>
      </c>
      <c r="L904" s="735"/>
      <c r="M904" s="68"/>
      <c r="N904" s="739"/>
      <c r="O904" s="735"/>
      <c r="P904" s="52" t="s">
        <v>2214</v>
      </c>
      <c r="Q904" s="52" t="s">
        <v>2214</v>
      </c>
      <c r="R904" s="737"/>
      <c r="S904" s="735"/>
      <c r="T904" s="737"/>
      <c r="U904" s="737"/>
    </row>
    <row r="905">
      <c r="A905" s="733"/>
      <c r="B905" s="52" t="str">
        <f t="shared" si="1"/>
        <v/>
      </c>
      <c r="C905" s="52" t="str">
        <f>IF(A905="","",VLOOKUP(A905,'THAM CHIẾU'!$A:$B,2,0))</f>
        <v/>
      </c>
      <c r="D905" s="52" t="str">
        <f>IF(E905&lt;&gt;0,VLOOKUP(E905,DM_DUAN,3,0),"")</f>
        <v/>
      </c>
      <c r="E905" s="735"/>
      <c r="F905" s="735"/>
      <c r="G905" s="735"/>
      <c r="H905" s="735"/>
      <c r="I905" s="735"/>
      <c r="J905" s="52" t="s">
        <v>2214</v>
      </c>
      <c r="K905" s="52" t="s">
        <v>2214</v>
      </c>
      <c r="L905" s="735"/>
      <c r="M905" s="68"/>
      <c r="N905" s="739"/>
      <c r="O905" s="735"/>
      <c r="P905" s="52" t="s">
        <v>2214</v>
      </c>
      <c r="Q905" s="52" t="s">
        <v>2214</v>
      </c>
      <c r="R905" s="737"/>
      <c r="S905" s="735"/>
      <c r="T905" s="737"/>
      <c r="U905" s="737"/>
    </row>
    <row r="906">
      <c r="A906" s="733"/>
      <c r="B906" s="52" t="str">
        <f t="shared" si="1"/>
        <v/>
      </c>
      <c r="C906" s="52" t="str">
        <f>IF(A906="","",VLOOKUP(A906,'THAM CHIẾU'!$A:$B,2,0))</f>
        <v/>
      </c>
      <c r="D906" s="52" t="str">
        <f>IF(E906&lt;&gt;0,VLOOKUP(E906,DM_DUAN,3,0),"")</f>
        <v/>
      </c>
      <c r="E906" s="735"/>
      <c r="F906" s="735"/>
      <c r="G906" s="735"/>
      <c r="H906" s="735"/>
      <c r="I906" s="735"/>
      <c r="J906" s="52" t="s">
        <v>2214</v>
      </c>
      <c r="K906" s="52" t="s">
        <v>2214</v>
      </c>
      <c r="L906" s="735"/>
      <c r="M906" s="68"/>
      <c r="N906" s="739"/>
      <c r="O906" s="735"/>
      <c r="P906" s="52" t="s">
        <v>2214</v>
      </c>
      <c r="Q906" s="52" t="s">
        <v>2214</v>
      </c>
      <c r="R906" s="737"/>
      <c r="S906" s="735"/>
      <c r="T906" s="737"/>
      <c r="U906" s="737"/>
    </row>
    <row r="907">
      <c r="A907" s="733"/>
      <c r="B907" s="52" t="str">
        <f t="shared" si="1"/>
        <v/>
      </c>
      <c r="C907" s="52" t="str">
        <f>IF(A907="","",VLOOKUP(A907,'THAM CHIẾU'!$A:$B,2,0))</f>
        <v/>
      </c>
      <c r="D907" s="52" t="str">
        <f>IF(E907&lt;&gt;0,VLOOKUP(E907,DM_DUAN,3,0),"")</f>
        <v/>
      </c>
      <c r="E907" s="735"/>
      <c r="F907" s="735"/>
      <c r="G907" s="735"/>
      <c r="H907" s="735"/>
      <c r="I907" s="735"/>
      <c r="J907" s="52" t="s">
        <v>2214</v>
      </c>
      <c r="K907" s="52" t="s">
        <v>2214</v>
      </c>
      <c r="L907" s="735"/>
      <c r="M907" s="68"/>
      <c r="N907" s="739"/>
      <c r="O907" s="735"/>
      <c r="P907" s="52" t="s">
        <v>2214</v>
      </c>
      <c r="Q907" s="52" t="s">
        <v>2214</v>
      </c>
      <c r="R907" s="737"/>
      <c r="S907" s="735"/>
      <c r="T907" s="737"/>
      <c r="U907" s="737"/>
    </row>
    <row r="908">
      <c r="A908" s="733"/>
      <c r="B908" s="52" t="str">
        <f t="shared" si="1"/>
        <v/>
      </c>
      <c r="C908" s="52" t="str">
        <f>IF(A908="","",VLOOKUP(A908,'THAM CHIẾU'!$A:$B,2,0))</f>
        <v/>
      </c>
      <c r="D908" s="52" t="str">
        <f>IF(E908&lt;&gt;0,VLOOKUP(E908,DM_DUAN,3,0),"")</f>
        <v/>
      </c>
      <c r="E908" s="735"/>
      <c r="F908" s="735"/>
      <c r="G908" s="735"/>
      <c r="H908" s="735"/>
      <c r="I908" s="735"/>
      <c r="J908" s="52" t="s">
        <v>2214</v>
      </c>
      <c r="K908" s="52" t="s">
        <v>2214</v>
      </c>
      <c r="L908" s="735"/>
      <c r="M908" s="68"/>
      <c r="N908" s="739"/>
      <c r="O908" s="735"/>
      <c r="P908" s="52" t="s">
        <v>2214</v>
      </c>
      <c r="Q908" s="52" t="s">
        <v>2214</v>
      </c>
      <c r="R908" s="737"/>
      <c r="S908" s="735"/>
      <c r="T908" s="737"/>
      <c r="U908" s="737"/>
    </row>
    <row r="909">
      <c r="A909" s="733"/>
      <c r="B909" s="52" t="str">
        <f t="shared" si="1"/>
        <v/>
      </c>
      <c r="C909" s="52" t="str">
        <f>IF(A909="","",VLOOKUP(A909,'THAM CHIẾU'!$A:$B,2,0))</f>
        <v/>
      </c>
      <c r="D909" s="52" t="str">
        <f>IF(E909&lt;&gt;0,VLOOKUP(E909,DM_DUAN,3,0),"")</f>
        <v/>
      </c>
      <c r="E909" s="735"/>
      <c r="F909" s="735"/>
      <c r="G909" s="735"/>
      <c r="H909" s="735"/>
      <c r="I909" s="735"/>
      <c r="J909" s="52" t="s">
        <v>2214</v>
      </c>
      <c r="K909" s="52" t="s">
        <v>2214</v>
      </c>
      <c r="L909" s="735"/>
      <c r="M909" s="68"/>
      <c r="N909" s="739"/>
      <c r="O909" s="735"/>
      <c r="P909" s="52" t="s">
        <v>2214</v>
      </c>
      <c r="Q909" s="52" t="s">
        <v>2214</v>
      </c>
      <c r="R909" s="737"/>
      <c r="S909" s="735"/>
      <c r="T909" s="737"/>
      <c r="U909" s="737"/>
    </row>
    <row r="910">
      <c r="A910" s="733"/>
      <c r="B910" s="52" t="str">
        <f t="shared" si="1"/>
        <v/>
      </c>
      <c r="C910" s="52" t="str">
        <f>IF(A910="","",VLOOKUP(A910,'THAM CHIẾU'!$A:$B,2,0))</f>
        <v/>
      </c>
      <c r="D910" s="52" t="str">
        <f>IF(E910&lt;&gt;0,VLOOKUP(E910,DM_DUAN,3,0),"")</f>
        <v/>
      </c>
      <c r="E910" s="735"/>
      <c r="F910" s="735"/>
      <c r="G910" s="735"/>
      <c r="H910" s="735"/>
      <c r="I910" s="735"/>
      <c r="J910" s="52" t="s">
        <v>2214</v>
      </c>
      <c r="K910" s="52" t="s">
        <v>2214</v>
      </c>
      <c r="L910" s="735"/>
      <c r="M910" s="68"/>
      <c r="N910" s="739"/>
      <c r="O910" s="735"/>
      <c r="P910" s="52" t="s">
        <v>2214</v>
      </c>
      <c r="Q910" s="52" t="s">
        <v>2214</v>
      </c>
      <c r="R910" s="737"/>
      <c r="S910" s="735"/>
      <c r="T910" s="737"/>
      <c r="U910" s="737"/>
    </row>
    <row r="911">
      <c r="A911" s="733"/>
      <c r="B911" s="52" t="str">
        <f t="shared" si="1"/>
        <v/>
      </c>
      <c r="C911" s="52" t="str">
        <f>IF(A911="","",VLOOKUP(A911,'THAM CHIẾU'!$A:$B,2,0))</f>
        <v/>
      </c>
      <c r="D911" s="52" t="str">
        <f>IF(E911&lt;&gt;0,VLOOKUP(E911,DM_DUAN,3,0),"")</f>
        <v/>
      </c>
      <c r="E911" s="735"/>
      <c r="F911" s="735"/>
      <c r="G911" s="735"/>
      <c r="H911" s="735"/>
      <c r="I911" s="735"/>
      <c r="J911" s="52" t="s">
        <v>2214</v>
      </c>
      <c r="K911" s="52" t="s">
        <v>2214</v>
      </c>
      <c r="L911" s="735"/>
      <c r="M911" s="68"/>
      <c r="N911" s="739"/>
      <c r="O911" s="735"/>
      <c r="P911" s="52" t="s">
        <v>2214</v>
      </c>
      <c r="Q911" s="52" t="s">
        <v>2214</v>
      </c>
      <c r="R911" s="737"/>
      <c r="S911" s="735"/>
      <c r="T911" s="737"/>
      <c r="U911" s="737"/>
    </row>
    <row r="912">
      <c r="A912" s="733"/>
      <c r="B912" s="52" t="str">
        <f t="shared" si="1"/>
        <v/>
      </c>
      <c r="C912" s="52" t="str">
        <f>IF(A912="","",VLOOKUP(A912,'THAM CHIẾU'!$A:$B,2,0))</f>
        <v/>
      </c>
      <c r="D912" s="52" t="str">
        <f>IF(E912&lt;&gt;0,VLOOKUP(E912,DM_DUAN,3,0),"")</f>
        <v/>
      </c>
      <c r="E912" s="735"/>
      <c r="F912" s="735"/>
      <c r="G912" s="735"/>
      <c r="H912" s="735"/>
      <c r="I912" s="735"/>
      <c r="J912" s="52" t="s">
        <v>2214</v>
      </c>
      <c r="K912" s="52" t="s">
        <v>2214</v>
      </c>
      <c r="L912" s="735"/>
      <c r="M912" s="68"/>
      <c r="N912" s="739"/>
      <c r="O912" s="735"/>
      <c r="P912" s="52" t="s">
        <v>2214</v>
      </c>
      <c r="Q912" s="52" t="s">
        <v>2214</v>
      </c>
      <c r="R912" s="737"/>
      <c r="S912" s="735"/>
      <c r="T912" s="737"/>
      <c r="U912" s="737"/>
    </row>
    <row r="913">
      <c r="A913" s="733"/>
      <c r="B913" s="52" t="str">
        <f t="shared" si="1"/>
        <v/>
      </c>
      <c r="C913" s="52" t="str">
        <f>IF(A913="","",VLOOKUP(A913,'THAM CHIẾU'!$A:$B,2,0))</f>
        <v/>
      </c>
      <c r="D913" s="52" t="str">
        <f>IF(E913&lt;&gt;0,VLOOKUP(E913,DM_DUAN,3,0),"")</f>
        <v/>
      </c>
      <c r="E913" s="735"/>
      <c r="F913" s="735"/>
      <c r="G913" s="735"/>
      <c r="H913" s="735"/>
      <c r="I913" s="735"/>
      <c r="J913" s="52" t="s">
        <v>2214</v>
      </c>
      <c r="K913" s="52" t="s">
        <v>2214</v>
      </c>
      <c r="L913" s="735"/>
      <c r="M913" s="68"/>
      <c r="N913" s="739"/>
      <c r="O913" s="735"/>
      <c r="P913" s="52" t="s">
        <v>2214</v>
      </c>
      <c r="Q913" s="52" t="s">
        <v>2214</v>
      </c>
      <c r="R913" s="737"/>
      <c r="S913" s="735"/>
      <c r="T913" s="737"/>
      <c r="U913" s="737"/>
    </row>
    <row r="914">
      <c r="A914" s="733"/>
      <c r="B914" s="52" t="str">
        <f t="shared" si="1"/>
        <v/>
      </c>
      <c r="C914" s="52" t="str">
        <f>IF(A914="","",VLOOKUP(A914,'THAM CHIẾU'!$A:$B,2,0))</f>
        <v/>
      </c>
      <c r="D914" s="52" t="str">
        <f>IF(E914&lt;&gt;0,VLOOKUP(E914,DM_DUAN,3,0),"")</f>
        <v/>
      </c>
      <c r="E914" s="735"/>
      <c r="F914" s="735"/>
      <c r="G914" s="735"/>
      <c r="H914" s="735"/>
      <c r="I914" s="735"/>
      <c r="J914" s="52" t="s">
        <v>2214</v>
      </c>
      <c r="K914" s="52" t="s">
        <v>2214</v>
      </c>
      <c r="L914" s="735"/>
      <c r="M914" s="68"/>
      <c r="N914" s="739"/>
      <c r="O914" s="735"/>
      <c r="P914" s="52" t="s">
        <v>2214</v>
      </c>
      <c r="Q914" s="52" t="s">
        <v>2214</v>
      </c>
      <c r="R914" s="737"/>
      <c r="S914" s="735"/>
      <c r="T914" s="737"/>
      <c r="U914" s="737"/>
    </row>
    <row r="915">
      <c r="A915" s="733"/>
      <c r="B915" s="52" t="str">
        <f t="shared" si="1"/>
        <v/>
      </c>
      <c r="C915" s="52" t="str">
        <f>IF(A915="","",VLOOKUP(A915,'THAM CHIẾU'!$A:$B,2,0))</f>
        <v/>
      </c>
      <c r="D915" s="52" t="str">
        <f>IF(E915&lt;&gt;0,VLOOKUP(E915,DM_DUAN,3,0),"")</f>
        <v/>
      </c>
      <c r="E915" s="735"/>
      <c r="F915" s="735"/>
      <c r="G915" s="735"/>
      <c r="H915" s="735"/>
      <c r="I915" s="735"/>
      <c r="J915" s="52" t="s">
        <v>2214</v>
      </c>
      <c r="K915" s="52" t="s">
        <v>2214</v>
      </c>
      <c r="L915" s="735"/>
      <c r="M915" s="68"/>
      <c r="N915" s="739"/>
      <c r="O915" s="735"/>
      <c r="P915" s="52" t="s">
        <v>2214</v>
      </c>
      <c r="Q915" s="52" t="s">
        <v>2214</v>
      </c>
      <c r="R915" s="737"/>
      <c r="S915" s="735"/>
      <c r="T915" s="737"/>
      <c r="U915" s="737"/>
    </row>
    <row r="916">
      <c r="A916" s="733"/>
      <c r="B916" s="52" t="str">
        <f t="shared" si="1"/>
        <v/>
      </c>
      <c r="C916" s="52" t="str">
        <f>IF(A916="","",VLOOKUP(A916,'THAM CHIẾU'!$A:$B,2,0))</f>
        <v/>
      </c>
      <c r="D916" s="52" t="str">
        <f>IF(E916&lt;&gt;0,VLOOKUP(E916,DM_DUAN,3,0),"")</f>
        <v/>
      </c>
      <c r="E916" s="735"/>
      <c r="F916" s="735"/>
      <c r="G916" s="735"/>
      <c r="H916" s="735"/>
      <c r="I916" s="735"/>
      <c r="J916" s="52" t="s">
        <v>2214</v>
      </c>
      <c r="K916" s="52" t="s">
        <v>2214</v>
      </c>
      <c r="L916" s="735"/>
      <c r="M916" s="68"/>
      <c r="N916" s="739"/>
      <c r="O916" s="735"/>
      <c r="P916" s="52" t="s">
        <v>2214</v>
      </c>
      <c r="Q916" s="52" t="s">
        <v>2214</v>
      </c>
      <c r="R916" s="737"/>
      <c r="S916" s="735"/>
      <c r="T916" s="737"/>
      <c r="U916" s="737"/>
    </row>
    <row r="917">
      <c r="A917" s="733"/>
      <c r="B917" s="52" t="str">
        <f t="shared" si="1"/>
        <v/>
      </c>
      <c r="C917" s="52" t="str">
        <f>IF(A917="","",VLOOKUP(A917,'THAM CHIẾU'!$A:$B,2,0))</f>
        <v/>
      </c>
      <c r="D917" s="52" t="str">
        <f>IF(E917&lt;&gt;0,VLOOKUP(E917,DM_DUAN,3,0),"")</f>
        <v/>
      </c>
      <c r="E917" s="735"/>
      <c r="F917" s="735"/>
      <c r="G917" s="735"/>
      <c r="H917" s="735"/>
      <c r="I917" s="735"/>
      <c r="J917" s="52" t="s">
        <v>2214</v>
      </c>
      <c r="K917" s="52" t="s">
        <v>2214</v>
      </c>
      <c r="L917" s="735"/>
      <c r="M917" s="68"/>
      <c r="N917" s="739"/>
      <c r="O917" s="735"/>
      <c r="P917" s="52" t="s">
        <v>2214</v>
      </c>
      <c r="Q917" s="52" t="s">
        <v>2214</v>
      </c>
      <c r="R917" s="737"/>
      <c r="S917" s="735"/>
      <c r="T917" s="737"/>
      <c r="U917" s="737"/>
    </row>
    <row r="918">
      <c r="A918" s="733"/>
      <c r="B918" s="52" t="str">
        <f t="shared" si="1"/>
        <v/>
      </c>
      <c r="C918" s="52" t="str">
        <f>IF(A918="","",VLOOKUP(A918,'THAM CHIẾU'!$A:$B,2,0))</f>
        <v/>
      </c>
      <c r="D918" s="52" t="str">
        <f>IF(E918&lt;&gt;0,VLOOKUP(E918,DM_DUAN,3,0),"")</f>
        <v/>
      </c>
      <c r="E918" s="735"/>
      <c r="F918" s="735"/>
      <c r="G918" s="735"/>
      <c r="H918" s="735"/>
      <c r="I918" s="735"/>
      <c r="J918" s="52" t="s">
        <v>2214</v>
      </c>
      <c r="K918" s="52" t="s">
        <v>2214</v>
      </c>
      <c r="L918" s="735"/>
      <c r="M918" s="68"/>
      <c r="N918" s="739"/>
      <c r="O918" s="735"/>
      <c r="P918" s="52" t="s">
        <v>2214</v>
      </c>
      <c r="Q918" s="52" t="s">
        <v>2214</v>
      </c>
      <c r="R918" s="737"/>
      <c r="S918" s="735"/>
      <c r="T918" s="737"/>
      <c r="U918" s="737"/>
    </row>
    <row r="919">
      <c r="A919" s="733"/>
      <c r="B919" s="52" t="str">
        <f t="shared" si="1"/>
        <v/>
      </c>
      <c r="C919" s="52" t="str">
        <f>IF(A919="","",VLOOKUP(A919,'THAM CHIẾU'!$A:$B,2,0))</f>
        <v/>
      </c>
      <c r="D919" s="52" t="str">
        <f>IF(E919&lt;&gt;0,VLOOKUP(E919,DM_DUAN,3,0),"")</f>
        <v/>
      </c>
      <c r="E919" s="735"/>
      <c r="F919" s="735"/>
      <c r="G919" s="735"/>
      <c r="H919" s="735"/>
      <c r="I919" s="735"/>
      <c r="J919" s="52" t="s">
        <v>2214</v>
      </c>
      <c r="K919" s="52" t="s">
        <v>2214</v>
      </c>
      <c r="L919" s="735"/>
      <c r="M919" s="68"/>
      <c r="N919" s="739"/>
      <c r="O919" s="735"/>
      <c r="P919" s="52" t="s">
        <v>2214</v>
      </c>
      <c r="Q919" s="52" t="s">
        <v>2214</v>
      </c>
      <c r="R919" s="737"/>
      <c r="S919" s="735"/>
      <c r="T919" s="737"/>
      <c r="U919" s="737"/>
    </row>
    <row r="920">
      <c r="A920" s="733"/>
      <c r="B920" s="52" t="str">
        <f t="shared" si="1"/>
        <v/>
      </c>
      <c r="C920" s="52" t="str">
        <f>IF(A920="","",VLOOKUP(A920,'THAM CHIẾU'!$A:$B,2,0))</f>
        <v/>
      </c>
      <c r="D920" s="52" t="str">
        <f>IF(E920&lt;&gt;0,VLOOKUP(E920,DM_DUAN,3,0),"")</f>
        <v/>
      </c>
      <c r="E920" s="735"/>
      <c r="F920" s="735"/>
      <c r="G920" s="735"/>
      <c r="H920" s="735"/>
      <c r="I920" s="735"/>
      <c r="J920" s="52" t="s">
        <v>2214</v>
      </c>
      <c r="K920" s="52" t="s">
        <v>2214</v>
      </c>
      <c r="L920" s="735"/>
      <c r="M920" s="68"/>
      <c r="N920" s="739"/>
      <c r="O920" s="735"/>
      <c r="P920" s="52" t="s">
        <v>2214</v>
      </c>
      <c r="Q920" s="52" t="s">
        <v>2214</v>
      </c>
      <c r="R920" s="737"/>
      <c r="S920" s="735"/>
      <c r="T920" s="737"/>
      <c r="U920" s="737"/>
    </row>
    <row r="921">
      <c r="A921" s="733"/>
      <c r="B921" s="52" t="str">
        <f t="shared" si="1"/>
        <v/>
      </c>
      <c r="C921" s="52" t="str">
        <f>IF(A921="","",VLOOKUP(A921,'THAM CHIẾU'!$A:$B,2,0))</f>
        <v/>
      </c>
      <c r="D921" s="52" t="str">
        <f>IF(E921&lt;&gt;0,VLOOKUP(E921,DM_DUAN,3,0),"")</f>
        <v/>
      </c>
      <c r="E921" s="735"/>
      <c r="F921" s="735"/>
      <c r="G921" s="735"/>
      <c r="H921" s="735"/>
      <c r="I921" s="735"/>
      <c r="J921" s="52" t="s">
        <v>2214</v>
      </c>
      <c r="K921" s="52" t="s">
        <v>2214</v>
      </c>
      <c r="L921" s="735"/>
      <c r="M921" s="68"/>
      <c r="N921" s="739"/>
      <c r="O921" s="735"/>
      <c r="P921" s="52" t="s">
        <v>2214</v>
      </c>
      <c r="Q921" s="52" t="s">
        <v>2214</v>
      </c>
      <c r="R921" s="737"/>
      <c r="S921" s="735"/>
      <c r="T921" s="737"/>
      <c r="U921" s="737"/>
    </row>
    <row r="922">
      <c r="A922" s="733"/>
      <c r="B922" s="52" t="str">
        <f t="shared" si="1"/>
        <v/>
      </c>
      <c r="C922" s="52" t="str">
        <f>IF(A922="","",VLOOKUP(A922,'THAM CHIẾU'!$A:$B,2,0))</f>
        <v/>
      </c>
      <c r="D922" s="52" t="str">
        <f>IF(E922&lt;&gt;0,VLOOKUP(E922,DM_DUAN,3,0),"")</f>
        <v/>
      </c>
      <c r="E922" s="735"/>
      <c r="F922" s="735"/>
      <c r="G922" s="735"/>
      <c r="H922" s="735"/>
      <c r="I922" s="735"/>
      <c r="J922" s="52" t="s">
        <v>2214</v>
      </c>
      <c r="K922" s="52" t="s">
        <v>2214</v>
      </c>
      <c r="L922" s="735"/>
      <c r="M922" s="68"/>
      <c r="N922" s="739"/>
      <c r="O922" s="735"/>
      <c r="P922" s="52" t="s">
        <v>2214</v>
      </c>
      <c r="Q922" s="52" t="s">
        <v>2214</v>
      </c>
      <c r="R922" s="737"/>
      <c r="S922" s="735"/>
      <c r="T922" s="737"/>
      <c r="U922" s="737"/>
    </row>
    <row r="923">
      <c r="A923" s="733"/>
      <c r="B923" s="52" t="str">
        <f t="shared" si="1"/>
        <v/>
      </c>
      <c r="C923" s="52" t="str">
        <f>IF(A923="","",VLOOKUP(A923,'THAM CHIẾU'!$A:$B,2,0))</f>
        <v/>
      </c>
      <c r="D923" s="52" t="str">
        <f>IF(E923&lt;&gt;0,VLOOKUP(E923,DM_DUAN,3,0),"")</f>
        <v/>
      </c>
      <c r="E923" s="735"/>
      <c r="F923" s="735"/>
      <c r="G923" s="735"/>
      <c r="H923" s="735"/>
      <c r="I923" s="735"/>
      <c r="J923" s="52" t="s">
        <v>2214</v>
      </c>
      <c r="K923" s="52" t="s">
        <v>2214</v>
      </c>
      <c r="L923" s="735"/>
      <c r="M923" s="68"/>
      <c r="N923" s="739"/>
      <c r="O923" s="735"/>
      <c r="P923" s="52" t="s">
        <v>2214</v>
      </c>
      <c r="Q923" s="52" t="s">
        <v>2214</v>
      </c>
      <c r="R923" s="737"/>
      <c r="S923" s="735"/>
      <c r="T923" s="737"/>
      <c r="U923" s="737"/>
    </row>
    <row r="924">
      <c r="A924" s="733"/>
      <c r="B924" s="52" t="str">
        <f t="shared" si="1"/>
        <v/>
      </c>
      <c r="C924" s="52" t="str">
        <f>IF(A924="","",VLOOKUP(A924,'THAM CHIẾU'!$A:$B,2,0))</f>
        <v/>
      </c>
      <c r="D924" s="52" t="str">
        <f>IF(E924&lt;&gt;0,VLOOKUP(E924,DM_DUAN,3,0),"")</f>
        <v/>
      </c>
      <c r="E924" s="735"/>
      <c r="F924" s="735"/>
      <c r="G924" s="735"/>
      <c r="H924" s="735"/>
      <c r="I924" s="735"/>
      <c r="J924" s="52" t="s">
        <v>2214</v>
      </c>
      <c r="K924" s="52" t="s">
        <v>2214</v>
      </c>
      <c r="L924" s="735"/>
      <c r="M924" s="68"/>
      <c r="N924" s="739"/>
      <c r="O924" s="735"/>
      <c r="P924" s="52" t="s">
        <v>2214</v>
      </c>
      <c r="Q924" s="52" t="s">
        <v>2214</v>
      </c>
      <c r="R924" s="737"/>
      <c r="S924" s="735"/>
      <c r="T924" s="737"/>
      <c r="U924" s="737"/>
    </row>
    <row r="925">
      <c r="A925" s="733"/>
      <c r="B925" s="52" t="str">
        <f t="shared" si="1"/>
        <v/>
      </c>
      <c r="C925" s="52" t="str">
        <f>IF(A925="","",VLOOKUP(A925,'THAM CHIẾU'!$A:$B,2,0))</f>
        <v/>
      </c>
      <c r="D925" s="52" t="str">
        <f>IF(E925&lt;&gt;0,VLOOKUP(E925,DM_DUAN,3,0),"")</f>
        <v/>
      </c>
      <c r="E925" s="735"/>
      <c r="F925" s="735"/>
      <c r="G925" s="735"/>
      <c r="H925" s="735"/>
      <c r="I925" s="735"/>
      <c r="J925" s="52" t="s">
        <v>2214</v>
      </c>
      <c r="K925" s="52" t="s">
        <v>2214</v>
      </c>
      <c r="L925" s="735"/>
      <c r="M925" s="68"/>
      <c r="N925" s="739"/>
      <c r="O925" s="735"/>
      <c r="P925" s="52" t="s">
        <v>2214</v>
      </c>
      <c r="Q925" s="52" t="s">
        <v>2214</v>
      </c>
      <c r="R925" s="737"/>
      <c r="S925" s="735"/>
      <c r="T925" s="737"/>
      <c r="U925" s="737"/>
    </row>
    <row r="926">
      <c r="A926" s="733"/>
      <c r="B926" s="52" t="str">
        <f t="shared" si="1"/>
        <v/>
      </c>
      <c r="C926" s="52" t="str">
        <f>IF(A926="","",VLOOKUP(A926,'THAM CHIẾU'!$A:$B,2,0))</f>
        <v/>
      </c>
      <c r="D926" s="52" t="str">
        <f>IF(E926&lt;&gt;0,VLOOKUP(E926,DM_DUAN,3,0),"")</f>
        <v/>
      </c>
      <c r="E926" s="735"/>
      <c r="F926" s="735"/>
      <c r="G926" s="735"/>
      <c r="H926" s="735"/>
      <c r="I926" s="735"/>
      <c r="J926" s="52" t="s">
        <v>2214</v>
      </c>
      <c r="K926" s="52" t="s">
        <v>2214</v>
      </c>
      <c r="L926" s="735"/>
      <c r="M926" s="68"/>
      <c r="N926" s="739"/>
      <c r="O926" s="735"/>
      <c r="P926" s="52" t="s">
        <v>2214</v>
      </c>
      <c r="Q926" s="52" t="s">
        <v>2214</v>
      </c>
      <c r="R926" s="737"/>
      <c r="S926" s="735"/>
      <c r="T926" s="737"/>
      <c r="U926" s="737"/>
    </row>
    <row r="927">
      <c r="A927" s="733"/>
      <c r="B927" s="52" t="str">
        <f t="shared" si="1"/>
        <v/>
      </c>
      <c r="C927" s="52" t="str">
        <f>IF(A927="","",VLOOKUP(A927,'THAM CHIẾU'!$A:$B,2,0))</f>
        <v/>
      </c>
      <c r="D927" s="52" t="str">
        <f>IF(E927&lt;&gt;0,VLOOKUP(E927,DM_DUAN,3,0),"")</f>
        <v/>
      </c>
      <c r="E927" s="735"/>
      <c r="F927" s="735"/>
      <c r="G927" s="735"/>
      <c r="H927" s="735"/>
      <c r="I927" s="735"/>
      <c r="J927" s="52" t="s">
        <v>2214</v>
      </c>
      <c r="K927" s="52" t="s">
        <v>2214</v>
      </c>
      <c r="L927" s="735"/>
      <c r="M927" s="68"/>
      <c r="N927" s="739"/>
      <c r="O927" s="735"/>
      <c r="P927" s="52" t="s">
        <v>2214</v>
      </c>
      <c r="Q927" s="52" t="s">
        <v>2214</v>
      </c>
      <c r="R927" s="737"/>
      <c r="S927" s="735"/>
      <c r="T927" s="737"/>
      <c r="U927" s="737"/>
    </row>
    <row r="928">
      <c r="A928" s="733"/>
      <c r="B928" s="52" t="str">
        <f t="shared" si="1"/>
        <v/>
      </c>
      <c r="C928" s="52" t="str">
        <f>IF(A928="","",VLOOKUP(A928,'THAM CHIẾU'!$A:$B,2,0))</f>
        <v/>
      </c>
      <c r="D928" s="52" t="str">
        <f>IF(E928&lt;&gt;0,VLOOKUP(E928,DM_DUAN,3,0),"")</f>
        <v/>
      </c>
      <c r="E928" s="735"/>
      <c r="F928" s="735"/>
      <c r="G928" s="735"/>
      <c r="H928" s="735"/>
      <c r="I928" s="735"/>
      <c r="J928" s="52" t="s">
        <v>2214</v>
      </c>
      <c r="K928" s="52" t="s">
        <v>2214</v>
      </c>
      <c r="L928" s="735"/>
      <c r="M928" s="68"/>
      <c r="N928" s="739"/>
      <c r="O928" s="735"/>
      <c r="P928" s="52" t="s">
        <v>2214</v>
      </c>
      <c r="Q928" s="52" t="s">
        <v>2214</v>
      </c>
      <c r="R928" s="737"/>
      <c r="S928" s="735"/>
      <c r="T928" s="737"/>
      <c r="U928" s="737"/>
    </row>
    <row r="929">
      <c r="A929" s="733"/>
      <c r="B929" s="52" t="str">
        <f t="shared" si="1"/>
        <v/>
      </c>
      <c r="C929" s="52" t="str">
        <f>IF(A929="","",VLOOKUP(A929,'THAM CHIẾU'!$A:$B,2,0))</f>
        <v/>
      </c>
      <c r="D929" s="52" t="str">
        <f>IF(E929&lt;&gt;0,VLOOKUP(E929,DM_DUAN,3,0),"")</f>
        <v/>
      </c>
      <c r="E929" s="735"/>
      <c r="F929" s="735"/>
      <c r="G929" s="735"/>
      <c r="H929" s="735"/>
      <c r="I929" s="735"/>
      <c r="J929" s="52" t="s">
        <v>2214</v>
      </c>
      <c r="K929" s="52" t="s">
        <v>2214</v>
      </c>
      <c r="L929" s="735"/>
      <c r="M929" s="68"/>
      <c r="N929" s="739"/>
      <c r="O929" s="735"/>
      <c r="P929" s="52" t="s">
        <v>2214</v>
      </c>
      <c r="Q929" s="52" t="s">
        <v>2214</v>
      </c>
      <c r="R929" s="737"/>
      <c r="S929" s="735"/>
      <c r="T929" s="737"/>
      <c r="U929" s="737"/>
    </row>
    <row r="930">
      <c r="A930" s="733"/>
      <c r="B930" s="52" t="str">
        <f t="shared" si="1"/>
        <v/>
      </c>
      <c r="C930" s="52" t="str">
        <f>IF(A930="","",VLOOKUP(A930,'THAM CHIẾU'!$A:$B,2,0))</f>
        <v/>
      </c>
      <c r="D930" s="52" t="str">
        <f>IF(E930&lt;&gt;0,VLOOKUP(E930,DM_DUAN,3,0),"")</f>
        <v/>
      </c>
      <c r="E930" s="735"/>
      <c r="F930" s="735"/>
      <c r="G930" s="735"/>
      <c r="H930" s="735"/>
      <c r="I930" s="735"/>
      <c r="J930" s="52" t="s">
        <v>2214</v>
      </c>
      <c r="K930" s="52" t="s">
        <v>2214</v>
      </c>
      <c r="L930" s="735"/>
      <c r="M930" s="68"/>
      <c r="N930" s="739"/>
      <c r="O930" s="735"/>
      <c r="P930" s="52" t="s">
        <v>2214</v>
      </c>
      <c r="Q930" s="52" t="s">
        <v>2214</v>
      </c>
      <c r="R930" s="737"/>
      <c r="S930" s="735"/>
      <c r="T930" s="737"/>
      <c r="U930" s="737"/>
    </row>
    <row r="931">
      <c r="A931" s="733"/>
      <c r="B931" s="52" t="str">
        <f t="shared" si="1"/>
        <v/>
      </c>
      <c r="C931" s="52" t="str">
        <f>IF(A931="","",VLOOKUP(A931,'THAM CHIẾU'!$A:$B,2,0))</f>
        <v/>
      </c>
      <c r="D931" s="52" t="str">
        <f>IF(E931&lt;&gt;0,VLOOKUP(E931,DM_DUAN,3,0),"")</f>
        <v/>
      </c>
      <c r="E931" s="735"/>
      <c r="F931" s="735"/>
      <c r="G931" s="735"/>
      <c r="H931" s="735"/>
      <c r="I931" s="735"/>
      <c r="J931" s="52" t="s">
        <v>2214</v>
      </c>
      <c r="K931" s="52" t="s">
        <v>2214</v>
      </c>
      <c r="L931" s="735"/>
      <c r="M931" s="68"/>
      <c r="N931" s="739"/>
      <c r="O931" s="735"/>
      <c r="P931" s="52" t="s">
        <v>2214</v>
      </c>
      <c r="Q931" s="52" t="s">
        <v>2214</v>
      </c>
      <c r="R931" s="737"/>
      <c r="S931" s="735"/>
      <c r="T931" s="737"/>
      <c r="U931" s="737"/>
    </row>
    <row r="932">
      <c r="A932" s="733"/>
      <c r="B932" s="52" t="str">
        <f t="shared" si="1"/>
        <v/>
      </c>
      <c r="C932" s="52" t="str">
        <f>IF(A932="","",VLOOKUP(A932,'THAM CHIẾU'!$A:$B,2,0))</f>
        <v/>
      </c>
      <c r="D932" s="52" t="str">
        <f>IF(E932&lt;&gt;0,VLOOKUP(E932,DM_DUAN,3,0),"")</f>
        <v/>
      </c>
      <c r="E932" s="735"/>
      <c r="F932" s="735"/>
      <c r="G932" s="735"/>
      <c r="H932" s="735"/>
      <c r="I932" s="735"/>
      <c r="J932" s="52" t="s">
        <v>2214</v>
      </c>
      <c r="K932" s="52" t="s">
        <v>2214</v>
      </c>
      <c r="L932" s="735"/>
      <c r="M932" s="68"/>
      <c r="N932" s="739"/>
      <c r="O932" s="735"/>
      <c r="P932" s="52" t="s">
        <v>2214</v>
      </c>
      <c r="Q932" s="52" t="s">
        <v>2214</v>
      </c>
      <c r="R932" s="737"/>
      <c r="S932" s="735"/>
      <c r="T932" s="737"/>
      <c r="U932" s="737"/>
    </row>
    <row r="933">
      <c r="A933" s="733"/>
      <c r="B933" s="52" t="str">
        <f t="shared" si="1"/>
        <v/>
      </c>
      <c r="C933" s="52" t="str">
        <f>IF(A933="","",VLOOKUP(A933,'THAM CHIẾU'!$A:$B,2,0))</f>
        <v/>
      </c>
      <c r="D933" s="52" t="str">
        <f>IF(E933&lt;&gt;0,VLOOKUP(E933,DM_DUAN,3,0),"")</f>
        <v/>
      </c>
      <c r="E933" s="735"/>
      <c r="F933" s="735"/>
      <c r="G933" s="735"/>
      <c r="H933" s="735"/>
      <c r="I933" s="735"/>
      <c r="J933" s="52" t="s">
        <v>2214</v>
      </c>
      <c r="K933" s="52" t="s">
        <v>2214</v>
      </c>
      <c r="L933" s="735"/>
      <c r="M933" s="68"/>
      <c r="N933" s="739"/>
      <c r="O933" s="735"/>
      <c r="P933" s="52" t="s">
        <v>2214</v>
      </c>
      <c r="Q933" s="52" t="s">
        <v>2214</v>
      </c>
      <c r="R933" s="737"/>
      <c r="S933" s="735"/>
      <c r="T933" s="737"/>
      <c r="U933" s="737"/>
    </row>
    <row r="934">
      <c r="A934" s="733"/>
      <c r="B934" s="52" t="str">
        <f t="shared" si="1"/>
        <v/>
      </c>
      <c r="C934" s="52" t="str">
        <f>IF(A934="","",VLOOKUP(A934,'THAM CHIẾU'!$A:$B,2,0))</f>
        <v/>
      </c>
      <c r="D934" s="52" t="str">
        <f>IF(E934&lt;&gt;0,VLOOKUP(E934,DM_DUAN,3,0),"")</f>
        <v/>
      </c>
      <c r="E934" s="735"/>
      <c r="F934" s="735"/>
      <c r="G934" s="735"/>
      <c r="H934" s="735"/>
      <c r="I934" s="735"/>
      <c r="J934" s="52" t="s">
        <v>2214</v>
      </c>
      <c r="K934" s="52" t="s">
        <v>2214</v>
      </c>
      <c r="L934" s="735"/>
      <c r="M934" s="68"/>
      <c r="N934" s="739"/>
      <c r="O934" s="735"/>
      <c r="P934" s="52" t="s">
        <v>2214</v>
      </c>
      <c r="Q934" s="52" t="s">
        <v>2214</v>
      </c>
      <c r="R934" s="737"/>
      <c r="S934" s="735"/>
      <c r="T934" s="737"/>
      <c r="U934" s="737"/>
    </row>
    <row r="935">
      <c r="A935" s="733"/>
      <c r="B935" s="52" t="str">
        <f t="shared" si="1"/>
        <v/>
      </c>
      <c r="C935" s="52" t="str">
        <f>IF(A935="","",VLOOKUP(A935,'THAM CHIẾU'!$A:$B,2,0))</f>
        <v/>
      </c>
      <c r="D935" s="52" t="str">
        <f>IF(E935&lt;&gt;0,VLOOKUP(E935,DM_DUAN,3,0),"")</f>
        <v/>
      </c>
      <c r="E935" s="735"/>
      <c r="F935" s="735"/>
      <c r="G935" s="735"/>
      <c r="H935" s="735"/>
      <c r="I935" s="735"/>
      <c r="J935" s="52" t="s">
        <v>2214</v>
      </c>
      <c r="K935" s="52" t="s">
        <v>2214</v>
      </c>
      <c r="L935" s="735"/>
      <c r="M935" s="68"/>
      <c r="N935" s="739"/>
      <c r="O935" s="735"/>
      <c r="P935" s="52" t="s">
        <v>2214</v>
      </c>
      <c r="Q935" s="52" t="s">
        <v>2214</v>
      </c>
      <c r="R935" s="737"/>
      <c r="S935" s="735"/>
      <c r="T935" s="737"/>
      <c r="U935" s="737"/>
    </row>
    <row r="936">
      <c r="A936" s="733"/>
      <c r="B936" s="52" t="str">
        <f t="shared" si="1"/>
        <v/>
      </c>
      <c r="C936" s="52" t="str">
        <f>IF(A936="","",VLOOKUP(A936,'THAM CHIẾU'!$A:$B,2,0))</f>
        <v/>
      </c>
      <c r="D936" s="52" t="str">
        <f>IF(E936&lt;&gt;0,VLOOKUP(E936,DM_DUAN,3,0),"")</f>
        <v/>
      </c>
      <c r="E936" s="735"/>
      <c r="F936" s="735"/>
      <c r="G936" s="735"/>
      <c r="H936" s="735"/>
      <c r="I936" s="735"/>
      <c r="J936" s="52" t="s">
        <v>2214</v>
      </c>
      <c r="K936" s="52" t="s">
        <v>2214</v>
      </c>
      <c r="L936" s="735"/>
      <c r="M936" s="68"/>
      <c r="N936" s="739"/>
      <c r="O936" s="735"/>
      <c r="P936" s="52" t="s">
        <v>2214</v>
      </c>
      <c r="Q936" s="52" t="s">
        <v>2214</v>
      </c>
      <c r="R936" s="737"/>
      <c r="S936" s="735"/>
      <c r="T936" s="737"/>
      <c r="U936" s="737"/>
    </row>
    <row r="937">
      <c r="A937" s="733"/>
      <c r="B937" s="52" t="str">
        <f t="shared" si="1"/>
        <v/>
      </c>
      <c r="C937" s="52" t="str">
        <f>IF(A937="","",VLOOKUP(A937,'THAM CHIẾU'!$A:$B,2,0))</f>
        <v/>
      </c>
      <c r="D937" s="52" t="str">
        <f>IF(E937&lt;&gt;0,VLOOKUP(E937,DM_DUAN,3,0),"")</f>
        <v/>
      </c>
      <c r="E937" s="735"/>
      <c r="F937" s="735"/>
      <c r="G937" s="735"/>
      <c r="H937" s="735"/>
      <c r="I937" s="735"/>
      <c r="J937" s="52" t="s">
        <v>2214</v>
      </c>
      <c r="K937" s="52" t="s">
        <v>2214</v>
      </c>
      <c r="L937" s="735"/>
      <c r="M937" s="68"/>
      <c r="N937" s="739"/>
      <c r="O937" s="735"/>
      <c r="P937" s="52" t="s">
        <v>2214</v>
      </c>
      <c r="Q937" s="52" t="s">
        <v>2214</v>
      </c>
      <c r="R937" s="737"/>
      <c r="S937" s="735"/>
      <c r="T937" s="737"/>
      <c r="U937" s="737"/>
    </row>
    <row r="938">
      <c r="A938" s="733"/>
      <c r="B938" s="52" t="str">
        <f t="shared" si="1"/>
        <v/>
      </c>
      <c r="C938" s="52" t="str">
        <f>IF(A938="","",VLOOKUP(A938,'THAM CHIẾU'!$A:$B,2,0))</f>
        <v/>
      </c>
      <c r="D938" s="52" t="str">
        <f>IF(E938&lt;&gt;0,VLOOKUP(E938,DM_DUAN,3,0),"")</f>
        <v/>
      </c>
      <c r="E938" s="735"/>
      <c r="F938" s="735"/>
      <c r="G938" s="735"/>
      <c r="H938" s="735"/>
      <c r="I938" s="735"/>
      <c r="J938" s="52" t="s">
        <v>2214</v>
      </c>
      <c r="K938" s="52" t="s">
        <v>2214</v>
      </c>
      <c r="L938" s="735"/>
      <c r="M938" s="68"/>
      <c r="N938" s="739"/>
      <c r="O938" s="735"/>
      <c r="P938" s="52" t="s">
        <v>2214</v>
      </c>
      <c r="Q938" s="52" t="s">
        <v>2214</v>
      </c>
      <c r="R938" s="737"/>
      <c r="S938" s="735"/>
      <c r="T938" s="737"/>
      <c r="U938" s="737"/>
    </row>
    <row r="939">
      <c r="A939" s="733"/>
      <c r="B939" s="52" t="str">
        <f t="shared" si="1"/>
        <v/>
      </c>
      <c r="C939" s="52" t="str">
        <f>IF(A939="","",VLOOKUP(A939,'THAM CHIẾU'!$A:$B,2,0))</f>
        <v/>
      </c>
      <c r="D939" s="52" t="str">
        <f>IF(E939&lt;&gt;0,VLOOKUP(E939,DM_DUAN,3,0),"")</f>
        <v/>
      </c>
      <c r="E939" s="735"/>
      <c r="F939" s="735"/>
      <c r="G939" s="735"/>
      <c r="H939" s="735"/>
      <c r="I939" s="735"/>
      <c r="J939" s="52" t="s">
        <v>2214</v>
      </c>
      <c r="K939" s="52" t="s">
        <v>2214</v>
      </c>
      <c r="L939" s="735"/>
      <c r="M939" s="68"/>
      <c r="N939" s="739"/>
      <c r="O939" s="735"/>
      <c r="P939" s="52" t="s">
        <v>2214</v>
      </c>
      <c r="Q939" s="52" t="s">
        <v>2214</v>
      </c>
      <c r="R939" s="737"/>
      <c r="S939" s="735"/>
      <c r="T939" s="737"/>
      <c r="U939" s="737"/>
    </row>
    <row r="940">
      <c r="A940" s="733"/>
      <c r="B940" s="52" t="str">
        <f t="shared" si="1"/>
        <v/>
      </c>
      <c r="C940" s="52" t="str">
        <f>IF(A940="","",VLOOKUP(A940,'THAM CHIẾU'!$A:$B,2,0))</f>
        <v/>
      </c>
      <c r="D940" s="52" t="str">
        <f>IF(E940&lt;&gt;0,VLOOKUP(E940,DM_DUAN,3,0),"")</f>
        <v/>
      </c>
      <c r="E940" s="735"/>
      <c r="F940" s="735"/>
      <c r="G940" s="735"/>
      <c r="H940" s="735"/>
      <c r="I940" s="735"/>
      <c r="J940" s="52" t="s">
        <v>2214</v>
      </c>
      <c r="K940" s="52" t="s">
        <v>2214</v>
      </c>
      <c r="L940" s="735"/>
      <c r="M940" s="68"/>
      <c r="N940" s="739"/>
      <c r="O940" s="735"/>
      <c r="P940" s="52" t="s">
        <v>2214</v>
      </c>
      <c r="Q940" s="52" t="s">
        <v>2214</v>
      </c>
      <c r="R940" s="737"/>
      <c r="S940" s="735"/>
      <c r="T940" s="737"/>
      <c r="U940" s="737"/>
    </row>
    <row r="941">
      <c r="A941" s="733"/>
      <c r="B941" s="52" t="str">
        <f t="shared" si="1"/>
        <v/>
      </c>
      <c r="C941" s="52" t="str">
        <f>IF(A941="","",VLOOKUP(A941,'THAM CHIẾU'!$A:$B,2,0))</f>
        <v/>
      </c>
      <c r="D941" s="52" t="str">
        <f>IF(E941&lt;&gt;0,VLOOKUP(E941,DM_DUAN,3,0),"")</f>
        <v/>
      </c>
      <c r="E941" s="735"/>
      <c r="F941" s="735"/>
      <c r="G941" s="735"/>
      <c r="H941" s="735"/>
      <c r="I941" s="735"/>
      <c r="J941" s="52" t="s">
        <v>2214</v>
      </c>
      <c r="K941" s="52" t="s">
        <v>2214</v>
      </c>
      <c r="L941" s="735"/>
      <c r="M941" s="68"/>
      <c r="N941" s="739"/>
      <c r="O941" s="735"/>
      <c r="P941" s="52" t="s">
        <v>2214</v>
      </c>
      <c r="Q941" s="52" t="s">
        <v>2214</v>
      </c>
      <c r="R941" s="737"/>
      <c r="S941" s="735"/>
      <c r="T941" s="737"/>
      <c r="U941" s="737"/>
    </row>
    <row r="942">
      <c r="A942" s="733"/>
      <c r="B942" s="52" t="str">
        <f t="shared" si="1"/>
        <v/>
      </c>
      <c r="C942" s="52" t="str">
        <f>IF(A942="","",VLOOKUP(A942,'THAM CHIẾU'!$A:$B,2,0))</f>
        <v/>
      </c>
      <c r="D942" s="52" t="str">
        <f>IF(E942&lt;&gt;0,VLOOKUP(E942,DM_DUAN,3,0),"")</f>
        <v/>
      </c>
      <c r="E942" s="735"/>
      <c r="F942" s="735"/>
      <c r="G942" s="735"/>
      <c r="H942" s="735"/>
      <c r="I942" s="735"/>
      <c r="J942" s="52" t="s">
        <v>2214</v>
      </c>
      <c r="K942" s="52" t="s">
        <v>2214</v>
      </c>
      <c r="L942" s="735"/>
      <c r="M942" s="68"/>
      <c r="N942" s="739"/>
      <c r="O942" s="735"/>
      <c r="P942" s="52" t="s">
        <v>2214</v>
      </c>
      <c r="Q942" s="52" t="s">
        <v>2214</v>
      </c>
      <c r="R942" s="737"/>
      <c r="S942" s="735"/>
      <c r="T942" s="737"/>
      <c r="U942" s="737"/>
    </row>
    <row r="943">
      <c r="A943" s="733"/>
      <c r="B943" s="52" t="str">
        <f t="shared" si="1"/>
        <v/>
      </c>
      <c r="C943" s="52" t="str">
        <f>IF(A943="","",VLOOKUP(A943,'THAM CHIẾU'!$A:$B,2,0))</f>
        <v/>
      </c>
      <c r="D943" s="52" t="str">
        <f>IF(E943&lt;&gt;0,VLOOKUP(E943,DM_DUAN,3,0),"")</f>
        <v/>
      </c>
      <c r="E943" s="735"/>
      <c r="F943" s="735"/>
      <c r="G943" s="735"/>
      <c r="H943" s="735"/>
      <c r="I943" s="735"/>
      <c r="J943" s="52" t="s">
        <v>2214</v>
      </c>
      <c r="K943" s="52" t="s">
        <v>2214</v>
      </c>
      <c r="L943" s="735"/>
      <c r="M943" s="68"/>
      <c r="N943" s="739"/>
      <c r="O943" s="735"/>
      <c r="P943" s="52" t="s">
        <v>2214</v>
      </c>
      <c r="Q943" s="52" t="s">
        <v>2214</v>
      </c>
      <c r="R943" s="737"/>
      <c r="S943" s="735"/>
      <c r="T943" s="737"/>
      <c r="U943" s="737"/>
    </row>
    <row r="944">
      <c r="A944" s="733"/>
      <c r="B944" s="52" t="str">
        <f t="shared" si="1"/>
        <v/>
      </c>
      <c r="C944" s="52" t="str">
        <f>IF(A944="","",VLOOKUP(A944,'THAM CHIẾU'!$A:$B,2,0))</f>
        <v/>
      </c>
      <c r="D944" s="52" t="str">
        <f>IF(E944&lt;&gt;0,VLOOKUP(E944,DM_DUAN,3,0),"")</f>
        <v/>
      </c>
      <c r="E944" s="735"/>
      <c r="F944" s="735"/>
      <c r="G944" s="735"/>
      <c r="H944" s="735"/>
      <c r="I944" s="735"/>
      <c r="J944" s="52" t="s">
        <v>2214</v>
      </c>
      <c r="K944" s="52" t="s">
        <v>2214</v>
      </c>
      <c r="L944" s="735"/>
      <c r="M944" s="68"/>
      <c r="N944" s="739"/>
      <c r="O944" s="735"/>
      <c r="P944" s="52" t="s">
        <v>2214</v>
      </c>
      <c r="Q944" s="52" t="s">
        <v>2214</v>
      </c>
      <c r="R944" s="737"/>
      <c r="S944" s="735"/>
      <c r="T944" s="737"/>
      <c r="U944" s="737"/>
    </row>
    <row r="945">
      <c r="A945" s="733"/>
      <c r="B945" s="52" t="str">
        <f t="shared" si="1"/>
        <v/>
      </c>
      <c r="C945" s="52" t="str">
        <f>IF(A945="","",VLOOKUP(A945,'THAM CHIẾU'!$A:$B,2,0))</f>
        <v/>
      </c>
      <c r="D945" s="52" t="str">
        <f>IF(E945&lt;&gt;0,VLOOKUP(E945,DM_DUAN,3,0),"")</f>
        <v/>
      </c>
      <c r="E945" s="735"/>
      <c r="F945" s="735"/>
      <c r="G945" s="735"/>
      <c r="H945" s="735"/>
      <c r="I945" s="735"/>
      <c r="J945" s="52" t="s">
        <v>2214</v>
      </c>
      <c r="K945" s="52" t="s">
        <v>2214</v>
      </c>
      <c r="L945" s="735"/>
      <c r="M945" s="68"/>
      <c r="N945" s="739"/>
      <c r="O945" s="735"/>
      <c r="P945" s="52" t="s">
        <v>2214</v>
      </c>
      <c r="Q945" s="52" t="s">
        <v>2214</v>
      </c>
      <c r="R945" s="737"/>
      <c r="S945" s="735"/>
      <c r="T945" s="737"/>
      <c r="U945" s="737"/>
    </row>
    <row r="946">
      <c r="A946" s="733"/>
      <c r="B946" s="52" t="str">
        <f t="shared" si="1"/>
        <v/>
      </c>
      <c r="C946" s="52" t="str">
        <f>IF(A946="","",VLOOKUP(A946,'THAM CHIẾU'!$A:$B,2,0))</f>
        <v/>
      </c>
      <c r="D946" s="52" t="str">
        <f>IF(E946&lt;&gt;0,VLOOKUP(E946,DM_DUAN,3,0),"")</f>
        <v/>
      </c>
      <c r="E946" s="735"/>
      <c r="F946" s="735"/>
      <c r="G946" s="735"/>
      <c r="H946" s="735"/>
      <c r="I946" s="735"/>
      <c r="J946" s="52" t="s">
        <v>2214</v>
      </c>
      <c r="K946" s="52" t="s">
        <v>2214</v>
      </c>
      <c r="L946" s="735"/>
      <c r="M946" s="68"/>
      <c r="N946" s="739"/>
      <c r="O946" s="735"/>
      <c r="P946" s="52" t="s">
        <v>2214</v>
      </c>
      <c r="Q946" s="52" t="s">
        <v>2214</v>
      </c>
      <c r="R946" s="737"/>
      <c r="S946" s="735"/>
      <c r="T946" s="737"/>
      <c r="U946" s="737"/>
    </row>
    <row r="947">
      <c r="A947" s="733"/>
      <c r="B947" s="52" t="str">
        <f t="shared" si="1"/>
        <v/>
      </c>
      <c r="C947" s="52" t="str">
        <f>IF(A947="","",VLOOKUP(A947,'THAM CHIẾU'!$A:$B,2,0))</f>
        <v/>
      </c>
      <c r="D947" s="52" t="str">
        <f>IF(E947&lt;&gt;0,VLOOKUP(E947,DM_DUAN,3,0),"")</f>
        <v/>
      </c>
      <c r="E947" s="735"/>
      <c r="F947" s="735"/>
      <c r="G947" s="735"/>
      <c r="H947" s="735"/>
      <c r="I947" s="735"/>
      <c r="J947" s="52" t="s">
        <v>2214</v>
      </c>
      <c r="K947" s="52" t="s">
        <v>2214</v>
      </c>
      <c r="L947" s="735"/>
      <c r="M947" s="68"/>
      <c r="N947" s="739"/>
      <c r="O947" s="735"/>
      <c r="P947" s="52" t="s">
        <v>2214</v>
      </c>
      <c r="Q947" s="52" t="s">
        <v>2214</v>
      </c>
      <c r="R947" s="737"/>
      <c r="S947" s="735"/>
      <c r="T947" s="737"/>
      <c r="U947" s="737"/>
    </row>
    <row r="948">
      <c r="A948" s="733"/>
      <c r="B948" s="52" t="str">
        <f t="shared" si="1"/>
        <v/>
      </c>
      <c r="C948" s="52" t="str">
        <f>IF(A948="","",VLOOKUP(A948,'THAM CHIẾU'!$A:$B,2,0))</f>
        <v/>
      </c>
      <c r="D948" s="52" t="str">
        <f>IF(E948&lt;&gt;0,VLOOKUP(E948,DM_DUAN,3,0),"")</f>
        <v/>
      </c>
      <c r="E948" s="735"/>
      <c r="F948" s="735"/>
      <c r="G948" s="735"/>
      <c r="H948" s="735"/>
      <c r="I948" s="735"/>
      <c r="J948" s="52" t="s">
        <v>2214</v>
      </c>
      <c r="K948" s="52" t="s">
        <v>2214</v>
      </c>
      <c r="L948" s="735"/>
      <c r="M948" s="68"/>
      <c r="N948" s="739"/>
      <c r="O948" s="735"/>
      <c r="P948" s="52" t="s">
        <v>2214</v>
      </c>
      <c r="Q948" s="52" t="s">
        <v>2214</v>
      </c>
      <c r="R948" s="737"/>
      <c r="S948" s="735"/>
      <c r="T948" s="737"/>
      <c r="U948" s="737"/>
    </row>
    <row r="949">
      <c r="A949" s="733"/>
      <c r="B949" s="52" t="str">
        <f t="shared" si="1"/>
        <v/>
      </c>
      <c r="C949" s="52" t="str">
        <f>IF(A949="","",VLOOKUP(A949,'THAM CHIẾU'!$A:$B,2,0))</f>
        <v/>
      </c>
      <c r="D949" s="52" t="str">
        <f>IF(E949&lt;&gt;0,VLOOKUP(E949,DM_DUAN,3,0),"")</f>
        <v/>
      </c>
      <c r="E949" s="735"/>
      <c r="F949" s="735"/>
      <c r="G949" s="735"/>
      <c r="H949" s="735"/>
      <c r="I949" s="735"/>
      <c r="J949" s="52" t="s">
        <v>2214</v>
      </c>
      <c r="K949" s="52" t="s">
        <v>2214</v>
      </c>
      <c r="L949" s="735"/>
      <c r="M949" s="68"/>
      <c r="N949" s="739"/>
      <c r="O949" s="735"/>
      <c r="P949" s="52" t="s">
        <v>2214</v>
      </c>
      <c r="Q949" s="52" t="s">
        <v>2214</v>
      </c>
      <c r="R949" s="737"/>
      <c r="S949" s="735"/>
      <c r="T949" s="737"/>
      <c r="U949" s="737"/>
    </row>
    <row r="950">
      <c r="A950" s="733"/>
      <c r="B950" s="52" t="str">
        <f t="shared" si="1"/>
        <v/>
      </c>
      <c r="C950" s="52" t="str">
        <f>IF(A950="","",VLOOKUP(A950,'THAM CHIẾU'!$A:$B,2,0))</f>
        <v/>
      </c>
      <c r="D950" s="52" t="str">
        <f>IF(E950&lt;&gt;0,VLOOKUP(E950,DM_DUAN,3,0),"")</f>
        <v/>
      </c>
      <c r="E950" s="735"/>
      <c r="F950" s="735"/>
      <c r="G950" s="735"/>
      <c r="H950" s="735"/>
      <c r="I950" s="735"/>
      <c r="J950" s="52" t="s">
        <v>2214</v>
      </c>
      <c r="K950" s="52" t="s">
        <v>2214</v>
      </c>
      <c r="L950" s="735"/>
      <c r="M950" s="68"/>
      <c r="N950" s="739"/>
      <c r="O950" s="735"/>
      <c r="P950" s="52" t="s">
        <v>2214</v>
      </c>
      <c r="Q950" s="52" t="s">
        <v>2214</v>
      </c>
      <c r="R950" s="737"/>
      <c r="S950" s="735"/>
      <c r="T950" s="737"/>
      <c r="U950" s="737"/>
    </row>
    <row r="951">
      <c r="A951" s="733"/>
      <c r="B951" s="52" t="str">
        <f t="shared" si="1"/>
        <v/>
      </c>
      <c r="C951" s="52" t="str">
        <f>IF(A951="","",VLOOKUP(A951,'THAM CHIẾU'!$A:$B,2,0))</f>
        <v/>
      </c>
      <c r="D951" s="52" t="str">
        <f>IF(E951&lt;&gt;0,VLOOKUP(E951,DM_DUAN,3,0),"")</f>
        <v/>
      </c>
      <c r="E951" s="735"/>
      <c r="F951" s="735"/>
      <c r="G951" s="735"/>
      <c r="H951" s="735"/>
      <c r="I951" s="735"/>
      <c r="J951" s="52" t="s">
        <v>2214</v>
      </c>
      <c r="K951" s="52" t="s">
        <v>2214</v>
      </c>
      <c r="L951" s="735"/>
      <c r="M951" s="68"/>
      <c r="N951" s="739"/>
      <c r="O951" s="735"/>
      <c r="P951" s="52" t="s">
        <v>2214</v>
      </c>
      <c r="Q951" s="52" t="s">
        <v>2214</v>
      </c>
      <c r="R951" s="737"/>
      <c r="S951" s="735"/>
      <c r="T951" s="737"/>
      <c r="U951" s="737"/>
    </row>
    <row r="952">
      <c r="A952" s="733"/>
      <c r="B952" s="52" t="str">
        <f t="shared" si="1"/>
        <v/>
      </c>
      <c r="C952" s="52" t="str">
        <f>IF(A952="","",VLOOKUP(A952,'THAM CHIẾU'!$A:$B,2,0))</f>
        <v/>
      </c>
      <c r="D952" s="52" t="str">
        <f>IF(E952&lt;&gt;0,VLOOKUP(E952,DM_DUAN,3,0),"")</f>
        <v/>
      </c>
      <c r="E952" s="735"/>
      <c r="F952" s="735"/>
      <c r="G952" s="735"/>
      <c r="H952" s="735"/>
      <c r="I952" s="735"/>
      <c r="J952" s="52" t="s">
        <v>2214</v>
      </c>
      <c r="K952" s="52" t="s">
        <v>2214</v>
      </c>
      <c r="L952" s="735"/>
      <c r="M952" s="68"/>
      <c r="N952" s="739"/>
      <c r="O952" s="735"/>
      <c r="P952" s="52" t="s">
        <v>2214</v>
      </c>
      <c r="Q952" s="52" t="s">
        <v>2214</v>
      </c>
      <c r="R952" s="737"/>
      <c r="S952" s="735"/>
      <c r="T952" s="737"/>
      <c r="U952" s="737"/>
    </row>
    <row r="953">
      <c r="A953" s="733"/>
      <c r="B953" s="52" t="str">
        <f t="shared" si="1"/>
        <v/>
      </c>
      <c r="C953" s="52" t="str">
        <f>IF(A953="","",VLOOKUP(A953,'THAM CHIẾU'!$A:$B,2,0))</f>
        <v/>
      </c>
      <c r="D953" s="52" t="str">
        <f>IF(E953&lt;&gt;0,VLOOKUP(E953,DM_DUAN,3,0),"")</f>
        <v/>
      </c>
      <c r="E953" s="735"/>
      <c r="F953" s="735"/>
      <c r="G953" s="735"/>
      <c r="H953" s="735"/>
      <c r="I953" s="735"/>
      <c r="J953" s="52" t="s">
        <v>2214</v>
      </c>
      <c r="K953" s="52" t="s">
        <v>2214</v>
      </c>
      <c r="L953" s="735"/>
      <c r="M953" s="68"/>
      <c r="N953" s="739"/>
      <c r="O953" s="735"/>
      <c r="P953" s="52" t="s">
        <v>2214</v>
      </c>
      <c r="Q953" s="52" t="s">
        <v>2214</v>
      </c>
      <c r="R953" s="737"/>
      <c r="S953" s="735"/>
      <c r="T953" s="737"/>
      <c r="U953" s="737"/>
    </row>
    <row r="954">
      <c r="A954" s="733"/>
      <c r="B954" s="52" t="str">
        <f t="shared" si="1"/>
        <v/>
      </c>
      <c r="C954" s="52" t="str">
        <f>IF(A954="","",VLOOKUP(A954,'THAM CHIẾU'!$A:$B,2,0))</f>
        <v/>
      </c>
      <c r="D954" s="52" t="str">
        <f>IF(E954&lt;&gt;0,VLOOKUP(E954,DM_DUAN,3,0),"")</f>
        <v/>
      </c>
      <c r="E954" s="735"/>
      <c r="F954" s="735"/>
      <c r="G954" s="735"/>
      <c r="H954" s="735"/>
      <c r="I954" s="735"/>
      <c r="J954" s="52" t="s">
        <v>2214</v>
      </c>
      <c r="K954" s="52" t="s">
        <v>2214</v>
      </c>
      <c r="L954" s="735"/>
      <c r="M954" s="68"/>
      <c r="N954" s="739"/>
      <c r="O954" s="735"/>
      <c r="P954" s="52" t="s">
        <v>2214</v>
      </c>
      <c r="Q954" s="52" t="s">
        <v>2214</v>
      </c>
      <c r="R954" s="737"/>
      <c r="S954" s="735"/>
      <c r="T954" s="737"/>
      <c r="U954" s="737"/>
    </row>
    <row r="955">
      <c r="A955" s="733"/>
      <c r="B955" s="52" t="str">
        <f t="shared" si="1"/>
        <v/>
      </c>
      <c r="C955" s="52" t="str">
        <f>IF(A955="","",VLOOKUP(A955,'THAM CHIẾU'!$A:$B,2,0))</f>
        <v/>
      </c>
      <c r="D955" s="52" t="str">
        <f>IF(E955&lt;&gt;0,VLOOKUP(E955,DM_DUAN,3,0),"")</f>
        <v/>
      </c>
      <c r="E955" s="735"/>
      <c r="F955" s="735"/>
      <c r="G955" s="735"/>
      <c r="H955" s="735"/>
      <c r="I955" s="735"/>
      <c r="J955" s="52" t="s">
        <v>2214</v>
      </c>
      <c r="K955" s="52" t="s">
        <v>2214</v>
      </c>
      <c r="L955" s="735"/>
      <c r="M955" s="68"/>
      <c r="N955" s="739"/>
      <c r="O955" s="735"/>
      <c r="P955" s="52" t="s">
        <v>2214</v>
      </c>
      <c r="Q955" s="52" t="s">
        <v>2214</v>
      </c>
      <c r="R955" s="737"/>
      <c r="S955" s="735"/>
      <c r="T955" s="737"/>
      <c r="U955" s="737"/>
    </row>
    <row r="956">
      <c r="A956" s="733"/>
      <c r="B956" s="52" t="str">
        <f t="shared" si="1"/>
        <v/>
      </c>
      <c r="C956" s="52" t="str">
        <f>IF(A956="","",VLOOKUP(A956,'THAM CHIẾU'!$A:$B,2,0))</f>
        <v/>
      </c>
      <c r="D956" s="52" t="str">
        <f>IF(E956&lt;&gt;0,VLOOKUP(E956,DM_DUAN,3,0),"")</f>
        <v/>
      </c>
      <c r="E956" s="735"/>
      <c r="F956" s="735"/>
      <c r="G956" s="735"/>
      <c r="H956" s="735"/>
      <c r="I956" s="735"/>
      <c r="J956" s="52" t="s">
        <v>2214</v>
      </c>
      <c r="K956" s="52" t="s">
        <v>2214</v>
      </c>
      <c r="L956" s="735"/>
      <c r="M956" s="68"/>
      <c r="N956" s="739"/>
      <c r="O956" s="735"/>
      <c r="P956" s="52" t="s">
        <v>2214</v>
      </c>
      <c r="Q956" s="52" t="s">
        <v>2214</v>
      </c>
      <c r="R956" s="737"/>
      <c r="S956" s="735"/>
      <c r="T956" s="737"/>
      <c r="U956" s="737"/>
    </row>
    <row r="957">
      <c r="A957" s="733"/>
      <c r="B957" s="52" t="str">
        <f t="shared" si="1"/>
        <v/>
      </c>
      <c r="C957" s="52" t="str">
        <f>IF(A957="","",VLOOKUP(A957,'THAM CHIẾU'!$A:$B,2,0))</f>
        <v/>
      </c>
      <c r="D957" s="52" t="str">
        <f>IF(E957&lt;&gt;0,VLOOKUP(E957,DM_DUAN,3,0),"")</f>
        <v/>
      </c>
      <c r="E957" s="735"/>
      <c r="F957" s="735"/>
      <c r="G957" s="735"/>
      <c r="H957" s="735"/>
      <c r="I957" s="735"/>
      <c r="J957" s="52" t="s">
        <v>2214</v>
      </c>
      <c r="K957" s="52" t="s">
        <v>2214</v>
      </c>
      <c r="L957" s="735"/>
      <c r="M957" s="68"/>
      <c r="N957" s="739"/>
      <c r="O957" s="735"/>
      <c r="P957" s="52" t="s">
        <v>2214</v>
      </c>
      <c r="Q957" s="52" t="s">
        <v>2214</v>
      </c>
      <c r="R957" s="737"/>
      <c r="S957" s="735"/>
      <c r="T957" s="737"/>
      <c r="U957" s="737"/>
    </row>
    <row r="958">
      <c r="A958" s="733"/>
      <c r="B958" s="52" t="str">
        <f t="shared" si="1"/>
        <v/>
      </c>
      <c r="C958" s="52" t="str">
        <f>IF(A958="","",VLOOKUP(A958,'THAM CHIẾU'!$A:$B,2,0))</f>
        <v/>
      </c>
      <c r="D958" s="52" t="str">
        <f>IF(E958&lt;&gt;0,VLOOKUP(E958,DM_DUAN,3,0),"")</f>
        <v/>
      </c>
      <c r="E958" s="735"/>
      <c r="F958" s="735"/>
      <c r="G958" s="735"/>
      <c r="H958" s="735"/>
      <c r="I958" s="735"/>
      <c r="J958" s="52" t="s">
        <v>2214</v>
      </c>
      <c r="K958" s="52" t="s">
        <v>2214</v>
      </c>
      <c r="L958" s="735"/>
      <c r="M958" s="68"/>
      <c r="N958" s="739"/>
      <c r="O958" s="735"/>
      <c r="P958" s="52" t="s">
        <v>2214</v>
      </c>
      <c r="Q958" s="52" t="s">
        <v>2214</v>
      </c>
      <c r="R958" s="737"/>
      <c r="S958" s="735"/>
      <c r="T958" s="737"/>
      <c r="U958" s="737"/>
    </row>
    <row r="959">
      <c r="A959" s="733"/>
      <c r="B959" s="52" t="str">
        <f t="shared" si="1"/>
        <v/>
      </c>
      <c r="C959" s="52" t="str">
        <f>IF(A959="","",VLOOKUP(A959,'THAM CHIẾU'!$A:$B,2,0))</f>
        <v/>
      </c>
      <c r="D959" s="52" t="str">
        <f>IF(E959&lt;&gt;0,VLOOKUP(E959,DM_DUAN,3,0),"")</f>
        <v/>
      </c>
      <c r="E959" s="735"/>
      <c r="F959" s="735"/>
      <c r="G959" s="735"/>
      <c r="H959" s="735"/>
      <c r="I959" s="735"/>
      <c r="J959" s="52" t="s">
        <v>2214</v>
      </c>
      <c r="K959" s="52" t="s">
        <v>2214</v>
      </c>
      <c r="L959" s="735"/>
      <c r="M959" s="68"/>
      <c r="N959" s="739"/>
      <c r="O959" s="735"/>
      <c r="P959" s="52" t="s">
        <v>2214</v>
      </c>
      <c r="Q959" s="52" t="s">
        <v>2214</v>
      </c>
      <c r="R959" s="737"/>
      <c r="S959" s="735"/>
      <c r="T959" s="737"/>
      <c r="U959" s="737"/>
    </row>
    <row r="960">
      <c r="A960" s="733"/>
      <c r="B960" s="52" t="str">
        <f t="shared" si="1"/>
        <v/>
      </c>
      <c r="C960" s="52" t="str">
        <f>IF(A960="","",VLOOKUP(A960,'THAM CHIẾU'!$A:$B,2,0))</f>
        <v/>
      </c>
      <c r="D960" s="52" t="str">
        <f>IF(E960&lt;&gt;0,VLOOKUP(E960,DM_DUAN,3,0),"")</f>
        <v/>
      </c>
      <c r="E960" s="735"/>
      <c r="F960" s="735"/>
      <c r="G960" s="735"/>
      <c r="H960" s="735"/>
      <c r="I960" s="735"/>
      <c r="J960" s="52" t="s">
        <v>2214</v>
      </c>
      <c r="K960" s="52" t="s">
        <v>2214</v>
      </c>
      <c r="L960" s="735"/>
      <c r="M960" s="68"/>
      <c r="N960" s="739"/>
      <c r="O960" s="735"/>
      <c r="P960" s="52" t="s">
        <v>2214</v>
      </c>
      <c r="Q960" s="52" t="s">
        <v>2214</v>
      </c>
      <c r="R960" s="737"/>
      <c r="S960" s="735"/>
      <c r="T960" s="737"/>
      <c r="U960" s="737"/>
    </row>
    <row r="961">
      <c r="A961" s="733"/>
      <c r="B961" s="52" t="str">
        <f t="shared" si="1"/>
        <v/>
      </c>
      <c r="C961" s="52" t="str">
        <f>IF(A961="","",VLOOKUP(A961,'THAM CHIẾU'!$A:$B,2,0))</f>
        <v/>
      </c>
      <c r="D961" s="52" t="str">
        <f>IF(E961&lt;&gt;0,VLOOKUP(E961,DM_DUAN,3,0),"")</f>
        <v/>
      </c>
      <c r="E961" s="735"/>
      <c r="F961" s="735"/>
      <c r="G961" s="735"/>
      <c r="H961" s="735"/>
      <c r="I961" s="735"/>
      <c r="J961" s="52" t="s">
        <v>2214</v>
      </c>
      <c r="K961" s="52" t="s">
        <v>2214</v>
      </c>
      <c r="L961" s="735"/>
      <c r="M961" s="68"/>
      <c r="N961" s="739"/>
      <c r="O961" s="735"/>
      <c r="P961" s="52" t="s">
        <v>2214</v>
      </c>
      <c r="Q961" s="52" t="s">
        <v>2214</v>
      </c>
      <c r="R961" s="737"/>
      <c r="S961" s="735"/>
      <c r="T961" s="737"/>
      <c r="U961" s="737"/>
    </row>
    <row r="962">
      <c r="A962" s="733"/>
      <c r="B962" s="52" t="str">
        <f t="shared" si="1"/>
        <v/>
      </c>
      <c r="C962" s="52" t="str">
        <f>IF(A962="","",VLOOKUP(A962,'THAM CHIẾU'!$A:$B,2,0))</f>
        <v/>
      </c>
      <c r="D962" s="52" t="str">
        <f>IF(E962&lt;&gt;0,VLOOKUP(E962,DM_DUAN,3,0),"")</f>
        <v/>
      </c>
      <c r="E962" s="735"/>
      <c r="F962" s="735"/>
      <c r="G962" s="735"/>
      <c r="H962" s="735"/>
      <c r="I962" s="735"/>
      <c r="J962" s="52" t="s">
        <v>2214</v>
      </c>
      <c r="K962" s="52" t="s">
        <v>2214</v>
      </c>
      <c r="L962" s="735"/>
      <c r="M962" s="68"/>
      <c r="N962" s="739"/>
      <c r="O962" s="735"/>
      <c r="P962" s="52" t="s">
        <v>2214</v>
      </c>
      <c r="Q962" s="52" t="s">
        <v>2214</v>
      </c>
      <c r="R962" s="737"/>
      <c r="S962" s="735"/>
      <c r="T962" s="737"/>
      <c r="U962" s="737"/>
    </row>
    <row r="963">
      <c r="A963" s="733"/>
      <c r="B963" s="52" t="str">
        <f t="shared" si="1"/>
        <v/>
      </c>
      <c r="C963" s="52" t="str">
        <f>IF(A963="","",VLOOKUP(A963,'THAM CHIẾU'!$A:$B,2,0))</f>
        <v/>
      </c>
      <c r="D963" s="52" t="str">
        <f>IF(E963&lt;&gt;0,VLOOKUP(E963,DM_DUAN,3,0),"")</f>
        <v/>
      </c>
      <c r="E963" s="735"/>
      <c r="F963" s="735"/>
      <c r="G963" s="735"/>
      <c r="H963" s="735"/>
      <c r="I963" s="735"/>
      <c r="J963" s="52" t="s">
        <v>2214</v>
      </c>
      <c r="K963" s="52" t="s">
        <v>2214</v>
      </c>
      <c r="L963" s="735"/>
      <c r="M963" s="68"/>
      <c r="N963" s="739"/>
      <c r="O963" s="735"/>
      <c r="P963" s="52" t="s">
        <v>2214</v>
      </c>
      <c r="Q963" s="52" t="s">
        <v>2214</v>
      </c>
      <c r="R963" s="737"/>
      <c r="S963" s="735"/>
      <c r="T963" s="737"/>
      <c r="U963" s="737"/>
    </row>
    <row r="964">
      <c r="A964" s="733"/>
      <c r="B964" s="52" t="str">
        <f t="shared" si="1"/>
        <v/>
      </c>
      <c r="C964" s="52" t="str">
        <f>IF(A964="","",VLOOKUP(A964,'THAM CHIẾU'!$A:$B,2,0))</f>
        <v/>
      </c>
      <c r="D964" s="52" t="str">
        <f>IF(E964&lt;&gt;0,VLOOKUP(E964,DM_DUAN,3,0),"")</f>
        <v/>
      </c>
      <c r="E964" s="735"/>
      <c r="F964" s="735"/>
      <c r="G964" s="735"/>
      <c r="H964" s="735"/>
      <c r="I964" s="735"/>
      <c r="J964" s="52" t="s">
        <v>2214</v>
      </c>
      <c r="K964" s="52" t="s">
        <v>2214</v>
      </c>
      <c r="L964" s="735"/>
      <c r="M964" s="68"/>
      <c r="N964" s="739"/>
      <c r="O964" s="735"/>
      <c r="P964" s="52" t="s">
        <v>2214</v>
      </c>
      <c r="Q964" s="52" t="s">
        <v>2214</v>
      </c>
      <c r="R964" s="737"/>
      <c r="S964" s="735"/>
      <c r="T964" s="737"/>
      <c r="U964" s="737"/>
    </row>
    <row r="965">
      <c r="A965" s="733"/>
      <c r="B965" s="52" t="str">
        <f t="shared" si="1"/>
        <v/>
      </c>
      <c r="C965" s="52" t="str">
        <f>IF(A965="","",VLOOKUP(A965,'THAM CHIẾU'!$A:$B,2,0))</f>
        <v/>
      </c>
      <c r="D965" s="52" t="str">
        <f>IF(E965&lt;&gt;0,VLOOKUP(E965,DM_DUAN,3,0),"")</f>
        <v/>
      </c>
      <c r="E965" s="735"/>
      <c r="F965" s="735"/>
      <c r="G965" s="735"/>
      <c r="H965" s="735"/>
      <c r="I965" s="735"/>
      <c r="J965" s="52" t="s">
        <v>2214</v>
      </c>
      <c r="K965" s="52" t="s">
        <v>2214</v>
      </c>
      <c r="L965" s="735"/>
      <c r="M965" s="68"/>
      <c r="N965" s="739"/>
      <c r="O965" s="735"/>
      <c r="P965" s="52" t="s">
        <v>2214</v>
      </c>
      <c r="Q965" s="52" t="s">
        <v>2214</v>
      </c>
      <c r="R965" s="737"/>
      <c r="S965" s="735"/>
      <c r="T965" s="737"/>
      <c r="U965" s="737"/>
    </row>
    <row r="966">
      <c r="A966" s="733"/>
      <c r="B966" s="52" t="str">
        <f t="shared" si="1"/>
        <v/>
      </c>
      <c r="C966" s="52" t="str">
        <f>IF(A966="","",VLOOKUP(A966,'THAM CHIẾU'!$A:$B,2,0))</f>
        <v/>
      </c>
      <c r="D966" s="52" t="str">
        <f>IF(E966&lt;&gt;0,VLOOKUP(E966,DM_DUAN,3,0),"")</f>
        <v/>
      </c>
      <c r="E966" s="735"/>
      <c r="F966" s="735"/>
      <c r="G966" s="735"/>
      <c r="H966" s="735"/>
      <c r="I966" s="735"/>
      <c r="J966" s="52" t="s">
        <v>2214</v>
      </c>
      <c r="K966" s="52" t="s">
        <v>2214</v>
      </c>
      <c r="L966" s="735"/>
      <c r="M966" s="68"/>
      <c r="N966" s="739"/>
      <c r="O966" s="735"/>
      <c r="P966" s="52" t="s">
        <v>2214</v>
      </c>
      <c r="Q966" s="52" t="s">
        <v>2214</v>
      </c>
      <c r="R966" s="737"/>
      <c r="S966" s="735"/>
      <c r="T966" s="737"/>
      <c r="U966" s="737"/>
    </row>
    <row r="967">
      <c r="A967" s="733"/>
      <c r="B967" s="52" t="str">
        <f t="shared" si="1"/>
        <v/>
      </c>
      <c r="C967" s="52" t="str">
        <f>IF(A967="","",VLOOKUP(A967,'THAM CHIẾU'!$A:$B,2,0))</f>
        <v/>
      </c>
      <c r="D967" s="52" t="str">
        <f>IF(E967&lt;&gt;0,VLOOKUP(E967,DM_DUAN,3,0),"")</f>
        <v/>
      </c>
      <c r="E967" s="735"/>
      <c r="F967" s="735"/>
      <c r="G967" s="735"/>
      <c r="H967" s="735"/>
      <c r="I967" s="735"/>
      <c r="J967" s="52" t="s">
        <v>2214</v>
      </c>
      <c r="K967" s="52" t="s">
        <v>2214</v>
      </c>
      <c r="L967" s="735"/>
      <c r="M967" s="68"/>
      <c r="N967" s="739"/>
      <c r="O967" s="735"/>
      <c r="P967" s="52" t="s">
        <v>2214</v>
      </c>
      <c r="Q967" s="52" t="s">
        <v>2214</v>
      </c>
      <c r="R967" s="737"/>
      <c r="S967" s="735"/>
      <c r="T967" s="737"/>
      <c r="U967" s="737"/>
    </row>
    <row r="968">
      <c r="A968" s="733"/>
      <c r="B968" s="52" t="str">
        <f t="shared" si="1"/>
        <v/>
      </c>
      <c r="C968" s="52" t="str">
        <f>IF(A968="","",VLOOKUP(A968,'THAM CHIẾU'!$A:$B,2,0))</f>
        <v/>
      </c>
      <c r="D968" s="52" t="str">
        <f>IF(E968&lt;&gt;0,VLOOKUP(E968,DM_DUAN,3,0),"")</f>
        <v/>
      </c>
      <c r="E968" s="735"/>
      <c r="F968" s="735"/>
      <c r="G968" s="735"/>
      <c r="H968" s="735"/>
      <c r="I968" s="735"/>
      <c r="J968" s="52" t="s">
        <v>2214</v>
      </c>
      <c r="K968" s="52" t="s">
        <v>2214</v>
      </c>
      <c r="L968" s="735"/>
      <c r="M968" s="68"/>
      <c r="N968" s="739"/>
      <c r="O968" s="735"/>
      <c r="P968" s="52" t="s">
        <v>2214</v>
      </c>
      <c r="Q968" s="52" t="s">
        <v>2214</v>
      </c>
      <c r="R968" s="737"/>
      <c r="S968" s="735"/>
      <c r="T968" s="737"/>
      <c r="U968" s="737"/>
    </row>
    <row r="969">
      <c r="A969" s="733"/>
      <c r="B969" s="52" t="str">
        <f t="shared" si="1"/>
        <v/>
      </c>
      <c r="C969" s="52" t="str">
        <f>IF(A969="","",VLOOKUP(A969,'THAM CHIẾU'!$A:$B,2,0))</f>
        <v/>
      </c>
      <c r="D969" s="52" t="str">
        <f>IF(E969&lt;&gt;0,VLOOKUP(E969,DM_DUAN,3,0),"")</f>
        <v/>
      </c>
      <c r="E969" s="735"/>
      <c r="F969" s="735"/>
      <c r="G969" s="735"/>
      <c r="H969" s="735"/>
      <c r="I969" s="735"/>
      <c r="J969" s="52" t="s">
        <v>2214</v>
      </c>
      <c r="K969" s="52" t="s">
        <v>2214</v>
      </c>
      <c r="L969" s="735"/>
      <c r="M969" s="68"/>
      <c r="N969" s="739"/>
      <c r="O969" s="735"/>
      <c r="P969" s="52" t="s">
        <v>2214</v>
      </c>
      <c r="Q969" s="52" t="s">
        <v>2214</v>
      </c>
      <c r="R969" s="737"/>
      <c r="S969" s="735"/>
      <c r="T969" s="737"/>
      <c r="U969" s="737"/>
    </row>
    <row r="970">
      <c r="A970" s="733"/>
      <c r="B970" s="52" t="str">
        <f t="shared" si="1"/>
        <v/>
      </c>
      <c r="C970" s="52" t="str">
        <f>IF(A970="","",VLOOKUP(A970,'THAM CHIẾU'!$A:$B,2,0))</f>
        <v/>
      </c>
      <c r="D970" s="52" t="str">
        <f>IF(E970&lt;&gt;0,VLOOKUP(E970,DM_DUAN,3,0),"")</f>
        <v/>
      </c>
      <c r="E970" s="735"/>
      <c r="F970" s="735"/>
      <c r="G970" s="735"/>
      <c r="H970" s="735"/>
      <c r="I970" s="735"/>
      <c r="J970" s="52" t="s">
        <v>2214</v>
      </c>
      <c r="K970" s="52" t="s">
        <v>2214</v>
      </c>
      <c r="L970" s="735"/>
      <c r="M970" s="68"/>
      <c r="N970" s="739"/>
      <c r="O970" s="735"/>
      <c r="P970" s="52" t="s">
        <v>2214</v>
      </c>
      <c r="Q970" s="52" t="s">
        <v>2214</v>
      </c>
      <c r="R970" s="737"/>
      <c r="S970" s="735"/>
      <c r="T970" s="737"/>
      <c r="U970" s="737"/>
    </row>
    <row r="971">
      <c r="A971" s="733"/>
      <c r="B971" s="52" t="str">
        <f t="shared" si="1"/>
        <v/>
      </c>
      <c r="C971" s="52" t="str">
        <f>IF(A971="","",VLOOKUP(A971,'THAM CHIẾU'!$A:$B,2,0))</f>
        <v/>
      </c>
      <c r="D971" s="52" t="str">
        <f>IF(E971&lt;&gt;0,VLOOKUP(E971,DM_DUAN,3,0),"")</f>
        <v/>
      </c>
      <c r="E971" s="735"/>
      <c r="F971" s="735"/>
      <c r="G971" s="735"/>
      <c r="H971" s="735"/>
      <c r="I971" s="735"/>
      <c r="J971" s="52" t="s">
        <v>2214</v>
      </c>
      <c r="K971" s="52" t="s">
        <v>2214</v>
      </c>
      <c r="L971" s="735"/>
      <c r="M971" s="68"/>
      <c r="N971" s="739"/>
      <c r="O971" s="735"/>
      <c r="P971" s="52" t="s">
        <v>2214</v>
      </c>
      <c r="Q971" s="52" t="s">
        <v>2214</v>
      </c>
      <c r="R971" s="737"/>
      <c r="S971" s="735"/>
      <c r="T971" s="737"/>
      <c r="U971" s="737"/>
    </row>
    <row r="972">
      <c r="A972" s="733"/>
      <c r="B972" s="52" t="str">
        <f t="shared" si="1"/>
        <v/>
      </c>
      <c r="C972" s="52" t="str">
        <f>IF(A972="","",VLOOKUP(A972,'THAM CHIẾU'!$A:$B,2,0))</f>
        <v/>
      </c>
      <c r="D972" s="52" t="str">
        <f>IF(E972&lt;&gt;0,VLOOKUP(E972,DM_DUAN,3,0),"")</f>
        <v/>
      </c>
      <c r="E972" s="735"/>
      <c r="F972" s="735"/>
      <c r="G972" s="735"/>
      <c r="H972" s="735"/>
      <c r="I972" s="735"/>
      <c r="J972" s="52" t="s">
        <v>2214</v>
      </c>
      <c r="K972" s="52" t="s">
        <v>2214</v>
      </c>
      <c r="L972" s="735"/>
      <c r="M972" s="68"/>
      <c r="N972" s="739"/>
      <c r="O972" s="735"/>
      <c r="P972" s="52" t="s">
        <v>2214</v>
      </c>
      <c r="Q972" s="52" t="s">
        <v>2214</v>
      </c>
      <c r="R972" s="737"/>
      <c r="S972" s="735"/>
      <c r="T972" s="737"/>
      <c r="U972" s="737"/>
    </row>
    <row r="973">
      <c r="A973" s="733"/>
      <c r="B973" s="52" t="str">
        <f t="shared" si="1"/>
        <v/>
      </c>
      <c r="C973" s="52" t="str">
        <f>IF(A973="","",VLOOKUP(A973,'THAM CHIẾU'!$A:$B,2,0))</f>
        <v/>
      </c>
      <c r="D973" s="52" t="str">
        <f>IF(E973&lt;&gt;0,VLOOKUP(E973,DM_DUAN,3,0),"")</f>
        <v/>
      </c>
      <c r="E973" s="735"/>
      <c r="F973" s="735"/>
      <c r="G973" s="735"/>
      <c r="H973" s="735"/>
      <c r="I973" s="735"/>
      <c r="J973" s="52" t="s">
        <v>2214</v>
      </c>
      <c r="K973" s="52" t="s">
        <v>2214</v>
      </c>
      <c r="L973" s="735"/>
      <c r="M973" s="68"/>
      <c r="N973" s="739"/>
      <c r="O973" s="735"/>
      <c r="P973" s="52" t="s">
        <v>2214</v>
      </c>
      <c r="Q973" s="52" t="s">
        <v>2214</v>
      </c>
      <c r="R973" s="737"/>
      <c r="S973" s="735"/>
      <c r="T973" s="737"/>
      <c r="U973" s="737"/>
    </row>
    <row r="974">
      <c r="A974" s="733"/>
      <c r="B974" s="52" t="str">
        <f t="shared" si="1"/>
        <v/>
      </c>
      <c r="C974" s="52" t="str">
        <f>IF(A974="","",VLOOKUP(A974,'THAM CHIẾU'!$A:$B,2,0))</f>
        <v/>
      </c>
      <c r="D974" s="52" t="str">
        <f>IF(E974&lt;&gt;0,VLOOKUP(E974,DM_DUAN,3,0),"")</f>
        <v/>
      </c>
      <c r="E974" s="735"/>
      <c r="F974" s="735"/>
      <c r="G974" s="735"/>
      <c r="H974" s="735"/>
      <c r="I974" s="735"/>
      <c r="J974" s="52" t="s">
        <v>2214</v>
      </c>
      <c r="K974" s="52" t="s">
        <v>2214</v>
      </c>
      <c r="L974" s="735"/>
      <c r="M974" s="68"/>
      <c r="N974" s="739"/>
      <c r="O974" s="735"/>
      <c r="P974" s="52" t="s">
        <v>2214</v>
      </c>
      <c r="Q974" s="52" t="s">
        <v>2214</v>
      </c>
      <c r="R974" s="737"/>
      <c r="S974" s="735"/>
      <c r="T974" s="737"/>
      <c r="U974" s="737"/>
    </row>
    <row r="975">
      <c r="A975" s="733"/>
      <c r="B975" s="52" t="str">
        <f t="shared" si="1"/>
        <v/>
      </c>
      <c r="C975" s="52" t="str">
        <f>IF(A975="","",VLOOKUP(A975,'THAM CHIẾU'!$A:$B,2,0))</f>
        <v/>
      </c>
      <c r="D975" s="52" t="str">
        <f>IF(E975&lt;&gt;0,VLOOKUP(E975,DM_DUAN,3,0),"")</f>
        <v/>
      </c>
      <c r="E975" s="735"/>
      <c r="F975" s="735"/>
      <c r="G975" s="735"/>
      <c r="H975" s="735"/>
      <c r="I975" s="735"/>
      <c r="J975" s="52" t="s">
        <v>2214</v>
      </c>
      <c r="K975" s="52" t="s">
        <v>2214</v>
      </c>
      <c r="L975" s="735"/>
      <c r="M975" s="68"/>
      <c r="N975" s="739"/>
      <c r="O975" s="735"/>
      <c r="P975" s="52" t="s">
        <v>2214</v>
      </c>
      <c r="Q975" s="52" t="s">
        <v>2214</v>
      </c>
      <c r="R975" s="737"/>
      <c r="S975" s="735"/>
      <c r="T975" s="737"/>
      <c r="U975" s="737"/>
    </row>
    <row r="976">
      <c r="A976" s="733"/>
      <c r="B976" s="52" t="str">
        <f t="shared" si="1"/>
        <v/>
      </c>
      <c r="C976" s="52" t="str">
        <f>IF(A976="","",VLOOKUP(A976,'THAM CHIẾU'!$A:$B,2,0))</f>
        <v/>
      </c>
      <c r="D976" s="52" t="str">
        <f>IF(E976&lt;&gt;0,VLOOKUP(E976,DM_DUAN,3,0),"")</f>
        <v/>
      </c>
      <c r="E976" s="735"/>
      <c r="F976" s="735"/>
      <c r="G976" s="735"/>
      <c r="H976" s="735"/>
      <c r="I976" s="735"/>
      <c r="J976" s="52" t="s">
        <v>2214</v>
      </c>
      <c r="K976" s="52" t="s">
        <v>2214</v>
      </c>
      <c r="L976" s="735"/>
      <c r="M976" s="68"/>
      <c r="N976" s="739"/>
      <c r="O976" s="735"/>
      <c r="P976" s="52" t="s">
        <v>2214</v>
      </c>
      <c r="Q976" s="52" t="s">
        <v>2214</v>
      </c>
      <c r="R976" s="737"/>
      <c r="S976" s="735"/>
      <c r="T976" s="737"/>
      <c r="U976" s="737"/>
    </row>
    <row r="977">
      <c r="A977" s="733"/>
      <c r="B977" s="52" t="str">
        <f t="shared" si="1"/>
        <v/>
      </c>
      <c r="C977" s="52" t="str">
        <f>IF(A977="","",VLOOKUP(A977,'THAM CHIẾU'!$A:$B,2,0))</f>
        <v/>
      </c>
      <c r="D977" s="52" t="str">
        <f>IF(E977&lt;&gt;0,VLOOKUP(E977,DM_DUAN,3,0),"")</f>
        <v/>
      </c>
      <c r="E977" s="735"/>
      <c r="F977" s="735"/>
      <c r="G977" s="735"/>
      <c r="H977" s="735"/>
      <c r="I977" s="735"/>
      <c r="J977" s="52" t="s">
        <v>2214</v>
      </c>
      <c r="K977" s="52" t="s">
        <v>2214</v>
      </c>
      <c r="L977" s="735"/>
      <c r="M977" s="68"/>
      <c r="N977" s="739"/>
      <c r="O977" s="735"/>
      <c r="P977" s="52" t="s">
        <v>2214</v>
      </c>
      <c r="Q977" s="52" t="s">
        <v>2214</v>
      </c>
      <c r="R977" s="737"/>
      <c r="S977" s="735"/>
      <c r="T977" s="737"/>
      <c r="U977" s="737"/>
    </row>
    <row r="978">
      <c r="A978" s="733"/>
      <c r="B978" s="52" t="str">
        <f t="shared" si="1"/>
        <v/>
      </c>
      <c r="C978" s="52" t="str">
        <f>IF(A978="","",VLOOKUP(A978,'THAM CHIẾU'!$A:$B,2,0))</f>
        <v/>
      </c>
      <c r="D978" s="52" t="str">
        <f>IF(E978&lt;&gt;0,VLOOKUP(E978,DM_DUAN,3,0),"")</f>
        <v/>
      </c>
      <c r="E978" s="735"/>
      <c r="F978" s="735"/>
      <c r="G978" s="735"/>
      <c r="H978" s="735"/>
      <c r="I978" s="735"/>
      <c r="J978" s="52" t="s">
        <v>2214</v>
      </c>
      <c r="K978" s="52" t="s">
        <v>2214</v>
      </c>
      <c r="L978" s="735"/>
      <c r="M978" s="68"/>
      <c r="N978" s="739"/>
      <c r="O978" s="735"/>
      <c r="P978" s="52" t="s">
        <v>2214</v>
      </c>
      <c r="Q978" s="52" t="s">
        <v>2214</v>
      </c>
      <c r="R978" s="737"/>
      <c r="S978" s="735"/>
      <c r="T978" s="737"/>
      <c r="U978" s="737"/>
    </row>
    <row r="979">
      <c r="A979" s="733"/>
      <c r="B979" s="52" t="str">
        <f t="shared" si="1"/>
        <v/>
      </c>
      <c r="C979" s="52" t="str">
        <f>IF(A979="","",VLOOKUP(A979,'THAM CHIẾU'!$A:$B,2,0))</f>
        <v/>
      </c>
      <c r="D979" s="52" t="str">
        <f>IF(E979&lt;&gt;0,VLOOKUP(E979,DM_DUAN,3,0),"")</f>
        <v/>
      </c>
      <c r="E979" s="735"/>
      <c r="F979" s="735"/>
      <c r="G979" s="735"/>
      <c r="H979" s="735"/>
      <c r="I979" s="735"/>
      <c r="J979" s="52" t="s">
        <v>2214</v>
      </c>
      <c r="K979" s="52" t="s">
        <v>2214</v>
      </c>
      <c r="L979" s="735"/>
      <c r="M979" s="68"/>
      <c r="N979" s="739"/>
      <c r="O979" s="735"/>
      <c r="P979" s="52" t="s">
        <v>2214</v>
      </c>
      <c r="Q979" s="52" t="s">
        <v>2214</v>
      </c>
      <c r="R979" s="737"/>
      <c r="S979" s="735"/>
      <c r="T979" s="737"/>
      <c r="U979" s="737"/>
    </row>
    <row r="980">
      <c r="A980" s="733"/>
      <c r="B980" s="52" t="str">
        <f t="shared" si="1"/>
        <v/>
      </c>
      <c r="C980" s="52" t="str">
        <f>IF(A980="","",VLOOKUP(A980,'THAM CHIẾU'!$A:$B,2,0))</f>
        <v/>
      </c>
      <c r="D980" s="52" t="str">
        <f>IF(E980&lt;&gt;0,VLOOKUP(E980,DM_DUAN,3,0),"")</f>
        <v/>
      </c>
      <c r="E980" s="735"/>
      <c r="F980" s="735"/>
      <c r="G980" s="735"/>
      <c r="H980" s="735"/>
      <c r="I980" s="735"/>
      <c r="J980" s="52" t="s">
        <v>2214</v>
      </c>
      <c r="K980" s="52" t="s">
        <v>2214</v>
      </c>
      <c r="L980" s="735"/>
      <c r="M980" s="68"/>
      <c r="N980" s="739"/>
      <c r="O980" s="735"/>
      <c r="P980" s="52" t="s">
        <v>2214</v>
      </c>
      <c r="Q980" s="52" t="s">
        <v>2214</v>
      </c>
      <c r="R980" s="737"/>
      <c r="S980" s="735"/>
      <c r="T980" s="737"/>
      <c r="U980" s="737"/>
    </row>
    <row r="981">
      <c r="A981" s="733"/>
      <c r="B981" s="52" t="str">
        <f t="shared" si="1"/>
        <v/>
      </c>
      <c r="C981" s="52" t="str">
        <f>IF(A981="","",VLOOKUP(A981,'THAM CHIẾU'!$A:$B,2,0))</f>
        <v/>
      </c>
      <c r="D981" s="52" t="str">
        <f>IF(E981&lt;&gt;0,VLOOKUP(E981,DM_DUAN,3,0),"")</f>
        <v/>
      </c>
      <c r="E981" s="735"/>
      <c r="F981" s="735"/>
      <c r="G981" s="735"/>
      <c r="H981" s="735"/>
      <c r="I981" s="735"/>
      <c r="J981" s="52" t="s">
        <v>2214</v>
      </c>
      <c r="K981" s="52" t="s">
        <v>2214</v>
      </c>
      <c r="L981" s="735"/>
      <c r="M981" s="68"/>
      <c r="N981" s="739"/>
      <c r="O981" s="735"/>
      <c r="P981" s="52" t="s">
        <v>2214</v>
      </c>
      <c r="Q981" s="52" t="s">
        <v>2214</v>
      </c>
      <c r="R981" s="737"/>
      <c r="S981" s="735"/>
      <c r="T981" s="737"/>
      <c r="U981" s="737"/>
    </row>
    <row r="982">
      <c r="A982" s="733"/>
      <c r="B982" s="52" t="str">
        <f t="shared" si="1"/>
        <v/>
      </c>
      <c r="C982" s="52" t="str">
        <f>IF(A982="","",VLOOKUP(A982,'THAM CHIẾU'!$A:$B,2,0))</f>
        <v/>
      </c>
      <c r="D982" s="52" t="str">
        <f>IF(E982&lt;&gt;0,VLOOKUP(E982,DM_DUAN,3,0),"")</f>
        <v/>
      </c>
      <c r="E982" s="735"/>
      <c r="F982" s="735"/>
      <c r="G982" s="735"/>
      <c r="H982" s="735"/>
      <c r="I982" s="735"/>
      <c r="J982" s="52" t="s">
        <v>2214</v>
      </c>
      <c r="K982" s="52" t="s">
        <v>2214</v>
      </c>
      <c r="L982" s="735"/>
      <c r="M982" s="68"/>
      <c r="N982" s="739"/>
      <c r="O982" s="735"/>
      <c r="P982" s="52" t="s">
        <v>2214</v>
      </c>
      <c r="Q982" s="52" t="s">
        <v>2214</v>
      </c>
      <c r="R982" s="737"/>
      <c r="S982" s="735"/>
      <c r="T982" s="737"/>
      <c r="U982" s="737"/>
    </row>
    <row r="983">
      <c r="A983" s="733"/>
      <c r="B983" s="52" t="str">
        <f t="shared" si="1"/>
        <v/>
      </c>
      <c r="C983" s="52" t="str">
        <f>IF(A983="","",VLOOKUP(A983,'THAM CHIẾU'!$A:$B,2,0))</f>
        <v/>
      </c>
      <c r="D983" s="52" t="str">
        <f>IF(E983&lt;&gt;0,VLOOKUP(E983,DM_DUAN,3,0),"")</f>
        <v/>
      </c>
      <c r="E983" s="735"/>
      <c r="F983" s="735"/>
      <c r="G983" s="735"/>
      <c r="H983" s="735"/>
      <c r="I983" s="735"/>
      <c r="J983" s="52" t="s">
        <v>2214</v>
      </c>
      <c r="K983" s="52" t="s">
        <v>2214</v>
      </c>
      <c r="L983" s="735"/>
      <c r="M983" s="68"/>
      <c r="N983" s="739"/>
      <c r="O983" s="735"/>
      <c r="P983" s="52" t="s">
        <v>2214</v>
      </c>
      <c r="Q983" s="52" t="s">
        <v>2214</v>
      </c>
      <c r="R983" s="737"/>
      <c r="S983" s="735"/>
      <c r="T983" s="737"/>
      <c r="U983" s="737"/>
    </row>
    <row r="984">
      <c r="A984" s="733"/>
      <c r="B984" s="52" t="str">
        <f t="shared" si="1"/>
        <v/>
      </c>
      <c r="C984" s="52" t="str">
        <f>IF(A984="","",VLOOKUP(A984,'THAM CHIẾU'!$A:$B,2,0))</f>
        <v/>
      </c>
      <c r="D984" s="52" t="str">
        <f>IF(E984&lt;&gt;0,VLOOKUP(E984,DM_DUAN,3,0),"")</f>
        <v/>
      </c>
      <c r="E984" s="735"/>
      <c r="F984" s="735"/>
      <c r="G984" s="735"/>
      <c r="H984" s="735"/>
      <c r="I984" s="735"/>
      <c r="J984" s="52" t="s">
        <v>2214</v>
      </c>
      <c r="K984" s="52" t="s">
        <v>2214</v>
      </c>
      <c r="L984" s="735"/>
      <c r="M984" s="68"/>
      <c r="N984" s="739"/>
      <c r="O984" s="735"/>
      <c r="P984" s="52" t="s">
        <v>2214</v>
      </c>
      <c r="Q984" s="52" t="s">
        <v>2214</v>
      </c>
      <c r="R984" s="737"/>
      <c r="S984" s="735"/>
      <c r="T984" s="737"/>
      <c r="U984" s="737"/>
    </row>
    <row r="985">
      <c r="A985" s="733"/>
      <c r="B985" s="52" t="str">
        <f t="shared" si="1"/>
        <v/>
      </c>
      <c r="C985" s="52" t="str">
        <f>IF(A985="","",VLOOKUP(A985,'THAM CHIẾU'!$A:$B,2,0))</f>
        <v/>
      </c>
      <c r="D985" s="52" t="str">
        <f>IF(E985&lt;&gt;0,VLOOKUP(E985,DM_DUAN,3,0),"")</f>
        <v/>
      </c>
      <c r="E985" s="735"/>
      <c r="F985" s="735"/>
      <c r="G985" s="735"/>
      <c r="H985" s="735"/>
      <c r="I985" s="735"/>
      <c r="J985" s="52" t="s">
        <v>2214</v>
      </c>
      <c r="K985" s="52" t="s">
        <v>2214</v>
      </c>
      <c r="L985" s="735"/>
      <c r="M985" s="68"/>
      <c r="N985" s="739"/>
      <c r="O985" s="735"/>
      <c r="P985" s="52" t="s">
        <v>2214</v>
      </c>
      <c r="Q985" s="52" t="s">
        <v>2214</v>
      </c>
      <c r="R985" s="737"/>
      <c r="S985" s="735"/>
      <c r="T985" s="737"/>
      <c r="U985" s="737"/>
    </row>
    <row r="986">
      <c r="A986" s="733"/>
      <c r="B986" s="52" t="str">
        <f t="shared" si="1"/>
        <v/>
      </c>
      <c r="C986" s="52" t="str">
        <f>IF(A986="","",VLOOKUP(A986,'THAM CHIẾU'!$A:$B,2,0))</f>
        <v/>
      </c>
      <c r="D986" s="52" t="str">
        <f>IF(E986&lt;&gt;0,VLOOKUP(E986,DM_DUAN,3,0),"")</f>
        <v/>
      </c>
      <c r="E986" s="735"/>
      <c r="F986" s="735"/>
      <c r="G986" s="735"/>
      <c r="H986" s="735"/>
      <c r="I986" s="735"/>
      <c r="J986" s="52" t="s">
        <v>2214</v>
      </c>
      <c r="K986" s="52" t="s">
        <v>2214</v>
      </c>
      <c r="L986" s="735"/>
      <c r="M986" s="68"/>
      <c r="N986" s="739"/>
      <c r="O986" s="735"/>
      <c r="P986" s="52" t="s">
        <v>2214</v>
      </c>
      <c r="Q986" s="52" t="s">
        <v>2214</v>
      </c>
      <c r="R986" s="737"/>
      <c r="S986" s="735"/>
      <c r="T986" s="737"/>
      <c r="U986" s="737"/>
    </row>
    <row r="987">
      <c r="A987" s="733"/>
      <c r="B987" s="52" t="str">
        <f t="shared" si="1"/>
        <v/>
      </c>
      <c r="C987" s="52" t="str">
        <f>IF(A987="","",VLOOKUP(A987,'THAM CHIẾU'!$A:$B,2,0))</f>
        <v/>
      </c>
      <c r="D987" s="52" t="str">
        <f>IF(E987&lt;&gt;0,VLOOKUP(E987,DM_DUAN,3,0),"")</f>
        <v/>
      </c>
      <c r="E987" s="735"/>
      <c r="F987" s="735"/>
      <c r="G987" s="735"/>
      <c r="H987" s="735"/>
      <c r="I987" s="735"/>
      <c r="J987" s="52" t="s">
        <v>2214</v>
      </c>
      <c r="K987" s="52" t="s">
        <v>2214</v>
      </c>
      <c r="L987" s="735"/>
      <c r="M987" s="68"/>
      <c r="N987" s="739"/>
      <c r="O987" s="735"/>
      <c r="P987" s="52" t="s">
        <v>2214</v>
      </c>
      <c r="Q987" s="52" t="s">
        <v>2214</v>
      </c>
      <c r="R987" s="737"/>
      <c r="S987" s="735"/>
      <c r="T987" s="737"/>
      <c r="U987" s="737"/>
    </row>
    <row r="988">
      <c r="A988" s="733"/>
      <c r="B988" s="52" t="str">
        <f t="shared" si="1"/>
        <v/>
      </c>
      <c r="C988" s="52" t="str">
        <f>IF(A988="","",VLOOKUP(A988,'THAM CHIẾU'!$A:$B,2,0))</f>
        <v/>
      </c>
      <c r="D988" s="52" t="str">
        <f>IF(E988&lt;&gt;0,VLOOKUP(E988,DM_DUAN,3,0),"")</f>
        <v/>
      </c>
      <c r="E988" s="735"/>
      <c r="F988" s="735"/>
      <c r="G988" s="735"/>
      <c r="H988" s="735"/>
      <c r="I988" s="735"/>
      <c r="J988" s="52" t="s">
        <v>2214</v>
      </c>
      <c r="K988" s="52" t="s">
        <v>2214</v>
      </c>
      <c r="L988" s="735"/>
      <c r="M988" s="68"/>
      <c r="N988" s="739"/>
      <c r="O988" s="735"/>
      <c r="P988" s="52" t="s">
        <v>2214</v>
      </c>
      <c r="Q988" s="52" t="s">
        <v>2214</v>
      </c>
      <c r="R988" s="737"/>
      <c r="S988" s="735"/>
      <c r="T988" s="737"/>
      <c r="U988" s="737"/>
    </row>
    <row r="989">
      <c r="A989" s="733"/>
      <c r="B989" s="52" t="str">
        <f t="shared" si="1"/>
        <v/>
      </c>
      <c r="C989" s="52" t="str">
        <f>IF(A989="","",VLOOKUP(A989,'THAM CHIẾU'!$A:$B,2,0))</f>
        <v/>
      </c>
      <c r="D989" s="52" t="str">
        <f>IF(E989&lt;&gt;0,VLOOKUP(E989,DM_DUAN,3,0),"")</f>
        <v/>
      </c>
      <c r="E989" s="735"/>
      <c r="F989" s="735"/>
      <c r="G989" s="735"/>
      <c r="H989" s="735"/>
      <c r="I989" s="735"/>
      <c r="J989" s="52" t="s">
        <v>2214</v>
      </c>
      <c r="K989" s="52" t="s">
        <v>2214</v>
      </c>
      <c r="L989" s="735"/>
      <c r="M989" s="68"/>
      <c r="N989" s="739"/>
      <c r="O989" s="735"/>
      <c r="P989" s="52" t="s">
        <v>2214</v>
      </c>
      <c r="Q989" s="52" t="s">
        <v>2214</v>
      </c>
      <c r="R989" s="737"/>
      <c r="S989" s="735"/>
      <c r="T989" s="737"/>
      <c r="U989" s="737"/>
    </row>
    <row r="990">
      <c r="A990" s="733"/>
      <c r="B990" s="52" t="str">
        <f t="shared" si="1"/>
        <v/>
      </c>
      <c r="C990" s="52" t="str">
        <f>IF(A990="","",VLOOKUP(A990,'THAM CHIẾU'!$A:$B,2,0))</f>
        <v/>
      </c>
      <c r="D990" s="52" t="str">
        <f>IF(E990&lt;&gt;0,VLOOKUP(E990,DM_DUAN,3,0),"")</f>
        <v/>
      </c>
      <c r="E990" s="735"/>
      <c r="F990" s="735"/>
      <c r="G990" s="735"/>
      <c r="H990" s="735"/>
      <c r="I990" s="735"/>
      <c r="J990" s="52" t="s">
        <v>2214</v>
      </c>
      <c r="K990" s="52" t="s">
        <v>2214</v>
      </c>
      <c r="L990" s="735"/>
      <c r="M990" s="68"/>
      <c r="N990" s="739"/>
      <c r="O990" s="735"/>
      <c r="P990" s="52" t="s">
        <v>2214</v>
      </c>
      <c r="Q990" s="52" t="s">
        <v>2214</v>
      </c>
      <c r="R990" s="737"/>
      <c r="S990" s="735"/>
      <c r="T990" s="737"/>
      <c r="U990" s="737"/>
    </row>
    <row r="991">
      <c r="A991" s="733"/>
      <c r="B991" s="52" t="str">
        <f t="shared" si="1"/>
        <v/>
      </c>
      <c r="C991" s="52" t="str">
        <f>IF(A991="","",VLOOKUP(A991,'THAM CHIẾU'!$A:$B,2,0))</f>
        <v/>
      </c>
      <c r="D991" s="52" t="str">
        <f>IF(E991&lt;&gt;0,VLOOKUP(E991,DM_DUAN,3,0),"")</f>
        <v/>
      </c>
      <c r="E991" s="735"/>
      <c r="F991" s="735"/>
      <c r="G991" s="735"/>
      <c r="H991" s="735"/>
      <c r="I991" s="735"/>
      <c r="J991" s="52" t="s">
        <v>2214</v>
      </c>
      <c r="K991" s="52" t="s">
        <v>2214</v>
      </c>
      <c r="L991" s="735"/>
      <c r="M991" s="68"/>
      <c r="N991" s="739"/>
      <c r="O991" s="735"/>
      <c r="P991" s="52" t="s">
        <v>2214</v>
      </c>
      <c r="Q991" s="52" t="s">
        <v>2214</v>
      </c>
      <c r="R991" s="737"/>
      <c r="S991" s="735"/>
      <c r="T991" s="737"/>
      <c r="U991" s="737"/>
    </row>
    <row r="992">
      <c r="A992" s="733"/>
      <c r="B992" s="52" t="str">
        <f t="shared" si="1"/>
        <v/>
      </c>
      <c r="C992" s="52" t="str">
        <f>IF(A992="","",VLOOKUP(A992,'THAM CHIẾU'!$A:$B,2,0))</f>
        <v/>
      </c>
      <c r="D992" s="52" t="str">
        <f>IF(E992&lt;&gt;0,VLOOKUP(E992,DM_DUAN,3,0),"")</f>
        <v/>
      </c>
      <c r="E992" s="735"/>
      <c r="F992" s="735"/>
      <c r="G992" s="735"/>
      <c r="H992" s="735"/>
      <c r="I992" s="735"/>
      <c r="J992" s="52" t="s">
        <v>2214</v>
      </c>
      <c r="K992" s="52" t="s">
        <v>2214</v>
      </c>
      <c r="L992" s="735"/>
      <c r="M992" s="68"/>
      <c r="N992" s="739"/>
      <c r="O992" s="735"/>
      <c r="P992" s="52" t="s">
        <v>2214</v>
      </c>
      <c r="Q992" s="52" t="s">
        <v>2214</v>
      </c>
      <c r="R992" s="737"/>
      <c r="S992" s="735"/>
      <c r="T992" s="737"/>
      <c r="U992" s="737"/>
    </row>
    <row r="993">
      <c r="A993" s="733"/>
      <c r="B993" s="52" t="str">
        <f t="shared" si="1"/>
        <v/>
      </c>
      <c r="C993" s="52" t="str">
        <f>IF(A993="","",VLOOKUP(A993,'THAM CHIẾU'!$A:$B,2,0))</f>
        <v/>
      </c>
      <c r="D993" s="52" t="str">
        <f>IF(E993&lt;&gt;0,VLOOKUP(E993,DM_DUAN,3,0),"")</f>
        <v/>
      </c>
      <c r="E993" s="735"/>
      <c r="F993" s="735"/>
      <c r="G993" s="735"/>
      <c r="H993" s="735"/>
      <c r="I993" s="735"/>
      <c r="J993" s="52" t="s">
        <v>2214</v>
      </c>
      <c r="K993" s="52" t="s">
        <v>2214</v>
      </c>
      <c r="L993" s="735"/>
      <c r="M993" s="68"/>
      <c r="N993" s="739"/>
      <c r="O993" s="735"/>
      <c r="P993" s="52" t="s">
        <v>2214</v>
      </c>
      <c r="Q993" s="52" t="s">
        <v>2214</v>
      </c>
      <c r="R993" s="737"/>
      <c r="S993" s="735"/>
      <c r="T993" s="737"/>
      <c r="U993" s="737"/>
    </row>
    <row r="994">
      <c r="A994" s="733"/>
      <c r="B994" s="52" t="str">
        <f t="shared" si="1"/>
        <v/>
      </c>
      <c r="C994" s="52" t="str">
        <f>IF(A994="","",VLOOKUP(A994,'THAM CHIẾU'!$A:$B,2,0))</f>
        <v/>
      </c>
      <c r="D994" s="52" t="str">
        <f>IF(E994&lt;&gt;0,VLOOKUP(E994,DM_DUAN,3,0),"")</f>
        <v/>
      </c>
      <c r="E994" s="735"/>
      <c r="F994" s="735"/>
      <c r="G994" s="735"/>
      <c r="H994" s="735"/>
      <c r="I994" s="735"/>
      <c r="J994" s="52" t="s">
        <v>2214</v>
      </c>
      <c r="K994" s="52" t="s">
        <v>2214</v>
      </c>
      <c r="L994" s="735"/>
      <c r="M994" s="68"/>
      <c r="N994" s="739"/>
      <c r="O994" s="735"/>
      <c r="P994" s="52" t="s">
        <v>2214</v>
      </c>
      <c r="Q994" s="52" t="s">
        <v>2214</v>
      </c>
      <c r="R994" s="737"/>
      <c r="S994" s="735"/>
      <c r="T994" s="737"/>
      <c r="U994" s="737"/>
    </row>
    <row r="995">
      <c r="A995" s="733"/>
      <c r="B995" s="52" t="str">
        <f t="shared" si="1"/>
        <v/>
      </c>
      <c r="C995" s="52" t="str">
        <f>IF(A995="","",VLOOKUP(A995,'THAM CHIẾU'!$A:$B,2,0))</f>
        <v/>
      </c>
      <c r="D995" s="52" t="str">
        <f>IF(E995&lt;&gt;0,VLOOKUP(E995,DM_DUAN,3,0),"")</f>
        <v/>
      </c>
      <c r="E995" s="735"/>
      <c r="F995" s="735"/>
      <c r="G995" s="735"/>
      <c r="H995" s="735"/>
      <c r="I995" s="735"/>
      <c r="J995" s="52" t="s">
        <v>2214</v>
      </c>
      <c r="K995" s="52" t="s">
        <v>2214</v>
      </c>
      <c r="L995" s="735"/>
      <c r="M995" s="68"/>
      <c r="N995" s="739"/>
      <c r="O995" s="735"/>
      <c r="P995" s="52" t="s">
        <v>2214</v>
      </c>
      <c r="Q995" s="52" t="s">
        <v>2214</v>
      </c>
      <c r="R995" s="737"/>
      <c r="S995" s="735"/>
      <c r="T995" s="737"/>
      <c r="U995" s="737"/>
    </row>
    <row r="996">
      <c r="A996" s="733"/>
      <c r="B996" s="52" t="str">
        <f t="shared" si="1"/>
        <v/>
      </c>
      <c r="C996" s="52" t="str">
        <f>IF(A996="","",VLOOKUP(A996,'THAM CHIẾU'!$A:$B,2,0))</f>
        <v/>
      </c>
      <c r="D996" s="52" t="str">
        <f>IF(E996&lt;&gt;0,VLOOKUP(E996,DM_DUAN,3,0),"")</f>
        <v/>
      </c>
      <c r="E996" s="735"/>
      <c r="F996" s="735"/>
      <c r="G996" s="735"/>
      <c r="H996" s="735"/>
      <c r="I996" s="735"/>
      <c r="J996" s="52" t="s">
        <v>2214</v>
      </c>
      <c r="K996" s="52" t="s">
        <v>2214</v>
      </c>
      <c r="L996" s="735"/>
      <c r="M996" s="68"/>
      <c r="N996" s="739"/>
      <c r="O996" s="735"/>
      <c r="P996" s="52" t="s">
        <v>2214</v>
      </c>
      <c r="Q996" s="52" t="s">
        <v>2214</v>
      </c>
      <c r="R996" s="737"/>
      <c r="S996" s="735"/>
      <c r="T996" s="737"/>
      <c r="U996" s="737"/>
    </row>
    <row r="997">
      <c r="A997" s="733"/>
      <c r="B997" s="52" t="str">
        <f t="shared" si="1"/>
        <v/>
      </c>
      <c r="C997" s="52" t="str">
        <f>IF(A997="","",VLOOKUP(A997,'THAM CHIẾU'!$A:$B,2,0))</f>
        <v/>
      </c>
      <c r="D997" s="52" t="str">
        <f>IF(E997&lt;&gt;0,VLOOKUP(E997,DM_DUAN,3,0),"")</f>
        <v/>
      </c>
      <c r="E997" s="735"/>
      <c r="F997" s="735"/>
      <c r="G997" s="735"/>
      <c r="H997" s="735"/>
      <c r="I997" s="735"/>
      <c r="J997" s="52" t="s">
        <v>2214</v>
      </c>
      <c r="K997" s="52" t="s">
        <v>2214</v>
      </c>
      <c r="L997" s="735"/>
      <c r="M997" s="68"/>
      <c r="N997" s="739"/>
      <c r="O997" s="735"/>
      <c r="P997" s="52" t="s">
        <v>2214</v>
      </c>
      <c r="Q997" s="52" t="s">
        <v>2214</v>
      </c>
      <c r="R997" s="737"/>
      <c r="S997" s="735"/>
      <c r="T997" s="737"/>
      <c r="U997" s="737"/>
    </row>
    <row r="998">
      <c r="A998" s="733"/>
      <c r="B998" s="52" t="str">
        <f t="shared" si="1"/>
        <v/>
      </c>
      <c r="C998" s="52" t="str">
        <f>IF(A998="","",VLOOKUP(A998,'THAM CHIẾU'!$A:$B,2,0))</f>
        <v/>
      </c>
      <c r="D998" s="52" t="str">
        <f>IF(E998&lt;&gt;0,VLOOKUP(E998,DM_DUAN,3,0),"")</f>
        <v/>
      </c>
      <c r="E998" s="735"/>
      <c r="F998" s="735"/>
      <c r="G998" s="735"/>
      <c r="H998" s="735"/>
      <c r="I998" s="735"/>
      <c r="J998" s="52" t="s">
        <v>2214</v>
      </c>
      <c r="K998" s="52" t="s">
        <v>2214</v>
      </c>
      <c r="L998" s="735"/>
      <c r="M998" s="68"/>
      <c r="N998" s="739"/>
      <c r="O998" s="735"/>
      <c r="P998" s="52" t="s">
        <v>2214</v>
      </c>
      <c r="Q998" s="52" t="s">
        <v>2214</v>
      </c>
      <c r="R998" s="737"/>
      <c r="S998" s="735"/>
      <c r="T998" s="737"/>
      <c r="U998" s="737"/>
    </row>
    <row r="999">
      <c r="A999" s="733"/>
      <c r="B999" s="52" t="str">
        <f t="shared" si="1"/>
        <v/>
      </c>
      <c r="C999" s="52" t="str">
        <f>IF(A999="","",VLOOKUP(A999,'THAM CHIẾU'!$A:$B,2,0))</f>
        <v/>
      </c>
      <c r="D999" s="52" t="str">
        <f>IF(E999&lt;&gt;0,VLOOKUP(E999,DM_DUAN,3,0),"")</f>
        <v/>
      </c>
      <c r="E999" s="735"/>
      <c r="F999" s="735"/>
      <c r="G999" s="735"/>
      <c r="H999" s="735"/>
      <c r="I999" s="735"/>
      <c r="J999" s="52" t="s">
        <v>2214</v>
      </c>
      <c r="K999" s="52" t="s">
        <v>2214</v>
      </c>
      <c r="L999" s="735"/>
      <c r="M999" s="68"/>
      <c r="N999" s="739"/>
      <c r="O999" s="735"/>
      <c r="P999" s="52" t="s">
        <v>2214</v>
      </c>
      <c r="Q999" s="52" t="s">
        <v>2214</v>
      </c>
      <c r="R999" s="737"/>
      <c r="S999" s="735"/>
      <c r="T999" s="737"/>
      <c r="U999" s="737"/>
    </row>
    <row r="1000">
      <c r="A1000" s="733"/>
      <c r="B1000" s="52" t="str">
        <f t="shared" si="1"/>
        <v/>
      </c>
      <c r="C1000" s="52" t="str">
        <f>IF(A1000="","",VLOOKUP(A1000,'THAM CHIẾU'!$A:$B,2,0))</f>
        <v/>
      </c>
      <c r="D1000" s="52" t="str">
        <f>IF(E1000&lt;&gt;0,VLOOKUP(E1000,DM_DUAN,3,0),"")</f>
        <v/>
      </c>
      <c r="E1000" s="735"/>
      <c r="F1000" s="735"/>
      <c r="G1000" s="735"/>
      <c r="H1000" s="735"/>
      <c r="I1000" s="735"/>
      <c r="J1000" s="52" t="s">
        <v>2214</v>
      </c>
      <c r="K1000" s="52" t="s">
        <v>2214</v>
      </c>
      <c r="L1000" s="735"/>
      <c r="M1000" s="68"/>
      <c r="N1000" s="739"/>
      <c r="O1000" s="735"/>
      <c r="P1000" s="52" t="s">
        <v>2214</v>
      </c>
      <c r="Q1000" s="52" t="s">
        <v>2214</v>
      </c>
      <c r="R1000" s="737"/>
      <c r="S1000" s="735"/>
      <c r="T1000" s="737"/>
      <c r="U1000" s="737"/>
    </row>
    <row r="1001">
      <c r="A1001" s="733"/>
      <c r="B1001" s="52" t="str">
        <f t="shared" si="1"/>
        <v/>
      </c>
      <c r="C1001" s="52" t="str">
        <f>IF(A1001="","",VLOOKUP(A1001,'THAM CHIẾU'!$A:$B,2,0))</f>
        <v/>
      </c>
      <c r="D1001" s="52" t="str">
        <f>IF(E1001&lt;&gt;0,VLOOKUP(E1001,DM_DUAN,3,0),"")</f>
        <v/>
      </c>
      <c r="E1001" s="735"/>
      <c r="F1001" s="735"/>
      <c r="G1001" s="735"/>
      <c r="H1001" s="735"/>
      <c r="I1001" s="735"/>
      <c r="J1001" s="52" t="s">
        <v>2214</v>
      </c>
      <c r="K1001" s="52" t="s">
        <v>2214</v>
      </c>
      <c r="L1001" s="735"/>
      <c r="M1001" s="68"/>
      <c r="N1001" s="739"/>
      <c r="O1001" s="735"/>
      <c r="P1001" s="52" t="s">
        <v>2214</v>
      </c>
      <c r="Q1001" s="52" t="s">
        <v>2214</v>
      </c>
      <c r="R1001" s="737"/>
      <c r="S1001" s="735"/>
      <c r="T1001" s="737"/>
      <c r="U1001" s="737"/>
    </row>
    <row r="1002">
      <c r="A1002" s="733"/>
      <c r="B1002" s="52" t="str">
        <f t="shared" si="1"/>
        <v/>
      </c>
      <c r="C1002" s="52" t="str">
        <f>IF(A1002="","",VLOOKUP(A1002,'THAM CHIẾU'!$A:$B,2,0))</f>
        <v/>
      </c>
      <c r="D1002" s="52" t="str">
        <f>IF(E1002&lt;&gt;0,VLOOKUP(E1002,DM_DUAN,3,0),"")</f>
        <v/>
      </c>
      <c r="E1002" s="735"/>
      <c r="F1002" s="735"/>
      <c r="G1002" s="735"/>
      <c r="H1002" s="735"/>
      <c r="I1002" s="735"/>
      <c r="J1002" s="52" t="s">
        <v>2214</v>
      </c>
      <c r="K1002" s="52" t="s">
        <v>2214</v>
      </c>
      <c r="L1002" s="735"/>
      <c r="M1002" s="68"/>
      <c r="N1002" s="739"/>
      <c r="O1002" s="735"/>
      <c r="P1002" s="52" t="s">
        <v>2214</v>
      </c>
      <c r="Q1002" s="52" t="s">
        <v>2214</v>
      </c>
      <c r="R1002" s="737"/>
      <c r="S1002" s="735"/>
      <c r="T1002" s="737"/>
      <c r="U1002" s="737"/>
    </row>
    <row r="1003">
      <c r="A1003" s="747">
        <v>0.0</v>
      </c>
      <c r="B1003" s="748">
        <v>0.0</v>
      </c>
      <c r="C1003" s="748"/>
      <c r="D1003" s="748">
        <v>0.0</v>
      </c>
      <c r="E1003" s="748">
        <v>0.0</v>
      </c>
      <c r="F1003" s="748">
        <v>0.0</v>
      </c>
      <c r="G1003" s="748">
        <v>0.0</v>
      </c>
      <c r="H1003" s="748">
        <v>0.0</v>
      </c>
      <c r="I1003" s="748">
        <v>0.0</v>
      </c>
      <c r="J1003" s="748">
        <v>0.0</v>
      </c>
      <c r="K1003" s="748">
        <v>0.0</v>
      </c>
      <c r="L1003" s="748">
        <v>0.0</v>
      </c>
      <c r="M1003" s="68"/>
      <c r="N1003" s="738">
        <v>0.0</v>
      </c>
      <c r="O1003" s="748">
        <v>0.0</v>
      </c>
      <c r="P1003" s="748">
        <v>0.0</v>
      </c>
      <c r="Q1003" s="748">
        <v>0.0</v>
      </c>
      <c r="R1003" s="748">
        <v>0.0</v>
      </c>
      <c r="S1003" s="748">
        <v>0.0</v>
      </c>
      <c r="T1003" s="748">
        <v>0.0</v>
      </c>
      <c r="U1003" s="748">
        <v>0.0</v>
      </c>
    </row>
    <row r="1004">
      <c r="A1004" s="749"/>
      <c r="B1004" s="750"/>
      <c r="C1004" s="750"/>
      <c r="D1004" s="750"/>
      <c r="E1004" s="750"/>
      <c r="F1004" s="750"/>
      <c r="G1004" s="750"/>
      <c r="H1004" s="750"/>
      <c r="I1004" s="750"/>
      <c r="J1004" s="750"/>
      <c r="K1004" s="750"/>
      <c r="L1004" s="750"/>
      <c r="M1004" s="750"/>
      <c r="N1004" s="751"/>
      <c r="O1004" s="751"/>
      <c r="P1004" s="750"/>
      <c r="Q1004" s="750"/>
      <c r="R1004" s="750"/>
      <c r="S1004" s="750"/>
      <c r="T1004" s="750"/>
      <c r="U1004" s="750"/>
    </row>
  </sheetData>
  <autoFilter ref="$A$1:$U$1004"/>
  <dataValidations>
    <dataValidation type="list" allowBlank="1" showErrorMessage="1" sqref="H2:H1004">
      <formula1>DM_DOI</formula1>
    </dataValidation>
    <dataValidation type="list" allowBlank="1" showErrorMessage="1" sqref="E2:E1002">
      <formula1>MA_DUAN</formula1>
    </dataValidation>
    <dataValidation type="list" allowBlank="1" showErrorMessage="1" sqref="M2:M1003">
      <formula1>MA_DONGTIEN</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43"/>
    <col customWidth="1" min="2" max="2" width="26.43"/>
    <col customWidth="1" min="3" max="3" width="44.86"/>
    <col customWidth="1" min="4" max="4" width="20.57"/>
  </cols>
  <sheetData>
    <row r="1">
      <c r="A1" s="752" t="s">
        <v>2253</v>
      </c>
      <c r="B1" s="454"/>
      <c r="C1" s="454"/>
      <c r="D1" s="3"/>
    </row>
    <row r="2">
      <c r="A2" s="753" t="s">
        <v>34</v>
      </c>
      <c r="B2" s="753" t="s">
        <v>2254</v>
      </c>
      <c r="C2" s="753" t="s">
        <v>2255</v>
      </c>
      <c r="D2" s="753" t="s">
        <v>2</v>
      </c>
    </row>
    <row r="3">
      <c r="C3" s="98" t="s">
        <v>2256</v>
      </c>
    </row>
    <row r="4">
      <c r="C4" s="98" t="s">
        <v>2257</v>
      </c>
    </row>
    <row r="5">
      <c r="C5" s="98" t="s">
        <v>2258</v>
      </c>
    </row>
    <row r="6">
      <c r="C6" s="98" t="s">
        <v>2259</v>
      </c>
    </row>
    <row r="17">
      <c r="B17" s="754" t="s">
        <v>2260</v>
      </c>
      <c r="C17" s="98" t="s">
        <v>2261</v>
      </c>
    </row>
  </sheetData>
  <mergeCells count="1">
    <mergeCell ref="A1:D1"/>
  </mergeCells>
  <hyperlinks>
    <hyperlink display="dOANH THU" location="null!A1" ref="B17"/>
  </hyperlink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6.0" topLeftCell="A7" activePane="bottomLeft" state="frozen"/>
      <selection activeCell="B8" sqref="B8" pane="bottomLeft"/>
    </sheetView>
  </sheetViews>
  <sheetFormatPr customHeight="1" defaultColWidth="14.43" defaultRowHeight="15.0"/>
  <cols>
    <col customWidth="1" min="1" max="1" width="7.43"/>
    <col customWidth="1" min="5" max="5" width="49.86"/>
  </cols>
  <sheetData>
    <row r="1">
      <c r="A1" s="755"/>
      <c r="B1" s="755"/>
      <c r="C1" s="756" t="s">
        <v>2262</v>
      </c>
      <c r="F1" s="755"/>
      <c r="G1" s="755"/>
      <c r="H1" s="755"/>
      <c r="I1" s="755"/>
      <c r="J1" s="755"/>
    </row>
    <row r="2">
      <c r="A2" s="755"/>
      <c r="B2" s="755"/>
      <c r="C2" s="757" t="s">
        <v>2263</v>
      </c>
      <c r="F2" s="755"/>
      <c r="G2" s="755"/>
      <c r="H2" s="755"/>
      <c r="I2" s="755"/>
      <c r="J2" s="755"/>
    </row>
    <row r="3">
      <c r="A3" s="758" t="s">
        <v>2264</v>
      </c>
      <c r="I3" s="759">
        <v>9573.0</v>
      </c>
      <c r="J3" s="755"/>
    </row>
    <row r="4">
      <c r="A4" s="760">
        <v>44652.0</v>
      </c>
      <c r="I4" s="761" t="s">
        <v>2265</v>
      </c>
      <c r="J4" s="755"/>
    </row>
    <row r="5">
      <c r="A5" s="762" t="s">
        <v>34</v>
      </c>
      <c r="B5" s="763" t="s">
        <v>2266</v>
      </c>
      <c r="C5" s="763" t="s">
        <v>2267</v>
      </c>
      <c r="D5" s="763" t="s">
        <v>2268</v>
      </c>
      <c r="E5" s="763" t="s">
        <v>2094</v>
      </c>
      <c r="F5" s="763" t="s">
        <v>208</v>
      </c>
      <c r="G5" s="763" t="s">
        <v>2269</v>
      </c>
      <c r="H5" s="763" t="s">
        <v>2270</v>
      </c>
      <c r="I5" s="763" t="s">
        <v>2</v>
      </c>
      <c r="J5" s="755"/>
    </row>
    <row r="6">
      <c r="A6" s="755"/>
      <c r="B6" s="755"/>
      <c r="C6" s="755"/>
      <c r="D6" s="755"/>
      <c r="E6" s="764" t="s">
        <v>2271</v>
      </c>
      <c r="F6" s="761" t="s">
        <v>2272</v>
      </c>
      <c r="G6" s="761" t="s">
        <v>2273</v>
      </c>
      <c r="H6" s="765" t="s">
        <v>2272</v>
      </c>
      <c r="I6" s="766"/>
      <c r="J6" s="755"/>
    </row>
    <row r="7">
      <c r="A7" s="767">
        <v>1.0</v>
      </c>
      <c r="B7" s="768">
        <v>44652.0</v>
      </c>
      <c r="C7" s="769" t="s">
        <v>2274</v>
      </c>
      <c r="D7" s="770" t="s">
        <v>211</v>
      </c>
      <c r="E7" s="770" t="s">
        <v>704</v>
      </c>
      <c r="F7" s="771"/>
      <c r="G7" s="770">
        <v>700.0</v>
      </c>
      <c r="H7" s="770" t="s">
        <v>2275</v>
      </c>
      <c r="I7" s="770" t="s">
        <v>2276</v>
      </c>
      <c r="J7" s="755"/>
    </row>
    <row r="8">
      <c r="A8" s="772">
        <v>2.0</v>
      </c>
      <c r="B8" s="773">
        <v>44652.0</v>
      </c>
      <c r="C8" s="774" t="s">
        <v>2277</v>
      </c>
      <c r="D8" s="775" t="s">
        <v>2278</v>
      </c>
      <c r="E8" s="775" t="s">
        <v>2279</v>
      </c>
      <c r="F8" s="776"/>
      <c r="G8" s="775" t="s">
        <v>2280</v>
      </c>
      <c r="H8" s="775" t="s">
        <v>2281</v>
      </c>
      <c r="I8" s="776"/>
      <c r="J8" s="755"/>
    </row>
    <row r="9">
      <c r="A9" s="777"/>
      <c r="B9" s="773">
        <v>44652.0</v>
      </c>
      <c r="C9" s="778"/>
      <c r="D9" s="775" t="s">
        <v>2282</v>
      </c>
      <c r="E9" s="775" t="s">
        <v>2283</v>
      </c>
      <c r="F9" s="779" t="s">
        <v>2284</v>
      </c>
      <c r="G9" s="776"/>
      <c r="H9" s="775" t="s">
        <v>2285</v>
      </c>
      <c r="I9" s="776"/>
      <c r="J9" s="755"/>
    </row>
    <row r="10">
      <c r="A10" s="772">
        <v>3.0</v>
      </c>
      <c r="B10" s="773">
        <v>44652.0</v>
      </c>
      <c r="C10" s="774" t="s">
        <v>2286</v>
      </c>
      <c r="D10" s="775" t="s">
        <v>2287</v>
      </c>
      <c r="E10" s="775" t="s">
        <v>2288</v>
      </c>
      <c r="F10" s="776"/>
      <c r="G10" s="780" t="s">
        <v>2289</v>
      </c>
      <c r="H10" s="775" t="s">
        <v>2290</v>
      </c>
      <c r="I10" s="776"/>
      <c r="J10" s="755"/>
    </row>
    <row r="11">
      <c r="A11" s="772">
        <v>4.0</v>
      </c>
      <c r="B11" s="773">
        <v>44653.0</v>
      </c>
      <c r="C11" s="774" t="s">
        <v>2291</v>
      </c>
      <c r="D11" s="775" t="s">
        <v>211</v>
      </c>
      <c r="E11" s="775" t="s">
        <v>2292</v>
      </c>
      <c r="F11" s="776"/>
      <c r="G11" s="776"/>
      <c r="H11" s="775" t="s">
        <v>2290</v>
      </c>
      <c r="I11" s="775">
        <v>129.0</v>
      </c>
      <c r="J11" s="755"/>
    </row>
    <row r="12">
      <c r="A12" s="772">
        <v>5.0</v>
      </c>
      <c r="B12" s="773">
        <v>44653.0</v>
      </c>
      <c r="C12" s="774" t="s">
        <v>2293</v>
      </c>
      <c r="D12" s="775" t="s">
        <v>211</v>
      </c>
      <c r="E12" s="781" t="s">
        <v>2294</v>
      </c>
      <c r="F12" s="776"/>
      <c r="G12" s="775" t="s">
        <v>2295</v>
      </c>
      <c r="H12" s="775" t="s">
        <v>2296</v>
      </c>
      <c r="I12" s="776"/>
      <c r="J12" s="755"/>
    </row>
    <row r="13">
      <c r="A13" s="772">
        <v>6.0</v>
      </c>
      <c r="B13" s="773">
        <v>44655.0</v>
      </c>
      <c r="C13" s="774" t="s">
        <v>2297</v>
      </c>
      <c r="D13" s="775" t="s">
        <v>211</v>
      </c>
      <c r="E13" s="775" t="s">
        <v>715</v>
      </c>
      <c r="F13" s="776"/>
      <c r="G13" s="775">
        <v>310.0</v>
      </c>
      <c r="H13" s="775" t="s">
        <v>2298</v>
      </c>
      <c r="I13" s="776"/>
      <c r="J13" s="755"/>
    </row>
    <row r="14">
      <c r="A14" s="772">
        <v>7.0</v>
      </c>
      <c r="B14" s="773">
        <v>44656.0</v>
      </c>
      <c r="C14" s="774" t="s">
        <v>2299</v>
      </c>
      <c r="D14" s="775" t="s">
        <v>211</v>
      </c>
      <c r="E14" s="775" t="s">
        <v>2300</v>
      </c>
      <c r="F14" s="776"/>
      <c r="G14" s="775">
        <v>200.0</v>
      </c>
      <c r="H14" s="775" t="s">
        <v>2301</v>
      </c>
      <c r="I14" s="776"/>
      <c r="J14" s="755"/>
    </row>
    <row r="15">
      <c r="A15" s="777"/>
      <c r="B15" s="773">
        <v>44657.0</v>
      </c>
      <c r="C15" s="778"/>
      <c r="D15" s="775" t="s">
        <v>2302</v>
      </c>
      <c r="E15" s="775" t="s">
        <v>2303</v>
      </c>
      <c r="F15" s="779" t="s">
        <v>2304</v>
      </c>
      <c r="G15" s="776"/>
      <c r="H15" s="775" t="s">
        <v>2305</v>
      </c>
      <c r="I15" s="776"/>
      <c r="J15" s="755"/>
    </row>
    <row r="16">
      <c r="A16" s="772">
        <v>8.0</v>
      </c>
      <c r="B16" s="773">
        <v>44657.0</v>
      </c>
      <c r="C16" s="774" t="s">
        <v>2306</v>
      </c>
      <c r="D16" s="775" t="s">
        <v>2278</v>
      </c>
      <c r="E16" s="775" t="s">
        <v>2307</v>
      </c>
      <c r="F16" s="776"/>
      <c r="G16" s="775" t="s">
        <v>2308</v>
      </c>
      <c r="H16" s="775" t="s">
        <v>2309</v>
      </c>
      <c r="I16" s="776"/>
      <c r="J16" s="755"/>
    </row>
    <row r="17">
      <c r="A17" s="772">
        <v>9.0</v>
      </c>
      <c r="B17" s="773">
        <v>44657.0</v>
      </c>
      <c r="C17" s="774" t="s">
        <v>2310</v>
      </c>
      <c r="D17" s="775" t="s">
        <v>441</v>
      </c>
      <c r="E17" s="775" t="s">
        <v>2311</v>
      </c>
      <c r="F17" s="776"/>
      <c r="G17" s="775" t="s">
        <v>2284</v>
      </c>
      <c r="H17" s="775" t="s">
        <v>2301</v>
      </c>
      <c r="I17" s="776"/>
      <c r="J17" s="755"/>
    </row>
    <row r="18">
      <c r="A18" s="772">
        <v>10.0</v>
      </c>
      <c r="B18" s="773">
        <v>44658.0</v>
      </c>
      <c r="C18" s="774" t="s">
        <v>2312</v>
      </c>
      <c r="D18" s="775" t="s">
        <v>2313</v>
      </c>
      <c r="E18" s="775" t="s">
        <v>2314</v>
      </c>
      <c r="F18" s="776"/>
      <c r="G18" s="775">
        <v>250.0</v>
      </c>
      <c r="H18" s="775" t="s">
        <v>2315</v>
      </c>
      <c r="I18" s="776"/>
      <c r="J18" s="755"/>
    </row>
    <row r="19">
      <c r="A19" s="772">
        <v>11.0</v>
      </c>
      <c r="B19" s="773">
        <v>44658.0</v>
      </c>
      <c r="C19" s="774" t="s">
        <v>2316</v>
      </c>
      <c r="D19" s="775" t="s">
        <v>211</v>
      </c>
      <c r="E19" s="775" t="s">
        <v>767</v>
      </c>
      <c r="F19" s="776"/>
      <c r="G19" s="775">
        <v>291.0</v>
      </c>
      <c r="H19" s="775" t="s">
        <v>2317</v>
      </c>
      <c r="I19" s="776"/>
      <c r="J19" s="755"/>
    </row>
    <row r="20">
      <c r="A20" s="772">
        <v>12.0</v>
      </c>
      <c r="B20" s="773">
        <v>44661.0</v>
      </c>
      <c r="C20" s="774" t="s">
        <v>2318</v>
      </c>
      <c r="D20" s="775" t="s">
        <v>213</v>
      </c>
      <c r="E20" s="775" t="s">
        <v>2319</v>
      </c>
      <c r="F20" s="776"/>
      <c r="G20" s="776"/>
      <c r="H20" s="775" t="s">
        <v>2317</v>
      </c>
      <c r="I20" s="775"/>
      <c r="J20" s="755"/>
    </row>
    <row r="21">
      <c r="A21" s="777"/>
      <c r="B21" s="773">
        <v>44663.0</v>
      </c>
      <c r="C21" s="778"/>
      <c r="D21" s="775" t="s">
        <v>2302</v>
      </c>
      <c r="E21" s="775" t="s">
        <v>2320</v>
      </c>
      <c r="F21" s="779" t="s">
        <v>2308</v>
      </c>
      <c r="G21" s="776"/>
      <c r="H21" s="775" t="s">
        <v>2321</v>
      </c>
      <c r="I21" s="776"/>
      <c r="J21" s="755"/>
    </row>
    <row r="22">
      <c r="A22" s="772">
        <v>13.0</v>
      </c>
      <c r="B22" s="773">
        <v>44665.0</v>
      </c>
      <c r="C22" s="774" t="s">
        <v>2322</v>
      </c>
      <c r="D22" s="775" t="s">
        <v>211</v>
      </c>
      <c r="E22" s="775" t="s">
        <v>880</v>
      </c>
      <c r="F22" s="776"/>
      <c r="G22" s="775">
        <v>160.0</v>
      </c>
      <c r="H22" s="775" t="s">
        <v>2323</v>
      </c>
      <c r="I22" s="776"/>
      <c r="J22" s="755"/>
    </row>
    <row r="23">
      <c r="A23" s="772">
        <v>14.0</v>
      </c>
      <c r="B23" s="773">
        <v>44665.0</v>
      </c>
      <c r="C23" s="774" t="s">
        <v>2324</v>
      </c>
      <c r="D23" s="775" t="s">
        <v>211</v>
      </c>
      <c r="E23" s="775" t="s">
        <v>877</v>
      </c>
      <c r="F23" s="776"/>
      <c r="G23" s="775" t="s">
        <v>2325</v>
      </c>
      <c r="H23" s="775" t="s">
        <v>2326</v>
      </c>
      <c r="I23" s="776"/>
      <c r="J23" s="759"/>
    </row>
    <row r="24">
      <c r="A24" s="772">
        <v>15.0</v>
      </c>
      <c r="B24" s="773">
        <v>44666.0</v>
      </c>
      <c r="C24" s="774" t="s">
        <v>2327</v>
      </c>
      <c r="D24" s="775" t="s">
        <v>211</v>
      </c>
      <c r="E24" s="775" t="s">
        <v>2300</v>
      </c>
      <c r="F24" s="776"/>
      <c r="G24" s="775">
        <v>200.0</v>
      </c>
      <c r="H24" s="775" t="s">
        <v>2328</v>
      </c>
      <c r="I24" s="776"/>
      <c r="J24" s="759"/>
    </row>
    <row r="25">
      <c r="A25" s="772">
        <v>16.0</v>
      </c>
      <c r="B25" s="773">
        <v>44666.0</v>
      </c>
      <c r="C25" s="774" t="s">
        <v>2329</v>
      </c>
      <c r="D25" s="775" t="s">
        <v>211</v>
      </c>
      <c r="E25" s="775" t="s">
        <v>2330</v>
      </c>
      <c r="F25" s="776"/>
      <c r="G25" s="775">
        <v>284.0</v>
      </c>
      <c r="H25" s="775" t="s">
        <v>2331</v>
      </c>
      <c r="I25" s="776"/>
      <c r="J25" s="759"/>
    </row>
    <row r="26">
      <c r="A26" s="772">
        <v>17.0</v>
      </c>
      <c r="B26" s="773">
        <v>44668.0</v>
      </c>
      <c r="C26" s="774" t="s">
        <v>2332</v>
      </c>
      <c r="D26" s="775" t="s">
        <v>213</v>
      </c>
      <c r="E26" s="775" t="s">
        <v>2333</v>
      </c>
      <c r="F26" s="776"/>
      <c r="G26" s="775">
        <v>50.0</v>
      </c>
      <c r="H26" s="775" t="s">
        <v>2334</v>
      </c>
      <c r="I26" s="776"/>
      <c r="J26" s="755"/>
    </row>
    <row r="27">
      <c r="A27" s="772">
        <v>18.0</v>
      </c>
      <c r="B27" s="773">
        <v>44669.0</v>
      </c>
      <c r="C27" s="774" t="s">
        <v>2335</v>
      </c>
      <c r="D27" s="775" t="s">
        <v>211</v>
      </c>
      <c r="E27" s="775" t="s">
        <v>910</v>
      </c>
      <c r="F27" s="776"/>
      <c r="G27" s="775" t="s">
        <v>2336</v>
      </c>
      <c r="H27" s="775" t="s">
        <v>2337</v>
      </c>
      <c r="I27" s="776"/>
      <c r="J27" s="755"/>
    </row>
    <row r="28">
      <c r="A28" s="772">
        <v>19.0</v>
      </c>
      <c r="B28" s="773">
        <v>44670.0</v>
      </c>
      <c r="C28" s="774" t="s">
        <v>2338</v>
      </c>
      <c r="D28" s="775" t="s">
        <v>211</v>
      </c>
      <c r="E28" s="775" t="s">
        <v>2339</v>
      </c>
      <c r="F28" s="776"/>
      <c r="G28" s="775" t="s">
        <v>2340</v>
      </c>
      <c r="H28" s="775" t="s">
        <v>2341</v>
      </c>
      <c r="I28" s="776"/>
      <c r="J28" s="755"/>
    </row>
    <row r="29">
      <c r="A29" s="772">
        <v>20.0</v>
      </c>
      <c r="B29" s="773">
        <v>44671.0</v>
      </c>
      <c r="C29" s="774" t="s">
        <v>2342</v>
      </c>
      <c r="D29" s="774" t="s">
        <v>2287</v>
      </c>
      <c r="E29" s="775" t="s">
        <v>922</v>
      </c>
      <c r="F29" s="776"/>
      <c r="G29" s="775">
        <v>150.0</v>
      </c>
      <c r="H29" s="775" t="s">
        <v>2343</v>
      </c>
      <c r="I29" s="776"/>
      <c r="J29" s="755"/>
    </row>
    <row r="30">
      <c r="A30" s="772">
        <v>21.0</v>
      </c>
      <c r="B30" s="773">
        <v>44671.0</v>
      </c>
      <c r="C30" s="774" t="s">
        <v>2344</v>
      </c>
      <c r="D30" s="775" t="s">
        <v>211</v>
      </c>
      <c r="E30" s="775" t="s">
        <v>921</v>
      </c>
      <c r="F30" s="776"/>
      <c r="G30" s="775">
        <v>171.0</v>
      </c>
      <c r="H30" s="775" t="s">
        <v>2345</v>
      </c>
      <c r="I30" s="775" t="s">
        <v>2346</v>
      </c>
      <c r="J30" s="755"/>
    </row>
    <row r="31">
      <c r="A31" s="772">
        <v>22.0</v>
      </c>
      <c r="B31" s="773">
        <v>44671.0</v>
      </c>
      <c r="C31" s="774" t="s">
        <v>2347</v>
      </c>
      <c r="D31" s="775" t="s">
        <v>211</v>
      </c>
      <c r="E31" s="775" t="s">
        <v>924</v>
      </c>
      <c r="F31" s="776"/>
      <c r="G31" s="775">
        <v>507.5</v>
      </c>
      <c r="H31" s="775" t="s">
        <v>2348</v>
      </c>
      <c r="I31" s="775" t="s">
        <v>2346</v>
      </c>
      <c r="J31" s="755"/>
    </row>
    <row r="32">
      <c r="A32" s="772">
        <v>23.0</v>
      </c>
      <c r="B32" s="773">
        <v>44671.0</v>
      </c>
      <c r="C32" s="774" t="s">
        <v>2349</v>
      </c>
      <c r="D32" s="775" t="s">
        <v>211</v>
      </c>
      <c r="E32" s="775" t="s">
        <v>923</v>
      </c>
      <c r="F32" s="776"/>
      <c r="G32" s="775">
        <v>546.5</v>
      </c>
      <c r="H32" s="775" t="s">
        <v>2350</v>
      </c>
      <c r="I32" s="775" t="s">
        <v>2346</v>
      </c>
      <c r="J32" s="755"/>
    </row>
    <row r="33">
      <c r="A33" s="772">
        <v>24.0</v>
      </c>
      <c r="B33" s="773">
        <v>44675.0</v>
      </c>
      <c r="C33" s="774" t="s">
        <v>2351</v>
      </c>
      <c r="D33" s="775" t="s">
        <v>211</v>
      </c>
      <c r="E33" s="775" t="s">
        <v>2300</v>
      </c>
      <c r="F33" s="776"/>
      <c r="G33" s="775">
        <v>200.0</v>
      </c>
      <c r="H33" s="775" t="s">
        <v>2352</v>
      </c>
      <c r="I33" s="776"/>
      <c r="J33" s="755"/>
    </row>
    <row r="34">
      <c r="A34" s="772">
        <v>25.0</v>
      </c>
      <c r="B34" s="773">
        <v>44678.0</v>
      </c>
      <c r="C34" s="774" t="s">
        <v>2353</v>
      </c>
      <c r="D34" s="775" t="s">
        <v>211</v>
      </c>
      <c r="E34" s="775" t="s">
        <v>997</v>
      </c>
      <c r="F34" s="776"/>
      <c r="G34" s="775">
        <v>332.0</v>
      </c>
      <c r="H34" s="775" t="s">
        <v>2354</v>
      </c>
      <c r="I34" s="781" t="s">
        <v>2355</v>
      </c>
      <c r="J34" s="755"/>
    </row>
    <row r="35">
      <c r="A35" s="772">
        <v>26.0</v>
      </c>
      <c r="B35" s="773">
        <v>44679.0</v>
      </c>
      <c r="C35" s="774" t="s">
        <v>2356</v>
      </c>
      <c r="D35" s="775" t="s">
        <v>211</v>
      </c>
      <c r="E35" s="775" t="s">
        <v>2357</v>
      </c>
      <c r="F35" s="776"/>
      <c r="G35" s="775">
        <v>14.0</v>
      </c>
      <c r="H35" s="775" t="s">
        <v>2358</v>
      </c>
      <c r="I35" s="776"/>
      <c r="J35" s="775"/>
    </row>
    <row r="36">
      <c r="A36" s="772">
        <v>27.0</v>
      </c>
      <c r="B36" s="773">
        <v>44679.0</v>
      </c>
      <c r="C36" s="774" t="s">
        <v>2359</v>
      </c>
      <c r="D36" s="775" t="s">
        <v>213</v>
      </c>
      <c r="E36" s="775" t="s">
        <v>2360</v>
      </c>
      <c r="F36" s="776"/>
      <c r="G36" s="775" t="s">
        <v>2361</v>
      </c>
      <c r="H36" s="775" t="s">
        <v>2362</v>
      </c>
      <c r="I36" s="776"/>
      <c r="J36" s="755"/>
    </row>
    <row r="37">
      <c r="A37" s="772">
        <v>28.0</v>
      </c>
      <c r="B37" s="773">
        <v>44680.0</v>
      </c>
      <c r="C37" s="774" t="s">
        <v>2363</v>
      </c>
      <c r="D37" s="775" t="s">
        <v>211</v>
      </c>
      <c r="E37" s="775" t="s">
        <v>2364</v>
      </c>
      <c r="F37" s="776"/>
      <c r="G37" s="775">
        <v>46.0</v>
      </c>
      <c r="H37" s="775" t="s">
        <v>2365</v>
      </c>
      <c r="I37" s="776"/>
      <c r="J37" s="755"/>
    </row>
    <row r="38">
      <c r="A38" s="777"/>
      <c r="B38" s="776"/>
      <c r="C38" s="778"/>
      <c r="D38" s="776"/>
      <c r="E38" s="776"/>
      <c r="F38" s="776"/>
      <c r="G38" s="776"/>
      <c r="H38" s="775" t="s">
        <v>2365</v>
      </c>
      <c r="I38" s="776"/>
      <c r="J38" s="755"/>
    </row>
    <row r="39">
      <c r="A39" s="777"/>
      <c r="B39" s="776"/>
      <c r="C39" s="778"/>
      <c r="D39" s="776"/>
      <c r="E39" s="776"/>
      <c r="F39" s="776"/>
      <c r="G39" s="776"/>
      <c r="H39" s="775" t="s">
        <v>2365</v>
      </c>
      <c r="I39" s="776"/>
      <c r="J39" s="755"/>
    </row>
    <row r="40">
      <c r="A40" s="777"/>
      <c r="B40" s="776"/>
      <c r="C40" s="782"/>
      <c r="D40" s="776"/>
      <c r="E40" s="776"/>
      <c r="F40" s="776"/>
      <c r="G40" s="776"/>
      <c r="H40" s="775" t="s">
        <v>2365</v>
      </c>
      <c r="I40" s="776"/>
      <c r="J40" s="755"/>
    </row>
    <row r="41">
      <c r="A41" s="777"/>
      <c r="B41" s="776"/>
      <c r="C41" s="782"/>
      <c r="D41" s="776"/>
      <c r="E41" s="776"/>
      <c r="F41" s="776"/>
      <c r="G41" s="776"/>
      <c r="H41" s="775" t="s">
        <v>2365</v>
      </c>
      <c r="I41" s="776"/>
      <c r="J41" s="755"/>
    </row>
    <row r="42">
      <c r="A42" s="777"/>
      <c r="B42" s="776"/>
      <c r="C42" s="782"/>
      <c r="D42" s="776"/>
      <c r="E42" s="776"/>
      <c r="F42" s="776"/>
      <c r="G42" s="776"/>
      <c r="H42" s="775" t="s">
        <v>2365</v>
      </c>
      <c r="I42" s="776"/>
      <c r="J42" s="755"/>
    </row>
    <row r="43">
      <c r="A43" s="777"/>
      <c r="B43" s="776"/>
      <c r="C43" s="782"/>
      <c r="D43" s="776"/>
      <c r="E43" s="776"/>
      <c r="F43" s="776"/>
      <c r="G43" s="776"/>
      <c r="H43" s="775" t="s">
        <v>2365</v>
      </c>
      <c r="I43" s="776"/>
      <c r="J43" s="755"/>
    </row>
    <row r="44">
      <c r="A44" s="777"/>
      <c r="B44" s="776"/>
      <c r="C44" s="782"/>
      <c r="D44" s="776"/>
      <c r="E44" s="776"/>
      <c r="F44" s="776"/>
      <c r="G44" s="776"/>
      <c r="H44" s="775" t="s">
        <v>2365</v>
      </c>
      <c r="I44" s="776"/>
      <c r="J44" s="755"/>
    </row>
    <row r="45">
      <c r="A45" s="777"/>
      <c r="B45" s="776"/>
      <c r="C45" s="782"/>
      <c r="D45" s="776"/>
      <c r="E45" s="776"/>
      <c r="F45" s="776"/>
      <c r="G45" s="776"/>
      <c r="H45" s="775" t="s">
        <v>2365</v>
      </c>
      <c r="I45" s="776"/>
      <c r="J45" s="755"/>
    </row>
    <row r="46">
      <c r="A46" s="777"/>
      <c r="B46" s="776"/>
      <c r="C46" s="782"/>
      <c r="D46" s="776"/>
      <c r="E46" s="776"/>
      <c r="F46" s="776"/>
      <c r="G46" s="776"/>
      <c r="H46" s="775" t="s">
        <v>2365</v>
      </c>
      <c r="I46" s="776"/>
      <c r="J46" s="755"/>
    </row>
    <row r="47">
      <c r="A47" s="777"/>
      <c r="B47" s="776"/>
      <c r="C47" s="782"/>
      <c r="D47" s="776"/>
      <c r="E47" s="776"/>
      <c r="F47" s="776"/>
      <c r="G47" s="776"/>
      <c r="H47" s="775" t="s">
        <v>2365</v>
      </c>
      <c r="I47" s="776"/>
      <c r="J47" s="755"/>
    </row>
    <row r="48">
      <c r="A48" s="777"/>
      <c r="B48" s="776"/>
      <c r="C48" s="782"/>
      <c r="D48" s="776"/>
      <c r="E48" s="776"/>
      <c r="F48" s="776"/>
      <c r="G48" s="776"/>
      <c r="H48" s="775" t="s">
        <v>2365</v>
      </c>
      <c r="I48" s="776"/>
      <c r="J48" s="755"/>
    </row>
    <row r="49">
      <c r="A49" s="777"/>
      <c r="B49" s="776"/>
      <c r="C49" s="782"/>
      <c r="D49" s="776"/>
      <c r="E49" s="776"/>
      <c r="F49" s="776"/>
      <c r="G49" s="776"/>
      <c r="H49" s="775" t="s">
        <v>2365</v>
      </c>
      <c r="I49" s="776"/>
      <c r="J49" s="755"/>
    </row>
    <row r="50">
      <c r="A50" s="777"/>
      <c r="B50" s="776"/>
      <c r="C50" s="782"/>
      <c r="D50" s="776"/>
      <c r="E50" s="776"/>
      <c r="F50" s="776"/>
      <c r="G50" s="776"/>
      <c r="H50" s="775" t="s">
        <v>2365</v>
      </c>
      <c r="I50" s="776"/>
      <c r="J50" s="755"/>
    </row>
    <row r="51">
      <c r="A51" s="777"/>
      <c r="B51" s="776"/>
      <c r="C51" s="782"/>
      <c r="D51" s="776"/>
      <c r="E51" s="776"/>
      <c r="F51" s="776"/>
      <c r="G51" s="776"/>
      <c r="H51" s="775" t="s">
        <v>2365</v>
      </c>
      <c r="I51" s="776"/>
      <c r="J51" s="755"/>
    </row>
    <row r="52">
      <c r="A52" s="777"/>
      <c r="B52" s="776"/>
      <c r="C52" s="782"/>
      <c r="D52" s="776"/>
      <c r="E52" s="776"/>
      <c r="F52" s="776"/>
      <c r="G52" s="776"/>
      <c r="H52" s="775" t="s">
        <v>2365</v>
      </c>
      <c r="I52" s="776"/>
      <c r="J52" s="755"/>
    </row>
    <row r="53">
      <c r="A53" s="777"/>
      <c r="B53" s="776"/>
      <c r="C53" s="782"/>
      <c r="D53" s="776"/>
      <c r="E53" s="776"/>
      <c r="F53" s="776"/>
      <c r="G53" s="776"/>
      <c r="H53" s="775" t="s">
        <v>2365</v>
      </c>
      <c r="I53" s="776"/>
      <c r="J53" s="755"/>
    </row>
    <row r="54">
      <c r="A54" s="777"/>
      <c r="B54" s="776"/>
      <c r="C54" s="782"/>
      <c r="D54" s="776"/>
      <c r="E54" s="776"/>
      <c r="F54" s="776"/>
      <c r="G54" s="776"/>
      <c r="H54" s="775" t="s">
        <v>2365</v>
      </c>
      <c r="I54" s="776"/>
      <c r="J54" s="755"/>
    </row>
    <row r="55">
      <c r="A55" s="777"/>
      <c r="B55" s="776"/>
      <c r="C55" s="782"/>
      <c r="D55" s="776"/>
      <c r="E55" s="776"/>
      <c r="F55" s="776"/>
      <c r="G55" s="776"/>
      <c r="H55" s="775" t="s">
        <v>2365</v>
      </c>
      <c r="I55" s="776"/>
      <c r="J55" s="755"/>
    </row>
    <row r="56">
      <c r="A56" s="777"/>
      <c r="B56" s="776"/>
      <c r="C56" s="782"/>
      <c r="D56" s="776"/>
      <c r="E56" s="776"/>
      <c r="F56" s="776"/>
      <c r="G56" s="776"/>
      <c r="H56" s="775" t="s">
        <v>2365</v>
      </c>
      <c r="I56" s="776"/>
      <c r="J56" s="755"/>
    </row>
    <row r="57">
      <c r="A57" s="777"/>
      <c r="B57" s="776"/>
      <c r="C57" s="782"/>
      <c r="D57" s="776"/>
      <c r="E57" s="776"/>
      <c r="F57" s="776"/>
      <c r="G57" s="776"/>
      <c r="H57" s="775" t="s">
        <v>2365</v>
      </c>
      <c r="I57" s="776"/>
      <c r="J57" s="755"/>
    </row>
    <row r="58">
      <c r="A58" s="777"/>
      <c r="B58" s="776"/>
      <c r="C58" s="782"/>
      <c r="D58" s="776"/>
      <c r="E58" s="776"/>
      <c r="F58" s="776"/>
      <c r="G58" s="776"/>
      <c r="H58" s="775" t="s">
        <v>2365</v>
      </c>
      <c r="I58" s="776"/>
      <c r="J58" s="755"/>
    </row>
    <row r="59">
      <c r="A59" s="777"/>
      <c r="B59" s="776"/>
      <c r="C59" s="782"/>
      <c r="D59" s="776"/>
      <c r="E59" s="776"/>
      <c r="F59" s="776"/>
      <c r="G59" s="776"/>
      <c r="H59" s="775" t="s">
        <v>2365</v>
      </c>
      <c r="I59" s="776"/>
      <c r="J59" s="755"/>
    </row>
    <row r="60">
      <c r="A60" s="777"/>
      <c r="B60" s="776"/>
      <c r="C60" s="782"/>
      <c r="D60" s="776"/>
      <c r="E60" s="776"/>
      <c r="F60" s="776"/>
      <c r="G60" s="776"/>
      <c r="H60" s="775" t="s">
        <v>2365</v>
      </c>
      <c r="I60" s="776"/>
      <c r="J60" s="755"/>
    </row>
    <row r="61">
      <c r="A61" s="777"/>
      <c r="B61" s="776"/>
      <c r="C61" s="782"/>
      <c r="D61" s="776"/>
      <c r="E61" s="776"/>
      <c r="F61" s="776"/>
      <c r="G61" s="776"/>
      <c r="H61" s="775" t="s">
        <v>2365</v>
      </c>
      <c r="I61" s="776"/>
      <c r="J61" s="755"/>
    </row>
    <row r="62">
      <c r="A62" s="777"/>
      <c r="B62" s="776"/>
      <c r="C62" s="782"/>
      <c r="D62" s="776"/>
      <c r="E62" s="776"/>
      <c r="F62" s="776"/>
      <c r="G62" s="776"/>
      <c r="H62" s="775" t="s">
        <v>2365</v>
      </c>
      <c r="I62" s="776"/>
      <c r="J62" s="755"/>
    </row>
    <row r="63">
      <c r="A63" s="777"/>
      <c r="B63" s="776"/>
      <c r="C63" s="782"/>
      <c r="D63" s="776"/>
      <c r="E63" s="776"/>
      <c r="F63" s="776"/>
      <c r="G63" s="776"/>
      <c r="H63" s="775" t="s">
        <v>2365</v>
      </c>
      <c r="I63" s="776"/>
      <c r="J63" s="755"/>
    </row>
    <row r="64">
      <c r="A64" s="777"/>
      <c r="B64" s="776"/>
      <c r="C64" s="782"/>
      <c r="D64" s="776"/>
      <c r="E64" s="776"/>
      <c r="F64" s="776"/>
      <c r="G64" s="776"/>
      <c r="H64" s="775" t="s">
        <v>2365</v>
      </c>
      <c r="I64" s="776"/>
      <c r="J64" s="755"/>
    </row>
    <row r="65">
      <c r="A65" s="777"/>
      <c r="B65" s="776"/>
      <c r="C65" s="782"/>
      <c r="D65" s="776"/>
      <c r="E65" s="776"/>
      <c r="F65" s="776"/>
      <c r="G65" s="776"/>
      <c r="H65" s="775" t="s">
        <v>2365</v>
      </c>
      <c r="I65" s="776"/>
      <c r="J65" s="755"/>
    </row>
    <row r="66">
      <c r="A66" s="777"/>
      <c r="B66" s="776"/>
      <c r="C66" s="782"/>
      <c r="D66" s="776"/>
      <c r="E66" s="776"/>
      <c r="F66" s="776"/>
      <c r="G66" s="776"/>
      <c r="H66" s="775" t="s">
        <v>2365</v>
      </c>
      <c r="I66" s="776"/>
      <c r="J66" s="755"/>
    </row>
    <row r="67">
      <c r="A67" s="777"/>
      <c r="B67" s="776"/>
      <c r="C67" s="782"/>
      <c r="D67" s="776"/>
      <c r="E67" s="776"/>
      <c r="F67" s="776"/>
      <c r="G67" s="776"/>
      <c r="H67" s="775" t="s">
        <v>2365</v>
      </c>
      <c r="I67" s="776"/>
      <c r="J67" s="755"/>
    </row>
    <row r="68">
      <c r="A68" s="777"/>
      <c r="B68" s="776"/>
      <c r="C68" s="782"/>
      <c r="D68" s="776"/>
      <c r="E68" s="776"/>
      <c r="F68" s="776"/>
      <c r="G68" s="776"/>
      <c r="H68" s="775" t="s">
        <v>2365</v>
      </c>
      <c r="I68" s="776"/>
      <c r="J68" s="755"/>
    </row>
    <row r="69">
      <c r="A69" s="777"/>
      <c r="B69" s="776"/>
      <c r="C69" s="782"/>
      <c r="D69" s="776"/>
      <c r="E69" s="776"/>
      <c r="F69" s="776"/>
      <c r="G69" s="776"/>
      <c r="H69" s="775" t="s">
        <v>2365</v>
      </c>
      <c r="I69" s="776"/>
      <c r="J69" s="755"/>
    </row>
    <row r="70">
      <c r="A70" s="777"/>
      <c r="B70" s="776"/>
      <c r="C70" s="782"/>
      <c r="D70" s="776"/>
      <c r="E70" s="776"/>
      <c r="F70" s="776"/>
      <c r="G70" s="776"/>
      <c r="H70" s="775" t="s">
        <v>2365</v>
      </c>
      <c r="I70" s="776"/>
      <c r="J70" s="755"/>
    </row>
    <row r="71">
      <c r="A71" s="777"/>
      <c r="B71" s="776"/>
      <c r="C71" s="782"/>
      <c r="D71" s="776"/>
      <c r="E71" s="776"/>
      <c r="F71" s="776"/>
      <c r="G71" s="776"/>
      <c r="H71" s="775" t="s">
        <v>2365</v>
      </c>
      <c r="I71" s="776"/>
      <c r="J71" s="755"/>
    </row>
    <row r="72">
      <c r="A72" s="777"/>
      <c r="B72" s="776"/>
      <c r="C72" s="782"/>
      <c r="D72" s="776"/>
      <c r="E72" s="776"/>
      <c r="F72" s="776"/>
      <c r="G72" s="776"/>
      <c r="H72" s="775" t="s">
        <v>2365</v>
      </c>
      <c r="I72" s="776"/>
      <c r="J72" s="755"/>
    </row>
    <row r="73">
      <c r="A73" s="777"/>
      <c r="B73" s="776"/>
      <c r="C73" s="782"/>
      <c r="D73" s="776"/>
      <c r="E73" s="776"/>
      <c r="F73" s="776"/>
      <c r="G73" s="776"/>
      <c r="H73" s="775" t="s">
        <v>2365</v>
      </c>
      <c r="I73" s="776"/>
      <c r="J73" s="755"/>
    </row>
    <row r="74">
      <c r="A74" s="777"/>
      <c r="B74" s="776"/>
      <c r="C74" s="782"/>
      <c r="D74" s="776"/>
      <c r="E74" s="776"/>
      <c r="F74" s="776"/>
      <c r="G74" s="776"/>
      <c r="H74" s="775" t="s">
        <v>2365</v>
      </c>
      <c r="I74" s="776"/>
      <c r="J74" s="755"/>
    </row>
    <row r="75">
      <c r="A75" s="777"/>
      <c r="B75" s="776"/>
      <c r="C75" s="782"/>
      <c r="D75" s="776"/>
      <c r="E75" s="776"/>
      <c r="F75" s="776"/>
      <c r="G75" s="776"/>
      <c r="H75" s="775" t="s">
        <v>2365</v>
      </c>
      <c r="I75" s="776"/>
      <c r="J75" s="755"/>
    </row>
    <row r="76">
      <c r="A76" s="777"/>
      <c r="B76" s="776"/>
      <c r="C76" s="782"/>
      <c r="D76" s="776"/>
      <c r="E76" s="776"/>
      <c r="F76" s="776"/>
      <c r="G76" s="776"/>
      <c r="H76" s="775" t="s">
        <v>2365</v>
      </c>
      <c r="I76" s="776"/>
      <c r="J76" s="755"/>
    </row>
    <row r="77">
      <c r="A77" s="777"/>
      <c r="B77" s="776"/>
      <c r="C77" s="782"/>
      <c r="D77" s="776"/>
      <c r="E77" s="776"/>
      <c r="F77" s="776"/>
      <c r="G77" s="776"/>
      <c r="H77" s="775" t="s">
        <v>2365</v>
      </c>
      <c r="I77" s="776"/>
      <c r="J77" s="755"/>
    </row>
    <row r="78">
      <c r="A78" s="777"/>
      <c r="B78" s="776"/>
      <c r="C78" s="782"/>
      <c r="D78" s="776"/>
      <c r="E78" s="776"/>
      <c r="F78" s="776"/>
      <c r="G78" s="776"/>
      <c r="H78" s="775" t="s">
        <v>2365</v>
      </c>
      <c r="I78" s="776"/>
      <c r="J78" s="755"/>
    </row>
    <row r="79">
      <c r="A79" s="777"/>
      <c r="B79" s="776"/>
      <c r="C79" s="782"/>
      <c r="D79" s="776"/>
      <c r="E79" s="776"/>
      <c r="F79" s="776"/>
      <c r="G79" s="776"/>
      <c r="H79" s="775" t="s">
        <v>2365</v>
      </c>
      <c r="I79" s="776"/>
      <c r="J79" s="755"/>
    </row>
    <row r="80">
      <c r="A80" s="777"/>
      <c r="B80" s="776"/>
      <c r="C80" s="782"/>
      <c r="D80" s="776"/>
      <c r="E80" s="776"/>
      <c r="F80" s="776"/>
      <c r="G80" s="776"/>
      <c r="H80" s="775" t="s">
        <v>2365</v>
      </c>
      <c r="I80" s="776"/>
      <c r="J80" s="755"/>
    </row>
    <row r="81">
      <c r="A81" s="777"/>
      <c r="B81" s="776"/>
      <c r="C81" s="782"/>
      <c r="D81" s="776"/>
      <c r="E81" s="776"/>
      <c r="F81" s="776"/>
      <c r="G81" s="776"/>
      <c r="H81" s="775" t="s">
        <v>2365</v>
      </c>
      <c r="I81" s="776"/>
      <c r="J81" s="755"/>
    </row>
    <row r="82">
      <c r="A82" s="777"/>
      <c r="B82" s="776"/>
      <c r="C82" s="782"/>
      <c r="D82" s="776"/>
      <c r="E82" s="776"/>
      <c r="F82" s="776"/>
      <c r="G82" s="776"/>
      <c r="H82" s="775" t="s">
        <v>2365</v>
      </c>
      <c r="I82" s="776"/>
      <c r="J82" s="755"/>
    </row>
    <row r="83">
      <c r="A83" s="777"/>
      <c r="B83" s="776"/>
      <c r="C83" s="782"/>
      <c r="D83" s="776"/>
      <c r="E83" s="776"/>
      <c r="F83" s="776"/>
      <c r="G83" s="776"/>
      <c r="H83" s="775" t="s">
        <v>2365</v>
      </c>
      <c r="I83" s="776"/>
      <c r="J83" s="755"/>
    </row>
    <row r="84">
      <c r="A84" s="777"/>
      <c r="B84" s="776"/>
      <c r="C84" s="782"/>
      <c r="D84" s="776"/>
      <c r="E84" s="776"/>
      <c r="F84" s="776"/>
      <c r="G84" s="776"/>
      <c r="H84" s="775" t="s">
        <v>2365</v>
      </c>
      <c r="I84" s="776"/>
      <c r="J84" s="755"/>
    </row>
    <row r="85">
      <c r="A85" s="777"/>
      <c r="B85" s="776"/>
      <c r="C85" s="782"/>
      <c r="D85" s="776"/>
      <c r="E85" s="776"/>
      <c r="F85" s="776"/>
      <c r="G85" s="776"/>
      <c r="H85" s="775" t="s">
        <v>2365</v>
      </c>
      <c r="I85" s="776"/>
      <c r="J85" s="755"/>
    </row>
    <row r="86">
      <c r="A86" s="777"/>
      <c r="B86" s="776"/>
      <c r="C86" s="782"/>
      <c r="D86" s="776"/>
      <c r="E86" s="776"/>
      <c r="F86" s="776"/>
      <c r="G86" s="776"/>
      <c r="H86" s="775" t="s">
        <v>2365</v>
      </c>
      <c r="I86" s="776"/>
      <c r="J86" s="755"/>
    </row>
    <row r="87">
      <c r="A87" s="777"/>
      <c r="B87" s="776"/>
      <c r="C87" s="782"/>
      <c r="D87" s="776"/>
      <c r="E87" s="776"/>
      <c r="F87" s="776"/>
      <c r="G87" s="776"/>
      <c r="H87" s="775" t="s">
        <v>2365</v>
      </c>
      <c r="I87" s="776"/>
      <c r="J87" s="755"/>
    </row>
    <row r="88">
      <c r="A88" s="777"/>
      <c r="B88" s="776"/>
      <c r="C88" s="782"/>
      <c r="D88" s="776"/>
      <c r="E88" s="776"/>
      <c r="F88" s="776"/>
      <c r="G88" s="776"/>
      <c r="H88" s="775" t="s">
        <v>2365</v>
      </c>
      <c r="I88" s="776"/>
      <c r="J88" s="755"/>
    </row>
    <row r="89">
      <c r="A89" s="777"/>
      <c r="B89" s="776"/>
      <c r="C89" s="782"/>
      <c r="D89" s="776"/>
      <c r="E89" s="776"/>
      <c r="F89" s="776"/>
      <c r="G89" s="776"/>
      <c r="H89" s="775" t="s">
        <v>2365</v>
      </c>
      <c r="I89" s="776"/>
      <c r="J89" s="755"/>
    </row>
    <row r="90">
      <c r="A90" s="777"/>
      <c r="B90" s="776"/>
      <c r="C90" s="782"/>
      <c r="D90" s="776"/>
      <c r="E90" s="776"/>
      <c r="F90" s="776"/>
      <c r="G90" s="776"/>
      <c r="H90" s="775" t="s">
        <v>2365</v>
      </c>
      <c r="I90" s="776"/>
      <c r="J90" s="755"/>
    </row>
    <row r="91">
      <c r="A91" s="777"/>
      <c r="B91" s="776"/>
      <c r="C91" s="782"/>
      <c r="D91" s="776"/>
      <c r="E91" s="776"/>
      <c r="F91" s="776"/>
      <c r="G91" s="776"/>
      <c r="H91" s="775" t="s">
        <v>2365</v>
      </c>
      <c r="I91" s="776"/>
      <c r="J91" s="755"/>
    </row>
    <row r="92">
      <c r="A92" s="777"/>
      <c r="B92" s="776"/>
      <c r="C92" s="782"/>
      <c r="D92" s="776"/>
      <c r="E92" s="776"/>
      <c r="F92" s="776"/>
      <c r="G92" s="776"/>
      <c r="H92" s="775" t="s">
        <v>2365</v>
      </c>
      <c r="I92" s="776"/>
      <c r="J92" s="755"/>
    </row>
    <row r="93">
      <c r="A93" s="777"/>
      <c r="B93" s="776"/>
      <c r="C93" s="782"/>
      <c r="D93" s="776"/>
      <c r="E93" s="776"/>
      <c r="F93" s="776"/>
      <c r="G93" s="776"/>
      <c r="H93" s="775" t="s">
        <v>2365</v>
      </c>
      <c r="I93" s="776"/>
      <c r="J93" s="755"/>
    </row>
    <row r="94">
      <c r="A94" s="777"/>
      <c r="B94" s="776"/>
      <c r="C94" s="782"/>
      <c r="D94" s="776"/>
      <c r="E94" s="776"/>
      <c r="F94" s="776"/>
      <c r="G94" s="776"/>
      <c r="H94" s="775" t="s">
        <v>2365</v>
      </c>
      <c r="I94" s="776"/>
      <c r="J94" s="755"/>
    </row>
    <row r="95">
      <c r="A95" s="777"/>
      <c r="B95" s="776"/>
      <c r="C95" s="782"/>
      <c r="D95" s="776"/>
      <c r="E95" s="776"/>
      <c r="F95" s="776"/>
      <c r="G95" s="776"/>
      <c r="H95" s="775" t="s">
        <v>2365</v>
      </c>
      <c r="I95" s="776"/>
      <c r="J95" s="755"/>
    </row>
    <row r="96">
      <c r="A96" s="777"/>
      <c r="B96" s="776"/>
      <c r="C96" s="782"/>
      <c r="D96" s="776"/>
      <c r="E96" s="776"/>
      <c r="F96" s="776"/>
      <c r="G96" s="776"/>
      <c r="H96" s="775" t="s">
        <v>2365</v>
      </c>
      <c r="I96" s="776"/>
      <c r="J96" s="755"/>
    </row>
    <row r="97">
      <c r="A97" s="777"/>
      <c r="B97" s="776"/>
      <c r="C97" s="782"/>
      <c r="D97" s="776"/>
      <c r="E97" s="776"/>
      <c r="F97" s="776"/>
      <c r="G97" s="776"/>
      <c r="H97" s="775" t="s">
        <v>2365</v>
      </c>
      <c r="I97" s="776"/>
      <c r="J97" s="755"/>
    </row>
    <row r="98">
      <c r="A98" s="777"/>
      <c r="B98" s="776"/>
      <c r="C98" s="782"/>
      <c r="D98" s="776"/>
      <c r="E98" s="776"/>
      <c r="F98" s="776"/>
      <c r="G98" s="776"/>
      <c r="H98" s="775" t="s">
        <v>2365</v>
      </c>
      <c r="I98" s="776"/>
      <c r="J98" s="755"/>
    </row>
    <row r="99">
      <c r="A99" s="777"/>
      <c r="B99" s="776"/>
      <c r="C99" s="782"/>
      <c r="D99" s="776"/>
      <c r="E99" s="776"/>
      <c r="F99" s="776"/>
      <c r="G99" s="776"/>
      <c r="H99" s="775" t="s">
        <v>2365</v>
      </c>
      <c r="I99" s="776"/>
      <c r="J99" s="755"/>
    </row>
    <row r="100">
      <c r="A100" s="777"/>
      <c r="B100" s="776"/>
      <c r="C100" s="782"/>
      <c r="D100" s="776"/>
      <c r="E100" s="776"/>
      <c r="F100" s="776"/>
      <c r="G100" s="776"/>
      <c r="H100" s="775" t="s">
        <v>2365</v>
      </c>
      <c r="I100" s="776"/>
      <c r="J100" s="755"/>
    </row>
    <row r="101">
      <c r="A101" s="777"/>
      <c r="B101" s="776"/>
      <c r="C101" s="782"/>
      <c r="D101" s="776"/>
      <c r="E101" s="776"/>
      <c r="F101" s="776"/>
      <c r="G101" s="776"/>
      <c r="H101" s="775" t="s">
        <v>2365</v>
      </c>
      <c r="I101" s="776"/>
      <c r="J101" s="755"/>
    </row>
    <row r="102">
      <c r="A102" s="777"/>
      <c r="B102" s="776"/>
      <c r="C102" s="782"/>
      <c r="D102" s="776"/>
      <c r="E102" s="776"/>
      <c r="F102" s="776"/>
      <c r="G102" s="776"/>
      <c r="H102" s="775" t="s">
        <v>2365</v>
      </c>
      <c r="I102" s="776"/>
      <c r="J102" s="755"/>
    </row>
    <row r="103">
      <c r="A103" s="777"/>
      <c r="B103" s="776"/>
      <c r="C103" s="782"/>
      <c r="D103" s="776"/>
      <c r="E103" s="776"/>
      <c r="F103" s="776"/>
      <c r="G103" s="776"/>
      <c r="H103" s="775" t="s">
        <v>2365</v>
      </c>
      <c r="I103" s="776"/>
      <c r="J103" s="755"/>
    </row>
    <row r="104">
      <c r="A104" s="777"/>
      <c r="B104" s="776"/>
      <c r="C104" s="782"/>
      <c r="D104" s="776"/>
      <c r="E104" s="776"/>
      <c r="F104" s="776"/>
      <c r="G104" s="776"/>
      <c r="H104" s="775" t="s">
        <v>2365</v>
      </c>
      <c r="I104" s="776"/>
      <c r="J104" s="755"/>
    </row>
    <row r="105">
      <c r="A105" s="777"/>
      <c r="B105" s="776"/>
      <c r="C105" s="782"/>
      <c r="D105" s="776"/>
      <c r="E105" s="776"/>
      <c r="F105" s="776"/>
      <c r="G105" s="776"/>
      <c r="H105" s="775" t="s">
        <v>2365</v>
      </c>
      <c r="I105" s="776"/>
      <c r="J105" s="755"/>
    </row>
    <row r="106">
      <c r="A106" s="777"/>
      <c r="B106" s="776"/>
      <c r="C106" s="782"/>
      <c r="D106" s="776"/>
      <c r="E106" s="776"/>
      <c r="F106" s="776"/>
      <c r="G106" s="776"/>
      <c r="H106" s="775" t="s">
        <v>2365</v>
      </c>
      <c r="I106" s="776"/>
      <c r="J106" s="755"/>
    </row>
    <row r="107">
      <c r="A107" s="777"/>
      <c r="B107" s="776"/>
      <c r="C107" s="782"/>
      <c r="D107" s="776"/>
      <c r="E107" s="776"/>
      <c r="F107" s="776"/>
      <c r="G107" s="776"/>
      <c r="H107" s="775" t="s">
        <v>2365</v>
      </c>
      <c r="I107" s="776"/>
      <c r="J107" s="755"/>
    </row>
    <row r="108">
      <c r="A108" s="777"/>
      <c r="B108" s="776"/>
      <c r="C108" s="782"/>
      <c r="D108" s="776"/>
      <c r="E108" s="776"/>
      <c r="F108" s="776"/>
      <c r="G108" s="776"/>
      <c r="H108" s="775" t="s">
        <v>2365</v>
      </c>
      <c r="I108" s="776"/>
      <c r="J108" s="755"/>
    </row>
    <row r="109">
      <c r="A109" s="777"/>
      <c r="B109" s="776"/>
      <c r="C109" s="782"/>
      <c r="D109" s="776"/>
      <c r="E109" s="776"/>
      <c r="F109" s="776"/>
      <c r="G109" s="776"/>
      <c r="H109" s="775" t="s">
        <v>2365</v>
      </c>
      <c r="I109" s="776"/>
      <c r="J109" s="755"/>
    </row>
    <row r="110">
      <c r="A110" s="777"/>
      <c r="B110" s="776"/>
      <c r="C110" s="782"/>
      <c r="D110" s="776"/>
      <c r="E110" s="776"/>
      <c r="F110" s="776"/>
      <c r="G110" s="776"/>
      <c r="H110" s="775" t="s">
        <v>2365</v>
      </c>
      <c r="I110" s="776"/>
      <c r="J110" s="755"/>
    </row>
    <row r="111">
      <c r="A111" s="777"/>
      <c r="B111" s="776"/>
      <c r="C111" s="782"/>
      <c r="D111" s="776"/>
      <c r="E111" s="776"/>
      <c r="F111" s="776"/>
      <c r="G111" s="776"/>
      <c r="H111" s="775" t="s">
        <v>2365</v>
      </c>
      <c r="I111" s="776"/>
      <c r="J111" s="755"/>
    </row>
    <row r="112">
      <c r="A112" s="777"/>
      <c r="B112" s="776"/>
      <c r="C112" s="782"/>
      <c r="D112" s="776"/>
      <c r="E112" s="776"/>
      <c r="F112" s="776"/>
      <c r="G112" s="776"/>
      <c r="H112" s="775" t="s">
        <v>2365</v>
      </c>
      <c r="I112" s="776"/>
      <c r="J112" s="755"/>
    </row>
    <row r="113">
      <c r="A113" s="777"/>
      <c r="B113" s="776"/>
      <c r="C113" s="782"/>
      <c r="D113" s="776"/>
      <c r="E113" s="776"/>
      <c r="F113" s="776"/>
      <c r="G113" s="776"/>
      <c r="H113" s="775" t="s">
        <v>2365</v>
      </c>
      <c r="I113" s="776"/>
      <c r="J113" s="755"/>
    </row>
    <row r="114">
      <c r="A114" s="777"/>
      <c r="B114" s="776"/>
      <c r="C114" s="782"/>
      <c r="D114" s="776"/>
      <c r="E114" s="776"/>
      <c r="F114" s="776"/>
      <c r="G114" s="776"/>
      <c r="H114" s="775" t="s">
        <v>2365</v>
      </c>
      <c r="I114" s="776"/>
      <c r="J114" s="755"/>
    </row>
    <row r="115">
      <c r="A115" s="777"/>
      <c r="B115" s="776"/>
      <c r="C115" s="782"/>
      <c r="D115" s="776"/>
      <c r="E115" s="776"/>
      <c r="F115" s="776"/>
      <c r="G115" s="776"/>
      <c r="H115" s="775" t="s">
        <v>2365</v>
      </c>
      <c r="I115" s="776"/>
      <c r="J115" s="755"/>
    </row>
    <row r="116">
      <c r="A116" s="777"/>
      <c r="B116" s="776"/>
      <c r="C116" s="782"/>
      <c r="D116" s="776"/>
      <c r="E116" s="776"/>
      <c r="F116" s="776"/>
      <c r="G116" s="776"/>
      <c r="H116" s="775" t="s">
        <v>2365</v>
      </c>
      <c r="I116" s="776"/>
      <c r="J116" s="755"/>
    </row>
    <row r="117">
      <c r="A117" s="777"/>
      <c r="B117" s="776"/>
      <c r="C117" s="782"/>
      <c r="D117" s="776"/>
      <c r="E117" s="776"/>
      <c r="F117" s="776"/>
      <c r="G117" s="776"/>
      <c r="H117" s="775" t="s">
        <v>2365</v>
      </c>
      <c r="I117" s="776"/>
      <c r="J117" s="755"/>
    </row>
    <row r="118">
      <c r="A118" s="777"/>
      <c r="B118" s="776"/>
      <c r="C118" s="782"/>
      <c r="D118" s="776"/>
      <c r="E118" s="776"/>
      <c r="F118" s="776"/>
      <c r="G118" s="776"/>
      <c r="H118" s="775" t="s">
        <v>2365</v>
      </c>
      <c r="I118" s="776"/>
      <c r="J118" s="755"/>
    </row>
    <row r="119">
      <c r="A119" s="777"/>
      <c r="B119" s="776"/>
      <c r="C119" s="782"/>
      <c r="D119" s="776"/>
      <c r="E119" s="776"/>
      <c r="F119" s="776"/>
      <c r="G119" s="776"/>
      <c r="H119" s="775" t="s">
        <v>2365</v>
      </c>
      <c r="I119" s="776"/>
      <c r="J119" s="755"/>
    </row>
    <row r="120">
      <c r="A120" s="777"/>
      <c r="B120" s="776"/>
      <c r="C120" s="782"/>
      <c r="D120" s="776"/>
      <c r="E120" s="776"/>
      <c r="F120" s="776"/>
      <c r="G120" s="776"/>
      <c r="H120" s="775" t="s">
        <v>2365</v>
      </c>
      <c r="I120" s="776"/>
      <c r="J120" s="755"/>
    </row>
    <row r="121">
      <c r="A121" s="777"/>
      <c r="B121" s="776"/>
      <c r="C121" s="782"/>
      <c r="D121" s="776"/>
      <c r="E121" s="776"/>
      <c r="F121" s="776"/>
      <c r="G121" s="776"/>
      <c r="H121" s="775" t="s">
        <v>2365</v>
      </c>
      <c r="I121" s="776"/>
      <c r="J121" s="755"/>
    </row>
    <row r="122">
      <c r="A122" s="777"/>
      <c r="B122" s="776"/>
      <c r="C122" s="782"/>
      <c r="D122" s="776"/>
      <c r="E122" s="776"/>
      <c r="F122" s="776"/>
      <c r="G122" s="776"/>
      <c r="H122" s="775" t="s">
        <v>2365</v>
      </c>
      <c r="I122" s="776"/>
      <c r="J122" s="755"/>
    </row>
    <row r="123">
      <c r="A123" s="777"/>
      <c r="B123" s="776"/>
      <c r="C123" s="782"/>
      <c r="D123" s="776"/>
      <c r="E123" s="776"/>
      <c r="F123" s="776"/>
      <c r="G123" s="776"/>
      <c r="H123" s="775" t="s">
        <v>2365</v>
      </c>
      <c r="I123" s="776"/>
      <c r="J123" s="755"/>
    </row>
    <row r="124">
      <c r="A124" s="777"/>
      <c r="B124" s="776"/>
      <c r="C124" s="782"/>
      <c r="D124" s="776"/>
      <c r="E124" s="776"/>
      <c r="F124" s="776"/>
      <c r="G124" s="776"/>
      <c r="H124" s="775" t="s">
        <v>2365</v>
      </c>
      <c r="I124" s="776"/>
      <c r="J124" s="755"/>
    </row>
    <row r="125">
      <c r="A125" s="777"/>
      <c r="B125" s="776"/>
      <c r="C125" s="782"/>
      <c r="D125" s="776"/>
      <c r="E125" s="776"/>
      <c r="F125" s="776"/>
      <c r="G125" s="776"/>
      <c r="H125" s="775" t="s">
        <v>2365</v>
      </c>
      <c r="I125" s="776"/>
      <c r="J125" s="755"/>
    </row>
    <row r="126">
      <c r="A126" s="777"/>
      <c r="B126" s="776"/>
      <c r="C126" s="782"/>
      <c r="D126" s="776"/>
      <c r="E126" s="776"/>
      <c r="F126" s="776"/>
      <c r="G126" s="776"/>
      <c r="H126" s="775" t="s">
        <v>2365</v>
      </c>
      <c r="I126" s="776"/>
      <c r="J126" s="755"/>
    </row>
    <row r="127">
      <c r="A127" s="777"/>
      <c r="B127" s="776"/>
      <c r="C127" s="782"/>
      <c r="D127" s="776"/>
      <c r="E127" s="776"/>
      <c r="F127" s="776"/>
      <c r="G127" s="776"/>
      <c r="H127" s="775" t="s">
        <v>2365</v>
      </c>
      <c r="I127" s="776"/>
      <c r="J127" s="755"/>
    </row>
    <row r="128">
      <c r="A128" s="777"/>
      <c r="B128" s="776"/>
      <c r="C128" s="782"/>
      <c r="D128" s="776"/>
      <c r="E128" s="776"/>
      <c r="F128" s="776"/>
      <c r="G128" s="776"/>
      <c r="H128" s="775" t="s">
        <v>2365</v>
      </c>
      <c r="I128" s="776"/>
      <c r="J128" s="755"/>
    </row>
    <row r="129">
      <c r="A129" s="777"/>
      <c r="B129" s="776"/>
      <c r="C129" s="782"/>
      <c r="D129" s="776"/>
      <c r="E129" s="776"/>
      <c r="F129" s="776"/>
      <c r="G129" s="776"/>
      <c r="H129" s="775" t="s">
        <v>2365</v>
      </c>
      <c r="I129" s="776"/>
      <c r="J129" s="755"/>
    </row>
    <row r="130">
      <c r="A130" s="777"/>
      <c r="B130" s="776"/>
      <c r="C130" s="782"/>
      <c r="D130" s="776"/>
      <c r="E130" s="776"/>
      <c r="F130" s="776"/>
      <c r="G130" s="776"/>
      <c r="H130" s="775" t="s">
        <v>2365</v>
      </c>
      <c r="I130" s="776"/>
      <c r="J130" s="755"/>
    </row>
    <row r="131">
      <c r="A131" s="777"/>
      <c r="B131" s="776"/>
      <c r="C131" s="782"/>
      <c r="D131" s="776"/>
      <c r="E131" s="776"/>
      <c r="F131" s="776"/>
      <c r="G131" s="776"/>
      <c r="H131" s="775" t="s">
        <v>2365</v>
      </c>
      <c r="I131" s="776"/>
      <c r="J131" s="755"/>
    </row>
    <row r="132">
      <c r="A132" s="777"/>
      <c r="B132" s="776"/>
      <c r="C132" s="782"/>
      <c r="D132" s="776"/>
      <c r="E132" s="776"/>
      <c r="F132" s="776"/>
      <c r="G132" s="776"/>
      <c r="H132" s="775" t="s">
        <v>2365</v>
      </c>
      <c r="I132" s="776"/>
      <c r="J132" s="755"/>
    </row>
    <row r="133">
      <c r="A133" s="777"/>
      <c r="B133" s="776"/>
      <c r="C133" s="782"/>
      <c r="D133" s="776"/>
      <c r="E133" s="776"/>
      <c r="F133" s="776"/>
      <c r="G133" s="776"/>
      <c r="H133" s="775" t="s">
        <v>2365</v>
      </c>
      <c r="I133" s="776"/>
      <c r="J133" s="755"/>
    </row>
    <row r="134">
      <c r="A134" s="777"/>
      <c r="B134" s="776"/>
      <c r="C134" s="782"/>
      <c r="D134" s="776"/>
      <c r="E134" s="776"/>
      <c r="F134" s="776"/>
      <c r="G134" s="776"/>
      <c r="H134" s="775" t="s">
        <v>2365</v>
      </c>
      <c r="I134" s="776"/>
      <c r="J134" s="755"/>
    </row>
    <row r="135">
      <c r="A135" s="777"/>
      <c r="B135" s="776"/>
      <c r="C135" s="782"/>
      <c r="D135" s="776"/>
      <c r="E135" s="776"/>
      <c r="F135" s="776"/>
      <c r="G135" s="776"/>
      <c r="H135" s="775" t="s">
        <v>2365</v>
      </c>
      <c r="I135" s="776"/>
      <c r="J135" s="755"/>
    </row>
    <row r="136">
      <c r="A136" s="777"/>
      <c r="B136" s="776"/>
      <c r="C136" s="782"/>
      <c r="D136" s="776"/>
      <c r="E136" s="776"/>
      <c r="F136" s="776"/>
      <c r="G136" s="776"/>
      <c r="H136" s="775" t="s">
        <v>2365</v>
      </c>
      <c r="I136" s="776"/>
      <c r="J136" s="755"/>
    </row>
    <row r="137">
      <c r="A137" s="777"/>
      <c r="B137" s="776"/>
      <c r="C137" s="782"/>
      <c r="D137" s="776"/>
      <c r="E137" s="776"/>
      <c r="F137" s="776"/>
      <c r="G137" s="776"/>
      <c r="H137" s="775" t="s">
        <v>2365</v>
      </c>
      <c r="I137" s="776"/>
      <c r="J137" s="755"/>
    </row>
    <row r="138">
      <c r="A138" s="777"/>
      <c r="B138" s="776"/>
      <c r="C138" s="782"/>
      <c r="D138" s="776"/>
      <c r="E138" s="776"/>
      <c r="F138" s="776"/>
      <c r="G138" s="776"/>
      <c r="H138" s="775" t="s">
        <v>2365</v>
      </c>
      <c r="I138" s="776"/>
      <c r="J138" s="755"/>
    </row>
    <row r="139">
      <c r="A139" s="777"/>
      <c r="B139" s="776"/>
      <c r="C139" s="782"/>
      <c r="D139" s="776"/>
      <c r="E139" s="776"/>
      <c r="F139" s="776"/>
      <c r="G139" s="776"/>
      <c r="H139" s="775" t="s">
        <v>2365</v>
      </c>
      <c r="I139" s="776"/>
      <c r="J139" s="755"/>
    </row>
    <row r="140">
      <c r="A140" s="777"/>
      <c r="B140" s="776"/>
      <c r="C140" s="782"/>
      <c r="D140" s="776"/>
      <c r="E140" s="776"/>
      <c r="F140" s="776"/>
      <c r="G140" s="776"/>
      <c r="H140" s="775" t="s">
        <v>2365</v>
      </c>
      <c r="I140" s="776"/>
      <c r="J140" s="755"/>
    </row>
    <row r="141">
      <c r="A141" s="777"/>
      <c r="B141" s="776"/>
      <c r="C141" s="782"/>
      <c r="D141" s="776"/>
      <c r="E141" s="776"/>
      <c r="F141" s="776"/>
      <c r="G141" s="776"/>
      <c r="H141" s="775" t="s">
        <v>2365</v>
      </c>
      <c r="I141" s="776"/>
      <c r="J141" s="755"/>
    </row>
    <row r="142">
      <c r="A142" s="777"/>
      <c r="B142" s="776"/>
      <c r="C142" s="782"/>
      <c r="D142" s="776"/>
      <c r="E142" s="776"/>
      <c r="F142" s="776"/>
      <c r="G142" s="776"/>
      <c r="H142" s="775" t="s">
        <v>2365</v>
      </c>
      <c r="I142" s="776"/>
      <c r="J142" s="755"/>
    </row>
    <row r="143">
      <c r="A143" s="777"/>
      <c r="B143" s="776"/>
      <c r="C143" s="782"/>
      <c r="D143" s="776"/>
      <c r="E143" s="776"/>
      <c r="F143" s="776"/>
      <c r="G143" s="776"/>
      <c r="H143" s="775" t="s">
        <v>2365</v>
      </c>
      <c r="I143" s="776"/>
      <c r="J143" s="755"/>
    </row>
    <row r="144">
      <c r="A144" s="777"/>
      <c r="B144" s="776"/>
      <c r="C144" s="782"/>
      <c r="D144" s="776"/>
      <c r="E144" s="776"/>
      <c r="F144" s="776"/>
      <c r="G144" s="776"/>
      <c r="H144" s="775" t="s">
        <v>2365</v>
      </c>
      <c r="I144" s="776"/>
      <c r="J144" s="755"/>
    </row>
    <row r="145">
      <c r="A145" s="777"/>
      <c r="B145" s="776"/>
      <c r="C145" s="782"/>
      <c r="D145" s="776"/>
      <c r="E145" s="776"/>
      <c r="F145" s="776"/>
      <c r="G145" s="776"/>
      <c r="H145" s="775" t="s">
        <v>2365</v>
      </c>
      <c r="I145" s="776"/>
      <c r="J145" s="755"/>
    </row>
    <row r="146">
      <c r="A146" s="777"/>
      <c r="B146" s="776"/>
      <c r="C146" s="782"/>
      <c r="D146" s="776"/>
      <c r="E146" s="776"/>
      <c r="F146" s="776"/>
      <c r="G146" s="776"/>
      <c r="H146" s="775" t="s">
        <v>2365</v>
      </c>
      <c r="I146" s="776"/>
      <c r="J146" s="755"/>
    </row>
    <row r="147">
      <c r="A147" s="777"/>
      <c r="B147" s="776"/>
      <c r="C147" s="782"/>
      <c r="D147" s="776"/>
      <c r="E147" s="776"/>
      <c r="F147" s="776"/>
      <c r="G147" s="776"/>
      <c r="H147" s="775" t="s">
        <v>2365</v>
      </c>
      <c r="I147" s="776"/>
      <c r="J147" s="755"/>
    </row>
    <row r="148">
      <c r="A148" s="777"/>
      <c r="B148" s="776"/>
      <c r="C148" s="782"/>
      <c r="D148" s="776"/>
      <c r="E148" s="776"/>
      <c r="F148" s="776"/>
      <c r="G148" s="776"/>
      <c r="H148" s="775" t="s">
        <v>2365</v>
      </c>
      <c r="I148" s="776"/>
      <c r="J148" s="755"/>
    </row>
    <row r="149">
      <c r="A149" s="777"/>
      <c r="B149" s="776"/>
      <c r="C149" s="782"/>
      <c r="D149" s="776"/>
      <c r="E149" s="776"/>
      <c r="F149" s="776"/>
      <c r="G149" s="776"/>
      <c r="H149" s="775" t="s">
        <v>2365</v>
      </c>
      <c r="I149" s="776"/>
      <c r="J149" s="755"/>
    </row>
    <row r="150">
      <c r="A150" s="783"/>
      <c r="B150" s="784"/>
      <c r="C150" s="785"/>
      <c r="D150" s="784"/>
      <c r="E150" s="784"/>
      <c r="F150" s="784"/>
      <c r="G150" s="784"/>
      <c r="H150" s="775" t="s">
        <v>2365</v>
      </c>
      <c r="I150" s="776"/>
      <c r="J150" s="755"/>
    </row>
    <row r="151">
      <c r="A151" s="783"/>
      <c r="B151" s="784"/>
      <c r="C151" s="784"/>
      <c r="D151" s="784"/>
      <c r="E151" s="786" t="s">
        <v>2366</v>
      </c>
      <c r="F151" s="787" t="s">
        <v>2272</v>
      </c>
      <c r="G151" s="787" t="s">
        <v>2273</v>
      </c>
      <c r="H151" s="788" t="s">
        <v>2365</v>
      </c>
      <c r="I151" s="789"/>
      <c r="J151" s="755"/>
    </row>
  </sheetData>
  <mergeCells count="4">
    <mergeCell ref="C1:E1"/>
    <mergeCell ref="C2:E2"/>
    <mergeCell ref="A3:H3"/>
    <mergeCell ref="A4:H4"/>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6.0" topLeftCell="A7" activePane="bottomLeft" state="frozen"/>
      <selection activeCell="B8" sqref="B8" pane="bottomLeft"/>
    </sheetView>
  </sheetViews>
  <sheetFormatPr customHeight="1" defaultColWidth="14.43" defaultRowHeight="15.0"/>
  <cols>
    <col customWidth="1" min="1" max="1" width="6.14"/>
    <col customWidth="1" min="3" max="3" width="7.71"/>
    <col customWidth="1" min="4" max="4" width="44.14"/>
  </cols>
  <sheetData>
    <row r="1">
      <c r="A1" s="790" t="s">
        <v>2367</v>
      </c>
      <c r="B1" s="234"/>
      <c r="C1" s="234"/>
      <c r="D1" s="235"/>
      <c r="E1" s="791"/>
      <c r="F1" s="791"/>
      <c r="G1" s="792" t="s">
        <v>2368</v>
      </c>
      <c r="H1" s="234"/>
      <c r="I1" s="234"/>
      <c r="J1" s="234"/>
      <c r="K1" s="234"/>
      <c r="L1" s="235"/>
    </row>
    <row r="2">
      <c r="A2" s="793" t="s">
        <v>1833</v>
      </c>
      <c r="D2" s="794"/>
      <c r="E2" s="791"/>
      <c r="F2" s="791"/>
      <c r="G2" s="236"/>
      <c r="L2" s="341"/>
    </row>
    <row r="3">
      <c r="A3" s="795" t="s">
        <v>1835</v>
      </c>
      <c r="B3" s="343"/>
      <c r="C3" s="796" t="s">
        <v>2369</v>
      </c>
      <c r="D3" s="341"/>
      <c r="E3" s="791"/>
      <c r="F3" s="791"/>
      <c r="G3" s="254"/>
      <c r="H3" s="343"/>
      <c r="I3" s="343"/>
      <c r="J3" s="343"/>
      <c r="K3" s="343"/>
      <c r="L3" s="214"/>
    </row>
    <row r="4">
      <c r="A4" s="797"/>
      <c r="B4" s="454"/>
      <c r="C4" s="454"/>
      <c r="D4" s="454"/>
      <c r="E4" s="454"/>
      <c r="F4" s="3"/>
      <c r="G4" s="798" t="s">
        <v>2370</v>
      </c>
      <c r="H4" s="454"/>
      <c r="I4" s="3"/>
      <c r="J4" s="799" t="s">
        <v>2371</v>
      </c>
      <c r="K4" s="799" t="s">
        <v>2372</v>
      </c>
      <c r="L4" s="799">
        <f>SUM(J4:K4)</f>
        <v>0</v>
      </c>
    </row>
    <row r="5">
      <c r="A5" s="800" t="s">
        <v>1526</v>
      </c>
      <c r="B5" s="801" t="s">
        <v>120</v>
      </c>
      <c r="C5" s="801" t="s">
        <v>119</v>
      </c>
      <c r="D5" s="802" t="s">
        <v>2373</v>
      </c>
      <c r="E5" s="802" t="s">
        <v>2374</v>
      </c>
      <c r="F5" s="802" t="s">
        <v>2375</v>
      </c>
      <c r="G5" s="801" t="s">
        <v>2376</v>
      </c>
      <c r="H5" s="802" t="s">
        <v>2377</v>
      </c>
      <c r="I5" s="802" t="s">
        <v>2378</v>
      </c>
      <c r="J5" s="803" t="s">
        <v>2379</v>
      </c>
      <c r="K5" s="3"/>
      <c r="L5" s="802" t="s">
        <v>2380</v>
      </c>
    </row>
    <row r="6">
      <c r="A6" s="213"/>
      <c r="B6" s="213"/>
      <c r="C6" s="213"/>
      <c r="D6" s="213"/>
      <c r="E6" s="213"/>
      <c r="F6" s="213"/>
      <c r="G6" s="213"/>
      <c r="H6" s="213"/>
      <c r="I6" s="213"/>
      <c r="J6" s="804" t="s">
        <v>1325</v>
      </c>
      <c r="K6" s="804" t="s">
        <v>2381</v>
      </c>
      <c r="L6" s="213"/>
    </row>
    <row r="7">
      <c r="A7" s="805">
        <v>1.0</v>
      </c>
      <c r="B7" s="806">
        <v>1.0</v>
      </c>
      <c r="C7" s="806">
        <v>1.0</v>
      </c>
      <c r="D7" s="807" t="s">
        <v>2382</v>
      </c>
      <c r="E7" s="808"/>
      <c r="F7" s="808"/>
      <c r="G7" s="808"/>
      <c r="H7" s="808"/>
      <c r="I7" s="808"/>
      <c r="J7" s="809" t="s">
        <v>2371</v>
      </c>
      <c r="K7" s="809" t="s">
        <v>2372</v>
      </c>
      <c r="L7" s="809" t="s">
        <v>2383</v>
      </c>
    </row>
    <row r="8">
      <c r="A8" s="805">
        <v>2.0</v>
      </c>
      <c r="B8" s="806">
        <v>1.0</v>
      </c>
      <c r="C8" s="806">
        <v>1.0</v>
      </c>
      <c r="D8" s="809" t="s">
        <v>2384</v>
      </c>
      <c r="E8" s="808"/>
      <c r="F8" s="809" t="s">
        <v>2385</v>
      </c>
      <c r="G8" s="809" t="s">
        <v>2386</v>
      </c>
      <c r="H8" s="809" t="s">
        <v>2280</v>
      </c>
      <c r="I8" s="808"/>
      <c r="J8" s="809" t="s">
        <v>2387</v>
      </c>
      <c r="K8" s="809" t="s">
        <v>2372</v>
      </c>
      <c r="L8" s="809" t="s">
        <v>2388</v>
      </c>
    </row>
    <row r="9">
      <c r="A9" s="805">
        <v>3.0</v>
      </c>
      <c r="B9" s="806">
        <v>1.0</v>
      </c>
      <c r="C9" s="806">
        <v>1.0</v>
      </c>
      <c r="D9" s="809" t="s">
        <v>2389</v>
      </c>
      <c r="E9" s="808"/>
      <c r="F9" s="809" t="s">
        <v>2390</v>
      </c>
      <c r="G9" s="809" t="s">
        <v>2391</v>
      </c>
      <c r="H9" s="809" t="s">
        <v>2392</v>
      </c>
      <c r="I9" s="808"/>
      <c r="J9" s="809" t="s">
        <v>2387</v>
      </c>
      <c r="K9" s="809" t="s">
        <v>2393</v>
      </c>
      <c r="L9" s="809" t="s">
        <v>2394</v>
      </c>
    </row>
    <row r="10">
      <c r="A10" s="805">
        <v>5.0</v>
      </c>
      <c r="B10" s="806">
        <v>2.0</v>
      </c>
      <c r="C10" s="806">
        <v>1.0</v>
      </c>
      <c r="D10" s="809" t="s">
        <v>2395</v>
      </c>
      <c r="E10" s="809" t="s">
        <v>355</v>
      </c>
      <c r="F10" s="808"/>
      <c r="G10" s="809" t="s">
        <v>2386</v>
      </c>
      <c r="H10" s="808"/>
      <c r="I10" s="809" t="s">
        <v>2396</v>
      </c>
      <c r="J10" s="809" t="s">
        <v>2397</v>
      </c>
      <c r="K10" s="809" t="s">
        <v>2393</v>
      </c>
      <c r="L10" s="809" t="s">
        <v>2398</v>
      </c>
    </row>
    <row r="11">
      <c r="A11" s="805">
        <v>6.0</v>
      </c>
      <c r="B11" s="806">
        <v>5.0</v>
      </c>
      <c r="C11" s="806">
        <v>1.0</v>
      </c>
      <c r="D11" s="809" t="s">
        <v>2399</v>
      </c>
      <c r="E11" s="808"/>
      <c r="F11" s="809" t="s">
        <v>2400</v>
      </c>
      <c r="G11" s="809" t="s">
        <v>2386</v>
      </c>
      <c r="H11" s="809" t="s">
        <v>2272</v>
      </c>
      <c r="I11" s="808"/>
      <c r="J11" s="809" t="s">
        <v>2401</v>
      </c>
      <c r="K11" s="809" t="s">
        <v>2393</v>
      </c>
      <c r="L11" s="809" t="s">
        <v>2402</v>
      </c>
    </row>
    <row r="12">
      <c r="A12" s="805">
        <v>7.0</v>
      </c>
      <c r="B12" s="806">
        <v>6.0</v>
      </c>
      <c r="C12" s="806">
        <v>1.0</v>
      </c>
      <c r="D12" s="809" t="s">
        <v>2403</v>
      </c>
      <c r="E12" s="808"/>
      <c r="F12" s="809" t="s">
        <v>2404</v>
      </c>
      <c r="G12" s="809" t="s">
        <v>2386</v>
      </c>
      <c r="H12" s="809" t="s">
        <v>2405</v>
      </c>
      <c r="I12" s="808"/>
      <c r="J12" s="809" t="s">
        <v>2406</v>
      </c>
      <c r="K12" s="809" t="s">
        <v>2393</v>
      </c>
      <c r="L12" s="809" t="s">
        <v>2407</v>
      </c>
    </row>
    <row r="13">
      <c r="A13" s="805">
        <v>8.0</v>
      </c>
      <c r="B13" s="806">
        <v>7.0</v>
      </c>
      <c r="C13" s="806">
        <v>1.0</v>
      </c>
      <c r="D13" s="809" t="s">
        <v>2408</v>
      </c>
      <c r="E13" s="809" t="s">
        <v>256</v>
      </c>
      <c r="F13" s="808"/>
      <c r="G13" s="809" t="s">
        <v>2391</v>
      </c>
      <c r="H13" s="808"/>
      <c r="I13" s="809" t="s">
        <v>2372</v>
      </c>
      <c r="J13" s="809" t="s">
        <v>2406</v>
      </c>
      <c r="K13" s="809" t="s">
        <v>2392</v>
      </c>
      <c r="L13" s="809" t="s">
        <v>2409</v>
      </c>
    </row>
    <row r="14">
      <c r="A14" s="805">
        <v>9.0</v>
      </c>
      <c r="B14" s="806">
        <v>9.0</v>
      </c>
      <c r="C14" s="806">
        <v>1.0</v>
      </c>
      <c r="D14" s="809" t="s">
        <v>2410</v>
      </c>
      <c r="E14" s="809" t="s">
        <v>2411</v>
      </c>
      <c r="F14" s="808"/>
      <c r="G14" s="809" t="s">
        <v>2386</v>
      </c>
      <c r="H14" s="808"/>
      <c r="I14" s="809" t="s">
        <v>2284</v>
      </c>
      <c r="J14" s="809" t="s">
        <v>2412</v>
      </c>
      <c r="K14" s="809" t="s">
        <v>2392</v>
      </c>
      <c r="L14" s="809" t="s">
        <v>2413</v>
      </c>
    </row>
    <row r="15">
      <c r="A15" s="805">
        <v>10.0</v>
      </c>
      <c r="B15" s="806">
        <v>10.0</v>
      </c>
      <c r="C15" s="806">
        <v>1.0</v>
      </c>
      <c r="D15" s="809" t="s">
        <v>2414</v>
      </c>
      <c r="E15" s="809" t="s">
        <v>414</v>
      </c>
      <c r="F15" s="808"/>
      <c r="G15" s="809" t="s">
        <v>2391</v>
      </c>
      <c r="H15" s="808"/>
      <c r="I15" s="809" t="s">
        <v>2415</v>
      </c>
      <c r="J15" s="809" t="s">
        <v>2412</v>
      </c>
      <c r="K15" s="809" t="s">
        <v>2416</v>
      </c>
      <c r="L15" s="809" t="s">
        <v>2417</v>
      </c>
    </row>
    <row r="16">
      <c r="A16" s="805">
        <v>11.0</v>
      </c>
      <c r="B16" s="806">
        <v>11.0</v>
      </c>
      <c r="C16" s="806">
        <v>1.0</v>
      </c>
      <c r="D16" s="809" t="s">
        <v>2418</v>
      </c>
      <c r="E16" s="809" t="s">
        <v>2419</v>
      </c>
      <c r="F16" s="808"/>
      <c r="G16" s="809" t="s">
        <v>2386</v>
      </c>
      <c r="H16" s="808"/>
      <c r="I16" s="809" t="s">
        <v>2420</v>
      </c>
      <c r="J16" s="809" t="s">
        <v>2421</v>
      </c>
      <c r="K16" s="809" t="s">
        <v>2416</v>
      </c>
      <c r="L16" s="809" t="s">
        <v>2422</v>
      </c>
    </row>
    <row r="17">
      <c r="A17" s="805">
        <v>12.0</v>
      </c>
      <c r="B17" s="806">
        <v>12.0</v>
      </c>
      <c r="C17" s="806">
        <v>1.0</v>
      </c>
      <c r="D17" s="809" t="s">
        <v>2423</v>
      </c>
      <c r="E17" s="809" t="s">
        <v>349</v>
      </c>
      <c r="F17" s="808"/>
      <c r="G17" s="809" t="s">
        <v>2386</v>
      </c>
      <c r="H17" s="808"/>
      <c r="I17" s="809" t="s">
        <v>2304</v>
      </c>
      <c r="J17" s="809" t="s">
        <v>2424</v>
      </c>
      <c r="K17" s="809" t="s">
        <v>2416</v>
      </c>
      <c r="L17" s="809" t="s">
        <v>2425</v>
      </c>
    </row>
    <row r="18">
      <c r="A18" s="805">
        <v>13.0</v>
      </c>
      <c r="B18" s="806">
        <v>13.0</v>
      </c>
      <c r="C18" s="806">
        <v>1.0</v>
      </c>
      <c r="D18" s="809" t="s">
        <v>2426</v>
      </c>
      <c r="E18" s="809" t="s">
        <v>308</v>
      </c>
      <c r="F18" s="808"/>
      <c r="G18" s="809" t="s">
        <v>2386</v>
      </c>
      <c r="H18" s="808"/>
      <c r="I18" s="809" t="s">
        <v>2427</v>
      </c>
      <c r="J18" s="809" t="s">
        <v>2428</v>
      </c>
      <c r="K18" s="809" t="s">
        <v>2416</v>
      </c>
      <c r="L18" s="809" t="s">
        <v>2429</v>
      </c>
    </row>
    <row r="19">
      <c r="A19" s="805">
        <v>14.0</v>
      </c>
      <c r="B19" s="806">
        <v>13.0</v>
      </c>
      <c r="C19" s="806">
        <v>1.0</v>
      </c>
      <c r="D19" s="809" t="s">
        <v>2430</v>
      </c>
      <c r="E19" s="809" t="s">
        <v>2431</v>
      </c>
      <c r="F19" s="808"/>
      <c r="G19" s="809" t="s">
        <v>2386</v>
      </c>
      <c r="H19" s="808"/>
      <c r="I19" s="809" t="s">
        <v>2284</v>
      </c>
      <c r="J19" s="809" t="s">
        <v>2432</v>
      </c>
      <c r="K19" s="809" t="s">
        <v>2416</v>
      </c>
      <c r="L19" s="809" t="s">
        <v>2433</v>
      </c>
    </row>
    <row r="20">
      <c r="A20" s="805">
        <v>15.0</v>
      </c>
      <c r="B20" s="806">
        <v>1.0</v>
      </c>
      <c r="C20" s="806">
        <v>2.0</v>
      </c>
      <c r="D20" s="807" t="s">
        <v>2434</v>
      </c>
      <c r="E20" s="808"/>
      <c r="F20" s="808"/>
      <c r="G20" s="808"/>
      <c r="H20" s="808"/>
      <c r="I20" s="808"/>
      <c r="J20" s="809" t="s">
        <v>2432</v>
      </c>
      <c r="K20" s="809" t="s">
        <v>2416</v>
      </c>
      <c r="L20" s="809" t="s">
        <v>2433</v>
      </c>
    </row>
    <row r="21">
      <c r="A21" s="805">
        <v>16.0</v>
      </c>
      <c r="B21" s="806">
        <v>2.0</v>
      </c>
      <c r="C21" s="806">
        <v>2.0</v>
      </c>
      <c r="D21" s="809" t="s">
        <v>2435</v>
      </c>
      <c r="E21" s="809" t="s">
        <v>2400</v>
      </c>
      <c r="F21" s="808"/>
      <c r="G21" s="809" t="s">
        <v>2386</v>
      </c>
      <c r="H21" s="808"/>
      <c r="I21" s="809" t="s">
        <v>2284</v>
      </c>
      <c r="J21" s="809" t="s">
        <v>2436</v>
      </c>
      <c r="K21" s="809" t="s">
        <v>2416</v>
      </c>
      <c r="L21" s="809" t="s">
        <v>2437</v>
      </c>
    </row>
    <row r="22">
      <c r="A22" s="805">
        <v>17.0</v>
      </c>
      <c r="B22" s="806">
        <v>2.0</v>
      </c>
      <c r="C22" s="806">
        <v>2.0</v>
      </c>
      <c r="D22" s="809" t="s">
        <v>2435</v>
      </c>
      <c r="E22" s="808"/>
      <c r="F22" s="809" t="s">
        <v>2400</v>
      </c>
      <c r="G22" s="809" t="s">
        <v>2391</v>
      </c>
      <c r="H22" s="809" t="s">
        <v>2284</v>
      </c>
      <c r="I22" s="808"/>
      <c r="J22" s="809" t="s">
        <v>2436</v>
      </c>
      <c r="K22" s="809" t="s">
        <v>2438</v>
      </c>
      <c r="L22" s="809" t="s">
        <v>2433</v>
      </c>
    </row>
    <row r="23">
      <c r="A23" s="805">
        <v>18.0</v>
      </c>
      <c r="B23" s="810"/>
      <c r="C23" s="810"/>
      <c r="D23" s="808"/>
      <c r="E23" s="808"/>
      <c r="F23" s="808"/>
      <c r="G23" s="808"/>
      <c r="H23" s="808"/>
      <c r="I23" s="808"/>
      <c r="J23" s="809" t="s">
        <v>2439</v>
      </c>
      <c r="K23" s="809" t="s">
        <v>2439</v>
      </c>
      <c r="L23" s="809" t="s">
        <v>2439</v>
      </c>
    </row>
    <row r="24">
      <c r="A24" s="805">
        <v>19.0</v>
      </c>
      <c r="B24" s="810"/>
      <c r="C24" s="810"/>
      <c r="D24" s="808"/>
      <c r="E24" s="808"/>
      <c r="F24" s="808"/>
      <c r="G24" s="808"/>
      <c r="H24" s="808"/>
      <c r="I24" s="808"/>
      <c r="J24" s="809" t="s">
        <v>2439</v>
      </c>
      <c r="K24" s="809" t="s">
        <v>2439</v>
      </c>
      <c r="L24" s="809" t="s">
        <v>2439</v>
      </c>
    </row>
    <row r="25">
      <c r="A25" s="805">
        <v>20.0</v>
      </c>
      <c r="B25" s="810"/>
      <c r="C25" s="810"/>
      <c r="D25" s="808"/>
      <c r="E25" s="808"/>
      <c r="F25" s="808"/>
      <c r="G25" s="808"/>
      <c r="H25" s="808"/>
      <c r="I25" s="808"/>
      <c r="J25" s="809" t="s">
        <v>2439</v>
      </c>
      <c r="K25" s="809" t="s">
        <v>2439</v>
      </c>
      <c r="L25" s="809" t="s">
        <v>2439</v>
      </c>
    </row>
  </sheetData>
  <mergeCells count="18">
    <mergeCell ref="A1:D1"/>
    <mergeCell ref="G1:L3"/>
    <mergeCell ref="A2:C2"/>
    <mergeCell ref="A3:B3"/>
    <mergeCell ref="C3:D3"/>
    <mergeCell ref="A4:F4"/>
    <mergeCell ref="G4:I4"/>
    <mergeCell ref="H5:H6"/>
    <mergeCell ref="I5:I6"/>
    <mergeCell ref="J5:K5"/>
    <mergeCell ref="L5:L6"/>
    <mergeCell ref="A5:A6"/>
    <mergeCell ref="B5:B6"/>
    <mergeCell ref="C5:C6"/>
    <mergeCell ref="D5:D6"/>
    <mergeCell ref="E5:E6"/>
    <mergeCell ref="F5:F6"/>
    <mergeCell ref="G5:G6"/>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71"/>
    <col customWidth="1" min="2" max="2" width="10.86"/>
    <col customWidth="1" min="3" max="3" width="47.43"/>
    <col customWidth="1" min="4" max="4" width="11.43"/>
    <col customWidth="1" min="8" max="8" width="10.29"/>
    <col customWidth="1" min="9" max="9" width="41.86"/>
  </cols>
  <sheetData>
    <row r="1">
      <c r="A1" s="811" t="s">
        <v>2440</v>
      </c>
      <c r="B1" s="3"/>
      <c r="C1" s="812"/>
      <c r="D1" s="3"/>
      <c r="E1" s="813"/>
      <c r="F1" s="234"/>
      <c r="G1" s="234"/>
      <c r="H1" s="235"/>
      <c r="I1" s="814" t="s">
        <v>2441</v>
      </c>
    </row>
    <row r="2">
      <c r="A2" s="815" t="s">
        <v>2442</v>
      </c>
      <c r="B2" s="454"/>
      <c r="C2" s="454"/>
      <c r="D2" s="3"/>
      <c r="E2" s="254"/>
      <c r="F2" s="343"/>
      <c r="G2" s="343"/>
      <c r="H2" s="214"/>
      <c r="I2" s="236"/>
    </row>
    <row r="3">
      <c r="A3" s="816" t="s">
        <v>2443</v>
      </c>
      <c r="B3" s="3"/>
      <c r="C3" s="817">
        <v>2018.0</v>
      </c>
      <c r="D3" s="3"/>
      <c r="E3" s="818" t="s">
        <v>2444</v>
      </c>
      <c r="F3" s="454"/>
      <c r="G3" s="454"/>
      <c r="H3" s="3"/>
      <c r="I3" s="236"/>
    </row>
    <row r="4">
      <c r="A4" s="819" t="s">
        <v>1526</v>
      </c>
      <c r="B4" s="820" t="s">
        <v>2445</v>
      </c>
      <c r="C4" s="821" t="s">
        <v>2446</v>
      </c>
      <c r="D4" s="822" t="s">
        <v>2447</v>
      </c>
      <c r="E4" s="822" t="s">
        <v>2020</v>
      </c>
      <c r="F4" s="823" t="s">
        <v>2448</v>
      </c>
      <c r="G4" s="824" t="s">
        <v>2449</v>
      </c>
      <c r="H4" s="825" t="s">
        <v>2060</v>
      </c>
      <c r="I4" s="254"/>
    </row>
    <row r="5">
      <c r="A5" s="826" t="s">
        <v>1767</v>
      </c>
      <c r="B5" s="827">
        <v>0.0</v>
      </c>
      <c r="C5" s="828" t="s">
        <v>2450</v>
      </c>
      <c r="D5" s="829"/>
      <c r="E5" s="828" t="s">
        <v>2383</v>
      </c>
      <c r="F5" s="828" t="s">
        <v>2383</v>
      </c>
      <c r="G5" s="828" t="s">
        <v>2439</v>
      </c>
      <c r="H5" s="830">
        <v>1.0</v>
      </c>
      <c r="I5" s="831"/>
    </row>
    <row r="6">
      <c r="A6" s="832" t="s">
        <v>2451</v>
      </c>
      <c r="B6" s="833">
        <v>0.0</v>
      </c>
      <c r="C6" s="834" t="s">
        <v>1325</v>
      </c>
      <c r="D6" s="835" t="s">
        <v>2386</v>
      </c>
      <c r="E6" s="834" t="s">
        <v>2371</v>
      </c>
      <c r="F6" s="834" t="s">
        <v>2371</v>
      </c>
      <c r="G6" s="836" t="s">
        <v>2439</v>
      </c>
      <c r="H6" s="837">
        <v>0.2</v>
      </c>
      <c r="I6" s="236"/>
    </row>
    <row r="7">
      <c r="A7" s="832" t="s">
        <v>2452</v>
      </c>
      <c r="B7" s="833">
        <v>0.0</v>
      </c>
      <c r="C7" s="834" t="s">
        <v>2453</v>
      </c>
      <c r="D7" s="835" t="s">
        <v>2391</v>
      </c>
      <c r="E7" s="834" t="s">
        <v>2372</v>
      </c>
      <c r="F7" s="834" t="s">
        <v>2372</v>
      </c>
      <c r="G7" s="836" t="s">
        <v>2439</v>
      </c>
      <c r="H7" s="837">
        <v>0.8</v>
      </c>
      <c r="I7" s="838"/>
    </row>
    <row r="8">
      <c r="A8" s="832" t="s">
        <v>2454</v>
      </c>
      <c r="B8" s="839"/>
      <c r="C8" s="834" t="s">
        <v>2455</v>
      </c>
      <c r="D8" s="840"/>
      <c r="E8" s="834" t="s">
        <v>2439</v>
      </c>
      <c r="F8" s="841"/>
      <c r="G8" s="842"/>
      <c r="H8" s="843"/>
      <c r="I8" s="844"/>
    </row>
    <row r="9">
      <c r="A9" s="845" t="s">
        <v>1768</v>
      </c>
      <c r="B9" s="846">
        <v>0.0</v>
      </c>
      <c r="C9" s="847" t="s">
        <v>2456</v>
      </c>
      <c r="D9" s="848"/>
      <c r="E9" s="849" t="s">
        <v>2457</v>
      </c>
      <c r="F9" s="849" t="s">
        <v>2458</v>
      </c>
      <c r="G9" s="850" t="s">
        <v>2459</v>
      </c>
      <c r="H9" s="851">
        <v>1.0</v>
      </c>
      <c r="I9" s="852" t="s">
        <v>2458</v>
      </c>
    </row>
    <row r="10">
      <c r="A10" s="832" t="s">
        <v>2460</v>
      </c>
      <c r="B10" s="833" t="s">
        <v>2461</v>
      </c>
      <c r="C10" s="834" t="s">
        <v>2462</v>
      </c>
      <c r="D10" s="835" t="s">
        <v>2463</v>
      </c>
      <c r="E10" s="834" t="s">
        <v>2405</v>
      </c>
      <c r="F10" s="834" t="s">
        <v>2439</v>
      </c>
      <c r="G10" s="853" t="s">
        <v>2464</v>
      </c>
      <c r="H10" s="837">
        <v>0.0</v>
      </c>
      <c r="I10" s="854" t="s">
        <v>2439</v>
      </c>
    </row>
    <row r="11">
      <c r="A11" s="832" t="s">
        <v>2465</v>
      </c>
      <c r="B11" s="833" t="s">
        <v>2461</v>
      </c>
      <c r="C11" s="834" t="s">
        <v>2466</v>
      </c>
      <c r="D11" s="835" t="s">
        <v>2390</v>
      </c>
      <c r="E11" s="834" t="s">
        <v>2371</v>
      </c>
      <c r="F11" s="834" t="s">
        <v>2392</v>
      </c>
      <c r="G11" s="853" t="s">
        <v>2467</v>
      </c>
      <c r="H11" s="837">
        <v>0.18</v>
      </c>
      <c r="I11" s="854" t="s">
        <v>2392</v>
      </c>
    </row>
    <row r="12">
      <c r="A12" s="832" t="s">
        <v>2468</v>
      </c>
      <c r="B12" s="833" t="s">
        <v>283</v>
      </c>
      <c r="C12" s="834" t="s">
        <v>2469</v>
      </c>
      <c r="D12" s="835" t="s">
        <v>283</v>
      </c>
      <c r="E12" s="834" t="s">
        <v>2470</v>
      </c>
      <c r="F12" s="834" t="s">
        <v>2439</v>
      </c>
      <c r="G12" s="853" t="s">
        <v>2471</v>
      </c>
      <c r="H12" s="837">
        <v>0.0</v>
      </c>
      <c r="I12" s="854" t="s">
        <v>2439</v>
      </c>
    </row>
    <row r="13">
      <c r="A13" s="832" t="s">
        <v>2472</v>
      </c>
      <c r="B13" s="833" t="s">
        <v>2473</v>
      </c>
      <c r="C13" s="834" t="s">
        <v>2474</v>
      </c>
      <c r="D13" s="835" t="s">
        <v>2385</v>
      </c>
      <c r="E13" s="834" t="s">
        <v>2439</v>
      </c>
      <c r="F13" s="834" t="s">
        <v>2280</v>
      </c>
      <c r="G13" s="834" t="s">
        <v>2280</v>
      </c>
      <c r="H13" s="837">
        <v>0.04</v>
      </c>
      <c r="I13" s="854" t="s">
        <v>2280</v>
      </c>
    </row>
    <row r="14">
      <c r="A14" s="832" t="s">
        <v>2475</v>
      </c>
      <c r="B14" s="833" t="s">
        <v>2473</v>
      </c>
      <c r="C14" s="834" t="s">
        <v>2476</v>
      </c>
      <c r="D14" s="835" t="s">
        <v>2404</v>
      </c>
      <c r="E14" s="834" t="s">
        <v>2439</v>
      </c>
      <c r="F14" s="834" t="s">
        <v>2405</v>
      </c>
      <c r="G14" s="834" t="s">
        <v>2405</v>
      </c>
      <c r="H14" s="837">
        <v>0.78</v>
      </c>
      <c r="I14" s="854" t="s">
        <v>2405</v>
      </c>
    </row>
    <row r="15">
      <c r="A15" s="832" t="s">
        <v>2477</v>
      </c>
      <c r="B15" s="833" t="s">
        <v>2478</v>
      </c>
      <c r="C15" s="834" t="s">
        <v>2479</v>
      </c>
      <c r="D15" s="835" t="s">
        <v>1109</v>
      </c>
      <c r="E15" s="834" t="s">
        <v>2439</v>
      </c>
      <c r="F15" s="834" t="s">
        <v>2439</v>
      </c>
      <c r="G15" s="834" t="s">
        <v>2439</v>
      </c>
      <c r="H15" s="837">
        <v>0.0</v>
      </c>
      <c r="I15" s="854" t="s">
        <v>2439</v>
      </c>
    </row>
    <row r="16">
      <c r="A16" s="832" t="s">
        <v>2480</v>
      </c>
      <c r="B16" s="833" t="s">
        <v>380</v>
      </c>
      <c r="C16" s="834" t="s">
        <v>2481</v>
      </c>
      <c r="D16" s="835" t="s">
        <v>2482</v>
      </c>
      <c r="E16" s="834" t="s">
        <v>2439</v>
      </c>
      <c r="F16" s="834" t="s">
        <v>2439</v>
      </c>
      <c r="G16" s="834" t="s">
        <v>2439</v>
      </c>
      <c r="H16" s="837">
        <v>0.0</v>
      </c>
      <c r="I16" s="854" t="s">
        <v>2439</v>
      </c>
    </row>
    <row r="17">
      <c r="A17" s="832" t="s">
        <v>2483</v>
      </c>
      <c r="B17" s="833" t="s">
        <v>380</v>
      </c>
      <c r="C17" s="834" t="s">
        <v>2484</v>
      </c>
      <c r="D17" s="835" t="s">
        <v>2485</v>
      </c>
      <c r="E17" s="834" t="s">
        <v>2439</v>
      </c>
      <c r="F17" s="834" t="s">
        <v>2439</v>
      </c>
      <c r="G17" s="834" t="s">
        <v>2439</v>
      </c>
      <c r="H17" s="837">
        <v>0.0</v>
      </c>
      <c r="I17" s="854" t="s">
        <v>2439</v>
      </c>
    </row>
    <row r="18">
      <c r="A18" s="832" t="s">
        <v>2486</v>
      </c>
      <c r="B18" s="833" t="s">
        <v>380</v>
      </c>
      <c r="C18" s="834" t="s">
        <v>2487</v>
      </c>
      <c r="D18" s="835" t="s">
        <v>2488</v>
      </c>
      <c r="E18" s="834" t="s">
        <v>2439</v>
      </c>
      <c r="F18" s="834" t="s">
        <v>2439</v>
      </c>
      <c r="G18" s="834" t="s">
        <v>2439</v>
      </c>
      <c r="H18" s="837">
        <v>0.0</v>
      </c>
      <c r="I18" s="854" t="s">
        <v>2439</v>
      </c>
    </row>
    <row r="19">
      <c r="A19" s="832" t="s">
        <v>2489</v>
      </c>
      <c r="B19" s="833" t="s">
        <v>283</v>
      </c>
      <c r="C19" s="834" t="s">
        <v>2490</v>
      </c>
      <c r="D19" s="835" t="s">
        <v>2491</v>
      </c>
      <c r="E19" s="834" t="s">
        <v>2439</v>
      </c>
      <c r="F19" s="834" t="s">
        <v>2439</v>
      </c>
      <c r="G19" s="834" t="s">
        <v>2439</v>
      </c>
      <c r="H19" s="837">
        <v>0.0</v>
      </c>
      <c r="I19" s="854" t="s">
        <v>2439</v>
      </c>
    </row>
    <row r="20">
      <c r="A20" s="832" t="s">
        <v>2492</v>
      </c>
      <c r="B20" s="833" t="s">
        <v>2493</v>
      </c>
      <c r="C20" s="834" t="s">
        <v>2494</v>
      </c>
      <c r="D20" s="835" t="s">
        <v>181</v>
      </c>
      <c r="E20" s="834" t="s">
        <v>2439</v>
      </c>
      <c r="F20" s="834" t="s">
        <v>2439</v>
      </c>
      <c r="G20" s="834" t="s">
        <v>2439</v>
      </c>
      <c r="H20" s="837">
        <v>0.0</v>
      </c>
      <c r="I20" s="855"/>
    </row>
    <row r="21">
      <c r="A21" s="856"/>
      <c r="B21" s="857">
        <v>0.0</v>
      </c>
      <c r="C21" s="858" t="s">
        <v>2495</v>
      </c>
      <c r="D21" s="859"/>
      <c r="E21" s="860" t="s">
        <v>2496</v>
      </c>
      <c r="F21" s="860" t="s">
        <v>2497</v>
      </c>
      <c r="G21" s="861" t="s">
        <v>2459</v>
      </c>
      <c r="H21" s="862"/>
      <c r="I21" s="863"/>
    </row>
    <row r="22">
      <c r="A22" s="864" t="s">
        <v>1769</v>
      </c>
      <c r="B22" s="865">
        <v>0.0</v>
      </c>
      <c r="C22" s="866" t="s">
        <v>2498</v>
      </c>
      <c r="D22" s="867"/>
      <c r="E22" s="866" t="s">
        <v>2499</v>
      </c>
      <c r="F22" s="866" t="s">
        <v>2500</v>
      </c>
      <c r="G22" s="861" t="s">
        <v>2501</v>
      </c>
      <c r="H22" s="868">
        <v>1.0</v>
      </c>
      <c r="I22" s="869" t="s">
        <v>2502</v>
      </c>
    </row>
    <row r="23">
      <c r="A23" s="870" t="s">
        <v>2503</v>
      </c>
      <c r="B23" s="871">
        <v>0.0</v>
      </c>
      <c r="C23" s="872" t="s">
        <v>2504</v>
      </c>
      <c r="D23" s="873"/>
      <c r="E23" s="872" t="s">
        <v>2505</v>
      </c>
      <c r="F23" s="872" t="s">
        <v>2284</v>
      </c>
      <c r="G23" s="861" t="s">
        <v>2506</v>
      </c>
      <c r="H23" s="874">
        <v>0.04</v>
      </c>
      <c r="I23" s="869" t="s">
        <v>2284</v>
      </c>
    </row>
    <row r="24">
      <c r="A24" s="875">
        <v>44562.0</v>
      </c>
      <c r="B24" s="833" t="s">
        <v>2507</v>
      </c>
      <c r="C24" s="834" t="s">
        <v>2508</v>
      </c>
      <c r="D24" s="835" t="s">
        <v>276</v>
      </c>
      <c r="E24" s="834" t="s">
        <v>2439</v>
      </c>
      <c r="F24" s="834" t="s">
        <v>2439</v>
      </c>
      <c r="G24" s="834" t="s">
        <v>2439</v>
      </c>
      <c r="H24" s="837">
        <v>0.0</v>
      </c>
      <c r="I24" s="869" t="s">
        <v>2439</v>
      </c>
    </row>
    <row r="25">
      <c r="A25" s="875">
        <v>44593.0</v>
      </c>
      <c r="B25" s="833" t="s">
        <v>2507</v>
      </c>
      <c r="C25" s="834" t="s">
        <v>2509</v>
      </c>
      <c r="D25" s="835" t="s">
        <v>263</v>
      </c>
      <c r="E25" s="834" t="s">
        <v>2439</v>
      </c>
      <c r="F25" s="834" t="s">
        <v>2439</v>
      </c>
      <c r="G25" s="834" t="s">
        <v>2439</v>
      </c>
      <c r="H25" s="837">
        <v>0.0</v>
      </c>
      <c r="I25" s="869" t="s">
        <v>2439</v>
      </c>
    </row>
    <row r="26">
      <c r="A26" s="875">
        <v>44621.0</v>
      </c>
      <c r="B26" s="833" t="s">
        <v>2507</v>
      </c>
      <c r="C26" s="834" t="s">
        <v>2510</v>
      </c>
      <c r="D26" s="835" t="s">
        <v>610</v>
      </c>
      <c r="E26" s="834" t="s">
        <v>2427</v>
      </c>
      <c r="F26" s="834" t="s">
        <v>2439</v>
      </c>
      <c r="G26" s="853" t="s">
        <v>2511</v>
      </c>
      <c r="H26" s="837">
        <v>0.0</v>
      </c>
      <c r="I26" s="869" t="s">
        <v>2439</v>
      </c>
    </row>
    <row r="27">
      <c r="A27" s="875">
        <v>44652.0</v>
      </c>
      <c r="B27" s="833" t="s">
        <v>2507</v>
      </c>
      <c r="C27" s="834" t="s">
        <v>2512</v>
      </c>
      <c r="D27" s="835" t="s">
        <v>1178</v>
      </c>
      <c r="E27" s="834" t="s">
        <v>2439</v>
      </c>
      <c r="F27" s="834" t="s">
        <v>2439</v>
      </c>
      <c r="G27" s="834" t="s">
        <v>2439</v>
      </c>
      <c r="H27" s="837">
        <v>0.0</v>
      </c>
      <c r="I27" s="869" t="s">
        <v>2439</v>
      </c>
    </row>
    <row r="28">
      <c r="A28" s="875">
        <v>44682.0</v>
      </c>
      <c r="B28" s="833" t="s">
        <v>2507</v>
      </c>
      <c r="C28" s="834" t="s">
        <v>2513</v>
      </c>
      <c r="D28" s="835" t="s">
        <v>227</v>
      </c>
      <c r="E28" s="834" t="s">
        <v>2439</v>
      </c>
      <c r="F28" s="834" t="s">
        <v>2439</v>
      </c>
      <c r="G28" s="834" t="s">
        <v>2439</v>
      </c>
      <c r="H28" s="837">
        <v>0.0</v>
      </c>
      <c r="I28" s="869" t="s">
        <v>2439</v>
      </c>
    </row>
    <row r="29">
      <c r="A29" s="875">
        <v>44713.0</v>
      </c>
      <c r="B29" s="833" t="s">
        <v>2507</v>
      </c>
      <c r="C29" s="834" t="s">
        <v>2514</v>
      </c>
      <c r="D29" s="835" t="s">
        <v>209</v>
      </c>
      <c r="E29" s="834" t="s">
        <v>2515</v>
      </c>
      <c r="F29" s="834" t="s">
        <v>2439</v>
      </c>
      <c r="G29" s="853" t="s">
        <v>2516</v>
      </c>
      <c r="H29" s="837">
        <v>0.0</v>
      </c>
      <c r="I29" s="869" t="s">
        <v>2439</v>
      </c>
    </row>
    <row r="30">
      <c r="A30" s="875">
        <v>44743.0</v>
      </c>
      <c r="B30" s="833" t="s">
        <v>2507</v>
      </c>
      <c r="C30" s="834" t="s">
        <v>2517</v>
      </c>
      <c r="D30" s="835" t="s">
        <v>2518</v>
      </c>
      <c r="E30" s="834" t="s">
        <v>2439</v>
      </c>
      <c r="F30" s="834" t="s">
        <v>2439</v>
      </c>
      <c r="G30" s="834" t="s">
        <v>2439</v>
      </c>
      <c r="H30" s="837">
        <v>0.0</v>
      </c>
      <c r="I30" s="869" t="s">
        <v>2439</v>
      </c>
    </row>
    <row r="31">
      <c r="A31" s="875">
        <v>44774.0</v>
      </c>
      <c r="B31" s="833" t="s">
        <v>2507</v>
      </c>
      <c r="C31" s="834" t="s">
        <v>2519</v>
      </c>
      <c r="D31" s="835" t="s">
        <v>2411</v>
      </c>
      <c r="E31" s="834" t="s">
        <v>2439</v>
      </c>
      <c r="F31" s="834" t="s">
        <v>2284</v>
      </c>
      <c r="G31" s="834" t="s">
        <v>2284</v>
      </c>
      <c r="H31" s="837">
        <v>1.0</v>
      </c>
      <c r="I31" s="869" t="s">
        <v>2284</v>
      </c>
    </row>
    <row r="32">
      <c r="A32" s="875">
        <v>44805.0</v>
      </c>
      <c r="B32" s="833" t="s">
        <v>2507</v>
      </c>
      <c r="C32" s="834" t="s">
        <v>2520</v>
      </c>
      <c r="D32" s="835" t="s">
        <v>411</v>
      </c>
      <c r="E32" s="834" t="s">
        <v>2439</v>
      </c>
      <c r="F32" s="834" t="s">
        <v>2439</v>
      </c>
      <c r="G32" s="834" t="s">
        <v>2439</v>
      </c>
      <c r="H32" s="837">
        <v>0.0</v>
      </c>
      <c r="I32" s="869" t="s">
        <v>2439</v>
      </c>
    </row>
    <row r="33">
      <c r="A33" s="875">
        <v>44866.0</v>
      </c>
      <c r="B33" s="833" t="s">
        <v>2507</v>
      </c>
      <c r="C33" s="834" t="s">
        <v>2521</v>
      </c>
      <c r="D33" s="835" t="s">
        <v>223</v>
      </c>
      <c r="E33" s="834" t="s">
        <v>2439</v>
      </c>
      <c r="F33" s="834" t="s">
        <v>2439</v>
      </c>
      <c r="G33" s="834" t="s">
        <v>2439</v>
      </c>
      <c r="H33" s="837">
        <v>0.0</v>
      </c>
      <c r="I33" s="869" t="s">
        <v>2439</v>
      </c>
    </row>
    <row r="34">
      <c r="A34" s="875">
        <v>44896.0</v>
      </c>
      <c r="B34" s="833" t="s">
        <v>2507</v>
      </c>
      <c r="C34" s="834" t="s">
        <v>2522</v>
      </c>
      <c r="D34" s="835" t="s">
        <v>220</v>
      </c>
      <c r="E34" s="834" t="s">
        <v>2439</v>
      </c>
      <c r="F34" s="834" t="s">
        <v>2439</v>
      </c>
      <c r="G34" s="834" t="s">
        <v>2439</v>
      </c>
      <c r="H34" s="837">
        <v>0.0</v>
      </c>
      <c r="I34" s="869" t="s">
        <v>2439</v>
      </c>
    </row>
    <row r="35">
      <c r="A35" s="832" t="s">
        <v>2523</v>
      </c>
      <c r="B35" s="833" t="s">
        <v>2507</v>
      </c>
      <c r="C35" s="834" t="s">
        <v>2524</v>
      </c>
      <c r="D35" s="835" t="s">
        <v>378</v>
      </c>
      <c r="E35" s="834" t="s">
        <v>2439</v>
      </c>
      <c r="F35" s="834" t="s">
        <v>2439</v>
      </c>
      <c r="G35" s="834" t="s">
        <v>2439</v>
      </c>
      <c r="H35" s="837">
        <v>0.0</v>
      </c>
      <c r="I35" s="869" t="s">
        <v>2439</v>
      </c>
    </row>
    <row r="36">
      <c r="A36" s="832" t="s">
        <v>2525</v>
      </c>
      <c r="B36" s="833" t="s">
        <v>2507</v>
      </c>
      <c r="C36" s="834" t="s">
        <v>2526</v>
      </c>
      <c r="D36" s="835" t="s">
        <v>506</v>
      </c>
      <c r="E36" s="834" t="s">
        <v>2470</v>
      </c>
      <c r="F36" s="834" t="s">
        <v>2439</v>
      </c>
      <c r="G36" s="853" t="s">
        <v>2471</v>
      </c>
      <c r="H36" s="837">
        <v>0.0</v>
      </c>
      <c r="I36" s="869" t="s">
        <v>2439</v>
      </c>
    </row>
    <row r="37">
      <c r="A37" s="832" t="s">
        <v>2527</v>
      </c>
      <c r="B37" s="833" t="s">
        <v>2507</v>
      </c>
      <c r="C37" s="834" t="s">
        <v>2528</v>
      </c>
      <c r="D37" s="835" t="s">
        <v>258</v>
      </c>
      <c r="E37" s="834" t="s">
        <v>2415</v>
      </c>
      <c r="F37" s="834" t="s">
        <v>2439</v>
      </c>
      <c r="G37" s="853" t="s">
        <v>2529</v>
      </c>
      <c r="H37" s="837">
        <v>0.0</v>
      </c>
      <c r="I37" s="869" t="s">
        <v>2439</v>
      </c>
    </row>
    <row r="38">
      <c r="A38" s="870" t="s">
        <v>2530</v>
      </c>
      <c r="B38" s="871">
        <v>0.0</v>
      </c>
      <c r="C38" s="872" t="s">
        <v>2531</v>
      </c>
      <c r="D38" s="873"/>
      <c r="E38" s="872" t="s">
        <v>2532</v>
      </c>
      <c r="F38" s="872" t="s">
        <v>2396</v>
      </c>
      <c r="G38" s="861" t="s">
        <v>2533</v>
      </c>
      <c r="H38" s="874">
        <v>0.02</v>
      </c>
      <c r="I38" s="869" t="s">
        <v>2396</v>
      </c>
    </row>
    <row r="39">
      <c r="A39" s="875">
        <v>44563.0</v>
      </c>
      <c r="B39" s="833" t="s">
        <v>169</v>
      </c>
      <c r="C39" s="834" t="s">
        <v>2534</v>
      </c>
      <c r="D39" s="835" t="s">
        <v>355</v>
      </c>
      <c r="E39" s="834" t="s">
        <v>2532</v>
      </c>
      <c r="F39" s="834" t="s">
        <v>2396</v>
      </c>
      <c r="G39" s="853" t="s">
        <v>2533</v>
      </c>
      <c r="H39" s="837">
        <v>1.0</v>
      </c>
      <c r="I39" s="869" t="s">
        <v>2396</v>
      </c>
    </row>
    <row r="40">
      <c r="A40" s="875">
        <v>44594.0</v>
      </c>
      <c r="B40" s="833" t="s">
        <v>169</v>
      </c>
      <c r="C40" s="834" t="s">
        <v>2535</v>
      </c>
      <c r="D40" s="835" t="s">
        <v>2536</v>
      </c>
      <c r="E40" s="834" t="s">
        <v>2439</v>
      </c>
      <c r="F40" s="834" t="s">
        <v>2439</v>
      </c>
      <c r="G40" s="834" t="s">
        <v>2439</v>
      </c>
      <c r="H40" s="837">
        <v>0.0</v>
      </c>
      <c r="I40" s="869" t="s">
        <v>2439</v>
      </c>
    </row>
    <row r="41">
      <c r="A41" s="875">
        <v>44622.0</v>
      </c>
      <c r="B41" s="833" t="s">
        <v>169</v>
      </c>
      <c r="C41" s="834" t="s">
        <v>2537</v>
      </c>
      <c r="D41" s="835" t="s">
        <v>2538</v>
      </c>
      <c r="E41" s="834" t="s">
        <v>2439</v>
      </c>
      <c r="F41" s="834" t="s">
        <v>2439</v>
      </c>
      <c r="G41" s="834" t="s">
        <v>2439</v>
      </c>
      <c r="H41" s="837">
        <v>0.0</v>
      </c>
      <c r="I41" s="869" t="s">
        <v>2439</v>
      </c>
    </row>
    <row r="42">
      <c r="A42" s="870" t="s">
        <v>2539</v>
      </c>
      <c r="B42" s="871">
        <v>0.0</v>
      </c>
      <c r="C42" s="872" t="s">
        <v>2540</v>
      </c>
      <c r="D42" s="876">
        <v>0.0</v>
      </c>
      <c r="E42" s="872" t="s">
        <v>2372</v>
      </c>
      <c r="F42" s="872" t="s">
        <v>2284</v>
      </c>
      <c r="G42" s="861" t="s">
        <v>2541</v>
      </c>
      <c r="H42" s="874">
        <v>0.04</v>
      </c>
      <c r="I42" s="869" t="s">
        <v>2439</v>
      </c>
    </row>
    <row r="43">
      <c r="A43" s="875">
        <v>44564.0</v>
      </c>
      <c r="B43" s="833" t="s">
        <v>2542</v>
      </c>
      <c r="C43" s="834" t="s">
        <v>2543</v>
      </c>
      <c r="D43" s="835" t="s">
        <v>1174</v>
      </c>
      <c r="E43" s="834" t="s">
        <v>2439</v>
      </c>
      <c r="F43" s="834" t="s">
        <v>2439</v>
      </c>
      <c r="G43" s="834" t="s">
        <v>2439</v>
      </c>
      <c r="H43" s="837">
        <v>0.0</v>
      </c>
      <c r="I43" s="869" t="s">
        <v>2439</v>
      </c>
    </row>
    <row r="44">
      <c r="A44" s="875">
        <v>44595.0</v>
      </c>
      <c r="B44" s="833" t="s">
        <v>2542</v>
      </c>
      <c r="C44" s="834" t="s">
        <v>2544</v>
      </c>
      <c r="D44" s="835" t="s">
        <v>2431</v>
      </c>
      <c r="E44" s="834" t="s">
        <v>2372</v>
      </c>
      <c r="F44" s="834" t="s">
        <v>2284</v>
      </c>
      <c r="G44" s="853" t="s">
        <v>2541</v>
      </c>
      <c r="H44" s="837">
        <v>1.0</v>
      </c>
      <c r="I44" s="869" t="s">
        <v>2284</v>
      </c>
    </row>
    <row r="45">
      <c r="A45" s="875">
        <v>44595.0</v>
      </c>
      <c r="B45" s="839"/>
      <c r="C45" s="834" t="s">
        <v>2545</v>
      </c>
      <c r="D45" s="835" t="s">
        <v>2546</v>
      </c>
      <c r="E45" s="834" t="s">
        <v>2439</v>
      </c>
      <c r="F45" s="834" t="s">
        <v>2439</v>
      </c>
      <c r="G45" s="834" t="s">
        <v>2439</v>
      </c>
      <c r="H45" s="837">
        <v>0.0</v>
      </c>
      <c r="I45" s="863"/>
    </row>
    <row r="46">
      <c r="A46" s="870" t="s">
        <v>2547</v>
      </c>
      <c r="B46" s="871">
        <v>0.0</v>
      </c>
      <c r="C46" s="872" t="s">
        <v>2548</v>
      </c>
      <c r="D46" s="876">
        <v>0.0</v>
      </c>
      <c r="E46" s="872" t="s">
        <v>2420</v>
      </c>
      <c r="F46" s="872" t="s">
        <v>2372</v>
      </c>
      <c r="G46" s="872" t="s">
        <v>2549</v>
      </c>
      <c r="H46" s="874">
        <v>0.79</v>
      </c>
      <c r="I46" s="869" t="s">
        <v>2372</v>
      </c>
    </row>
    <row r="47">
      <c r="A47" s="875">
        <v>44565.0</v>
      </c>
      <c r="B47" s="833" t="s">
        <v>2550</v>
      </c>
      <c r="C47" s="834" t="s">
        <v>2551</v>
      </c>
      <c r="D47" s="835" t="s">
        <v>400</v>
      </c>
      <c r="E47" s="834" t="s">
        <v>2420</v>
      </c>
      <c r="F47" s="834" t="s">
        <v>2439</v>
      </c>
      <c r="G47" s="853" t="s">
        <v>2552</v>
      </c>
      <c r="H47" s="837">
        <v>0.0</v>
      </c>
      <c r="I47" s="869" t="s">
        <v>2439</v>
      </c>
    </row>
    <row r="48">
      <c r="A48" s="875">
        <v>44596.0</v>
      </c>
      <c r="B48" s="833" t="s">
        <v>2550</v>
      </c>
      <c r="C48" s="834" t="s">
        <v>2553</v>
      </c>
      <c r="D48" s="835" t="s">
        <v>256</v>
      </c>
      <c r="E48" s="834" t="s">
        <v>2439</v>
      </c>
      <c r="F48" s="834" t="s">
        <v>2372</v>
      </c>
      <c r="G48" s="834" t="s">
        <v>2372</v>
      </c>
      <c r="H48" s="837">
        <v>1.0</v>
      </c>
      <c r="I48" s="869" t="s">
        <v>2372</v>
      </c>
    </row>
    <row r="49">
      <c r="A49" s="875">
        <v>44624.0</v>
      </c>
      <c r="B49" s="833" t="s">
        <v>2550</v>
      </c>
      <c r="C49" s="834" t="s">
        <v>2554</v>
      </c>
      <c r="D49" s="835" t="s">
        <v>613</v>
      </c>
      <c r="E49" s="834" t="s">
        <v>2439</v>
      </c>
      <c r="F49" s="834" t="s">
        <v>2439</v>
      </c>
      <c r="G49" s="834" t="s">
        <v>2439</v>
      </c>
      <c r="H49" s="837">
        <v>0.0</v>
      </c>
      <c r="I49" s="869" t="s">
        <v>2439</v>
      </c>
    </row>
    <row r="50">
      <c r="A50" s="875">
        <v>44655.0</v>
      </c>
      <c r="B50" s="833" t="s">
        <v>2550</v>
      </c>
      <c r="C50" s="834" t="s">
        <v>2555</v>
      </c>
      <c r="D50" s="835" t="s">
        <v>375</v>
      </c>
      <c r="E50" s="834" t="s">
        <v>2439</v>
      </c>
      <c r="F50" s="834" t="s">
        <v>2439</v>
      </c>
      <c r="G50" s="834" t="s">
        <v>2439</v>
      </c>
      <c r="H50" s="837">
        <v>0.0</v>
      </c>
      <c r="I50" s="869" t="s">
        <v>2439</v>
      </c>
    </row>
    <row r="51">
      <c r="A51" s="875">
        <v>44685.0</v>
      </c>
      <c r="B51" s="833" t="s">
        <v>2550</v>
      </c>
      <c r="C51" s="834" t="s">
        <v>2512</v>
      </c>
      <c r="D51" s="835" t="s">
        <v>1178</v>
      </c>
      <c r="E51" s="834" t="s">
        <v>2439</v>
      </c>
      <c r="F51" s="834" t="s">
        <v>2439</v>
      </c>
      <c r="G51" s="834" t="s">
        <v>2439</v>
      </c>
      <c r="H51" s="837">
        <v>0.0</v>
      </c>
      <c r="I51" s="869" t="s">
        <v>2439</v>
      </c>
    </row>
    <row r="52">
      <c r="A52" s="875">
        <v>44716.0</v>
      </c>
      <c r="B52" s="833" t="s">
        <v>2550</v>
      </c>
      <c r="C52" s="834" t="s">
        <v>2556</v>
      </c>
      <c r="D52" s="835" t="s">
        <v>2557</v>
      </c>
      <c r="E52" s="834" t="s">
        <v>2439</v>
      </c>
      <c r="F52" s="834" t="s">
        <v>2439</v>
      </c>
      <c r="G52" s="834" t="s">
        <v>2439</v>
      </c>
      <c r="H52" s="837">
        <v>0.0</v>
      </c>
      <c r="I52" s="869" t="s">
        <v>2439</v>
      </c>
    </row>
    <row r="53">
      <c r="A53" s="875">
        <v>44746.0</v>
      </c>
      <c r="B53" s="833" t="s">
        <v>2550</v>
      </c>
      <c r="C53" s="834" t="s">
        <v>2558</v>
      </c>
      <c r="D53" s="835" t="s">
        <v>1143</v>
      </c>
      <c r="E53" s="834" t="s">
        <v>2439</v>
      </c>
      <c r="F53" s="834" t="s">
        <v>2439</v>
      </c>
      <c r="G53" s="834" t="s">
        <v>2439</v>
      </c>
      <c r="H53" s="837">
        <v>0.0</v>
      </c>
      <c r="I53" s="869" t="s">
        <v>2439</v>
      </c>
    </row>
    <row r="54">
      <c r="A54" s="875">
        <v>44777.0</v>
      </c>
      <c r="B54" s="833" t="s">
        <v>2550</v>
      </c>
      <c r="C54" s="834" t="s">
        <v>2559</v>
      </c>
      <c r="D54" s="835" t="s">
        <v>2560</v>
      </c>
      <c r="E54" s="834" t="s">
        <v>2439</v>
      </c>
      <c r="F54" s="834" t="s">
        <v>2439</v>
      </c>
      <c r="G54" s="834" t="s">
        <v>2439</v>
      </c>
      <c r="H54" s="837">
        <v>0.0</v>
      </c>
      <c r="I54" s="869" t="s">
        <v>2439</v>
      </c>
    </row>
    <row r="55">
      <c r="A55" s="870" t="s">
        <v>2561</v>
      </c>
      <c r="B55" s="871">
        <v>0.0</v>
      </c>
      <c r="C55" s="872" t="s">
        <v>2562</v>
      </c>
      <c r="D55" s="876">
        <v>0.0</v>
      </c>
      <c r="E55" s="872" t="s">
        <v>2563</v>
      </c>
      <c r="F55" s="872" t="s">
        <v>2427</v>
      </c>
      <c r="G55" s="872" t="s">
        <v>2289</v>
      </c>
      <c r="H55" s="874">
        <v>0.02</v>
      </c>
      <c r="I55" s="869" t="s">
        <v>2427</v>
      </c>
    </row>
    <row r="56">
      <c r="A56" s="875">
        <v>44566.0</v>
      </c>
      <c r="B56" s="833" t="s">
        <v>2564</v>
      </c>
      <c r="C56" s="834" t="s">
        <v>2565</v>
      </c>
      <c r="D56" s="835" t="s">
        <v>308</v>
      </c>
      <c r="E56" s="834" t="s">
        <v>2563</v>
      </c>
      <c r="F56" s="834" t="s">
        <v>2427</v>
      </c>
      <c r="G56" s="834" t="s">
        <v>2289</v>
      </c>
      <c r="H56" s="837">
        <v>1.0</v>
      </c>
      <c r="I56" s="869" t="s">
        <v>2427</v>
      </c>
    </row>
    <row r="57">
      <c r="A57" s="875">
        <v>44597.0</v>
      </c>
      <c r="B57" s="833" t="s">
        <v>2564</v>
      </c>
      <c r="C57" s="834" t="s">
        <v>2566</v>
      </c>
      <c r="D57" s="835" t="s">
        <v>2567</v>
      </c>
      <c r="E57" s="834" t="s">
        <v>2439</v>
      </c>
      <c r="F57" s="834" t="s">
        <v>2439</v>
      </c>
      <c r="G57" s="834" t="s">
        <v>2439</v>
      </c>
      <c r="H57" s="837">
        <v>0.0</v>
      </c>
      <c r="I57" s="869" t="s">
        <v>2439</v>
      </c>
    </row>
    <row r="58">
      <c r="A58" s="875">
        <v>44625.0</v>
      </c>
      <c r="B58" s="833" t="s">
        <v>2564</v>
      </c>
      <c r="C58" s="834" t="s">
        <v>2568</v>
      </c>
      <c r="D58" s="835" t="s">
        <v>263</v>
      </c>
      <c r="E58" s="834" t="s">
        <v>2439</v>
      </c>
      <c r="F58" s="834" t="s">
        <v>2439</v>
      </c>
      <c r="G58" s="834" t="s">
        <v>2439</v>
      </c>
      <c r="H58" s="837">
        <v>0.0</v>
      </c>
      <c r="I58" s="869" t="s">
        <v>2439</v>
      </c>
    </row>
    <row r="59">
      <c r="A59" s="875">
        <v>44656.0</v>
      </c>
      <c r="B59" s="833" t="s">
        <v>2569</v>
      </c>
      <c r="C59" s="834" t="s">
        <v>2570</v>
      </c>
      <c r="D59" s="835" t="s">
        <v>2571</v>
      </c>
      <c r="E59" s="834" t="s">
        <v>2439</v>
      </c>
      <c r="F59" s="834" t="s">
        <v>2439</v>
      </c>
      <c r="G59" s="834" t="s">
        <v>2439</v>
      </c>
      <c r="H59" s="837">
        <v>0.0</v>
      </c>
      <c r="I59" s="869" t="s">
        <v>2439</v>
      </c>
    </row>
    <row r="60">
      <c r="A60" s="875">
        <v>44686.0</v>
      </c>
      <c r="B60" s="833" t="s">
        <v>2569</v>
      </c>
      <c r="C60" s="834" t="s">
        <v>2572</v>
      </c>
      <c r="D60" s="835" t="s">
        <v>369</v>
      </c>
      <c r="E60" s="834" t="s">
        <v>2439</v>
      </c>
      <c r="F60" s="834" t="s">
        <v>2439</v>
      </c>
      <c r="G60" s="834" t="s">
        <v>2439</v>
      </c>
      <c r="H60" s="837">
        <v>0.0</v>
      </c>
      <c r="I60" s="869" t="s">
        <v>2439</v>
      </c>
    </row>
    <row r="61">
      <c r="A61" s="875">
        <v>44717.0</v>
      </c>
      <c r="B61" s="833" t="s">
        <v>2569</v>
      </c>
      <c r="C61" s="834" t="s">
        <v>2573</v>
      </c>
      <c r="D61" s="835" t="s">
        <v>2574</v>
      </c>
      <c r="E61" s="834" t="s">
        <v>2439</v>
      </c>
      <c r="F61" s="834" t="s">
        <v>2439</v>
      </c>
      <c r="G61" s="834" t="s">
        <v>2439</v>
      </c>
      <c r="H61" s="837">
        <v>0.0</v>
      </c>
      <c r="I61" s="869" t="s">
        <v>2439</v>
      </c>
    </row>
    <row r="62">
      <c r="A62" s="875">
        <v>44747.0</v>
      </c>
      <c r="B62" s="833" t="s">
        <v>2569</v>
      </c>
      <c r="C62" s="834" t="s">
        <v>2575</v>
      </c>
      <c r="D62" s="835" t="s">
        <v>2576</v>
      </c>
      <c r="E62" s="834" t="s">
        <v>2439</v>
      </c>
      <c r="F62" s="834" t="s">
        <v>2439</v>
      </c>
      <c r="G62" s="834" t="s">
        <v>2439</v>
      </c>
      <c r="H62" s="837">
        <v>0.0</v>
      </c>
      <c r="I62" s="869" t="s">
        <v>2439</v>
      </c>
    </row>
    <row r="63">
      <c r="A63" s="870" t="s">
        <v>2577</v>
      </c>
      <c r="B63" s="871">
        <v>0.0</v>
      </c>
      <c r="C63" s="872" t="s">
        <v>2578</v>
      </c>
      <c r="D63" s="876">
        <v>0.0</v>
      </c>
      <c r="E63" s="872" t="s">
        <v>2515</v>
      </c>
      <c r="F63" s="872" t="s">
        <v>2304</v>
      </c>
      <c r="G63" s="872" t="s">
        <v>2579</v>
      </c>
      <c r="H63" s="874">
        <v>0.06</v>
      </c>
      <c r="I63" s="869" t="s">
        <v>2304</v>
      </c>
    </row>
    <row r="64">
      <c r="A64" s="875">
        <v>44567.0</v>
      </c>
      <c r="B64" s="833" t="s">
        <v>2580</v>
      </c>
      <c r="C64" s="834" t="s">
        <v>2581</v>
      </c>
      <c r="D64" s="835" t="s">
        <v>349</v>
      </c>
      <c r="E64" s="834" t="s">
        <v>2515</v>
      </c>
      <c r="F64" s="834" t="s">
        <v>2304</v>
      </c>
      <c r="G64" s="834" t="s">
        <v>2579</v>
      </c>
      <c r="H64" s="837">
        <v>1.0</v>
      </c>
      <c r="I64" s="869" t="s">
        <v>2304</v>
      </c>
    </row>
    <row r="65">
      <c r="A65" s="875">
        <v>44598.0</v>
      </c>
      <c r="B65" s="833" t="s">
        <v>2580</v>
      </c>
      <c r="C65" s="834" t="s">
        <v>2582</v>
      </c>
      <c r="D65" s="835" t="s">
        <v>343</v>
      </c>
      <c r="E65" s="834" t="s">
        <v>2439</v>
      </c>
      <c r="F65" s="834" t="s">
        <v>2439</v>
      </c>
      <c r="G65" s="834" t="s">
        <v>2439</v>
      </c>
      <c r="H65" s="837">
        <v>0.0</v>
      </c>
      <c r="I65" s="869" t="s">
        <v>2439</v>
      </c>
    </row>
    <row r="66">
      <c r="A66" s="875">
        <v>44626.0</v>
      </c>
      <c r="B66" s="833" t="s">
        <v>2580</v>
      </c>
      <c r="C66" s="834" t="s">
        <v>2583</v>
      </c>
      <c r="D66" s="835" t="s">
        <v>2584</v>
      </c>
      <c r="E66" s="834" t="s">
        <v>2439</v>
      </c>
      <c r="F66" s="834" t="s">
        <v>2439</v>
      </c>
      <c r="G66" s="834" t="s">
        <v>2439</v>
      </c>
      <c r="H66" s="837">
        <v>0.0</v>
      </c>
      <c r="I66" s="869" t="s">
        <v>2439</v>
      </c>
    </row>
    <row r="67">
      <c r="A67" s="875">
        <v>44657.0</v>
      </c>
      <c r="B67" s="833" t="s">
        <v>2580</v>
      </c>
      <c r="C67" s="834" t="s">
        <v>2585</v>
      </c>
      <c r="D67" s="835" t="s">
        <v>2586</v>
      </c>
      <c r="E67" s="834" t="s">
        <v>2439</v>
      </c>
      <c r="F67" s="834" t="s">
        <v>2439</v>
      </c>
      <c r="G67" s="834" t="s">
        <v>2439</v>
      </c>
      <c r="H67" s="837">
        <v>0.0</v>
      </c>
      <c r="I67" s="869" t="s">
        <v>2439</v>
      </c>
    </row>
    <row r="68">
      <c r="A68" s="875">
        <v>44687.0</v>
      </c>
      <c r="B68" s="833" t="s">
        <v>2580</v>
      </c>
      <c r="C68" s="834" t="s">
        <v>2587</v>
      </c>
      <c r="D68" s="835" t="s">
        <v>2588</v>
      </c>
      <c r="E68" s="834" t="s">
        <v>2439</v>
      </c>
      <c r="F68" s="834" t="s">
        <v>2439</v>
      </c>
      <c r="G68" s="834" t="s">
        <v>2439</v>
      </c>
      <c r="H68" s="837">
        <v>0.0</v>
      </c>
      <c r="I68" s="869" t="s">
        <v>2439</v>
      </c>
    </row>
    <row r="69">
      <c r="A69" s="875">
        <v>44718.0</v>
      </c>
      <c r="B69" s="833" t="s">
        <v>2580</v>
      </c>
      <c r="C69" s="834" t="s">
        <v>2589</v>
      </c>
      <c r="D69" s="835" t="s">
        <v>2590</v>
      </c>
      <c r="E69" s="834" t="s">
        <v>2439</v>
      </c>
      <c r="F69" s="834" t="s">
        <v>2439</v>
      </c>
      <c r="G69" s="834" t="s">
        <v>2439</v>
      </c>
      <c r="H69" s="837">
        <v>0.0</v>
      </c>
      <c r="I69" s="869" t="s">
        <v>2439</v>
      </c>
    </row>
    <row r="70">
      <c r="A70" s="870" t="s">
        <v>2591</v>
      </c>
      <c r="B70" s="871">
        <v>0.0</v>
      </c>
      <c r="C70" s="872" t="s">
        <v>2592</v>
      </c>
      <c r="D70" s="873"/>
      <c r="E70" s="872" t="s">
        <v>2304</v>
      </c>
      <c r="F70" s="872" t="s">
        <v>2420</v>
      </c>
      <c r="G70" s="861" t="s">
        <v>2593</v>
      </c>
      <c r="H70" s="874">
        <v>0.03</v>
      </c>
      <c r="I70" s="869" t="s">
        <v>2420</v>
      </c>
    </row>
    <row r="71">
      <c r="A71" s="875">
        <v>44568.0</v>
      </c>
      <c r="B71" s="833" t="s">
        <v>380</v>
      </c>
      <c r="C71" s="834" t="s">
        <v>2594</v>
      </c>
      <c r="D71" s="835" t="s">
        <v>2419</v>
      </c>
      <c r="E71" s="834" t="s">
        <v>2579</v>
      </c>
      <c r="F71" s="834" t="s">
        <v>2420</v>
      </c>
      <c r="G71" s="853" t="s">
        <v>2511</v>
      </c>
      <c r="H71" s="837">
        <v>1.0</v>
      </c>
      <c r="I71" s="869" t="s">
        <v>2420</v>
      </c>
    </row>
    <row r="72">
      <c r="A72" s="875">
        <v>44599.0</v>
      </c>
      <c r="B72" s="833" t="s">
        <v>380</v>
      </c>
      <c r="C72" s="834" t="s">
        <v>2595</v>
      </c>
      <c r="D72" s="835" t="s">
        <v>2596</v>
      </c>
      <c r="E72" s="834" t="s">
        <v>2439</v>
      </c>
      <c r="F72" s="834" t="s">
        <v>2439</v>
      </c>
      <c r="G72" s="834" t="s">
        <v>2439</v>
      </c>
      <c r="H72" s="837">
        <v>0.0</v>
      </c>
      <c r="I72" s="869" t="s">
        <v>2439</v>
      </c>
    </row>
    <row r="73">
      <c r="A73" s="875">
        <v>44627.0</v>
      </c>
      <c r="B73" s="833" t="s">
        <v>380</v>
      </c>
      <c r="C73" s="834" t="s">
        <v>2597</v>
      </c>
      <c r="D73" s="835" t="s">
        <v>2598</v>
      </c>
      <c r="E73" s="834" t="s">
        <v>2439</v>
      </c>
      <c r="F73" s="834" t="s">
        <v>2439</v>
      </c>
      <c r="G73" s="834" t="s">
        <v>2439</v>
      </c>
      <c r="H73" s="837">
        <v>0.0</v>
      </c>
      <c r="I73" s="869" t="s">
        <v>2439</v>
      </c>
    </row>
    <row r="74">
      <c r="A74" s="875">
        <v>44658.0</v>
      </c>
      <c r="B74" s="833" t="s">
        <v>380</v>
      </c>
      <c r="C74" s="834" t="s">
        <v>2599</v>
      </c>
      <c r="D74" s="835" t="s">
        <v>2600</v>
      </c>
      <c r="E74" s="834" t="s">
        <v>2515</v>
      </c>
      <c r="F74" s="834" t="s">
        <v>2439</v>
      </c>
      <c r="G74" s="853" t="s">
        <v>2516</v>
      </c>
      <c r="H74" s="837">
        <v>0.0</v>
      </c>
      <c r="I74" s="869" t="s">
        <v>2439</v>
      </c>
    </row>
    <row r="75">
      <c r="A75" s="875">
        <v>44688.0</v>
      </c>
      <c r="B75" s="833" t="s">
        <v>380</v>
      </c>
      <c r="C75" s="834" t="s">
        <v>2601</v>
      </c>
      <c r="D75" s="835" t="s">
        <v>2602</v>
      </c>
      <c r="E75" s="834" t="s">
        <v>2439</v>
      </c>
      <c r="F75" s="834" t="s">
        <v>2439</v>
      </c>
      <c r="G75" s="834" t="s">
        <v>2439</v>
      </c>
      <c r="H75" s="837">
        <v>0.0</v>
      </c>
      <c r="I75" s="869" t="s">
        <v>2439</v>
      </c>
    </row>
    <row r="76">
      <c r="A76" s="875">
        <v>44719.0</v>
      </c>
      <c r="B76" s="833" t="s">
        <v>380</v>
      </c>
      <c r="C76" s="834" t="s">
        <v>2603</v>
      </c>
      <c r="D76" s="835" t="s">
        <v>2604</v>
      </c>
      <c r="E76" s="834" t="s">
        <v>2439</v>
      </c>
      <c r="F76" s="834" t="s">
        <v>2439</v>
      </c>
      <c r="G76" s="834" t="s">
        <v>2439</v>
      </c>
      <c r="H76" s="837">
        <v>0.0</v>
      </c>
      <c r="I76" s="869" t="s">
        <v>2439</v>
      </c>
    </row>
    <row r="77">
      <c r="A77" s="877" t="s">
        <v>1770</v>
      </c>
      <c r="B77" s="878">
        <v>0.0</v>
      </c>
      <c r="C77" s="879" t="s">
        <v>2605</v>
      </c>
      <c r="D77" s="880">
        <v>0.0</v>
      </c>
      <c r="E77" s="879">
        <v>21.0</v>
      </c>
      <c r="F77" s="879" t="s">
        <v>2415</v>
      </c>
      <c r="G77" s="879" t="s">
        <v>2606</v>
      </c>
      <c r="H77" s="881">
        <v>1.0</v>
      </c>
      <c r="I77" s="882" t="s">
        <v>2415</v>
      </c>
    </row>
    <row r="78">
      <c r="A78" s="883">
        <v>1.0</v>
      </c>
      <c r="B78" s="884" t="s">
        <v>2607</v>
      </c>
      <c r="C78" s="885" t="s">
        <v>2608</v>
      </c>
      <c r="D78" s="886" t="s">
        <v>414</v>
      </c>
      <c r="E78" s="885">
        <v>1.0</v>
      </c>
      <c r="F78" s="885" t="s">
        <v>2415</v>
      </c>
      <c r="G78" s="885" t="s">
        <v>2609</v>
      </c>
      <c r="H78" s="887">
        <v>1.0</v>
      </c>
      <c r="I78" s="888"/>
    </row>
    <row r="79">
      <c r="A79" s="883">
        <v>2.0</v>
      </c>
      <c r="B79" s="884" t="s">
        <v>2607</v>
      </c>
      <c r="C79" s="885" t="s">
        <v>2610</v>
      </c>
      <c r="D79" s="886" t="s">
        <v>2611</v>
      </c>
      <c r="E79" s="885">
        <v>2.0</v>
      </c>
      <c r="F79" s="885" t="s">
        <v>2439</v>
      </c>
      <c r="G79" s="853">
        <v>-2.0</v>
      </c>
      <c r="H79" s="887">
        <v>0.0</v>
      </c>
      <c r="I79" s="888"/>
    </row>
    <row r="80">
      <c r="A80" s="883">
        <v>3.0</v>
      </c>
      <c r="B80" s="884" t="s">
        <v>2612</v>
      </c>
      <c r="C80" s="885" t="s">
        <v>2613</v>
      </c>
      <c r="D80" s="886" t="s">
        <v>2614</v>
      </c>
      <c r="E80" s="885">
        <v>3.0</v>
      </c>
      <c r="F80" s="885" t="s">
        <v>2439</v>
      </c>
      <c r="G80" s="853">
        <v>-3.0</v>
      </c>
      <c r="H80" s="887">
        <v>0.0</v>
      </c>
      <c r="I80" s="888"/>
    </row>
    <row r="81">
      <c r="A81" s="883">
        <v>4.0</v>
      </c>
      <c r="B81" s="884" t="s">
        <v>2607</v>
      </c>
      <c r="C81" s="885" t="s">
        <v>2615</v>
      </c>
      <c r="D81" s="886" t="s">
        <v>2616</v>
      </c>
      <c r="E81" s="885">
        <v>4.0</v>
      </c>
      <c r="F81" s="885" t="s">
        <v>2439</v>
      </c>
      <c r="G81" s="853">
        <v>-4.0</v>
      </c>
      <c r="H81" s="887">
        <v>0.0</v>
      </c>
      <c r="I81" s="888"/>
    </row>
    <row r="82">
      <c r="A82" s="883">
        <v>6.0</v>
      </c>
      <c r="B82" s="884" t="s">
        <v>2617</v>
      </c>
      <c r="C82" s="885" t="s">
        <v>2618</v>
      </c>
      <c r="D82" s="886" t="s">
        <v>2619</v>
      </c>
      <c r="E82" s="885">
        <v>5.0</v>
      </c>
      <c r="F82" s="885" t="s">
        <v>2439</v>
      </c>
      <c r="G82" s="853">
        <v>-5.0</v>
      </c>
      <c r="H82" s="887">
        <v>0.0</v>
      </c>
      <c r="I82" s="888"/>
    </row>
    <row r="83">
      <c r="A83" s="883">
        <v>7.0</v>
      </c>
      <c r="B83" s="884" t="s">
        <v>2620</v>
      </c>
      <c r="C83" s="885" t="s">
        <v>2621</v>
      </c>
      <c r="D83" s="886" t="s">
        <v>2622</v>
      </c>
      <c r="E83" s="885">
        <v>6.0</v>
      </c>
      <c r="F83" s="885" t="s">
        <v>2439</v>
      </c>
      <c r="G83" s="853">
        <v>-6.0</v>
      </c>
      <c r="H83" s="887">
        <v>0.0</v>
      </c>
      <c r="I83" s="888"/>
    </row>
    <row r="84">
      <c r="A84" s="889" t="s">
        <v>1864</v>
      </c>
      <c r="B84" s="890">
        <v>0.0</v>
      </c>
      <c r="C84" s="891" t="s">
        <v>2623</v>
      </c>
      <c r="D84" s="892">
        <v>0.0</v>
      </c>
      <c r="E84" s="891" t="s">
        <v>2624</v>
      </c>
      <c r="F84" s="891" t="s">
        <v>2625</v>
      </c>
      <c r="G84" s="861" t="s">
        <v>2626</v>
      </c>
      <c r="H84" s="893">
        <v>0.33</v>
      </c>
      <c r="I84" s="894"/>
    </row>
  </sheetData>
  <mergeCells count="9">
    <mergeCell ref="I1:I4"/>
    <mergeCell ref="I5:I7"/>
    <mergeCell ref="A1:B1"/>
    <mergeCell ref="C1:D1"/>
    <mergeCell ref="E1:H2"/>
    <mergeCell ref="A2:D2"/>
    <mergeCell ref="A3:B3"/>
    <mergeCell ref="C3:D3"/>
    <mergeCell ref="E3:H3"/>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6.29"/>
    <col customWidth="1" min="2" max="2" width="44.71"/>
  </cols>
  <sheetData>
    <row r="1">
      <c r="A1" s="895"/>
      <c r="B1" s="343"/>
      <c r="C1" s="343"/>
      <c r="D1" s="896" t="s">
        <v>2627</v>
      </c>
      <c r="E1" s="897">
        <v>0.1</v>
      </c>
      <c r="F1" s="898" t="s">
        <v>2628</v>
      </c>
      <c r="L1" s="899"/>
      <c r="M1" s="899"/>
      <c r="N1" s="899"/>
      <c r="O1" s="899"/>
      <c r="P1" s="899"/>
      <c r="Q1" s="899"/>
      <c r="R1" s="899"/>
      <c r="S1" s="899"/>
      <c r="T1" s="899"/>
      <c r="U1" s="899"/>
      <c r="V1" s="899"/>
      <c r="W1" s="899"/>
      <c r="X1" s="899"/>
      <c r="Y1" s="899"/>
      <c r="Z1" s="899"/>
      <c r="AA1" s="899"/>
      <c r="AB1" s="899"/>
      <c r="AC1" s="899"/>
    </row>
    <row r="2">
      <c r="A2" s="900" t="s">
        <v>2629</v>
      </c>
      <c r="B2" s="234"/>
      <c r="C2" s="234"/>
      <c r="D2" s="901" t="s">
        <v>2630</v>
      </c>
      <c r="E2" s="902" t="s">
        <v>2631</v>
      </c>
      <c r="F2" s="236"/>
      <c r="L2" s="899"/>
      <c r="M2" s="899"/>
      <c r="N2" s="899"/>
      <c r="O2" s="899"/>
      <c r="P2" s="899"/>
      <c r="Q2" s="899"/>
      <c r="R2" s="899"/>
      <c r="S2" s="899"/>
      <c r="T2" s="899"/>
      <c r="U2" s="899"/>
      <c r="V2" s="899"/>
      <c r="W2" s="899"/>
      <c r="X2" s="899"/>
      <c r="Y2" s="899"/>
      <c r="Z2" s="899"/>
      <c r="AA2" s="899"/>
      <c r="AB2" s="899"/>
      <c r="AC2" s="899"/>
    </row>
    <row r="3">
      <c r="A3" s="236"/>
      <c r="D3" s="903"/>
      <c r="E3" s="213"/>
      <c r="F3" s="899"/>
      <c r="G3" s="899"/>
      <c r="H3" s="899"/>
      <c r="I3" s="899"/>
      <c r="J3" s="899"/>
      <c r="K3" s="899"/>
      <c r="L3" s="899"/>
      <c r="M3" s="899"/>
      <c r="N3" s="899"/>
      <c r="O3" s="899"/>
      <c r="P3" s="899"/>
      <c r="Q3" s="899"/>
      <c r="R3" s="899"/>
      <c r="S3" s="899"/>
      <c r="T3" s="899"/>
      <c r="U3" s="899"/>
      <c r="V3" s="899"/>
      <c r="W3" s="899"/>
      <c r="X3" s="899"/>
      <c r="Y3" s="899"/>
      <c r="Z3" s="899"/>
      <c r="AA3" s="899"/>
      <c r="AB3" s="899"/>
      <c r="AC3" s="899"/>
    </row>
    <row r="4">
      <c r="A4" s="254"/>
      <c r="B4" s="343"/>
      <c r="C4" s="343"/>
      <c r="D4" s="904" t="s">
        <v>119</v>
      </c>
      <c r="E4" s="3"/>
      <c r="F4" s="904" t="s">
        <v>119</v>
      </c>
      <c r="G4" s="3"/>
      <c r="H4" s="904" t="s">
        <v>119</v>
      </c>
      <c r="I4" s="3"/>
      <c r="J4" s="904" t="s">
        <v>119</v>
      </c>
      <c r="K4" s="3"/>
      <c r="L4" s="904" t="s">
        <v>119</v>
      </c>
      <c r="M4" s="3"/>
      <c r="N4" s="904" t="s">
        <v>119</v>
      </c>
      <c r="O4" s="3"/>
      <c r="P4" s="904" t="s">
        <v>119</v>
      </c>
      <c r="Q4" s="3"/>
      <c r="R4" s="904" t="s">
        <v>119</v>
      </c>
      <c r="S4" s="3"/>
      <c r="T4" s="904" t="s">
        <v>119</v>
      </c>
      <c r="U4" s="3"/>
      <c r="V4" s="904" t="s">
        <v>119</v>
      </c>
      <c r="W4" s="3"/>
      <c r="X4" s="904" t="s">
        <v>119</v>
      </c>
      <c r="Y4" s="3"/>
      <c r="Z4" s="904" t="s">
        <v>119</v>
      </c>
      <c r="AA4" s="3"/>
      <c r="AB4" s="905" t="s">
        <v>2632</v>
      </c>
      <c r="AC4" s="3"/>
    </row>
    <row r="5">
      <c r="A5" s="906" t="s">
        <v>1526</v>
      </c>
      <c r="B5" s="907" t="s">
        <v>2446</v>
      </c>
      <c r="C5" s="908"/>
      <c r="D5" s="909" t="s">
        <v>2021</v>
      </c>
      <c r="E5" s="906" t="s">
        <v>2633</v>
      </c>
      <c r="F5" s="909" t="s">
        <v>2021</v>
      </c>
      <c r="G5" s="906" t="s">
        <v>2633</v>
      </c>
      <c r="H5" s="909" t="s">
        <v>2021</v>
      </c>
      <c r="I5" s="906" t="s">
        <v>2633</v>
      </c>
      <c r="J5" s="909" t="s">
        <v>2021</v>
      </c>
      <c r="K5" s="906" t="s">
        <v>2633</v>
      </c>
      <c r="L5" s="909" t="s">
        <v>2021</v>
      </c>
      <c r="M5" s="906" t="s">
        <v>2633</v>
      </c>
      <c r="N5" s="909" t="s">
        <v>2021</v>
      </c>
      <c r="O5" s="906" t="s">
        <v>2633</v>
      </c>
      <c r="P5" s="909" t="s">
        <v>2021</v>
      </c>
      <c r="Q5" s="906" t="s">
        <v>2633</v>
      </c>
      <c r="R5" s="909" t="s">
        <v>2021</v>
      </c>
      <c r="S5" s="906" t="s">
        <v>2633</v>
      </c>
      <c r="T5" s="909" t="s">
        <v>2021</v>
      </c>
      <c r="U5" s="906" t="s">
        <v>2633</v>
      </c>
      <c r="V5" s="909" t="s">
        <v>2021</v>
      </c>
      <c r="W5" s="906" t="s">
        <v>2633</v>
      </c>
      <c r="X5" s="909" t="s">
        <v>2021</v>
      </c>
      <c r="Y5" s="906" t="s">
        <v>2633</v>
      </c>
      <c r="Z5" s="909" t="s">
        <v>2021</v>
      </c>
      <c r="AA5" s="906" t="s">
        <v>2633</v>
      </c>
      <c r="AB5" s="909" t="s">
        <v>2021</v>
      </c>
      <c r="AC5" s="906" t="s">
        <v>2633</v>
      </c>
    </row>
    <row r="6">
      <c r="A6" s="910" t="s">
        <v>1767</v>
      </c>
      <c r="B6" s="911" t="s">
        <v>2450</v>
      </c>
      <c r="C6" s="912"/>
      <c r="D6" s="913" t="s">
        <v>2634</v>
      </c>
      <c r="E6" s="914" t="s">
        <v>2634</v>
      </c>
      <c r="F6" s="913" t="s">
        <v>2635</v>
      </c>
      <c r="G6" s="914" t="s">
        <v>2635</v>
      </c>
      <c r="H6" s="913" t="s">
        <v>2636</v>
      </c>
      <c r="I6" s="914" t="s">
        <v>2636</v>
      </c>
      <c r="J6" s="913" t="s">
        <v>2439</v>
      </c>
      <c r="K6" s="914" t="s">
        <v>2439</v>
      </c>
      <c r="L6" s="913" t="s">
        <v>2439</v>
      </c>
      <c r="M6" s="914" t="s">
        <v>2439</v>
      </c>
      <c r="N6" s="913" t="s">
        <v>2439</v>
      </c>
      <c r="O6" s="914" t="s">
        <v>2439</v>
      </c>
      <c r="P6" s="913" t="s">
        <v>2439</v>
      </c>
      <c r="Q6" s="914" t="s">
        <v>2439</v>
      </c>
      <c r="R6" s="913" t="s">
        <v>2439</v>
      </c>
      <c r="S6" s="914" t="s">
        <v>2439</v>
      </c>
      <c r="T6" s="913" t="s">
        <v>2439</v>
      </c>
      <c r="U6" s="914" t="s">
        <v>2439</v>
      </c>
      <c r="V6" s="913" t="s">
        <v>2439</v>
      </c>
      <c r="W6" s="914" t="s">
        <v>2439</v>
      </c>
      <c r="X6" s="913" t="s">
        <v>2439</v>
      </c>
      <c r="Y6" s="914" t="s">
        <v>2439</v>
      </c>
      <c r="Z6" s="913" t="s">
        <v>2439</v>
      </c>
      <c r="AA6" s="914" t="s">
        <v>2439</v>
      </c>
      <c r="AB6" s="911" t="s">
        <v>2634</v>
      </c>
      <c r="AC6" s="911" t="s">
        <v>2634</v>
      </c>
    </row>
    <row r="7">
      <c r="A7" s="915" t="s">
        <v>2451</v>
      </c>
      <c r="B7" s="916" t="s">
        <v>1325</v>
      </c>
      <c r="C7" s="917" t="s">
        <v>2386</v>
      </c>
      <c r="D7" s="918" t="s">
        <v>2637</v>
      </c>
      <c r="E7" s="919" t="s">
        <v>2637</v>
      </c>
      <c r="F7" s="918" t="s">
        <v>2638</v>
      </c>
      <c r="G7" s="919" t="s">
        <v>2638</v>
      </c>
      <c r="H7" s="918" t="s">
        <v>2639</v>
      </c>
      <c r="I7" s="919" t="s">
        <v>2639</v>
      </c>
      <c r="J7" s="920"/>
      <c r="K7" s="919" t="s">
        <v>2439</v>
      </c>
      <c r="L7" s="920"/>
      <c r="M7" s="919" t="s">
        <v>2439</v>
      </c>
      <c r="N7" s="920"/>
      <c r="O7" s="919" t="s">
        <v>2439</v>
      </c>
      <c r="P7" s="920"/>
      <c r="Q7" s="919" t="s">
        <v>2439</v>
      </c>
      <c r="R7" s="920"/>
      <c r="S7" s="919" t="s">
        <v>2439</v>
      </c>
      <c r="T7" s="920"/>
      <c r="U7" s="919" t="s">
        <v>2439</v>
      </c>
      <c r="V7" s="920"/>
      <c r="W7" s="919" t="s">
        <v>2439</v>
      </c>
      <c r="X7" s="920"/>
      <c r="Y7" s="919" t="s">
        <v>2439</v>
      </c>
      <c r="Z7" s="920"/>
      <c r="AA7" s="919" t="s">
        <v>2439</v>
      </c>
      <c r="AB7" s="918" t="s">
        <v>2637</v>
      </c>
      <c r="AC7" s="919" t="s">
        <v>2637</v>
      </c>
    </row>
    <row r="8">
      <c r="A8" s="915" t="s">
        <v>2452</v>
      </c>
      <c r="B8" s="916" t="s">
        <v>2453</v>
      </c>
      <c r="C8" s="917" t="s">
        <v>2391</v>
      </c>
      <c r="D8" s="918" t="s">
        <v>2640</v>
      </c>
      <c r="E8" s="919" t="s">
        <v>2640</v>
      </c>
      <c r="F8" s="918" t="s">
        <v>2641</v>
      </c>
      <c r="G8" s="919" t="s">
        <v>2641</v>
      </c>
      <c r="H8" s="918" t="s">
        <v>2642</v>
      </c>
      <c r="I8" s="919" t="s">
        <v>2642</v>
      </c>
      <c r="J8" s="920"/>
      <c r="K8" s="919" t="s">
        <v>2439</v>
      </c>
      <c r="L8" s="920"/>
      <c r="M8" s="919" t="s">
        <v>2439</v>
      </c>
      <c r="N8" s="920"/>
      <c r="O8" s="919" t="s">
        <v>2439</v>
      </c>
      <c r="P8" s="920"/>
      <c r="Q8" s="919" t="s">
        <v>2439</v>
      </c>
      <c r="R8" s="920"/>
      <c r="S8" s="919" t="s">
        <v>2439</v>
      </c>
      <c r="T8" s="920"/>
      <c r="U8" s="919" t="s">
        <v>2439</v>
      </c>
      <c r="V8" s="920"/>
      <c r="W8" s="919" t="s">
        <v>2439</v>
      </c>
      <c r="X8" s="920"/>
      <c r="Y8" s="919" t="s">
        <v>2439</v>
      </c>
      <c r="Z8" s="920"/>
      <c r="AA8" s="919" t="s">
        <v>2439</v>
      </c>
      <c r="AB8" s="918" t="s">
        <v>2640</v>
      </c>
      <c r="AC8" s="919" t="s">
        <v>2640</v>
      </c>
    </row>
    <row r="9">
      <c r="A9" s="915" t="s">
        <v>2454</v>
      </c>
      <c r="B9" s="916" t="s">
        <v>2455</v>
      </c>
      <c r="C9" s="921"/>
      <c r="D9" s="920"/>
      <c r="E9" s="922"/>
      <c r="F9" s="920"/>
      <c r="G9" s="922"/>
      <c r="H9" s="920"/>
      <c r="I9" s="922"/>
      <c r="J9" s="920"/>
      <c r="K9" s="922"/>
      <c r="L9" s="920"/>
      <c r="M9" s="922"/>
      <c r="N9" s="920"/>
      <c r="O9" s="922"/>
      <c r="P9" s="920"/>
      <c r="Q9" s="922"/>
      <c r="R9" s="920"/>
      <c r="S9" s="922"/>
      <c r="T9" s="920"/>
      <c r="U9" s="922"/>
      <c r="V9" s="920"/>
      <c r="W9" s="922"/>
      <c r="X9" s="920"/>
      <c r="Y9" s="922"/>
      <c r="Z9" s="920"/>
      <c r="AA9" s="922"/>
      <c r="AB9" s="920"/>
      <c r="AC9" s="922"/>
    </row>
    <row r="10">
      <c r="A10" s="923" t="s">
        <v>1768</v>
      </c>
      <c r="B10" s="924" t="s">
        <v>2456</v>
      </c>
      <c r="C10" s="925"/>
      <c r="D10" s="926" t="s">
        <v>2457</v>
      </c>
      <c r="E10" s="927" t="s">
        <v>2643</v>
      </c>
      <c r="F10" s="924" t="s">
        <v>2644</v>
      </c>
      <c r="G10" s="924" t="s">
        <v>2645</v>
      </c>
      <c r="H10" s="924" t="s">
        <v>2646</v>
      </c>
      <c r="I10" s="924" t="s">
        <v>2647</v>
      </c>
      <c r="J10" s="924" t="s">
        <v>2439</v>
      </c>
      <c r="K10" s="924" t="s">
        <v>2439</v>
      </c>
      <c r="L10" s="924" t="s">
        <v>2439</v>
      </c>
      <c r="M10" s="924" t="s">
        <v>2439</v>
      </c>
      <c r="N10" s="924" t="s">
        <v>2439</v>
      </c>
      <c r="O10" s="924" t="s">
        <v>2439</v>
      </c>
      <c r="P10" s="924" t="s">
        <v>2439</v>
      </c>
      <c r="Q10" s="924" t="s">
        <v>2439</v>
      </c>
      <c r="R10" s="924" t="s">
        <v>2439</v>
      </c>
      <c r="S10" s="924" t="s">
        <v>2439</v>
      </c>
      <c r="T10" s="924" t="s">
        <v>2439</v>
      </c>
      <c r="U10" s="924" t="s">
        <v>2439</v>
      </c>
      <c r="V10" s="924" t="s">
        <v>2439</v>
      </c>
      <c r="W10" s="924" t="s">
        <v>2439</v>
      </c>
      <c r="X10" s="924" t="s">
        <v>2439</v>
      </c>
      <c r="Y10" s="924" t="s">
        <v>2439</v>
      </c>
      <c r="Z10" s="924" t="s">
        <v>2439</v>
      </c>
      <c r="AA10" s="924" t="s">
        <v>2439</v>
      </c>
      <c r="AB10" s="926" t="s">
        <v>2648</v>
      </c>
      <c r="AC10" s="927" t="s">
        <v>2649</v>
      </c>
    </row>
    <row r="11">
      <c r="A11" s="928" t="s">
        <v>2460</v>
      </c>
      <c r="B11" s="929" t="s">
        <v>2462</v>
      </c>
      <c r="C11" s="930" t="s">
        <v>2463</v>
      </c>
      <c r="D11" s="931" t="s">
        <v>2405</v>
      </c>
      <c r="E11" s="931" t="s">
        <v>2650</v>
      </c>
      <c r="F11" s="931" t="s">
        <v>2383</v>
      </c>
      <c r="G11" s="931" t="s">
        <v>2651</v>
      </c>
      <c r="H11" s="931" t="s">
        <v>2652</v>
      </c>
      <c r="I11" s="931" t="s">
        <v>2653</v>
      </c>
      <c r="J11" s="932"/>
      <c r="K11" s="931" t="s">
        <v>2439</v>
      </c>
      <c r="L11" s="932"/>
      <c r="M11" s="931" t="s">
        <v>2439</v>
      </c>
      <c r="N11" s="932"/>
      <c r="O11" s="931" t="s">
        <v>2439</v>
      </c>
      <c r="P11" s="932"/>
      <c r="Q11" s="931" t="s">
        <v>2439</v>
      </c>
      <c r="R11" s="932"/>
      <c r="S11" s="931" t="s">
        <v>2439</v>
      </c>
      <c r="T11" s="932"/>
      <c r="U11" s="931" t="s">
        <v>2439</v>
      </c>
      <c r="V11" s="932"/>
      <c r="W11" s="931" t="s">
        <v>2439</v>
      </c>
      <c r="X11" s="932"/>
      <c r="Y11" s="931" t="s">
        <v>2439</v>
      </c>
      <c r="Z11" s="932"/>
      <c r="AA11" s="931" t="s">
        <v>2439</v>
      </c>
      <c r="AB11" s="931" t="s">
        <v>2642</v>
      </c>
      <c r="AC11" s="931" t="s">
        <v>2654</v>
      </c>
    </row>
    <row r="12">
      <c r="A12" s="928" t="s">
        <v>2465</v>
      </c>
      <c r="B12" s="929" t="s">
        <v>2466</v>
      </c>
      <c r="C12" s="930" t="s">
        <v>2390</v>
      </c>
      <c r="D12" s="931" t="s">
        <v>2371</v>
      </c>
      <c r="E12" s="931" t="s">
        <v>2655</v>
      </c>
      <c r="F12" s="932"/>
      <c r="G12" s="931" t="s">
        <v>2439</v>
      </c>
      <c r="H12" s="931" t="s">
        <v>2656</v>
      </c>
      <c r="I12" s="931" t="s">
        <v>2657</v>
      </c>
      <c r="J12" s="932"/>
      <c r="K12" s="931" t="s">
        <v>2439</v>
      </c>
      <c r="L12" s="932"/>
      <c r="M12" s="931" t="s">
        <v>2439</v>
      </c>
      <c r="N12" s="932"/>
      <c r="O12" s="931" t="s">
        <v>2439</v>
      </c>
      <c r="P12" s="932"/>
      <c r="Q12" s="931" t="s">
        <v>2439</v>
      </c>
      <c r="R12" s="932"/>
      <c r="S12" s="931" t="s">
        <v>2439</v>
      </c>
      <c r="T12" s="932"/>
      <c r="U12" s="931" t="s">
        <v>2439</v>
      </c>
      <c r="V12" s="932"/>
      <c r="W12" s="931" t="s">
        <v>2439</v>
      </c>
      <c r="X12" s="932"/>
      <c r="Y12" s="931" t="s">
        <v>2439</v>
      </c>
      <c r="Z12" s="932"/>
      <c r="AA12" s="931" t="s">
        <v>2439</v>
      </c>
      <c r="AB12" s="931" t="s">
        <v>2658</v>
      </c>
      <c r="AC12" s="931" t="s">
        <v>2659</v>
      </c>
    </row>
    <row r="13">
      <c r="A13" s="928" t="s">
        <v>2468</v>
      </c>
      <c r="B13" s="929" t="s">
        <v>2469</v>
      </c>
      <c r="C13" s="930" t="s">
        <v>283</v>
      </c>
      <c r="D13" s="931" t="s">
        <v>2470</v>
      </c>
      <c r="E13" s="931" t="s">
        <v>2660</v>
      </c>
      <c r="F13" s="931" t="s">
        <v>2661</v>
      </c>
      <c r="G13" s="931" t="s">
        <v>2662</v>
      </c>
      <c r="H13" s="931" t="s">
        <v>2405</v>
      </c>
      <c r="I13" s="931" t="s">
        <v>2650</v>
      </c>
      <c r="J13" s="932"/>
      <c r="K13" s="931" t="s">
        <v>2439</v>
      </c>
      <c r="L13" s="932"/>
      <c r="M13" s="931" t="s">
        <v>2439</v>
      </c>
      <c r="N13" s="932"/>
      <c r="O13" s="931" t="s">
        <v>2439</v>
      </c>
      <c r="P13" s="932"/>
      <c r="Q13" s="931" t="s">
        <v>2439</v>
      </c>
      <c r="R13" s="932"/>
      <c r="S13" s="931" t="s">
        <v>2439</v>
      </c>
      <c r="T13" s="932"/>
      <c r="U13" s="931" t="s">
        <v>2439</v>
      </c>
      <c r="V13" s="932"/>
      <c r="W13" s="931" t="s">
        <v>2439</v>
      </c>
      <c r="X13" s="932"/>
      <c r="Y13" s="931" t="s">
        <v>2439</v>
      </c>
      <c r="Z13" s="932"/>
      <c r="AA13" s="931" t="s">
        <v>2439</v>
      </c>
      <c r="AB13" s="931" t="s">
        <v>2663</v>
      </c>
      <c r="AC13" s="931" t="s">
        <v>2664</v>
      </c>
    </row>
    <row r="14">
      <c r="A14" s="928" t="s">
        <v>2472</v>
      </c>
      <c r="B14" s="929" t="s">
        <v>2474</v>
      </c>
      <c r="C14" s="930" t="s">
        <v>2385</v>
      </c>
      <c r="D14" s="932"/>
      <c r="E14" s="931" t="s">
        <v>2439</v>
      </c>
      <c r="F14" s="932"/>
      <c r="G14" s="931" t="s">
        <v>2439</v>
      </c>
      <c r="H14" s="932"/>
      <c r="I14" s="931" t="s">
        <v>2439</v>
      </c>
      <c r="J14" s="932"/>
      <c r="K14" s="931" t="s">
        <v>2439</v>
      </c>
      <c r="L14" s="932"/>
      <c r="M14" s="931" t="s">
        <v>2439</v>
      </c>
      <c r="N14" s="932"/>
      <c r="O14" s="931" t="s">
        <v>2439</v>
      </c>
      <c r="P14" s="932"/>
      <c r="Q14" s="931" t="s">
        <v>2439</v>
      </c>
      <c r="R14" s="932"/>
      <c r="S14" s="931" t="s">
        <v>2439</v>
      </c>
      <c r="T14" s="932"/>
      <c r="U14" s="931" t="s">
        <v>2439</v>
      </c>
      <c r="V14" s="932"/>
      <c r="W14" s="931" t="s">
        <v>2439</v>
      </c>
      <c r="X14" s="932"/>
      <c r="Y14" s="931" t="s">
        <v>2439</v>
      </c>
      <c r="Z14" s="932"/>
      <c r="AA14" s="931" t="s">
        <v>2439</v>
      </c>
      <c r="AB14" s="931" t="s">
        <v>2439</v>
      </c>
      <c r="AC14" s="931" t="s">
        <v>2439</v>
      </c>
    </row>
    <row r="15">
      <c r="A15" s="928" t="s">
        <v>2475</v>
      </c>
      <c r="B15" s="929" t="s">
        <v>2476</v>
      </c>
      <c r="C15" s="930" t="s">
        <v>2404</v>
      </c>
      <c r="D15" s="932"/>
      <c r="E15" s="931" t="s">
        <v>2439</v>
      </c>
      <c r="F15" s="932"/>
      <c r="G15" s="931" t="s">
        <v>2439</v>
      </c>
      <c r="H15" s="932"/>
      <c r="I15" s="931" t="s">
        <v>2439</v>
      </c>
      <c r="J15" s="932"/>
      <c r="K15" s="931" t="s">
        <v>2439</v>
      </c>
      <c r="L15" s="932"/>
      <c r="M15" s="931" t="s">
        <v>2439</v>
      </c>
      <c r="N15" s="932"/>
      <c r="O15" s="931" t="s">
        <v>2439</v>
      </c>
      <c r="P15" s="932"/>
      <c r="Q15" s="931" t="s">
        <v>2439</v>
      </c>
      <c r="R15" s="932"/>
      <c r="S15" s="931" t="s">
        <v>2439</v>
      </c>
      <c r="T15" s="932"/>
      <c r="U15" s="931" t="s">
        <v>2439</v>
      </c>
      <c r="V15" s="932"/>
      <c r="W15" s="931" t="s">
        <v>2439</v>
      </c>
      <c r="X15" s="932"/>
      <c r="Y15" s="931" t="s">
        <v>2439</v>
      </c>
      <c r="Z15" s="932"/>
      <c r="AA15" s="931" t="s">
        <v>2439</v>
      </c>
      <c r="AB15" s="931" t="s">
        <v>2439</v>
      </c>
      <c r="AC15" s="931" t="s">
        <v>2439</v>
      </c>
    </row>
    <row r="16">
      <c r="A16" s="928" t="s">
        <v>2477</v>
      </c>
      <c r="B16" s="929" t="s">
        <v>2479</v>
      </c>
      <c r="C16" s="930" t="s">
        <v>1109</v>
      </c>
      <c r="D16" s="932"/>
      <c r="E16" s="931" t="s">
        <v>2439</v>
      </c>
      <c r="F16" s="932"/>
      <c r="G16" s="931" t="s">
        <v>2439</v>
      </c>
      <c r="H16" s="932"/>
      <c r="I16" s="931" t="s">
        <v>2439</v>
      </c>
      <c r="J16" s="932"/>
      <c r="K16" s="931" t="s">
        <v>2439</v>
      </c>
      <c r="L16" s="932"/>
      <c r="M16" s="931" t="s">
        <v>2439</v>
      </c>
      <c r="N16" s="932"/>
      <c r="O16" s="931" t="s">
        <v>2439</v>
      </c>
      <c r="P16" s="932"/>
      <c r="Q16" s="931" t="s">
        <v>2439</v>
      </c>
      <c r="R16" s="932"/>
      <c r="S16" s="931" t="s">
        <v>2439</v>
      </c>
      <c r="T16" s="932"/>
      <c r="U16" s="931" t="s">
        <v>2439</v>
      </c>
      <c r="V16" s="932"/>
      <c r="W16" s="931" t="s">
        <v>2439</v>
      </c>
      <c r="X16" s="932"/>
      <c r="Y16" s="931" t="s">
        <v>2439</v>
      </c>
      <c r="Z16" s="932"/>
      <c r="AA16" s="931" t="s">
        <v>2439</v>
      </c>
      <c r="AB16" s="931" t="s">
        <v>2439</v>
      </c>
      <c r="AC16" s="931" t="s">
        <v>2439</v>
      </c>
    </row>
    <row r="17">
      <c r="A17" s="928" t="s">
        <v>2480</v>
      </c>
      <c r="B17" s="929" t="s">
        <v>2481</v>
      </c>
      <c r="C17" s="930" t="s">
        <v>2482</v>
      </c>
      <c r="D17" s="932"/>
      <c r="E17" s="931" t="s">
        <v>2439</v>
      </c>
      <c r="F17" s="932"/>
      <c r="G17" s="931" t="s">
        <v>2439</v>
      </c>
      <c r="H17" s="932"/>
      <c r="I17" s="931" t="s">
        <v>2439</v>
      </c>
      <c r="J17" s="932"/>
      <c r="K17" s="931" t="s">
        <v>2439</v>
      </c>
      <c r="L17" s="932"/>
      <c r="M17" s="931" t="s">
        <v>2439</v>
      </c>
      <c r="N17" s="932"/>
      <c r="O17" s="931" t="s">
        <v>2439</v>
      </c>
      <c r="P17" s="932"/>
      <c r="Q17" s="931" t="s">
        <v>2439</v>
      </c>
      <c r="R17" s="932"/>
      <c r="S17" s="931" t="s">
        <v>2439</v>
      </c>
      <c r="T17" s="932"/>
      <c r="U17" s="931" t="s">
        <v>2439</v>
      </c>
      <c r="V17" s="932"/>
      <c r="W17" s="931" t="s">
        <v>2439</v>
      </c>
      <c r="X17" s="932"/>
      <c r="Y17" s="931" t="s">
        <v>2439</v>
      </c>
      <c r="Z17" s="932"/>
      <c r="AA17" s="931" t="s">
        <v>2439</v>
      </c>
      <c r="AB17" s="931" t="s">
        <v>2439</v>
      </c>
      <c r="AC17" s="931" t="s">
        <v>2439</v>
      </c>
    </row>
    <row r="18">
      <c r="A18" s="928" t="s">
        <v>2483</v>
      </c>
      <c r="B18" s="929" t="s">
        <v>2484</v>
      </c>
      <c r="C18" s="930" t="s">
        <v>2485</v>
      </c>
      <c r="D18" s="932"/>
      <c r="E18" s="931" t="s">
        <v>2439</v>
      </c>
      <c r="F18" s="932"/>
      <c r="G18" s="931" t="s">
        <v>2439</v>
      </c>
      <c r="H18" s="932"/>
      <c r="I18" s="931" t="s">
        <v>2439</v>
      </c>
      <c r="J18" s="932"/>
      <c r="K18" s="931" t="s">
        <v>2439</v>
      </c>
      <c r="L18" s="932"/>
      <c r="M18" s="931" t="s">
        <v>2439</v>
      </c>
      <c r="N18" s="932"/>
      <c r="O18" s="931" t="s">
        <v>2439</v>
      </c>
      <c r="P18" s="932"/>
      <c r="Q18" s="931" t="s">
        <v>2439</v>
      </c>
      <c r="R18" s="932"/>
      <c r="S18" s="931" t="s">
        <v>2439</v>
      </c>
      <c r="T18" s="932"/>
      <c r="U18" s="931" t="s">
        <v>2439</v>
      </c>
      <c r="V18" s="932"/>
      <c r="W18" s="931" t="s">
        <v>2439</v>
      </c>
      <c r="X18" s="932"/>
      <c r="Y18" s="931" t="s">
        <v>2439</v>
      </c>
      <c r="Z18" s="932"/>
      <c r="AA18" s="931" t="s">
        <v>2439</v>
      </c>
      <c r="AB18" s="931" t="s">
        <v>2439</v>
      </c>
      <c r="AC18" s="931" t="s">
        <v>2439</v>
      </c>
    </row>
    <row r="19">
      <c r="A19" s="928" t="s">
        <v>2486</v>
      </c>
      <c r="B19" s="929" t="s">
        <v>2487</v>
      </c>
      <c r="C19" s="930" t="s">
        <v>2488</v>
      </c>
      <c r="D19" s="932"/>
      <c r="E19" s="931" t="s">
        <v>2439</v>
      </c>
      <c r="F19" s="932"/>
      <c r="G19" s="931" t="s">
        <v>2439</v>
      </c>
      <c r="H19" s="932"/>
      <c r="I19" s="931" t="s">
        <v>2439</v>
      </c>
      <c r="J19" s="932"/>
      <c r="K19" s="931" t="s">
        <v>2439</v>
      </c>
      <c r="L19" s="932"/>
      <c r="M19" s="931" t="s">
        <v>2439</v>
      </c>
      <c r="N19" s="932"/>
      <c r="O19" s="931" t="s">
        <v>2439</v>
      </c>
      <c r="P19" s="932"/>
      <c r="Q19" s="931" t="s">
        <v>2439</v>
      </c>
      <c r="R19" s="932"/>
      <c r="S19" s="931" t="s">
        <v>2439</v>
      </c>
      <c r="T19" s="932"/>
      <c r="U19" s="931" t="s">
        <v>2439</v>
      </c>
      <c r="V19" s="932"/>
      <c r="W19" s="931" t="s">
        <v>2439</v>
      </c>
      <c r="X19" s="932"/>
      <c r="Y19" s="931" t="s">
        <v>2439</v>
      </c>
      <c r="Z19" s="932"/>
      <c r="AA19" s="931" t="s">
        <v>2439</v>
      </c>
      <c r="AB19" s="931" t="s">
        <v>2439</v>
      </c>
      <c r="AC19" s="931" t="s">
        <v>2439</v>
      </c>
    </row>
    <row r="20">
      <c r="A20" s="928" t="s">
        <v>2489</v>
      </c>
      <c r="B20" s="929" t="s">
        <v>2490</v>
      </c>
      <c r="C20" s="930" t="s">
        <v>2491</v>
      </c>
      <c r="D20" s="932"/>
      <c r="E20" s="931" t="s">
        <v>2439</v>
      </c>
      <c r="F20" s="932"/>
      <c r="G20" s="931" t="s">
        <v>2439</v>
      </c>
      <c r="H20" s="932"/>
      <c r="I20" s="931" t="s">
        <v>2439</v>
      </c>
      <c r="J20" s="932"/>
      <c r="K20" s="931" t="s">
        <v>2439</v>
      </c>
      <c r="L20" s="932"/>
      <c r="M20" s="931" t="s">
        <v>2439</v>
      </c>
      <c r="N20" s="932"/>
      <c r="O20" s="931" t="s">
        <v>2439</v>
      </c>
      <c r="P20" s="932"/>
      <c r="Q20" s="931" t="s">
        <v>2439</v>
      </c>
      <c r="R20" s="932"/>
      <c r="S20" s="931" t="s">
        <v>2439</v>
      </c>
      <c r="T20" s="932"/>
      <c r="U20" s="931" t="s">
        <v>2439</v>
      </c>
      <c r="V20" s="932"/>
      <c r="W20" s="931" t="s">
        <v>2439</v>
      </c>
      <c r="X20" s="932"/>
      <c r="Y20" s="931" t="s">
        <v>2439</v>
      </c>
      <c r="Z20" s="932"/>
      <c r="AA20" s="931" t="s">
        <v>2439</v>
      </c>
      <c r="AB20" s="931" t="s">
        <v>2439</v>
      </c>
      <c r="AC20" s="931" t="s">
        <v>2439</v>
      </c>
    </row>
    <row r="21">
      <c r="A21" s="933" t="s">
        <v>2492</v>
      </c>
      <c r="B21" s="934" t="s">
        <v>2494</v>
      </c>
      <c r="C21" s="935" t="s">
        <v>181</v>
      </c>
      <c r="D21" s="936"/>
      <c r="E21" s="937" t="s">
        <v>2439</v>
      </c>
      <c r="F21" s="936"/>
      <c r="G21" s="937" t="s">
        <v>2439</v>
      </c>
      <c r="H21" s="936"/>
      <c r="I21" s="937" t="s">
        <v>2439</v>
      </c>
      <c r="J21" s="936"/>
      <c r="K21" s="937" t="s">
        <v>2439</v>
      </c>
      <c r="L21" s="936"/>
      <c r="M21" s="937" t="s">
        <v>2439</v>
      </c>
      <c r="N21" s="936"/>
      <c r="O21" s="937" t="s">
        <v>2439</v>
      </c>
      <c r="P21" s="936"/>
      <c r="Q21" s="937" t="s">
        <v>2439</v>
      </c>
      <c r="R21" s="936"/>
      <c r="S21" s="937" t="s">
        <v>2439</v>
      </c>
      <c r="T21" s="936"/>
      <c r="U21" s="937" t="s">
        <v>2439</v>
      </c>
      <c r="V21" s="936"/>
      <c r="W21" s="937" t="s">
        <v>2439</v>
      </c>
      <c r="X21" s="936"/>
      <c r="Y21" s="937" t="s">
        <v>2439</v>
      </c>
      <c r="Z21" s="936"/>
      <c r="AA21" s="937" t="s">
        <v>2439</v>
      </c>
      <c r="AB21" s="937" t="s">
        <v>2439</v>
      </c>
      <c r="AC21" s="937" t="s">
        <v>2439</v>
      </c>
    </row>
    <row r="22">
      <c r="A22" s="938"/>
      <c r="B22" s="939" t="s">
        <v>2495</v>
      </c>
      <c r="C22" s="940"/>
      <c r="D22" s="939" t="s">
        <v>2665</v>
      </c>
      <c r="E22" s="941" t="s">
        <v>2666</v>
      </c>
      <c r="F22" s="942" t="s">
        <v>2667</v>
      </c>
      <c r="G22" s="942" t="s">
        <v>2668</v>
      </c>
      <c r="H22" s="942" t="s">
        <v>2669</v>
      </c>
      <c r="I22" s="942" t="s">
        <v>2670</v>
      </c>
      <c r="J22" s="942" t="s">
        <v>2439</v>
      </c>
      <c r="K22" s="942" t="s">
        <v>2439</v>
      </c>
      <c r="L22" s="942" t="s">
        <v>2439</v>
      </c>
      <c r="M22" s="942" t="s">
        <v>2439</v>
      </c>
      <c r="N22" s="942" t="s">
        <v>2439</v>
      </c>
      <c r="O22" s="942" t="s">
        <v>2439</v>
      </c>
      <c r="P22" s="942" t="s">
        <v>2439</v>
      </c>
      <c r="Q22" s="942" t="s">
        <v>2439</v>
      </c>
      <c r="R22" s="942" t="s">
        <v>2439</v>
      </c>
      <c r="S22" s="942" t="s">
        <v>2439</v>
      </c>
      <c r="T22" s="942" t="s">
        <v>2439</v>
      </c>
      <c r="U22" s="942" t="s">
        <v>2439</v>
      </c>
      <c r="V22" s="942" t="s">
        <v>2439</v>
      </c>
      <c r="W22" s="942" t="s">
        <v>2439</v>
      </c>
      <c r="X22" s="942" t="s">
        <v>2439</v>
      </c>
      <c r="Y22" s="942" t="s">
        <v>2439</v>
      </c>
      <c r="Z22" s="942" t="s">
        <v>2439</v>
      </c>
      <c r="AA22" s="942" t="s">
        <v>2439</v>
      </c>
      <c r="AB22" s="939" t="s">
        <v>2671</v>
      </c>
      <c r="AC22" s="941" t="s">
        <v>2672</v>
      </c>
    </row>
    <row r="23">
      <c r="A23" s="943" t="s">
        <v>1769</v>
      </c>
      <c r="B23" s="944" t="s">
        <v>2498</v>
      </c>
      <c r="C23" s="945"/>
      <c r="D23" s="946" t="s">
        <v>2499</v>
      </c>
      <c r="E23" s="947" t="s">
        <v>2673</v>
      </c>
      <c r="F23" s="947" t="s">
        <v>2674</v>
      </c>
      <c r="G23" s="947" t="s">
        <v>2675</v>
      </c>
      <c r="H23" s="947" t="s">
        <v>2676</v>
      </c>
      <c r="I23" s="947" t="s">
        <v>2677</v>
      </c>
      <c r="J23" s="947" t="s">
        <v>2439</v>
      </c>
      <c r="K23" s="947" t="s">
        <v>2439</v>
      </c>
      <c r="L23" s="947" t="s">
        <v>2439</v>
      </c>
      <c r="M23" s="947" t="s">
        <v>2439</v>
      </c>
      <c r="N23" s="947" t="s">
        <v>2439</v>
      </c>
      <c r="O23" s="947" t="s">
        <v>2439</v>
      </c>
      <c r="P23" s="947" t="s">
        <v>2439</v>
      </c>
      <c r="Q23" s="947" t="s">
        <v>2439</v>
      </c>
      <c r="R23" s="947" t="s">
        <v>2439</v>
      </c>
      <c r="S23" s="947" t="s">
        <v>2439</v>
      </c>
      <c r="T23" s="947" t="s">
        <v>2439</v>
      </c>
      <c r="U23" s="947" t="s">
        <v>2439</v>
      </c>
      <c r="V23" s="947" t="s">
        <v>2439</v>
      </c>
      <c r="W23" s="947" t="s">
        <v>2439</v>
      </c>
      <c r="X23" s="947" t="s">
        <v>2439</v>
      </c>
      <c r="Y23" s="947" t="s">
        <v>2439</v>
      </c>
      <c r="Z23" s="947" t="s">
        <v>2439</v>
      </c>
      <c r="AA23" s="947" t="s">
        <v>2439</v>
      </c>
      <c r="AB23" s="947" t="s">
        <v>2678</v>
      </c>
      <c r="AC23" s="947" t="s">
        <v>2679</v>
      </c>
    </row>
    <row r="24">
      <c r="A24" s="948" t="s">
        <v>2503</v>
      </c>
      <c r="B24" s="949" t="s">
        <v>2504</v>
      </c>
      <c r="C24" s="950"/>
      <c r="D24" s="949" t="s">
        <v>2505</v>
      </c>
      <c r="E24" s="949" t="s">
        <v>2680</v>
      </c>
      <c r="F24" s="949" t="s">
        <v>2681</v>
      </c>
      <c r="G24" s="949" t="s">
        <v>2682</v>
      </c>
      <c r="H24" s="949" t="s">
        <v>2683</v>
      </c>
      <c r="I24" s="949" t="s">
        <v>2684</v>
      </c>
      <c r="J24" s="949" t="s">
        <v>2439</v>
      </c>
      <c r="K24" s="949" t="s">
        <v>2439</v>
      </c>
      <c r="L24" s="949" t="s">
        <v>2439</v>
      </c>
      <c r="M24" s="949" t="s">
        <v>2439</v>
      </c>
      <c r="N24" s="949" t="s">
        <v>2439</v>
      </c>
      <c r="O24" s="949" t="s">
        <v>2439</v>
      </c>
      <c r="P24" s="949" t="s">
        <v>2439</v>
      </c>
      <c r="Q24" s="949" t="s">
        <v>2439</v>
      </c>
      <c r="R24" s="949" t="s">
        <v>2439</v>
      </c>
      <c r="S24" s="949" t="s">
        <v>2439</v>
      </c>
      <c r="T24" s="949" t="s">
        <v>2439</v>
      </c>
      <c r="U24" s="949" t="s">
        <v>2439</v>
      </c>
      <c r="V24" s="949" t="s">
        <v>2439</v>
      </c>
      <c r="W24" s="949" t="s">
        <v>2439</v>
      </c>
      <c r="X24" s="949" t="s">
        <v>2439</v>
      </c>
      <c r="Y24" s="949" t="s">
        <v>2439</v>
      </c>
      <c r="Z24" s="949" t="s">
        <v>2439</v>
      </c>
      <c r="AA24" s="949" t="s">
        <v>2439</v>
      </c>
      <c r="AB24" s="949" t="s">
        <v>2685</v>
      </c>
      <c r="AC24" s="949" t="s">
        <v>2686</v>
      </c>
    </row>
    <row r="25">
      <c r="A25" s="951">
        <v>44562.0</v>
      </c>
      <c r="B25" s="952" t="s">
        <v>2508</v>
      </c>
      <c r="C25" s="953" t="s">
        <v>276</v>
      </c>
      <c r="D25" s="954"/>
      <c r="E25" s="952" t="s">
        <v>2439</v>
      </c>
      <c r="F25" s="954"/>
      <c r="G25" s="952" t="s">
        <v>2439</v>
      </c>
      <c r="H25" s="954"/>
      <c r="I25" s="952" t="s">
        <v>2439</v>
      </c>
      <c r="J25" s="954"/>
      <c r="K25" s="952" t="s">
        <v>2439</v>
      </c>
      <c r="L25" s="954"/>
      <c r="M25" s="952" t="s">
        <v>2439</v>
      </c>
      <c r="N25" s="954"/>
      <c r="O25" s="952" t="s">
        <v>2439</v>
      </c>
      <c r="P25" s="954"/>
      <c r="Q25" s="952" t="s">
        <v>2439</v>
      </c>
      <c r="R25" s="954"/>
      <c r="S25" s="952" t="s">
        <v>2439</v>
      </c>
      <c r="T25" s="954"/>
      <c r="U25" s="952" t="s">
        <v>2439</v>
      </c>
      <c r="V25" s="954"/>
      <c r="W25" s="952" t="s">
        <v>2439</v>
      </c>
      <c r="X25" s="954"/>
      <c r="Y25" s="952" t="s">
        <v>2439</v>
      </c>
      <c r="Z25" s="954"/>
      <c r="AA25" s="952" t="s">
        <v>2439</v>
      </c>
      <c r="AB25" s="952" t="s">
        <v>2439</v>
      </c>
      <c r="AC25" s="952" t="s">
        <v>2439</v>
      </c>
    </row>
    <row r="26">
      <c r="A26" s="951">
        <v>44593.0</v>
      </c>
      <c r="B26" s="952" t="s">
        <v>2509</v>
      </c>
      <c r="C26" s="953" t="s">
        <v>263</v>
      </c>
      <c r="D26" s="954"/>
      <c r="E26" s="952" t="s">
        <v>2439</v>
      </c>
      <c r="F26" s="952" t="s">
        <v>2420</v>
      </c>
      <c r="G26" s="952" t="s">
        <v>2687</v>
      </c>
      <c r="H26" s="952" t="s">
        <v>2284</v>
      </c>
      <c r="I26" s="952" t="s">
        <v>2688</v>
      </c>
      <c r="J26" s="954"/>
      <c r="K26" s="952" t="s">
        <v>2439</v>
      </c>
      <c r="L26" s="954"/>
      <c r="M26" s="952" t="s">
        <v>2439</v>
      </c>
      <c r="N26" s="954"/>
      <c r="O26" s="952" t="s">
        <v>2439</v>
      </c>
      <c r="P26" s="954"/>
      <c r="Q26" s="952" t="s">
        <v>2439</v>
      </c>
      <c r="R26" s="954"/>
      <c r="S26" s="952" t="s">
        <v>2439</v>
      </c>
      <c r="T26" s="954"/>
      <c r="U26" s="952" t="s">
        <v>2439</v>
      </c>
      <c r="V26" s="954"/>
      <c r="W26" s="952" t="s">
        <v>2439</v>
      </c>
      <c r="X26" s="954"/>
      <c r="Y26" s="952" t="s">
        <v>2439</v>
      </c>
      <c r="Z26" s="954"/>
      <c r="AA26" s="952" t="s">
        <v>2439</v>
      </c>
      <c r="AB26" s="952" t="s">
        <v>2689</v>
      </c>
      <c r="AC26" s="952" t="s">
        <v>2690</v>
      </c>
    </row>
    <row r="27">
      <c r="A27" s="951">
        <v>44621.0</v>
      </c>
      <c r="B27" s="952" t="s">
        <v>2510</v>
      </c>
      <c r="C27" s="953" t="s">
        <v>610</v>
      </c>
      <c r="D27" s="952" t="s">
        <v>2427</v>
      </c>
      <c r="E27" s="952" t="s">
        <v>2691</v>
      </c>
      <c r="F27" s="954"/>
      <c r="G27" s="952" t="s">
        <v>2439</v>
      </c>
      <c r="H27" s="954"/>
      <c r="I27" s="952" t="s">
        <v>2439</v>
      </c>
      <c r="J27" s="954"/>
      <c r="K27" s="952" t="s">
        <v>2439</v>
      </c>
      <c r="L27" s="954"/>
      <c r="M27" s="952" t="s">
        <v>2439</v>
      </c>
      <c r="N27" s="954"/>
      <c r="O27" s="952" t="s">
        <v>2439</v>
      </c>
      <c r="P27" s="954"/>
      <c r="Q27" s="952" t="s">
        <v>2439</v>
      </c>
      <c r="R27" s="954"/>
      <c r="S27" s="952" t="s">
        <v>2439</v>
      </c>
      <c r="T27" s="954"/>
      <c r="U27" s="952" t="s">
        <v>2439</v>
      </c>
      <c r="V27" s="954"/>
      <c r="W27" s="952" t="s">
        <v>2439</v>
      </c>
      <c r="X27" s="954"/>
      <c r="Y27" s="952" t="s">
        <v>2439</v>
      </c>
      <c r="Z27" s="954"/>
      <c r="AA27" s="952" t="s">
        <v>2439</v>
      </c>
      <c r="AB27" s="952" t="s">
        <v>2427</v>
      </c>
      <c r="AC27" s="952" t="s">
        <v>2691</v>
      </c>
    </row>
    <row r="28">
      <c r="A28" s="951">
        <v>44652.0</v>
      </c>
      <c r="B28" s="952" t="s">
        <v>2512</v>
      </c>
      <c r="C28" s="953" t="s">
        <v>1178</v>
      </c>
      <c r="D28" s="954"/>
      <c r="E28" s="952" t="s">
        <v>2439</v>
      </c>
      <c r="F28" s="954"/>
      <c r="G28" s="952" t="s">
        <v>2439</v>
      </c>
      <c r="H28" s="954"/>
      <c r="I28" s="952" t="s">
        <v>2439</v>
      </c>
      <c r="J28" s="954"/>
      <c r="K28" s="952" t="s">
        <v>2439</v>
      </c>
      <c r="L28" s="954"/>
      <c r="M28" s="952" t="s">
        <v>2439</v>
      </c>
      <c r="N28" s="954"/>
      <c r="O28" s="952" t="s">
        <v>2439</v>
      </c>
      <c r="P28" s="954"/>
      <c r="Q28" s="952" t="s">
        <v>2439</v>
      </c>
      <c r="R28" s="954"/>
      <c r="S28" s="952" t="s">
        <v>2439</v>
      </c>
      <c r="T28" s="954"/>
      <c r="U28" s="952" t="s">
        <v>2439</v>
      </c>
      <c r="V28" s="954"/>
      <c r="W28" s="952" t="s">
        <v>2439</v>
      </c>
      <c r="X28" s="954"/>
      <c r="Y28" s="952" t="s">
        <v>2439</v>
      </c>
      <c r="Z28" s="954"/>
      <c r="AA28" s="952" t="s">
        <v>2439</v>
      </c>
      <c r="AB28" s="952" t="s">
        <v>2439</v>
      </c>
      <c r="AC28" s="952" t="s">
        <v>2439</v>
      </c>
    </row>
    <row r="29">
      <c r="A29" s="951">
        <v>44682.0</v>
      </c>
      <c r="B29" s="952" t="s">
        <v>2513</v>
      </c>
      <c r="C29" s="953" t="s">
        <v>227</v>
      </c>
      <c r="D29" s="954"/>
      <c r="E29" s="952" t="s">
        <v>2439</v>
      </c>
      <c r="F29" s="954"/>
      <c r="G29" s="952" t="s">
        <v>2439</v>
      </c>
      <c r="H29" s="954"/>
      <c r="I29" s="952" t="s">
        <v>2439</v>
      </c>
      <c r="J29" s="954"/>
      <c r="K29" s="952" t="s">
        <v>2439</v>
      </c>
      <c r="L29" s="954"/>
      <c r="M29" s="952" t="s">
        <v>2439</v>
      </c>
      <c r="N29" s="954"/>
      <c r="O29" s="952" t="s">
        <v>2439</v>
      </c>
      <c r="P29" s="954"/>
      <c r="Q29" s="952" t="s">
        <v>2439</v>
      </c>
      <c r="R29" s="954"/>
      <c r="S29" s="952" t="s">
        <v>2439</v>
      </c>
      <c r="T29" s="954"/>
      <c r="U29" s="952" t="s">
        <v>2439</v>
      </c>
      <c r="V29" s="954"/>
      <c r="W29" s="952" t="s">
        <v>2439</v>
      </c>
      <c r="X29" s="954"/>
      <c r="Y29" s="952" t="s">
        <v>2439</v>
      </c>
      <c r="Z29" s="954"/>
      <c r="AA29" s="952" t="s">
        <v>2439</v>
      </c>
      <c r="AB29" s="952" t="s">
        <v>2439</v>
      </c>
      <c r="AC29" s="952" t="s">
        <v>2439</v>
      </c>
    </row>
    <row r="30">
      <c r="A30" s="951">
        <v>44713.0</v>
      </c>
      <c r="B30" s="952" t="s">
        <v>2514</v>
      </c>
      <c r="C30" s="953" t="s">
        <v>209</v>
      </c>
      <c r="D30" s="952" t="s">
        <v>2515</v>
      </c>
      <c r="E30" s="952" t="s">
        <v>2692</v>
      </c>
      <c r="F30" s="952" t="s">
        <v>2693</v>
      </c>
      <c r="G30" s="952" t="s">
        <v>2694</v>
      </c>
      <c r="H30" s="952" t="s">
        <v>2695</v>
      </c>
      <c r="I30" s="952" t="s">
        <v>2696</v>
      </c>
      <c r="J30" s="954"/>
      <c r="K30" s="952" t="s">
        <v>2439</v>
      </c>
      <c r="L30" s="954"/>
      <c r="M30" s="952" t="s">
        <v>2439</v>
      </c>
      <c r="N30" s="954"/>
      <c r="O30" s="952" t="s">
        <v>2439</v>
      </c>
      <c r="P30" s="954"/>
      <c r="Q30" s="952" t="s">
        <v>2439</v>
      </c>
      <c r="R30" s="954"/>
      <c r="S30" s="952" t="s">
        <v>2439</v>
      </c>
      <c r="T30" s="954"/>
      <c r="U30" s="952" t="s">
        <v>2439</v>
      </c>
      <c r="V30" s="954"/>
      <c r="W30" s="952" t="s">
        <v>2439</v>
      </c>
      <c r="X30" s="954"/>
      <c r="Y30" s="952" t="s">
        <v>2439</v>
      </c>
      <c r="Z30" s="954"/>
      <c r="AA30" s="952" t="s">
        <v>2439</v>
      </c>
      <c r="AB30" s="952" t="s">
        <v>2697</v>
      </c>
      <c r="AC30" s="952" t="s">
        <v>2698</v>
      </c>
    </row>
    <row r="31">
      <c r="A31" s="951">
        <v>44743.0</v>
      </c>
      <c r="B31" s="952" t="s">
        <v>2517</v>
      </c>
      <c r="C31" s="953" t="s">
        <v>2518</v>
      </c>
      <c r="D31" s="954"/>
      <c r="E31" s="952" t="s">
        <v>2439</v>
      </c>
      <c r="F31" s="954"/>
      <c r="G31" s="952" t="s">
        <v>2439</v>
      </c>
      <c r="H31" s="954"/>
      <c r="I31" s="952" t="s">
        <v>2439</v>
      </c>
      <c r="J31" s="954"/>
      <c r="K31" s="952" t="s">
        <v>2439</v>
      </c>
      <c r="L31" s="954"/>
      <c r="M31" s="952" t="s">
        <v>2439</v>
      </c>
      <c r="N31" s="954"/>
      <c r="O31" s="952" t="s">
        <v>2439</v>
      </c>
      <c r="P31" s="954"/>
      <c r="Q31" s="952" t="s">
        <v>2439</v>
      </c>
      <c r="R31" s="954"/>
      <c r="S31" s="952" t="s">
        <v>2439</v>
      </c>
      <c r="T31" s="954"/>
      <c r="U31" s="952" t="s">
        <v>2439</v>
      </c>
      <c r="V31" s="954"/>
      <c r="W31" s="952" t="s">
        <v>2439</v>
      </c>
      <c r="X31" s="954"/>
      <c r="Y31" s="952" t="s">
        <v>2439</v>
      </c>
      <c r="Z31" s="954"/>
      <c r="AA31" s="952" t="s">
        <v>2439</v>
      </c>
      <c r="AB31" s="952" t="s">
        <v>2439</v>
      </c>
      <c r="AC31" s="952" t="s">
        <v>2439</v>
      </c>
    </row>
    <row r="32">
      <c r="A32" s="951">
        <v>44774.0</v>
      </c>
      <c r="B32" s="952" t="s">
        <v>2519</v>
      </c>
      <c r="C32" s="953" t="s">
        <v>2411</v>
      </c>
      <c r="D32" s="954"/>
      <c r="E32" s="952" t="s">
        <v>2439</v>
      </c>
      <c r="F32" s="954"/>
      <c r="G32" s="952" t="s">
        <v>2439</v>
      </c>
      <c r="H32" s="954"/>
      <c r="I32" s="952" t="s">
        <v>2439</v>
      </c>
      <c r="J32" s="954"/>
      <c r="K32" s="952" t="s">
        <v>2439</v>
      </c>
      <c r="L32" s="954"/>
      <c r="M32" s="952" t="s">
        <v>2439</v>
      </c>
      <c r="N32" s="954"/>
      <c r="O32" s="952" t="s">
        <v>2439</v>
      </c>
      <c r="P32" s="954"/>
      <c r="Q32" s="952" t="s">
        <v>2439</v>
      </c>
      <c r="R32" s="954"/>
      <c r="S32" s="952" t="s">
        <v>2439</v>
      </c>
      <c r="T32" s="954"/>
      <c r="U32" s="952" t="s">
        <v>2439</v>
      </c>
      <c r="V32" s="954"/>
      <c r="W32" s="952" t="s">
        <v>2439</v>
      </c>
      <c r="X32" s="954"/>
      <c r="Y32" s="952" t="s">
        <v>2439</v>
      </c>
      <c r="Z32" s="954"/>
      <c r="AA32" s="952" t="s">
        <v>2439</v>
      </c>
      <c r="AB32" s="952" t="s">
        <v>2439</v>
      </c>
      <c r="AC32" s="952" t="s">
        <v>2439</v>
      </c>
    </row>
    <row r="33">
      <c r="A33" s="951">
        <v>44805.0</v>
      </c>
      <c r="B33" s="952" t="s">
        <v>2520</v>
      </c>
      <c r="C33" s="953" t="s">
        <v>411</v>
      </c>
      <c r="D33" s="954"/>
      <c r="E33" s="952" t="s">
        <v>2439</v>
      </c>
      <c r="F33" s="954"/>
      <c r="G33" s="952" t="s">
        <v>2439</v>
      </c>
      <c r="H33" s="954"/>
      <c r="I33" s="952" t="s">
        <v>2439</v>
      </c>
      <c r="J33" s="954"/>
      <c r="K33" s="952" t="s">
        <v>2439</v>
      </c>
      <c r="L33" s="954"/>
      <c r="M33" s="952" t="s">
        <v>2439</v>
      </c>
      <c r="N33" s="954"/>
      <c r="O33" s="952" t="s">
        <v>2439</v>
      </c>
      <c r="P33" s="954"/>
      <c r="Q33" s="952" t="s">
        <v>2439</v>
      </c>
      <c r="R33" s="954"/>
      <c r="S33" s="952" t="s">
        <v>2439</v>
      </c>
      <c r="T33" s="954"/>
      <c r="U33" s="952" t="s">
        <v>2439</v>
      </c>
      <c r="V33" s="954"/>
      <c r="W33" s="952" t="s">
        <v>2439</v>
      </c>
      <c r="X33" s="954"/>
      <c r="Y33" s="952" t="s">
        <v>2439</v>
      </c>
      <c r="Z33" s="954"/>
      <c r="AA33" s="952" t="s">
        <v>2439</v>
      </c>
      <c r="AB33" s="952" t="s">
        <v>2439</v>
      </c>
      <c r="AC33" s="952" t="s">
        <v>2439</v>
      </c>
    </row>
    <row r="34">
      <c r="A34" s="951">
        <v>44562.0</v>
      </c>
      <c r="B34" s="952" t="s">
        <v>2521</v>
      </c>
      <c r="C34" s="953" t="s">
        <v>223</v>
      </c>
      <c r="D34" s="954"/>
      <c r="E34" s="952" t="s">
        <v>2439</v>
      </c>
      <c r="F34" s="954"/>
      <c r="G34" s="952" t="s">
        <v>2439</v>
      </c>
      <c r="H34" s="954"/>
      <c r="I34" s="952" t="s">
        <v>2439</v>
      </c>
      <c r="J34" s="954"/>
      <c r="K34" s="952" t="s">
        <v>2439</v>
      </c>
      <c r="L34" s="954"/>
      <c r="M34" s="952" t="s">
        <v>2439</v>
      </c>
      <c r="N34" s="954"/>
      <c r="O34" s="952" t="s">
        <v>2439</v>
      </c>
      <c r="P34" s="954"/>
      <c r="Q34" s="952" t="s">
        <v>2439</v>
      </c>
      <c r="R34" s="954"/>
      <c r="S34" s="952" t="s">
        <v>2439</v>
      </c>
      <c r="T34" s="954"/>
      <c r="U34" s="952" t="s">
        <v>2439</v>
      </c>
      <c r="V34" s="954"/>
      <c r="W34" s="952" t="s">
        <v>2439</v>
      </c>
      <c r="X34" s="954"/>
      <c r="Y34" s="952" t="s">
        <v>2439</v>
      </c>
      <c r="Z34" s="954"/>
      <c r="AA34" s="952" t="s">
        <v>2439</v>
      </c>
      <c r="AB34" s="952" t="s">
        <v>2439</v>
      </c>
      <c r="AC34" s="952" t="s">
        <v>2439</v>
      </c>
    </row>
    <row r="35">
      <c r="A35" s="951">
        <v>44562.0</v>
      </c>
      <c r="B35" s="952" t="s">
        <v>2522</v>
      </c>
      <c r="C35" s="953" t="s">
        <v>220</v>
      </c>
      <c r="D35" s="954"/>
      <c r="E35" s="952" t="s">
        <v>2439</v>
      </c>
      <c r="F35" s="954"/>
      <c r="G35" s="952" t="s">
        <v>2439</v>
      </c>
      <c r="H35" s="954"/>
      <c r="I35" s="952" t="s">
        <v>2439</v>
      </c>
      <c r="J35" s="954"/>
      <c r="K35" s="952" t="s">
        <v>2439</v>
      </c>
      <c r="L35" s="954"/>
      <c r="M35" s="952" t="s">
        <v>2439</v>
      </c>
      <c r="N35" s="954"/>
      <c r="O35" s="952" t="s">
        <v>2439</v>
      </c>
      <c r="P35" s="954"/>
      <c r="Q35" s="952" t="s">
        <v>2439</v>
      </c>
      <c r="R35" s="954"/>
      <c r="S35" s="952" t="s">
        <v>2439</v>
      </c>
      <c r="T35" s="954"/>
      <c r="U35" s="952" t="s">
        <v>2439</v>
      </c>
      <c r="V35" s="954"/>
      <c r="W35" s="952" t="s">
        <v>2439</v>
      </c>
      <c r="X35" s="954"/>
      <c r="Y35" s="952" t="s">
        <v>2439</v>
      </c>
      <c r="Z35" s="954"/>
      <c r="AA35" s="952" t="s">
        <v>2439</v>
      </c>
      <c r="AB35" s="952" t="s">
        <v>2439</v>
      </c>
      <c r="AC35" s="952" t="s">
        <v>2439</v>
      </c>
    </row>
    <row r="36">
      <c r="A36" s="951">
        <v>44562.0</v>
      </c>
      <c r="B36" s="952" t="s">
        <v>2524</v>
      </c>
      <c r="C36" s="953" t="s">
        <v>378</v>
      </c>
      <c r="D36" s="954"/>
      <c r="E36" s="952" t="s">
        <v>2439</v>
      </c>
      <c r="F36" s="954"/>
      <c r="G36" s="952" t="s">
        <v>2439</v>
      </c>
      <c r="H36" s="954"/>
      <c r="I36" s="952" t="s">
        <v>2439</v>
      </c>
      <c r="J36" s="954"/>
      <c r="K36" s="952" t="s">
        <v>2439</v>
      </c>
      <c r="L36" s="954"/>
      <c r="M36" s="952" t="s">
        <v>2439</v>
      </c>
      <c r="N36" s="954"/>
      <c r="O36" s="952" t="s">
        <v>2439</v>
      </c>
      <c r="P36" s="954"/>
      <c r="Q36" s="952" t="s">
        <v>2439</v>
      </c>
      <c r="R36" s="954"/>
      <c r="S36" s="952" t="s">
        <v>2439</v>
      </c>
      <c r="T36" s="954"/>
      <c r="U36" s="952" t="s">
        <v>2439</v>
      </c>
      <c r="V36" s="954"/>
      <c r="W36" s="952" t="s">
        <v>2439</v>
      </c>
      <c r="X36" s="954"/>
      <c r="Y36" s="952" t="s">
        <v>2439</v>
      </c>
      <c r="Z36" s="954"/>
      <c r="AA36" s="952" t="s">
        <v>2439</v>
      </c>
      <c r="AB36" s="952" t="s">
        <v>2439</v>
      </c>
      <c r="AC36" s="952" t="s">
        <v>2439</v>
      </c>
    </row>
    <row r="37">
      <c r="A37" s="951">
        <v>44562.0</v>
      </c>
      <c r="B37" s="952" t="s">
        <v>2526</v>
      </c>
      <c r="C37" s="953" t="s">
        <v>506</v>
      </c>
      <c r="D37" s="952" t="s">
        <v>2470</v>
      </c>
      <c r="E37" s="952" t="s">
        <v>2660</v>
      </c>
      <c r="F37" s="952" t="s">
        <v>2470</v>
      </c>
      <c r="G37" s="952" t="s">
        <v>2660</v>
      </c>
      <c r="H37" s="952" t="s">
        <v>2470</v>
      </c>
      <c r="I37" s="952" t="s">
        <v>2660</v>
      </c>
      <c r="J37" s="954"/>
      <c r="K37" s="952" t="s">
        <v>2439</v>
      </c>
      <c r="L37" s="954"/>
      <c r="M37" s="952" t="s">
        <v>2439</v>
      </c>
      <c r="N37" s="954"/>
      <c r="O37" s="952" t="s">
        <v>2439</v>
      </c>
      <c r="P37" s="954"/>
      <c r="Q37" s="952" t="s">
        <v>2439</v>
      </c>
      <c r="R37" s="954"/>
      <c r="S37" s="952" t="s">
        <v>2439</v>
      </c>
      <c r="T37" s="954"/>
      <c r="U37" s="952" t="s">
        <v>2439</v>
      </c>
      <c r="V37" s="954"/>
      <c r="W37" s="952" t="s">
        <v>2439</v>
      </c>
      <c r="X37" s="954"/>
      <c r="Y37" s="952" t="s">
        <v>2439</v>
      </c>
      <c r="Z37" s="954"/>
      <c r="AA37" s="952" t="s">
        <v>2439</v>
      </c>
      <c r="AB37" s="952" t="s">
        <v>2699</v>
      </c>
      <c r="AC37" s="952" t="s">
        <v>2700</v>
      </c>
    </row>
    <row r="38">
      <c r="A38" s="951">
        <v>44593.0</v>
      </c>
      <c r="B38" s="952" t="s">
        <v>2528</v>
      </c>
      <c r="C38" s="953" t="s">
        <v>258</v>
      </c>
      <c r="D38" s="952" t="s">
        <v>2415</v>
      </c>
      <c r="E38" s="952" t="s">
        <v>2701</v>
      </c>
      <c r="F38" s="952" t="s">
        <v>2701</v>
      </c>
      <c r="G38" s="952" t="s">
        <v>2702</v>
      </c>
      <c r="H38" s="952" t="s">
        <v>2689</v>
      </c>
      <c r="I38" s="952" t="s">
        <v>2690</v>
      </c>
      <c r="J38" s="954"/>
      <c r="K38" s="952" t="s">
        <v>2439</v>
      </c>
      <c r="L38" s="954"/>
      <c r="M38" s="952" t="s">
        <v>2439</v>
      </c>
      <c r="N38" s="954"/>
      <c r="O38" s="952" t="s">
        <v>2439</v>
      </c>
      <c r="P38" s="954"/>
      <c r="Q38" s="952" t="s">
        <v>2439</v>
      </c>
      <c r="R38" s="954"/>
      <c r="S38" s="952" t="s">
        <v>2439</v>
      </c>
      <c r="T38" s="954"/>
      <c r="U38" s="952" t="s">
        <v>2439</v>
      </c>
      <c r="V38" s="954"/>
      <c r="W38" s="952" t="s">
        <v>2439</v>
      </c>
      <c r="X38" s="954"/>
      <c r="Y38" s="952" t="s">
        <v>2439</v>
      </c>
      <c r="Z38" s="954"/>
      <c r="AA38" s="952" t="s">
        <v>2439</v>
      </c>
      <c r="AB38" s="952" t="s">
        <v>2661</v>
      </c>
      <c r="AC38" s="952" t="s">
        <v>2662</v>
      </c>
    </row>
    <row r="39">
      <c r="A39" s="948" t="s">
        <v>2530</v>
      </c>
      <c r="B39" s="949" t="s">
        <v>2531</v>
      </c>
      <c r="C39" s="955"/>
      <c r="D39" s="949" t="s">
        <v>2532</v>
      </c>
      <c r="E39" s="949" t="s">
        <v>2703</v>
      </c>
      <c r="F39" s="949" t="s">
        <v>2689</v>
      </c>
      <c r="G39" s="949" t="s">
        <v>2690</v>
      </c>
      <c r="H39" s="949" t="s">
        <v>2304</v>
      </c>
      <c r="I39" s="949" t="s">
        <v>2704</v>
      </c>
      <c r="J39" s="949" t="s">
        <v>2439</v>
      </c>
      <c r="K39" s="949" t="s">
        <v>2439</v>
      </c>
      <c r="L39" s="949" t="s">
        <v>2439</v>
      </c>
      <c r="M39" s="949" t="s">
        <v>2439</v>
      </c>
      <c r="N39" s="949" t="s">
        <v>2439</v>
      </c>
      <c r="O39" s="949" t="s">
        <v>2439</v>
      </c>
      <c r="P39" s="949" t="s">
        <v>2439</v>
      </c>
      <c r="Q39" s="949" t="s">
        <v>2439</v>
      </c>
      <c r="R39" s="949" t="s">
        <v>2439</v>
      </c>
      <c r="S39" s="949" t="s">
        <v>2439</v>
      </c>
      <c r="T39" s="949" t="s">
        <v>2439</v>
      </c>
      <c r="U39" s="949" t="s">
        <v>2439</v>
      </c>
      <c r="V39" s="949" t="s">
        <v>2439</v>
      </c>
      <c r="W39" s="949" t="s">
        <v>2439</v>
      </c>
      <c r="X39" s="949" t="s">
        <v>2439</v>
      </c>
      <c r="Y39" s="949" t="s">
        <v>2439</v>
      </c>
      <c r="Z39" s="949" t="s">
        <v>2439</v>
      </c>
      <c r="AA39" s="949" t="s">
        <v>2439</v>
      </c>
      <c r="AB39" s="949" t="s">
        <v>2705</v>
      </c>
      <c r="AC39" s="949" t="s">
        <v>2706</v>
      </c>
    </row>
    <row r="40">
      <c r="A40" s="951">
        <v>44563.0</v>
      </c>
      <c r="B40" s="952" t="s">
        <v>2534</v>
      </c>
      <c r="C40" s="953" t="s">
        <v>355</v>
      </c>
      <c r="D40" s="952" t="s">
        <v>2532</v>
      </c>
      <c r="E40" s="952" t="s">
        <v>2703</v>
      </c>
      <c r="F40" s="952" t="s">
        <v>2689</v>
      </c>
      <c r="G40" s="952" t="s">
        <v>2690</v>
      </c>
      <c r="H40" s="952" t="s">
        <v>2304</v>
      </c>
      <c r="I40" s="952" t="s">
        <v>2704</v>
      </c>
      <c r="J40" s="954"/>
      <c r="K40" s="952" t="s">
        <v>2439</v>
      </c>
      <c r="L40" s="954"/>
      <c r="M40" s="952" t="s">
        <v>2439</v>
      </c>
      <c r="N40" s="954"/>
      <c r="O40" s="952" t="s">
        <v>2439</v>
      </c>
      <c r="P40" s="954"/>
      <c r="Q40" s="952" t="s">
        <v>2439</v>
      </c>
      <c r="R40" s="954"/>
      <c r="S40" s="952" t="s">
        <v>2439</v>
      </c>
      <c r="T40" s="954"/>
      <c r="U40" s="952" t="s">
        <v>2439</v>
      </c>
      <c r="V40" s="954"/>
      <c r="W40" s="952" t="s">
        <v>2439</v>
      </c>
      <c r="X40" s="954"/>
      <c r="Y40" s="952" t="s">
        <v>2439</v>
      </c>
      <c r="Z40" s="954"/>
      <c r="AA40" s="952" t="s">
        <v>2439</v>
      </c>
      <c r="AB40" s="952" t="s">
        <v>2705</v>
      </c>
      <c r="AC40" s="952" t="s">
        <v>2706</v>
      </c>
    </row>
    <row r="41">
      <c r="A41" s="951">
        <v>44594.0</v>
      </c>
      <c r="B41" s="952" t="s">
        <v>2535</v>
      </c>
      <c r="C41" s="953" t="s">
        <v>2536</v>
      </c>
      <c r="D41" s="954"/>
      <c r="E41" s="952" t="s">
        <v>2439</v>
      </c>
      <c r="F41" s="954"/>
      <c r="G41" s="952" t="s">
        <v>2439</v>
      </c>
      <c r="H41" s="954"/>
      <c r="I41" s="952" t="s">
        <v>2439</v>
      </c>
      <c r="J41" s="954"/>
      <c r="K41" s="952" t="s">
        <v>2439</v>
      </c>
      <c r="L41" s="954"/>
      <c r="M41" s="952" t="s">
        <v>2439</v>
      </c>
      <c r="N41" s="954"/>
      <c r="O41" s="952" t="s">
        <v>2439</v>
      </c>
      <c r="P41" s="954"/>
      <c r="Q41" s="952" t="s">
        <v>2439</v>
      </c>
      <c r="R41" s="954"/>
      <c r="S41" s="952" t="s">
        <v>2439</v>
      </c>
      <c r="T41" s="954"/>
      <c r="U41" s="952" t="s">
        <v>2439</v>
      </c>
      <c r="V41" s="954"/>
      <c r="W41" s="952" t="s">
        <v>2439</v>
      </c>
      <c r="X41" s="954"/>
      <c r="Y41" s="952" t="s">
        <v>2439</v>
      </c>
      <c r="Z41" s="954"/>
      <c r="AA41" s="952" t="s">
        <v>2439</v>
      </c>
      <c r="AB41" s="952" t="s">
        <v>2439</v>
      </c>
      <c r="AC41" s="952" t="s">
        <v>2439</v>
      </c>
    </row>
    <row r="42">
      <c r="A42" s="951">
        <v>44622.0</v>
      </c>
      <c r="B42" s="952" t="s">
        <v>2537</v>
      </c>
      <c r="C42" s="953" t="s">
        <v>2538</v>
      </c>
      <c r="D42" s="954"/>
      <c r="E42" s="952" t="s">
        <v>2439</v>
      </c>
      <c r="F42" s="954"/>
      <c r="G42" s="952" t="s">
        <v>2439</v>
      </c>
      <c r="H42" s="954"/>
      <c r="I42" s="952" t="s">
        <v>2439</v>
      </c>
      <c r="J42" s="954"/>
      <c r="K42" s="952" t="s">
        <v>2439</v>
      </c>
      <c r="L42" s="954"/>
      <c r="M42" s="952" t="s">
        <v>2439</v>
      </c>
      <c r="N42" s="954"/>
      <c r="O42" s="952" t="s">
        <v>2439</v>
      </c>
      <c r="P42" s="954"/>
      <c r="Q42" s="952" t="s">
        <v>2439</v>
      </c>
      <c r="R42" s="954"/>
      <c r="S42" s="952" t="s">
        <v>2439</v>
      </c>
      <c r="T42" s="954"/>
      <c r="U42" s="952" t="s">
        <v>2439</v>
      </c>
      <c r="V42" s="954"/>
      <c r="W42" s="952" t="s">
        <v>2439</v>
      </c>
      <c r="X42" s="954"/>
      <c r="Y42" s="952" t="s">
        <v>2439</v>
      </c>
      <c r="Z42" s="954"/>
      <c r="AA42" s="952" t="s">
        <v>2439</v>
      </c>
      <c r="AB42" s="952" t="s">
        <v>2439</v>
      </c>
      <c r="AC42" s="952" t="s">
        <v>2439</v>
      </c>
    </row>
    <row r="43">
      <c r="A43" s="948" t="s">
        <v>2539</v>
      </c>
      <c r="B43" s="949" t="s">
        <v>2540</v>
      </c>
      <c r="C43" s="955"/>
      <c r="D43" s="949" t="s">
        <v>2372</v>
      </c>
      <c r="E43" s="949" t="s">
        <v>2707</v>
      </c>
      <c r="F43" s="949" t="s">
        <v>2708</v>
      </c>
      <c r="G43" s="949" t="s">
        <v>2709</v>
      </c>
      <c r="H43" s="949" t="s">
        <v>2383</v>
      </c>
      <c r="I43" s="949" t="s">
        <v>2651</v>
      </c>
      <c r="J43" s="949" t="s">
        <v>2439</v>
      </c>
      <c r="K43" s="949" t="s">
        <v>2439</v>
      </c>
      <c r="L43" s="949" t="s">
        <v>2439</v>
      </c>
      <c r="M43" s="949" t="s">
        <v>2439</v>
      </c>
      <c r="N43" s="949" t="s">
        <v>2439</v>
      </c>
      <c r="O43" s="949" t="s">
        <v>2439</v>
      </c>
      <c r="P43" s="949" t="s">
        <v>2439</v>
      </c>
      <c r="Q43" s="949" t="s">
        <v>2439</v>
      </c>
      <c r="R43" s="949" t="s">
        <v>2439</v>
      </c>
      <c r="S43" s="949" t="s">
        <v>2439</v>
      </c>
      <c r="T43" s="949" t="s">
        <v>2439</v>
      </c>
      <c r="U43" s="949" t="s">
        <v>2439</v>
      </c>
      <c r="V43" s="949" t="s">
        <v>2439</v>
      </c>
      <c r="W43" s="949" t="s">
        <v>2439</v>
      </c>
      <c r="X43" s="949" t="s">
        <v>2439</v>
      </c>
      <c r="Y43" s="949" t="s">
        <v>2439</v>
      </c>
      <c r="Z43" s="949" t="s">
        <v>2439</v>
      </c>
      <c r="AA43" s="949" t="s">
        <v>2439</v>
      </c>
      <c r="AB43" s="949" t="s">
        <v>2710</v>
      </c>
      <c r="AC43" s="949" t="s">
        <v>2711</v>
      </c>
    </row>
    <row r="44">
      <c r="A44" s="951">
        <v>44564.0</v>
      </c>
      <c r="B44" s="952" t="s">
        <v>2543</v>
      </c>
      <c r="C44" s="953" t="s">
        <v>1174</v>
      </c>
      <c r="D44" s="954"/>
      <c r="E44" s="952" t="s">
        <v>2439</v>
      </c>
      <c r="F44" s="954"/>
      <c r="G44" s="952" t="s">
        <v>2439</v>
      </c>
      <c r="H44" s="954"/>
      <c r="I44" s="952" t="s">
        <v>2439</v>
      </c>
      <c r="J44" s="954"/>
      <c r="K44" s="952" t="s">
        <v>2439</v>
      </c>
      <c r="L44" s="954"/>
      <c r="M44" s="952" t="s">
        <v>2439</v>
      </c>
      <c r="N44" s="954"/>
      <c r="O44" s="952" t="s">
        <v>2439</v>
      </c>
      <c r="P44" s="954"/>
      <c r="Q44" s="952" t="s">
        <v>2439</v>
      </c>
      <c r="R44" s="954"/>
      <c r="S44" s="952" t="s">
        <v>2439</v>
      </c>
      <c r="T44" s="954"/>
      <c r="U44" s="952" t="s">
        <v>2439</v>
      </c>
      <c r="V44" s="954"/>
      <c r="W44" s="952" t="s">
        <v>2439</v>
      </c>
      <c r="X44" s="954"/>
      <c r="Y44" s="952" t="s">
        <v>2439</v>
      </c>
      <c r="Z44" s="954"/>
      <c r="AA44" s="952" t="s">
        <v>2439</v>
      </c>
      <c r="AB44" s="952" t="s">
        <v>2439</v>
      </c>
      <c r="AC44" s="952" t="s">
        <v>2439</v>
      </c>
    </row>
    <row r="45">
      <c r="A45" s="951">
        <v>44595.0</v>
      </c>
      <c r="B45" s="952" t="s">
        <v>2544</v>
      </c>
      <c r="C45" s="953" t="s">
        <v>2431</v>
      </c>
      <c r="D45" s="952" t="s">
        <v>2372</v>
      </c>
      <c r="E45" s="952" t="s">
        <v>2707</v>
      </c>
      <c r="F45" s="952" t="s">
        <v>2708</v>
      </c>
      <c r="G45" s="952" t="s">
        <v>2709</v>
      </c>
      <c r="H45" s="952" t="s">
        <v>2383</v>
      </c>
      <c r="I45" s="952" t="s">
        <v>2651</v>
      </c>
      <c r="J45" s="954"/>
      <c r="K45" s="952" t="s">
        <v>2439</v>
      </c>
      <c r="L45" s="954"/>
      <c r="M45" s="952" t="s">
        <v>2439</v>
      </c>
      <c r="N45" s="954"/>
      <c r="O45" s="952" t="s">
        <v>2439</v>
      </c>
      <c r="P45" s="954"/>
      <c r="Q45" s="952" t="s">
        <v>2439</v>
      </c>
      <c r="R45" s="954"/>
      <c r="S45" s="952" t="s">
        <v>2439</v>
      </c>
      <c r="T45" s="954"/>
      <c r="U45" s="952" t="s">
        <v>2439</v>
      </c>
      <c r="V45" s="954"/>
      <c r="W45" s="952" t="s">
        <v>2439</v>
      </c>
      <c r="X45" s="954"/>
      <c r="Y45" s="952" t="s">
        <v>2439</v>
      </c>
      <c r="Z45" s="954"/>
      <c r="AA45" s="952" t="s">
        <v>2439</v>
      </c>
      <c r="AB45" s="952" t="s">
        <v>2710</v>
      </c>
      <c r="AC45" s="952" t="s">
        <v>2711</v>
      </c>
    </row>
    <row r="46">
      <c r="A46" s="951">
        <v>44595.0</v>
      </c>
      <c r="B46" s="952" t="s">
        <v>2545</v>
      </c>
      <c r="C46" s="953" t="s">
        <v>2546</v>
      </c>
      <c r="D46" s="954"/>
      <c r="E46" s="952" t="s">
        <v>2439</v>
      </c>
      <c r="F46" s="954"/>
      <c r="G46" s="952" t="s">
        <v>2439</v>
      </c>
      <c r="H46" s="954"/>
      <c r="I46" s="952" t="s">
        <v>2439</v>
      </c>
      <c r="J46" s="954"/>
      <c r="K46" s="952" t="s">
        <v>2439</v>
      </c>
      <c r="L46" s="954"/>
      <c r="M46" s="952" t="s">
        <v>2439</v>
      </c>
      <c r="N46" s="954"/>
      <c r="O46" s="952" t="s">
        <v>2439</v>
      </c>
      <c r="P46" s="954"/>
      <c r="Q46" s="952" t="s">
        <v>2439</v>
      </c>
      <c r="R46" s="954"/>
      <c r="S46" s="952" t="s">
        <v>2439</v>
      </c>
      <c r="T46" s="954"/>
      <c r="U46" s="952" t="s">
        <v>2439</v>
      </c>
      <c r="V46" s="954"/>
      <c r="W46" s="952" t="s">
        <v>2439</v>
      </c>
      <c r="X46" s="954"/>
      <c r="Y46" s="952" t="s">
        <v>2439</v>
      </c>
      <c r="Z46" s="954"/>
      <c r="AA46" s="952" t="s">
        <v>2439</v>
      </c>
      <c r="AB46" s="952" t="s">
        <v>2439</v>
      </c>
      <c r="AC46" s="952" t="s">
        <v>2439</v>
      </c>
    </row>
    <row r="47">
      <c r="A47" s="948" t="s">
        <v>2547</v>
      </c>
      <c r="B47" s="949" t="s">
        <v>2548</v>
      </c>
      <c r="C47" s="955"/>
      <c r="D47" s="949" t="s">
        <v>2420</v>
      </c>
      <c r="E47" s="949" t="s">
        <v>2687</v>
      </c>
      <c r="F47" s="949" t="s">
        <v>2661</v>
      </c>
      <c r="G47" s="949" t="s">
        <v>2662</v>
      </c>
      <c r="H47" s="949" t="s">
        <v>2712</v>
      </c>
      <c r="I47" s="949" t="s">
        <v>2713</v>
      </c>
      <c r="J47" s="949" t="s">
        <v>2439</v>
      </c>
      <c r="K47" s="949" t="s">
        <v>2439</v>
      </c>
      <c r="L47" s="949" t="s">
        <v>2439</v>
      </c>
      <c r="M47" s="949" t="s">
        <v>2439</v>
      </c>
      <c r="N47" s="949" t="s">
        <v>2439</v>
      </c>
      <c r="O47" s="949" t="s">
        <v>2439</v>
      </c>
      <c r="P47" s="949" t="s">
        <v>2439</v>
      </c>
      <c r="Q47" s="949" t="s">
        <v>2439</v>
      </c>
      <c r="R47" s="949" t="s">
        <v>2439</v>
      </c>
      <c r="S47" s="949" t="s">
        <v>2439</v>
      </c>
      <c r="T47" s="949" t="s">
        <v>2439</v>
      </c>
      <c r="U47" s="949" t="s">
        <v>2439</v>
      </c>
      <c r="V47" s="949" t="s">
        <v>2439</v>
      </c>
      <c r="W47" s="949" t="s">
        <v>2439</v>
      </c>
      <c r="X47" s="949" t="s">
        <v>2439</v>
      </c>
      <c r="Y47" s="949" t="s">
        <v>2439</v>
      </c>
      <c r="Z47" s="949" t="s">
        <v>2439</v>
      </c>
      <c r="AA47" s="949" t="s">
        <v>2439</v>
      </c>
      <c r="AB47" s="949" t="s">
        <v>2714</v>
      </c>
      <c r="AC47" s="949" t="s">
        <v>2715</v>
      </c>
    </row>
    <row r="48">
      <c r="A48" s="951">
        <v>44565.0</v>
      </c>
      <c r="B48" s="952" t="s">
        <v>2551</v>
      </c>
      <c r="C48" s="953" t="s">
        <v>400</v>
      </c>
      <c r="D48" s="952" t="s">
        <v>2420</v>
      </c>
      <c r="E48" s="952" t="s">
        <v>2687</v>
      </c>
      <c r="F48" s="954"/>
      <c r="G48" s="952" t="s">
        <v>2439</v>
      </c>
      <c r="H48" s="954"/>
      <c r="I48" s="952" t="s">
        <v>2439</v>
      </c>
      <c r="J48" s="954"/>
      <c r="K48" s="952" t="s">
        <v>2439</v>
      </c>
      <c r="L48" s="954"/>
      <c r="M48" s="952" t="s">
        <v>2439</v>
      </c>
      <c r="N48" s="954"/>
      <c r="O48" s="952" t="s">
        <v>2439</v>
      </c>
      <c r="P48" s="954"/>
      <c r="Q48" s="952" t="s">
        <v>2439</v>
      </c>
      <c r="R48" s="954"/>
      <c r="S48" s="952" t="s">
        <v>2439</v>
      </c>
      <c r="T48" s="954"/>
      <c r="U48" s="952" t="s">
        <v>2439</v>
      </c>
      <c r="V48" s="954"/>
      <c r="W48" s="952" t="s">
        <v>2439</v>
      </c>
      <c r="X48" s="954"/>
      <c r="Y48" s="952" t="s">
        <v>2439</v>
      </c>
      <c r="Z48" s="954"/>
      <c r="AA48" s="952" t="s">
        <v>2439</v>
      </c>
      <c r="AB48" s="952" t="s">
        <v>2420</v>
      </c>
      <c r="AC48" s="952" t="s">
        <v>2687</v>
      </c>
    </row>
    <row r="49">
      <c r="A49" s="951">
        <v>44596.0</v>
      </c>
      <c r="B49" s="952" t="s">
        <v>2553</v>
      </c>
      <c r="C49" s="953" t="s">
        <v>256</v>
      </c>
      <c r="D49" s="954"/>
      <c r="E49" s="952" t="s">
        <v>2439</v>
      </c>
      <c r="F49" s="952" t="s">
        <v>2661</v>
      </c>
      <c r="G49" s="952" t="s">
        <v>2662</v>
      </c>
      <c r="H49" s="952" t="s">
        <v>2712</v>
      </c>
      <c r="I49" s="952" t="s">
        <v>2713</v>
      </c>
      <c r="J49" s="954"/>
      <c r="K49" s="952" t="s">
        <v>2439</v>
      </c>
      <c r="L49" s="954"/>
      <c r="M49" s="952" t="s">
        <v>2439</v>
      </c>
      <c r="N49" s="954"/>
      <c r="O49" s="952" t="s">
        <v>2439</v>
      </c>
      <c r="P49" s="954"/>
      <c r="Q49" s="952" t="s">
        <v>2439</v>
      </c>
      <c r="R49" s="954"/>
      <c r="S49" s="952" t="s">
        <v>2439</v>
      </c>
      <c r="T49" s="954"/>
      <c r="U49" s="952" t="s">
        <v>2439</v>
      </c>
      <c r="V49" s="954"/>
      <c r="W49" s="952" t="s">
        <v>2439</v>
      </c>
      <c r="X49" s="954"/>
      <c r="Y49" s="952" t="s">
        <v>2439</v>
      </c>
      <c r="Z49" s="954"/>
      <c r="AA49" s="952" t="s">
        <v>2439</v>
      </c>
      <c r="AB49" s="952" t="s">
        <v>2716</v>
      </c>
      <c r="AC49" s="952" t="s">
        <v>2717</v>
      </c>
    </row>
    <row r="50">
      <c r="A50" s="951">
        <v>44624.0</v>
      </c>
      <c r="B50" s="952" t="s">
        <v>2554</v>
      </c>
      <c r="C50" s="953" t="s">
        <v>613</v>
      </c>
      <c r="D50" s="954"/>
      <c r="E50" s="952" t="s">
        <v>2439</v>
      </c>
      <c r="F50" s="954"/>
      <c r="G50" s="952" t="s">
        <v>2439</v>
      </c>
      <c r="H50" s="954"/>
      <c r="I50" s="952" t="s">
        <v>2439</v>
      </c>
      <c r="J50" s="954"/>
      <c r="K50" s="952" t="s">
        <v>2439</v>
      </c>
      <c r="L50" s="954"/>
      <c r="M50" s="952" t="s">
        <v>2439</v>
      </c>
      <c r="N50" s="954"/>
      <c r="O50" s="952" t="s">
        <v>2439</v>
      </c>
      <c r="P50" s="954"/>
      <c r="Q50" s="952" t="s">
        <v>2439</v>
      </c>
      <c r="R50" s="954"/>
      <c r="S50" s="952" t="s">
        <v>2439</v>
      </c>
      <c r="T50" s="954"/>
      <c r="U50" s="952" t="s">
        <v>2439</v>
      </c>
      <c r="V50" s="954"/>
      <c r="W50" s="952" t="s">
        <v>2439</v>
      </c>
      <c r="X50" s="954"/>
      <c r="Y50" s="952" t="s">
        <v>2439</v>
      </c>
      <c r="Z50" s="954"/>
      <c r="AA50" s="952" t="s">
        <v>2439</v>
      </c>
      <c r="AB50" s="952" t="s">
        <v>2439</v>
      </c>
      <c r="AC50" s="952" t="s">
        <v>2439</v>
      </c>
    </row>
    <row r="51">
      <c r="A51" s="951">
        <v>44655.0</v>
      </c>
      <c r="B51" s="952" t="s">
        <v>2555</v>
      </c>
      <c r="C51" s="953" t="s">
        <v>375</v>
      </c>
      <c r="D51" s="954"/>
      <c r="E51" s="952" t="s">
        <v>2439</v>
      </c>
      <c r="F51" s="954"/>
      <c r="G51" s="952" t="s">
        <v>2439</v>
      </c>
      <c r="H51" s="954"/>
      <c r="I51" s="952" t="s">
        <v>2439</v>
      </c>
      <c r="J51" s="954"/>
      <c r="K51" s="952" t="s">
        <v>2439</v>
      </c>
      <c r="L51" s="954"/>
      <c r="M51" s="952" t="s">
        <v>2439</v>
      </c>
      <c r="N51" s="954"/>
      <c r="O51" s="952" t="s">
        <v>2439</v>
      </c>
      <c r="P51" s="954"/>
      <c r="Q51" s="952" t="s">
        <v>2439</v>
      </c>
      <c r="R51" s="954"/>
      <c r="S51" s="952" t="s">
        <v>2439</v>
      </c>
      <c r="T51" s="954"/>
      <c r="U51" s="952" t="s">
        <v>2439</v>
      </c>
      <c r="V51" s="954"/>
      <c r="W51" s="952" t="s">
        <v>2439</v>
      </c>
      <c r="X51" s="954"/>
      <c r="Y51" s="952" t="s">
        <v>2439</v>
      </c>
      <c r="Z51" s="954"/>
      <c r="AA51" s="952" t="s">
        <v>2439</v>
      </c>
      <c r="AB51" s="952" t="s">
        <v>2439</v>
      </c>
      <c r="AC51" s="952" t="s">
        <v>2439</v>
      </c>
    </row>
    <row r="52">
      <c r="A52" s="951">
        <v>44685.0</v>
      </c>
      <c r="B52" s="952" t="s">
        <v>2512</v>
      </c>
      <c r="C52" s="953" t="s">
        <v>1178</v>
      </c>
      <c r="D52" s="954"/>
      <c r="E52" s="952" t="s">
        <v>2439</v>
      </c>
      <c r="F52" s="954"/>
      <c r="G52" s="952" t="s">
        <v>2439</v>
      </c>
      <c r="H52" s="954"/>
      <c r="I52" s="952" t="s">
        <v>2439</v>
      </c>
      <c r="J52" s="954"/>
      <c r="K52" s="952" t="s">
        <v>2439</v>
      </c>
      <c r="L52" s="954"/>
      <c r="M52" s="952" t="s">
        <v>2439</v>
      </c>
      <c r="N52" s="954"/>
      <c r="O52" s="952" t="s">
        <v>2439</v>
      </c>
      <c r="P52" s="954"/>
      <c r="Q52" s="952" t="s">
        <v>2439</v>
      </c>
      <c r="R52" s="954"/>
      <c r="S52" s="952" t="s">
        <v>2439</v>
      </c>
      <c r="T52" s="954"/>
      <c r="U52" s="952" t="s">
        <v>2439</v>
      </c>
      <c r="V52" s="954"/>
      <c r="W52" s="952" t="s">
        <v>2439</v>
      </c>
      <c r="X52" s="954"/>
      <c r="Y52" s="952" t="s">
        <v>2439</v>
      </c>
      <c r="Z52" s="954"/>
      <c r="AA52" s="952" t="s">
        <v>2439</v>
      </c>
      <c r="AB52" s="952" t="s">
        <v>2439</v>
      </c>
      <c r="AC52" s="952" t="s">
        <v>2439</v>
      </c>
    </row>
    <row r="53">
      <c r="A53" s="951">
        <v>44716.0</v>
      </c>
      <c r="B53" s="952" t="s">
        <v>2556</v>
      </c>
      <c r="C53" s="953" t="s">
        <v>2557</v>
      </c>
      <c r="D53" s="954"/>
      <c r="E53" s="952" t="s">
        <v>2439</v>
      </c>
      <c r="F53" s="954"/>
      <c r="G53" s="952" t="s">
        <v>2439</v>
      </c>
      <c r="H53" s="954"/>
      <c r="I53" s="952" t="s">
        <v>2439</v>
      </c>
      <c r="J53" s="954"/>
      <c r="K53" s="952" t="s">
        <v>2439</v>
      </c>
      <c r="L53" s="954"/>
      <c r="M53" s="952" t="s">
        <v>2439</v>
      </c>
      <c r="N53" s="954"/>
      <c r="O53" s="952" t="s">
        <v>2439</v>
      </c>
      <c r="P53" s="954"/>
      <c r="Q53" s="952" t="s">
        <v>2439</v>
      </c>
      <c r="R53" s="954"/>
      <c r="S53" s="952" t="s">
        <v>2439</v>
      </c>
      <c r="T53" s="954"/>
      <c r="U53" s="952" t="s">
        <v>2439</v>
      </c>
      <c r="V53" s="954"/>
      <c r="W53" s="952" t="s">
        <v>2439</v>
      </c>
      <c r="X53" s="954"/>
      <c r="Y53" s="952" t="s">
        <v>2439</v>
      </c>
      <c r="Z53" s="954"/>
      <c r="AA53" s="952" t="s">
        <v>2439</v>
      </c>
      <c r="AB53" s="952" t="s">
        <v>2439</v>
      </c>
      <c r="AC53" s="952" t="s">
        <v>2439</v>
      </c>
    </row>
    <row r="54">
      <c r="A54" s="951">
        <v>44746.0</v>
      </c>
      <c r="B54" s="952" t="s">
        <v>2558</v>
      </c>
      <c r="C54" s="953" t="s">
        <v>1143</v>
      </c>
      <c r="D54" s="954"/>
      <c r="E54" s="952" t="s">
        <v>2439</v>
      </c>
      <c r="F54" s="954"/>
      <c r="G54" s="952" t="s">
        <v>2439</v>
      </c>
      <c r="H54" s="954"/>
      <c r="I54" s="952" t="s">
        <v>2439</v>
      </c>
      <c r="J54" s="954"/>
      <c r="K54" s="952" t="s">
        <v>2439</v>
      </c>
      <c r="L54" s="954"/>
      <c r="M54" s="952" t="s">
        <v>2439</v>
      </c>
      <c r="N54" s="954"/>
      <c r="O54" s="952" t="s">
        <v>2439</v>
      </c>
      <c r="P54" s="954"/>
      <c r="Q54" s="952" t="s">
        <v>2439</v>
      </c>
      <c r="R54" s="954"/>
      <c r="S54" s="952" t="s">
        <v>2439</v>
      </c>
      <c r="T54" s="954"/>
      <c r="U54" s="952" t="s">
        <v>2439</v>
      </c>
      <c r="V54" s="954"/>
      <c r="W54" s="952" t="s">
        <v>2439</v>
      </c>
      <c r="X54" s="954"/>
      <c r="Y54" s="952" t="s">
        <v>2439</v>
      </c>
      <c r="Z54" s="954"/>
      <c r="AA54" s="952" t="s">
        <v>2439</v>
      </c>
      <c r="AB54" s="952" t="s">
        <v>2439</v>
      </c>
      <c r="AC54" s="952" t="s">
        <v>2439</v>
      </c>
    </row>
    <row r="55">
      <c r="A55" s="951">
        <v>44777.0</v>
      </c>
      <c r="B55" s="952" t="s">
        <v>2559</v>
      </c>
      <c r="C55" s="953" t="s">
        <v>2560</v>
      </c>
      <c r="D55" s="954"/>
      <c r="E55" s="952" t="s">
        <v>2439</v>
      </c>
      <c r="F55" s="954"/>
      <c r="G55" s="952" t="s">
        <v>2439</v>
      </c>
      <c r="H55" s="954"/>
      <c r="I55" s="952" t="s">
        <v>2439</v>
      </c>
      <c r="J55" s="954"/>
      <c r="K55" s="952" t="s">
        <v>2439</v>
      </c>
      <c r="L55" s="954"/>
      <c r="M55" s="952" t="s">
        <v>2439</v>
      </c>
      <c r="N55" s="954"/>
      <c r="O55" s="952" t="s">
        <v>2439</v>
      </c>
      <c r="P55" s="954"/>
      <c r="Q55" s="952" t="s">
        <v>2439</v>
      </c>
      <c r="R55" s="954"/>
      <c r="S55" s="952" t="s">
        <v>2439</v>
      </c>
      <c r="T55" s="954"/>
      <c r="U55" s="952" t="s">
        <v>2439</v>
      </c>
      <c r="V55" s="954"/>
      <c r="W55" s="952" t="s">
        <v>2439</v>
      </c>
      <c r="X55" s="954"/>
      <c r="Y55" s="952" t="s">
        <v>2439</v>
      </c>
      <c r="Z55" s="954"/>
      <c r="AA55" s="952" t="s">
        <v>2439</v>
      </c>
      <c r="AB55" s="952" t="s">
        <v>2439</v>
      </c>
      <c r="AC55" s="952" t="s">
        <v>2439</v>
      </c>
    </row>
    <row r="56">
      <c r="A56" s="948" t="s">
        <v>2561</v>
      </c>
      <c r="B56" s="949" t="s">
        <v>2562</v>
      </c>
      <c r="C56" s="955"/>
      <c r="D56" s="949" t="s">
        <v>2563</v>
      </c>
      <c r="E56" s="949" t="s">
        <v>2718</v>
      </c>
      <c r="F56" s="949" t="s">
        <v>2515</v>
      </c>
      <c r="G56" s="949" t="s">
        <v>2692</v>
      </c>
      <c r="H56" s="949" t="s">
        <v>2693</v>
      </c>
      <c r="I56" s="949" t="s">
        <v>2694</v>
      </c>
      <c r="J56" s="949" t="s">
        <v>2439</v>
      </c>
      <c r="K56" s="949" t="s">
        <v>2439</v>
      </c>
      <c r="L56" s="949" t="s">
        <v>2439</v>
      </c>
      <c r="M56" s="949" t="s">
        <v>2439</v>
      </c>
      <c r="N56" s="949" t="s">
        <v>2439</v>
      </c>
      <c r="O56" s="949" t="s">
        <v>2439</v>
      </c>
      <c r="P56" s="949" t="s">
        <v>2439</v>
      </c>
      <c r="Q56" s="949" t="s">
        <v>2439</v>
      </c>
      <c r="R56" s="949" t="s">
        <v>2439</v>
      </c>
      <c r="S56" s="949" t="s">
        <v>2439</v>
      </c>
      <c r="T56" s="949" t="s">
        <v>2439</v>
      </c>
      <c r="U56" s="949" t="s">
        <v>2439</v>
      </c>
      <c r="V56" s="949" t="s">
        <v>2439</v>
      </c>
      <c r="W56" s="949" t="s">
        <v>2439</v>
      </c>
      <c r="X56" s="949" t="s">
        <v>2439</v>
      </c>
      <c r="Y56" s="949" t="s">
        <v>2439</v>
      </c>
      <c r="Z56" s="949" t="s">
        <v>2439</v>
      </c>
      <c r="AA56" s="949" t="s">
        <v>2439</v>
      </c>
      <c r="AB56" s="949" t="s">
        <v>2719</v>
      </c>
      <c r="AC56" s="949" t="s">
        <v>2720</v>
      </c>
    </row>
    <row r="57">
      <c r="A57" s="951">
        <v>44566.0</v>
      </c>
      <c r="B57" s="952" t="s">
        <v>2565</v>
      </c>
      <c r="C57" s="953" t="s">
        <v>308</v>
      </c>
      <c r="D57" s="952" t="s">
        <v>2563</v>
      </c>
      <c r="E57" s="952" t="s">
        <v>2718</v>
      </c>
      <c r="F57" s="952" t="s">
        <v>2515</v>
      </c>
      <c r="G57" s="952" t="s">
        <v>2692</v>
      </c>
      <c r="H57" s="952" t="s">
        <v>2693</v>
      </c>
      <c r="I57" s="952" t="s">
        <v>2694</v>
      </c>
      <c r="J57" s="954"/>
      <c r="K57" s="952" t="s">
        <v>2439</v>
      </c>
      <c r="L57" s="954"/>
      <c r="M57" s="952" t="s">
        <v>2439</v>
      </c>
      <c r="N57" s="954"/>
      <c r="O57" s="952" t="s">
        <v>2439</v>
      </c>
      <c r="P57" s="954"/>
      <c r="Q57" s="952" t="s">
        <v>2439</v>
      </c>
      <c r="R57" s="954"/>
      <c r="S57" s="952" t="s">
        <v>2439</v>
      </c>
      <c r="T57" s="954"/>
      <c r="U57" s="952" t="s">
        <v>2439</v>
      </c>
      <c r="V57" s="954"/>
      <c r="W57" s="952" t="s">
        <v>2439</v>
      </c>
      <c r="X57" s="954"/>
      <c r="Y57" s="952" t="s">
        <v>2439</v>
      </c>
      <c r="Z57" s="954"/>
      <c r="AA57" s="952" t="s">
        <v>2439</v>
      </c>
      <c r="AB57" s="952" t="s">
        <v>2719</v>
      </c>
      <c r="AC57" s="952" t="s">
        <v>2720</v>
      </c>
    </row>
    <row r="58">
      <c r="A58" s="951">
        <v>44597.0</v>
      </c>
      <c r="B58" s="952" t="s">
        <v>2566</v>
      </c>
      <c r="C58" s="953" t="s">
        <v>2567</v>
      </c>
      <c r="D58" s="954"/>
      <c r="E58" s="952" t="s">
        <v>2439</v>
      </c>
      <c r="F58" s="954"/>
      <c r="G58" s="952" t="s">
        <v>2439</v>
      </c>
      <c r="H58" s="954"/>
      <c r="I58" s="952" t="s">
        <v>2439</v>
      </c>
      <c r="J58" s="954"/>
      <c r="K58" s="952" t="s">
        <v>2439</v>
      </c>
      <c r="L58" s="954"/>
      <c r="M58" s="952" t="s">
        <v>2439</v>
      </c>
      <c r="N58" s="954"/>
      <c r="O58" s="952" t="s">
        <v>2439</v>
      </c>
      <c r="P58" s="954"/>
      <c r="Q58" s="952" t="s">
        <v>2439</v>
      </c>
      <c r="R58" s="954"/>
      <c r="S58" s="952" t="s">
        <v>2439</v>
      </c>
      <c r="T58" s="954"/>
      <c r="U58" s="952" t="s">
        <v>2439</v>
      </c>
      <c r="V58" s="954"/>
      <c r="W58" s="952" t="s">
        <v>2439</v>
      </c>
      <c r="X58" s="954"/>
      <c r="Y58" s="952" t="s">
        <v>2439</v>
      </c>
      <c r="Z58" s="954"/>
      <c r="AA58" s="952" t="s">
        <v>2439</v>
      </c>
      <c r="AB58" s="952" t="s">
        <v>2439</v>
      </c>
      <c r="AC58" s="952" t="s">
        <v>2439</v>
      </c>
    </row>
    <row r="59">
      <c r="A59" s="951">
        <v>44625.0</v>
      </c>
      <c r="B59" s="952" t="s">
        <v>2568</v>
      </c>
      <c r="C59" s="953" t="s">
        <v>263</v>
      </c>
      <c r="D59" s="954"/>
      <c r="E59" s="952" t="s">
        <v>2439</v>
      </c>
      <c r="F59" s="954"/>
      <c r="G59" s="952" t="s">
        <v>2439</v>
      </c>
      <c r="H59" s="954"/>
      <c r="I59" s="952" t="s">
        <v>2439</v>
      </c>
      <c r="J59" s="954"/>
      <c r="K59" s="952" t="s">
        <v>2439</v>
      </c>
      <c r="L59" s="954"/>
      <c r="M59" s="952" t="s">
        <v>2439</v>
      </c>
      <c r="N59" s="954"/>
      <c r="O59" s="952" t="s">
        <v>2439</v>
      </c>
      <c r="P59" s="954"/>
      <c r="Q59" s="952" t="s">
        <v>2439</v>
      </c>
      <c r="R59" s="954"/>
      <c r="S59" s="952" t="s">
        <v>2439</v>
      </c>
      <c r="T59" s="954"/>
      <c r="U59" s="952" t="s">
        <v>2439</v>
      </c>
      <c r="V59" s="954"/>
      <c r="W59" s="952" t="s">
        <v>2439</v>
      </c>
      <c r="X59" s="954"/>
      <c r="Y59" s="952" t="s">
        <v>2439</v>
      </c>
      <c r="Z59" s="954"/>
      <c r="AA59" s="952" t="s">
        <v>2439</v>
      </c>
      <c r="AB59" s="952" t="s">
        <v>2439</v>
      </c>
      <c r="AC59" s="952" t="s">
        <v>2439</v>
      </c>
    </row>
    <row r="60">
      <c r="A60" s="951">
        <v>44656.0</v>
      </c>
      <c r="B60" s="952" t="s">
        <v>2570</v>
      </c>
      <c r="C60" s="953" t="s">
        <v>2571</v>
      </c>
      <c r="D60" s="954"/>
      <c r="E60" s="952" t="s">
        <v>2439</v>
      </c>
      <c r="F60" s="954"/>
      <c r="G60" s="952" t="s">
        <v>2439</v>
      </c>
      <c r="H60" s="954"/>
      <c r="I60" s="952" t="s">
        <v>2439</v>
      </c>
      <c r="J60" s="954"/>
      <c r="K60" s="952" t="s">
        <v>2439</v>
      </c>
      <c r="L60" s="954"/>
      <c r="M60" s="952" t="s">
        <v>2439</v>
      </c>
      <c r="N60" s="954"/>
      <c r="O60" s="952" t="s">
        <v>2439</v>
      </c>
      <c r="P60" s="954"/>
      <c r="Q60" s="952" t="s">
        <v>2439</v>
      </c>
      <c r="R60" s="954"/>
      <c r="S60" s="952" t="s">
        <v>2439</v>
      </c>
      <c r="T60" s="954"/>
      <c r="U60" s="952" t="s">
        <v>2439</v>
      </c>
      <c r="V60" s="954"/>
      <c r="W60" s="952" t="s">
        <v>2439</v>
      </c>
      <c r="X60" s="954"/>
      <c r="Y60" s="952" t="s">
        <v>2439</v>
      </c>
      <c r="Z60" s="954"/>
      <c r="AA60" s="952" t="s">
        <v>2439</v>
      </c>
      <c r="AB60" s="952" t="s">
        <v>2439</v>
      </c>
      <c r="AC60" s="952" t="s">
        <v>2439</v>
      </c>
    </row>
    <row r="61">
      <c r="A61" s="951">
        <v>44686.0</v>
      </c>
      <c r="B61" s="952" t="s">
        <v>2572</v>
      </c>
      <c r="C61" s="953" t="s">
        <v>369</v>
      </c>
      <c r="D61" s="954"/>
      <c r="E61" s="952" t="s">
        <v>2439</v>
      </c>
      <c r="F61" s="954"/>
      <c r="G61" s="952" t="s">
        <v>2439</v>
      </c>
      <c r="H61" s="954"/>
      <c r="I61" s="952" t="s">
        <v>2439</v>
      </c>
      <c r="J61" s="954"/>
      <c r="K61" s="952" t="s">
        <v>2439</v>
      </c>
      <c r="L61" s="954"/>
      <c r="M61" s="952" t="s">
        <v>2439</v>
      </c>
      <c r="N61" s="954"/>
      <c r="O61" s="952" t="s">
        <v>2439</v>
      </c>
      <c r="P61" s="954"/>
      <c r="Q61" s="952" t="s">
        <v>2439</v>
      </c>
      <c r="R61" s="954"/>
      <c r="S61" s="952" t="s">
        <v>2439</v>
      </c>
      <c r="T61" s="954"/>
      <c r="U61" s="952" t="s">
        <v>2439</v>
      </c>
      <c r="V61" s="954"/>
      <c r="W61" s="952" t="s">
        <v>2439</v>
      </c>
      <c r="X61" s="954"/>
      <c r="Y61" s="952" t="s">
        <v>2439</v>
      </c>
      <c r="Z61" s="954"/>
      <c r="AA61" s="952" t="s">
        <v>2439</v>
      </c>
      <c r="AB61" s="952" t="s">
        <v>2439</v>
      </c>
      <c r="AC61" s="952" t="s">
        <v>2439</v>
      </c>
    </row>
    <row r="62">
      <c r="A62" s="951">
        <v>44717.0</v>
      </c>
      <c r="B62" s="952" t="s">
        <v>2573</v>
      </c>
      <c r="C62" s="953" t="s">
        <v>2574</v>
      </c>
      <c r="D62" s="954"/>
      <c r="E62" s="952" t="s">
        <v>2439</v>
      </c>
      <c r="F62" s="954"/>
      <c r="G62" s="952" t="s">
        <v>2439</v>
      </c>
      <c r="H62" s="954"/>
      <c r="I62" s="952" t="s">
        <v>2439</v>
      </c>
      <c r="J62" s="954"/>
      <c r="K62" s="952" t="s">
        <v>2439</v>
      </c>
      <c r="L62" s="954"/>
      <c r="M62" s="952" t="s">
        <v>2439</v>
      </c>
      <c r="N62" s="954"/>
      <c r="O62" s="952" t="s">
        <v>2439</v>
      </c>
      <c r="P62" s="954"/>
      <c r="Q62" s="952" t="s">
        <v>2439</v>
      </c>
      <c r="R62" s="954"/>
      <c r="S62" s="952" t="s">
        <v>2439</v>
      </c>
      <c r="T62" s="954"/>
      <c r="U62" s="952" t="s">
        <v>2439</v>
      </c>
      <c r="V62" s="954"/>
      <c r="W62" s="952" t="s">
        <v>2439</v>
      </c>
      <c r="X62" s="954"/>
      <c r="Y62" s="952" t="s">
        <v>2439</v>
      </c>
      <c r="Z62" s="954"/>
      <c r="AA62" s="952" t="s">
        <v>2439</v>
      </c>
      <c r="AB62" s="952" t="s">
        <v>2439</v>
      </c>
      <c r="AC62" s="952" t="s">
        <v>2439</v>
      </c>
    </row>
    <row r="63">
      <c r="A63" s="951">
        <v>44747.0</v>
      </c>
      <c r="B63" s="952" t="s">
        <v>2575</v>
      </c>
      <c r="C63" s="953" t="s">
        <v>2576</v>
      </c>
      <c r="D63" s="954"/>
      <c r="E63" s="952" t="s">
        <v>2439</v>
      </c>
      <c r="F63" s="954"/>
      <c r="G63" s="952" t="s">
        <v>2439</v>
      </c>
      <c r="H63" s="954"/>
      <c r="I63" s="952" t="s">
        <v>2439</v>
      </c>
      <c r="J63" s="954"/>
      <c r="K63" s="952" t="s">
        <v>2439</v>
      </c>
      <c r="L63" s="954"/>
      <c r="M63" s="952" t="s">
        <v>2439</v>
      </c>
      <c r="N63" s="954"/>
      <c r="O63" s="952" t="s">
        <v>2439</v>
      </c>
      <c r="P63" s="954"/>
      <c r="Q63" s="952" t="s">
        <v>2439</v>
      </c>
      <c r="R63" s="954"/>
      <c r="S63" s="952" t="s">
        <v>2439</v>
      </c>
      <c r="T63" s="954"/>
      <c r="U63" s="952" t="s">
        <v>2439</v>
      </c>
      <c r="V63" s="954"/>
      <c r="W63" s="952" t="s">
        <v>2439</v>
      </c>
      <c r="X63" s="954"/>
      <c r="Y63" s="952" t="s">
        <v>2439</v>
      </c>
      <c r="Z63" s="954"/>
      <c r="AA63" s="952" t="s">
        <v>2439</v>
      </c>
      <c r="AB63" s="952" t="s">
        <v>2439</v>
      </c>
      <c r="AC63" s="952" t="s">
        <v>2439</v>
      </c>
    </row>
    <row r="64">
      <c r="A64" s="948" t="s">
        <v>2577</v>
      </c>
      <c r="B64" s="949" t="s">
        <v>2578</v>
      </c>
      <c r="C64" s="955"/>
      <c r="D64" s="949" t="s">
        <v>2515</v>
      </c>
      <c r="E64" s="949" t="s">
        <v>2692</v>
      </c>
      <c r="F64" s="949" t="s">
        <v>2308</v>
      </c>
      <c r="G64" s="949" t="s">
        <v>2721</v>
      </c>
      <c r="H64" s="949" t="s">
        <v>2661</v>
      </c>
      <c r="I64" s="949" t="s">
        <v>2662</v>
      </c>
      <c r="J64" s="949" t="s">
        <v>2439</v>
      </c>
      <c r="K64" s="949" t="s">
        <v>2439</v>
      </c>
      <c r="L64" s="949" t="s">
        <v>2439</v>
      </c>
      <c r="M64" s="949" t="s">
        <v>2439</v>
      </c>
      <c r="N64" s="949" t="s">
        <v>2439</v>
      </c>
      <c r="O64" s="949" t="s">
        <v>2439</v>
      </c>
      <c r="P64" s="949" t="s">
        <v>2439</v>
      </c>
      <c r="Q64" s="949" t="s">
        <v>2439</v>
      </c>
      <c r="R64" s="949" t="s">
        <v>2439</v>
      </c>
      <c r="S64" s="949" t="s">
        <v>2439</v>
      </c>
      <c r="T64" s="949" t="s">
        <v>2439</v>
      </c>
      <c r="U64" s="949" t="s">
        <v>2439</v>
      </c>
      <c r="V64" s="949" t="s">
        <v>2439</v>
      </c>
      <c r="W64" s="949" t="s">
        <v>2439</v>
      </c>
      <c r="X64" s="949" t="s">
        <v>2439</v>
      </c>
      <c r="Y64" s="949" t="s">
        <v>2439</v>
      </c>
      <c r="Z64" s="949" t="s">
        <v>2439</v>
      </c>
      <c r="AA64" s="949" t="s">
        <v>2439</v>
      </c>
      <c r="AB64" s="949" t="s">
        <v>2722</v>
      </c>
      <c r="AC64" s="949" t="s">
        <v>2723</v>
      </c>
    </row>
    <row r="65">
      <c r="A65" s="951">
        <v>44567.0</v>
      </c>
      <c r="B65" s="952" t="s">
        <v>2581</v>
      </c>
      <c r="C65" s="953" t="s">
        <v>349</v>
      </c>
      <c r="D65" s="952" t="s">
        <v>2515</v>
      </c>
      <c r="E65" s="952" t="s">
        <v>2692</v>
      </c>
      <c r="F65" s="952" t="s">
        <v>2308</v>
      </c>
      <c r="G65" s="952" t="s">
        <v>2721</v>
      </c>
      <c r="H65" s="952" t="s">
        <v>2661</v>
      </c>
      <c r="I65" s="952" t="s">
        <v>2662</v>
      </c>
      <c r="J65" s="954"/>
      <c r="K65" s="952" t="s">
        <v>2439</v>
      </c>
      <c r="L65" s="954"/>
      <c r="M65" s="952" t="s">
        <v>2439</v>
      </c>
      <c r="N65" s="954"/>
      <c r="O65" s="952" t="s">
        <v>2439</v>
      </c>
      <c r="P65" s="954"/>
      <c r="Q65" s="952" t="s">
        <v>2439</v>
      </c>
      <c r="R65" s="954"/>
      <c r="S65" s="952" t="s">
        <v>2439</v>
      </c>
      <c r="T65" s="954"/>
      <c r="U65" s="952" t="s">
        <v>2439</v>
      </c>
      <c r="V65" s="954"/>
      <c r="W65" s="952" t="s">
        <v>2439</v>
      </c>
      <c r="X65" s="954"/>
      <c r="Y65" s="952" t="s">
        <v>2439</v>
      </c>
      <c r="Z65" s="954"/>
      <c r="AA65" s="952" t="s">
        <v>2439</v>
      </c>
      <c r="AB65" s="952" t="s">
        <v>2722</v>
      </c>
      <c r="AC65" s="952" t="s">
        <v>2723</v>
      </c>
    </row>
    <row r="66">
      <c r="A66" s="951">
        <v>44598.0</v>
      </c>
      <c r="B66" s="952" t="s">
        <v>2582</v>
      </c>
      <c r="C66" s="953" t="s">
        <v>343</v>
      </c>
      <c r="D66" s="954"/>
      <c r="E66" s="952" t="s">
        <v>2439</v>
      </c>
      <c r="F66" s="954"/>
      <c r="G66" s="952" t="s">
        <v>2439</v>
      </c>
      <c r="H66" s="954"/>
      <c r="I66" s="952" t="s">
        <v>2439</v>
      </c>
      <c r="J66" s="954"/>
      <c r="K66" s="952" t="s">
        <v>2439</v>
      </c>
      <c r="L66" s="954"/>
      <c r="M66" s="952" t="s">
        <v>2439</v>
      </c>
      <c r="N66" s="954"/>
      <c r="O66" s="952" t="s">
        <v>2439</v>
      </c>
      <c r="P66" s="954"/>
      <c r="Q66" s="952" t="s">
        <v>2439</v>
      </c>
      <c r="R66" s="954"/>
      <c r="S66" s="952" t="s">
        <v>2439</v>
      </c>
      <c r="T66" s="954"/>
      <c r="U66" s="952" t="s">
        <v>2439</v>
      </c>
      <c r="V66" s="954"/>
      <c r="W66" s="952" t="s">
        <v>2439</v>
      </c>
      <c r="X66" s="954"/>
      <c r="Y66" s="952" t="s">
        <v>2439</v>
      </c>
      <c r="Z66" s="954"/>
      <c r="AA66" s="952" t="s">
        <v>2439</v>
      </c>
      <c r="AB66" s="952" t="s">
        <v>2439</v>
      </c>
      <c r="AC66" s="952" t="s">
        <v>2439</v>
      </c>
    </row>
    <row r="67">
      <c r="A67" s="951">
        <v>44626.0</v>
      </c>
      <c r="B67" s="952" t="s">
        <v>2583</v>
      </c>
      <c r="C67" s="953" t="s">
        <v>2584</v>
      </c>
      <c r="D67" s="954"/>
      <c r="E67" s="952" t="s">
        <v>2439</v>
      </c>
      <c r="F67" s="954"/>
      <c r="G67" s="952" t="s">
        <v>2439</v>
      </c>
      <c r="H67" s="954"/>
      <c r="I67" s="952" t="s">
        <v>2439</v>
      </c>
      <c r="J67" s="954"/>
      <c r="K67" s="952" t="s">
        <v>2439</v>
      </c>
      <c r="L67" s="954"/>
      <c r="M67" s="952" t="s">
        <v>2439</v>
      </c>
      <c r="N67" s="954"/>
      <c r="O67" s="952" t="s">
        <v>2439</v>
      </c>
      <c r="P67" s="954"/>
      <c r="Q67" s="952" t="s">
        <v>2439</v>
      </c>
      <c r="R67" s="954"/>
      <c r="S67" s="952" t="s">
        <v>2439</v>
      </c>
      <c r="T67" s="954"/>
      <c r="U67" s="952" t="s">
        <v>2439</v>
      </c>
      <c r="V67" s="954"/>
      <c r="W67" s="952" t="s">
        <v>2439</v>
      </c>
      <c r="X67" s="954"/>
      <c r="Y67" s="952" t="s">
        <v>2439</v>
      </c>
      <c r="Z67" s="954"/>
      <c r="AA67" s="952" t="s">
        <v>2439</v>
      </c>
      <c r="AB67" s="952" t="s">
        <v>2439</v>
      </c>
      <c r="AC67" s="952" t="s">
        <v>2439</v>
      </c>
    </row>
    <row r="68">
      <c r="A68" s="951">
        <v>44657.0</v>
      </c>
      <c r="B68" s="952" t="s">
        <v>2585</v>
      </c>
      <c r="C68" s="953" t="s">
        <v>2586</v>
      </c>
      <c r="D68" s="954"/>
      <c r="E68" s="952" t="s">
        <v>2439</v>
      </c>
      <c r="F68" s="954"/>
      <c r="G68" s="952" t="s">
        <v>2439</v>
      </c>
      <c r="H68" s="954"/>
      <c r="I68" s="952" t="s">
        <v>2439</v>
      </c>
      <c r="J68" s="954"/>
      <c r="K68" s="952" t="s">
        <v>2439</v>
      </c>
      <c r="L68" s="954"/>
      <c r="M68" s="952" t="s">
        <v>2439</v>
      </c>
      <c r="N68" s="954"/>
      <c r="O68" s="952" t="s">
        <v>2439</v>
      </c>
      <c r="P68" s="954"/>
      <c r="Q68" s="952" t="s">
        <v>2439</v>
      </c>
      <c r="R68" s="954"/>
      <c r="S68" s="952" t="s">
        <v>2439</v>
      </c>
      <c r="T68" s="954"/>
      <c r="U68" s="952" t="s">
        <v>2439</v>
      </c>
      <c r="V68" s="954"/>
      <c r="W68" s="952" t="s">
        <v>2439</v>
      </c>
      <c r="X68" s="954"/>
      <c r="Y68" s="952" t="s">
        <v>2439</v>
      </c>
      <c r="Z68" s="954"/>
      <c r="AA68" s="952" t="s">
        <v>2439</v>
      </c>
      <c r="AB68" s="952" t="s">
        <v>2439</v>
      </c>
      <c r="AC68" s="952" t="s">
        <v>2439</v>
      </c>
    </row>
    <row r="69">
      <c r="A69" s="951">
        <v>44687.0</v>
      </c>
      <c r="B69" s="952" t="s">
        <v>2587</v>
      </c>
      <c r="C69" s="953" t="s">
        <v>2588</v>
      </c>
      <c r="D69" s="954"/>
      <c r="E69" s="952" t="s">
        <v>2439</v>
      </c>
      <c r="F69" s="954"/>
      <c r="G69" s="952" t="s">
        <v>2439</v>
      </c>
      <c r="H69" s="954"/>
      <c r="I69" s="952" t="s">
        <v>2439</v>
      </c>
      <c r="J69" s="954"/>
      <c r="K69" s="952" t="s">
        <v>2439</v>
      </c>
      <c r="L69" s="954"/>
      <c r="M69" s="952" t="s">
        <v>2439</v>
      </c>
      <c r="N69" s="954"/>
      <c r="O69" s="952" t="s">
        <v>2439</v>
      </c>
      <c r="P69" s="954"/>
      <c r="Q69" s="952" t="s">
        <v>2439</v>
      </c>
      <c r="R69" s="954"/>
      <c r="S69" s="952" t="s">
        <v>2439</v>
      </c>
      <c r="T69" s="954"/>
      <c r="U69" s="952" t="s">
        <v>2439</v>
      </c>
      <c r="V69" s="954"/>
      <c r="W69" s="952" t="s">
        <v>2439</v>
      </c>
      <c r="X69" s="954"/>
      <c r="Y69" s="952" t="s">
        <v>2439</v>
      </c>
      <c r="Z69" s="954"/>
      <c r="AA69" s="952" t="s">
        <v>2439</v>
      </c>
      <c r="AB69" s="952" t="s">
        <v>2439</v>
      </c>
      <c r="AC69" s="952" t="s">
        <v>2439</v>
      </c>
    </row>
    <row r="70">
      <c r="A70" s="951">
        <v>44718.0</v>
      </c>
      <c r="B70" s="952" t="s">
        <v>2589</v>
      </c>
      <c r="C70" s="953" t="s">
        <v>2590</v>
      </c>
      <c r="D70" s="954"/>
      <c r="E70" s="952" t="s">
        <v>2439</v>
      </c>
      <c r="F70" s="954"/>
      <c r="G70" s="952" t="s">
        <v>2439</v>
      </c>
      <c r="H70" s="954"/>
      <c r="I70" s="952" t="s">
        <v>2439</v>
      </c>
      <c r="J70" s="954"/>
      <c r="K70" s="952" t="s">
        <v>2439</v>
      </c>
      <c r="L70" s="954"/>
      <c r="M70" s="952" t="s">
        <v>2439</v>
      </c>
      <c r="N70" s="954"/>
      <c r="O70" s="952" t="s">
        <v>2439</v>
      </c>
      <c r="P70" s="954"/>
      <c r="Q70" s="952" t="s">
        <v>2439</v>
      </c>
      <c r="R70" s="954"/>
      <c r="S70" s="952" t="s">
        <v>2439</v>
      </c>
      <c r="T70" s="954"/>
      <c r="U70" s="952" t="s">
        <v>2439</v>
      </c>
      <c r="V70" s="954"/>
      <c r="W70" s="952" t="s">
        <v>2439</v>
      </c>
      <c r="X70" s="954"/>
      <c r="Y70" s="952" t="s">
        <v>2439</v>
      </c>
      <c r="Z70" s="954"/>
      <c r="AA70" s="952" t="s">
        <v>2439</v>
      </c>
      <c r="AB70" s="952" t="s">
        <v>2439</v>
      </c>
      <c r="AC70" s="952" t="s">
        <v>2439</v>
      </c>
    </row>
    <row r="71">
      <c r="A71" s="948" t="s">
        <v>2591</v>
      </c>
      <c r="B71" s="949" t="s">
        <v>2592</v>
      </c>
      <c r="C71" s="955"/>
      <c r="D71" s="949" t="s">
        <v>2304</v>
      </c>
      <c r="E71" s="949" t="s">
        <v>2704</v>
      </c>
      <c r="F71" s="949" t="s">
        <v>2439</v>
      </c>
      <c r="G71" s="949" t="s">
        <v>2439</v>
      </c>
      <c r="H71" s="949" t="s">
        <v>2439</v>
      </c>
      <c r="I71" s="949" t="s">
        <v>2439</v>
      </c>
      <c r="J71" s="949" t="s">
        <v>2439</v>
      </c>
      <c r="K71" s="949" t="s">
        <v>2439</v>
      </c>
      <c r="L71" s="949" t="s">
        <v>2439</v>
      </c>
      <c r="M71" s="949" t="s">
        <v>2439</v>
      </c>
      <c r="N71" s="949" t="s">
        <v>2439</v>
      </c>
      <c r="O71" s="949" t="s">
        <v>2439</v>
      </c>
      <c r="P71" s="949" t="s">
        <v>2439</v>
      </c>
      <c r="Q71" s="949" t="s">
        <v>2439</v>
      </c>
      <c r="R71" s="949" t="s">
        <v>2439</v>
      </c>
      <c r="S71" s="949" t="s">
        <v>2439</v>
      </c>
      <c r="T71" s="949" t="s">
        <v>2439</v>
      </c>
      <c r="U71" s="949" t="s">
        <v>2439</v>
      </c>
      <c r="V71" s="949" t="s">
        <v>2439</v>
      </c>
      <c r="W71" s="949" t="s">
        <v>2439</v>
      </c>
      <c r="X71" s="949" t="s">
        <v>2439</v>
      </c>
      <c r="Y71" s="949" t="s">
        <v>2439</v>
      </c>
      <c r="Z71" s="949" t="s">
        <v>2439</v>
      </c>
      <c r="AA71" s="949" t="s">
        <v>2439</v>
      </c>
      <c r="AB71" s="949" t="s">
        <v>2304</v>
      </c>
      <c r="AC71" s="949" t="s">
        <v>2704</v>
      </c>
    </row>
    <row r="72">
      <c r="A72" s="951">
        <v>44568.0</v>
      </c>
      <c r="B72" s="952" t="s">
        <v>2594</v>
      </c>
      <c r="C72" s="953" t="s">
        <v>2419</v>
      </c>
      <c r="D72" s="952" t="s">
        <v>2579</v>
      </c>
      <c r="E72" s="952" t="s">
        <v>2724</v>
      </c>
      <c r="F72" s="952" t="s">
        <v>2439</v>
      </c>
      <c r="G72" s="952" t="s">
        <v>2439</v>
      </c>
      <c r="H72" s="952" t="s">
        <v>2439</v>
      </c>
      <c r="I72" s="952" t="s">
        <v>2439</v>
      </c>
      <c r="J72" s="954"/>
      <c r="K72" s="952" t="s">
        <v>2439</v>
      </c>
      <c r="L72" s="954"/>
      <c r="M72" s="952" t="s">
        <v>2439</v>
      </c>
      <c r="N72" s="954"/>
      <c r="O72" s="952" t="s">
        <v>2439</v>
      </c>
      <c r="P72" s="954"/>
      <c r="Q72" s="952" t="s">
        <v>2439</v>
      </c>
      <c r="R72" s="954"/>
      <c r="S72" s="952" t="s">
        <v>2439</v>
      </c>
      <c r="T72" s="954"/>
      <c r="U72" s="952" t="s">
        <v>2439</v>
      </c>
      <c r="V72" s="954"/>
      <c r="W72" s="952" t="s">
        <v>2439</v>
      </c>
      <c r="X72" s="954"/>
      <c r="Y72" s="952" t="s">
        <v>2439</v>
      </c>
      <c r="Z72" s="954"/>
      <c r="AA72" s="952" t="s">
        <v>2439</v>
      </c>
      <c r="AB72" s="952" t="s">
        <v>2579</v>
      </c>
      <c r="AC72" s="952" t="s">
        <v>2724</v>
      </c>
    </row>
    <row r="73">
      <c r="A73" s="951">
        <v>44599.0</v>
      </c>
      <c r="B73" s="952" t="s">
        <v>2595</v>
      </c>
      <c r="C73" s="953" t="s">
        <v>2596</v>
      </c>
      <c r="D73" s="954"/>
      <c r="E73" s="952" t="s">
        <v>2439</v>
      </c>
      <c r="F73" s="954"/>
      <c r="G73" s="952" t="s">
        <v>2439</v>
      </c>
      <c r="H73" s="954"/>
      <c r="I73" s="952" t="s">
        <v>2439</v>
      </c>
      <c r="J73" s="954"/>
      <c r="K73" s="952" t="s">
        <v>2439</v>
      </c>
      <c r="L73" s="954"/>
      <c r="M73" s="952" t="s">
        <v>2439</v>
      </c>
      <c r="N73" s="954"/>
      <c r="O73" s="952" t="s">
        <v>2439</v>
      </c>
      <c r="P73" s="954"/>
      <c r="Q73" s="952" t="s">
        <v>2439</v>
      </c>
      <c r="R73" s="954"/>
      <c r="S73" s="952" t="s">
        <v>2439</v>
      </c>
      <c r="T73" s="954"/>
      <c r="U73" s="952" t="s">
        <v>2439</v>
      </c>
      <c r="V73" s="954"/>
      <c r="W73" s="952" t="s">
        <v>2439</v>
      </c>
      <c r="X73" s="954"/>
      <c r="Y73" s="952" t="s">
        <v>2439</v>
      </c>
      <c r="Z73" s="954"/>
      <c r="AA73" s="952" t="s">
        <v>2439</v>
      </c>
      <c r="AB73" s="952" t="s">
        <v>2439</v>
      </c>
      <c r="AC73" s="952" t="s">
        <v>2439</v>
      </c>
    </row>
    <row r="74">
      <c r="A74" s="956">
        <v>0.0</v>
      </c>
      <c r="B74" s="952" t="s">
        <v>2725</v>
      </c>
      <c r="C74" s="953" t="s">
        <v>2400</v>
      </c>
      <c r="D74" s="954"/>
      <c r="E74" s="952" t="s">
        <v>2439</v>
      </c>
      <c r="F74" s="954"/>
      <c r="G74" s="952" t="s">
        <v>2439</v>
      </c>
      <c r="H74" s="954"/>
      <c r="I74" s="952" t="s">
        <v>2439</v>
      </c>
      <c r="J74" s="954"/>
      <c r="K74" s="952" t="s">
        <v>2439</v>
      </c>
      <c r="L74" s="954"/>
      <c r="M74" s="952" t="s">
        <v>2439</v>
      </c>
      <c r="N74" s="954"/>
      <c r="O74" s="952" t="s">
        <v>2439</v>
      </c>
      <c r="P74" s="954"/>
      <c r="Q74" s="952" t="s">
        <v>2439</v>
      </c>
      <c r="R74" s="954"/>
      <c r="S74" s="952" t="s">
        <v>2439</v>
      </c>
      <c r="T74" s="954"/>
      <c r="U74" s="952" t="s">
        <v>2439</v>
      </c>
      <c r="V74" s="954"/>
      <c r="W74" s="952" t="s">
        <v>2439</v>
      </c>
      <c r="X74" s="954"/>
      <c r="Y74" s="952" t="s">
        <v>2439</v>
      </c>
      <c r="Z74" s="954"/>
      <c r="AA74" s="952" t="s">
        <v>2439</v>
      </c>
      <c r="AB74" s="952" t="s">
        <v>2439</v>
      </c>
      <c r="AC74" s="952" t="s">
        <v>2439</v>
      </c>
    </row>
    <row r="75">
      <c r="A75" s="951">
        <v>44627.0</v>
      </c>
      <c r="B75" s="952" t="s">
        <v>2597</v>
      </c>
      <c r="C75" s="953" t="s">
        <v>2598</v>
      </c>
      <c r="D75" s="952" t="s">
        <v>2515</v>
      </c>
      <c r="E75" s="952" t="s">
        <v>2692</v>
      </c>
      <c r="F75" s="954"/>
      <c r="G75" s="952" t="s">
        <v>2439</v>
      </c>
      <c r="H75" s="954"/>
      <c r="I75" s="952" t="s">
        <v>2439</v>
      </c>
      <c r="J75" s="954"/>
      <c r="K75" s="952" t="s">
        <v>2439</v>
      </c>
      <c r="L75" s="954"/>
      <c r="M75" s="952" t="s">
        <v>2439</v>
      </c>
      <c r="N75" s="954"/>
      <c r="O75" s="952" t="s">
        <v>2439</v>
      </c>
      <c r="P75" s="954"/>
      <c r="Q75" s="952" t="s">
        <v>2439</v>
      </c>
      <c r="R75" s="954"/>
      <c r="S75" s="952" t="s">
        <v>2439</v>
      </c>
      <c r="T75" s="954"/>
      <c r="U75" s="952" t="s">
        <v>2439</v>
      </c>
      <c r="V75" s="954"/>
      <c r="W75" s="952" t="s">
        <v>2439</v>
      </c>
      <c r="X75" s="954"/>
      <c r="Y75" s="952" t="s">
        <v>2439</v>
      </c>
      <c r="Z75" s="954"/>
      <c r="AA75" s="952" t="s">
        <v>2439</v>
      </c>
      <c r="AB75" s="952" t="s">
        <v>2515</v>
      </c>
      <c r="AC75" s="952" t="s">
        <v>2692</v>
      </c>
    </row>
    <row r="76">
      <c r="A76" s="951">
        <v>44658.0</v>
      </c>
      <c r="B76" s="952" t="s">
        <v>2599</v>
      </c>
      <c r="C76" s="953" t="s">
        <v>2600</v>
      </c>
      <c r="D76" s="954"/>
      <c r="E76" s="952" t="s">
        <v>2439</v>
      </c>
      <c r="F76" s="954"/>
      <c r="G76" s="952" t="s">
        <v>2439</v>
      </c>
      <c r="H76" s="954"/>
      <c r="I76" s="952" t="s">
        <v>2439</v>
      </c>
      <c r="J76" s="954"/>
      <c r="K76" s="952" t="s">
        <v>2439</v>
      </c>
      <c r="L76" s="954"/>
      <c r="M76" s="952" t="s">
        <v>2439</v>
      </c>
      <c r="N76" s="954"/>
      <c r="O76" s="952" t="s">
        <v>2439</v>
      </c>
      <c r="P76" s="954"/>
      <c r="Q76" s="952" t="s">
        <v>2439</v>
      </c>
      <c r="R76" s="954"/>
      <c r="S76" s="952" t="s">
        <v>2439</v>
      </c>
      <c r="T76" s="954"/>
      <c r="U76" s="952" t="s">
        <v>2439</v>
      </c>
      <c r="V76" s="954"/>
      <c r="W76" s="952" t="s">
        <v>2439</v>
      </c>
      <c r="X76" s="954"/>
      <c r="Y76" s="952" t="s">
        <v>2439</v>
      </c>
      <c r="Z76" s="954"/>
      <c r="AA76" s="952" t="s">
        <v>2439</v>
      </c>
      <c r="AB76" s="952" t="s">
        <v>2439</v>
      </c>
      <c r="AC76" s="952" t="s">
        <v>2439</v>
      </c>
    </row>
    <row r="77">
      <c r="A77" s="951">
        <v>44688.0</v>
      </c>
      <c r="B77" s="952" t="s">
        <v>2601</v>
      </c>
      <c r="C77" s="953" t="s">
        <v>2602</v>
      </c>
      <c r="D77" s="954"/>
      <c r="E77" s="952" t="s">
        <v>2439</v>
      </c>
      <c r="F77" s="954"/>
      <c r="G77" s="952" t="s">
        <v>2439</v>
      </c>
      <c r="H77" s="954"/>
      <c r="I77" s="952" t="s">
        <v>2439</v>
      </c>
      <c r="J77" s="954"/>
      <c r="K77" s="952" t="s">
        <v>2439</v>
      </c>
      <c r="L77" s="954"/>
      <c r="M77" s="952" t="s">
        <v>2439</v>
      </c>
      <c r="N77" s="954"/>
      <c r="O77" s="952" t="s">
        <v>2439</v>
      </c>
      <c r="P77" s="954"/>
      <c r="Q77" s="952" t="s">
        <v>2439</v>
      </c>
      <c r="R77" s="954"/>
      <c r="S77" s="952" t="s">
        <v>2439</v>
      </c>
      <c r="T77" s="954"/>
      <c r="U77" s="952" t="s">
        <v>2439</v>
      </c>
      <c r="V77" s="954"/>
      <c r="W77" s="952" t="s">
        <v>2439</v>
      </c>
      <c r="X77" s="954"/>
      <c r="Y77" s="952" t="s">
        <v>2439</v>
      </c>
      <c r="Z77" s="954"/>
      <c r="AA77" s="952" t="s">
        <v>2439</v>
      </c>
      <c r="AB77" s="952" t="s">
        <v>2439</v>
      </c>
      <c r="AC77" s="952" t="s">
        <v>2439</v>
      </c>
    </row>
    <row r="78">
      <c r="A78" s="951">
        <v>44719.0</v>
      </c>
      <c r="B78" s="952" t="s">
        <v>2603</v>
      </c>
      <c r="C78" s="953" t="s">
        <v>2604</v>
      </c>
      <c r="D78" s="954"/>
      <c r="E78" s="952" t="s">
        <v>2439</v>
      </c>
      <c r="F78" s="954"/>
      <c r="G78" s="952" t="s">
        <v>2439</v>
      </c>
      <c r="H78" s="954"/>
      <c r="I78" s="952" t="s">
        <v>2439</v>
      </c>
      <c r="J78" s="954"/>
      <c r="K78" s="952" t="s">
        <v>2439</v>
      </c>
      <c r="L78" s="954"/>
      <c r="M78" s="952" t="s">
        <v>2439</v>
      </c>
      <c r="N78" s="954"/>
      <c r="O78" s="952" t="s">
        <v>2439</v>
      </c>
      <c r="P78" s="954"/>
      <c r="Q78" s="952" t="s">
        <v>2439</v>
      </c>
      <c r="R78" s="954"/>
      <c r="S78" s="952" t="s">
        <v>2439</v>
      </c>
      <c r="T78" s="954"/>
      <c r="U78" s="952" t="s">
        <v>2439</v>
      </c>
      <c r="V78" s="954"/>
      <c r="W78" s="952" t="s">
        <v>2439</v>
      </c>
      <c r="X78" s="954"/>
      <c r="Y78" s="952" t="s">
        <v>2439</v>
      </c>
      <c r="Z78" s="954"/>
      <c r="AA78" s="952" t="s">
        <v>2439</v>
      </c>
      <c r="AB78" s="952" t="s">
        <v>2439</v>
      </c>
      <c r="AC78" s="952" t="s">
        <v>2439</v>
      </c>
    </row>
    <row r="79">
      <c r="A79" s="957" t="s">
        <v>1770</v>
      </c>
      <c r="B79" s="958" t="s">
        <v>2605</v>
      </c>
      <c r="C79" s="959"/>
      <c r="D79" s="958">
        <v>21.0</v>
      </c>
      <c r="E79" s="958">
        <v>23.0</v>
      </c>
      <c r="F79" s="958" t="s">
        <v>2372</v>
      </c>
      <c r="G79" s="958" t="s">
        <v>2707</v>
      </c>
      <c r="H79" s="958" t="s">
        <v>2726</v>
      </c>
      <c r="I79" s="958" t="s">
        <v>2727</v>
      </c>
      <c r="J79" s="958" t="s">
        <v>2439</v>
      </c>
      <c r="K79" s="958" t="s">
        <v>2439</v>
      </c>
      <c r="L79" s="958" t="s">
        <v>2439</v>
      </c>
      <c r="M79" s="958" t="s">
        <v>2439</v>
      </c>
      <c r="N79" s="958" t="s">
        <v>2439</v>
      </c>
      <c r="O79" s="958" t="s">
        <v>2439</v>
      </c>
      <c r="P79" s="958" t="s">
        <v>2439</v>
      </c>
      <c r="Q79" s="958" t="s">
        <v>2439</v>
      </c>
      <c r="R79" s="958" t="s">
        <v>2439</v>
      </c>
      <c r="S79" s="958" t="s">
        <v>2439</v>
      </c>
      <c r="T79" s="958" t="s">
        <v>2439</v>
      </c>
      <c r="U79" s="958" t="s">
        <v>2439</v>
      </c>
      <c r="V79" s="958" t="s">
        <v>2439</v>
      </c>
      <c r="W79" s="958" t="s">
        <v>2439</v>
      </c>
      <c r="X79" s="958" t="s">
        <v>2439</v>
      </c>
      <c r="Y79" s="958" t="s">
        <v>2439</v>
      </c>
      <c r="Z79" s="958" t="s">
        <v>2439</v>
      </c>
      <c r="AA79" s="958" t="s">
        <v>2439</v>
      </c>
      <c r="AB79" s="958" t="s">
        <v>2728</v>
      </c>
      <c r="AC79" s="958" t="s">
        <v>2729</v>
      </c>
    </row>
    <row r="80">
      <c r="A80" s="883">
        <v>1.0</v>
      </c>
      <c r="B80" s="960" t="s">
        <v>2608</v>
      </c>
      <c r="C80" s="961" t="s">
        <v>414</v>
      </c>
      <c r="D80" s="960">
        <v>1.0</v>
      </c>
      <c r="E80" s="960">
        <v>1.0</v>
      </c>
      <c r="F80" s="960" t="s">
        <v>2439</v>
      </c>
      <c r="G80" s="960" t="s">
        <v>2439</v>
      </c>
      <c r="H80" s="960" t="s">
        <v>2371</v>
      </c>
      <c r="I80" s="960" t="s">
        <v>2655</v>
      </c>
      <c r="J80" s="962"/>
      <c r="K80" s="960" t="s">
        <v>2439</v>
      </c>
      <c r="L80" s="962"/>
      <c r="M80" s="960" t="s">
        <v>2439</v>
      </c>
      <c r="N80" s="962"/>
      <c r="O80" s="960" t="s">
        <v>2439</v>
      </c>
      <c r="P80" s="962"/>
      <c r="Q80" s="960" t="s">
        <v>2439</v>
      </c>
      <c r="R80" s="962"/>
      <c r="S80" s="960" t="s">
        <v>2439</v>
      </c>
      <c r="T80" s="962"/>
      <c r="U80" s="960" t="s">
        <v>2439</v>
      </c>
      <c r="V80" s="962"/>
      <c r="W80" s="960" t="s">
        <v>2439</v>
      </c>
      <c r="X80" s="962"/>
      <c r="Y80" s="960" t="s">
        <v>2439</v>
      </c>
      <c r="Z80" s="962"/>
      <c r="AA80" s="960" t="s">
        <v>2439</v>
      </c>
      <c r="AB80" s="960" t="s">
        <v>2730</v>
      </c>
      <c r="AC80" s="960" t="s">
        <v>2731</v>
      </c>
    </row>
    <row r="81">
      <c r="A81" s="883">
        <v>2.0</v>
      </c>
      <c r="B81" s="960" t="s">
        <v>2610</v>
      </c>
      <c r="C81" s="961" t="s">
        <v>2611</v>
      </c>
      <c r="D81" s="960">
        <v>2.0</v>
      </c>
      <c r="E81" s="960">
        <v>2.0</v>
      </c>
      <c r="F81" s="962"/>
      <c r="G81" s="960" t="s">
        <v>2439</v>
      </c>
      <c r="H81" s="962"/>
      <c r="I81" s="960" t="s">
        <v>2439</v>
      </c>
      <c r="J81" s="962"/>
      <c r="K81" s="960" t="s">
        <v>2439</v>
      </c>
      <c r="L81" s="962"/>
      <c r="M81" s="960" t="s">
        <v>2439</v>
      </c>
      <c r="N81" s="962"/>
      <c r="O81" s="960" t="s">
        <v>2439</v>
      </c>
      <c r="P81" s="962"/>
      <c r="Q81" s="960" t="s">
        <v>2439</v>
      </c>
      <c r="R81" s="962"/>
      <c r="S81" s="960" t="s">
        <v>2439</v>
      </c>
      <c r="T81" s="962"/>
      <c r="U81" s="960" t="s">
        <v>2439</v>
      </c>
      <c r="V81" s="962"/>
      <c r="W81" s="960" t="s">
        <v>2439</v>
      </c>
      <c r="X81" s="962"/>
      <c r="Y81" s="960" t="s">
        <v>2439</v>
      </c>
      <c r="Z81" s="962"/>
      <c r="AA81" s="960" t="s">
        <v>2439</v>
      </c>
      <c r="AB81" s="960">
        <v>2.0</v>
      </c>
      <c r="AC81" s="960">
        <v>2.0</v>
      </c>
    </row>
    <row r="82">
      <c r="A82" s="883">
        <v>3.0</v>
      </c>
      <c r="B82" s="960" t="s">
        <v>2613</v>
      </c>
      <c r="C82" s="961" t="s">
        <v>2614</v>
      </c>
      <c r="D82" s="960">
        <v>3.0</v>
      </c>
      <c r="E82" s="960">
        <v>3.0</v>
      </c>
      <c r="F82" s="962"/>
      <c r="G82" s="960" t="s">
        <v>2439</v>
      </c>
      <c r="H82" s="962"/>
      <c r="I82" s="960" t="s">
        <v>2439</v>
      </c>
      <c r="J82" s="962"/>
      <c r="K82" s="960" t="s">
        <v>2439</v>
      </c>
      <c r="L82" s="962"/>
      <c r="M82" s="960" t="s">
        <v>2439</v>
      </c>
      <c r="N82" s="962"/>
      <c r="O82" s="960" t="s">
        <v>2439</v>
      </c>
      <c r="P82" s="962"/>
      <c r="Q82" s="960" t="s">
        <v>2439</v>
      </c>
      <c r="R82" s="962"/>
      <c r="S82" s="960" t="s">
        <v>2439</v>
      </c>
      <c r="T82" s="962"/>
      <c r="U82" s="960" t="s">
        <v>2439</v>
      </c>
      <c r="V82" s="962"/>
      <c r="W82" s="960" t="s">
        <v>2439</v>
      </c>
      <c r="X82" s="962"/>
      <c r="Y82" s="960" t="s">
        <v>2439</v>
      </c>
      <c r="Z82" s="962"/>
      <c r="AA82" s="960" t="s">
        <v>2439</v>
      </c>
      <c r="AB82" s="960">
        <v>3.0</v>
      </c>
      <c r="AC82" s="960">
        <v>3.0</v>
      </c>
    </row>
    <row r="83">
      <c r="A83" s="883">
        <v>4.0</v>
      </c>
      <c r="B83" s="960" t="s">
        <v>2615</v>
      </c>
      <c r="C83" s="961" t="s">
        <v>2616</v>
      </c>
      <c r="D83" s="960">
        <v>4.0</v>
      </c>
      <c r="E83" s="960">
        <v>4.0</v>
      </c>
      <c r="F83" s="962"/>
      <c r="G83" s="960" t="s">
        <v>2439</v>
      </c>
      <c r="H83" s="962"/>
      <c r="I83" s="960" t="s">
        <v>2439</v>
      </c>
      <c r="J83" s="962"/>
      <c r="K83" s="960" t="s">
        <v>2439</v>
      </c>
      <c r="L83" s="962"/>
      <c r="M83" s="960" t="s">
        <v>2439</v>
      </c>
      <c r="N83" s="962"/>
      <c r="O83" s="960" t="s">
        <v>2439</v>
      </c>
      <c r="P83" s="962"/>
      <c r="Q83" s="960" t="s">
        <v>2439</v>
      </c>
      <c r="R83" s="962"/>
      <c r="S83" s="960" t="s">
        <v>2439</v>
      </c>
      <c r="T83" s="962"/>
      <c r="U83" s="960" t="s">
        <v>2439</v>
      </c>
      <c r="V83" s="962"/>
      <c r="W83" s="960" t="s">
        <v>2439</v>
      </c>
      <c r="X83" s="962"/>
      <c r="Y83" s="960" t="s">
        <v>2439</v>
      </c>
      <c r="Z83" s="962"/>
      <c r="AA83" s="960" t="s">
        <v>2439</v>
      </c>
      <c r="AB83" s="960">
        <v>4.0</v>
      </c>
      <c r="AC83" s="960">
        <v>4.0</v>
      </c>
    </row>
    <row r="84">
      <c r="A84" s="883">
        <v>6.0</v>
      </c>
      <c r="B84" s="960" t="s">
        <v>2618</v>
      </c>
      <c r="C84" s="961" t="s">
        <v>2619</v>
      </c>
      <c r="D84" s="960">
        <v>5.0</v>
      </c>
      <c r="E84" s="960">
        <v>6.0</v>
      </c>
      <c r="F84" s="960" t="s">
        <v>2372</v>
      </c>
      <c r="G84" s="960" t="s">
        <v>2707</v>
      </c>
      <c r="H84" s="960" t="s">
        <v>2638</v>
      </c>
      <c r="I84" s="960" t="s">
        <v>2726</v>
      </c>
      <c r="J84" s="962"/>
      <c r="K84" s="960" t="s">
        <v>2439</v>
      </c>
      <c r="L84" s="962"/>
      <c r="M84" s="960" t="s">
        <v>2439</v>
      </c>
      <c r="N84" s="962"/>
      <c r="O84" s="960" t="s">
        <v>2439</v>
      </c>
      <c r="P84" s="962"/>
      <c r="Q84" s="960" t="s">
        <v>2439</v>
      </c>
      <c r="R84" s="962"/>
      <c r="S84" s="960" t="s">
        <v>2439</v>
      </c>
      <c r="T84" s="962"/>
      <c r="U84" s="960" t="s">
        <v>2439</v>
      </c>
      <c r="V84" s="962"/>
      <c r="W84" s="960" t="s">
        <v>2439</v>
      </c>
      <c r="X84" s="962"/>
      <c r="Y84" s="960" t="s">
        <v>2439</v>
      </c>
      <c r="Z84" s="962"/>
      <c r="AA84" s="960" t="s">
        <v>2439</v>
      </c>
      <c r="AB84" s="960" t="s">
        <v>2732</v>
      </c>
      <c r="AC84" s="960" t="s">
        <v>2733</v>
      </c>
    </row>
    <row r="85">
      <c r="A85" s="963">
        <v>7.0</v>
      </c>
      <c r="B85" s="964" t="s">
        <v>2621</v>
      </c>
      <c r="C85" s="961" t="s">
        <v>2622</v>
      </c>
      <c r="D85" s="964">
        <v>6.0</v>
      </c>
      <c r="E85" s="964">
        <v>7.0</v>
      </c>
      <c r="F85" s="965"/>
      <c r="G85" s="964" t="s">
        <v>2439</v>
      </c>
      <c r="H85" s="965"/>
      <c r="I85" s="964" t="s">
        <v>2439</v>
      </c>
      <c r="J85" s="965"/>
      <c r="K85" s="964" t="s">
        <v>2439</v>
      </c>
      <c r="L85" s="965"/>
      <c r="M85" s="964" t="s">
        <v>2439</v>
      </c>
      <c r="N85" s="965"/>
      <c r="O85" s="964" t="s">
        <v>2439</v>
      </c>
      <c r="P85" s="965"/>
      <c r="Q85" s="964" t="s">
        <v>2439</v>
      </c>
      <c r="R85" s="965"/>
      <c r="S85" s="964" t="s">
        <v>2439</v>
      </c>
      <c r="T85" s="965"/>
      <c r="U85" s="964" t="s">
        <v>2439</v>
      </c>
      <c r="V85" s="965"/>
      <c r="W85" s="964" t="s">
        <v>2439</v>
      </c>
      <c r="X85" s="965"/>
      <c r="Y85" s="964" t="s">
        <v>2439</v>
      </c>
      <c r="Z85" s="965"/>
      <c r="AA85" s="964" t="s">
        <v>2439</v>
      </c>
      <c r="AB85" s="964">
        <v>6.0</v>
      </c>
      <c r="AC85" s="964">
        <v>7.0</v>
      </c>
    </row>
    <row r="86">
      <c r="A86" s="966" t="s">
        <v>1864</v>
      </c>
      <c r="B86" s="967" t="s">
        <v>2623</v>
      </c>
      <c r="C86" s="968"/>
      <c r="D86" s="969" t="s">
        <v>2734</v>
      </c>
      <c r="E86" s="970" t="s">
        <v>2735</v>
      </c>
      <c r="F86" s="970" t="s">
        <v>2736</v>
      </c>
      <c r="G86" s="970" t="s">
        <v>2737</v>
      </c>
      <c r="H86" s="970" t="s">
        <v>2738</v>
      </c>
      <c r="I86" s="970" t="s">
        <v>2739</v>
      </c>
      <c r="J86" s="970" t="s">
        <v>2439</v>
      </c>
      <c r="K86" s="970" t="s">
        <v>2439</v>
      </c>
      <c r="L86" s="970" t="s">
        <v>2439</v>
      </c>
      <c r="M86" s="970" t="s">
        <v>2439</v>
      </c>
      <c r="N86" s="970" t="s">
        <v>2439</v>
      </c>
      <c r="O86" s="970" t="s">
        <v>2439</v>
      </c>
      <c r="P86" s="970" t="s">
        <v>2439</v>
      </c>
      <c r="Q86" s="970" t="s">
        <v>2439</v>
      </c>
      <c r="R86" s="970" t="s">
        <v>2439</v>
      </c>
      <c r="S86" s="970" t="s">
        <v>2439</v>
      </c>
      <c r="T86" s="970" t="s">
        <v>2439</v>
      </c>
      <c r="U86" s="970" t="s">
        <v>2439</v>
      </c>
      <c r="V86" s="970" t="s">
        <v>2439</v>
      </c>
      <c r="W86" s="970" t="s">
        <v>2439</v>
      </c>
      <c r="X86" s="970" t="s">
        <v>2439</v>
      </c>
      <c r="Y86" s="970" t="s">
        <v>2439</v>
      </c>
      <c r="Z86" s="970" t="s">
        <v>2439</v>
      </c>
      <c r="AA86" s="970" t="s">
        <v>2439</v>
      </c>
      <c r="AB86" s="970" t="s">
        <v>2740</v>
      </c>
      <c r="AC86" s="970" t="s">
        <v>2741</v>
      </c>
    </row>
  </sheetData>
  <mergeCells count="17">
    <mergeCell ref="A1:C1"/>
    <mergeCell ref="F1:K2"/>
    <mergeCell ref="A2:C4"/>
    <mergeCell ref="E2:E3"/>
    <mergeCell ref="D4:E4"/>
    <mergeCell ref="F4:G4"/>
    <mergeCell ref="H4:I4"/>
    <mergeCell ref="X4:Y4"/>
    <mergeCell ref="Z4:AA4"/>
    <mergeCell ref="AB4:AC4"/>
    <mergeCell ref="J4:K4"/>
    <mergeCell ref="L4:M4"/>
    <mergeCell ref="N4:O4"/>
    <mergeCell ref="P4:Q4"/>
    <mergeCell ref="R4:S4"/>
    <mergeCell ref="T4:U4"/>
    <mergeCell ref="V4:W4"/>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7.14"/>
    <col customWidth="1" min="2" max="2" width="14.14"/>
    <col customWidth="1" min="3" max="3" width="17.29"/>
    <col customWidth="1" min="4" max="4" width="56.14"/>
    <col customWidth="1" min="5" max="5" width="68.14"/>
  </cols>
  <sheetData>
    <row r="1">
      <c r="A1" s="971" t="s">
        <v>2742</v>
      </c>
      <c r="B1" s="454"/>
      <c r="C1" s="454"/>
      <c r="D1" s="3"/>
      <c r="E1" s="972"/>
    </row>
    <row r="2">
      <c r="A2" s="973" t="s">
        <v>1526</v>
      </c>
      <c r="B2" s="973" t="s">
        <v>2743</v>
      </c>
      <c r="C2" s="973" t="s">
        <v>2744</v>
      </c>
      <c r="D2" s="974" t="s">
        <v>2745</v>
      </c>
      <c r="E2" s="972"/>
    </row>
    <row r="3">
      <c r="A3" s="213"/>
      <c r="B3" s="213"/>
      <c r="C3" s="213"/>
      <c r="D3" s="213"/>
      <c r="E3" s="975"/>
    </row>
    <row r="4">
      <c r="A4" s="976" t="s">
        <v>1769</v>
      </c>
      <c r="B4" s="977" t="s">
        <v>2498</v>
      </c>
      <c r="C4" s="454"/>
      <c r="D4" s="3"/>
      <c r="E4" s="978"/>
    </row>
    <row r="5">
      <c r="A5" s="979" t="s">
        <v>2503</v>
      </c>
      <c r="B5" s="980"/>
      <c r="C5" s="981"/>
      <c r="D5" s="982" t="s">
        <v>2504</v>
      </c>
      <c r="E5" s="983"/>
    </row>
    <row r="6">
      <c r="A6" s="984">
        <v>44562.0</v>
      </c>
      <c r="B6" s="985" t="s">
        <v>2507</v>
      </c>
      <c r="C6" s="986" t="s">
        <v>276</v>
      </c>
      <c r="D6" s="986" t="s">
        <v>2508</v>
      </c>
      <c r="E6" s="987"/>
    </row>
    <row r="7">
      <c r="A7" s="984">
        <v>44593.0</v>
      </c>
      <c r="B7" s="985" t="s">
        <v>2507</v>
      </c>
      <c r="C7" s="986" t="s">
        <v>263</v>
      </c>
      <c r="D7" s="986" t="s">
        <v>2509</v>
      </c>
      <c r="E7" s="987"/>
    </row>
    <row r="8">
      <c r="A8" s="984">
        <v>44621.0</v>
      </c>
      <c r="B8" s="985" t="s">
        <v>2507</v>
      </c>
      <c r="C8" s="986" t="s">
        <v>610</v>
      </c>
      <c r="D8" s="986" t="s">
        <v>2510</v>
      </c>
      <c r="E8" s="987"/>
    </row>
    <row r="9">
      <c r="A9" s="984">
        <v>44652.0</v>
      </c>
      <c r="B9" s="985" t="s">
        <v>2507</v>
      </c>
      <c r="C9" s="986" t="s">
        <v>1178</v>
      </c>
      <c r="D9" s="986" t="s">
        <v>2512</v>
      </c>
      <c r="E9" s="987"/>
    </row>
    <row r="10">
      <c r="A10" s="984">
        <v>44682.0</v>
      </c>
      <c r="B10" s="985" t="s">
        <v>2507</v>
      </c>
      <c r="C10" s="986" t="s">
        <v>227</v>
      </c>
      <c r="D10" s="986" t="s">
        <v>2513</v>
      </c>
      <c r="E10" s="987"/>
    </row>
    <row r="11">
      <c r="A11" s="984">
        <v>44713.0</v>
      </c>
      <c r="B11" s="985" t="s">
        <v>2507</v>
      </c>
      <c r="C11" s="986" t="s">
        <v>209</v>
      </c>
      <c r="D11" s="986" t="s">
        <v>2514</v>
      </c>
      <c r="E11" s="987"/>
    </row>
    <row r="12">
      <c r="A12" s="984">
        <v>44743.0</v>
      </c>
      <c r="B12" s="985" t="s">
        <v>2507</v>
      </c>
      <c r="C12" s="986" t="s">
        <v>2518</v>
      </c>
      <c r="D12" s="986" t="s">
        <v>2517</v>
      </c>
      <c r="E12" s="987"/>
    </row>
    <row r="13">
      <c r="A13" s="984">
        <v>44774.0</v>
      </c>
      <c r="B13" s="985" t="s">
        <v>2507</v>
      </c>
      <c r="C13" s="986" t="s">
        <v>2411</v>
      </c>
      <c r="D13" s="986" t="s">
        <v>2519</v>
      </c>
      <c r="E13" s="987"/>
    </row>
    <row r="14">
      <c r="A14" s="984">
        <v>44805.0</v>
      </c>
      <c r="B14" s="985" t="s">
        <v>2507</v>
      </c>
      <c r="C14" s="986" t="s">
        <v>411</v>
      </c>
      <c r="D14" s="986" t="s">
        <v>2520</v>
      </c>
      <c r="E14" s="987"/>
    </row>
    <row r="15">
      <c r="A15" s="984">
        <v>44866.0</v>
      </c>
      <c r="B15" s="985" t="s">
        <v>2507</v>
      </c>
      <c r="C15" s="986" t="s">
        <v>223</v>
      </c>
      <c r="D15" s="986" t="s">
        <v>2521</v>
      </c>
      <c r="E15" s="988" t="s">
        <v>2746</v>
      </c>
    </row>
    <row r="16">
      <c r="A16" s="984">
        <v>44896.0</v>
      </c>
      <c r="B16" s="985" t="s">
        <v>2507</v>
      </c>
      <c r="C16" s="986" t="s">
        <v>220</v>
      </c>
      <c r="D16" s="986" t="s">
        <v>2522</v>
      </c>
      <c r="E16" s="988" t="s">
        <v>2747</v>
      </c>
    </row>
    <row r="17">
      <c r="A17" s="989" t="s">
        <v>2523</v>
      </c>
      <c r="B17" s="985" t="s">
        <v>2507</v>
      </c>
      <c r="C17" s="986" t="s">
        <v>378</v>
      </c>
      <c r="D17" s="986" t="s">
        <v>2524</v>
      </c>
      <c r="E17" s="988" t="s">
        <v>2748</v>
      </c>
    </row>
    <row r="18">
      <c r="A18" s="989" t="s">
        <v>2525</v>
      </c>
      <c r="B18" s="985" t="s">
        <v>2507</v>
      </c>
      <c r="C18" s="986" t="s">
        <v>506</v>
      </c>
      <c r="D18" s="986" t="s">
        <v>2526</v>
      </c>
      <c r="E18" s="988" t="s">
        <v>2749</v>
      </c>
    </row>
    <row r="19">
      <c r="A19" s="989" t="s">
        <v>2527</v>
      </c>
      <c r="B19" s="985" t="s">
        <v>2507</v>
      </c>
      <c r="C19" s="986" t="s">
        <v>258</v>
      </c>
      <c r="D19" s="986" t="s">
        <v>2528</v>
      </c>
      <c r="E19" s="988" t="s">
        <v>2750</v>
      </c>
    </row>
    <row r="20">
      <c r="A20" s="990" t="s">
        <v>2530</v>
      </c>
      <c r="B20" s="991"/>
      <c r="C20" s="992"/>
      <c r="D20" s="993" t="s">
        <v>2531</v>
      </c>
      <c r="E20" s="994"/>
    </row>
    <row r="21">
      <c r="A21" s="984">
        <v>44563.0</v>
      </c>
      <c r="B21" s="985" t="s">
        <v>169</v>
      </c>
      <c r="C21" s="986" t="s">
        <v>355</v>
      </c>
      <c r="D21" s="986" t="s">
        <v>2534</v>
      </c>
      <c r="E21" s="995"/>
    </row>
    <row r="22">
      <c r="A22" s="984">
        <v>44594.0</v>
      </c>
      <c r="B22" s="985" t="s">
        <v>169</v>
      </c>
      <c r="C22" s="986" t="s">
        <v>2536</v>
      </c>
      <c r="D22" s="986" t="s">
        <v>2535</v>
      </c>
      <c r="E22" s="995"/>
    </row>
    <row r="23">
      <c r="A23" s="984">
        <v>44622.0</v>
      </c>
      <c r="B23" s="985" t="s">
        <v>169</v>
      </c>
      <c r="C23" s="986" t="s">
        <v>2538</v>
      </c>
      <c r="D23" s="986" t="s">
        <v>2537</v>
      </c>
      <c r="E23" s="995"/>
    </row>
    <row r="24">
      <c r="A24" s="990" t="s">
        <v>2539</v>
      </c>
      <c r="B24" s="991"/>
      <c r="C24" s="992"/>
      <c r="D24" s="993" t="s">
        <v>2540</v>
      </c>
      <c r="E24" s="994"/>
    </row>
    <row r="25">
      <c r="A25" s="984">
        <v>44564.0</v>
      </c>
      <c r="B25" s="985" t="s">
        <v>2542</v>
      </c>
      <c r="C25" s="986" t="s">
        <v>1174</v>
      </c>
      <c r="D25" s="986" t="s">
        <v>2543</v>
      </c>
      <c r="E25" s="995"/>
    </row>
    <row r="26">
      <c r="A26" s="984">
        <v>44595.0</v>
      </c>
      <c r="B26" s="985" t="s">
        <v>2542</v>
      </c>
      <c r="C26" s="986" t="s">
        <v>2431</v>
      </c>
      <c r="D26" s="986" t="s">
        <v>2544</v>
      </c>
      <c r="E26" s="995"/>
    </row>
    <row r="27">
      <c r="A27" s="984">
        <v>44595.0</v>
      </c>
      <c r="B27" s="985" t="s">
        <v>2542</v>
      </c>
      <c r="C27" s="986" t="s">
        <v>2546</v>
      </c>
      <c r="D27" s="986" t="s">
        <v>2545</v>
      </c>
      <c r="E27" s="995"/>
    </row>
    <row r="28">
      <c r="A28" s="990" t="s">
        <v>2547</v>
      </c>
      <c r="B28" s="991"/>
      <c r="C28" s="992"/>
      <c r="D28" s="993" t="s">
        <v>2548</v>
      </c>
      <c r="E28" s="994"/>
    </row>
    <row r="29">
      <c r="A29" s="984">
        <v>44565.0</v>
      </c>
      <c r="B29" s="985" t="s">
        <v>2550</v>
      </c>
      <c r="C29" s="986" t="s">
        <v>400</v>
      </c>
      <c r="D29" s="986" t="s">
        <v>2551</v>
      </c>
      <c r="E29" s="996" t="s">
        <v>2751</v>
      </c>
    </row>
    <row r="30">
      <c r="A30" s="984">
        <v>44596.0</v>
      </c>
      <c r="B30" s="985" t="s">
        <v>2550</v>
      </c>
      <c r="C30" s="986" t="s">
        <v>256</v>
      </c>
      <c r="D30" s="986" t="s">
        <v>2553</v>
      </c>
      <c r="E30" s="709"/>
    </row>
    <row r="31">
      <c r="A31" s="984">
        <v>44624.0</v>
      </c>
      <c r="B31" s="985" t="s">
        <v>2550</v>
      </c>
      <c r="C31" s="986" t="s">
        <v>613</v>
      </c>
      <c r="D31" s="986" t="s">
        <v>2554</v>
      </c>
      <c r="E31" s="709"/>
    </row>
    <row r="32">
      <c r="A32" s="984">
        <v>44655.0</v>
      </c>
      <c r="B32" s="985" t="s">
        <v>2550</v>
      </c>
      <c r="C32" s="986" t="s">
        <v>375</v>
      </c>
      <c r="D32" s="986" t="s">
        <v>2555</v>
      </c>
      <c r="E32" s="709"/>
    </row>
    <row r="33">
      <c r="A33" s="984">
        <v>44685.0</v>
      </c>
      <c r="B33" s="985" t="s">
        <v>2550</v>
      </c>
      <c r="C33" s="986" t="s">
        <v>1178</v>
      </c>
      <c r="D33" s="986" t="s">
        <v>2512</v>
      </c>
      <c r="E33" s="709"/>
    </row>
    <row r="34">
      <c r="A34" s="984">
        <v>44716.0</v>
      </c>
      <c r="B34" s="985" t="s">
        <v>2550</v>
      </c>
      <c r="C34" s="986" t="s">
        <v>2557</v>
      </c>
      <c r="D34" s="986" t="s">
        <v>2556</v>
      </c>
      <c r="E34" s="709"/>
    </row>
    <row r="35">
      <c r="A35" s="984">
        <v>44746.0</v>
      </c>
      <c r="B35" s="985" t="s">
        <v>2550</v>
      </c>
      <c r="C35" s="986" t="s">
        <v>1143</v>
      </c>
      <c r="D35" s="986" t="s">
        <v>2558</v>
      </c>
      <c r="E35" s="709"/>
    </row>
    <row r="36">
      <c r="A36" s="984">
        <v>44777.0</v>
      </c>
      <c r="B36" s="985" t="s">
        <v>2550</v>
      </c>
      <c r="C36" s="986" t="s">
        <v>2560</v>
      </c>
      <c r="D36" s="986" t="s">
        <v>2559</v>
      </c>
      <c r="E36" s="213"/>
    </row>
    <row r="37">
      <c r="A37" s="997" t="s">
        <v>2561</v>
      </c>
      <c r="B37" s="991"/>
      <c r="C37" s="991"/>
      <c r="D37" s="998" t="s">
        <v>2562</v>
      </c>
      <c r="E37" s="994"/>
    </row>
    <row r="38">
      <c r="A38" s="984">
        <v>44566.0</v>
      </c>
      <c r="B38" s="985" t="s">
        <v>2564</v>
      </c>
      <c r="C38" s="986" t="s">
        <v>308</v>
      </c>
      <c r="D38" s="986" t="s">
        <v>2565</v>
      </c>
      <c r="E38" s="996" t="s">
        <v>2752</v>
      </c>
    </row>
    <row r="39">
      <c r="A39" s="984">
        <v>44597.0</v>
      </c>
      <c r="B39" s="985" t="s">
        <v>2564</v>
      </c>
      <c r="C39" s="986" t="s">
        <v>2567</v>
      </c>
      <c r="D39" s="986" t="s">
        <v>2566</v>
      </c>
      <c r="E39" s="709"/>
    </row>
    <row r="40">
      <c r="A40" s="984">
        <v>44625.0</v>
      </c>
      <c r="B40" s="985" t="s">
        <v>2564</v>
      </c>
      <c r="C40" s="986" t="s">
        <v>263</v>
      </c>
      <c r="D40" s="986" t="s">
        <v>2568</v>
      </c>
      <c r="E40" s="709"/>
    </row>
    <row r="41">
      <c r="A41" s="984">
        <v>44656.0</v>
      </c>
      <c r="B41" s="985" t="s">
        <v>2569</v>
      </c>
      <c r="C41" s="986" t="s">
        <v>2571</v>
      </c>
      <c r="D41" s="986" t="s">
        <v>2570</v>
      </c>
      <c r="E41" s="709"/>
    </row>
    <row r="42">
      <c r="A42" s="984">
        <v>44686.0</v>
      </c>
      <c r="B42" s="985" t="s">
        <v>2569</v>
      </c>
      <c r="C42" s="986" t="s">
        <v>369</v>
      </c>
      <c r="D42" s="986" t="s">
        <v>2572</v>
      </c>
      <c r="E42" s="709"/>
    </row>
    <row r="43">
      <c r="A43" s="984">
        <v>44717.0</v>
      </c>
      <c r="B43" s="985" t="s">
        <v>2569</v>
      </c>
      <c r="C43" s="986" t="s">
        <v>2574</v>
      </c>
      <c r="D43" s="986" t="s">
        <v>2573</v>
      </c>
      <c r="E43" s="709"/>
    </row>
    <row r="44">
      <c r="A44" s="984">
        <v>44747.0</v>
      </c>
      <c r="B44" s="985" t="s">
        <v>2569</v>
      </c>
      <c r="C44" s="986" t="s">
        <v>2576</v>
      </c>
      <c r="D44" s="986" t="s">
        <v>2575</v>
      </c>
      <c r="E44" s="213"/>
    </row>
    <row r="45">
      <c r="A45" s="997" t="s">
        <v>2577</v>
      </c>
      <c r="B45" s="991"/>
      <c r="C45" s="992"/>
      <c r="D45" s="993" t="s">
        <v>2578</v>
      </c>
      <c r="E45" s="999"/>
    </row>
    <row r="46">
      <c r="A46" s="984">
        <v>44567.0</v>
      </c>
      <c r="B46" s="985" t="s">
        <v>2580</v>
      </c>
      <c r="C46" s="986" t="s">
        <v>349</v>
      </c>
      <c r="D46" s="986" t="s">
        <v>2581</v>
      </c>
      <c r="E46" s="996" t="s">
        <v>2753</v>
      </c>
    </row>
    <row r="47">
      <c r="A47" s="984">
        <v>44598.0</v>
      </c>
      <c r="B47" s="985" t="s">
        <v>2580</v>
      </c>
      <c r="C47" s="986" t="s">
        <v>343</v>
      </c>
      <c r="D47" s="986" t="s">
        <v>2582</v>
      </c>
      <c r="E47" s="709"/>
    </row>
    <row r="48">
      <c r="A48" s="984">
        <v>44626.0</v>
      </c>
      <c r="B48" s="985" t="s">
        <v>2580</v>
      </c>
      <c r="C48" s="986" t="s">
        <v>2584</v>
      </c>
      <c r="D48" s="986" t="s">
        <v>2583</v>
      </c>
      <c r="E48" s="709"/>
    </row>
    <row r="49">
      <c r="A49" s="984">
        <v>44657.0</v>
      </c>
      <c r="B49" s="985" t="s">
        <v>2580</v>
      </c>
      <c r="C49" s="986" t="s">
        <v>2586</v>
      </c>
      <c r="D49" s="986" t="s">
        <v>2585</v>
      </c>
      <c r="E49" s="709"/>
    </row>
    <row r="50">
      <c r="A50" s="984">
        <v>44687.0</v>
      </c>
      <c r="B50" s="985" t="s">
        <v>2580</v>
      </c>
      <c r="C50" s="986" t="s">
        <v>2588</v>
      </c>
      <c r="D50" s="986" t="s">
        <v>2587</v>
      </c>
      <c r="E50" s="709"/>
    </row>
    <row r="51">
      <c r="A51" s="984">
        <v>44718.0</v>
      </c>
      <c r="B51" s="985" t="s">
        <v>2580</v>
      </c>
      <c r="C51" s="986" t="s">
        <v>2590</v>
      </c>
      <c r="D51" s="986" t="s">
        <v>2589</v>
      </c>
      <c r="E51" s="213"/>
    </row>
    <row r="52">
      <c r="A52" s="1000" t="s">
        <v>2591</v>
      </c>
      <c r="B52" s="1001"/>
      <c r="C52" s="1001"/>
      <c r="D52" s="993" t="s">
        <v>2592</v>
      </c>
      <c r="E52" s="994"/>
    </row>
    <row r="53">
      <c r="A53" s="984">
        <v>44568.0</v>
      </c>
      <c r="B53" s="985" t="s">
        <v>380</v>
      </c>
      <c r="C53" s="986" t="s">
        <v>2419</v>
      </c>
      <c r="D53" s="986" t="s">
        <v>2594</v>
      </c>
      <c r="E53" s="988" t="s">
        <v>2754</v>
      </c>
    </row>
    <row r="54">
      <c r="A54" s="984">
        <v>44599.0</v>
      </c>
      <c r="B54" s="985" t="s">
        <v>380</v>
      </c>
      <c r="C54" s="986" t="s">
        <v>2596</v>
      </c>
      <c r="D54" s="986" t="s">
        <v>2595</v>
      </c>
      <c r="E54" s="1002" t="s">
        <v>2755</v>
      </c>
    </row>
    <row r="55">
      <c r="A55" s="1003"/>
      <c r="B55" s="985" t="s">
        <v>2439</v>
      </c>
      <c r="C55" s="986" t="s">
        <v>2400</v>
      </c>
      <c r="D55" s="986" t="s">
        <v>2725</v>
      </c>
      <c r="E55" s="1002" t="s">
        <v>2756</v>
      </c>
    </row>
    <row r="56">
      <c r="A56" s="984">
        <v>44627.0</v>
      </c>
      <c r="B56" s="985" t="s">
        <v>380</v>
      </c>
      <c r="C56" s="986" t="s">
        <v>2598</v>
      </c>
      <c r="D56" s="986" t="s">
        <v>2597</v>
      </c>
      <c r="E56" s="1002" t="s">
        <v>2757</v>
      </c>
    </row>
    <row r="57">
      <c r="A57" s="984">
        <v>44658.0</v>
      </c>
      <c r="B57" s="985" t="s">
        <v>380</v>
      </c>
      <c r="C57" s="986" t="s">
        <v>2600</v>
      </c>
      <c r="D57" s="986" t="s">
        <v>2599</v>
      </c>
      <c r="E57" s="1002" t="s">
        <v>2758</v>
      </c>
    </row>
    <row r="58">
      <c r="A58" s="984">
        <v>44688.0</v>
      </c>
      <c r="B58" s="985" t="s">
        <v>380</v>
      </c>
      <c r="C58" s="986" t="s">
        <v>2602</v>
      </c>
      <c r="D58" s="986" t="s">
        <v>2601</v>
      </c>
      <c r="E58" s="1004" t="s">
        <v>2759</v>
      </c>
    </row>
    <row r="59">
      <c r="A59" s="984">
        <v>44719.0</v>
      </c>
      <c r="B59" s="985" t="s">
        <v>380</v>
      </c>
      <c r="C59" s="986" t="s">
        <v>2604</v>
      </c>
      <c r="D59" s="986" t="s">
        <v>2603</v>
      </c>
      <c r="E59" s="213"/>
    </row>
    <row r="60">
      <c r="A60" s="1005" t="s">
        <v>1770</v>
      </c>
      <c r="B60" s="1006"/>
      <c r="C60" s="1006"/>
      <c r="D60" s="1007" t="s">
        <v>2605</v>
      </c>
      <c r="E60" s="1008"/>
    </row>
    <row r="61">
      <c r="A61" s="989">
        <v>1.0</v>
      </c>
      <c r="B61" s="985" t="s">
        <v>2607</v>
      </c>
      <c r="C61" s="986" t="s">
        <v>414</v>
      </c>
      <c r="D61" s="986" t="s">
        <v>2608</v>
      </c>
      <c r="E61" s="1002" t="s">
        <v>2760</v>
      </c>
    </row>
    <row r="62">
      <c r="A62" s="989">
        <v>2.0</v>
      </c>
      <c r="B62" s="985" t="s">
        <v>2607</v>
      </c>
      <c r="C62" s="986" t="s">
        <v>2611</v>
      </c>
      <c r="D62" s="986" t="s">
        <v>2610</v>
      </c>
      <c r="E62" s="1002" t="s">
        <v>2760</v>
      </c>
    </row>
    <row r="63">
      <c r="A63" s="989">
        <v>3.0</v>
      </c>
      <c r="B63" s="985" t="s">
        <v>2612</v>
      </c>
      <c r="C63" s="986" t="s">
        <v>2614</v>
      </c>
      <c r="D63" s="986" t="s">
        <v>2613</v>
      </c>
      <c r="E63" s="1002" t="s">
        <v>2761</v>
      </c>
    </row>
    <row r="64">
      <c r="A64" s="989">
        <v>4.0</v>
      </c>
      <c r="B64" s="985" t="s">
        <v>2607</v>
      </c>
      <c r="C64" s="986" t="s">
        <v>2616</v>
      </c>
      <c r="D64" s="986" t="s">
        <v>2615</v>
      </c>
      <c r="E64" s="1002" t="s">
        <v>2760</v>
      </c>
    </row>
    <row r="65">
      <c r="A65" s="989">
        <v>6.0</v>
      </c>
      <c r="B65" s="985" t="s">
        <v>2617</v>
      </c>
      <c r="C65" s="986" t="s">
        <v>2619</v>
      </c>
      <c r="D65" s="986" t="s">
        <v>2618</v>
      </c>
      <c r="E65" s="1002" t="s">
        <v>2762</v>
      </c>
    </row>
    <row r="66">
      <c r="A66" s="989">
        <v>7.0</v>
      </c>
      <c r="B66" s="985" t="s">
        <v>2620</v>
      </c>
      <c r="C66" s="986" t="s">
        <v>2622</v>
      </c>
      <c r="D66" s="986" t="s">
        <v>2621</v>
      </c>
      <c r="E66" s="1002" t="s">
        <v>2763</v>
      </c>
    </row>
    <row r="67">
      <c r="A67" s="989">
        <v>8.0</v>
      </c>
      <c r="B67" s="985" t="s">
        <v>2620</v>
      </c>
      <c r="C67" s="986" t="s">
        <v>2764</v>
      </c>
      <c r="D67" s="986" t="s">
        <v>2765</v>
      </c>
      <c r="E67" s="1002" t="s">
        <v>1392</v>
      </c>
    </row>
    <row r="68">
      <c r="A68" s="1009"/>
      <c r="B68" s="1010"/>
      <c r="C68" s="1010"/>
      <c r="D68" s="1011" t="s">
        <v>2766</v>
      </c>
      <c r="E68" s="1012"/>
    </row>
    <row r="69">
      <c r="A69" s="989">
        <v>1.0</v>
      </c>
      <c r="B69" s="985" t="s">
        <v>2461</v>
      </c>
      <c r="C69" s="1013" t="s">
        <v>2463</v>
      </c>
      <c r="D69" s="1013" t="s">
        <v>2462</v>
      </c>
      <c r="E69" s="1002" t="s">
        <v>2767</v>
      </c>
    </row>
    <row r="70">
      <c r="A70" s="989">
        <v>2.0</v>
      </c>
      <c r="B70" s="985" t="s">
        <v>2461</v>
      </c>
      <c r="C70" s="1013" t="s">
        <v>2390</v>
      </c>
      <c r="D70" s="1013" t="s">
        <v>2466</v>
      </c>
      <c r="E70" s="1002" t="s">
        <v>2767</v>
      </c>
    </row>
    <row r="71">
      <c r="A71" s="989">
        <v>3.0</v>
      </c>
      <c r="B71" s="985" t="s">
        <v>283</v>
      </c>
      <c r="C71" s="1013" t="s">
        <v>283</v>
      </c>
      <c r="D71" s="1013" t="s">
        <v>2469</v>
      </c>
      <c r="E71" s="1002" t="s">
        <v>2768</v>
      </c>
    </row>
    <row r="72">
      <c r="A72" s="989">
        <v>4.0</v>
      </c>
      <c r="B72" s="985" t="s">
        <v>2473</v>
      </c>
      <c r="C72" s="1013" t="s">
        <v>2385</v>
      </c>
      <c r="D72" s="1013" t="s">
        <v>2474</v>
      </c>
      <c r="E72" s="1002" t="s">
        <v>2769</v>
      </c>
    </row>
    <row r="73">
      <c r="A73" s="989">
        <v>5.0</v>
      </c>
      <c r="B73" s="985" t="s">
        <v>2473</v>
      </c>
      <c r="C73" s="1013" t="s">
        <v>2404</v>
      </c>
      <c r="D73" s="1013" t="s">
        <v>2476</v>
      </c>
      <c r="E73" s="1002" t="s">
        <v>2769</v>
      </c>
    </row>
    <row r="74">
      <c r="A74" s="989">
        <v>6.0</v>
      </c>
      <c r="B74" s="985" t="s">
        <v>2478</v>
      </c>
      <c r="C74" s="1013" t="s">
        <v>1109</v>
      </c>
      <c r="D74" s="1013" t="s">
        <v>2479</v>
      </c>
      <c r="E74" s="1002" t="s">
        <v>2770</v>
      </c>
    </row>
    <row r="75">
      <c r="A75" s="989">
        <v>7.0</v>
      </c>
      <c r="B75" s="985" t="s">
        <v>380</v>
      </c>
      <c r="C75" s="1013" t="s">
        <v>2482</v>
      </c>
      <c r="D75" s="1013" t="s">
        <v>2481</v>
      </c>
      <c r="E75" s="1002" t="s">
        <v>2771</v>
      </c>
    </row>
    <row r="76">
      <c r="A76" s="989">
        <v>8.0</v>
      </c>
      <c r="B76" s="985" t="s">
        <v>380</v>
      </c>
      <c r="C76" s="1013" t="s">
        <v>2485</v>
      </c>
      <c r="D76" s="1013" t="s">
        <v>2484</v>
      </c>
      <c r="E76" s="1002" t="s">
        <v>2772</v>
      </c>
    </row>
    <row r="77">
      <c r="A77" s="989">
        <v>9.0</v>
      </c>
      <c r="B77" s="985" t="s">
        <v>380</v>
      </c>
      <c r="C77" s="1013" t="s">
        <v>2488</v>
      </c>
      <c r="D77" s="1013" t="s">
        <v>2487</v>
      </c>
      <c r="E77" s="1002" t="s">
        <v>2773</v>
      </c>
    </row>
    <row r="78">
      <c r="A78" s="989">
        <v>10.0</v>
      </c>
      <c r="B78" s="985" t="s">
        <v>283</v>
      </c>
      <c r="C78" s="1013" t="s">
        <v>2491</v>
      </c>
      <c r="D78" s="1013" t="s">
        <v>2490</v>
      </c>
      <c r="E78" s="1002" t="s">
        <v>2774</v>
      </c>
    </row>
    <row r="79">
      <c r="A79" s="989">
        <v>11.0</v>
      </c>
      <c r="B79" s="985" t="s">
        <v>2439</v>
      </c>
      <c r="C79" s="1013" t="s">
        <v>2400</v>
      </c>
      <c r="D79" s="1013" t="s">
        <v>2725</v>
      </c>
      <c r="E79" s="1002" t="s">
        <v>2756</v>
      </c>
    </row>
    <row r="80">
      <c r="A80" s="989">
        <v>12.0</v>
      </c>
      <c r="B80" s="985" t="s">
        <v>2493</v>
      </c>
      <c r="C80" s="1013" t="s">
        <v>181</v>
      </c>
      <c r="D80" s="1013" t="s">
        <v>2494</v>
      </c>
      <c r="E80" s="1002" t="s">
        <v>2775</v>
      </c>
    </row>
    <row r="81">
      <c r="A81" s="1014" t="s">
        <v>2776</v>
      </c>
      <c r="B81" s="454"/>
      <c r="C81" s="454"/>
      <c r="D81" s="454"/>
      <c r="E81" s="3"/>
    </row>
    <row r="82">
      <c r="A82" s="1015" t="s">
        <v>2777</v>
      </c>
      <c r="B82" s="1016"/>
      <c r="C82" s="1017" t="s">
        <v>2386</v>
      </c>
      <c r="D82" s="1018" t="s">
        <v>2778</v>
      </c>
      <c r="E82" s="1019"/>
    </row>
    <row r="83">
      <c r="A83" s="213"/>
      <c r="B83" s="1016"/>
      <c r="C83" s="1017" t="s">
        <v>2391</v>
      </c>
      <c r="D83" s="1018" t="s">
        <v>2779</v>
      </c>
      <c r="E83" s="1019"/>
    </row>
    <row r="84">
      <c r="A84" s="1020" t="s">
        <v>2780</v>
      </c>
      <c r="B84" s="1021"/>
      <c r="C84" s="1021"/>
      <c r="D84" s="1017" t="s">
        <v>2781</v>
      </c>
      <c r="E84" s="1019"/>
    </row>
  </sheetData>
  <mergeCells count="12">
    <mergeCell ref="E38:E44"/>
    <mergeCell ref="E46:E51"/>
    <mergeCell ref="E58:E59"/>
    <mergeCell ref="A81:E81"/>
    <mergeCell ref="A82:A83"/>
    <mergeCell ref="A1:D1"/>
    <mergeCell ref="A2:A3"/>
    <mergeCell ref="B2:B3"/>
    <mergeCell ref="C2:C3"/>
    <mergeCell ref="D2:D3"/>
    <mergeCell ref="B4:D4"/>
    <mergeCell ref="E29:E36"/>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022">
        <v>25.0</v>
      </c>
      <c r="B1" s="1023"/>
      <c r="C1" s="1024" t="s">
        <v>2782</v>
      </c>
      <c r="D1" s="1025"/>
      <c r="E1" s="1026"/>
      <c r="F1" s="1027"/>
      <c r="G1" s="1028" t="s">
        <v>2783</v>
      </c>
      <c r="H1" s="1029" t="s">
        <v>2784</v>
      </c>
      <c r="I1" s="1030" t="s">
        <v>2353</v>
      </c>
      <c r="J1" s="1031"/>
      <c r="K1" s="1026"/>
    </row>
    <row r="2">
      <c r="A2" s="1032"/>
      <c r="B2" s="1033"/>
      <c r="C2" s="1034" t="s">
        <v>2785</v>
      </c>
      <c r="D2" s="1025"/>
      <c r="E2" s="1026"/>
      <c r="F2" s="1032"/>
      <c r="G2" s="1035">
        <v>44678.0</v>
      </c>
      <c r="H2" s="1036"/>
      <c r="I2" s="1036"/>
      <c r="J2" s="1031"/>
      <c r="K2" s="1026"/>
    </row>
    <row r="3">
      <c r="A3" s="1032"/>
      <c r="B3" s="1033"/>
      <c r="C3" s="1037" t="s">
        <v>2786</v>
      </c>
      <c r="D3" s="1025"/>
      <c r="E3" s="1026"/>
      <c r="F3" s="1038"/>
      <c r="G3" s="1039" t="s">
        <v>2787</v>
      </c>
      <c r="H3" s="1038"/>
      <c r="I3" s="1032"/>
      <c r="J3" s="1031" t="s">
        <v>2788</v>
      </c>
      <c r="K3" s="1026"/>
    </row>
    <row r="4">
      <c r="A4" s="1032"/>
      <c r="B4" s="1027"/>
      <c r="C4" s="1038"/>
      <c r="D4" s="1038"/>
      <c r="E4" s="1027"/>
      <c r="F4" s="1032"/>
      <c r="G4" s="1032"/>
      <c r="H4" s="1032"/>
      <c r="I4" s="1032"/>
      <c r="J4" s="1032"/>
      <c r="K4" s="1027"/>
    </row>
    <row r="5">
      <c r="A5" s="1032"/>
      <c r="B5" s="1027"/>
      <c r="C5" s="1040" t="s">
        <v>2789</v>
      </c>
      <c r="D5" s="1040" t="s">
        <v>2790</v>
      </c>
      <c r="E5" s="1040" t="s">
        <v>211</v>
      </c>
      <c r="F5" s="1041"/>
      <c r="G5" s="1027"/>
      <c r="H5" s="1027"/>
      <c r="I5" s="1027"/>
      <c r="J5" s="1027"/>
      <c r="K5" s="1027"/>
    </row>
    <row r="6">
      <c r="A6" s="1032"/>
      <c r="B6" s="1027"/>
      <c r="C6" s="1040" t="s">
        <v>150</v>
      </c>
      <c r="D6" s="1040" t="s">
        <v>2790</v>
      </c>
      <c r="E6" s="1042" t="s">
        <v>2786</v>
      </c>
      <c r="F6" s="1026"/>
      <c r="G6" s="1027"/>
      <c r="H6" s="1027"/>
      <c r="I6" s="1027"/>
      <c r="J6" s="1027"/>
      <c r="K6" s="1027"/>
    </row>
    <row r="7">
      <c r="A7" s="1032"/>
      <c r="B7" s="1027"/>
      <c r="C7" s="1040" t="s">
        <v>2791</v>
      </c>
      <c r="D7" s="1040" t="s">
        <v>2790</v>
      </c>
      <c r="E7" s="1042" t="s">
        <v>997</v>
      </c>
      <c r="F7" s="1025"/>
      <c r="G7" s="1026"/>
      <c r="H7" s="1027"/>
      <c r="I7" s="1027"/>
      <c r="J7" s="1027"/>
      <c r="K7" s="1027"/>
    </row>
    <row r="8">
      <c r="A8" s="1032"/>
      <c r="B8" s="1027"/>
      <c r="C8" s="1040" t="s">
        <v>126</v>
      </c>
      <c r="D8" s="1040" t="s">
        <v>2790</v>
      </c>
      <c r="E8" s="1040">
        <v>332.0</v>
      </c>
      <c r="F8" s="1040" t="s">
        <v>2792</v>
      </c>
      <c r="G8" s="1027"/>
      <c r="H8" s="1027"/>
      <c r="I8" s="1027"/>
      <c r="J8" s="1027"/>
      <c r="K8" s="1027"/>
    </row>
    <row r="9">
      <c r="A9" s="1032"/>
      <c r="B9" s="1027"/>
      <c r="C9" s="1040" t="s">
        <v>2793</v>
      </c>
      <c r="D9" s="1040" t="s">
        <v>2790</v>
      </c>
      <c r="E9" s="1043" t="s">
        <v>2794</v>
      </c>
      <c r="F9" s="1025"/>
      <c r="G9" s="1026"/>
      <c r="H9" s="1027"/>
      <c r="I9" s="1027"/>
      <c r="J9" s="1027"/>
      <c r="K9" s="1027"/>
    </row>
    <row r="10">
      <c r="A10" s="1032"/>
      <c r="B10" s="1027"/>
      <c r="C10" s="1040" t="s">
        <v>2795</v>
      </c>
      <c r="D10" s="1040" t="s">
        <v>2790</v>
      </c>
      <c r="E10" s="1042" t="s">
        <v>2355</v>
      </c>
      <c r="F10" s="1025"/>
      <c r="G10" s="1025"/>
      <c r="H10" s="1025"/>
      <c r="I10" s="1025"/>
      <c r="J10" s="1026"/>
      <c r="K10" s="1027"/>
    </row>
    <row r="11">
      <c r="A11" s="1032"/>
      <c r="B11" s="1027"/>
      <c r="C11" s="1038"/>
      <c r="D11" s="1038"/>
      <c r="E11" s="1027"/>
      <c r="F11" s="1027"/>
      <c r="G11" s="1027"/>
      <c r="H11" s="1027"/>
      <c r="I11" s="1027"/>
      <c r="J11" s="1027"/>
      <c r="K11" s="1027"/>
    </row>
    <row r="12">
      <c r="A12" s="1032"/>
      <c r="B12" s="1041"/>
      <c r="C12" s="1044"/>
      <c r="D12" s="1044"/>
      <c r="E12" s="1045" t="s">
        <v>2796</v>
      </c>
      <c r="F12" s="1026"/>
      <c r="G12" s="1041"/>
      <c r="H12" s="1041"/>
      <c r="I12" s="1033"/>
      <c r="J12" s="1046">
        <v>44678.0</v>
      </c>
      <c r="K12" s="1026"/>
    </row>
    <row r="13">
      <c r="A13" s="1032"/>
      <c r="B13" s="1047" t="s">
        <v>2797</v>
      </c>
      <c r="C13" s="1026"/>
      <c r="D13" s="1048"/>
      <c r="E13" s="1047" t="s">
        <v>2789</v>
      </c>
      <c r="F13" s="1026"/>
      <c r="G13" s="1049" t="s">
        <v>24</v>
      </c>
      <c r="H13" s="1024" t="s">
        <v>19</v>
      </c>
      <c r="I13" s="1026"/>
      <c r="J13" s="1024" t="s">
        <v>2798</v>
      </c>
      <c r="K13" s="1026"/>
    </row>
    <row r="14">
      <c r="A14" s="1032"/>
      <c r="B14" s="1050" t="s">
        <v>1825</v>
      </c>
      <c r="C14" s="1026"/>
      <c r="D14" s="1051"/>
      <c r="E14" s="1052" t="s">
        <v>1825</v>
      </c>
      <c r="F14" s="1053"/>
      <c r="G14" s="1054" t="s">
        <v>1825</v>
      </c>
      <c r="H14" s="1055" t="s">
        <v>1825</v>
      </c>
      <c r="I14" s="1026"/>
      <c r="J14" s="1055" t="s">
        <v>1825</v>
      </c>
      <c r="K14" s="1026"/>
    </row>
    <row r="15">
      <c r="A15" s="1032"/>
      <c r="B15" s="1027"/>
      <c r="C15" s="1038"/>
      <c r="D15" s="1038"/>
      <c r="E15" s="1032"/>
      <c r="F15" s="1027"/>
      <c r="G15" s="1027"/>
      <c r="H15" s="1027"/>
      <c r="I15" s="1032"/>
      <c r="J15" s="1032"/>
      <c r="K15" s="1032"/>
    </row>
    <row r="16">
      <c r="A16" s="1032"/>
      <c r="B16" s="1027"/>
      <c r="C16" s="1038"/>
      <c r="D16" s="1038"/>
      <c r="E16" s="1032"/>
      <c r="F16" s="1027"/>
      <c r="G16" s="1027"/>
      <c r="H16" s="1027"/>
      <c r="I16" s="1032"/>
      <c r="J16" s="1032"/>
      <c r="K16" s="1032"/>
    </row>
    <row r="17">
      <c r="A17" s="1032"/>
      <c r="B17" s="1027"/>
      <c r="C17" s="1038"/>
      <c r="D17" s="1038"/>
      <c r="E17" s="1032"/>
      <c r="F17" s="1027"/>
      <c r="G17" s="1027"/>
      <c r="H17" s="1027"/>
      <c r="I17" s="1032"/>
      <c r="J17" s="1032"/>
      <c r="K17" s="1032"/>
    </row>
    <row r="18">
      <c r="A18" s="1032"/>
      <c r="B18" s="1027"/>
      <c r="C18" s="1038"/>
      <c r="D18" s="1038"/>
      <c r="E18" s="1032"/>
      <c r="F18" s="1027"/>
      <c r="G18" s="1027"/>
      <c r="H18" s="1027"/>
      <c r="I18" s="1032"/>
      <c r="J18" s="1032"/>
      <c r="K18" s="1032"/>
    </row>
    <row r="19">
      <c r="A19" s="1032"/>
      <c r="B19" s="1056" t="s">
        <v>2799</v>
      </c>
      <c r="C19" s="1026"/>
      <c r="D19" s="1032"/>
      <c r="E19" s="1032"/>
      <c r="F19" s="1032"/>
      <c r="G19" s="1032"/>
      <c r="H19" s="1032"/>
      <c r="I19" s="1032"/>
      <c r="J19" s="1032"/>
      <c r="K19" s="1032"/>
    </row>
    <row r="20">
      <c r="A20" s="1032"/>
      <c r="B20" s="1032"/>
      <c r="C20" s="1032"/>
      <c r="D20" s="1032"/>
      <c r="E20" s="1032"/>
      <c r="F20" s="1032"/>
      <c r="G20" s="1032"/>
      <c r="H20" s="1032"/>
      <c r="I20" s="1032"/>
      <c r="J20" s="1032"/>
      <c r="K20" s="1032"/>
    </row>
    <row r="21">
      <c r="A21" s="1032"/>
      <c r="B21" s="1032"/>
      <c r="C21" s="1032"/>
      <c r="D21" s="1032"/>
      <c r="E21" s="1032"/>
      <c r="F21" s="1032"/>
      <c r="G21" s="1032"/>
      <c r="H21" s="1032"/>
      <c r="I21" s="1032"/>
      <c r="J21" s="1032"/>
      <c r="K21" s="1032"/>
    </row>
    <row r="22">
      <c r="A22" s="1032"/>
      <c r="B22" s="1032"/>
      <c r="C22" s="1032"/>
      <c r="D22" s="1032"/>
      <c r="E22" s="1032"/>
      <c r="F22" s="1032"/>
      <c r="G22" s="1032"/>
      <c r="H22" s="1032"/>
      <c r="I22" s="1032"/>
      <c r="J22" s="1032"/>
      <c r="K22" s="1032"/>
    </row>
    <row r="23">
      <c r="A23" s="1032"/>
      <c r="B23" s="1032"/>
      <c r="C23" s="1032"/>
      <c r="D23" s="1032"/>
      <c r="E23" s="1032"/>
      <c r="F23" s="1032"/>
      <c r="G23" s="1032"/>
      <c r="H23" s="1032"/>
      <c r="I23" s="1032"/>
      <c r="J23" s="1032"/>
      <c r="K23" s="1032"/>
    </row>
    <row r="24">
      <c r="A24" s="1032"/>
      <c r="B24" s="1032"/>
      <c r="C24" s="1032"/>
      <c r="D24" s="1032"/>
      <c r="E24" s="1032"/>
      <c r="F24" s="1032"/>
      <c r="G24" s="1032"/>
      <c r="H24" s="1032"/>
      <c r="I24" s="1032"/>
      <c r="J24" s="1032"/>
      <c r="K24" s="1032"/>
    </row>
    <row r="25">
      <c r="A25" s="1032"/>
      <c r="B25" s="1032"/>
      <c r="C25" s="1032"/>
      <c r="D25" s="1032"/>
      <c r="E25" s="1032"/>
      <c r="F25" s="1032"/>
      <c r="G25" s="1032"/>
      <c r="H25" s="1032"/>
      <c r="I25" s="1032"/>
      <c r="J25" s="1032"/>
      <c r="K25" s="1032"/>
    </row>
    <row r="26">
      <c r="A26" s="1032"/>
      <c r="B26" s="1032"/>
      <c r="C26" s="1032"/>
      <c r="D26" s="1032"/>
      <c r="E26" s="1032"/>
      <c r="F26" s="1032"/>
      <c r="G26" s="1032"/>
      <c r="H26" s="1032"/>
      <c r="I26" s="1032"/>
      <c r="J26" s="1032"/>
      <c r="K26" s="1032"/>
    </row>
    <row r="27">
      <c r="A27" s="1032"/>
      <c r="B27" s="1032"/>
      <c r="C27" s="1032"/>
      <c r="D27" s="1032"/>
      <c r="E27" s="1032"/>
      <c r="F27" s="1032"/>
      <c r="G27" s="1032"/>
      <c r="H27" s="1032"/>
      <c r="I27" s="1032"/>
      <c r="J27" s="1032"/>
      <c r="K27" s="1032"/>
    </row>
    <row r="28">
      <c r="A28" s="1032"/>
      <c r="B28" s="1023"/>
      <c r="C28" s="1024" t="s">
        <v>2782</v>
      </c>
      <c r="D28" s="1025"/>
      <c r="E28" s="1026"/>
      <c r="F28" s="1027"/>
      <c r="G28" s="1028" t="s">
        <v>2783</v>
      </c>
      <c r="H28" s="1029" t="s">
        <v>2784</v>
      </c>
      <c r="I28" s="1030" t="s">
        <v>2353</v>
      </c>
      <c r="J28" s="1031" t="s">
        <v>2800</v>
      </c>
      <c r="K28" s="1026"/>
    </row>
    <row r="29">
      <c r="A29" s="1032"/>
      <c r="B29" s="1057"/>
      <c r="C29" s="1034" t="s">
        <v>2785</v>
      </c>
      <c r="D29" s="1025"/>
      <c r="E29" s="1026"/>
      <c r="F29" s="1032"/>
      <c r="G29" s="1035">
        <v>44678.0</v>
      </c>
      <c r="H29" s="1038"/>
      <c r="I29" s="1038"/>
      <c r="J29" s="1031" t="s">
        <v>2801</v>
      </c>
      <c r="K29" s="1026"/>
    </row>
    <row r="30">
      <c r="A30" s="1032"/>
      <c r="B30" s="1027"/>
      <c r="C30" s="1037" t="s">
        <v>2786</v>
      </c>
      <c r="D30" s="1025"/>
      <c r="E30" s="1026"/>
      <c r="F30" s="1038"/>
      <c r="G30" s="1039" t="s">
        <v>2787</v>
      </c>
      <c r="H30" s="1038"/>
      <c r="I30" s="1032"/>
      <c r="J30" s="1031" t="s">
        <v>2788</v>
      </c>
      <c r="K30" s="1026"/>
    </row>
    <row r="31">
      <c r="A31" s="1032"/>
      <c r="B31" s="1027"/>
      <c r="C31" s="1038"/>
      <c r="D31" s="1038"/>
      <c r="E31" s="1027"/>
      <c r="F31" s="1032"/>
      <c r="G31" s="1032"/>
      <c r="H31" s="1032"/>
      <c r="I31" s="1032"/>
      <c r="J31" s="1032"/>
      <c r="K31" s="1027"/>
    </row>
    <row r="32">
      <c r="A32" s="1032"/>
      <c r="B32" s="1027"/>
      <c r="C32" s="1040" t="s">
        <v>2789</v>
      </c>
      <c r="D32" s="1040" t="s">
        <v>2790</v>
      </c>
      <c r="E32" s="1040" t="s">
        <v>211</v>
      </c>
      <c r="F32" s="1041"/>
      <c r="G32" s="1027"/>
      <c r="H32" s="1027"/>
      <c r="I32" s="1027"/>
      <c r="J32" s="1027"/>
      <c r="K32" s="1027"/>
    </row>
    <row r="33">
      <c r="A33" s="1032"/>
      <c r="B33" s="1027"/>
      <c r="C33" s="1040" t="s">
        <v>150</v>
      </c>
      <c r="D33" s="1040" t="s">
        <v>2790</v>
      </c>
      <c r="E33" s="1042" t="s">
        <v>2786</v>
      </c>
      <c r="F33" s="1026"/>
      <c r="G33" s="1027"/>
      <c r="H33" s="1027"/>
      <c r="I33" s="1027"/>
      <c r="J33" s="1027"/>
      <c r="K33" s="1027"/>
    </row>
    <row r="34">
      <c r="A34" s="1032"/>
      <c r="B34" s="1027"/>
      <c r="C34" s="1040" t="s">
        <v>2791</v>
      </c>
      <c r="D34" s="1040" t="s">
        <v>2790</v>
      </c>
      <c r="E34" s="1042" t="s">
        <v>997</v>
      </c>
      <c r="F34" s="1025"/>
      <c r="G34" s="1026"/>
      <c r="H34" s="1027"/>
      <c r="I34" s="1027"/>
      <c r="J34" s="1027"/>
      <c r="K34" s="1027"/>
    </row>
    <row r="35">
      <c r="A35" s="1032"/>
      <c r="B35" s="1027"/>
      <c r="C35" s="1040" t="s">
        <v>126</v>
      </c>
      <c r="D35" s="1040" t="s">
        <v>2790</v>
      </c>
      <c r="E35" s="1040">
        <v>332.0</v>
      </c>
      <c r="F35" s="1040" t="s">
        <v>2792</v>
      </c>
      <c r="G35" s="1027"/>
      <c r="H35" s="1027"/>
      <c r="I35" s="1027"/>
      <c r="J35" s="1058"/>
      <c r="K35" s="1026"/>
    </row>
    <row r="36">
      <c r="A36" s="1032"/>
      <c r="B36" s="1027"/>
      <c r="C36" s="1040" t="s">
        <v>2793</v>
      </c>
      <c r="D36" s="1040" t="s">
        <v>2790</v>
      </c>
      <c r="E36" s="1042" t="s">
        <v>2794</v>
      </c>
      <c r="F36" s="1025"/>
      <c r="G36" s="1026"/>
      <c r="H36" s="1027"/>
      <c r="I36" s="1027"/>
      <c r="J36" s="1027"/>
      <c r="K36" s="1027"/>
    </row>
    <row r="37">
      <c r="A37" s="1032"/>
      <c r="B37" s="1027"/>
      <c r="C37" s="1040" t="s">
        <v>2795</v>
      </c>
      <c r="D37" s="1040" t="s">
        <v>2790</v>
      </c>
      <c r="E37" s="1042" t="s">
        <v>2355</v>
      </c>
      <c r="F37" s="1025"/>
      <c r="G37" s="1025"/>
      <c r="H37" s="1025"/>
      <c r="I37" s="1025"/>
      <c r="J37" s="1026"/>
      <c r="K37" s="1027"/>
    </row>
    <row r="38">
      <c r="A38" s="1032"/>
      <c r="B38" s="1027"/>
      <c r="C38" s="1038"/>
      <c r="D38" s="1038"/>
      <c r="E38" s="1027"/>
      <c r="F38" s="1027"/>
      <c r="G38" s="1027"/>
      <c r="H38" s="1027"/>
      <c r="I38" s="1027"/>
      <c r="J38" s="1027"/>
      <c r="K38" s="1027"/>
    </row>
    <row r="39">
      <c r="A39" s="1032"/>
      <c r="B39" s="1041"/>
      <c r="C39" s="1044"/>
      <c r="D39" s="1044"/>
      <c r="E39" s="1045" t="s">
        <v>2796</v>
      </c>
      <c r="F39" s="1026"/>
      <c r="G39" s="1041"/>
      <c r="H39" s="1041"/>
      <c r="I39" s="1041"/>
      <c r="J39" s="1046">
        <v>44678.0</v>
      </c>
      <c r="K39" s="1026"/>
    </row>
    <row r="40">
      <c r="A40" s="1032"/>
      <c r="B40" s="1047" t="s">
        <v>2797</v>
      </c>
      <c r="C40" s="1026"/>
      <c r="D40" s="1048"/>
      <c r="E40" s="1047" t="s">
        <v>2789</v>
      </c>
      <c r="F40" s="1026"/>
      <c r="G40" s="1049" t="s">
        <v>24</v>
      </c>
      <c r="H40" s="1024" t="s">
        <v>19</v>
      </c>
      <c r="I40" s="1026"/>
      <c r="J40" s="1024" t="s">
        <v>2798</v>
      </c>
      <c r="K40" s="1026"/>
    </row>
    <row r="41">
      <c r="A41" s="1032"/>
      <c r="B41" s="1050" t="s">
        <v>1825</v>
      </c>
      <c r="C41" s="1026"/>
      <c r="D41" s="1051"/>
      <c r="E41" s="1052" t="s">
        <v>1825</v>
      </c>
      <c r="F41" s="1053"/>
      <c r="G41" s="1054" t="s">
        <v>1825</v>
      </c>
      <c r="H41" s="1055" t="s">
        <v>1825</v>
      </c>
      <c r="I41" s="1026"/>
      <c r="J41" s="1055" t="s">
        <v>1825</v>
      </c>
      <c r="K41" s="1026"/>
    </row>
    <row r="42">
      <c r="A42" s="1032"/>
      <c r="B42" s="1032"/>
      <c r="C42" s="1032"/>
      <c r="D42" s="1032"/>
      <c r="E42" s="1041"/>
      <c r="F42" s="1044"/>
      <c r="G42" s="1044"/>
      <c r="H42" s="1041"/>
      <c r="I42" s="1041"/>
      <c r="J42" s="1041"/>
      <c r="K42" s="1041"/>
    </row>
    <row r="43">
      <c r="A43" s="1032"/>
      <c r="B43" s="1032"/>
      <c r="C43" s="1032"/>
      <c r="D43" s="1032"/>
      <c r="E43" s="1059"/>
      <c r="F43" s="1048"/>
      <c r="G43" s="1048"/>
      <c r="H43" s="1048"/>
      <c r="I43" s="1048"/>
      <c r="J43" s="1048"/>
      <c r="K43" s="1032"/>
    </row>
    <row r="44">
      <c r="A44" s="1032"/>
      <c r="B44" s="1032"/>
      <c r="C44" s="1032"/>
      <c r="D44" s="1032"/>
      <c r="E44" s="1057"/>
      <c r="F44" s="1044"/>
      <c r="G44" s="1044"/>
      <c r="H44" s="1041"/>
      <c r="I44" s="1044"/>
      <c r="J44" s="1041"/>
      <c r="K44" s="1032"/>
    </row>
    <row r="45">
      <c r="A45" s="1032"/>
      <c r="B45" s="1032"/>
      <c r="C45" s="1032"/>
      <c r="D45" s="1032"/>
      <c r="E45" s="1032"/>
      <c r="F45" s="1032"/>
      <c r="G45" s="1032"/>
      <c r="H45" s="1032"/>
      <c r="I45" s="1032"/>
      <c r="J45" s="1032"/>
      <c r="K45" s="1032"/>
    </row>
    <row r="46">
      <c r="A46" s="1032"/>
      <c r="B46" s="1056" t="s">
        <v>2799</v>
      </c>
      <c r="C46" s="1026"/>
      <c r="D46" s="1032"/>
      <c r="E46" s="1032"/>
      <c r="F46" s="1032"/>
      <c r="G46" s="1032"/>
      <c r="H46" s="1032"/>
      <c r="I46" s="1032"/>
      <c r="J46" s="1032"/>
      <c r="K46" s="1032"/>
    </row>
  </sheetData>
  <mergeCells count="41">
    <mergeCell ref="C1:E1"/>
    <mergeCell ref="J1:K1"/>
    <mergeCell ref="C2:E2"/>
    <mergeCell ref="J2:K2"/>
    <mergeCell ref="C3:E3"/>
    <mergeCell ref="J3:K3"/>
    <mergeCell ref="E6:F6"/>
    <mergeCell ref="H13:I13"/>
    <mergeCell ref="J13:K13"/>
    <mergeCell ref="E7:G7"/>
    <mergeCell ref="E9:G9"/>
    <mergeCell ref="E10:J10"/>
    <mergeCell ref="E12:F12"/>
    <mergeCell ref="J12:K12"/>
    <mergeCell ref="B13:C13"/>
    <mergeCell ref="E13:F13"/>
    <mergeCell ref="B14:C14"/>
    <mergeCell ref="H14:I14"/>
    <mergeCell ref="J14:K14"/>
    <mergeCell ref="B19:C19"/>
    <mergeCell ref="C28:E28"/>
    <mergeCell ref="J28:K28"/>
    <mergeCell ref="J29:K29"/>
    <mergeCell ref="J30:K30"/>
    <mergeCell ref="C29:E29"/>
    <mergeCell ref="C30:E30"/>
    <mergeCell ref="E33:F33"/>
    <mergeCell ref="E34:G34"/>
    <mergeCell ref="J35:K35"/>
    <mergeCell ref="E36:G36"/>
    <mergeCell ref="E37:J37"/>
    <mergeCell ref="H41:I41"/>
    <mergeCell ref="J41:K41"/>
    <mergeCell ref="E39:F39"/>
    <mergeCell ref="J39:K39"/>
    <mergeCell ref="B40:C40"/>
    <mergeCell ref="E40:F40"/>
    <mergeCell ref="H40:I40"/>
    <mergeCell ref="J40:K40"/>
    <mergeCell ref="B41:C41"/>
    <mergeCell ref="B46:C46"/>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4.0" topLeftCell="H5" activePane="bottomRight" state="frozen"/>
      <selection activeCell="H1" sqref="H1" pane="topRight"/>
      <selection activeCell="A5" sqref="A5" pane="bottomLeft"/>
      <selection activeCell="H5" sqref="H5" pane="bottomRight"/>
    </sheetView>
  </sheetViews>
  <sheetFormatPr customHeight="1" defaultColWidth="14.43" defaultRowHeight="15.0" outlineLevelCol="1" outlineLevelRow="1"/>
  <cols>
    <col customWidth="1" min="1" max="1" width="7.0"/>
    <col customWidth="1" min="2" max="2" width="19.71" outlineLevel="1"/>
    <col customWidth="1" min="3" max="3" width="21.0" outlineLevel="1"/>
    <col customWidth="1" min="4" max="4" width="37.57"/>
    <col customWidth="1" min="5" max="5" width="16.0" outlineLevel="1"/>
    <col customWidth="1" min="6" max="6" width="11.14" outlineLevel="1"/>
    <col customWidth="1" min="7" max="7" width="5.0" outlineLevel="1"/>
    <col customWidth="1" min="8" max="8" width="15.71" outlineLevel="1"/>
    <col customWidth="1" min="9" max="9" width="6.43" outlineLevel="1"/>
    <col customWidth="1" min="10" max="10" width="7.57" outlineLevel="1"/>
    <col min="11" max="11" width="14.43" outlineLevel="1"/>
    <col customWidth="1" min="12" max="12" width="4.71" outlineLevel="1"/>
    <col customWidth="1" min="13" max="13" width="7.0" outlineLevel="1"/>
    <col min="14" max="14" width="14.43" outlineLevel="1"/>
    <col customWidth="1" min="15" max="15" width="6.57" outlineLevel="1"/>
    <col customWidth="1" min="16" max="16" width="7.29" outlineLevel="1"/>
    <col customWidth="1" min="17" max="17" width="16.57" outlineLevel="1"/>
    <col customWidth="1" min="18" max="18" width="8.0" outlineLevel="1"/>
    <col min="19" max="19" width="14.43" outlineLevel="1"/>
    <col customWidth="1" min="20" max="20" width="8.0" outlineLevel="1"/>
    <col min="21" max="21" width="14.43" outlineLevel="1"/>
    <col customWidth="1" min="22" max="23" width="7.0" outlineLevel="1"/>
    <col min="24" max="24" width="14.43" outlineLevel="1"/>
    <col customWidth="1" min="25" max="26" width="7.14" outlineLevel="1"/>
    <col min="27" max="27" width="14.43" outlineLevel="1"/>
    <col customWidth="1" min="28" max="29" width="6.86" outlineLevel="1"/>
    <col min="30" max="30" width="14.43" outlineLevel="1"/>
    <col customWidth="1" min="31" max="31" width="8.0" outlineLevel="1"/>
    <col min="32" max="32" width="14.43" outlineLevel="1"/>
    <col customWidth="1" min="33" max="33" width="8.0" outlineLevel="1"/>
    <col min="34" max="34" width="14.43" outlineLevel="1"/>
    <col customWidth="1" min="35" max="35" width="6.43" outlineLevel="1"/>
    <col customWidth="1" min="36" max="36" width="7.57" outlineLevel="1"/>
    <col min="37" max="37" width="14.43" outlineLevel="1"/>
    <col customWidth="1" min="38" max="38" width="6.43" outlineLevel="1"/>
    <col customWidth="1" min="39" max="39" width="7.0" outlineLevel="1"/>
    <col min="40" max="40" width="14.43" outlineLevel="1"/>
    <col customWidth="1" min="41" max="42" width="6.43" outlineLevel="1"/>
    <col min="43" max="43" width="14.43" outlineLevel="1"/>
    <col customWidth="1" min="44" max="44" width="7.0" outlineLevel="1"/>
    <col min="45" max="45" width="14.43" outlineLevel="1"/>
    <col customWidth="1" min="46" max="46" width="8.0" outlineLevel="1"/>
    <col min="47" max="47" width="14.43" outlineLevel="1"/>
    <col customWidth="1" min="48" max="48" width="6.43" outlineLevel="1"/>
    <col customWidth="1" min="49" max="49" width="6.71" outlineLevel="1"/>
    <col min="50" max="50" width="14.43" outlineLevel="1"/>
    <col customWidth="1" min="51" max="51" width="6.43" outlineLevel="1"/>
    <col customWidth="1" min="52" max="52" width="7.43" outlineLevel="1"/>
    <col min="53" max="53" width="14.43" outlineLevel="1"/>
    <col customWidth="1" min="54" max="54" width="7.57" outlineLevel="1"/>
    <col customWidth="1" min="55" max="55" width="7.0" outlineLevel="1"/>
    <col min="56" max="56" width="14.43" outlineLevel="1"/>
    <col customWidth="1" min="57" max="57" width="8.0" outlineLevel="1"/>
    <col min="58" max="58" width="14.43" outlineLevel="1"/>
    <col customWidth="1" min="59" max="59" width="8.0" outlineLevel="1"/>
    <col customWidth="1" min="61" max="61" width="6.43"/>
    <col customWidth="1" min="62" max="62" width="7.14"/>
    <col customWidth="1" min="64" max="64" width="6.43"/>
    <col customWidth="1" min="65" max="65" width="7.29"/>
    <col customWidth="1" min="67" max="67" width="6.86"/>
    <col customWidth="1" min="68" max="68" width="7.0"/>
    <col customWidth="1" min="69" max="69" width="14.86"/>
    <col customWidth="1" min="70" max="70" width="8.0"/>
    <col customWidth="1" min="72" max="72" width="8.0"/>
    <col customWidth="1" min="74" max="74" width="6.43"/>
    <col customWidth="1" min="75" max="75" width="8.29"/>
    <col customWidth="1" min="77" max="77" width="6.43"/>
    <col customWidth="1" min="78" max="78" width="7.71"/>
    <col customWidth="1" min="80" max="80" width="6.86"/>
    <col customWidth="1" min="81" max="81" width="6.43"/>
    <col customWidth="1" min="83" max="83" width="8.0"/>
    <col customWidth="1" min="85" max="85" width="8.0"/>
    <col customWidth="1" min="87" max="87" width="6.43"/>
    <col customWidth="1" min="88" max="88" width="7.29"/>
    <col customWidth="1" min="90" max="90" width="6.43"/>
    <col customWidth="1" min="91" max="91" width="7.0"/>
    <col customWidth="1" min="93" max="94" width="6.86"/>
    <col customWidth="1" min="96" max="96" width="8.0"/>
    <col customWidth="1" min="98" max="98" width="8.0"/>
    <col customWidth="1" min="100" max="100" width="6.43"/>
    <col customWidth="1" min="101" max="101" width="7.14"/>
    <col customWidth="1" min="103" max="103" width="6.43"/>
    <col customWidth="1" min="104" max="104" width="6.86"/>
    <col customWidth="1" min="106" max="106" width="6.43"/>
    <col customWidth="1" min="107" max="107" width="7.57"/>
    <col customWidth="1" min="109" max="109" width="8.0"/>
    <col customWidth="1" min="111" max="111" width="8.0"/>
    <col customWidth="1" min="113" max="113" width="6.43"/>
    <col customWidth="1" min="114" max="114" width="6.71"/>
    <col customWidth="1" min="116" max="116" width="6.43"/>
    <col customWidth="1" min="117" max="117" width="7.14"/>
    <col customWidth="1" min="119" max="119" width="6.43"/>
    <col customWidth="1" min="120" max="120" width="6.71"/>
    <col customWidth="1" min="121" max="121" width="14.86"/>
    <col customWidth="1" min="122" max="122" width="8.0"/>
    <col customWidth="1" min="124" max="124" width="6.43"/>
    <col customWidth="1" min="126" max="126" width="6.43"/>
    <col customWidth="1" min="127" max="127" width="7.0"/>
    <col customWidth="1" min="129" max="129" width="6.43"/>
    <col customWidth="1" min="130" max="130" width="7.29"/>
    <col customWidth="1" min="132" max="133" width="6.86"/>
    <col customWidth="1" min="135" max="135" width="8.0"/>
    <col customWidth="1" min="137" max="137" width="8.0"/>
    <col customWidth="1" min="139" max="139" width="6.43"/>
    <col customWidth="1" min="140" max="140" width="7.43"/>
    <col customWidth="1" min="142" max="142" width="6.43"/>
    <col customWidth="1" min="143" max="143" width="7.29"/>
    <col customWidth="1" min="145" max="145" width="6.86"/>
    <col customWidth="1" min="146" max="146" width="7.14"/>
    <col customWidth="1" min="148" max="148" width="8.0"/>
    <col customWidth="1" min="150" max="150" width="8.0"/>
    <col customWidth="1" min="152" max="152" width="6.43"/>
    <col customWidth="1" min="153" max="153" width="7.43"/>
    <col customWidth="1" min="155" max="155" width="6.43"/>
    <col customWidth="1" min="156" max="156" width="7.29"/>
    <col customWidth="1" min="158" max="158" width="6.86"/>
    <col customWidth="1" min="159" max="159" width="7.14"/>
    <col customWidth="1" min="161" max="161" width="8.0"/>
    <col customWidth="1" min="163" max="163" width="8.0"/>
    <col customWidth="1" min="165" max="165" width="6.43"/>
    <col customWidth="1" min="166" max="166" width="7.14"/>
    <col customWidth="1" min="168" max="168" width="6.43"/>
    <col customWidth="1" min="169" max="169" width="7.14"/>
    <col customWidth="1" min="171" max="171" width="6.43"/>
    <col customWidth="1" min="172" max="172" width="7.29"/>
    <col customWidth="1" min="174" max="174" width="8.0"/>
    <col customWidth="1" min="176" max="176" width="8.0"/>
    <col customWidth="1" min="178" max="178" width="6.43"/>
    <col customWidth="1" min="179" max="179" width="7.57"/>
    <col customWidth="1" min="181" max="181" width="6.43"/>
    <col customWidth="1" min="182" max="182" width="7.86"/>
    <col customWidth="1" min="184" max="184" width="6.86"/>
    <col customWidth="1" min="185" max="185" width="7.43"/>
    <col customWidth="1" min="187" max="187" width="8.0"/>
    <col customWidth="1" min="189" max="189" width="8.0"/>
    <col customWidth="1" min="191" max="191" width="6.43"/>
    <col customWidth="1" min="192" max="192" width="7.0"/>
    <col customWidth="1" min="194" max="194" width="6.43"/>
    <col customWidth="1" min="195" max="195" width="6.57"/>
    <col customWidth="1" min="197" max="197" width="6.86"/>
    <col customWidth="1" min="198" max="198" width="7.14"/>
    <col customWidth="1" min="200" max="200" width="8.0"/>
    <col customWidth="1" min="202" max="202" width="8.0"/>
    <col customWidth="1" min="204" max="204" width="6.43"/>
    <col customWidth="1" min="205" max="205" width="7.29"/>
    <col customWidth="1" min="207" max="207" width="6.43"/>
    <col customWidth="1" min="208" max="208" width="8.0"/>
    <col customWidth="1" min="210" max="210" width="6.86"/>
    <col customWidth="1" min="211" max="211" width="7.43"/>
    <col customWidth="1" min="213" max="213" width="8.0"/>
    <col customWidth="1" min="215" max="215" width="8.0"/>
    <col customWidth="1" min="217" max="217" width="6.43"/>
    <col customWidth="1" min="218" max="218" width="7.43"/>
    <col customWidth="1" min="220" max="220" width="6.43"/>
    <col customWidth="1" min="221" max="221" width="7.86"/>
    <col customWidth="1" min="223" max="223" width="6.43"/>
    <col customWidth="1" min="224" max="224" width="7.14"/>
    <col customWidth="1" min="226" max="226" width="8.0"/>
    <col customWidth="1" min="228" max="228" width="8.0"/>
    <col customWidth="1" min="230" max="230" width="6.43"/>
    <col customWidth="1" min="231" max="231" width="7.43"/>
    <col customWidth="1" min="233" max="233" width="6.43"/>
    <col customWidth="1" min="234" max="234" width="7.14"/>
    <col customWidth="1" min="236" max="236" width="6.43"/>
    <col customWidth="1" min="237" max="237" width="7.43"/>
    <col customWidth="1" min="239" max="239" width="8.0"/>
    <col customWidth="1" min="241" max="241" width="8.0"/>
    <col customWidth="1" min="242" max="242" width="16.0"/>
    <col customWidth="1" min="243" max="243" width="4.71"/>
    <col customWidth="1" min="244" max="244" width="7.29"/>
    <col customWidth="1" min="245" max="245" width="15.71"/>
    <col customWidth="1" min="246" max="246" width="4.86"/>
    <col customWidth="1" min="247" max="247" width="6.43"/>
    <col customWidth="1" min="248" max="248" width="15.71"/>
    <col customWidth="1" min="249" max="249" width="4.14"/>
    <col customWidth="1" min="250" max="250" width="7.0"/>
    <col customWidth="1" min="251" max="251" width="15.71"/>
    <col customWidth="1" min="252" max="252" width="6.86"/>
    <col customWidth="1" min="253" max="253" width="15.71"/>
    <col customWidth="1" min="254" max="254" width="6.71"/>
  </cols>
  <sheetData>
    <row r="1">
      <c r="A1" s="1060" t="s">
        <v>2802</v>
      </c>
      <c r="B1" s="1061"/>
      <c r="C1" s="1061"/>
      <c r="D1" s="1061"/>
      <c r="E1" s="1061"/>
      <c r="F1" s="1061"/>
      <c r="G1" s="1061"/>
      <c r="H1" s="1062"/>
      <c r="I1" s="1063"/>
      <c r="J1" s="1063"/>
      <c r="K1" s="1062"/>
      <c r="L1" s="1063"/>
      <c r="M1" s="1063"/>
      <c r="N1" s="1062"/>
      <c r="O1" s="1063"/>
      <c r="P1" s="1063"/>
      <c r="Q1" s="1062"/>
      <c r="R1" s="1063"/>
      <c r="S1" s="1062"/>
      <c r="T1" s="1063"/>
      <c r="U1" s="1062"/>
      <c r="V1" s="1064"/>
      <c r="W1" s="1064"/>
      <c r="X1" s="1064"/>
      <c r="Y1" s="1064"/>
      <c r="Z1" s="1064"/>
      <c r="AA1" s="1064"/>
      <c r="AB1" s="1064"/>
      <c r="AC1" s="1064"/>
      <c r="AD1" s="1064"/>
      <c r="AE1" s="1064"/>
      <c r="AF1" s="1064"/>
      <c r="AG1" s="1064"/>
      <c r="AH1" s="1064"/>
      <c r="AI1" s="1064"/>
      <c r="AJ1" s="1064"/>
      <c r="AK1" s="1064"/>
      <c r="AL1" s="1064"/>
      <c r="AM1" s="1064"/>
      <c r="AN1" s="1064"/>
      <c r="AO1" s="1064"/>
      <c r="AP1" s="1064"/>
      <c r="AQ1" s="1064"/>
      <c r="AR1" s="1064"/>
      <c r="AS1" s="1064"/>
      <c r="AT1" s="1064"/>
      <c r="AU1" s="1064"/>
      <c r="AV1" s="1064"/>
      <c r="AW1" s="1064"/>
      <c r="AX1" s="1064"/>
      <c r="AY1" s="1064"/>
      <c r="AZ1" s="1064"/>
      <c r="BA1" s="1064"/>
      <c r="BB1" s="1064"/>
      <c r="BC1" s="1064"/>
      <c r="BD1" s="1064"/>
      <c r="BE1" s="1064"/>
      <c r="BF1" s="1064"/>
      <c r="BG1" s="1064"/>
      <c r="BH1" s="1064"/>
      <c r="BI1" s="1064"/>
      <c r="BJ1" s="1064"/>
      <c r="BK1" s="1064"/>
      <c r="BL1" s="1064"/>
      <c r="BM1" s="1064"/>
      <c r="BN1" s="1064"/>
      <c r="BO1" s="1064"/>
      <c r="BP1" s="1064"/>
      <c r="BQ1" s="1064"/>
      <c r="BR1" s="1064"/>
      <c r="BS1" s="1064"/>
      <c r="BT1" s="1064"/>
      <c r="BU1" s="1064"/>
      <c r="BV1" s="1064"/>
      <c r="BW1" s="1064"/>
      <c r="BX1" s="1064"/>
      <c r="BY1" s="1064"/>
      <c r="BZ1" s="1064"/>
      <c r="CA1" s="1065">
        <f>CA114-CA78</f>
        <v>-234938.917</v>
      </c>
      <c r="CB1" s="1064"/>
      <c r="CC1" s="1064"/>
      <c r="CD1" s="1064"/>
      <c r="CE1" s="1064"/>
      <c r="CF1" s="1064"/>
      <c r="CG1" s="1064"/>
      <c r="CH1" s="1064"/>
      <c r="CI1" s="1064"/>
      <c r="CJ1" s="1064"/>
      <c r="CK1" s="1064"/>
      <c r="CL1" s="1064"/>
      <c r="CM1" s="1064"/>
      <c r="CN1" s="1064"/>
      <c r="CO1" s="1064"/>
      <c r="CP1" s="1064"/>
      <c r="CQ1" s="1064"/>
      <c r="CR1" s="1064"/>
      <c r="CS1" s="1064"/>
      <c r="CT1" s="1064"/>
      <c r="CU1" s="1064"/>
      <c r="CV1" s="1064"/>
      <c r="CW1" s="1064"/>
      <c r="CX1" s="1064"/>
      <c r="CY1" s="1064"/>
      <c r="CZ1" s="1064"/>
      <c r="DA1" s="1064"/>
      <c r="DB1" s="1064"/>
      <c r="DC1" s="1064"/>
      <c r="DD1" s="1064"/>
      <c r="DE1" s="1064"/>
      <c r="DF1" s="1064"/>
      <c r="DG1" s="1064"/>
      <c r="DH1" s="1064"/>
      <c r="DI1" s="1064"/>
      <c r="DJ1" s="1064"/>
      <c r="DK1" s="1064"/>
      <c r="DL1" s="1064"/>
      <c r="DM1" s="1064"/>
      <c r="DN1" s="1064"/>
      <c r="DO1" s="1064"/>
      <c r="DP1" s="1064"/>
      <c r="DQ1" s="1064"/>
      <c r="DR1" s="1064"/>
      <c r="DS1" s="1064"/>
      <c r="DT1" s="1064"/>
      <c r="DU1" s="1064"/>
      <c r="DV1" s="1064"/>
      <c r="DW1" s="1064"/>
      <c r="DX1" s="1064"/>
      <c r="DY1" s="1064"/>
      <c r="DZ1" s="1064"/>
      <c r="EA1" s="1064"/>
      <c r="EB1" s="1064"/>
      <c r="EC1" s="1064"/>
      <c r="ED1" s="1064"/>
      <c r="EE1" s="1064"/>
      <c r="EF1" s="1061"/>
      <c r="EG1" s="1061"/>
      <c r="EH1" s="1061"/>
      <c r="EI1" s="1061"/>
      <c r="EJ1" s="1061"/>
      <c r="EK1" s="1061"/>
      <c r="EL1" s="1061"/>
      <c r="EM1" s="1061"/>
      <c r="EN1" s="1061"/>
      <c r="EO1" s="1061"/>
      <c r="EP1" s="1061"/>
      <c r="EQ1" s="1061"/>
      <c r="ER1" s="1061"/>
      <c r="ES1" s="1061"/>
      <c r="ET1" s="1061"/>
      <c r="EU1" s="1061"/>
      <c r="EV1" s="1061"/>
      <c r="EW1" s="1061"/>
      <c r="EX1" s="1061"/>
      <c r="EY1" s="1061"/>
      <c r="EZ1" s="1061"/>
      <c r="FA1" s="1061"/>
      <c r="FB1" s="1061"/>
      <c r="FC1" s="1061"/>
      <c r="FD1" s="1061"/>
      <c r="FE1" s="1061"/>
      <c r="FF1" s="1061"/>
      <c r="FG1" s="1061"/>
      <c r="FH1" s="1061"/>
      <c r="FI1" s="1061"/>
      <c r="FJ1" s="1061"/>
      <c r="FK1" s="1061"/>
      <c r="FL1" s="1061"/>
      <c r="FM1" s="1061"/>
      <c r="FN1" s="1061"/>
      <c r="FO1" s="1061"/>
      <c r="FP1" s="1061"/>
      <c r="FQ1" s="1061"/>
      <c r="FR1" s="1061"/>
      <c r="FS1" s="1061"/>
      <c r="FT1" s="1061"/>
      <c r="FU1" s="1061"/>
      <c r="FV1" s="1061"/>
      <c r="FW1" s="1061"/>
      <c r="FX1" s="1061"/>
      <c r="FY1" s="1061"/>
      <c r="FZ1" s="1061"/>
      <c r="GA1" s="1061"/>
      <c r="GB1" s="1061"/>
      <c r="GC1" s="1061"/>
      <c r="GD1" s="1061"/>
      <c r="GE1" s="1061"/>
      <c r="GF1" s="1061"/>
      <c r="GG1" s="1061"/>
      <c r="GH1" s="1061"/>
      <c r="GI1" s="1061"/>
      <c r="GJ1" s="1061"/>
      <c r="GK1" s="1061"/>
      <c r="GL1" s="1061"/>
      <c r="GM1" s="1061"/>
      <c r="GN1" s="1061"/>
      <c r="GO1" s="1061"/>
      <c r="GP1" s="1061"/>
      <c r="GQ1" s="1061"/>
      <c r="GR1" s="1061"/>
      <c r="GS1" s="1061"/>
      <c r="GT1" s="1061"/>
      <c r="GU1" s="1061"/>
      <c r="GV1" s="1061"/>
      <c r="GW1" s="1061"/>
      <c r="GX1" s="1061"/>
      <c r="GY1" s="1061"/>
      <c r="GZ1" s="1061"/>
      <c r="HA1" s="1061"/>
      <c r="HB1" s="1061"/>
      <c r="HC1" s="1061"/>
      <c r="HD1" s="1061"/>
      <c r="HE1" s="1061"/>
      <c r="HF1" s="1061"/>
      <c r="HG1" s="1061"/>
      <c r="HH1" s="1061"/>
      <c r="HI1" s="1061"/>
      <c r="HJ1" s="1061"/>
      <c r="HK1" s="1061"/>
      <c r="HL1" s="1061"/>
      <c r="HM1" s="1061"/>
      <c r="HN1" s="1061"/>
      <c r="HO1" s="1061"/>
      <c r="HP1" s="1061"/>
      <c r="HQ1" s="1061"/>
      <c r="HR1" s="1061"/>
      <c r="HS1" s="1061"/>
      <c r="HT1" s="1061"/>
      <c r="HU1" s="1061"/>
      <c r="HV1" s="1061"/>
      <c r="HW1" s="1061"/>
      <c r="HX1" s="1061"/>
      <c r="HY1" s="1061"/>
      <c r="HZ1" s="1061"/>
      <c r="IA1" s="1061"/>
      <c r="IB1" s="1061"/>
      <c r="IC1" s="1061"/>
      <c r="ID1" s="1061"/>
      <c r="IE1" s="1061"/>
      <c r="IF1" s="1061"/>
      <c r="IG1" s="1061"/>
      <c r="IH1" s="1061">
        <f>COLUMN()</f>
        <v>242</v>
      </c>
      <c r="II1" s="1061"/>
      <c r="IJ1" s="1061"/>
      <c r="IK1" s="1061"/>
      <c r="IL1" s="1061"/>
      <c r="IM1" s="1061"/>
      <c r="IN1" s="1061">
        <f>COLUMN()</f>
        <v>248</v>
      </c>
      <c r="IO1" s="1061"/>
      <c r="IP1" s="1061"/>
      <c r="IQ1" s="1061"/>
      <c r="IR1" s="1061"/>
      <c r="IS1" s="1061"/>
      <c r="IT1" s="1061"/>
    </row>
    <row r="2">
      <c r="A2" s="1066"/>
      <c r="B2" s="1066" t="s">
        <v>2209</v>
      </c>
      <c r="C2" s="1066" t="s">
        <v>2803</v>
      </c>
      <c r="D2" s="1067" t="s">
        <v>2804</v>
      </c>
      <c r="E2" s="1066"/>
      <c r="F2" s="1068" t="s">
        <v>2805</v>
      </c>
      <c r="G2" s="1066"/>
      <c r="H2" s="1069">
        <v>44562.0</v>
      </c>
      <c r="I2" s="454"/>
      <c r="J2" s="454"/>
      <c r="K2" s="454"/>
      <c r="L2" s="454"/>
      <c r="M2" s="454"/>
      <c r="N2" s="454"/>
      <c r="O2" s="454"/>
      <c r="P2" s="454"/>
      <c r="Q2" s="454"/>
      <c r="R2" s="454"/>
      <c r="S2" s="454"/>
      <c r="T2" s="3"/>
      <c r="U2" s="1069">
        <v>44593.0</v>
      </c>
      <c r="V2" s="454"/>
      <c r="W2" s="454"/>
      <c r="X2" s="454"/>
      <c r="Y2" s="454"/>
      <c r="Z2" s="454"/>
      <c r="AA2" s="454"/>
      <c r="AB2" s="454"/>
      <c r="AC2" s="454"/>
      <c r="AD2" s="454"/>
      <c r="AE2" s="454"/>
      <c r="AF2" s="454"/>
      <c r="AG2" s="3"/>
      <c r="AH2" s="1069">
        <v>44621.0</v>
      </c>
      <c r="AI2" s="454"/>
      <c r="AJ2" s="454"/>
      <c r="AK2" s="454"/>
      <c r="AL2" s="454"/>
      <c r="AM2" s="454"/>
      <c r="AN2" s="454"/>
      <c r="AO2" s="454"/>
      <c r="AP2" s="454"/>
      <c r="AQ2" s="454"/>
      <c r="AR2" s="454"/>
      <c r="AS2" s="454"/>
      <c r="AT2" s="3"/>
      <c r="AU2" s="1069" t="s">
        <v>2806</v>
      </c>
      <c r="AV2" s="454"/>
      <c r="AW2" s="454"/>
      <c r="AX2" s="454"/>
      <c r="AY2" s="454"/>
      <c r="AZ2" s="454"/>
      <c r="BA2" s="454"/>
      <c r="BB2" s="454"/>
      <c r="BC2" s="454"/>
      <c r="BD2" s="454"/>
      <c r="BE2" s="454"/>
      <c r="BF2" s="454"/>
      <c r="BG2" s="3"/>
      <c r="BH2" s="1069">
        <v>44652.0</v>
      </c>
      <c r="BI2" s="454"/>
      <c r="BJ2" s="454"/>
      <c r="BK2" s="454"/>
      <c r="BL2" s="454"/>
      <c r="BM2" s="454"/>
      <c r="BN2" s="454"/>
      <c r="BO2" s="454"/>
      <c r="BP2" s="454"/>
      <c r="BQ2" s="454"/>
      <c r="BR2" s="454"/>
      <c r="BS2" s="454"/>
      <c r="BT2" s="3"/>
      <c r="BU2" s="1069">
        <v>44682.0</v>
      </c>
      <c r="BV2" s="454"/>
      <c r="BW2" s="454"/>
      <c r="BX2" s="454"/>
      <c r="BY2" s="454"/>
      <c r="BZ2" s="454"/>
      <c r="CA2" s="454"/>
      <c r="CB2" s="454"/>
      <c r="CC2" s="454"/>
      <c r="CD2" s="454"/>
      <c r="CE2" s="454"/>
      <c r="CF2" s="454"/>
      <c r="CG2" s="3"/>
      <c r="CH2" s="1069">
        <v>44713.0</v>
      </c>
      <c r="CI2" s="454"/>
      <c r="CJ2" s="454"/>
      <c r="CK2" s="454"/>
      <c r="CL2" s="454"/>
      <c r="CM2" s="454"/>
      <c r="CN2" s="454"/>
      <c r="CO2" s="454"/>
      <c r="CP2" s="454"/>
      <c r="CQ2" s="454"/>
      <c r="CR2" s="454"/>
      <c r="CS2" s="454"/>
      <c r="CT2" s="3"/>
      <c r="CU2" s="1069" t="s">
        <v>2807</v>
      </c>
      <c r="CV2" s="454"/>
      <c r="CW2" s="454"/>
      <c r="CX2" s="454"/>
      <c r="CY2" s="454"/>
      <c r="CZ2" s="454"/>
      <c r="DA2" s="454"/>
      <c r="DB2" s="454"/>
      <c r="DC2" s="454"/>
      <c r="DD2" s="454"/>
      <c r="DE2" s="454"/>
      <c r="DF2" s="454"/>
      <c r="DG2" s="3"/>
      <c r="DH2" s="1069" t="s">
        <v>2808</v>
      </c>
      <c r="DI2" s="454"/>
      <c r="DJ2" s="454"/>
      <c r="DK2" s="454"/>
      <c r="DL2" s="454"/>
      <c r="DM2" s="454"/>
      <c r="DN2" s="454"/>
      <c r="DO2" s="454"/>
      <c r="DP2" s="454"/>
      <c r="DQ2" s="454"/>
      <c r="DR2" s="454"/>
      <c r="DS2" s="454"/>
      <c r="DT2" s="3"/>
      <c r="DU2" s="1069">
        <v>44743.0</v>
      </c>
      <c r="DV2" s="454"/>
      <c r="DW2" s="454"/>
      <c r="DX2" s="454"/>
      <c r="DY2" s="454"/>
      <c r="DZ2" s="454"/>
      <c r="EA2" s="454"/>
      <c r="EB2" s="454"/>
      <c r="EC2" s="454"/>
      <c r="ED2" s="454"/>
      <c r="EE2" s="454"/>
      <c r="EF2" s="454"/>
      <c r="EG2" s="3"/>
      <c r="EH2" s="1069">
        <v>44774.0</v>
      </c>
      <c r="EI2" s="454"/>
      <c r="EJ2" s="454"/>
      <c r="EK2" s="454"/>
      <c r="EL2" s="454"/>
      <c r="EM2" s="454"/>
      <c r="EN2" s="454"/>
      <c r="EO2" s="454"/>
      <c r="EP2" s="454"/>
      <c r="EQ2" s="454"/>
      <c r="ER2" s="454"/>
      <c r="ES2" s="454"/>
      <c r="ET2" s="3"/>
      <c r="EU2" s="1069">
        <v>44805.0</v>
      </c>
      <c r="EV2" s="454"/>
      <c r="EW2" s="454"/>
      <c r="EX2" s="454"/>
      <c r="EY2" s="454"/>
      <c r="EZ2" s="454"/>
      <c r="FA2" s="454"/>
      <c r="FB2" s="454"/>
      <c r="FC2" s="454"/>
      <c r="FD2" s="454"/>
      <c r="FE2" s="454"/>
      <c r="FF2" s="454"/>
      <c r="FG2" s="3"/>
      <c r="FH2" s="1069" t="s">
        <v>2809</v>
      </c>
      <c r="FI2" s="454"/>
      <c r="FJ2" s="454"/>
      <c r="FK2" s="454"/>
      <c r="FL2" s="454"/>
      <c r="FM2" s="454"/>
      <c r="FN2" s="454"/>
      <c r="FO2" s="454"/>
      <c r="FP2" s="454"/>
      <c r="FQ2" s="454"/>
      <c r="FR2" s="454"/>
      <c r="FS2" s="454"/>
      <c r="FT2" s="3"/>
      <c r="FU2" s="1069">
        <v>44835.0</v>
      </c>
      <c r="FV2" s="454"/>
      <c r="FW2" s="454"/>
      <c r="FX2" s="454"/>
      <c r="FY2" s="454"/>
      <c r="FZ2" s="454"/>
      <c r="GA2" s="454"/>
      <c r="GB2" s="454"/>
      <c r="GC2" s="454"/>
      <c r="GD2" s="454"/>
      <c r="GE2" s="454"/>
      <c r="GF2" s="454"/>
      <c r="GG2" s="3"/>
      <c r="GH2" s="1069">
        <v>44866.0</v>
      </c>
      <c r="GI2" s="454"/>
      <c r="GJ2" s="454"/>
      <c r="GK2" s="454"/>
      <c r="GL2" s="454"/>
      <c r="GM2" s="454"/>
      <c r="GN2" s="454"/>
      <c r="GO2" s="454"/>
      <c r="GP2" s="454"/>
      <c r="GQ2" s="454"/>
      <c r="GR2" s="454"/>
      <c r="GS2" s="454"/>
      <c r="GT2" s="3"/>
      <c r="GU2" s="1069">
        <v>44896.0</v>
      </c>
      <c r="GV2" s="454"/>
      <c r="GW2" s="454"/>
      <c r="GX2" s="454"/>
      <c r="GY2" s="454"/>
      <c r="GZ2" s="454"/>
      <c r="HA2" s="454"/>
      <c r="HB2" s="454"/>
      <c r="HC2" s="454"/>
      <c r="HD2" s="454"/>
      <c r="HE2" s="454"/>
      <c r="HF2" s="454"/>
      <c r="HG2" s="3"/>
      <c r="HH2" s="1069" t="s">
        <v>2810</v>
      </c>
      <c r="HI2" s="454"/>
      <c r="HJ2" s="454"/>
      <c r="HK2" s="454"/>
      <c r="HL2" s="454"/>
      <c r="HM2" s="454"/>
      <c r="HN2" s="454"/>
      <c r="HO2" s="454"/>
      <c r="HP2" s="454"/>
      <c r="HQ2" s="454"/>
      <c r="HR2" s="454"/>
      <c r="HS2" s="454"/>
      <c r="HT2" s="3"/>
      <c r="HU2" s="1069" t="s">
        <v>2811</v>
      </c>
      <c r="HV2" s="454"/>
      <c r="HW2" s="454"/>
      <c r="HX2" s="454"/>
      <c r="HY2" s="454"/>
      <c r="HZ2" s="454"/>
      <c r="IA2" s="454"/>
      <c r="IB2" s="454"/>
      <c r="IC2" s="454"/>
      <c r="ID2" s="454"/>
      <c r="IE2" s="454"/>
      <c r="IF2" s="454"/>
      <c r="IG2" s="3"/>
      <c r="IH2" s="1069" t="s">
        <v>2812</v>
      </c>
      <c r="II2" s="454"/>
      <c r="IJ2" s="454"/>
      <c r="IK2" s="454"/>
      <c r="IL2" s="454"/>
      <c r="IM2" s="454"/>
      <c r="IN2" s="454"/>
      <c r="IO2" s="454"/>
      <c r="IP2" s="454"/>
      <c r="IQ2" s="454"/>
      <c r="IR2" s="454"/>
      <c r="IS2" s="454"/>
      <c r="IT2" s="3"/>
    </row>
    <row r="3">
      <c r="A3" s="737"/>
      <c r="B3" s="737"/>
      <c r="C3" s="737"/>
      <c r="D3" s="737"/>
      <c r="E3" s="737"/>
      <c r="F3" s="737"/>
      <c r="G3" s="737"/>
      <c r="H3" s="1070" t="s">
        <v>2813</v>
      </c>
      <c r="I3" s="454"/>
      <c r="J3" s="3"/>
      <c r="K3" s="1071" t="s">
        <v>2814</v>
      </c>
      <c r="L3" s="454"/>
      <c r="M3" s="3"/>
      <c r="N3" s="1071" t="str">
        <f>IF(NOW()&gt;=DATE(YEAR(H$2),MONTH(H$2)+1,DAY(H$2)),"AC","TF")</f>
        <v>AC</v>
      </c>
      <c r="O3" s="454"/>
      <c r="P3" s="3"/>
      <c r="Q3" s="1071" t="str">
        <f>N3&amp;" vs "&amp;H3</f>
        <v>AC vs BP</v>
      </c>
      <c r="R3" s="3"/>
      <c r="S3" s="1071" t="str">
        <f>N3&amp;" vs "&amp;K3</f>
        <v>AC vs LF</v>
      </c>
      <c r="T3" s="3"/>
      <c r="U3" s="1070" t="s">
        <v>2813</v>
      </c>
      <c r="V3" s="454"/>
      <c r="W3" s="3"/>
      <c r="X3" s="1071" t="s">
        <v>2814</v>
      </c>
      <c r="Y3" s="454"/>
      <c r="Z3" s="3"/>
      <c r="AA3" s="1071" t="str">
        <f>IF(NOW()&gt;=DATE(YEAR(U$2),MONTH(U$2)+1,DAY(U$2)),"AC","TF")</f>
        <v>AC</v>
      </c>
      <c r="AB3" s="454"/>
      <c r="AC3" s="3"/>
      <c r="AD3" s="1071" t="str">
        <f>AA3&amp;" vs "&amp;U3</f>
        <v>AC vs BP</v>
      </c>
      <c r="AE3" s="3"/>
      <c r="AF3" s="1071" t="str">
        <f>AA3&amp;" vs "&amp;X3</f>
        <v>AC vs LF</v>
      </c>
      <c r="AG3" s="3"/>
      <c r="AH3" s="1070" t="s">
        <v>2813</v>
      </c>
      <c r="AI3" s="454"/>
      <c r="AJ3" s="3"/>
      <c r="AK3" s="1071" t="s">
        <v>2814</v>
      </c>
      <c r="AL3" s="454"/>
      <c r="AM3" s="3"/>
      <c r="AN3" s="1071" t="str">
        <f>IF(NOW()&gt;=DATE(YEAR(AH$2),MONTH(AH$2)+1,DAY(AH$2)),"AC","TF")</f>
        <v>AC</v>
      </c>
      <c r="AO3" s="454"/>
      <c r="AP3" s="3"/>
      <c r="AQ3" s="1071" t="str">
        <f>AN3&amp;" vs "&amp;AH3</f>
        <v>AC vs BP</v>
      </c>
      <c r="AR3" s="3"/>
      <c r="AS3" s="1071" t="str">
        <f>AN3&amp;" vs "&amp;AK3</f>
        <v>AC vs LF</v>
      </c>
      <c r="AT3" s="3"/>
      <c r="AU3" s="1070" t="s">
        <v>2813</v>
      </c>
      <c r="AV3" s="454"/>
      <c r="AW3" s="3"/>
      <c r="AX3" s="1071" t="s">
        <v>2814</v>
      </c>
      <c r="AY3" s="454"/>
      <c r="AZ3" s="3"/>
      <c r="BA3" s="1071" t="str">
        <f>IF(NOW()&gt;=DATE(YEAR(AH$2),MONTH(AH$2)+1,DAY(AH$2)),"AC","TF")</f>
        <v>AC</v>
      </c>
      <c r="BB3" s="454"/>
      <c r="BC3" s="3"/>
      <c r="BD3" s="1071" t="str">
        <f>BA3&amp;" vs "&amp;AU3</f>
        <v>AC vs BP</v>
      </c>
      <c r="BE3" s="3"/>
      <c r="BF3" s="1071" t="str">
        <f>BA3&amp;" vs "&amp;AX3</f>
        <v>AC vs LF</v>
      </c>
      <c r="BG3" s="3"/>
      <c r="BH3" s="1070" t="s">
        <v>2813</v>
      </c>
      <c r="BI3" s="454"/>
      <c r="BJ3" s="3"/>
      <c r="BK3" s="1071" t="s">
        <v>2814</v>
      </c>
      <c r="BL3" s="454"/>
      <c r="BM3" s="3"/>
      <c r="BN3" s="1071" t="str">
        <f>IF(NOW()&gt;=DATE(YEAR(BH$2),MONTH(BH$2)+1,DAY(BH$2)),"AC","TF")</f>
        <v>AC</v>
      </c>
      <c r="BO3" s="454"/>
      <c r="BP3" s="3"/>
      <c r="BQ3" s="1071" t="str">
        <f>BN3&amp;" vs "&amp;BH3</f>
        <v>AC vs BP</v>
      </c>
      <c r="BR3" s="3"/>
      <c r="BS3" s="1071" t="str">
        <f>BN3&amp;" vs "&amp;BK3</f>
        <v>AC vs LF</v>
      </c>
      <c r="BT3" s="3"/>
      <c r="BU3" s="1070" t="s">
        <v>2813</v>
      </c>
      <c r="BV3" s="454"/>
      <c r="BW3" s="3"/>
      <c r="BX3" s="1071" t="s">
        <v>2814</v>
      </c>
      <c r="BY3" s="454"/>
      <c r="BZ3" s="3"/>
      <c r="CA3" s="1071" t="str">
        <f>IF(NOW()&gt;=DATE(YEAR(BU$2),MONTH(BU$2)+1,DAY(BU$2)),"AC","TF")</f>
        <v>AC</v>
      </c>
      <c r="CB3" s="454"/>
      <c r="CC3" s="3"/>
      <c r="CD3" s="1071" t="str">
        <f>CA3&amp;" vs "&amp;BU3</f>
        <v>AC vs BP</v>
      </c>
      <c r="CE3" s="3"/>
      <c r="CF3" s="1071" t="str">
        <f>CA3&amp;" vs "&amp;BX3</f>
        <v>AC vs LF</v>
      </c>
      <c r="CG3" s="3"/>
      <c r="CH3" s="1070" t="s">
        <v>2813</v>
      </c>
      <c r="CI3" s="454"/>
      <c r="CJ3" s="3"/>
      <c r="CK3" s="1071" t="s">
        <v>2814</v>
      </c>
      <c r="CL3" s="454"/>
      <c r="CM3" s="3"/>
      <c r="CN3" s="1071" t="str">
        <f>IF(NOW()&gt;=DATE(YEAR(CH$2),MONTH(CH$2)+1,DAY(CH$2)),"AC","TF")</f>
        <v>AC</v>
      </c>
      <c r="CO3" s="454"/>
      <c r="CP3" s="3"/>
      <c r="CQ3" s="1071" t="str">
        <f>CN3&amp;" vs "&amp;CH3</f>
        <v>AC vs BP</v>
      </c>
      <c r="CR3" s="3"/>
      <c r="CS3" s="1071" t="str">
        <f>CN3&amp;" vs "&amp;CK3</f>
        <v>AC vs LF</v>
      </c>
      <c r="CT3" s="3"/>
      <c r="CU3" s="1070" t="s">
        <v>2813</v>
      </c>
      <c r="CV3" s="454"/>
      <c r="CW3" s="3"/>
      <c r="CX3" s="1071" t="s">
        <v>2814</v>
      </c>
      <c r="CY3" s="454"/>
      <c r="CZ3" s="3"/>
      <c r="DA3" s="1071" t="s">
        <v>2815</v>
      </c>
      <c r="DB3" s="454"/>
      <c r="DC3" s="3"/>
      <c r="DD3" s="1071" t="str">
        <f>DA3&amp;" vs "&amp;CU3</f>
        <v>AC vs BP</v>
      </c>
      <c r="DE3" s="3"/>
      <c r="DF3" s="1071" t="str">
        <f>DA3&amp;" vs "&amp;CX3</f>
        <v>AC vs LF</v>
      </c>
      <c r="DG3" s="3"/>
      <c r="DH3" s="1070" t="s">
        <v>2813</v>
      </c>
      <c r="DI3" s="454"/>
      <c r="DJ3" s="3"/>
      <c r="DK3" s="1071" t="s">
        <v>2814</v>
      </c>
      <c r="DL3" s="454"/>
      <c r="DM3" s="3"/>
      <c r="DN3" s="1071" t="s">
        <v>2815</v>
      </c>
      <c r="DO3" s="454"/>
      <c r="DP3" s="3"/>
      <c r="DQ3" s="1071" t="str">
        <f>DN3&amp;" vs "&amp;DH3</f>
        <v>AC vs BP</v>
      </c>
      <c r="DR3" s="3"/>
      <c r="DS3" s="1071" t="str">
        <f>DN3&amp;" vs "&amp;DK3</f>
        <v>AC vs LF</v>
      </c>
      <c r="DT3" s="3"/>
      <c r="DU3" s="1070" t="s">
        <v>2813</v>
      </c>
      <c r="DV3" s="454"/>
      <c r="DW3" s="3"/>
      <c r="DX3" s="1071" t="s">
        <v>2814</v>
      </c>
      <c r="DY3" s="454"/>
      <c r="DZ3" s="3"/>
      <c r="EA3" s="1071" t="str">
        <f>IF(NOW()&gt;=DATE(YEAR(DU$2),MONTH(DU$2)+1,DAY(DU$2)),"AC","TF")</f>
        <v>AC</v>
      </c>
      <c r="EB3" s="454"/>
      <c r="EC3" s="3"/>
      <c r="ED3" s="1071" t="str">
        <f>EA3&amp;" vs "&amp;DU3</f>
        <v>AC vs BP</v>
      </c>
      <c r="EE3" s="3"/>
      <c r="EF3" s="1071" t="str">
        <f>EA3&amp;" vs "&amp;DX3</f>
        <v>AC vs LF</v>
      </c>
      <c r="EG3" s="3"/>
      <c r="EH3" s="1070" t="s">
        <v>2813</v>
      </c>
      <c r="EI3" s="454"/>
      <c r="EJ3" s="3"/>
      <c r="EK3" s="1071" t="s">
        <v>2814</v>
      </c>
      <c r="EL3" s="454"/>
      <c r="EM3" s="3"/>
      <c r="EN3" s="1071" t="str">
        <f>IF(NOW()&gt;=DATE(YEAR(EH$2),MONTH(EH$2)+1,DAY(EH$2)),"AC","TF")</f>
        <v>AC</v>
      </c>
      <c r="EO3" s="454"/>
      <c r="EP3" s="3"/>
      <c r="EQ3" s="1071" t="str">
        <f>EN3&amp;" vs "&amp;EH3</f>
        <v>AC vs BP</v>
      </c>
      <c r="ER3" s="3"/>
      <c r="ES3" s="1071" t="str">
        <f>EN3&amp;" vs "&amp;EK3</f>
        <v>AC vs LF</v>
      </c>
      <c r="ET3" s="3"/>
      <c r="EU3" s="1070" t="s">
        <v>2813</v>
      </c>
      <c r="EV3" s="454"/>
      <c r="EW3" s="3"/>
      <c r="EX3" s="1071" t="s">
        <v>2814</v>
      </c>
      <c r="EY3" s="454"/>
      <c r="EZ3" s="3"/>
      <c r="FA3" s="1071" t="str">
        <f>IF(NOW()&gt;=DATE(YEAR(EW$2),MONTH(EW$2)+1,DAY(EW$2)),"AC","TF")</f>
        <v>TF</v>
      </c>
      <c r="FB3" s="454"/>
      <c r="FC3" s="3"/>
      <c r="FD3" s="1071" t="str">
        <f>FA3&amp;" vs "&amp;EU3</f>
        <v>TF vs BP</v>
      </c>
      <c r="FE3" s="3"/>
      <c r="FF3" s="1071" t="str">
        <f>FA3&amp;" vs "&amp;EX3</f>
        <v>TF vs LF</v>
      </c>
      <c r="FG3" s="3"/>
      <c r="FH3" s="1070" t="s">
        <v>2813</v>
      </c>
      <c r="FI3" s="454"/>
      <c r="FJ3" s="3"/>
      <c r="FK3" s="1071" t="s">
        <v>2814</v>
      </c>
      <c r="FL3" s="454"/>
      <c r="FM3" s="3"/>
      <c r="FN3" s="1071" t="s">
        <v>2815</v>
      </c>
      <c r="FO3" s="454"/>
      <c r="FP3" s="3"/>
      <c r="FQ3" s="1071" t="s">
        <v>2816</v>
      </c>
      <c r="FR3" s="3"/>
      <c r="FS3" s="1071" t="s">
        <v>2817</v>
      </c>
      <c r="FT3" s="3"/>
      <c r="FU3" s="1070" t="s">
        <v>2813</v>
      </c>
      <c r="FV3" s="454"/>
      <c r="FW3" s="3"/>
      <c r="FX3" s="1071" t="s">
        <v>2814</v>
      </c>
      <c r="FY3" s="454"/>
      <c r="FZ3" s="3"/>
      <c r="GA3" s="1071" t="str">
        <f>IF(NOW()&gt;=DATE(YEAR(FU$2),MONTH(FU$2)+1,DAY(FU$2)),"AC","TF")</f>
        <v>AC</v>
      </c>
      <c r="GB3" s="454"/>
      <c r="GC3" s="3"/>
      <c r="GD3" s="1071" t="str">
        <f>GA3&amp;" vs "&amp;FU3</f>
        <v>AC vs BP</v>
      </c>
      <c r="GE3" s="3"/>
      <c r="GF3" s="1071" t="str">
        <f>GA3&amp;" vs "&amp;FX3</f>
        <v>AC vs LF</v>
      </c>
      <c r="GG3" s="3"/>
      <c r="GH3" s="1070" t="s">
        <v>2813</v>
      </c>
      <c r="GI3" s="454"/>
      <c r="GJ3" s="3"/>
      <c r="GK3" s="1071" t="s">
        <v>2814</v>
      </c>
      <c r="GL3" s="454"/>
      <c r="GM3" s="3"/>
      <c r="GN3" s="1071" t="str">
        <f>IF(NOW()&gt;=DATE(YEAR(GH$2),MONTH(GH$2)+1,DAY(GH$2)),"AC","TF")</f>
        <v>AC</v>
      </c>
      <c r="GO3" s="454"/>
      <c r="GP3" s="3"/>
      <c r="GQ3" s="1071" t="str">
        <f>GN3&amp;" vs "&amp;GH3</f>
        <v>AC vs BP</v>
      </c>
      <c r="GR3" s="3"/>
      <c r="GS3" s="1071" t="str">
        <f>GN3&amp;" vs "&amp;GK3</f>
        <v>AC vs LF</v>
      </c>
      <c r="GT3" s="3"/>
      <c r="GU3" s="1070" t="s">
        <v>2813</v>
      </c>
      <c r="GV3" s="454"/>
      <c r="GW3" s="3"/>
      <c r="GX3" s="1071" t="s">
        <v>2814</v>
      </c>
      <c r="GY3" s="454"/>
      <c r="GZ3" s="454"/>
      <c r="HA3" s="1071" t="str">
        <f>IF(NOW()&gt;=DATE(YEAR(GU$2),MONTH(GU$2)+1,DAY(GU$2)),"AC","TF")</f>
        <v>AC</v>
      </c>
      <c r="HB3" s="454"/>
      <c r="HC3" s="3"/>
      <c r="HD3" s="1071" t="str">
        <f>HA3&amp;" vs "&amp;GU3</f>
        <v>AC vs BP</v>
      </c>
      <c r="HE3" s="3"/>
      <c r="HF3" s="1071" t="str">
        <f>HA3&amp;" vs "&amp;GX3</f>
        <v>AC vs LF</v>
      </c>
      <c r="HG3" s="3"/>
      <c r="HH3" s="1070" t="s">
        <v>2813</v>
      </c>
      <c r="HI3" s="454"/>
      <c r="HJ3" s="3"/>
      <c r="HK3" s="1071" t="s">
        <v>2814</v>
      </c>
      <c r="HL3" s="454"/>
      <c r="HM3" s="3"/>
      <c r="HN3" s="1071" t="s">
        <v>2815</v>
      </c>
      <c r="HO3" s="454"/>
      <c r="HP3" s="3"/>
      <c r="HQ3" s="1071" t="s">
        <v>2816</v>
      </c>
      <c r="HR3" s="3"/>
      <c r="HS3" s="1072" t="s">
        <v>2817</v>
      </c>
      <c r="HT3" s="3"/>
      <c r="HU3" s="1070" t="s">
        <v>2813</v>
      </c>
      <c r="HV3" s="454"/>
      <c r="HW3" s="3"/>
      <c r="HX3" s="1071" t="s">
        <v>2814</v>
      </c>
      <c r="HY3" s="454"/>
      <c r="HZ3" s="3"/>
      <c r="IA3" s="1071" t="s">
        <v>2815</v>
      </c>
      <c r="IB3" s="454"/>
      <c r="IC3" s="3"/>
      <c r="ID3" s="1071" t="s">
        <v>2816</v>
      </c>
      <c r="IE3" s="3"/>
      <c r="IF3" s="1071" t="s">
        <v>2817</v>
      </c>
      <c r="IG3" s="3"/>
      <c r="IH3" s="1070" t="s">
        <v>2813</v>
      </c>
      <c r="II3" s="454"/>
      <c r="IJ3" s="3"/>
      <c r="IK3" s="1071" t="s">
        <v>2814</v>
      </c>
      <c r="IL3" s="454"/>
      <c r="IM3" s="3"/>
      <c r="IN3" s="1071" t="s">
        <v>2815</v>
      </c>
      <c r="IO3" s="454"/>
      <c r="IP3" s="3"/>
      <c r="IQ3" s="1071" t="s">
        <v>2816</v>
      </c>
      <c r="IR3" s="3"/>
      <c r="IS3" s="1071" t="s">
        <v>2817</v>
      </c>
      <c r="IT3" s="3"/>
    </row>
    <row r="4">
      <c r="A4" s="1073" t="s">
        <v>2818</v>
      </c>
      <c r="B4" s="1074"/>
      <c r="C4" s="1074"/>
      <c r="D4" s="1074"/>
      <c r="E4" s="1075"/>
      <c r="F4" s="1076">
        <v>0.0</v>
      </c>
      <c r="G4" s="1076">
        <v>1.0</v>
      </c>
      <c r="H4" s="1077">
        <f>SUMIF($G$5:$G$18,$G$4,H$5:H$18)</f>
        <v>0</v>
      </c>
      <c r="I4" s="1078" t="s">
        <v>2819</v>
      </c>
      <c r="J4" s="1078" t="s">
        <v>2820</v>
      </c>
      <c r="K4" s="1077">
        <f>SUMIF($G$5:$G$18,$G$4,K$5:K$18)</f>
        <v>1000000</v>
      </c>
      <c r="L4" s="1078" t="s">
        <v>2819</v>
      </c>
      <c r="M4" s="1078" t="s">
        <v>2820</v>
      </c>
      <c r="N4" s="1077">
        <f>SUMIF($G$5:$G$18,$G$4,N$5:N$18)</f>
        <v>3418460</v>
      </c>
      <c r="O4" s="1078" t="s">
        <v>2819</v>
      </c>
      <c r="P4" s="1078" t="s">
        <v>2820</v>
      </c>
      <c r="Q4" s="1077">
        <f>SUMIF($G$5:$G$18,$G$4,Q$5:Q$18)</f>
        <v>3418460</v>
      </c>
      <c r="R4" s="1078" t="s">
        <v>2056</v>
      </c>
      <c r="S4" s="1077">
        <f>SUMIF($G$5:$G$18,$G$4,S$5:S$18)</f>
        <v>2418460</v>
      </c>
      <c r="T4" s="1078" t="s">
        <v>2056</v>
      </c>
      <c r="U4" s="1077">
        <f>SUMIF($G$5:$G$18,$G$4,U$5:U$18)</f>
        <v>0</v>
      </c>
      <c r="V4" s="1078" t="s">
        <v>2819</v>
      </c>
      <c r="W4" s="1078" t="s">
        <v>2820</v>
      </c>
      <c r="X4" s="1077">
        <f>SUMIF($G$5:$G$18,$G$4,X$5:X$18)</f>
        <v>0</v>
      </c>
      <c r="Y4" s="1078" t="s">
        <v>2819</v>
      </c>
      <c r="Z4" s="1078" t="s">
        <v>2820</v>
      </c>
      <c r="AA4" s="1077">
        <f>SUMIF($G$5:$G$18,$G$4,AA$5:AA$18)</f>
        <v>1930000</v>
      </c>
      <c r="AB4" s="1078" t="s">
        <v>2819</v>
      </c>
      <c r="AC4" s="1078" t="s">
        <v>2820</v>
      </c>
      <c r="AD4" s="1077">
        <f>SUMIF($G$5:$G$18,$G$4,AD$5:AD$18)</f>
        <v>1930000</v>
      </c>
      <c r="AE4" s="1078" t="s">
        <v>2056</v>
      </c>
      <c r="AF4" s="1077">
        <f>SUMIF($G$5:$G$18,$G$4,AF$5:AF$18)</f>
        <v>1930000</v>
      </c>
      <c r="AG4" s="1078" t="s">
        <v>2056</v>
      </c>
      <c r="AH4" s="1077">
        <f>SUMIF($G$5:$G$18,$G$4,AH$5:AH$18)</f>
        <v>0</v>
      </c>
      <c r="AI4" s="1078" t="s">
        <v>2819</v>
      </c>
      <c r="AJ4" s="1078" t="s">
        <v>2820</v>
      </c>
      <c r="AK4" s="1077">
        <f>SUMIF($G$5:$G$18,$G$4,AK$5:AK$18)</f>
        <v>30000000</v>
      </c>
      <c r="AL4" s="1078" t="s">
        <v>2819</v>
      </c>
      <c r="AM4" s="1078" t="s">
        <v>2820</v>
      </c>
      <c r="AN4" s="1077">
        <f>SUMIF($G$5:$G$18,$G$4,AN$5:AN$18)</f>
        <v>9006005</v>
      </c>
      <c r="AO4" s="1078" t="s">
        <v>2819</v>
      </c>
      <c r="AP4" s="1078" t="s">
        <v>2820</v>
      </c>
      <c r="AQ4" s="1077">
        <f>SUMIF($G$5:$G$18,$G$4,AQ$5:AQ$18)</f>
        <v>9006005</v>
      </c>
      <c r="AR4" s="1078" t="s">
        <v>2056</v>
      </c>
      <c r="AS4" s="1077">
        <f>SUM(AS5:AS18)</f>
        <v>-41987990</v>
      </c>
      <c r="AT4" s="1078" t="s">
        <v>2056</v>
      </c>
      <c r="AU4" s="1077">
        <f>SUMIF($G$5:$G$18,$G$4,AU$5:AU$18)</f>
        <v>0</v>
      </c>
      <c r="AV4" s="1078" t="s">
        <v>2819</v>
      </c>
      <c r="AW4" s="1078" t="s">
        <v>2820</v>
      </c>
      <c r="AX4" s="1077">
        <f>SUMIF($G$5:$G$18,$G$4,AX$5:AX$18)</f>
        <v>31000000</v>
      </c>
      <c r="AY4" s="1078" t="s">
        <v>2819</v>
      </c>
      <c r="AZ4" s="1078" t="s">
        <v>2820</v>
      </c>
      <c r="BA4" s="1077">
        <f>SUMIF($G$5:$G$18,$G$4,BA$5:BA$18)</f>
        <v>14354465</v>
      </c>
      <c r="BB4" s="1078" t="s">
        <v>2819</v>
      </c>
      <c r="BC4" s="1078" t="s">
        <v>2820</v>
      </c>
      <c r="BD4" s="1077">
        <f>SUMIF($G$5:$G$18,$G$4,BD$5:BD$18)</f>
        <v>14354465</v>
      </c>
      <c r="BE4" s="1078" t="s">
        <v>2056</v>
      </c>
      <c r="BF4" s="1077">
        <f>SUMIF($G$5:$G$18,$G$4,BF$5:BF$18)</f>
        <v>-16645535</v>
      </c>
      <c r="BG4" s="1078" t="s">
        <v>2056</v>
      </c>
      <c r="BH4" s="1077">
        <f>SUMIF($G$5:$G$18,$G$4,BH$5:BH$18)</f>
        <v>33333333.33</v>
      </c>
      <c r="BI4" s="1078" t="s">
        <v>2819</v>
      </c>
      <c r="BJ4" s="1078" t="s">
        <v>2820</v>
      </c>
      <c r="BK4" s="1077">
        <f>SUMIF($G$5:$G$18,$G$4,BK$5:BK$18)</f>
        <v>20000000</v>
      </c>
      <c r="BL4" s="1078" t="s">
        <v>2819</v>
      </c>
      <c r="BM4" s="1078" t="s">
        <v>2820</v>
      </c>
      <c r="BN4" s="1077">
        <f>SUMIF($G$5:$G$18,$G$4,BN$5:BN$18)</f>
        <v>18172670</v>
      </c>
      <c r="BO4" s="1078" t="s">
        <v>2819</v>
      </c>
      <c r="BP4" s="1078" t="s">
        <v>2820</v>
      </c>
      <c r="BQ4" s="1077">
        <f>SUMIF($G$5:$G$18,$G$4,BQ$5:BQ$18)</f>
        <v>-15160663.33</v>
      </c>
      <c r="BR4" s="1078" t="s">
        <v>2056</v>
      </c>
      <c r="BS4" s="1077">
        <f>SUMIF($G$5:$G$18,$G$4,BS$5:BS$18)</f>
        <v>-1827330</v>
      </c>
      <c r="BT4" s="1078" t="s">
        <v>2056</v>
      </c>
      <c r="BU4" s="1077">
        <f>SUMIF($G$5:$G$18,$G$4,BU$5:BU$18)</f>
        <v>33333333.33</v>
      </c>
      <c r="BV4" s="1078" t="s">
        <v>2056</v>
      </c>
      <c r="BW4" s="1078">
        <v>1.0000000000000002</v>
      </c>
      <c r="BX4" s="1077">
        <f>SUMIF($G$5:$G$18,$G$4,BX$5:BX$18)</f>
        <v>11984804</v>
      </c>
      <c r="BY4" s="1078" t="s">
        <v>2819</v>
      </c>
      <c r="BZ4" s="1078" t="s">
        <v>2820</v>
      </c>
      <c r="CA4" s="1077">
        <f>SUMIF($G$5:$G$18,$G$4,CA$5:CA$18)</f>
        <v>3863100</v>
      </c>
      <c r="CB4" s="1078" t="s">
        <v>2819</v>
      </c>
      <c r="CC4" s="1078" t="s">
        <v>2820</v>
      </c>
      <c r="CD4" s="1077">
        <f>SUMIF($G$5:$G$18,$G$4,CD$5:CD$18)</f>
        <v>-29470233.33</v>
      </c>
      <c r="CE4" s="1078" t="s">
        <v>2056</v>
      </c>
      <c r="CF4" s="1077">
        <f>SUMIF($G$5:$G$18,$G$4,CF$5:CF$18)</f>
        <v>-8121704</v>
      </c>
      <c r="CG4" s="1078" t="s">
        <v>2056</v>
      </c>
      <c r="CH4" s="1077">
        <f>SUMIF($G$5:$G$18,$G$4,CH$5:CH$18)</f>
        <v>33333333.33</v>
      </c>
      <c r="CI4" s="1078" t="s">
        <v>2819</v>
      </c>
      <c r="CJ4" s="1078" t="s">
        <v>2820</v>
      </c>
      <c r="CK4" s="1077">
        <f>SUMIF($G$5:$G$18,$G$4,CK$5:CK$18)</f>
        <v>0</v>
      </c>
      <c r="CL4" s="1078" t="s">
        <v>2819</v>
      </c>
      <c r="CM4" s="1078" t="s">
        <v>2820</v>
      </c>
      <c r="CN4" s="1077">
        <f>SUMIF($G$5:$G$18,$G$4,CN$5:CN$18)</f>
        <v>1218200</v>
      </c>
      <c r="CO4" s="1078" t="s">
        <v>2819</v>
      </c>
      <c r="CP4" s="1078" t="s">
        <v>2820</v>
      </c>
      <c r="CQ4" s="1077">
        <f>SUMIF($G$5:$G$18,$G$4,CQ$5:CQ$18)</f>
        <v>-32115133.33</v>
      </c>
      <c r="CR4" s="1078" t="s">
        <v>2056</v>
      </c>
      <c r="CS4" s="1077">
        <f>SUMIF($G$5:$G$18,$G$4,CS$5:CS$18)</f>
        <v>1218200</v>
      </c>
      <c r="CT4" s="1078" t="s">
        <v>2056</v>
      </c>
      <c r="CU4" s="1077">
        <f>SUMIF($G$5:$G$18,$G$4,CU$5:CU$18)</f>
        <v>100000000</v>
      </c>
      <c r="CV4" s="1078" t="s">
        <v>2819</v>
      </c>
      <c r="CW4" s="1078" t="s">
        <v>2820</v>
      </c>
      <c r="CX4" s="1077">
        <f>SUMIF($G$5:$G$18,$G$4,CX$5:CX$18)</f>
        <v>31984804</v>
      </c>
      <c r="CY4" s="1078" t="s">
        <v>2819</v>
      </c>
      <c r="CZ4" s="1078" t="s">
        <v>2820</v>
      </c>
      <c r="DA4" s="1077">
        <f>SUMIF($G$5:$G$18,$G$4,DA$5:DA$18)</f>
        <v>23253970</v>
      </c>
      <c r="DB4" s="1078" t="s">
        <v>2819</v>
      </c>
      <c r="DC4" s="1078" t="s">
        <v>2820</v>
      </c>
      <c r="DD4" s="1077">
        <f>SUMIF($G$5:$G$18,$G$4,DD$5:DD$18)</f>
        <v>-76746030</v>
      </c>
      <c r="DE4" s="1078" t="s">
        <v>2056</v>
      </c>
      <c r="DF4" s="1077">
        <f>SUMIF($G$5:$G$18,$G$4,DF$5:DF$18)</f>
        <v>-8730834</v>
      </c>
      <c r="DG4" s="1078" t="s">
        <v>2056</v>
      </c>
      <c r="DH4" s="1077">
        <f>SUMIF($G$5:$G$18,$G$4,DH$5:DH$18)</f>
        <v>100000000</v>
      </c>
      <c r="DI4" s="1078" t="s">
        <v>2819</v>
      </c>
      <c r="DJ4" s="1078" t="s">
        <v>2820</v>
      </c>
      <c r="DK4" s="1077">
        <f>SUMIF($G$5:$G$18,$G$4,DK$5:DK$18)</f>
        <v>62984804</v>
      </c>
      <c r="DL4" s="1078" t="s">
        <v>2819</v>
      </c>
      <c r="DM4" s="1078" t="s">
        <v>2820</v>
      </c>
      <c r="DN4" s="1077">
        <f>SUMIF($G$5:$G$18,$G$4,DN$5:DN$18)</f>
        <v>37608435</v>
      </c>
      <c r="DO4" s="1078" t="s">
        <v>2819</v>
      </c>
      <c r="DP4" s="1078" t="s">
        <v>2820</v>
      </c>
      <c r="DQ4" s="1077">
        <f>SUMIF($G$5:$G$18,$G$4,DQ$5:DQ$18)</f>
        <v>-62391565</v>
      </c>
      <c r="DR4" s="1078" t="s">
        <v>2056</v>
      </c>
      <c r="DS4" s="1077">
        <f>SUMIF($G$5:$G$18,$G$4,DS$5:DS$18)</f>
        <v>-25376369</v>
      </c>
      <c r="DT4" s="1078" t="s">
        <v>2056</v>
      </c>
      <c r="DU4" s="1077">
        <f>SUMIF($G$5:$G$18,$G$4,DU$5:DU$18)</f>
        <v>33333333.33</v>
      </c>
      <c r="DV4" s="1078" t="s">
        <v>2819</v>
      </c>
      <c r="DW4" s="1078" t="s">
        <v>2820</v>
      </c>
      <c r="DX4" s="1077">
        <f>SUMIF($G$5:$G$18,$G$4,DX$5:DX$18)</f>
        <v>53333333</v>
      </c>
      <c r="DY4" s="1078" t="s">
        <v>2819</v>
      </c>
      <c r="DZ4" s="1078" t="s">
        <v>2820</v>
      </c>
      <c r="EA4" s="1077">
        <f>SUMIF($G$5:$G$18,$G$4,EA$5:EA$18)</f>
        <v>0</v>
      </c>
      <c r="EB4" s="1078" t="s">
        <v>2819</v>
      </c>
      <c r="EC4" s="1078" t="s">
        <v>2820</v>
      </c>
      <c r="ED4" s="1077">
        <f>SUMIF($G$5:$G$18,$G$4,ED$5:ED$18)</f>
        <v>-33333333.33</v>
      </c>
      <c r="EE4" s="1078" t="s">
        <v>2056</v>
      </c>
      <c r="EF4" s="1077">
        <f>SUMIF($G$5:$G$18,$G$4,EF$5:EF$18)</f>
        <v>-53333333</v>
      </c>
      <c r="EG4" s="1078" t="s">
        <v>2056</v>
      </c>
      <c r="EH4" s="1077">
        <f>SUMIF($G$5:$G$18,$G$4,EH$5:EH$18)</f>
        <v>33333333.33</v>
      </c>
      <c r="EI4" s="1078" t="s">
        <v>2819</v>
      </c>
      <c r="EJ4" s="1078" t="s">
        <v>2820</v>
      </c>
      <c r="EK4" s="1077">
        <f>SUMIF($G$5:$G$18,$G$4,EK$5:EK$18)</f>
        <v>53333333</v>
      </c>
      <c r="EL4" s="1078" t="s">
        <v>2819</v>
      </c>
      <c r="EM4" s="1078" t="s">
        <v>2820</v>
      </c>
      <c r="EN4" s="1077">
        <f>SUMIF($G$5:$G$18,$G$4,EN$5:EN$18)</f>
        <v>0</v>
      </c>
      <c r="EO4" s="1078" t="s">
        <v>2819</v>
      </c>
      <c r="EP4" s="1078" t="s">
        <v>2820</v>
      </c>
      <c r="EQ4" s="1077">
        <f>SUMIF($G$5:$G$18,$G$4,EQ$5:EQ$18)</f>
        <v>-33333333.33</v>
      </c>
      <c r="ER4" s="1078" t="s">
        <v>2056</v>
      </c>
      <c r="ES4" s="1077">
        <f>SUMIF($G$5:$G$18,$G$4,ES$5:ES$18)</f>
        <v>-53333333</v>
      </c>
      <c r="ET4" s="1079" t="s">
        <v>2056</v>
      </c>
      <c r="EU4" s="1077">
        <f>SUMIF($G$5:$G$18,$G$4,EU$5:EU$18)</f>
        <v>33333333.33</v>
      </c>
      <c r="EV4" s="1078" t="s">
        <v>2819</v>
      </c>
      <c r="EW4" s="1078" t="s">
        <v>2820</v>
      </c>
      <c r="EX4" s="1077">
        <f>SUMIF($G$5:$G$18,$G$4,EX$5:EX$18)</f>
        <v>53333333</v>
      </c>
      <c r="EY4" s="1078" t="s">
        <v>2819</v>
      </c>
      <c r="EZ4" s="1078" t="s">
        <v>2820</v>
      </c>
      <c r="FA4" s="1077">
        <f>SUMIF($G$5:$G$18,$G$4,FA$5:FA$18)</f>
        <v>0</v>
      </c>
      <c r="FB4" s="1078" t="s">
        <v>2819</v>
      </c>
      <c r="FC4" s="1078" t="s">
        <v>2820</v>
      </c>
      <c r="FD4" s="1077">
        <f>SUMIF($G$5:$G$18,$G$4,FD$5:FD$18)</f>
        <v>-33333333.33</v>
      </c>
      <c r="FE4" s="1078" t="s">
        <v>2056</v>
      </c>
      <c r="FF4" s="1077">
        <f>SUMIF($G$5:$G$18,$G$4,FF$5:FF$18)</f>
        <v>-53333333</v>
      </c>
      <c r="FG4" s="1079" t="s">
        <v>2056</v>
      </c>
      <c r="FH4" s="1077">
        <f>SUMIF($G$5:$G$18,$G$4,FH$5:FH$18)</f>
        <v>100000000</v>
      </c>
      <c r="FI4" s="1078" t="s">
        <v>2819</v>
      </c>
      <c r="FJ4" s="1078" t="s">
        <v>2820</v>
      </c>
      <c r="FK4" s="1077">
        <f>SUMIF($G$5:$G$18,$G$4,FK$5:FK$18)</f>
        <v>159999999</v>
      </c>
      <c r="FL4" s="1078" t="s">
        <v>2819</v>
      </c>
      <c r="FM4" s="1078" t="s">
        <v>2820</v>
      </c>
      <c r="FN4" s="1077">
        <f>SUMIF($G$5:$G$18,$G$4,FN$5:FN$18)</f>
        <v>0</v>
      </c>
      <c r="FO4" s="1078" t="s">
        <v>2819</v>
      </c>
      <c r="FP4" s="1078" t="s">
        <v>2820</v>
      </c>
      <c r="FQ4" s="1077">
        <f>SUMIF($G$5:$G$18,$G$4,FQ$5:FQ$18)</f>
        <v>-100000000</v>
      </c>
      <c r="FR4" s="1078" t="s">
        <v>2056</v>
      </c>
      <c r="FS4" s="1077">
        <f>SUMIF($G$5:$G$18,$G$4,FS$5:FS$18)</f>
        <v>-159999999</v>
      </c>
      <c r="FT4" s="1078" t="s">
        <v>2056</v>
      </c>
      <c r="FU4" s="1077">
        <f>SUMIF($G$5:$G$18,$G$4,FU$5:FU$18)</f>
        <v>33333333.33</v>
      </c>
      <c r="FV4" s="1078" t="s">
        <v>2819</v>
      </c>
      <c r="FW4" s="1078" t="s">
        <v>2820</v>
      </c>
      <c r="FX4" s="1077">
        <f>SUMIF($G$5:$G$18,$G$4,FX$5:FX$18)</f>
        <v>53333333</v>
      </c>
      <c r="FY4" s="1078" t="s">
        <v>2819</v>
      </c>
      <c r="FZ4" s="1078" t="s">
        <v>2820</v>
      </c>
      <c r="GA4" s="1077">
        <f>SUMIF($G$5:$G$18,$G$4,GA$5:GA$18)</f>
        <v>0</v>
      </c>
      <c r="GB4" s="1078" t="s">
        <v>2819</v>
      </c>
      <c r="GC4" s="1078" t="s">
        <v>2820</v>
      </c>
      <c r="GD4" s="1077">
        <f>SUMIF($G$5:$G$18,$G$4,GD$5:GD$18)</f>
        <v>-33333333.33</v>
      </c>
      <c r="GE4" s="1078" t="s">
        <v>2056</v>
      </c>
      <c r="GF4" s="1077">
        <f>SUMIF($G$5:$G$18,$G$4,GF$5:GF$18)</f>
        <v>-53333333</v>
      </c>
      <c r="GG4" s="1079" t="s">
        <v>2056</v>
      </c>
      <c r="GH4" s="1077">
        <f>SUMIF($G$5:$G$18,$G$4,GH$5:GH$18)</f>
        <v>33333333.33</v>
      </c>
      <c r="GI4" s="1078" t="s">
        <v>2819</v>
      </c>
      <c r="GJ4" s="1078" t="s">
        <v>2820</v>
      </c>
      <c r="GK4" s="1077">
        <f>SUMIF($G$5:$G$18,$G$4,GK$5:GK$18)</f>
        <v>53333333</v>
      </c>
      <c r="GL4" s="1078" t="s">
        <v>2819</v>
      </c>
      <c r="GM4" s="1078" t="s">
        <v>2820</v>
      </c>
      <c r="GN4" s="1077">
        <f>SUMIF($G$5:$G$18,$G$4,GN$5:GN$18)</f>
        <v>0</v>
      </c>
      <c r="GO4" s="1078" t="s">
        <v>2819</v>
      </c>
      <c r="GP4" s="1078" t="s">
        <v>2820</v>
      </c>
      <c r="GQ4" s="1077">
        <f>SUMIF($G$5:$G$18,$G$4,GQ$5:GQ$18)</f>
        <v>-33333333.33</v>
      </c>
      <c r="GR4" s="1078" t="s">
        <v>2056</v>
      </c>
      <c r="GS4" s="1077">
        <f>SUMIF($G$5:$G$18,$G$4,GS$5:GS$18)</f>
        <v>-53333333</v>
      </c>
      <c r="GT4" s="1078" t="s">
        <v>2056</v>
      </c>
      <c r="GU4" s="1077">
        <f>SUMIF($G$5:$G$18,$G$4,GU$5:GU$18)</f>
        <v>33333333.33</v>
      </c>
      <c r="GV4" s="1078" t="s">
        <v>2819</v>
      </c>
      <c r="GW4" s="1078" t="s">
        <v>2820</v>
      </c>
      <c r="GX4" s="1077">
        <f>SUMIF($G$5:$G$18,$G$4,GX$5:GX$18)</f>
        <v>53333333</v>
      </c>
      <c r="GY4" s="1078" t="s">
        <v>2819</v>
      </c>
      <c r="GZ4" s="1078" t="s">
        <v>2820</v>
      </c>
      <c r="HA4" s="1077">
        <f>SUMIF($G$5:$G$18,$G$4,HA$5:HA$18)</f>
        <v>0</v>
      </c>
      <c r="HB4" s="1078" t="s">
        <v>2819</v>
      </c>
      <c r="HC4" s="1078" t="s">
        <v>2820</v>
      </c>
      <c r="HD4" s="1077">
        <f>SUMIF($G$5:$G$18,$G$4,HD$5:HD$18)</f>
        <v>-33333333.33</v>
      </c>
      <c r="HE4" s="1078" t="s">
        <v>2056</v>
      </c>
      <c r="HF4" s="1077">
        <f>SUMIF($G$5:$G$18,$G$4,HF$5:HF$18)</f>
        <v>-53333333</v>
      </c>
      <c r="HG4" s="1078" t="s">
        <v>2056</v>
      </c>
      <c r="HH4" s="1077">
        <f>SUMIF($G$5:$G$18,$G$4,HH$5:HH$18)</f>
        <v>100000000</v>
      </c>
      <c r="HI4" s="1078" t="s">
        <v>2819</v>
      </c>
      <c r="HJ4" s="1078" t="s">
        <v>2820</v>
      </c>
      <c r="HK4" s="1077">
        <f>SUMIF($G$5:$G$18,$G$4,HK$5:HK$18)</f>
        <v>159999999</v>
      </c>
      <c r="HL4" s="1078" t="s">
        <v>2819</v>
      </c>
      <c r="HM4" s="1078" t="s">
        <v>2820</v>
      </c>
      <c r="HN4" s="1077">
        <f>SUMIF($G$5:$G$18,$G$4,HN$5:HN$18)</f>
        <v>0</v>
      </c>
      <c r="HO4" s="1078" t="s">
        <v>2819</v>
      </c>
      <c r="HP4" s="1078" t="s">
        <v>2820</v>
      </c>
      <c r="HQ4" s="1077">
        <f>SUMIF($G$5:$G$18,$G$4,HQ$5:HQ$18)</f>
        <v>-100000000</v>
      </c>
      <c r="HR4" s="1078" t="s">
        <v>2056</v>
      </c>
      <c r="HS4" s="1077">
        <f>SUMIF($G$5:$G$18,$G$4,HS$5:HS$18)</f>
        <v>-159999999</v>
      </c>
      <c r="HT4" s="1078" t="s">
        <v>2056</v>
      </c>
      <c r="HU4" s="1077">
        <f>SUMIF($G$5:$G$18,$G$4,HU$5:HU$18)</f>
        <v>200000000</v>
      </c>
      <c r="HV4" s="1078" t="s">
        <v>2819</v>
      </c>
      <c r="HW4" s="1078" t="s">
        <v>2820</v>
      </c>
      <c r="HX4" s="1077">
        <f>SUMIF($G$5:$G$18,$G$4,HX$5:HX$18)</f>
        <v>319999998</v>
      </c>
      <c r="HY4" s="1078" t="s">
        <v>2819</v>
      </c>
      <c r="HZ4" s="1078" t="s">
        <v>2820</v>
      </c>
      <c r="IA4" s="1077">
        <f>SUMIF($G$5:$G$18,$G$4,IA$5:IA$18)</f>
        <v>0</v>
      </c>
      <c r="IB4" s="1078" t="s">
        <v>2819</v>
      </c>
      <c r="IC4" s="1078" t="s">
        <v>2820</v>
      </c>
      <c r="ID4" s="1077">
        <f>SUMIF($G$5:$G$18,$G$4,ID$5:ID$18)</f>
        <v>-200000000</v>
      </c>
      <c r="IE4" s="1078" t="s">
        <v>2056</v>
      </c>
      <c r="IF4" s="1077">
        <f>SUMIF($G$5:$G$18,$G$4,IF$5:IF$18)</f>
        <v>-319999998</v>
      </c>
      <c r="IG4" s="1078" t="s">
        <v>2056</v>
      </c>
      <c r="IH4" s="1077">
        <f>SUMIF($G$5:$G$18,$G$4,IH$5:IH$18)</f>
        <v>300000000</v>
      </c>
      <c r="II4" s="1078" t="s">
        <v>2819</v>
      </c>
      <c r="IJ4" s="1078" t="s">
        <v>2820</v>
      </c>
      <c r="IK4" s="1077">
        <f>SUMIF($G$5:$G$18,$G$4,IK$5:IK$18)</f>
        <v>382984802</v>
      </c>
      <c r="IL4" s="1078" t="s">
        <v>2819</v>
      </c>
      <c r="IM4" s="1078" t="s">
        <v>2820</v>
      </c>
      <c r="IN4" s="1077">
        <f>SUMIF($G$5:$G$18,$G$4,IN$5:IN$18)</f>
        <v>37608435</v>
      </c>
      <c r="IO4" s="1078" t="s">
        <v>2819</v>
      </c>
      <c r="IP4" s="1078" t="s">
        <v>2820</v>
      </c>
      <c r="IQ4" s="1077">
        <f>SUMIF($G$5:$G$18,$G$4,IQ$5:IQ$18)</f>
        <v>-262391565</v>
      </c>
      <c r="IR4" s="1078">
        <f t="shared" ref="IR4:IR121" si="1">IFERROR(IQ4/IH4,"")</f>
        <v>-0.87463855</v>
      </c>
      <c r="IS4" s="1077">
        <f>SUMIF($G$5:$G$18,$G$4,IS$5:IS$18)</f>
        <v>-345376367</v>
      </c>
      <c r="IT4" s="1078">
        <f t="shared" ref="IT4:IT121" si="2">IFERROR(IS4/IK4,"")</f>
        <v>-0.9018017561</v>
      </c>
    </row>
    <row r="5">
      <c r="A5" s="1080" t="str">
        <f t="shared" ref="A5:A18" si="3">IF(C5="","",COUNTA(C$5:C5))</f>
        <v/>
      </c>
      <c r="B5" s="1081" t="s">
        <v>2066</v>
      </c>
      <c r="C5" s="1081"/>
      <c r="D5" s="1081" t="str">
        <f>IF(C5&gt;0,VLOOKUP(C5,DM_DUAN ,2,"") ,IF(B5&gt;0,VLOOKUP(B5,DM_CDT,2,""),""))</f>
        <v>THÀNH NAM</v>
      </c>
      <c r="E5" s="1081" t="s">
        <v>198</v>
      </c>
      <c r="F5" s="1081"/>
      <c r="G5" s="1082">
        <v>1.0</v>
      </c>
      <c r="H5" s="1083">
        <f>SUMIF($B6:$B$18,$B5,H6:H$18)</f>
        <v>0</v>
      </c>
      <c r="I5" s="1084" t="str">
        <f t="shared" ref="I5:I19" si="4">IFERROR(H5/H$4,"")</f>
        <v/>
      </c>
      <c r="J5" s="3"/>
      <c r="K5" s="1083">
        <f>SUMIF($B6:$B$18,$B5,K6:K$18)</f>
        <v>1000000</v>
      </c>
      <c r="L5" s="1084">
        <f t="shared" ref="L5:L19" si="5">IFERROR(K5/K$4,"")</f>
        <v>1</v>
      </c>
      <c r="M5" s="3"/>
      <c r="N5" s="1083">
        <f>SUMIF($B6:$B$18,$B5,N6:N$18)</f>
        <v>3418460</v>
      </c>
      <c r="O5" s="1084">
        <f t="shared" ref="O5:O19" si="6">IFERROR(N5/N$4,"")</f>
        <v>1</v>
      </c>
      <c r="P5" s="3"/>
      <c r="Q5" s="1083">
        <f t="shared" ref="Q5:Q18" si="7">N5-H5</f>
        <v>3418460</v>
      </c>
      <c r="R5" s="1085" t="str">
        <f t="shared" ref="R5:R121" si="8">IFERROR(Q5/H5,"")</f>
        <v/>
      </c>
      <c r="S5" s="1083">
        <f t="shared" ref="S5:S18" si="9">N5-K5</f>
        <v>2418460</v>
      </c>
      <c r="T5" s="1085">
        <f t="shared" ref="T5:T121" si="10">IFERROR(S5/K5,"")</f>
        <v>2.41846</v>
      </c>
      <c r="U5" s="1083">
        <f>SUMIF($B6:$B$18,$B5,U6:U$18)</f>
        <v>0</v>
      </c>
      <c r="V5" s="1084" t="str">
        <f t="shared" ref="V5:V19" si="11">IFERROR(U5/U$4,"")</f>
        <v/>
      </c>
      <c r="W5" s="3"/>
      <c r="X5" s="1083">
        <f>SUMIF($B6:$B$18,$B5,X6:X$18)</f>
        <v>0</v>
      </c>
      <c r="Y5" s="1084" t="str">
        <f t="shared" ref="Y5:Y19" si="12">IFERROR(X5/X$4,"")</f>
        <v/>
      </c>
      <c r="Z5" s="3"/>
      <c r="AA5" s="1083">
        <f>SUMIF($B6:$B$18,$B5,AA6:AA$18)</f>
        <v>1930000</v>
      </c>
      <c r="AB5" s="1084">
        <f t="shared" ref="AB5:AB19" si="13">IFERROR(AA5/AA$4,"")</f>
        <v>1</v>
      </c>
      <c r="AC5" s="3"/>
      <c r="AD5" s="1083">
        <f t="shared" ref="AD5:AD18" si="14">AA5-U5</f>
        <v>1930000</v>
      </c>
      <c r="AE5" s="1085" t="str">
        <f t="shared" ref="AE5:AE121" si="15">IFERROR(AD5/U5,"")</f>
        <v/>
      </c>
      <c r="AF5" s="1083">
        <f t="shared" ref="AF5:AF18" si="16">AA5-X5</f>
        <v>1930000</v>
      </c>
      <c r="AG5" s="1085" t="str">
        <f t="shared" ref="AG5:AG121" si="17">IFERROR(AF5/X5,"")</f>
        <v/>
      </c>
      <c r="AH5" s="1083">
        <f>SUMIF($B6:$B$18,$B5,AH6:AH$18)</f>
        <v>0</v>
      </c>
      <c r="AI5" s="1084" t="str">
        <f t="shared" ref="AI5:AI19" si="18">IFERROR(AH5/AH$4,"")</f>
        <v/>
      </c>
      <c r="AJ5" s="3"/>
      <c r="AK5" s="1083">
        <f>SUMIF($B6:$B$18,$B5,AK6:AK$18)</f>
        <v>30000000</v>
      </c>
      <c r="AL5" s="1084">
        <f t="shared" ref="AL5:AL19" si="19">IFERROR(AK5/AK$4,"")</f>
        <v>1</v>
      </c>
      <c r="AM5" s="3"/>
      <c r="AN5" s="1083">
        <f>SUMIF($B6:$B$18,$B5,AN6:AN$18)</f>
        <v>9006005</v>
      </c>
      <c r="AO5" s="1084">
        <f t="shared" ref="AO5:AO18" si="20">IFERROR(AN5/AN$4,"")</f>
        <v>1</v>
      </c>
      <c r="AP5" s="3"/>
      <c r="AQ5" s="1083">
        <f t="shared" ref="AQ5:AQ18" si="21">AN5-AH5</f>
        <v>9006005</v>
      </c>
      <c r="AR5" s="1085" t="str">
        <f t="shared" ref="AR5:AR121" si="22">IFERROR(AQ5/AH5,"")</f>
        <v/>
      </c>
      <c r="AS5" s="1083">
        <f t="shared" ref="AS5:AS18" si="23">AN5-AK5</f>
        <v>-20993995</v>
      </c>
      <c r="AT5" s="1085">
        <f t="shared" ref="AT5:AT121" si="24">IFERROR(AS5/AK5,"")</f>
        <v>-0.6997998333</v>
      </c>
      <c r="AU5" s="1083">
        <f t="shared" ref="AU5:AU18" si="25">SUMIF(H$3:AT$3,AU$3,H5:AT5)</f>
        <v>0</v>
      </c>
      <c r="AV5" s="1084" t="str">
        <f t="shared" ref="AV5:AV19" si="26">IFERROR(AU5/AU$4,"")</f>
        <v/>
      </c>
      <c r="AW5" s="3"/>
      <c r="AX5" s="1083">
        <f t="shared" ref="AX5:AX18" si="27">SUMIF(H$3:AT$3,AX$3,H5:AT5)</f>
        <v>31000000</v>
      </c>
      <c r="AY5" s="1084">
        <f t="shared" ref="AY5:AY19" si="28">IFERROR(AX5/AX$4,"")</f>
        <v>1</v>
      </c>
      <c r="AZ5" s="3"/>
      <c r="BA5" s="1083">
        <f t="shared" ref="BA5:BA18" si="29">SUMIF(H$3:AT$3,"AC",H5:AT5)+SUMIF(H$3:AT$3,"TF",H5:AT5)</f>
        <v>14354465</v>
      </c>
      <c r="BB5" s="1084">
        <f t="shared" ref="BB5:BB19" si="30">IFERROR(BA5/BA$4,"")</f>
        <v>1</v>
      </c>
      <c r="BC5" s="3"/>
      <c r="BD5" s="1083">
        <f t="shared" ref="BD5:BD18" si="31">BA5-AU5</f>
        <v>14354465</v>
      </c>
      <c r="BE5" s="1085" t="str">
        <f t="shared" ref="BE5:BE121" si="32">IFERROR(BD5/AU5,"")</f>
        <v/>
      </c>
      <c r="BF5" s="1083">
        <f t="shared" ref="BF5:BF18" si="33">BA5-AX5</f>
        <v>-16645535</v>
      </c>
      <c r="BG5" s="1085">
        <f t="shared" ref="BG5:BG121" si="34">IFERROR(BF5/AX5,"")</f>
        <v>-0.5369527419</v>
      </c>
      <c r="BH5" s="1083">
        <f>SUMIF($B6:$B$18,$B5,BH6:BH$18)</f>
        <v>13333333.33</v>
      </c>
      <c r="BI5" s="1084">
        <f t="shared" ref="BI5:BI19" si="35">IFERROR(BH5/BH$4,"")</f>
        <v>0.4</v>
      </c>
      <c r="BJ5" s="3"/>
      <c r="BK5" s="1083">
        <f>SUMIF($B6:$B$18,$B5,BK6:BK$18)</f>
        <v>10000000</v>
      </c>
      <c r="BL5" s="1084">
        <f t="shared" ref="BL5:BL19" si="36">IFERROR(BK5/BK$4,"")</f>
        <v>0.5</v>
      </c>
      <c r="BM5" s="3"/>
      <c r="BN5" s="1083">
        <f>SUMIF($B6:$B$18,$B5,BN6:BN$18)</f>
        <v>8043670</v>
      </c>
      <c r="BO5" s="1084">
        <f t="shared" ref="BO5:BO19" si="37">IFERROR(BN5/BN$4,"")</f>
        <v>0.4426245565</v>
      </c>
      <c r="BP5" s="3"/>
      <c r="BQ5" s="1083">
        <f t="shared" ref="BQ5:BQ18" si="38">BN5-BH5</f>
        <v>-5289663.333</v>
      </c>
      <c r="BR5" s="1085">
        <f t="shared" ref="BR5:BR121" si="39">IFERROR(BQ5/BH5,"")</f>
        <v>-0.39672475</v>
      </c>
      <c r="BS5" s="1083">
        <f t="shared" ref="BS5:BS18" si="40">BN5-BK5</f>
        <v>-1956330</v>
      </c>
      <c r="BT5" s="1085">
        <f t="shared" ref="BT5:BT121" si="41">IFERROR(BS5/BK5,"")</f>
        <v>-0.195633</v>
      </c>
      <c r="BU5" s="1083">
        <f>SUMIF($B6:$B$18,$B5,BU6:BU$18)</f>
        <v>13333333.33</v>
      </c>
      <c r="BV5" s="1084">
        <f t="shared" ref="BV5:BV19" si="42">IFERROR(BU5/BU$4,"")</f>
        <v>0.4</v>
      </c>
      <c r="BW5" s="3"/>
      <c r="BX5" s="1083">
        <f>SUMIF($B6:$B$18,$B5,BX6:BX$18)</f>
        <v>0</v>
      </c>
      <c r="BY5" s="1084">
        <f t="shared" ref="BY5:BY19" si="43">IFERROR(BX5/BX$4,"")</f>
        <v>0</v>
      </c>
      <c r="BZ5" s="3"/>
      <c r="CA5" s="1083">
        <f>SUMIF($B6:$B$18,$B5,CA6:CA$18)</f>
        <v>0</v>
      </c>
      <c r="CB5" s="1084">
        <f t="shared" ref="CB5:CB18" si="44">IFERROR(CA5/CA$4,"")</f>
        <v>0</v>
      </c>
      <c r="CC5" s="3"/>
      <c r="CD5" s="1083">
        <f t="shared" ref="CD5:CD18" si="45">CA5-BU5</f>
        <v>-13333333.33</v>
      </c>
      <c r="CE5" s="1085">
        <f t="shared" ref="CE5:CE121" si="46">IFERROR(CD5/BU5,"")</f>
        <v>-1</v>
      </c>
      <c r="CF5" s="1083">
        <f t="shared" ref="CF5:CF18" si="47">CA5-BX5</f>
        <v>0</v>
      </c>
      <c r="CG5" s="1085" t="str">
        <f t="shared" ref="CG5:CG121" si="48">IFERROR(CF5/BX5,"")</f>
        <v/>
      </c>
      <c r="CH5" s="1083">
        <f>SUMIF($B6:$B$18,$B5,CH6:CH$18)</f>
        <v>13333333.33</v>
      </c>
      <c r="CI5" s="1084">
        <f t="shared" ref="CI5:CI19" si="49">IFERROR(CH5/CH$4,"")</f>
        <v>0.4</v>
      </c>
      <c r="CJ5" s="3"/>
      <c r="CK5" s="1083">
        <f>SUMIF($B6:$B$18,$B5,CK6:CK$18)</f>
        <v>0</v>
      </c>
      <c r="CL5" s="1084" t="str">
        <f t="shared" ref="CL5:CL19" si="50">IFERROR(CK5/CK$4,"")</f>
        <v/>
      </c>
      <c r="CM5" s="3"/>
      <c r="CN5" s="1083">
        <f>SUMIF($B6:$B$18,$B5,CN6:CN$18)</f>
        <v>0</v>
      </c>
      <c r="CO5" s="1084">
        <f t="shared" ref="CO5:CO18" si="51">IFERROR(CN5/CN$4,"")</f>
        <v>0</v>
      </c>
      <c r="CP5" s="3"/>
      <c r="CQ5" s="1083">
        <f t="shared" ref="CQ5:CQ18" si="52">CN5-CH5</f>
        <v>-13333333.33</v>
      </c>
      <c r="CR5" s="1085">
        <f t="shared" ref="CR5:CR121" si="53">IFERROR(CQ5/CH5,"")</f>
        <v>-1</v>
      </c>
      <c r="CS5" s="1083">
        <f t="shared" ref="CS5:CS18" si="54">CN5-CK5</f>
        <v>0</v>
      </c>
      <c r="CT5" s="1085" t="str">
        <f t="shared" ref="CT5:CT121" si="55">IFERROR(CS5/CK5,"")</f>
        <v/>
      </c>
      <c r="CU5" s="1083">
        <f t="shared" ref="CU5:CU18" si="56">SUMIF(BH$3:CT$3,CU$3,BH5:CT5)</f>
        <v>40000000</v>
      </c>
      <c r="CV5" s="1084">
        <f t="shared" ref="CV5:CV19" si="57">IFERROR(CU5/CU$4,"")</f>
        <v>0.4</v>
      </c>
      <c r="CW5" s="3"/>
      <c r="CX5" s="1083">
        <f t="shared" ref="CX5:CX18" si="58">SUMIF(BH$3:CT$3,CX$3,BH5:CT5)</f>
        <v>10000000</v>
      </c>
      <c r="CY5" s="1084">
        <f t="shared" ref="CY5:CY19" si="59">IFERROR(CX5/CX$4,"")</f>
        <v>0.3126484689</v>
      </c>
      <c r="CZ5" s="3"/>
      <c r="DA5" s="1083">
        <f t="shared" ref="DA5:DA18" si="60">SUMIF(BH$3:CT$3,"AC",BH5:CT5)+SUMIF(BH$3:CT$3,"TF",BH5:CT5)</f>
        <v>8043670</v>
      </c>
      <c r="DB5" s="1084">
        <f t="shared" ref="DB5:DB19" si="61">IFERROR(DA5/DA$4,"")</f>
        <v>0.3459052368</v>
      </c>
      <c r="DC5" s="3"/>
      <c r="DD5" s="1083">
        <f t="shared" ref="DD5:DD18" si="62">DA5-CU5</f>
        <v>-31956330</v>
      </c>
      <c r="DE5" s="1085">
        <f t="shared" ref="DE5:DE121" si="63">IFERROR(DD5/CU5,"")</f>
        <v>-0.79890825</v>
      </c>
      <c r="DF5" s="1083">
        <f t="shared" ref="DF5:DF18" si="64">DA5-CX5</f>
        <v>-1956330</v>
      </c>
      <c r="DG5" s="1085">
        <f t="shared" ref="DG5:DG121" si="65">IFERROR(DF5/CX5,"")</f>
        <v>-0.195633</v>
      </c>
      <c r="DH5" s="1083">
        <f t="shared" ref="DH5:DH18" si="66">AU5+CU5</f>
        <v>40000000</v>
      </c>
      <c r="DI5" s="1084">
        <f t="shared" ref="DI5:DI19" si="67">IFERROR(DH5/DH$4,"")</f>
        <v>0.4</v>
      </c>
      <c r="DJ5" s="3"/>
      <c r="DK5" s="1083">
        <f t="shared" ref="DK5:DK18" si="68">AX5+CX5</f>
        <v>41000000</v>
      </c>
      <c r="DL5" s="1084">
        <f t="shared" ref="DL5:DL19" si="69">IFERROR(DK5/DK$4,"")</f>
        <v>0.6509506642</v>
      </c>
      <c r="DM5" s="3"/>
      <c r="DN5" s="1083">
        <f t="shared" ref="DN5:DN18" si="70">BA5+DA5</f>
        <v>22398135</v>
      </c>
      <c r="DO5" s="1084">
        <f t="shared" ref="DO5:DO19" si="71">IFERROR(DN5/DN$4,"")</f>
        <v>0.5955614744</v>
      </c>
      <c r="DP5" s="3"/>
      <c r="DQ5" s="1083">
        <f t="shared" ref="DQ5:DQ18" si="72">DN5-DH5</f>
        <v>-17601865</v>
      </c>
      <c r="DR5" s="1085">
        <f t="shared" ref="DR5:DR121" si="73">IFERROR(DQ5/DH5,"")</f>
        <v>-0.440046625</v>
      </c>
      <c r="DS5" s="1083">
        <f t="shared" ref="DS5:DS18" si="74">DN5-DK5</f>
        <v>-18601865</v>
      </c>
      <c r="DT5" s="1085">
        <f t="shared" ref="DT5:DT121" si="75">IFERROR(DS5/DK5,"")</f>
        <v>-0.4537040244</v>
      </c>
      <c r="DU5" s="1083">
        <f>SUMIF($B6:$B$18,$B5,DU6:DU$18)</f>
        <v>13333333.33</v>
      </c>
      <c r="DV5" s="1084">
        <f t="shared" ref="DV5:DV19" si="76">IFERROR(DU5/DU$4,"")</f>
        <v>0.4</v>
      </c>
      <c r="DW5" s="3"/>
      <c r="DX5" s="1083">
        <f>SUMIF($B6:$B$18,$B5,DX6:DX$18)</f>
        <v>13333333</v>
      </c>
      <c r="DY5" s="1084">
        <f t="shared" ref="DY5:DY19" si="77">IFERROR(DX5/DX$4,"")</f>
        <v>0.2499999953</v>
      </c>
      <c r="DZ5" s="3"/>
      <c r="EA5" s="1083">
        <f>SUMIF($B6:$B$18,$B5,EA6:EA$18)</f>
        <v>0</v>
      </c>
      <c r="EB5" s="1084" t="str">
        <f t="shared" ref="EB5:EB18" si="78">IFERROR(EA5/EA$4,"")</f>
        <v/>
      </c>
      <c r="EC5" s="3"/>
      <c r="ED5" s="1083">
        <f t="shared" ref="ED5:ED18" si="79">EA5-DU5</f>
        <v>-13333333.33</v>
      </c>
      <c r="EE5" s="1085">
        <f t="shared" ref="EE5:EE121" si="80">IFERROR(ED5/DU5,"")</f>
        <v>-1</v>
      </c>
      <c r="EF5" s="1083">
        <f t="shared" ref="EF5:EF18" si="81">EA5-DX5</f>
        <v>-13333333</v>
      </c>
      <c r="EG5" s="1085">
        <f t="shared" ref="EG5:EG121" si="82">IFERROR(EF5/DX5,"")</f>
        <v>-1</v>
      </c>
      <c r="EH5" s="1083">
        <f>SUMIF($B6:$B$18,$B5,EH6:EH$18)</f>
        <v>13333333.33</v>
      </c>
      <c r="EI5" s="1084">
        <f t="shared" ref="EI5:EI19" si="83">IFERROR(EH5/EH$4,"")</f>
        <v>0.4</v>
      </c>
      <c r="EJ5" s="3"/>
      <c r="EK5" s="1083">
        <f>SUMIF($B6:$B$18,$B5,EK6:EK$18)</f>
        <v>13333333</v>
      </c>
      <c r="EL5" s="1084">
        <f t="shared" ref="EL5:EL19" si="84">IFERROR(EK5/EK$4,"")</f>
        <v>0.2499999953</v>
      </c>
      <c r="EM5" s="3"/>
      <c r="EN5" s="1083">
        <f>SUMIF($B6:$B$18,$B5,EN6:EN$18)</f>
        <v>0</v>
      </c>
      <c r="EO5" s="1084" t="str">
        <f t="shared" ref="EO5:EO18" si="85">IFERROR(EN5/EN$4,"")</f>
        <v/>
      </c>
      <c r="EP5" s="3"/>
      <c r="EQ5" s="1083">
        <f t="shared" ref="EQ5:EQ18" si="86">EN5-EH5</f>
        <v>-13333333.33</v>
      </c>
      <c r="ER5" s="1085">
        <f t="shared" ref="ER5:ER121" si="87">IFERROR(EQ5/EH5,"")</f>
        <v>-1</v>
      </c>
      <c r="ES5" s="1083">
        <f t="shared" ref="ES5:ES18" si="88">EN5-EK5</f>
        <v>-13333333</v>
      </c>
      <c r="ET5" s="1085">
        <f t="shared" ref="ET5:ET121" si="89">IFERROR(ES5/EK5,"")</f>
        <v>-1</v>
      </c>
      <c r="EU5" s="1083">
        <f>SUMIF($B6:$B$18,$B5,EU6:EU$18)</f>
        <v>13333333.33</v>
      </c>
      <c r="EV5" s="1084">
        <f t="shared" ref="EV5:EV19" si="90">IFERROR(EU5/EU$4,"")</f>
        <v>0.4</v>
      </c>
      <c r="EW5" s="3"/>
      <c r="EX5" s="1083">
        <f>SUMIF($B6:$B$18,$B5,EX6:EX$18)</f>
        <v>13333333</v>
      </c>
      <c r="EY5" s="1084">
        <f t="shared" ref="EY5:EY19" si="91">IFERROR(EX5/EX$4,"")</f>
        <v>0.2499999953</v>
      </c>
      <c r="EZ5" s="3"/>
      <c r="FA5" s="1083">
        <f>SUMIF($B6:$B$18,$B5,FA6:FA$18)</f>
        <v>0</v>
      </c>
      <c r="FB5" s="1084" t="str">
        <f t="shared" ref="FB5:FB18" si="92">IFERROR(FA5/FA$4,"")</f>
        <v/>
      </c>
      <c r="FC5" s="3"/>
      <c r="FD5" s="1083">
        <f t="shared" ref="FD5:FD18" si="93">FA5-EU5</f>
        <v>-13333333.33</v>
      </c>
      <c r="FE5" s="1085">
        <f t="shared" ref="FE5:FE121" si="94">IFERROR(FD5/EU5,"")</f>
        <v>-1</v>
      </c>
      <c r="FF5" s="1083">
        <f t="shared" ref="FF5:FF18" si="95">FA5-EX5</f>
        <v>-13333333</v>
      </c>
      <c r="FG5" s="1085">
        <f t="shared" ref="FG5:FG121" si="96">IFERROR(FF5/EX5,"")</f>
        <v>-1</v>
      </c>
      <c r="FH5" s="1083">
        <f t="shared" ref="FH5:FH18" si="97">SUMIF(DU$3:FG$3,FH$3,DU5:FG5)</f>
        <v>40000000</v>
      </c>
      <c r="FI5" s="1084">
        <f t="shared" ref="FI5:FI19" si="98">IFERROR(FH5/FH$4,"")</f>
        <v>0.4</v>
      </c>
      <c r="FJ5" s="3"/>
      <c r="FK5" s="1083">
        <f t="shared" ref="FK5:FK18" si="99">SUMIF(DU$3:FG$3,FK$3,DU5:FG5)</f>
        <v>39999999</v>
      </c>
      <c r="FL5" s="1084">
        <f t="shared" ref="FL5:FL19" si="100">IFERROR(FK5/FK$4,"")</f>
        <v>0.2499999953</v>
      </c>
      <c r="FM5" s="3"/>
      <c r="FN5" s="1083">
        <f t="shared" ref="FN5:FN18" si="101">SUMIF(DU$3:FG$3,"AC",DU5:FG5)+SUMIF(DU$3:FG$3,"TF",DU5:FG5)</f>
        <v>0</v>
      </c>
      <c r="FO5" s="1084" t="str">
        <f t="shared" ref="FO5:FO19" si="102">IFERROR(FN5/FN$4,"")</f>
        <v/>
      </c>
      <c r="FP5" s="3"/>
      <c r="FQ5" s="1083">
        <f t="shared" ref="FQ5:FQ18" si="103">FN5-FH5</f>
        <v>-40000000</v>
      </c>
      <c r="FR5" s="1085">
        <f t="shared" ref="FR5:FR121" si="104">IFERROR(FQ5/FH5,"")</f>
        <v>-1</v>
      </c>
      <c r="FS5" s="1083">
        <f t="shared" ref="FS5:FS18" si="105">FN5-FK5</f>
        <v>-39999999</v>
      </c>
      <c r="FT5" s="1085">
        <f t="shared" ref="FT5:FT121" si="106">IFERROR(FS5/FK5,"")</f>
        <v>-1</v>
      </c>
      <c r="FU5" s="1083">
        <f>SUMIF($B6:$B$18,$B5,FU6:FU$18)</f>
        <v>13333333.33</v>
      </c>
      <c r="FV5" s="1084">
        <f t="shared" ref="FV5:FV19" si="107">IFERROR(FU5/FU$4,"")</f>
        <v>0.4</v>
      </c>
      <c r="FW5" s="3"/>
      <c r="FX5" s="1083">
        <f>SUMIF($B6:$B$18,$B5,FX6:FX$18)</f>
        <v>13333333</v>
      </c>
      <c r="FY5" s="1084">
        <f t="shared" ref="FY5:FY19" si="108">IFERROR(FX5/FX$4,"")</f>
        <v>0.2499999953</v>
      </c>
      <c r="FZ5" s="3"/>
      <c r="GA5" s="1083">
        <f>SUMIF($B6:$B$18,$B5,GA6:GA$18)</f>
        <v>0</v>
      </c>
      <c r="GB5" s="1084" t="str">
        <f t="shared" ref="GB5:GB18" si="109">IFERROR(GA5/GA$4,"")</f>
        <v/>
      </c>
      <c r="GC5" s="3"/>
      <c r="GD5" s="1083">
        <f t="shared" ref="GD5:GD18" si="110">GA5-FU5</f>
        <v>-13333333.33</v>
      </c>
      <c r="GE5" s="1085">
        <f t="shared" ref="GE5:GE121" si="111">IFERROR(GD5/FU5,"")</f>
        <v>-1</v>
      </c>
      <c r="GF5" s="1083">
        <f t="shared" ref="GF5:GF18" si="112">GA5-FX5</f>
        <v>-13333333</v>
      </c>
      <c r="GG5" s="1085">
        <f t="shared" ref="GG5:GG121" si="113">IFERROR(GF5/FX5,"")</f>
        <v>-1</v>
      </c>
      <c r="GH5" s="1083">
        <f>SUMIF($B6:$B$18,$B5,GH6:GH$18)</f>
        <v>13333333.33</v>
      </c>
      <c r="GI5" s="1084">
        <f t="shared" ref="GI5:GI19" si="114">IFERROR(GH5/GH$4,"")</f>
        <v>0.4</v>
      </c>
      <c r="GJ5" s="3"/>
      <c r="GK5" s="1083">
        <f>SUMIF($B6:$B$18,$B5,GK6:GK$18)</f>
        <v>13333333</v>
      </c>
      <c r="GL5" s="1084">
        <f t="shared" ref="GL5:GL19" si="115">IFERROR(GK5/GK$4,"")</f>
        <v>0.2499999953</v>
      </c>
      <c r="GM5" s="3"/>
      <c r="GN5" s="1083">
        <f>SUMIF($B6:$B$18,$B5,GN6:GN$18)</f>
        <v>0</v>
      </c>
      <c r="GO5" s="1084" t="str">
        <f t="shared" ref="GO5:GO18" si="116">IFERROR(GN5/GN$4,"")</f>
        <v/>
      </c>
      <c r="GP5" s="3"/>
      <c r="GQ5" s="1083">
        <f t="shared" ref="GQ5:GQ18" si="117">GN5-GH5</f>
        <v>-13333333.33</v>
      </c>
      <c r="GR5" s="1085">
        <f t="shared" ref="GR5:GR121" si="118">IFERROR(GQ5/GH5,"")</f>
        <v>-1</v>
      </c>
      <c r="GS5" s="1083">
        <f t="shared" ref="GS5:GS18" si="119">GN5-GK5</f>
        <v>-13333333</v>
      </c>
      <c r="GT5" s="1085">
        <f t="shared" ref="GT5:GT121" si="120">IFERROR(GS5/GK5,"")</f>
        <v>-1</v>
      </c>
      <c r="GU5" s="1083">
        <f>SUMIF($B6:$B$18,$B5,GU6:GU$18)</f>
        <v>13333333.33</v>
      </c>
      <c r="GV5" s="1084">
        <f t="shared" ref="GV5:GV19" si="121">IFERROR(GU5/GU$4,"")</f>
        <v>0.4</v>
      </c>
      <c r="GW5" s="3"/>
      <c r="GX5" s="1083">
        <f>SUMIF($B6:$B$18,$B5,GX6:GX$18)</f>
        <v>13333333</v>
      </c>
      <c r="GY5" s="1084">
        <f t="shared" ref="GY5:GY19" si="122">IFERROR(GX5/GX$4,"")</f>
        <v>0.2499999953</v>
      </c>
      <c r="GZ5" s="3"/>
      <c r="HA5" s="1083">
        <f>SUMIF($B6:$B$18,$B5,HA6:HA$18)</f>
        <v>0</v>
      </c>
      <c r="HB5" s="1084" t="str">
        <f t="shared" ref="HB5:HB18" si="123">IFERROR(HA5/HA$4,"")</f>
        <v/>
      </c>
      <c r="HC5" s="3"/>
      <c r="HD5" s="1083">
        <f t="shared" ref="HD5:HD18" si="124">HA5-GU5</f>
        <v>-13333333.33</v>
      </c>
      <c r="HE5" s="1085">
        <f t="shared" ref="HE5:HE121" si="125">IFERROR(HD5/GU5,"")</f>
        <v>-1</v>
      </c>
      <c r="HF5" s="1083">
        <f t="shared" ref="HF5:HF18" si="126">HA5-GX5</f>
        <v>-13333333</v>
      </c>
      <c r="HG5" s="1085">
        <f t="shared" ref="HG5:HG121" si="127">IFERROR(HF5/GX5,"")</f>
        <v>-1</v>
      </c>
      <c r="HH5" s="1083">
        <f t="shared" ref="HH5:HH18" si="128">SUMIF(FU$3:HG$3,HH$3,FU5:HG5)</f>
        <v>40000000</v>
      </c>
      <c r="HI5" s="1084">
        <f t="shared" ref="HI5:HI19" si="129">IFERROR(HH5/HH$4,"")</f>
        <v>0.4</v>
      </c>
      <c r="HJ5" s="3"/>
      <c r="HK5" s="1083">
        <f t="shared" ref="HK5:HK18" si="130">SUMIF(FU$3:HG$3,HK$3,FU5:HG5)</f>
        <v>39999999</v>
      </c>
      <c r="HL5" s="1084">
        <f t="shared" ref="HL5:HL19" si="131">IFERROR(HK5/HK$4,"")</f>
        <v>0.2499999953</v>
      </c>
      <c r="HM5" s="3"/>
      <c r="HN5" s="1083">
        <f t="shared" ref="HN5:HN18" si="132">SUMIF(FU$3:HG$3,"AC",FU5:HG5)+SUMIF(FU$3:HG$3,"TF",FU5:HG5)</f>
        <v>0</v>
      </c>
      <c r="HO5" s="1084" t="str">
        <f t="shared" ref="HO5:HO19" si="133">IFERROR(HN5/HN$4,"")</f>
        <v/>
      </c>
      <c r="HP5" s="3"/>
      <c r="HQ5" s="1083">
        <f t="shared" ref="HQ5:HQ18" si="134">HN5-HH5</f>
        <v>-40000000</v>
      </c>
      <c r="HR5" s="1085">
        <f t="shared" ref="HR5:HR121" si="135">IFERROR(HQ5/HH5,"")</f>
        <v>-1</v>
      </c>
      <c r="HS5" s="1083">
        <f t="shared" ref="HS5:HS18" si="136">HN5-HK5</f>
        <v>-39999999</v>
      </c>
      <c r="HT5" s="1085">
        <f t="shared" ref="HT5:HT121" si="137">IFERROR(HS5/HK5,"")</f>
        <v>-1</v>
      </c>
      <c r="HU5" s="1083">
        <f t="shared" ref="HU5:HU18" si="138">FH5+HH5</f>
        <v>80000000</v>
      </c>
      <c r="HV5" s="1084">
        <f t="shared" ref="HV5:HV19" si="139">IFERROR(HU5/HU$4,"")</f>
        <v>0.4</v>
      </c>
      <c r="HW5" s="3"/>
      <c r="HX5" s="1083">
        <f t="shared" ref="HX5:HX18" si="140">FK5+HK5</f>
        <v>79999998</v>
      </c>
      <c r="HY5" s="1084">
        <f t="shared" ref="HY5:HY19" si="141">IFERROR(HX5/HX$4,"")</f>
        <v>0.2499999953</v>
      </c>
      <c r="HZ5" s="3"/>
      <c r="IA5" s="1083">
        <f t="shared" ref="IA5:IA18" si="142">FN5+HN5</f>
        <v>0</v>
      </c>
      <c r="IB5" s="1084" t="str">
        <f t="shared" ref="IB5:IB19" si="143">IFERROR(IA5/IA$4,"")</f>
        <v/>
      </c>
      <c r="IC5" s="3"/>
      <c r="ID5" s="1083">
        <f t="shared" ref="ID5:ID18" si="144">IA5-HU5</f>
        <v>-80000000</v>
      </c>
      <c r="IE5" s="1085">
        <f t="shared" ref="IE5:IE121" si="145">IFERROR(ID5/HU5,"")</f>
        <v>-1</v>
      </c>
      <c r="IF5" s="1083">
        <f t="shared" ref="IF5:IF18" si="146">IA5-HX5</f>
        <v>-79999998</v>
      </c>
      <c r="IG5" s="1085">
        <f t="shared" ref="IG5:IG121" si="147">IFERROR(IF5/HX5,"")</f>
        <v>-1</v>
      </c>
      <c r="IH5" s="1083">
        <f t="shared" ref="IH5:IH18" si="148">DH5+HU5</f>
        <v>120000000</v>
      </c>
      <c r="II5" s="1084">
        <f t="shared" ref="II5:II19" si="149">IFERROR(IH5/IH$4,"")</f>
        <v>0.4</v>
      </c>
      <c r="IJ5" s="3"/>
      <c r="IK5" s="1083">
        <f t="shared" ref="IK5:IK18" si="150">DK5+HX5</f>
        <v>120999998</v>
      </c>
      <c r="IL5" s="1084">
        <f t="shared" ref="IL5:IL19" si="151">IFERROR(IK5/IK$4,"")</f>
        <v>0.3159394247</v>
      </c>
      <c r="IM5" s="3"/>
      <c r="IN5" s="1083">
        <f t="shared" ref="IN5:IN18" si="152">DN5+IA5</f>
        <v>22398135</v>
      </c>
      <c r="IO5" s="1084">
        <f t="shared" ref="IO5:IO19" si="153">IFERROR(IN5/IN$4,"")</f>
        <v>0.5955614744</v>
      </c>
      <c r="IP5" s="3"/>
      <c r="IQ5" s="1083">
        <f t="shared" ref="IQ5:IQ18" si="154">IN5-IH5</f>
        <v>-97601865</v>
      </c>
      <c r="IR5" s="1085">
        <f t="shared" si="1"/>
        <v>-0.813348875</v>
      </c>
      <c r="IS5" s="1083">
        <f t="shared" ref="IS5:IS18" si="155">IN5-IK5</f>
        <v>-98601863</v>
      </c>
      <c r="IT5" s="1085">
        <f t="shared" si="2"/>
        <v>-0.8148914432</v>
      </c>
    </row>
    <row r="6" outlineLevel="1">
      <c r="A6" s="1086">
        <f t="shared" si="3"/>
        <v>1</v>
      </c>
      <c r="B6" s="1087" t="s">
        <v>2066</v>
      </c>
      <c r="C6" s="1087" t="s">
        <v>175</v>
      </c>
      <c r="D6" s="1087" t="str">
        <f>IF(C6&gt;0,VLOOKUP(C6,DM_DUAN ,2,"") ,IF(B6&gt;0,VLOOKUP(B6,DM_CDT,2,""),""))</f>
        <v>Phước hội Hồ Tràm</v>
      </c>
      <c r="E6" s="1087" t="s">
        <v>198</v>
      </c>
      <c r="F6" s="1087"/>
      <c r="G6" s="1086">
        <v>2.0</v>
      </c>
      <c r="H6" s="1088">
        <f>SUMIFS(BP_SOTIEN,BP_DA,$C6,BP_THANG,H$2,BP_KM,$E6)/1000</f>
        <v>0</v>
      </c>
      <c r="I6" s="1089" t="str">
        <f t="shared" si="4"/>
        <v/>
      </c>
      <c r="J6" s="3"/>
      <c r="K6" s="1090">
        <f>IF(NOW()&gt;=DATE(YEAR(H$2),MONTH(H$2)+1,DAY(H$2)),SUMIFS(TF_SOTIEN,TF_DA,$C6,TF_THANG,H$2,TF_KM,$E6)/1000, N6)</f>
        <v>1000000</v>
      </c>
      <c r="L6" s="1089">
        <f t="shared" si="5"/>
        <v>1</v>
      </c>
      <c r="M6" s="3"/>
      <c r="N6" s="1090">
        <f>IF(NOW()&gt;=DATE(YEAR(H$2),MONTH(H$2)+1,DAY(H$2)),SUMIFS(AC_SOTIEN,AC_DA,$C6,AC_THANG,H$2,AC_KM,$E6),SUMIFS(TF_SOTIEN,TF_DA,$C6,TF_THANG,H$2,TF_KM,$E6))/ 1000</f>
        <v>3418460</v>
      </c>
      <c r="O6" s="1089">
        <f t="shared" si="6"/>
        <v>1</v>
      </c>
      <c r="P6" s="3"/>
      <c r="Q6" s="1090">
        <f t="shared" si="7"/>
        <v>3418460</v>
      </c>
      <c r="R6" s="1091" t="str">
        <f t="shared" si="8"/>
        <v/>
      </c>
      <c r="S6" s="1090">
        <f t="shared" si="9"/>
        <v>2418460</v>
      </c>
      <c r="T6" s="1091">
        <f t="shared" si="10"/>
        <v>2.41846</v>
      </c>
      <c r="U6" s="1088">
        <f>SUMIFS(BP_SOTIEN,BP_DA,$C6,BP_THANG,U$2,BP_KM,$E6)/1000</f>
        <v>0</v>
      </c>
      <c r="V6" s="1089" t="str">
        <f t="shared" si="11"/>
        <v/>
      </c>
      <c r="W6" s="3"/>
      <c r="X6" s="1090">
        <f>IF(NOW()&gt;=DATE(YEAR(U$2),MONTH(U$2)+1,DAY(U$2)),SUMIFS(TF_SOTIEN,TF_DA,$C6,TF_THANG,U$2,TF_KM,$E6)/1000, AA6)</f>
        <v>0</v>
      </c>
      <c r="Y6" s="1089" t="str">
        <f t="shared" si="12"/>
        <v/>
      </c>
      <c r="Z6" s="3"/>
      <c r="AA6" s="1090">
        <f>IF(NOW()&gt;=DATE(YEAR(U$2),MONTH(U$2)+1,DAY(U$2)),SUMIFS(AC_SOTIEN,AC_DA,$C6,AC_THANG,U$2,AC_KM,$E6),SUMIFS(TF_SOTIEN,TF_DA,$C6,TF_THANG,U$2,TF_KM,$E6))/ 1000</f>
        <v>1930000</v>
      </c>
      <c r="AB6" s="1089">
        <f t="shared" si="13"/>
        <v>1</v>
      </c>
      <c r="AC6" s="3"/>
      <c r="AD6" s="1090">
        <f t="shared" si="14"/>
        <v>1930000</v>
      </c>
      <c r="AE6" s="1091" t="str">
        <f t="shared" si="15"/>
        <v/>
      </c>
      <c r="AF6" s="1090">
        <f t="shared" si="16"/>
        <v>1930000</v>
      </c>
      <c r="AG6" s="1091" t="str">
        <f t="shared" si="17"/>
        <v/>
      </c>
      <c r="AH6" s="1088">
        <f>SUMIFS(BP_SOTIEN,BP_DA,$C6,BP_THANG,AH$2,BP_KM,$E6)/1000</f>
        <v>0</v>
      </c>
      <c r="AI6" s="1089" t="str">
        <f t="shared" si="18"/>
        <v/>
      </c>
      <c r="AJ6" s="3"/>
      <c r="AK6" s="1090">
        <f>IF(NOW()&gt;=DATE(YEAR(AH$2),MONTH(AH$2)+1,DAY(AH$2)),SUMIFS(TF_SOTIEN,TF_DA,$C6,TF_THANG,AH$2,TF_KM,$E6)/1000, AN6)</f>
        <v>30000000</v>
      </c>
      <c r="AL6" s="1089">
        <f t="shared" si="19"/>
        <v>1</v>
      </c>
      <c r="AM6" s="3"/>
      <c r="AN6" s="1090">
        <f>IF(NOW()&gt;=DATE(YEAR(AH$2),MONTH(AH$2)+1,DAY(AH$2)),SUMIFS(AC_SOTIEN,AC_DA,$C6,AC_THANG,AH$2,AC_KM,$E6),SUMIFS(TF_SOTIEN,TF_DA,$C6,TF_THANG,AH$2,TF_KM,$E6))/ 1000</f>
        <v>3089685</v>
      </c>
      <c r="AO6" s="1089">
        <f t="shared" si="20"/>
        <v>0.3430694298</v>
      </c>
      <c r="AP6" s="3"/>
      <c r="AQ6" s="1090">
        <f t="shared" si="21"/>
        <v>3089685</v>
      </c>
      <c r="AR6" s="1091" t="str">
        <f t="shared" si="22"/>
        <v/>
      </c>
      <c r="AS6" s="1090">
        <f t="shared" si="23"/>
        <v>-26910315</v>
      </c>
      <c r="AT6" s="1091">
        <f t="shared" si="24"/>
        <v>-0.8970105</v>
      </c>
      <c r="AU6" s="1088">
        <f t="shared" si="25"/>
        <v>0</v>
      </c>
      <c r="AV6" s="1089" t="str">
        <f t="shared" si="26"/>
        <v/>
      </c>
      <c r="AW6" s="3"/>
      <c r="AX6" s="1090">
        <f t="shared" si="27"/>
        <v>31000000</v>
      </c>
      <c r="AY6" s="1089">
        <f t="shared" si="28"/>
        <v>1</v>
      </c>
      <c r="AZ6" s="3"/>
      <c r="BA6" s="1090">
        <f t="shared" si="29"/>
        <v>8438145</v>
      </c>
      <c r="BB6" s="1089">
        <f t="shared" si="30"/>
        <v>0.5878411351</v>
      </c>
      <c r="BC6" s="3"/>
      <c r="BD6" s="1090">
        <f t="shared" si="31"/>
        <v>8438145</v>
      </c>
      <c r="BE6" s="1091" t="str">
        <f t="shared" si="32"/>
        <v/>
      </c>
      <c r="BF6" s="1090">
        <f t="shared" si="33"/>
        <v>-22561855</v>
      </c>
      <c r="BG6" s="1091">
        <f t="shared" si="34"/>
        <v>-0.7278017742</v>
      </c>
      <c r="BH6" s="1088">
        <f>SUMIFS(BP_SOTIEN,BP_DA,$C6,BP_THANG,BH$2,BP_KM,$E6)/1000</f>
        <v>13333333.33</v>
      </c>
      <c r="BI6" s="1089">
        <f t="shared" si="35"/>
        <v>0.4</v>
      </c>
      <c r="BJ6" s="3"/>
      <c r="BK6" s="1090">
        <f>IF(NOW()&gt;=DATE(YEAR(BH$2),MONTH(BH$2)+1,DAY(BH$2)),SUMIFS(TF_SOTIEN,TF_DA,$C6,TF_THANG,BH$2,TF_KM,$E6)/1000, BN6)</f>
        <v>0</v>
      </c>
      <c r="BL6" s="1089">
        <f t="shared" si="36"/>
        <v>0</v>
      </c>
      <c r="BM6" s="3"/>
      <c r="BN6" s="1090">
        <f>IF(NOW()&gt;=DATE(YEAR(BH$2),MONTH(BH$2)+1,DAY(BH$2)),SUMIFS(AC_SOTIEN,AC_DA,$C6,AC_THANG,BH$2,AC_KM,$E6),SUMIFS(TF_SOTIEN,TF_DA,$C6,TF_THANG,BH$2,TF_KM,$E6))/ 1000</f>
        <v>0</v>
      </c>
      <c r="BO6" s="1089">
        <f t="shared" si="37"/>
        <v>0</v>
      </c>
      <c r="BP6" s="3"/>
      <c r="BQ6" s="1090">
        <f t="shared" si="38"/>
        <v>-13333333.33</v>
      </c>
      <c r="BR6" s="1091">
        <f t="shared" si="39"/>
        <v>-1</v>
      </c>
      <c r="BS6" s="1090">
        <f t="shared" si="40"/>
        <v>0</v>
      </c>
      <c r="BT6" s="1091" t="str">
        <f t="shared" si="41"/>
        <v/>
      </c>
      <c r="BU6" s="1088">
        <f>SUMIFS(BP_SOTIEN,BP_DA,$C6,BP_THANG,BU$2,BP_KM,$E6)/1000</f>
        <v>13333333.33</v>
      </c>
      <c r="BV6" s="1089">
        <f t="shared" si="42"/>
        <v>0.4</v>
      </c>
      <c r="BW6" s="3"/>
      <c r="BX6" s="1090">
        <f>IF(NOW()&gt;=DATE(YEAR(BU$2),MONTH(BU$2)+1,DAY(BU$2)),SUMIFS(TF_SOTIEN,TF_DA,$C6,TF_THANG,BU$2,TF_KM,$E6)/1000, CA6)</f>
        <v>0</v>
      </c>
      <c r="BY6" s="1089">
        <f t="shared" si="43"/>
        <v>0</v>
      </c>
      <c r="BZ6" s="3"/>
      <c r="CA6" s="1090">
        <f>IF(NOW()&gt;=DATE(YEAR(BU$2),MONTH(BU$2)+1,DAY(BU$2)),SUMIFS(AC_SOTIEN,AC_DA,$C6,AC_THANG,BU$2,AC_KM,$E6),SUMIFS(TF_SOTIEN,TF_DA,$C6,TF_THANG,BU$2,TF_KM,$E6))/ 1000</f>
        <v>0</v>
      </c>
      <c r="CB6" s="1089">
        <f t="shared" si="44"/>
        <v>0</v>
      </c>
      <c r="CC6" s="3"/>
      <c r="CD6" s="1090">
        <f t="shared" si="45"/>
        <v>-13333333.33</v>
      </c>
      <c r="CE6" s="1091">
        <f t="shared" si="46"/>
        <v>-1</v>
      </c>
      <c r="CF6" s="1090">
        <f t="shared" si="47"/>
        <v>0</v>
      </c>
      <c r="CG6" s="1091" t="str">
        <f t="shared" si="48"/>
        <v/>
      </c>
      <c r="CH6" s="1088">
        <f>SUMIFS(BP_SOTIEN,BP_DA,$C6,BP_THANG,CH$2,BP_KM,$E6)/1000</f>
        <v>13333333.33</v>
      </c>
      <c r="CI6" s="1089">
        <f t="shared" si="49"/>
        <v>0.4</v>
      </c>
      <c r="CJ6" s="3"/>
      <c r="CK6" s="1090">
        <f>IF(NOW()&gt;=DATE(YEAR(CH$2),MONTH(CH$2)+1,DAY(CH$2)),SUMIFS(TF_SOTIEN,TF_DA,$C6,TF_THANG,CH$2,TF_KM,$E6)/1000, CN6)</f>
        <v>0</v>
      </c>
      <c r="CL6" s="1089" t="str">
        <f t="shared" si="50"/>
        <v/>
      </c>
      <c r="CM6" s="3"/>
      <c r="CN6" s="1090">
        <f>IF(NOW()&gt;=DATE(YEAR(CH$2),MONTH(CH$2)+1,DAY(CH$2)),SUMIFS(AC_SOTIEN,AC_DA,$C6,AC_THANG,CH$2,AC_KM,$E6),SUMIFS(TF_SOTIEN,TF_DA,$C6,TF_THANG,CH$2,TF_KM,$E6))/ 1000</f>
        <v>0</v>
      </c>
      <c r="CO6" s="1089">
        <f t="shared" si="51"/>
        <v>0</v>
      </c>
      <c r="CP6" s="3"/>
      <c r="CQ6" s="1090">
        <f t="shared" si="52"/>
        <v>-13333333.33</v>
      </c>
      <c r="CR6" s="1091">
        <f t="shared" si="53"/>
        <v>-1</v>
      </c>
      <c r="CS6" s="1090">
        <f t="shared" si="54"/>
        <v>0</v>
      </c>
      <c r="CT6" s="1091" t="str">
        <f t="shared" si="55"/>
        <v/>
      </c>
      <c r="CU6" s="1088">
        <f t="shared" si="56"/>
        <v>40000000</v>
      </c>
      <c r="CV6" s="1089">
        <f t="shared" si="57"/>
        <v>0.4</v>
      </c>
      <c r="CW6" s="3"/>
      <c r="CX6" s="1090">
        <f t="shared" si="58"/>
        <v>0</v>
      </c>
      <c r="CY6" s="1089">
        <f t="shared" si="59"/>
        <v>0</v>
      </c>
      <c r="CZ6" s="3"/>
      <c r="DA6" s="1090">
        <f t="shared" si="60"/>
        <v>0</v>
      </c>
      <c r="DB6" s="1089">
        <f t="shared" si="61"/>
        <v>0</v>
      </c>
      <c r="DC6" s="3"/>
      <c r="DD6" s="1090">
        <f t="shared" si="62"/>
        <v>-40000000</v>
      </c>
      <c r="DE6" s="1091">
        <f t="shared" si="63"/>
        <v>-1</v>
      </c>
      <c r="DF6" s="1090">
        <f t="shared" si="64"/>
        <v>0</v>
      </c>
      <c r="DG6" s="1091" t="str">
        <f t="shared" si="65"/>
        <v/>
      </c>
      <c r="DH6" s="1088">
        <f t="shared" si="66"/>
        <v>40000000</v>
      </c>
      <c r="DI6" s="1089">
        <f t="shared" si="67"/>
        <v>0.4</v>
      </c>
      <c r="DJ6" s="3"/>
      <c r="DK6" s="1090">
        <f t="shared" si="68"/>
        <v>31000000</v>
      </c>
      <c r="DL6" s="1089">
        <f t="shared" si="69"/>
        <v>0.4921822095</v>
      </c>
      <c r="DM6" s="3"/>
      <c r="DN6" s="1090">
        <f t="shared" si="70"/>
        <v>8438145</v>
      </c>
      <c r="DO6" s="1089">
        <f t="shared" si="71"/>
        <v>0.2243684163</v>
      </c>
      <c r="DP6" s="3"/>
      <c r="DQ6" s="1090">
        <f t="shared" si="72"/>
        <v>-31561855</v>
      </c>
      <c r="DR6" s="1091">
        <f t="shared" si="73"/>
        <v>-0.789046375</v>
      </c>
      <c r="DS6" s="1090">
        <f t="shared" si="74"/>
        <v>-22561855</v>
      </c>
      <c r="DT6" s="1091">
        <f t="shared" si="75"/>
        <v>-0.7278017742</v>
      </c>
      <c r="DU6" s="1088">
        <f>SUMIFS(BP_SOTIEN,BP_DA,$C6,BP_THANG,DU$2,BP_KM,$E6)/1000</f>
        <v>13333333.33</v>
      </c>
      <c r="DV6" s="1089">
        <f t="shared" si="76"/>
        <v>0.4</v>
      </c>
      <c r="DW6" s="3"/>
      <c r="DX6" s="1090">
        <f>IF(NOW()&gt;=DATE(YEAR(DU$2),MONTH(DU$2)+1,DAY(DU$2)),SUMIFS(TF_SOTIEN,TF_DA,$C6,TF_THANG,DU$2,TF_KM,$E6)/1000, EA6)</f>
        <v>13333333</v>
      </c>
      <c r="DY6" s="1089">
        <f t="shared" si="77"/>
        <v>0.2499999953</v>
      </c>
      <c r="DZ6" s="3"/>
      <c r="EA6" s="1090">
        <f>IF(NOW()&gt;=DATE(YEAR(DU$2),MONTH(DU$2)+1,DAY(DU$2)),SUMIFS(AC_SOTIEN,AC_DA,$C6,AC_THANG,DU$2,AC_KM,$E6),SUMIFS(TF_SOTIEN,TF_DA,$C6,TF_THANG,DU$2,TF_KM,$E6))/ 1000</f>
        <v>0</v>
      </c>
      <c r="EB6" s="1089" t="str">
        <f t="shared" si="78"/>
        <v/>
      </c>
      <c r="EC6" s="3"/>
      <c r="ED6" s="1090">
        <f t="shared" si="79"/>
        <v>-13333333.33</v>
      </c>
      <c r="EE6" s="1091">
        <f t="shared" si="80"/>
        <v>-1</v>
      </c>
      <c r="EF6" s="1090">
        <f t="shared" si="81"/>
        <v>-13333333</v>
      </c>
      <c r="EG6" s="1091">
        <f t="shared" si="82"/>
        <v>-1</v>
      </c>
      <c r="EH6" s="1088">
        <f>SUMIFS(BP_SOTIEN,BP_DA,$C6,BP_THANG,EH$2,BP_KM,$E6)/1000</f>
        <v>13333333.33</v>
      </c>
      <c r="EI6" s="1089">
        <f t="shared" si="83"/>
        <v>0.4</v>
      </c>
      <c r="EJ6" s="3"/>
      <c r="EK6" s="1090">
        <f>IF(NOW()&gt;=DATE(YEAR(EH$2),MONTH(EH$2)+1,DAY(EH$2)),SUMIFS(TF_SOTIEN,TF_DA,$C6,TF_THANG,EH$2,TF_KM,$E6)/1000, EN6)</f>
        <v>13333333</v>
      </c>
      <c r="EL6" s="1089">
        <f t="shared" si="84"/>
        <v>0.2499999953</v>
      </c>
      <c r="EM6" s="3"/>
      <c r="EN6" s="1090">
        <f>IF(NOW()&gt;=DATE(YEAR(EH$2),MONTH(EH$2)+1,DAY(EH$2)),SUMIFS(AC_SOTIEN,AC_DA,$C6,AC_THANG,EH$2,AC_KM,$E6),SUMIFS(TF_SOTIEN,TF_DA,$C6,TF_THANG,EH$2,TF_KM,$E6))/ 1000</f>
        <v>0</v>
      </c>
      <c r="EO6" s="1089" t="str">
        <f t="shared" si="85"/>
        <v/>
      </c>
      <c r="EP6" s="3"/>
      <c r="EQ6" s="1090">
        <f t="shared" si="86"/>
        <v>-13333333.33</v>
      </c>
      <c r="ER6" s="1091">
        <f t="shared" si="87"/>
        <v>-1</v>
      </c>
      <c r="ES6" s="1090">
        <f t="shared" si="88"/>
        <v>-13333333</v>
      </c>
      <c r="ET6" s="1091">
        <f t="shared" si="89"/>
        <v>-1</v>
      </c>
      <c r="EU6" s="1088">
        <f>SUMIFS(BP_SOTIEN,BP_DA,$C6,BP_THANG,EU$2,BP_KM,$E6)/1000</f>
        <v>13333333.33</v>
      </c>
      <c r="EV6" s="1089">
        <f t="shared" si="90"/>
        <v>0.4</v>
      </c>
      <c r="EW6" s="3"/>
      <c r="EX6" s="1090">
        <f>IF(NOW()&gt;=DATE(YEAR(EU$2),MONTH(EU$2)+1,DAY(EU$2)),SUMIFS(TF_SOTIEN,TF_DA,$C6,TF_THANG,EU$2,TF_KM,$E6)/1000, FA6)</f>
        <v>13333333</v>
      </c>
      <c r="EY6" s="1089">
        <f t="shared" si="91"/>
        <v>0.2499999953</v>
      </c>
      <c r="EZ6" s="3"/>
      <c r="FA6" s="1090">
        <f>IF(NOW()&gt;=DATE(YEAR(EU$2),MONTH(EU$2)+1,DAY(EU$2)),SUMIFS(AC_SOTIEN,AC_DA,$C6,AC_THANG,EU$2,AC_KM,$E6),SUMIFS(TF_SOTIEN,TF_DA,$C6,TF_THANG,EU$2,TF_KM,$E6))/ 1000</f>
        <v>0</v>
      </c>
      <c r="FB6" s="1089" t="str">
        <f t="shared" si="92"/>
        <v/>
      </c>
      <c r="FC6" s="3"/>
      <c r="FD6" s="1090">
        <f t="shared" si="93"/>
        <v>-13333333.33</v>
      </c>
      <c r="FE6" s="1091">
        <f t="shared" si="94"/>
        <v>-1</v>
      </c>
      <c r="FF6" s="1090">
        <f t="shared" si="95"/>
        <v>-13333333</v>
      </c>
      <c r="FG6" s="1091">
        <f t="shared" si="96"/>
        <v>-1</v>
      </c>
      <c r="FH6" s="1088">
        <f t="shared" si="97"/>
        <v>40000000</v>
      </c>
      <c r="FI6" s="1089">
        <f t="shared" si="98"/>
        <v>0.4</v>
      </c>
      <c r="FJ6" s="3"/>
      <c r="FK6" s="1090">
        <f t="shared" si="99"/>
        <v>39999999</v>
      </c>
      <c r="FL6" s="1089">
        <f t="shared" si="100"/>
        <v>0.2499999953</v>
      </c>
      <c r="FM6" s="3"/>
      <c r="FN6" s="1090">
        <f t="shared" si="101"/>
        <v>0</v>
      </c>
      <c r="FO6" s="1089" t="str">
        <f t="shared" si="102"/>
        <v/>
      </c>
      <c r="FP6" s="3"/>
      <c r="FQ6" s="1090">
        <f t="shared" si="103"/>
        <v>-40000000</v>
      </c>
      <c r="FR6" s="1091">
        <f t="shared" si="104"/>
        <v>-1</v>
      </c>
      <c r="FS6" s="1090">
        <f t="shared" si="105"/>
        <v>-39999999</v>
      </c>
      <c r="FT6" s="1091">
        <f t="shared" si="106"/>
        <v>-1</v>
      </c>
      <c r="FU6" s="1088">
        <f>SUMIFS(BP_SOTIEN,BP_DA,$C6,BP_THANG,FU$2,BP_KM,$E6)/1000</f>
        <v>13333333.33</v>
      </c>
      <c r="FV6" s="1089">
        <f t="shared" si="107"/>
        <v>0.4</v>
      </c>
      <c r="FW6" s="3"/>
      <c r="FX6" s="1090">
        <f>IF(NOW()&gt;=DATE(YEAR(FU$2),MONTH(FU$2)+1,DAY(FU$2)),SUMIFS(TF_SOTIEN,TF_DA,$C6,TF_THANG,FU$2,TF_KM,$E6)/1000, GA6)</f>
        <v>13333333</v>
      </c>
      <c r="FY6" s="1089">
        <f t="shared" si="108"/>
        <v>0.2499999953</v>
      </c>
      <c r="FZ6" s="3"/>
      <c r="GA6" s="1090">
        <f>IF(NOW()&gt;=DATE(YEAR(FU$2),MONTH(FU$2)+1,DAY(FU$2)),SUMIFS(AC_SOTIEN,AC_DA,$C6,AC_THANG,FU$2,AC_KM,$E6),SUMIFS(TF_SOTIEN,TF_DA,$C6,TF_THANG,FU$2,TF_KM,$E6))/ 1000</f>
        <v>0</v>
      </c>
      <c r="GB6" s="1089" t="str">
        <f t="shared" si="109"/>
        <v/>
      </c>
      <c r="GC6" s="3"/>
      <c r="GD6" s="1090">
        <f t="shared" si="110"/>
        <v>-13333333.33</v>
      </c>
      <c r="GE6" s="1091">
        <f t="shared" si="111"/>
        <v>-1</v>
      </c>
      <c r="GF6" s="1090">
        <f t="shared" si="112"/>
        <v>-13333333</v>
      </c>
      <c r="GG6" s="1091">
        <f t="shared" si="113"/>
        <v>-1</v>
      </c>
      <c r="GH6" s="1088">
        <f>SUMIFS(BP_SOTIEN,BP_DA,$C6,BP_THANG,GH$2,BP_KM,$E6)/1000</f>
        <v>13333333.33</v>
      </c>
      <c r="GI6" s="1089">
        <f t="shared" si="114"/>
        <v>0.4</v>
      </c>
      <c r="GJ6" s="3"/>
      <c r="GK6" s="1090">
        <f>IF(NOW()&gt;=DATE(YEAR(GH$2),MONTH(GH$2)+1,DAY(GH$2)),SUMIFS(TF_SOTIEN,TF_DA,$C6,TF_THANG,GH$2,TF_KM,$E6)/1000, GN6)</f>
        <v>13333333</v>
      </c>
      <c r="GL6" s="1089">
        <f t="shared" si="115"/>
        <v>0.2499999953</v>
      </c>
      <c r="GM6" s="3"/>
      <c r="GN6" s="1090">
        <f>IF(NOW()&gt;=DATE(YEAR(GH$2),MONTH(GH$2)+1,DAY(GH$2)),SUMIFS(AC_SOTIEN,AC_DA,$C6,AC_THANG,GH$2,AC_KM,$E6),SUMIFS(TF_SOTIEN,TF_DA,$C6,TF_THANG,GH$2,TF_KM,$E6))/ 1000</f>
        <v>0</v>
      </c>
      <c r="GO6" s="1089" t="str">
        <f t="shared" si="116"/>
        <v/>
      </c>
      <c r="GP6" s="3"/>
      <c r="GQ6" s="1090">
        <f t="shared" si="117"/>
        <v>-13333333.33</v>
      </c>
      <c r="GR6" s="1091">
        <f t="shared" si="118"/>
        <v>-1</v>
      </c>
      <c r="GS6" s="1090">
        <f t="shared" si="119"/>
        <v>-13333333</v>
      </c>
      <c r="GT6" s="1091">
        <f t="shared" si="120"/>
        <v>-1</v>
      </c>
      <c r="GU6" s="1088">
        <f>SUMIFS(BP_SOTIEN,BP_DA,$C6,BP_THANG,GU$2,BP_KM,$E6)/1000</f>
        <v>13333333.33</v>
      </c>
      <c r="GV6" s="1089">
        <f t="shared" si="121"/>
        <v>0.4</v>
      </c>
      <c r="GW6" s="3"/>
      <c r="GX6" s="1090">
        <f>IF(NOW()&gt;=DATE(YEAR(GU$2),MONTH(GU$2)+1,DAY(GU$2)),SUMIFS(TF_SOTIEN,TF_DA,$C6,TF_THANG,GU$2,TF_KM,$E6)/1000, HA6)</f>
        <v>13333333</v>
      </c>
      <c r="GY6" s="1089">
        <f t="shared" si="122"/>
        <v>0.2499999953</v>
      </c>
      <c r="GZ6" s="3"/>
      <c r="HA6" s="1090">
        <f>IF(NOW()&gt;=DATE(YEAR(GU$2),MONTH(GU$2)+1,DAY(GU$2)),SUMIFS(AC_SOTIEN,AC_DA,$C6,AC_THANG,GU$2,AC_KM,$E6),SUMIFS(TF_SOTIEN,TF_DA,$C6,TF_THANG,GU$2,TF_KM,$E6))/ 1000</f>
        <v>0</v>
      </c>
      <c r="HB6" s="1089" t="str">
        <f t="shared" si="123"/>
        <v/>
      </c>
      <c r="HC6" s="3"/>
      <c r="HD6" s="1090">
        <f t="shared" si="124"/>
        <v>-13333333.33</v>
      </c>
      <c r="HE6" s="1091">
        <f t="shared" si="125"/>
        <v>-1</v>
      </c>
      <c r="HF6" s="1090">
        <f t="shared" si="126"/>
        <v>-13333333</v>
      </c>
      <c r="HG6" s="1091">
        <f t="shared" si="127"/>
        <v>-1</v>
      </c>
      <c r="HH6" s="1088">
        <f t="shared" si="128"/>
        <v>40000000</v>
      </c>
      <c r="HI6" s="1089">
        <f t="shared" si="129"/>
        <v>0.4</v>
      </c>
      <c r="HJ6" s="3"/>
      <c r="HK6" s="1090">
        <f t="shared" si="130"/>
        <v>39999999</v>
      </c>
      <c r="HL6" s="1089">
        <f t="shared" si="131"/>
        <v>0.2499999953</v>
      </c>
      <c r="HM6" s="3"/>
      <c r="HN6" s="1090">
        <f t="shared" si="132"/>
        <v>0</v>
      </c>
      <c r="HO6" s="1089" t="str">
        <f t="shared" si="133"/>
        <v/>
      </c>
      <c r="HP6" s="3"/>
      <c r="HQ6" s="1090">
        <f t="shared" si="134"/>
        <v>-40000000</v>
      </c>
      <c r="HR6" s="1091">
        <f t="shared" si="135"/>
        <v>-1</v>
      </c>
      <c r="HS6" s="1090">
        <f t="shared" si="136"/>
        <v>-39999999</v>
      </c>
      <c r="HT6" s="1091">
        <f t="shared" si="137"/>
        <v>-1</v>
      </c>
      <c r="HU6" s="1088">
        <f t="shared" si="138"/>
        <v>80000000</v>
      </c>
      <c r="HV6" s="1089">
        <f t="shared" si="139"/>
        <v>0.4</v>
      </c>
      <c r="HW6" s="3"/>
      <c r="HX6" s="1090">
        <f t="shared" si="140"/>
        <v>79999998</v>
      </c>
      <c r="HY6" s="1089">
        <f t="shared" si="141"/>
        <v>0.2499999953</v>
      </c>
      <c r="HZ6" s="3"/>
      <c r="IA6" s="1090">
        <f t="shared" si="142"/>
        <v>0</v>
      </c>
      <c r="IB6" s="1089" t="str">
        <f t="shared" si="143"/>
        <v/>
      </c>
      <c r="IC6" s="3"/>
      <c r="ID6" s="1090">
        <f t="shared" si="144"/>
        <v>-80000000</v>
      </c>
      <c r="IE6" s="1091">
        <f t="shared" si="145"/>
        <v>-1</v>
      </c>
      <c r="IF6" s="1090">
        <f t="shared" si="146"/>
        <v>-79999998</v>
      </c>
      <c r="IG6" s="1091">
        <f t="shared" si="147"/>
        <v>-1</v>
      </c>
      <c r="IH6" s="1088">
        <f t="shared" si="148"/>
        <v>120000000</v>
      </c>
      <c r="II6" s="1089">
        <f t="shared" si="149"/>
        <v>0.4</v>
      </c>
      <c r="IJ6" s="3"/>
      <c r="IK6" s="1090">
        <f t="shared" si="150"/>
        <v>110999998</v>
      </c>
      <c r="IL6" s="1089">
        <f t="shared" si="151"/>
        <v>0.289828728</v>
      </c>
      <c r="IM6" s="3"/>
      <c r="IN6" s="1090">
        <f t="shared" si="152"/>
        <v>8438145</v>
      </c>
      <c r="IO6" s="1089">
        <f t="shared" si="153"/>
        <v>0.2243684163</v>
      </c>
      <c r="IP6" s="3"/>
      <c r="IQ6" s="1090">
        <f t="shared" si="154"/>
        <v>-111561855</v>
      </c>
      <c r="IR6" s="1091">
        <f t="shared" si="1"/>
        <v>-0.929682125</v>
      </c>
      <c r="IS6" s="1090">
        <f t="shared" si="155"/>
        <v>-102561853</v>
      </c>
      <c r="IT6" s="1091">
        <f t="shared" si="2"/>
        <v>-0.9239806743</v>
      </c>
    </row>
    <row r="7" outlineLevel="1">
      <c r="A7" s="1086">
        <f t="shared" si="3"/>
        <v>2</v>
      </c>
      <c r="B7" s="1087" t="s">
        <v>2066</v>
      </c>
      <c r="C7" s="1087" t="s">
        <v>530</v>
      </c>
      <c r="D7" s="1087" t="str">
        <f>IF(C7&gt;0,VLOOKUP(C7,DM_DUAN ,2,"") ,IF(B7&gt;0,VLOOKUP(B7,DM_CDT,2,""),""))</f>
        <v>Nhà vườn sinh thái</v>
      </c>
      <c r="E7" s="1087" t="s">
        <v>198</v>
      </c>
      <c r="F7" s="1087"/>
      <c r="G7" s="1086">
        <v>2.0</v>
      </c>
      <c r="H7" s="1088">
        <f>SUMIFS(BP_SOTIEN,BP_DA,$C7,BP_THANG,H$2,BP_KM,$E7)/1000</f>
        <v>0</v>
      </c>
      <c r="I7" s="1089" t="str">
        <f t="shared" si="4"/>
        <v/>
      </c>
      <c r="J7" s="3"/>
      <c r="K7" s="1090">
        <f>IF(NOW()&gt;=DATE(YEAR(H$2),MONTH(H$2)+1,DAY(H$2)),SUMIFS(TF_SOTIEN,TF_DA,$C7,TF_THANG,H$2,TF_KM,$E7)/1000, N7)</f>
        <v>0</v>
      </c>
      <c r="L7" s="1089">
        <f t="shared" si="5"/>
        <v>0</v>
      </c>
      <c r="M7" s="3"/>
      <c r="N7" s="1090">
        <f>IF(NOW()&gt;=DATE(YEAR(H$2),MONTH(H$2)+1,DAY(H$2)),SUMIFS(AC_SOTIEN,AC_DA,$C7,AC_THANG,H$2,AC_KM,$E7),SUMIFS(TF_SOTIEN,TF_DA,$C7,TF_THANG,H$2,TF_KM,$E7))/ 1000</f>
        <v>0</v>
      </c>
      <c r="O7" s="1089">
        <f t="shared" si="6"/>
        <v>0</v>
      </c>
      <c r="P7" s="3"/>
      <c r="Q7" s="1090">
        <f t="shared" si="7"/>
        <v>0</v>
      </c>
      <c r="R7" s="1091" t="str">
        <f t="shared" si="8"/>
        <v/>
      </c>
      <c r="S7" s="1090">
        <f t="shared" si="9"/>
        <v>0</v>
      </c>
      <c r="T7" s="1091" t="str">
        <f t="shared" si="10"/>
        <v/>
      </c>
      <c r="U7" s="1088">
        <f>SUMIFS(BP_SOTIEN,BP_DA,$C7,BP_THANG,U$2,BP_KM,$E7)/1000</f>
        <v>0</v>
      </c>
      <c r="V7" s="1089" t="str">
        <f t="shared" si="11"/>
        <v/>
      </c>
      <c r="W7" s="3"/>
      <c r="X7" s="1090">
        <f>IF(NOW()&gt;=DATE(YEAR(U$2),MONTH(U$2)+1,DAY(U$2)),SUMIFS(TF_SOTIEN,TF_DA,$C7,TF_THANG,U$2,TF_KM,$E7)/1000, AA7)</f>
        <v>0</v>
      </c>
      <c r="Y7" s="1089" t="str">
        <f t="shared" si="12"/>
        <v/>
      </c>
      <c r="Z7" s="3"/>
      <c r="AA7" s="1090">
        <f>IF(NOW()&gt;=DATE(YEAR(U$2),MONTH(U$2)+1,DAY(U$2)),SUMIFS(AC_SOTIEN,AC_DA,$C7,AC_THANG,U$2,AC_KM,$E7),SUMIFS(TF_SOTIEN,TF_DA,$C7,TF_THANG,U$2,TF_KM,$E7))/ 1000</f>
        <v>0</v>
      </c>
      <c r="AB7" s="1089">
        <f t="shared" si="13"/>
        <v>0</v>
      </c>
      <c r="AC7" s="3"/>
      <c r="AD7" s="1090">
        <f t="shared" si="14"/>
        <v>0</v>
      </c>
      <c r="AE7" s="1091" t="str">
        <f t="shared" si="15"/>
        <v/>
      </c>
      <c r="AF7" s="1090">
        <f t="shared" si="16"/>
        <v>0</v>
      </c>
      <c r="AG7" s="1091" t="str">
        <f t="shared" si="17"/>
        <v/>
      </c>
      <c r="AH7" s="1088">
        <f>SUMIFS(BP_SOTIEN,BP_DA,$C7,BP_THANG,AH$2,BP_KM,$E7)/1000</f>
        <v>0</v>
      </c>
      <c r="AI7" s="1089" t="str">
        <f t="shared" si="18"/>
        <v/>
      </c>
      <c r="AJ7" s="3"/>
      <c r="AK7" s="1090">
        <f>IF(NOW()&gt;=DATE(YEAR(AH$2),MONTH(AH$2)+1,DAY(AH$2)),SUMIFS(TF_SOTIEN,TF_DA,$C7,TF_THANG,AH$2,TF_KM,$E7)/1000, AN7)</f>
        <v>0</v>
      </c>
      <c r="AL7" s="1089">
        <f t="shared" si="19"/>
        <v>0</v>
      </c>
      <c r="AM7" s="3"/>
      <c r="AN7" s="1090">
        <f>IF(NOW()&gt;=DATE(YEAR(AH$2),MONTH(AH$2)+1,DAY(AH$2)),SUMIFS(AC_SOTIEN,AC_DA,$C7,AC_THANG,AH$2,AC_KM,$E7),SUMIFS(TF_SOTIEN,TF_DA,$C7,TF_THANG,AH$2,TF_KM,$E7))/ 1000</f>
        <v>5916320</v>
      </c>
      <c r="AO7" s="1089">
        <f t="shared" si="20"/>
        <v>0.6569305702</v>
      </c>
      <c r="AP7" s="3"/>
      <c r="AQ7" s="1090">
        <f t="shared" si="21"/>
        <v>5916320</v>
      </c>
      <c r="AR7" s="1091" t="str">
        <f t="shared" si="22"/>
        <v/>
      </c>
      <c r="AS7" s="1090">
        <f t="shared" si="23"/>
        <v>5916320</v>
      </c>
      <c r="AT7" s="1091" t="str">
        <f t="shared" si="24"/>
        <v/>
      </c>
      <c r="AU7" s="1088">
        <f t="shared" si="25"/>
        <v>0</v>
      </c>
      <c r="AV7" s="1089" t="str">
        <f t="shared" si="26"/>
        <v/>
      </c>
      <c r="AW7" s="3"/>
      <c r="AX7" s="1090">
        <f t="shared" si="27"/>
        <v>0</v>
      </c>
      <c r="AY7" s="1089">
        <f t="shared" si="28"/>
        <v>0</v>
      </c>
      <c r="AZ7" s="3"/>
      <c r="BA7" s="1090">
        <f t="shared" si="29"/>
        <v>5916320</v>
      </c>
      <c r="BB7" s="1089">
        <f t="shared" si="30"/>
        <v>0.4121588649</v>
      </c>
      <c r="BC7" s="3"/>
      <c r="BD7" s="1090">
        <f t="shared" si="31"/>
        <v>5916320</v>
      </c>
      <c r="BE7" s="1091" t="str">
        <f t="shared" si="32"/>
        <v/>
      </c>
      <c r="BF7" s="1090">
        <f t="shared" si="33"/>
        <v>5916320</v>
      </c>
      <c r="BG7" s="1091" t="str">
        <f t="shared" si="34"/>
        <v/>
      </c>
      <c r="BH7" s="1088">
        <f>SUMIFS(BP_SOTIEN,BP_DA,$C7,BP_THANG,BH$2,BP_KM,$E7)/1000</f>
        <v>0</v>
      </c>
      <c r="BI7" s="1089">
        <f t="shared" si="35"/>
        <v>0</v>
      </c>
      <c r="BJ7" s="3"/>
      <c r="BK7" s="1090">
        <f>IF(NOW()&gt;=DATE(YEAR(BH$2),MONTH(BH$2)+1,DAY(BH$2)),SUMIFS(TF_SOTIEN,TF_DA,$C7,TF_THANG,BH$2,TF_KM,$E7)/1000, BN7)</f>
        <v>10000000</v>
      </c>
      <c r="BL7" s="1089">
        <f t="shared" si="36"/>
        <v>0.5</v>
      </c>
      <c r="BM7" s="3"/>
      <c r="BN7" s="1090">
        <f>IF(NOW()&gt;=DATE(YEAR(BH$2),MONTH(BH$2)+1,DAY(BH$2)),SUMIFS(AC_SOTIEN,AC_DA,$C7,AC_THANG,BH$2,AC_KM,$E7),SUMIFS(TF_SOTIEN,TF_DA,$C7,TF_THANG,BH$2,TF_KM,$E7))/ 1000</f>
        <v>8043670</v>
      </c>
      <c r="BO7" s="1089">
        <f t="shared" si="37"/>
        <v>0.4426245565</v>
      </c>
      <c r="BP7" s="3"/>
      <c r="BQ7" s="1090">
        <f t="shared" si="38"/>
        <v>8043670</v>
      </c>
      <c r="BR7" s="1091" t="str">
        <f t="shared" si="39"/>
        <v/>
      </c>
      <c r="BS7" s="1090">
        <f t="shared" si="40"/>
        <v>-1956330</v>
      </c>
      <c r="BT7" s="1091">
        <f t="shared" si="41"/>
        <v>-0.195633</v>
      </c>
      <c r="BU7" s="1088">
        <f>SUMIFS(BP_SOTIEN,BP_DA,$C7,BP_THANG,BU$2,BP_KM,$E7)/1000</f>
        <v>0</v>
      </c>
      <c r="BV7" s="1089">
        <f t="shared" si="42"/>
        <v>0</v>
      </c>
      <c r="BW7" s="3"/>
      <c r="BX7" s="1090">
        <f>IF(NOW()&gt;=DATE(YEAR(BU$2),MONTH(BU$2)+1,DAY(BU$2)),SUMIFS(TF_SOTIEN,TF_DA,$C7,TF_THANG,BU$2,TF_KM,$E7)/1000, CA7)</f>
        <v>0</v>
      </c>
      <c r="BY7" s="1089">
        <f t="shared" si="43"/>
        <v>0</v>
      </c>
      <c r="BZ7" s="3"/>
      <c r="CA7" s="1090">
        <f>IF(NOW()&gt;=DATE(YEAR(BU$2),MONTH(BU$2)+1,DAY(BU$2)),SUMIFS(AC_SOTIEN,AC_DA,$C7,AC_THANG,BU$2,AC_KM,$E7),SUMIFS(TF_SOTIEN,TF_DA,$C7,TF_THANG,BU$2,TF_KM,$E7))/ 1000</f>
        <v>0</v>
      </c>
      <c r="CB7" s="1089">
        <f t="shared" si="44"/>
        <v>0</v>
      </c>
      <c r="CC7" s="3"/>
      <c r="CD7" s="1090">
        <f t="shared" si="45"/>
        <v>0</v>
      </c>
      <c r="CE7" s="1091" t="str">
        <f t="shared" si="46"/>
        <v/>
      </c>
      <c r="CF7" s="1090">
        <f t="shared" si="47"/>
        <v>0</v>
      </c>
      <c r="CG7" s="1091" t="str">
        <f t="shared" si="48"/>
        <v/>
      </c>
      <c r="CH7" s="1088">
        <f>SUMIFS(BP_SOTIEN,BP_DA,$C7,BP_THANG,CH$2,BP_KM,$E7)/1000</f>
        <v>0</v>
      </c>
      <c r="CI7" s="1089">
        <f t="shared" si="49"/>
        <v>0</v>
      </c>
      <c r="CJ7" s="3"/>
      <c r="CK7" s="1090">
        <f>IF(NOW()&gt;=DATE(YEAR(CH$2),MONTH(CH$2)+1,DAY(CH$2)),SUMIFS(TF_SOTIEN,TF_DA,$C7,TF_THANG,CH$2,TF_KM,$E7)/1000, CN7)</f>
        <v>0</v>
      </c>
      <c r="CL7" s="1089" t="str">
        <f t="shared" si="50"/>
        <v/>
      </c>
      <c r="CM7" s="3"/>
      <c r="CN7" s="1090">
        <f>IF(NOW()&gt;=DATE(YEAR(CH$2),MONTH(CH$2)+1,DAY(CH$2)),SUMIFS(AC_SOTIEN,AC_DA,$C7,AC_THANG,CH$2,AC_KM,$E7),SUMIFS(TF_SOTIEN,TF_DA,$C7,TF_THANG,CH$2,TF_KM,$E7))/ 1000</f>
        <v>0</v>
      </c>
      <c r="CO7" s="1089">
        <f t="shared" si="51"/>
        <v>0</v>
      </c>
      <c r="CP7" s="3"/>
      <c r="CQ7" s="1090">
        <f t="shared" si="52"/>
        <v>0</v>
      </c>
      <c r="CR7" s="1091" t="str">
        <f t="shared" si="53"/>
        <v/>
      </c>
      <c r="CS7" s="1090">
        <f t="shared" si="54"/>
        <v>0</v>
      </c>
      <c r="CT7" s="1091" t="str">
        <f t="shared" si="55"/>
        <v/>
      </c>
      <c r="CU7" s="1088">
        <f t="shared" si="56"/>
        <v>0</v>
      </c>
      <c r="CV7" s="1089">
        <f t="shared" si="57"/>
        <v>0</v>
      </c>
      <c r="CW7" s="3"/>
      <c r="CX7" s="1090">
        <f t="shared" si="58"/>
        <v>10000000</v>
      </c>
      <c r="CY7" s="1089">
        <f t="shared" si="59"/>
        <v>0.3126484689</v>
      </c>
      <c r="CZ7" s="3"/>
      <c r="DA7" s="1090">
        <f t="shared" si="60"/>
        <v>8043670</v>
      </c>
      <c r="DB7" s="1089">
        <f t="shared" si="61"/>
        <v>0.3459052368</v>
      </c>
      <c r="DC7" s="3"/>
      <c r="DD7" s="1090">
        <f t="shared" si="62"/>
        <v>8043670</v>
      </c>
      <c r="DE7" s="1091" t="str">
        <f t="shared" si="63"/>
        <v/>
      </c>
      <c r="DF7" s="1090">
        <f t="shared" si="64"/>
        <v>-1956330</v>
      </c>
      <c r="DG7" s="1091">
        <f t="shared" si="65"/>
        <v>-0.195633</v>
      </c>
      <c r="DH7" s="1088">
        <f t="shared" si="66"/>
        <v>0</v>
      </c>
      <c r="DI7" s="1089">
        <f t="shared" si="67"/>
        <v>0</v>
      </c>
      <c r="DJ7" s="3"/>
      <c r="DK7" s="1090">
        <f t="shared" si="68"/>
        <v>10000000</v>
      </c>
      <c r="DL7" s="1089">
        <f t="shared" si="69"/>
        <v>0.1587684547</v>
      </c>
      <c r="DM7" s="3"/>
      <c r="DN7" s="1090">
        <f t="shared" si="70"/>
        <v>13959990</v>
      </c>
      <c r="DO7" s="1089">
        <f t="shared" si="71"/>
        <v>0.3711930582</v>
      </c>
      <c r="DP7" s="3"/>
      <c r="DQ7" s="1090">
        <f t="shared" si="72"/>
        <v>13959990</v>
      </c>
      <c r="DR7" s="1091" t="str">
        <f t="shared" si="73"/>
        <v/>
      </c>
      <c r="DS7" s="1090">
        <f t="shared" si="74"/>
        <v>3959990</v>
      </c>
      <c r="DT7" s="1091">
        <f t="shared" si="75"/>
        <v>0.395999</v>
      </c>
      <c r="DU7" s="1088">
        <f>SUMIFS(BP_SOTIEN,BP_DA,$C7,BP_THANG,DU$2,BP_KM,$E7)/1000</f>
        <v>0</v>
      </c>
      <c r="DV7" s="1089">
        <f t="shared" si="76"/>
        <v>0</v>
      </c>
      <c r="DW7" s="3"/>
      <c r="DX7" s="1090">
        <f>IF(NOW()&gt;=DATE(YEAR(DU$2),MONTH(DU$2)+1,DAY(DU$2)),SUMIFS(TF_SOTIEN,TF_DA,$C7,TF_THANG,DU$2,TF_KM,$E7)/1000, EA7)</f>
        <v>0</v>
      </c>
      <c r="DY7" s="1089">
        <f t="shared" si="77"/>
        <v>0</v>
      </c>
      <c r="DZ7" s="3"/>
      <c r="EA7" s="1090">
        <f>IF(NOW()&gt;=DATE(YEAR(DU$2),MONTH(DU$2)+1,DAY(DU$2)),SUMIFS(AC_SOTIEN,AC_DA,$C7,AC_THANG,DU$2,AC_KM,$E7),SUMIFS(TF_SOTIEN,TF_DA,$C7,TF_THANG,DU$2,TF_KM,$E7))/ 1000</f>
        <v>0</v>
      </c>
      <c r="EB7" s="1089" t="str">
        <f t="shared" si="78"/>
        <v/>
      </c>
      <c r="EC7" s="3"/>
      <c r="ED7" s="1090">
        <f t="shared" si="79"/>
        <v>0</v>
      </c>
      <c r="EE7" s="1091" t="str">
        <f t="shared" si="80"/>
        <v/>
      </c>
      <c r="EF7" s="1090">
        <f t="shared" si="81"/>
        <v>0</v>
      </c>
      <c r="EG7" s="1091" t="str">
        <f t="shared" si="82"/>
        <v/>
      </c>
      <c r="EH7" s="1088">
        <f>SUMIFS(BP_SOTIEN,BP_DA,$C7,BP_THANG,EH$2,BP_KM,$E7)/1000</f>
        <v>0</v>
      </c>
      <c r="EI7" s="1089">
        <f t="shared" si="83"/>
        <v>0</v>
      </c>
      <c r="EJ7" s="3"/>
      <c r="EK7" s="1090">
        <f>IF(NOW()&gt;=DATE(YEAR(EH$2),MONTH(EH$2)+1,DAY(EH$2)),SUMIFS(TF_SOTIEN,TF_DA,$C7,TF_THANG,EH$2,TF_KM,$E7)/1000, EN7)</f>
        <v>0</v>
      </c>
      <c r="EL7" s="1089">
        <f t="shared" si="84"/>
        <v>0</v>
      </c>
      <c r="EM7" s="3"/>
      <c r="EN7" s="1090">
        <f>IF(NOW()&gt;=DATE(YEAR(EH$2),MONTH(EH$2)+1,DAY(EH$2)),SUMIFS(AC_SOTIEN,AC_DA,$C7,AC_THANG,EH$2,AC_KM,$E7),SUMIFS(TF_SOTIEN,TF_DA,$C7,TF_THANG,EH$2,TF_KM,$E7))/ 1000</f>
        <v>0</v>
      </c>
      <c r="EO7" s="1089" t="str">
        <f t="shared" si="85"/>
        <v/>
      </c>
      <c r="EP7" s="3"/>
      <c r="EQ7" s="1090">
        <f t="shared" si="86"/>
        <v>0</v>
      </c>
      <c r="ER7" s="1091" t="str">
        <f t="shared" si="87"/>
        <v/>
      </c>
      <c r="ES7" s="1090">
        <f t="shared" si="88"/>
        <v>0</v>
      </c>
      <c r="ET7" s="1091" t="str">
        <f t="shared" si="89"/>
        <v/>
      </c>
      <c r="EU7" s="1088">
        <f>SUMIFS(BP_SOTIEN,BP_DA,$C7,BP_THANG,EU$2,BP_KM,$E7)/1000</f>
        <v>0</v>
      </c>
      <c r="EV7" s="1089">
        <f t="shared" si="90"/>
        <v>0</v>
      </c>
      <c r="EW7" s="3"/>
      <c r="EX7" s="1090">
        <f>IF(NOW()&gt;=DATE(YEAR(EU$2),MONTH(EU$2)+1,DAY(EU$2)),SUMIFS(TF_SOTIEN,TF_DA,$C7,TF_THANG,EU$2,TF_KM,$E7)/1000, FA7)</f>
        <v>0</v>
      </c>
      <c r="EY7" s="1089">
        <f t="shared" si="91"/>
        <v>0</v>
      </c>
      <c r="EZ7" s="3"/>
      <c r="FA7" s="1090">
        <f>IF(NOW()&gt;=DATE(YEAR(EU$2),MONTH(EU$2)+1,DAY(EU$2)),SUMIFS(AC_SOTIEN,AC_DA,$C7,AC_THANG,EU$2,AC_KM,$E7),SUMIFS(TF_SOTIEN,TF_DA,$C7,TF_THANG,EU$2,TF_KM,$E7))/ 1000</f>
        <v>0</v>
      </c>
      <c r="FB7" s="1089" t="str">
        <f t="shared" si="92"/>
        <v/>
      </c>
      <c r="FC7" s="3"/>
      <c r="FD7" s="1090">
        <f t="shared" si="93"/>
        <v>0</v>
      </c>
      <c r="FE7" s="1091" t="str">
        <f t="shared" si="94"/>
        <v/>
      </c>
      <c r="FF7" s="1090">
        <f t="shared" si="95"/>
        <v>0</v>
      </c>
      <c r="FG7" s="1091" t="str">
        <f t="shared" si="96"/>
        <v/>
      </c>
      <c r="FH7" s="1088">
        <f t="shared" si="97"/>
        <v>0</v>
      </c>
      <c r="FI7" s="1089">
        <f t="shared" si="98"/>
        <v>0</v>
      </c>
      <c r="FJ7" s="3"/>
      <c r="FK7" s="1090">
        <f t="shared" si="99"/>
        <v>0</v>
      </c>
      <c r="FL7" s="1089">
        <f t="shared" si="100"/>
        <v>0</v>
      </c>
      <c r="FM7" s="3"/>
      <c r="FN7" s="1090">
        <f t="shared" si="101"/>
        <v>0</v>
      </c>
      <c r="FO7" s="1089" t="str">
        <f t="shared" si="102"/>
        <v/>
      </c>
      <c r="FP7" s="3"/>
      <c r="FQ7" s="1090">
        <f t="shared" si="103"/>
        <v>0</v>
      </c>
      <c r="FR7" s="1091" t="str">
        <f t="shared" si="104"/>
        <v/>
      </c>
      <c r="FS7" s="1090">
        <f t="shared" si="105"/>
        <v>0</v>
      </c>
      <c r="FT7" s="1091" t="str">
        <f t="shared" si="106"/>
        <v/>
      </c>
      <c r="FU7" s="1088">
        <f>SUMIFS(BP_SOTIEN,BP_DA,$C7,BP_THANG,FU$2,BP_KM,$E7)/1000</f>
        <v>0</v>
      </c>
      <c r="FV7" s="1089">
        <f t="shared" si="107"/>
        <v>0</v>
      </c>
      <c r="FW7" s="3"/>
      <c r="FX7" s="1090">
        <f>IF(NOW()&gt;=DATE(YEAR(FU$2),MONTH(FU$2)+1,DAY(FU$2)),SUMIFS(TF_SOTIEN,TF_DA,$C7,TF_THANG,FU$2,TF_KM,$E7)/1000, GA7)</f>
        <v>0</v>
      </c>
      <c r="FY7" s="1089">
        <f t="shared" si="108"/>
        <v>0</v>
      </c>
      <c r="FZ7" s="3"/>
      <c r="GA7" s="1090">
        <f>IF(NOW()&gt;=DATE(YEAR(FU$2),MONTH(FU$2)+1,DAY(FU$2)),SUMIFS(AC_SOTIEN,AC_DA,$C7,AC_THANG,FU$2,AC_KM,$E7),SUMIFS(TF_SOTIEN,TF_DA,$C7,TF_THANG,FU$2,TF_KM,$E7))/ 1000</f>
        <v>0</v>
      </c>
      <c r="GB7" s="1089" t="str">
        <f t="shared" si="109"/>
        <v/>
      </c>
      <c r="GC7" s="3"/>
      <c r="GD7" s="1090">
        <f t="shared" si="110"/>
        <v>0</v>
      </c>
      <c r="GE7" s="1091" t="str">
        <f t="shared" si="111"/>
        <v/>
      </c>
      <c r="GF7" s="1090">
        <f t="shared" si="112"/>
        <v>0</v>
      </c>
      <c r="GG7" s="1091" t="str">
        <f t="shared" si="113"/>
        <v/>
      </c>
      <c r="GH7" s="1088">
        <f>SUMIFS(BP_SOTIEN,BP_DA,$C7,BP_THANG,GH$2,BP_KM,$E7)/1000</f>
        <v>0</v>
      </c>
      <c r="GI7" s="1089">
        <f t="shared" si="114"/>
        <v>0</v>
      </c>
      <c r="GJ7" s="3"/>
      <c r="GK7" s="1090">
        <f>IF(NOW()&gt;=DATE(YEAR(GH$2),MONTH(GH$2)+1,DAY(GH$2)),SUMIFS(TF_SOTIEN,TF_DA,$C7,TF_THANG,GH$2,TF_KM,$E7)/1000, GN7)</f>
        <v>0</v>
      </c>
      <c r="GL7" s="1089">
        <f t="shared" si="115"/>
        <v>0</v>
      </c>
      <c r="GM7" s="3"/>
      <c r="GN7" s="1090">
        <f>IF(NOW()&gt;=DATE(YEAR(GH$2),MONTH(GH$2)+1,DAY(GH$2)),SUMIFS(AC_SOTIEN,AC_DA,$C7,AC_THANG,GH$2,AC_KM,$E7),SUMIFS(TF_SOTIEN,TF_DA,$C7,TF_THANG,GH$2,TF_KM,$E7))/ 1000</f>
        <v>0</v>
      </c>
      <c r="GO7" s="1089" t="str">
        <f t="shared" si="116"/>
        <v/>
      </c>
      <c r="GP7" s="3"/>
      <c r="GQ7" s="1090">
        <f t="shared" si="117"/>
        <v>0</v>
      </c>
      <c r="GR7" s="1091" t="str">
        <f t="shared" si="118"/>
        <v/>
      </c>
      <c r="GS7" s="1090">
        <f t="shared" si="119"/>
        <v>0</v>
      </c>
      <c r="GT7" s="1091" t="str">
        <f t="shared" si="120"/>
        <v/>
      </c>
      <c r="GU7" s="1088">
        <f>SUMIFS(BP_SOTIEN,BP_DA,$C7,BP_THANG,GU$2,BP_KM,$E7)/1000</f>
        <v>0</v>
      </c>
      <c r="GV7" s="1089">
        <f t="shared" si="121"/>
        <v>0</v>
      </c>
      <c r="GW7" s="3"/>
      <c r="GX7" s="1090">
        <f>IF(NOW()&gt;=DATE(YEAR(GU$2),MONTH(GU$2)+1,DAY(GU$2)),SUMIFS(TF_SOTIEN,TF_DA,$C7,TF_THANG,GU$2,TF_KM,$E7)/1000, HA7)</f>
        <v>0</v>
      </c>
      <c r="GY7" s="1089">
        <f t="shared" si="122"/>
        <v>0</v>
      </c>
      <c r="GZ7" s="3"/>
      <c r="HA7" s="1090">
        <f>IF(NOW()&gt;=DATE(YEAR(GU$2),MONTH(GU$2)+1,DAY(GU$2)),SUMIFS(AC_SOTIEN,AC_DA,$C7,AC_THANG,GU$2,AC_KM,$E7),SUMIFS(TF_SOTIEN,TF_DA,$C7,TF_THANG,GU$2,TF_KM,$E7))/ 1000</f>
        <v>0</v>
      </c>
      <c r="HB7" s="1089" t="str">
        <f t="shared" si="123"/>
        <v/>
      </c>
      <c r="HC7" s="3"/>
      <c r="HD7" s="1090">
        <f t="shared" si="124"/>
        <v>0</v>
      </c>
      <c r="HE7" s="1091" t="str">
        <f t="shared" si="125"/>
        <v/>
      </c>
      <c r="HF7" s="1090">
        <f t="shared" si="126"/>
        <v>0</v>
      </c>
      <c r="HG7" s="1091" t="str">
        <f t="shared" si="127"/>
        <v/>
      </c>
      <c r="HH7" s="1088">
        <f t="shared" si="128"/>
        <v>0</v>
      </c>
      <c r="HI7" s="1089">
        <f t="shared" si="129"/>
        <v>0</v>
      </c>
      <c r="HJ7" s="3"/>
      <c r="HK7" s="1090">
        <f t="shared" si="130"/>
        <v>0</v>
      </c>
      <c r="HL7" s="1089">
        <f t="shared" si="131"/>
        <v>0</v>
      </c>
      <c r="HM7" s="3"/>
      <c r="HN7" s="1090">
        <f t="shared" si="132"/>
        <v>0</v>
      </c>
      <c r="HO7" s="1089" t="str">
        <f t="shared" si="133"/>
        <v/>
      </c>
      <c r="HP7" s="3"/>
      <c r="HQ7" s="1090">
        <f t="shared" si="134"/>
        <v>0</v>
      </c>
      <c r="HR7" s="1091" t="str">
        <f t="shared" si="135"/>
        <v/>
      </c>
      <c r="HS7" s="1090">
        <f t="shared" si="136"/>
        <v>0</v>
      </c>
      <c r="HT7" s="1091" t="str">
        <f t="shared" si="137"/>
        <v/>
      </c>
      <c r="HU7" s="1088">
        <f t="shared" si="138"/>
        <v>0</v>
      </c>
      <c r="HV7" s="1089">
        <f t="shared" si="139"/>
        <v>0</v>
      </c>
      <c r="HW7" s="3"/>
      <c r="HX7" s="1090">
        <f t="shared" si="140"/>
        <v>0</v>
      </c>
      <c r="HY7" s="1089">
        <f t="shared" si="141"/>
        <v>0</v>
      </c>
      <c r="HZ7" s="3"/>
      <c r="IA7" s="1090">
        <f t="shared" si="142"/>
        <v>0</v>
      </c>
      <c r="IB7" s="1089" t="str">
        <f t="shared" si="143"/>
        <v/>
      </c>
      <c r="IC7" s="3"/>
      <c r="ID7" s="1090">
        <f t="shared" si="144"/>
        <v>0</v>
      </c>
      <c r="IE7" s="1091" t="str">
        <f t="shared" si="145"/>
        <v/>
      </c>
      <c r="IF7" s="1090">
        <f t="shared" si="146"/>
        <v>0</v>
      </c>
      <c r="IG7" s="1091" t="str">
        <f t="shared" si="147"/>
        <v/>
      </c>
      <c r="IH7" s="1088">
        <f t="shared" si="148"/>
        <v>0</v>
      </c>
      <c r="II7" s="1089">
        <f t="shared" si="149"/>
        <v>0</v>
      </c>
      <c r="IJ7" s="3"/>
      <c r="IK7" s="1090">
        <f t="shared" si="150"/>
        <v>10000000</v>
      </c>
      <c r="IL7" s="1089">
        <f t="shared" si="151"/>
        <v>0.02611069669</v>
      </c>
      <c r="IM7" s="3"/>
      <c r="IN7" s="1090">
        <f t="shared" si="152"/>
        <v>13959990</v>
      </c>
      <c r="IO7" s="1089">
        <f t="shared" si="153"/>
        <v>0.3711930582</v>
      </c>
      <c r="IP7" s="3"/>
      <c r="IQ7" s="1090">
        <f t="shared" si="154"/>
        <v>13959990</v>
      </c>
      <c r="IR7" s="1091" t="str">
        <f t="shared" si="1"/>
        <v/>
      </c>
      <c r="IS7" s="1090">
        <f t="shared" si="155"/>
        <v>3959990</v>
      </c>
      <c r="IT7" s="1091">
        <f t="shared" si="2"/>
        <v>0.395999</v>
      </c>
    </row>
    <row r="8" outlineLevel="1">
      <c r="A8" s="1086">
        <f t="shared" si="3"/>
        <v>3</v>
      </c>
      <c r="B8" s="1087" t="s">
        <v>2066</v>
      </c>
      <c r="C8" s="656" t="s">
        <v>597</v>
      </c>
      <c r="D8" s="1087" t="str">
        <f>IF(C8&gt;0,VLOOKUP(C8,DM_DUAN ,2,"") ,IF(B8&gt;0,VLOOKUP(B8,DM_CDT,2,""),""))</f>
        <v>KDC Long Hải</v>
      </c>
      <c r="E8" s="1087" t="s">
        <v>198</v>
      </c>
      <c r="F8" s="1087"/>
      <c r="G8" s="1086">
        <v>2.0</v>
      </c>
      <c r="H8" s="1088">
        <f>SUMIFS(BP_SOTIEN,BP_DA,$C8,BP_THANG,H$2,BP_KM,$E8)/1000</f>
        <v>0</v>
      </c>
      <c r="I8" s="1089" t="str">
        <f t="shared" si="4"/>
        <v/>
      </c>
      <c r="J8" s="3"/>
      <c r="K8" s="1090">
        <f>IF(NOW()&gt;=DATE(YEAR(H$2),MONTH(H$2)+1,DAY(H$2)),SUMIFS(TF_SOTIEN,TF_DA,$C8,TF_THANG,H$2,TF_KM,$E8)/1000, N8)</f>
        <v>0</v>
      </c>
      <c r="L8" s="1089">
        <f t="shared" si="5"/>
        <v>0</v>
      </c>
      <c r="M8" s="3"/>
      <c r="N8" s="1090">
        <f>IF(NOW()&gt;=DATE(YEAR(H$2),MONTH(H$2)+1,DAY(H$2)),SUMIFS(AC_SOTIEN,AC_DA,$C8,AC_THANG,H$2,AC_KM,$E8),SUMIFS(TF_SOTIEN,TF_DA,$C8,TF_THANG,H$2,TF_KM,$E8))/ 1000</f>
        <v>0</v>
      </c>
      <c r="O8" s="1089">
        <f t="shared" si="6"/>
        <v>0</v>
      </c>
      <c r="P8" s="3"/>
      <c r="Q8" s="1090">
        <f t="shared" si="7"/>
        <v>0</v>
      </c>
      <c r="R8" s="1091" t="str">
        <f t="shared" si="8"/>
        <v/>
      </c>
      <c r="S8" s="1090">
        <f t="shared" si="9"/>
        <v>0</v>
      </c>
      <c r="T8" s="1091" t="str">
        <f t="shared" si="10"/>
        <v/>
      </c>
      <c r="U8" s="1088">
        <f>SUMIFS(BP_SOTIEN,BP_DA,$C8,BP_THANG,U$2,BP_KM,$E8)/1000</f>
        <v>0</v>
      </c>
      <c r="V8" s="1089" t="str">
        <f t="shared" si="11"/>
        <v/>
      </c>
      <c r="W8" s="3"/>
      <c r="X8" s="1090">
        <f>IF(NOW()&gt;=DATE(YEAR(U$2),MONTH(U$2)+1,DAY(U$2)),SUMIFS(TF_SOTIEN,TF_DA,$C8,TF_THANG,U$2,TF_KM,$E8)/1000, AA8)</f>
        <v>0</v>
      </c>
      <c r="Y8" s="1089" t="str">
        <f t="shared" si="12"/>
        <v/>
      </c>
      <c r="Z8" s="3"/>
      <c r="AA8" s="1090">
        <f>IF(NOW()&gt;=DATE(YEAR(U$2),MONTH(U$2)+1,DAY(U$2)),SUMIFS(AC_SOTIEN,AC_DA,$C8,AC_THANG,U$2,AC_KM,$E8),SUMIFS(TF_SOTIEN,TF_DA,$C8,TF_THANG,U$2,TF_KM,$E8))/ 1000</f>
        <v>0</v>
      </c>
      <c r="AB8" s="1089">
        <f t="shared" si="13"/>
        <v>0</v>
      </c>
      <c r="AC8" s="3"/>
      <c r="AD8" s="1090">
        <f t="shared" si="14"/>
        <v>0</v>
      </c>
      <c r="AE8" s="1091" t="str">
        <f t="shared" si="15"/>
        <v/>
      </c>
      <c r="AF8" s="1090">
        <f t="shared" si="16"/>
        <v>0</v>
      </c>
      <c r="AG8" s="1091" t="str">
        <f t="shared" si="17"/>
        <v/>
      </c>
      <c r="AH8" s="1088">
        <f>SUMIFS(BP_SOTIEN,BP_DA,$C8,BP_THANG,AH$2,BP_KM,$E8)/1000</f>
        <v>0</v>
      </c>
      <c r="AI8" s="1089" t="str">
        <f t="shared" si="18"/>
        <v/>
      </c>
      <c r="AJ8" s="3"/>
      <c r="AK8" s="1090">
        <f>IF(NOW()&gt;=DATE(YEAR(AH$2),MONTH(AH$2)+1,DAY(AH$2)),SUMIFS(TF_SOTIEN,TF_DA,$C8,TF_THANG,AH$2,TF_KM,$E8)/1000, AN8)</f>
        <v>0</v>
      </c>
      <c r="AL8" s="1089">
        <f t="shared" si="19"/>
        <v>0</v>
      </c>
      <c r="AM8" s="3"/>
      <c r="AN8" s="1090">
        <f>IF(NOW()&gt;=DATE(YEAR(AH$2),MONTH(AH$2)+1,DAY(AH$2)),SUMIFS(AC_SOTIEN,AC_DA,$C8,AC_THANG,AH$2,AC_KM,$E8),SUMIFS(TF_SOTIEN,TF_DA,$C8,TF_THANG,AH$2,TF_KM,$E8))/ 1000</f>
        <v>0</v>
      </c>
      <c r="AO8" s="1089">
        <f t="shared" si="20"/>
        <v>0</v>
      </c>
      <c r="AP8" s="3"/>
      <c r="AQ8" s="1090">
        <f t="shared" si="21"/>
        <v>0</v>
      </c>
      <c r="AR8" s="1091" t="str">
        <f t="shared" si="22"/>
        <v/>
      </c>
      <c r="AS8" s="1090">
        <f t="shared" si="23"/>
        <v>0</v>
      </c>
      <c r="AT8" s="1091" t="str">
        <f t="shared" si="24"/>
        <v/>
      </c>
      <c r="AU8" s="1088">
        <f t="shared" si="25"/>
        <v>0</v>
      </c>
      <c r="AV8" s="1089" t="str">
        <f t="shared" si="26"/>
        <v/>
      </c>
      <c r="AW8" s="3"/>
      <c r="AX8" s="1090">
        <f t="shared" si="27"/>
        <v>0</v>
      </c>
      <c r="AY8" s="1089">
        <f t="shared" si="28"/>
        <v>0</v>
      </c>
      <c r="AZ8" s="3"/>
      <c r="BA8" s="1090">
        <f t="shared" si="29"/>
        <v>0</v>
      </c>
      <c r="BB8" s="1089">
        <f t="shared" si="30"/>
        <v>0</v>
      </c>
      <c r="BC8" s="3"/>
      <c r="BD8" s="1090">
        <f t="shared" si="31"/>
        <v>0</v>
      </c>
      <c r="BE8" s="1091" t="str">
        <f t="shared" si="32"/>
        <v/>
      </c>
      <c r="BF8" s="1090">
        <f t="shared" si="33"/>
        <v>0</v>
      </c>
      <c r="BG8" s="1091" t="str">
        <f t="shared" si="34"/>
        <v/>
      </c>
      <c r="BH8" s="1088">
        <f>SUMIFS(BP_SOTIEN,BP_DA,$C8,BP_THANG,BH$2,BP_KM,$E8)/1000</f>
        <v>0</v>
      </c>
      <c r="BI8" s="1089">
        <f t="shared" si="35"/>
        <v>0</v>
      </c>
      <c r="BJ8" s="3"/>
      <c r="BK8" s="1090">
        <f>IF(NOW()&gt;=DATE(YEAR(BH$2),MONTH(BH$2)+1,DAY(BH$2)),SUMIFS(TF_SOTIEN,TF_DA,$C8,TF_THANG,BH$2,TF_KM,$E8)/1000, BN8)</f>
        <v>0</v>
      </c>
      <c r="BL8" s="1089">
        <f t="shared" si="36"/>
        <v>0</v>
      </c>
      <c r="BM8" s="3"/>
      <c r="BN8" s="1090">
        <f>IF(NOW()&gt;=DATE(YEAR(BH$2),MONTH(BH$2)+1,DAY(BH$2)),SUMIFS(AC_SOTIEN,AC_DA,$C8,AC_THANG,BH$2,AC_KM,$E8),SUMIFS(TF_SOTIEN,TF_DA,$C8,TF_THANG,BH$2,TF_KM,$E8))/ 1000</f>
        <v>0</v>
      </c>
      <c r="BO8" s="1089">
        <f t="shared" si="37"/>
        <v>0</v>
      </c>
      <c r="BP8" s="3"/>
      <c r="BQ8" s="1090">
        <f t="shared" si="38"/>
        <v>0</v>
      </c>
      <c r="BR8" s="1091" t="str">
        <f t="shared" si="39"/>
        <v/>
      </c>
      <c r="BS8" s="1090">
        <f t="shared" si="40"/>
        <v>0</v>
      </c>
      <c r="BT8" s="1091" t="str">
        <f t="shared" si="41"/>
        <v/>
      </c>
      <c r="BU8" s="1088">
        <f>SUMIFS(BP_SOTIEN,BP_DA,$C8,BP_THANG,BU$2,BP_KM,$E8)/1000</f>
        <v>0</v>
      </c>
      <c r="BV8" s="1089">
        <f t="shared" si="42"/>
        <v>0</v>
      </c>
      <c r="BW8" s="3"/>
      <c r="BX8" s="1090">
        <f>IF(NOW()&gt;=DATE(YEAR(BU$2),MONTH(BU$2)+1,DAY(BU$2)),SUMIFS(TF_SOTIEN,TF_DA,$C8,TF_THANG,BU$2,TF_KM,$E8)/1000, CA8)</f>
        <v>0</v>
      </c>
      <c r="BY8" s="1089">
        <f t="shared" si="43"/>
        <v>0</v>
      </c>
      <c r="BZ8" s="3"/>
      <c r="CA8" s="1090">
        <f>IF(NOW()&gt;=DATE(YEAR(BU$2),MONTH(BU$2)+1,DAY(BU$2)),SUMIFS(AC_SOTIEN,AC_DA,$C8,AC_THANG,BU$2,AC_KM,$E8),SUMIFS(TF_SOTIEN,TF_DA,$C8,TF_THANG,BU$2,TF_KM,$E8))/ 1000</f>
        <v>0</v>
      </c>
      <c r="CB8" s="1089">
        <f t="shared" si="44"/>
        <v>0</v>
      </c>
      <c r="CC8" s="3"/>
      <c r="CD8" s="1090">
        <f t="shared" si="45"/>
        <v>0</v>
      </c>
      <c r="CE8" s="1091" t="str">
        <f t="shared" si="46"/>
        <v/>
      </c>
      <c r="CF8" s="1090">
        <f t="shared" si="47"/>
        <v>0</v>
      </c>
      <c r="CG8" s="1091" t="str">
        <f t="shared" si="48"/>
        <v/>
      </c>
      <c r="CH8" s="1088">
        <f>SUMIFS(BP_SOTIEN,BP_DA,$C8,BP_THANG,CH$2,BP_KM,$E8)/1000</f>
        <v>0</v>
      </c>
      <c r="CI8" s="1089">
        <f t="shared" si="49"/>
        <v>0</v>
      </c>
      <c r="CJ8" s="3"/>
      <c r="CK8" s="1090">
        <f>IF(NOW()&gt;=DATE(YEAR(CH$2),MONTH(CH$2)+1,DAY(CH$2)),SUMIFS(TF_SOTIEN,TF_DA,$C8,TF_THANG,CH$2,TF_KM,$E8)/1000, CN8)</f>
        <v>0</v>
      </c>
      <c r="CL8" s="1089" t="str">
        <f t="shared" si="50"/>
        <v/>
      </c>
      <c r="CM8" s="3"/>
      <c r="CN8" s="1090">
        <f>IF(NOW()&gt;=DATE(YEAR(CH$2),MONTH(CH$2)+1,DAY(CH$2)),SUMIFS(AC_SOTIEN,AC_DA,$C8,AC_THANG,CH$2,AC_KM,$E8),SUMIFS(TF_SOTIEN,TF_DA,$C8,TF_THANG,CH$2,TF_KM,$E8))/ 1000</f>
        <v>0</v>
      </c>
      <c r="CO8" s="1089">
        <f t="shared" si="51"/>
        <v>0</v>
      </c>
      <c r="CP8" s="3"/>
      <c r="CQ8" s="1090">
        <f t="shared" si="52"/>
        <v>0</v>
      </c>
      <c r="CR8" s="1091" t="str">
        <f t="shared" si="53"/>
        <v/>
      </c>
      <c r="CS8" s="1090">
        <f t="shared" si="54"/>
        <v>0</v>
      </c>
      <c r="CT8" s="1091" t="str">
        <f t="shared" si="55"/>
        <v/>
      </c>
      <c r="CU8" s="1088">
        <f t="shared" si="56"/>
        <v>0</v>
      </c>
      <c r="CV8" s="1089">
        <f t="shared" si="57"/>
        <v>0</v>
      </c>
      <c r="CW8" s="3"/>
      <c r="CX8" s="1090">
        <f t="shared" si="58"/>
        <v>0</v>
      </c>
      <c r="CY8" s="1089">
        <f t="shared" si="59"/>
        <v>0</v>
      </c>
      <c r="CZ8" s="3"/>
      <c r="DA8" s="1090">
        <f t="shared" si="60"/>
        <v>0</v>
      </c>
      <c r="DB8" s="1089">
        <f t="shared" si="61"/>
        <v>0</v>
      </c>
      <c r="DC8" s="3"/>
      <c r="DD8" s="1090">
        <f t="shared" si="62"/>
        <v>0</v>
      </c>
      <c r="DE8" s="1091" t="str">
        <f t="shared" si="63"/>
        <v/>
      </c>
      <c r="DF8" s="1090">
        <f t="shared" si="64"/>
        <v>0</v>
      </c>
      <c r="DG8" s="1091" t="str">
        <f t="shared" si="65"/>
        <v/>
      </c>
      <c r="DH8" s="1088">
        <f t="shared" si="66"/>
        <v>0</v>
      </c>
      <c r="DI8" s="1089">
        <f t="shared" si="67"/>
        <v>0</v>
      </c>
      <c r="DJ8" s="3"/>
      <c r="DK8" s="1090">
        <f t="shared" si="68"/>
        <v>0</v>
      </c>
      <c r="DL8" s="1089">
        <f t="shared" si="69"/>
        <v>0</v>
      </c>
      <c r="DM8" s="3"/>
      <c r="DN8" s="1090">
        <f t="shared" si="70"/>
        <v>0</v>
      </c>
      <c r="DO8" s="1089">
        <f t="shared" si="71"/>
        <v>0</v>
      </c>
      <c r="DP8" s="3"/>
      <c r="DQ8" s="1090">
        <f t="shared" si="72"/>
        <v>0</v>
      </c>
      <c r="DR8" s="1091" t="str">
        <f t="shared" si="73"/>
        <v/>
      </c>
      <c r="DS8" s="1090">
        <f t="shared" si="74"/>
        <v>0</v>
      </c>
      <c r="DT8" s="1091" t="str">
        <f t="shared" si="75"/>
        <v/>
      </c>
      <c r="DU8" s="1088">
        <f>SUMIFS(BP_SOTIEN,BP_DA,$C8,BP_THANG,DU$2,BP_KM,$E8)/1000</f>
        <v>0</v>
      </c>
      <c r="DV8" s="1089">
        <f t="shared" si="76"/>
        <v>0</v>
      </c>
      <c r="DW8" s="3"/>
      <c r="DX8" s="1090">
        <f>IF(NOW()&gt;=DATE(YEAR(DU$2),MONTH(DU$2)+1,DAY(DU$2)),SUMIFS(TF_SOTIEN,TF_DA,$C8,TF_THANG,DU$2,TF_KM,$E8)/1000, EA8)</f>
        <v>0</v>
      </c>
      <c r="DY8" s="1089">
        <f t="shared" si="77"/>
        <v>0</v>
      </c>
      <c r="DZ8" s="3"/>
      <c r="EA8" s="1090">
        <f>IF(NOW()&gt;=DATE(YEAR(DU$2),MONTH(DU$2)+1,DAY(DU$2)),SUMIFS(AC_SOTIEN,AC_DA,$C8,AC_THANG,DU$2,AC_KM,$E8),SUMIFS(TF_SOTIEN,TF_DA,$C8,TF_THANG,DU$2,TF_KM,$E8))/ 1000</f>
        <v>0</v>
      </c>
      <c r="EB8" s="1089" t="str">
        <f t="shared" si="78"/>
        <v/>
      </c>
      <c r="EC8" s="3"/>
      <c r="ED8" s="1090">
        <f t="shared" si="79"/>
        <v>0</v>
      </c>
      <c r="EE8" s="1091" t="str">
        <f t="shared" si="80"/>
        <v/>
      </c>
      <c r="EF8" s="1090">
        <f t="shared" si="81"/>
        <v>0</v>
      </c>
      <c r="EG8" s="1091" t="str">
        <f t="shared" si="82"/>
        <v/>
      </c>
      <c r="EH8" s="1088">
        <f>SUMIFS(BP_SOTIEN,BP_DA,$C8,BP_THANG,EH$2,BP_KM,$E8)/1000</f>
        <v>0</v>
      </c>
      <c r="EI8" s="1089">
        <f t="shared" si="83"/>
        <v>0</v>
      </c>
      <c r="EJ8" s="3"/>
      <c r="EK8" s="1090">
        <f>IF(NOW()&gt;=DATE(YEAR(EH$2),MONTH(EH$2)+1,DAY(EH$2)),SUMIFS(TF_SOTIEN,TF_DA,$C8,TF_THANG,EH$2,TF_KM,$E8)/1000, EN8)</f>
        <v>0</v>
      </c>
      <c r="EL8" s="1089">
        <f t="shared" si="84"/>
        <v>0</v>
      </c>
      <c r="EM8" s="3"/>
      <c r="EN8" s="1090">
        <f>IF(NOW()&gt;=DATE(YEAR(EH$2),MONTH(EH$2)+1,DAY(EH$2)),SUMIFS(AC_SOTIEN,AC_DA,$C8,AC_THANG,EH$2,AC_KM,$E8),SUMIFS(TF_SOTIEN,TF_DA,$C8,TF_THANG,EH$2,TF_KM,$E8))/ 1000</f>
        <v>0</v>
      </c>
      <c r="EO8" s="1089" t="str">
        <f t="shared" si="85"/>
        <v/>
      </c>
      <c r="EP8" s="3"/>
      <c r="EQ8" s="1090">
        <f t="shared" si="86"/>
        <v>0</v>
      </c>
      <c r="ER8" s="1091" t="str">
        <f t="shared" si="87"/>
        <v/>
      </c>
      <c r="ES8" s="1090">
        <f t="shared" si="88"/>
        <v>0</v>
      </c>
      <c r="ET8" s="1091" t="str">
        <f t="shared" si="89"/>
        <v/>
      </c>
      <c r="EU8" s="1088">
        <f>SUMIFS(BP_SOTIEN,BP_DA,$C8,BP_THANG,EU$2,BP_KM,$E8)/1000</f>
        <v>0</v>
      </c>
      <c r="EV8" s="1089">
        <f t="shared" si="90"/>
        <v>0</v>
      </c>
      <c r="EW8" s="3"/>
      <c r="EX8" s="1090">
        <f>IF(NOW()&gt;=DATE(YEAR(EU$2),MONTH(EU$2)+1,DAY(EU$2)),SUMIFS(TF_SOTIEN,TF_DA,$C8,TF_THANG,EU$2,TF_KM,$E8)/1000, FA8)</f>
        <v>0</v>
      </c>
      <c r="EY8" s="1089">
        <f t="shared" si="91"/>
        <v>0</v>
      </c>
      <c r="EZ8" s="3"/>
      <c r="FA8" s="1090">
        <f>IF(NOW()&gt;=DATE(YEAR(EU$2),MONTH(EU$2)+1,DAY(EU$2)),SUMIFS(AC_SOTIEN,AC_DA,$C8,AC_THANG,EU$2,AC_KM,$E8),SUMIFS(TF_SOTIEN,TF_DA,$C8,TF_THANG,EU$2,TF_KM,$E8))/ 1000</f>
        <v>0</v>
      </c>
      <c r="FB8" s="1089" t="str">
        <f t="shared" si="92"/>
        <v/>
      </c>
      <c r="FC8" s="3"/>
      <c r="FD8" s="1090">
        <f t="shared" si="93"/>
        <v>0</v>
      </c>
      <c r="FE8" s="1091" t="str">
        <f t="shared" si="94"/>
        <v/>
      </c>
      <c r="FF8" s="1090">
        <f t="shared" si="95"/>
        <v>0</v>
      </c>
      <c r="FG8" s="1091" t="str">
        <f t="shared" si="96"/>
        <v/>
      </c>
      <c r="FH8" s="1088">
        <f t="shared" si="97"/>
        <v>0</v>
      </c>
      <c r="FI8" s="1089">
        <f t="shared" si="98"/>
        <v>0</v>
      </c>
      <c r="FJ8" s="3"/>
      <c r="FK8" s="1090">
        <f t="shared" si="99"/>
        <v>0</v>
      </c>
      <c r="FL8" s="1089">
        <f t="shared" si="100"/>
        <v>0</v>
      </c>
      <c r="FM8" s="3"/>
      <c r="FN8" s="1090">
        <f t="shared" si="101"/>
        <v>0</v>
      </c>
      <c r="FO8" s="1089" t="str">
        <f t="shared" si="102"/>
        <v/>
      </c>
      <c r="FP8" s="3"/>
      <c r="FQ8" s="1090">
        <f t="shared" si="103"/>
        <v>0</v>
      </c>
      <c r="FR8" s="1091" t="str">
        <f t="shared" si="104"/>
        <v/>
      </c>
      <c r="FS8" s="1090">
        <f t="shared" si="105"/>
        <v>0</v>
      </c>
      <c r="FT8" s="1091" t="str">
        <f t="shared" si="106"/>
        <v/>
      </c>
      <c r="FU8" s="1088">
        <f>SUMIFS(BP_SOTIEN,BP_DA,$C8,BP_THANG,FU$2,BP_KM,$E8)/1000</f>
        <v>0</v>
      </c>
      <c r="FV8" s="1089">
        <f t="shared" si="107"/>
        <v>0</v>
      </c>
      <c r="FW8" s="3"/>
      <c r="FX8" s="1090">
        <f>IF(NOW()&gt;=DATE(YEAR(FU$2),MONTH(FU$2)+1,DAY(FU$2)),SUMIFS(TF_SOTIEN,TF_DA,$C8,TF_THANG,FU$2,TF_KM,$E8)/1000, GA8)</f>
        <v>0</v>
      </c>
      <c r="FY8" s="1089">
        <f t="shared" si="108"/>
        <v>0</v>
      </c>
      <c r="FZ8" s="3"/>
      <c r="GA8" s="1090">
        <f>IF(NOW()&gt;=DATE(YEAR(FU$2),MONTH(FU$2)+1,DAY(FU$2)),SUMIFS(AC_SOTIEN,AC_DA,$C8,AC_THANG,FU$2,AC_KM,$E8),SUMIFS(TF_SOTIEN,TF_DA,$C8,TF_THANG,FU$2,TF_KM,$E8))/ 1000</f>
        <v>0</v>
      </c>
      <c r="GB8" s="1089" t="str">
        <f t="shared" si="109"/>
        <v/>
      </c>
      <c r="GC8" s="3"/>
      <c r="GD8" s="1090">
        <f t="shared" si="110"/>
        <v>0</v>
      </c>
      <c r="GE8" s="1091" t="str">
        <f t="shared" si="111"/>
        <v/>
      </c>
      <c r="GF8" s="1090">
        <f t="shared" si="112"/>
        <v>0</v>
      </c>
      <c r="GG8" s="1091" t="str">
        <f t="shared" si="113"/>
        <v/>
      </c>
      <c r="GH8" s="1088">
        <f>SUMIFS(BP_SOTIEN,BP_DA,$C8,BP_THANG,GH$2,BP_KM,$E8)/1000</f>
        <v>0</v>
      </c>
      <c r="GI8" s="1089">
        <f t="shared" si="114"/>
        <v>0</v>
      </c>
      <c r="GJ8" s="3"/>
      <c r="GK8" s="1090">
        <f>IF(NOW()&gt;=DATE(YEAR(GH$2),MONTH(GH$2)+1,DAY(GH$2)),SUMIFS(TF_SOTIEN,TF_DA,$C8,TF_THANG,GH$2,TF_KM,$E8)/1000, GN8)</f>
        <v>0</v>
      </c>
      <c r="GL8" s="1089">
        <f t="shared" si="115"/>
        <v>0</v>
      </c>
      <c r="GM8" s="3"/>
      <c r="GN8" s="1090">
        <f>IF(NOW()&gt;=DATE(YEAR(GH$2),MONTH(GH$2)+1,DAY(GH$2)),SUMIFS(AC_SOTIEN,AC_DA,$C8,AC_THANG,GH$2,AC_KM,$E8),SUMIFS(TF_SOTIEN,TF_DA,$C8,TF_THANG,GH$2,TF_KM,$E8))/ 1000</f>
        <v>0</v>
      </c>
      <c r="GO8" s="1089" t="str">
        <f t="shared" si="116"/>
        <v/>
      </c>
      <c r="GP8" s="3"/>
      <c r="GQ8" s="1090">
        <f t="shared" si="117"/>
        <v>0</v>
      </c>
      <c r="GR8" s="1091" t="str">
        <f t="shared" si="118"/>
        <v/>
      </c>
      <c r="GS8" s="1090">
        <f t="shared" si="119"/>
        <v>0</v>
      </c>
      <c r="GT8" s="1091" t="str">
        <f t="shared" si="120"/>
        <v/>
      </c>
      <c r="GU8" s="1088">
        <f>SUMIFS(BP_SOTIEN,BP_DA,$C8,BP_THANG,GU$2,BP_KM,$E8)/1000</f>
        <v>0</v>
      </c>
      <c r="GV8" s="1089">
        <f t="shared" si="121"/>
        <v>0</v>
      </c>
      <c r="GW8" s="3"/>
      <c r="GX8" s="1090">
        <f>IF(NOW()&gt;=DATE(YEAR(GU$2),MONTH(GU$2)+1,DAY(GU$2)),SUMIFS(TF_SOTIEN,TF_DA,$C8,TF_THANG,GU$2,TF_KM,$E8)/1000, HA8)</f>
        <v>0</v>
      </c>
      <c r="GY8" s="1089">
        <f t="shared" si="122"/>
        <v>0</v>
      </c>
      <c r="GZ8" s="3"/>
      <c r="HA8" s="1090">
        <f>IF(NOW()&gt;=DATE(YEAR(GU$2),MONTH(GU$2)+1,DAY(GU$2)),SUMIFS(AC_SOTIEN,AC_DA,$C8,AC_THANG,GU$2,AC_KM,$E8),SUMIFS(TF_SOTIEN,TF_DA,$C8,TF_THANG,GU$2,TF_KM,$E8))/ 1000</f>
        <v>0</v>
      </c>
      <c r="HB8" s="1089" t="str">
        <f t="shared" si="123"/>
        <v/>
      </c>
      <c r="HC8" s="3"/>
      <c r="HD8" s="1090">
        <f t="shared" si="124"/>
        <v>0</v>
      </c>
      <c r="HE8" s="1091" t="str">
        <f t="shared" si="125"/>
        <v/>
      </c>
      <c r="HF8" s="1090">
        <f t="shared" si="126"/>
        <v>0</v>
      </c>
      <c r="HG8" s="1091" t="str">
        <f t="shared" si="127"/>
        <v/>
      </c>
      <c r="HH8" s="1088">
        <f t="shared" si="128"/>
        <v>0</v>
      </c>
      <c r="HI8" s="1089">
        <f t="shared" si="129"/>
        <v>0</v>
      </c>
      <c r="HJ8" s="3"/>
      <c r="HK8" s="1090">
        <f t="shared" si="130"/>
        <v>0</v>
      </c>
      <c r="HL8" s="1089">
        <f t="shared" si="131"/>
        <v>0</v>
      </c>
      <c r="HM8" s="3"/>
      <c r="HN8" s="1090">
        <f t="shared" si="132"/>
        <v>0</v>
      </c>
      <c r="HO8" s="1089" t="str">
        <f t="shared" si="133"/>
        <v/>
      </c>
      <c r="HP8" s="3"/>
      <c r="HQ8" s="1090">
        <f t="shared" si="134"/>
        <v>0</v>
      </c>
      <c r="HR8" s="1091" t="str">
        <f t="shared" si="135"/>
        <v/>
      </c>
      <c r="HS8" s="1090">
        <f t="shared" si="136"/>
        <v>0</v>
      </c>
      <c r="HT8" s="1091" t="str">
        <f t="shared" si="137"/>
        <v/>
      </c>
      <c r="HU8" s="1088">
        <f t="shared" si="138"/>
        <v>0</v>
      </c>
      <c r="HV8" s="1089">
        <f t="shared" si="139"/>
        <v>0</v>
      </c>
      <c r="HW8" s="3"/>
      <c r="HX8" s="1090">
        <f t="shared" si="140"/>
        <v>0</v>
      </c>
      <c r="HY8" s="1089">
        <f t="shared" si="141"/>
        <v>0</v>
      </c>
      <c r="HZ8" s="3"/>
      <c r="IA8" s="1090">
        <f t="shared" si="142"/>
        <v>0</v>
      </c>
      <c r="IB8" s="1089" t="str">
        <f t="shared" si="143"/>
        <v/>
      </c>
      <c r="IC8" s="3"/>
      <c r="ID8" s="1090">
        <f t="shared" si="144"/>
        <v>0</v>
      </c>
      <c r="IE8" s="1091" t="str">
        <f t="shared" si="145"/>
        <v/>
      </c>
      <c r="IF8" s="1090">
        <f t="shared" si="146"/>
        <v>0</v>
      </c>
      <c r="IG8" s="1091" t="str">
        <f t="shared" si="147"/>
        <v/>
      </c>
      <c r="IH8" s="1088">
        <f t="shared" si="148"/>
        <v>0</v>
      </c>
      <c r="II8" s="1089">
        <f t="shared" si="149"/>
        <v>0</v>
      </c>
      <c r="IJ8" s="3"/>
      <c r="IK8" s="1090">
        <f t="shared" si="150"/>
        <v>0</v>
      </c>
      <c r="IL8" s="1089">
        <f t="shared" si="151"/>
        <v>0</v>
      </c>
      <c r="IM8" s="3"/>
      <c r="IN8" s="1090">
        <f t="shared" si="152"/>
        <v>0</v>
      </c>
      <c r="IO8" s="1089">
        <f t="shared" si="153"/>
        <v>0</v>
      </c>
      <c r="IP8" s="3"/>
      <c r="IQ8" s="1090">
        <f t="shared" si="154"/>
        <v>0</v>
      </c>
      <c r="IR8" s="1091" t="str">
        <f t="shared" si="1"/>
        <v/>
      </c>
      <c r="IS8" s="1090">
        <f t="shared" si="155"/>
        <v>0</v>
      </c>
      <c r="IT8" s="1091" t="str">
        <f t="shared" si="2"/>
        <v/>
      </c>
    </row>
    <row r="9" collapsed="1">
      <c r="A9" s="1080" t="str">
        <f t="shared" si="3"/>
        <v/>
      </c>
      <c r="B9" s="1081" t="s">
        <v>2067</v>
      </c>
      <c r="C9" s="1081"/>
      <c r="D9" s="1081" t="str">
        <f>IF(C9&gt;0,VLOOKUP(C9,DM_DUAN ,2,"") ,IF(B9&gt;0,VLOOKUP(B9,DM_CDT,2,""),""))</f>
        <v>NAM PHONG</v>
      </c>
      <c r="E9" s="1081" t="s">
        <v>198</v>
      </c>
      <c r="F9" s="1081"/>
      <c r="G9" s="1082">
        <v>1.0</v>
      </c>
      <c r="H9" s="1083">
        <f>SUMIF($B10:$B$18,$B9,H10:H$18)</f>
        <v>0</v>
      </c>
      <c r="I9" s="1084" t="str">
        <f t="shared" si="4"/>
        <v/>
      </c>
      <c r="J9" s="3"/>
      <c r="K9" s="1083">
        <f>SUMIF($B10:$B$18,$B9,K10:K$18)</f>
        <v>0</v>
      </c>
      <c r="L9" s="1084">
        <f t="shared" si="5"/>
        <v>0</v>
      </c>
      <c r="M9" s="3"/>
      <c r="N9" s="1083">
        <f>SUMIF($B10:$B$18,$B9,N10:N$18)</f>
        <v>0</v>
      </c>
      <c r="O9" s="1084">
        <f t="shared" si="6"/>
        <v>0</v>
      </c>
      <c r="P9" s="3"/>
      <c r="Q9" s="1083">
        <f t="shared" si="7"/>
        <v>0</v>
      </c>
      <c r="R9" s="1085" t="str">
        <f t="shared" si="8"/>
        <v/>
      </c>
      <c r="S9" s="1083">
        <f t="shared" si="9"/>
        <v>0</v>
      </c>
      <c r="T9" s="1085" t="str">
        <f t="shared" si="10"/>
        <v/>
      </c>
      <c r="U9" s="1083">
        <f>SUMIF($B10:$B$18,$B9,U10:U$18)</f>
        <v>0</v>
      </c>
      <c r="V9" s="1084" t="str">
        <f t="shared" si="11"/>
        <v/>
      </c>
      <c r="W9" s="3"/>
      <c r="X9" s="1083">
        <f>SUMIF($B10:$B$18,$B9,X10:X$18)</f>
        <v>0</v>
      </c>
      <c r="Y9" s="1084" t="str">
        <f t="shared" si="12"/>
        <v/>
      </c>
      <c r="Z9" s="3"/>
      <c r="AA9" s="1083">
        <f>SUMIF($B10:$B$18,$B9,AA10:AA$18)</f>
        <v>0</v>
      </c>
      <c r="AB9" s="1084">
        <f t="shared" si="13"/>
        <v>0</v>
      </c>
      <c r="AC9" s="3"/>
      <c r="AD9" s="1083">
        <f t="shared" si="14"/>
        <v>0</v>
      </c>
      <c r="AE9" s="1085" t="str">
        <f t="shared" si="15"/>
        <v/>
      </c>
      <c r="AF9" s="1083">
        <f t="shared" si="16"/>
        <v>0</v>
      </c>
      <c r="AG9" s="1085" t="str">
        <f t="shared" si="17"/>
        <v/>
      </c>
      <c r="AH9" s="1083">
        <f>SUMIF($B10:$B$18,$B9,AH10:AH$18)</f>
        <v>0</v>
      </c>
      <c r="AI9" s="1084" t="str">
        <f t="shared" si="18"/>
        <v/>
      </c>
      <c r="AJ9" s="3"/>
      <c r="AK9" s="1083">
        <f>SUMIF($B10:$B$18,$B9,AK10:AK$18)</f>
        <v>0</v>
      </c>
      <c r="AL9" s="1084">
        <f t="shared" si="19"/>
        <v>0</v>
      </c>
      <c r="AM9" s="3"/>
      <c r="AN9" s="1083">
        <f>SUMIF($B10:$B$18,$B9,AN10:AN$18)</f>
        <v>0</v>
      </c>
      <c r="AO9" s="1084">
        <f t="shared" si="20"/>
        <v>0</v>
      </c>
      <c r="AP9" s="3"/>
      <c r="AQ9" s="1083">
        <f t="shared" si="21"/>
        <v>0</v>
      </c>
      <c r="AR9" s="1085" t="str">
        <f t="shared" si="22"/>
        <v/>
      </c>
      <c r="AS9" s="1083">
        <f t="shared" si="23"/>
        <v>0</v>
      </c>
      <c r="AT9" s="1085" t="str">
        <f t="shared" si="24"/>
        <v/>
      </c>
      <c r="AU9" s="1083">
        <f t="shared" si="25"/>
        <v>0</v>
      </c>
      <c r="AV9" s="1084" t="str">
        <f t="shared" si="26"/>
        <v/>
      </c>
      <c r="AW9" s="3"/>
      <c r="AX9" s="1083">
        <f t="shared" si="27"/>
        <v>0</v>
      </c>
      <c r="AY9" s="1084">
        <f t="shared" si="28"/>
        <v>0</v>
      </c>
      <c r="AZ9" s="3"/>
      <c r="BA9" s="1083">
        <f t="shared" si="29"/>
        <v>0</v>
      </c>
      <c r="BB9" s="1084">
        <f t="shared" si="30"/>
        <v>0</v>
      </c>
      <c r="BC9" s="3"/>
      <c r="BD9" s="1083">
        <f t="shared" si="31"/>
        <v>0</v>
      </c>
      <c r="BE9" s="1085" t="str">
        <f t="shared" si="32"/>
        <v/>
      </c>
      <c r="BF9" s="1083">
        <f t="shared" si="33"/>
        <v>0</v>
      </c>
      <c r="BG9" s="1085" t="str">
        <f t="shared" si="34"/>
        <v/>
      </c>
      <c r="BH9" s="1083">
        <f>SUMIF($B10:$B$18,$B9,BH10:BH$18)</f>
        <v>20000000</v>
      </c>
      <c r="BI9" s="1084">
        <f t="shared" si="35"/>
        <v>0.6</v>
      </c>
      <c r="BJ9" s="3"/>
      <c r="BK9" s="1083">
        <f>SUMIF($B10:$B$18,$B9,BK10:BK$18)</f>
        <v>0</v>
      </c>
      <c r="BL9" s="1084">
        <f t="shared" si="36"/>
        <v>0</v>
      </c>
      <c r="BM9" s="3"/>
      <c r="BN9" s="1083">
        <f>SUMIF($B10:$B$18,$B9,BN10:BN$18)</f>
        <v>0</v>
      </c>
      <c r="BO9" s="1084">
        <f t="shared" si="37"/>
        <v>0</v>
      </c>
      <c r="BP9" s="3"/>
      <c r="BQ9" s="1083">
        <f t="shared" si="38"/>
        <v>-20000000</v>
      </c>
      <c r="BR9" s="1085">
        <f t="shared" si="39"/>
        <v>-1</v>
      </c>
      <c r="BS9" s="1083">
        <f t="shared" si="40"/>
        <v>0</v>
      </c>
      <c r="BT9" s="1085" t="str">
        <f t="shared" si="41"/>
        <v/>
      </c>
      <c r="BU9" s="1083">
        <f>SUMIF($B10:$B$18,$B9,BU10:BU$18)</f>
        <v>20000000</v>
      </c>
      <c r="BV9" s="1084">
        <f t="shared" si="42"/>
        <v>0.6</v>
      </c>
      <c r="BW9" s="3"/>
      <c r="BX9" s="1083">
        <f>SUMIF($B10:$B$18,$B9,BX10:BX$18)</f>
        <v>0</v>
      </c>
      <c r="BY9" s="1084">
        <f t="shared" si="43"/>
        <v>0</v>
      </c>
      <c r="BZ9" s="3"/>
      <c r="CA9" s="1083">
        <f>SUMIF($B10:$B$18,$B9,CA10:CA$18)</f>
        <v>0</v>
      </c>
      <c r="CB9" s="1084">
        <f t="shared" si="44"/>
        <v>0</v>
      </c>
      <c r="CC9" s="3"/>
      <c r="CD9" s="1083">
        <f t="shared" si="45"/>
        <v>-20000000</v>
      </c>
      <c r="CE9" s="1085">
        <f t="shared" si="46"/>
        <v>-1</v>
      </c>
      <c r="CF9" s="1083">
        <f t="shared" si="47"/>
        <v>0</v>
      </c>
      <c r="CG9" s="1085" t="str">
        <f t="shared" si="48"/>
        <v/>
      </c>
      <c r="CH9" s="1083">
        <f>SUMIF($B10:$B$18,$B9,CH10:CH$18)</f>
        <v>20000000</v>
      </c>
      <c r="CI9" s="1084">
        <f t="shared" si="49"/>
        <v>0.6</v>
      </c>
      <c r="CJ9" s="3"/>
      <c r="CK9" s="1083">
        <f>SUMIF($B10:$B$18,$B9,CK10:CK$18)</f>
        <v>0</v>
      </c>
      <c r="CL9" s="1084" t="str">
        <f t="shared" si="50"/>
        <v/>
      </c>
      <c r="CM9" s="3"/>
      <c r="CN9" s="1083">
        <f>SUMIF($B10:$B$18,$B9,CN10:CN$18)</f>
        <v>0</v>
      </c>
      <c r="CO9" s="1084">
        <f t="shared" si="51"/>
        <v>0</v>
      </c>
      <c r="CP9" s="3"/>
      <c r="CQ9" s="1083">
        <f t="shared" si="52"/>
        <v>-20000000</v>
      </c>
      <c r="CR9" s="1085">
        <f t="shared" si="53"/>
        <v>-1</v>
      </c>
      <c r="CS9" s="1083">
        <f t="shared" si="54"/>
        <v>0</v>
      </c>
      <c r="CT9" s="1085" t="str">
        <f t="shared" si="55"/>
        <v/>
      </c>
      <c r="CU9" s="1083">
        <f t="shared" si="56"/>
        <v>60000000</v>
      </c>
      <c r="CV9" s="1084">
        <f t="shared" si="57"/>
        <v>0.6</v>
      </c>
      <c r="CW9" s="3"/>
      <c r="CX9" s="1083">
        <f t="shared" si="58"/>
        <v>0</v>
      </c>
      <c r="CY9" s="1084">
        <f t="shared" si="59"/>
        <v>0</v>
      </c>
      <c r="CZ9" s="3"/>
      <c r="DA9" s="1083">
        <f t="shared" si="60"/>
        <v>0</v>
      </c>
      <c r="DB9" s="1084">
        <f t="shared" si="61"/>
        <v>0</v>
      </c>
      <c r="DC9" s="3"/>
      <c r="DD9" s="1083">
        <f t="shared" si="62"/>
        <v>-60000000</v>
      </c>
      <c r="DE9" s="1085">
        <f t="shared" si="63"/>
        <v>-1</v>
      </c>
      <c r="DF9" s="1083">
        <f t="shared" si="64"/>
        <v>0</v>
      </c>
      <c r="DG9" s="1085" t="str">
        <f t="shared" si="65"/>
        <v/>
      </c>
      <c r="DH9" s="1083">
        <f t="shared" si="66"/>
        <v>60000000</v>
      </c>
      <c r="DI9" s="1084">
        <f t="shared" si="67"/>
        <v>0.6</v>
      </c>
      <c r="DJ9" s="3"/>
      <c r="DK9" s="1083">
        <f t="shared" si="68"/>
        <v>0</v>
      </c>
      <c r="DL9" s="1084">
        <f t="shared" si="69"/>
        <v>0</v>
      </c>
      <c r="DM9" s="3"/>
      <c r="DN9" s="1083">
        <f t="shared" si="70"/>
        <v>0</v>
      </c>
      <c r="DO9" s="1084">
        <f t="shared" si="71"/>
        <v>0</v>
      </c>
      <c r="DP9" s="3"/>
      <c r="DQ9" s="1083">
        <f t="shared" si="72"/>
        <v>-60000000</v>
      </c>
      <c r="DR9" s="1085">
        <f t="shared" si="73"/>
        <v>-1</v>
      </c>
      <c r="DS9" s="1083">
        <f t="shared" si="74"/>
        <v>0</v>
      </c>
      <c r="DT9" s="1085" t="str">
        <f t="shared" si="75"/>
        <v/>
      </c>
      <c r="DU9" s="1083">
        <f>SUMIF($B10:$B$18,$B9,DU10:DU$18)</f>
        <v>20000000</v>
      </c>
      <c r="DV9" s="1084">
        <f t="shared" si="76"/>
        <v>0.6</v>
      </c>
      <c r="DW9" s="3"/>
      <c r="DX9" s="1083">
        <f>SUMIF($B10:$B$18,$B9,DX10:DX$18)</f>
        <v>40000000</v>
      </c>
      <c r="DY9" s="1084">
        <f t="shared" si="77"/>
        <v>0.7500000047</v>
      </c>
      <c r="DZ9" s="3"/>
      <c r="EA9" s="1083">
        <f>SUMIF($B10:$B$18,$B9,EA10:EA$18)</f>
        <v>0</v>
      </c>
      <c r="EB9" s="1084" t="str">
        <f t="shared" si="78"/>
        <v/>
      </c>
      <c r="EC9" s="3"/>
      <c r="ED9" s="1083">
        <f t="shared" si="79"/>
        <v>-20000000</v>
      </c>
      <c r="EE9" s="1085">
        <f t="shared" si="80"/>
        <v>-1</v>
      </c>
      <c r="EF9" s="1083">
        <f t="shared" si="81"/>
        <v>-40000000</v>
      </c>
      <c r="EG9" s="1085">
        <f t="shared" si="82"/>
        <v>-1</v>
      </c>
      <c r="EH9" s="1083">
        <f>SUMIF($B10:$B$18,$B9,EH10:EH$18)</f>
        <v>20000000</v>
      </c>
      <c r="EI9" s="1084">
        <f t="shared" si="83"/>
        <v>0.6</v>
      </c>
      <c r="EJ9" s="3"/>
      <c r="EK9" s="1083">
        <f>SUMIF($B10:$B$18,$B9,EK10:EK$18)</f>
        <v>40000000</v>
      </c>
      <c r="EL9" s="1084">
        <f t="shared" si="84"/>
        <v>0.7500000047</v>
      </c>
      <c r="EM9" s="3"/>
      <c r="EN9" s="1083">
        <f>SUMIF($B10:$B$18,$B9,EN10:EN$18)</f>
        <v>0</v>
      </c>
      <c r="EO9" s="1084" t="str">
        <f t="shared" si="85"/>
        <v/>
      </c>
      <c r="EP9" s="3"/>
      <c r="EQ9" s="1083">
        <f t="shared" si="86"/>
        <v>-20000000</v>
      </c>
      <c r="ER9" s="1085">
        <f t="shared" si="87"/>
        <v>-1</v>
      </c>
      <c r="ES9" s="1083">
        <f t="shared" si="88"/>
        <v>-40000000</v>
      </c>
      <c r="ET9" s="1085">
        <f t="shared" si="89"/>
        <v>-1</v>
      </c>
      <c r="EU9" s="1083">
        <f>SUMIF($B10:$B$18,$B9,EU10:EU$18)</f>
        <v>20000000</v>
      </c>
      <c r="EV9" s="1084">
        <f t="shared" si="90"/>
        <v>0.6</v>
      </c>
      <c r="EW9" s="3"/>
      <c r="EX9" s="1083">
        <f>SUMIF($B10:$B$18,$B9,EX10:EX$18)</f>
        <v>40000000</v>
      </c>
      <c r="EY9" s="1084">
        <f t="shared" si="91"/>
        <v>0.7500000047</v>
      </c>
      <c r="EZ9" s="3"/>
      <c r="FA9" s="1083">
        <f>SUMIF($B10:$B$18,$B9,FA10:FA$18)</f>
        <v>0</v>
      </c>
      <c r="FB9" s="1084" t="str">
        <f t="shared" si="92"/>
        <v/>
      </c>
      <c r="FC9" s="3"/>
      <c r="FD9" s="1083">
        <f t="shared" si="93"/>
        <v>-20000000</v>
      </c>
      <c r="FE9" s="1085">
        <f t="shared" si="94"/>
        <v>-1</v>
      </c>
      <c r="FF9" s="1083">
        <f t="shared" si="95"/>
        <v>-40000000</v>
      </c>
      <c r="FG9" s="1085">
        <f t="shared" si="96"/>
        <v>-1</v>
      </c>
      <c r="FH9" s="1083">
        <f t="shared" si="97"/>
        <v>60000000</v>
      </c>
      <c r="FI9" s="1084">
        <f t="shared" si="98"/>
        <v>0.6</v>
      </c>
      <c r="FJ9" s="3"/>
      <c r="FK9" s="1083">
        <f t="shared" si="99"/>
        <v>120000000</v>
      </c>
      <c r="FL9" s="1084">
        <f t="shared" si="100"/>
        <v>0.7500000047</v>
      </c>
      <c r="FM9" s="3"/>
      <c r="FN9" s="1083">
        <f t="shared" si="101"/>
        <v>0</v>
      </c>
      <c r="FO9" s="1084" t="str">
        <f t="shared" si="102"/>
        <v/>
      </c>
      <c r="FP9" s="3"/>
      <c r="FQ9" s="1083">
        <f t="shared" si="103"/>
        <v>-60000000</v>
      </c>
      <c r="FR9" s="1085">
        <f t="shared" si="104"/>
        <v>-1</v>
      </c>
      <c r="FS9" s="1083">
        <f t="shared" si="105"/>
        <v>-120000000</v>
      </c>
      <c r="FT9" s="1085">
        <f t="shared" si="106"/>
        <v>-1</v>
      </c>
      <c r="FU9" s="1083">
        <f>SUMIF($B10:$B$18,$B9,FU10:FU$18)</f>
        <v>20000000</v>
      </c>
      <c r="FV9" s="1084">
        <f t="shared" si="107"/>
        <v>0.6</v>
      </c>
      <c r="FW9" s="3"/>
      <c r="FX9" s="1083">
        <f>SUMIF($B10:$B$18,$B9,FX10:FX$18)</f>
        <v>40000000</v>
      </c>
      <c r="FY9" s="1084">
        <f t="shared" si="108"/>
        <v>0.7500000047</v>
      </c>
      <c r="FZ9" s="3"/>
      <c r="GA9" s="1083">
        <f>SUMIF($B10:$B$18,$B9,GA10:GA$18)</f>
        <v>0</v>
      </c>
      <c r="GB9" s="1084" t="str">
        <f t="shared" si="109"/>
        <v/>
      </c>
      <c r="GC9" s="3"/>
      <c r="GD9" s="1083">
        <f t="shared" si="110"/>
        <v>-20000000</v>
      </c>
      <c r="GE9" s="1085">
        <f t="shared" si="111"/>
        <v>-1</v>
      </c>
      <c r="GF9" s="1083">
        <f t="shared" si="112"/>
        <v>-40000000</v>
      </c>
      <c r="GG9" s="1085">
        <f t="shared" si="113"/>
        <v>-1</v>
      </c>
      <c r="GH9" s="1083">
        <f>SUMIF($B10:$B$18,$B9,GH10:GH$18)</f>
        <v>20000000</v>
      </c>
      <c r="GI9" s="1084">
        <f t="shared" si="114"/>
        <v>0.6</v>
      </c>
      <c r="GJ9" s="3"/>
      <c r="GK9" s="1083">
        <f>SUMIF($B10:$B$18,$B9,GK10:GK$18)</f>
        <v>40000000</v>
      </c>
      <c r="GL9" s="1084">
        <f t="shared" si="115"/>
        <v>0.7500000047</v>
      </c>
      <c r="GM9" s="3"/>
      <c r="GN9" s="1083">
        <f>SUMIF($B10:$B$18,$B9,GN10:GN$18)</f>
        <v>0</v>
      </c>
      <c r="GO9" s="1084" t="str">
        <f t="shared" si="116"/>
        <v/>
      </c>
      <c r="GP9" s="3"/>
      <c r="GQ9" s="1083">
        <f t="shared" si="117"/>
        <v>-20000000</v>
      </c>
      <c r="GR9" s="1085">
        <f t="shared" si="118"/>
        <v>-1</v>
      </c>
      <c r="GS9" s="1083">
        <f t="shared" si="119"/>
        <v>-40000000</v>
      </c>
      <c r="GT9" s="1085">
        <f t="shared" si="120"/>
        <v>-1</v>
      </c>
      <c r="GU9" s="1083">
        <f>SUMIF($B10:$B$18,$B9,GU10:GU$18)</f>
        <v>20000000</v>
      </c>
      <c r="GV9" s="1084">
        <f t="shared" si="121"/>
        <v>0.6</v>
      </c>
      <c r="GW9" s="3"/>
      <c r="GX9" s="1083">
        <f>SUMIF($B10:$B$18,$B9,GX10:GX$18)</f>
        <v>40000000</v>
      </c>
      <c r="GY9" s="1084">
        <f t="shared" si="122"/>
        <v>0.7500000047</v>
      </c>
      <c r="GZ9" s="3"/>
      <c r="HA9" s="1083">
        <f>SUMIF($B10:$B$18,$B9,HA10:HA$18)</f>
        <v>0</v>
      </c>
      <c r="HB9" s="1084" t="str">
        <f t="shared" si="123"/>
        <v/>
      </c>
      <c r="HC9" s="3"/>
      <c r="HD9" s="1083">
        <f t="shared" si="124"/>
        <v>-20000000</v>
      </c>
      <c r="HE9" s="1085">
        <f t="shared" si="125"/>
        <v>-1</v>
      </c>
      <c r="HF9" s="1083">
        <f t="shared" si="126"/>
        <v>-40000000</v>
      </c>
      <c r="HG9" s="1085">
        <f t="shared" si="127"/>
        <v>-1</v>
      </c>
      <c r="HH9" s="1083">
        <f t="shared" si="128"/>
        <v>60000000</v>
      </c>
      <c r="HI9" s="1084">
        <f t="shared" si="129"/>
        <v>0.6</v>
      </c>
      <c r="HJ9" s="3"/>
      <c r="HK9" s="1083">
        <f t="shared" si="130"/>
        <v>120000000</v>
      </c>
      <c r="HL9" s="1084">
        <f t="shared" si="131"/>
        <v>0.7500000047</v>
      </c>
      <c r="HM9" s="3"/>
      <c r="HN9" s="1083">
        <f t="shared" si="132"/>
        <v>0</v>
      </c>
      <c r="HO9" s="1084" t="str">
        <f t="shared" si="133"/>
        <v/>
      </c>
      <c r="HP9" s="3"/>
      <c r="HQ9" s="1083">
        <f t="shared" si="134"/>
        <v>-60000000</v>
      </c>
      <c r="HR9" s="1085">
        <f t="shared" si="135"/>
        <v>-1</v>
      </c>
      <c r="HS9" s="1083">
        <f t="shared" si="136"/>
        <v>-120000000</v>
      </c>
      <c r="HT9" s="1085">
        <f t="shared" si="137"/>
        <v>-1</v>
      </c>
      <c r="HU9" s="1083">
        <f t="shared" si="138"/>
        <v>120000000</v>
      </c>
      <c r="HV9" s="1084">
        <f t="shared" si="139"/>
        <v>0.6</v>
      </c>
      <c r="HW9" s="3"/>
      <c r="HX9" s="1083">
        <f t="shared" si="140"/>
        <v>240000000</v>
      </c>
      <c r="HY9" s="1084">
        <f t="shared" si="141"/>
        <v>0.7500000047</v>
      </c>
      <c r="HZ9" s="3"/>
      <c r="IA9" s="1083">
        <f t="shared" si="142"/>
        <v>0</v>
      </c>
      <c r="IB9" s="1084" t="str">
        <f t="shared" si="143"/>
        <v/>
      </c>
      <c r="IC9" s="3"/>
      <c r="ID9" s="1083">
        <f t="shared" si="144"/>
        <v>-120000000</v>
      </c>
      <c r="IE9" s="1085">
        <f t="shared" si="145"/>
        <v>-1</v>
      </c>
      <c r="IF9" s="1083">
        <f t="shared" si="146"/>
        <v>-240000000</v>
      </c>
      <c r="IG9" s="1085">
        <f t="shared" si="147"/>
        <v>-1</v>
      </c>
      <c r="IH9" s="1083">
        <f t="shared" si="148"/>
        <v>180000000</v>
      </c>
      <c r="II9" s="1084">
        <f t="shared" si="149"/>
        <v>0.6</v>
      </c>
      <c r="IJ9" s="3"/>
      <c r="IK9" s="1083">
        <f t="shared" si="150"/>
        <v>240000000</v>
      </c>
      <c r="IL9" s="1084">
        <f t="shared" si="151"/>
        <v>0.6266567204</v>
      </c>
      <c r="IM9" s="3"/>
      <c r="IN9" s="1083">
        <f t="shared" si="152"/>
        <v>0</v>
      </c>
      <c r="IO9" s="1084">
        <f t="shared" si="153"/>
        <v>0</v>
      </c>
      <c r="IP9" s="3"/>
      <c r="IQ9" s="1083">
        <f t="shared" si="154"/>
        <v>-180000000</v>
      </c>
      <c r="IR9" s="1085">
        <f t="shared" si="1"/>
        <v>-1</v>
      </c>
      <c r="IS9" s="1083">
        <f t="shared" si="155"/>
        <v>-240000000</v>
      </c>
      <c r="IT9" s="1085">
        <f t="shared" si="2"/>
        <v>-1</v>
      </c>
    </row>
    <row r="10" hidden="1" outlineLevel="1">
      <c r="A10" s="1086">
        <f t="shared" si="3"/>
        <v>4</v>
      </c>
      <c r="B10" s="1087" t="s">
        <v>2067</v>
      </c>
      <c r="C10" s="1087" t="s">
        <v>2067</v>
      </c>
      <c r="D10" s="1087" t="str">
        <f>IF(C10&gt;0,VLOOKUP(C10,DM_DUAN ,2,"") ,IF(B10&gt;0,VLOOKUP(B10,DM_CDT,2,""),""))</f>
        <v>NAM PHONG</v>
      </c>
      <c r="E10" s="1087" t="s">
        <v>198</v>
      </c>
      <c r="F10" s="1087"/>
      <c r="G10" s="1086">
        <v>2.0</v>
      </c>
      <c r="H10" s="1088">
        <f>SUMIFS(BP_SOTIEN,BP_DA,$C10,BP_THANG,H$2,BP_KM,$E10)/1000</f>
        <v>0</v>
      </c>
      <c r="I10" s="1089" t="str">
        <f t="shared" si="4"/>
        <v/>
      </c>
      <c r="J10" s="3"/>
      <c r="K10" s="1090">
        <f>IF(NOW()&gt;=DATE(YEAR(H$2),MONTH(H$2)+1,DAY(H$2)),SUMIFS(TF_SOTIEN,TF_DA,$C10,TF_THANG,H$2,TF_KM,$E10)/1000, N10)</f>
        <v>0</v>
      </c>
      <c r="L10" s="1089">
        <f t="shared" si="5"/>
        <v>0</v>
      </c>
      <c r="M10" s="3"/>
      <c r="N10" s="1090">
        <f>IF(NOW()&gt;=DATE(YEAR(H$2),MONTH(H$2)+1,DAY(H$2)),SUMIFS(AC_SOTIEN,AC_DA,$C10,AC_THANG,H$2,AC_KM,$E10),SUMIFS(TF_SOTIEN,TF_DA,$C10,TF_THANG,H$2,TF_KM,$E10))/ 1000</f>
        <v>0</v>
      </c>
      <c r="O10" s="1089">
        <f t="shared" si="6"/>
        <v>0</v>
      </c>
      <c r="P10" s="3"/>
      <c r="Q10" s="1090">
        <f t="shared" si="7"/>
        <v>0</v>
      </c>
      <c r="R10" s="1091" t="str">
        <f t="shared" si="8"/>
        <v/>
      </c>
      <c r="S10" s="1090">
        <f t="shared" si="9"/>
        <v>0</v>
      </c>
      <c r="T10" s="1091" t="str">
        <f t="shared" si="10"/>
        <v/>
      </c>
      <c r="U10" s="1088">
        <f>SUMIFS(BP_SOTIEN,BP_DA,$C10,BP_THANG,U$2,BP_KM,$E10)/1000</f>
        <v>0</v>
      </c>
      <c r="V10" s="1089" t="str">
        <f t="shared" si="11"/>
        <v/>
      </c>
      <c r="W10" s="3"/>
      <c r="X10" s="1090">
        <f>IF(NOW()&gt;=DATE(YEAR(U$2),MONTH(U$2)+1,DAY(U$2)),SUMIFS(TF_SOTIEN,TF_DA,$C10,TF_THANG,U$2,TF_KM,$E10)/1000, AA10)</f>
        <v>0</v>
      </c>
      <c r="Y10" s="1089" t="str">
        <f t="shared" si="12"/>
        <v/>
      </c>
      <c r="Z10" s="3"/>
      <c r="AA10" s="1090">
        <f>IF(NOW()&gt;=DATE(YEAR(U$2),MONTH(U$2)+1,DAY(U$2)),SUMIFS(AC_SOTIEN,AC_DA,$C10,AC_THANG,U$2,AC_KM,$E10),SUMIFS(TF_SOTIEN,TF_DA,$C10,TF_THANG,U$2,TF_KM,$E10))/ 1000</f>
        <v>0</v>
      </c>
      <c r="AB10" s="1089">
        <f t="shared" si="13"/>
        <v>0</v>
      </c>
      <c r="AC10" s="3"/>
      <c r="AD10" s="1090">
        <f t="shared" si="14"/>
        <v>0</v>
      </c>
      <c r="AE10" s="1091" t="str">
        <f t="shared" si="15"/>
        <v/>
      </c>
      <c r="AF10" s="1090">
        <f t="shared" si="16"/>
        <v>0</v>
      </c>
      <c r="AG10" s="1091" t="str">
        <f t="shared" si="17"/>
        <v/>
      </c>
      <c r="AH10" s="1088">
        <f>SUMIFS(BP_SOTIEN,BP_DA,$C10,BP_THANG,AH$2,BP_KM,$E10)/1000</f>
        <v>0</v>
      </c>
      <c r="AI10" s="1089" t="str">
        <f t="shared" si="18"/>
        <v/>
      </c>
      <c r="AJ10" s="3"/>
      <c r="AK10" s="1090">
        <f>IF(NOW()&gt;=DATE(YEAR(AH$2),MONTH(AH$2)+1,DAY(AH$2)),SUMIFS(TF_SOTIEN,TF_DA,$C10,TF_THANG,AH$2,TF_KM,$E10)/1000, AN10)</f>
        <v>0</v>
      </c>
      <c r="AL10" s="1089">
        <f t="shared" si="19"/>
        <v>0</v>
      </c>
      <c r="AM10" s="3"/>
      <c r="AN10" s="1090">
        <f>IF(NOW()&gt;=DATE(YEAR(AH$2),MONTH(AH$2)+1,DAY(AH$2)),SUMIFS(AC_SOTIEN,AC_DA,$C10,AC_THANG,AH$2,AC_KM,$E10),SUMIFS(TF_SOTIEN,TF_DA,$C10,TF_THANG,AH$2,TF_KM,$E10))/ 1000</f>
        <v>0</v>
      </c>
      <c r="AO10" s="1089">
        <f t="shared" si="20"/>
        <v>0</v>
      </c>
      <c r="AP10" s="3"/>
      <c r="AQ10" s="1090">
        <f t="shared" si="21"/>
        <v>0</v>
      </c>
      <c r="AR10" s="1091" t="str">
        <f t="shared" si="22"/>
        <v/>
      </c>
      <c r="AS10" s="1090">
        <f t="shared" si="23"/>
        <v>0</v>
      </c>
      <c r="AT10" s="1091" t="str">
        <f t="shared" si="24"/>
        <v/>
      </c>
      <c r="AU10" s="1088">
        <f t="shared" si="25"/>
        <v>0</v>
      </c>
      <c r="AV10" s="1089" t="str">
        <f t="shared" si="26"/>
        <v/>
      </c>
      <c r="AW10" s="3"/>
      <c r="AX10" s="1090">
        <f t="shared" si="27"/>
        <v>0</v>
      </c>
      <c r="AY10" s="1089">
        <f t="shared" si="28"/>
        <v>0</v>
      </c>
      <c r="AZ10" s="3"/>
      <c r="BA10" s="1090">
        <f t="shared" si="29"/>
        <v>0</v>
      </c>
      <c r="BB10" s="1089">
        <f t="shared" si="30"/>
        <v>0</v>
      </c>
      <c r="BC10" s="3"/>
      <c r="BD10" s="1090">
        <f t="shared" si="31"/>
        <v>0</v>
      </c>
      <c r="BE10" s="1091" t="str">
        <f t="shared" si="32"/>
        <v/>
      </c>
      <c r="BF10" s="1090">
        <f t="shared" si="33"/>
        <v>0</v>
      </c>
      <c r="BG10" s="1091" t="str">
        <f t="shared" si="34"/>
        <v/>
      </c>
      <c r="BH10" s="1088">
        <f>SUMIFS(BP_SOTIEN,BP_DA,$C10,BP_THANG,BH$2,BP_KM,$E10)/1000</f>
        <v>20000000</v>
      </c>
      <c r="BI10" s="1089">
        <f t="shared" si="35"/>
        <v>0.6</v>
      </c>
      <c r="BJ10" s="3"/>
      <c r="BK10" s="1090">
        <f>IF(NOW()&gt;=DATE(YEAR(BH$2),MONTH(BH$2)+1,DAY(BH$2)),SUMIFS(TF_SOTIEN,TF_DA,$C10,TF_THANG,BH$2,TF_KM,$E10)/1000, BN10)</f>
        <v>0</v>
      </c>
      <c r="BL10" s="1089">
        <f t="shared" si="36"/>
        <v>0</v>
      </c>
      <c r="BM10" s="3"/>
      <c r="BN10" s="1090">
        <f>IF(NOW()&gt;=DATE(YEAR(BH$2),MONTH(BH$2)+1,DAY(BH$2)),SUMIFS(AC_SOTIEN,AC_DA,$C10,AC_THANG,BH$2,AC_KM,$E10),SUMIFS(TF_SOTIEN,TF_DA,$C10,TF_THANG,BH$2,TF_KM,$E10))/ 1000</f>
        <v>0</v>
      </c>
      <c r="BO10" s="1089">
        <f t="shared" si="37"/>
        <v>0</v>
      </c>
      <c r="BP10" s="3"/>
      <c r="BQ10" s="1090">
        <f t="shared" si="38"/>
        <v>-20000000</v>
      </c>
      <c r="BR10" s="1091">
        <f t="shared" si="39"/>
        <v>-1</v>
      </c>
      <c r="BS10" s="1090">
        <f t="shared" si="40"/>
        <v>0</v>
      </c>
      <c r="BT10" s="1091" t="str">
        <f t="shared" si="41"/>
        <v/>
      </c>
      <c r="BU10" s="1088">
        <f>SUMIFS(BP_SOTIEN,BP_DA,$C10,BP_THANG,BU$2,BP_KM,$E10)/1000</f>
        <v>20000000</v>
      </c>
      <c r="BV10" s="1089">
        <f t="shared" si="42"/>
        <v>0.6</v>
      </c>
      <c r="BW10" s="3"/>
      <c r="BX10" s="1090">
        <f>IF(NOW()&gt;=DATE(YEAR(BU$2),MONTH(BU$2)+1,DAY(BU$2)),SUMIFS(TF_SOTIEN,TF_DA,$C10,TF_THANG,BU$2,TF_KM,$E10)/1000, CA10)</f>
        <v>0</v>
      </c>
      <c r="BY10" s="1089">
        <f t="shared" si="43"/>
        <v>0</v>
      </c>
      <c r="BZ10" s="3"/>
      <c r="CA10" s="1090">
        <f>IF(NOW()&gt;=DATE(YEAR(BU$2),MONTH(BU$2)+1,DAY(BU$2)),SUMIFS(AC_SOTIEN,AC_DA,$C10,AC_THANG,BU$2,AC_KM,$E10),SUMIFS(TF_SOTIEN,TF_DA,$C10,TF_THANG,BU$2,TF_KM,$E10))/ 1000</f>
        <v>0</v>
      </c>
      <c r="CB10" s="1089">
        <f t="shared" si="44"/>
        <v>0</v>
      </c>
      <c r="CC10" s="3"/>
      <c r="CD10" s="1090">
        <f t="shared" si="45"/>
        <v>-20000000</v>
      </c>
      <c r="CE10" s="1091">
        <f t="shared" si="46"/>
        <v>-1</v>
      </c>
      <c r="CF10" s="1090">
        <f t="shared" si="47"/>
        <v>0</v>
      </c>
      <c r="CG10" s="1091" t="str">
        <f t="shared" si="48"/>
        <v/>
      </c>
      <c r="CH10" s="1088">
        <f>SUMIFS(BP_SOTIEN,BP_DA,$C10,BP_THANG,CH$2,BP_KM,$E10)/1000</f>
        <v>20000000</v>
      </c>
      <c r="CI10" s="1089">
        <f t="shared" si="49"/>
        <v>0.6</v>
      </c>
      <c r="CJ10" s="3"/>
      <c r="CK10" s="1090">
        <f>IF(NOW()&gt;=DATE(YEAR(CH$2),MONTH(CH$2)+1,DAY(CH$2)),SUMIFS(TF_SOTIEN,TF_DA,$C10,TF_THANG,CH$2,TF_KM,$E10)/1000, CN10)</f>
        <v>0</v>
      </c>
      <c r="CL10" s="1089" t="str">
        <f t="shared" si="50"/>
        <v/>
      </c>
      <c r="CM10" s="3"/>
      <c r="CN10" s="1090">
        <f>IF(NOW()&gt;=DATE(YEAR(CH$2),MONTH(CH$2)+1,DAY(CH$2)),SUMIFS(AC_SOTIEN,AC_DA,$C10,AC_THANG,CH$2,AC_KM,$E10),SUMIFS(TF_SOTIEN,TF_DA,$C10,TF_THANG,CH$2,TF_KM,$E10))/ 1000</f>
        <v>0</v>
      </c>
      <c r="CO10" s="1089">
        <f t="shared" si="51"/>
        <v>0</v>
      </c>
      <c r="CP10" s="3"/>
      <c r="CQ10" s="1090">
        <f t="shared" si="52"/>
        <v>-20000000</v>
      </c>
      <c r="CR10" s="1091">
        <f t="shared" si="53"/>
        <v>-1</v>
      </c>
      <c r="CS10" s="1090">
        <f t="shared" si="54"/>
        <v>0</v>
      </c>
      <c r="CT10" s="1091" t="str">
        <f t="shared" si="55"/>
        <v/>
      </c>
      <c r="CU10" s="1088">
        <f t="shared" si="56"/>
        <v>60000000</v>
      </c>
      <c r="CV10" s="1089">
        <f t="shared" si="57"/>
        <v>0.6</v>
      </c>
      <c r="CW10" s="3"/>
      <c r="CX10" s="1090">
        <f t="shared" si="58"/>
        <v>0</v>
      </c>
      <c r="CY10" s="1089">
        <f t="shared" si="59"/>
        <v>0</v>
      </c>
      <c r="CZ10" s="3"/>
      <c r="DA10" s="1090">
        <f t="shared" si="60"/>
        <v>0</v>
      </c>
      <c r="DB10" s="1089">
        <f t="shared" si="61"/>
        <v>0</v>
      </c>
      <c r="DC10" s="3"/>
      <c r="DD10" s="1090">
        <f t="shared" si="62"/>
        <v>-60000000</v>
      </c>
      <c r="DE10" s="1091">
        <f t="shared" si="63"/>
        <v>-1</v>
      </c>
      <c r="DF10" s="1090">
        <f t="shared" si="64"/>
        <v>0</v>
      </c>
      <c r="DG10" s="1091" t="str">
        <f t="shared" si="65"/>
        <v/>
      </c>
      <c r="DH10" s="1088">
        <f t="shared" si="66"/>
        <v>60000000</v>
      </c>
      <c r="DI10" s="1089">
        <f t="shared" si="67"/>
        <v>0.6</v>
      </c>
      <c r="DJ10" s="3"/>
      <c r="DK10" s="1090">
        <f t="shared" si="68"/>
        <v>0</v>
      </c>
      <c r="DL10" s="1089">
        <f t="shared" si="69"/>
        <v>0</v>
      </c>
      <c r="DM10" s="3"/>
      <c r="DN10" s="1090">
        <f t="shared" si="70"/>
        <v>0</v>
      </c>
      <c r="DO10" s="1089">
        <f t="shared" si="71"/>
        <v>0</v>
      </c>
      <c r="DP10" s="3"/>
      <c r="DQ10" s="1090">
        <f t="shared" si="72"/>
        <v>-60000000</v>
      </c>
      <c r="DR10" s="1091">
        <f t="shared" si="73"/>
        <v>-1</v>
      </c>
      <c r="DS10" s="1090">
        <f t="shared" si="74"/>
        <v>0</v>
      </c>
      <c r="DT10" s="1091" t="str">
        <f t="shared" si="75"/>
        <v/>
      </c>
      <c r="DU10" s="1088">
        <f>SUMIFS(BP_SOTIEN,BP_DA,$C10,BP_THANG,DU$2,BP_KM,$E10)/1000</f>
        <v>20000000</v>
      </c>
      <c r="DV10" s="1089">
        <f t="shared" si="76"/>
        <v>0.6</v>
      </c>
      <c r="DW10" s="3"/>
      <c r="DX10" s="1090">
        <f>IF(NOW()&gt;=DATE(YEAR(DU$2),MONTH(DU$2)+1,DAY(DU$2)),SUMIFS(TF_SOTIEN,TF_DA,$C10,TF_THANG,DU$2,TF_KM,$E10)/1000, EA10)</f>
        <v>40000000</v>
      </c>
      <c r="DY10" s="1089">
        <f t="shared" si="77"/>
        <v>0.7500000047</v>
      </c>
      <c r="DZ10" s="3"/>
      <c r="EA10" s="1090">
        <f>IF(NOW()&gt;=DATE(YEAR(DU$2),MONTH(DU$2)+1,DAY(DU$2)),SUMIFS(AC_SOTIEN,AC_DA,$C10,AC_THANG,DU$2,AC_KM,$E10),SUMIFS(TF_SOTIEN,TF_DA,$C10,TF_THANG,DU$2,TF_KM,$E10))/ 1000</f>
        <v>0</v>
      </c>
      <c r="EB10" s="1089" t="str">
        <f t="shared" si="78"/>
        <v/>
      </c>
      <c r="EC10" s="3"/>
      <c r="ED10" s="1090">
        <f t="shared" si="79"/>
        <v>-20000000</v>
      </c>
      <c r="EE10" s="1091">
        <f t="shared" si="80"/>
        <v>-1</v>
      </c>
      <c r="EF10" s="1090">
        <f t="shared" si="81"/>
        <v>-40000000</v>
      </c>
      <c r="EG10" s="1091">
        <f t="shared" si="82"/>
        <v>-1</v>
      </c>
      <c r="EH10" s="1088">
        <f>SUMIFS(BP_SOTIEN,BP_DA,$C10,BP_THANG,EH$2,BP_KM,$E10)/1000</f>
        <v>20000000</v>
      </c>
      <c r="EI10" s="1089">
        <f t="shared" si="83"/>
        <v>0.6</v>
      </c>
      <c r="EJ10" s="3"/>
      <c r="EK10" s="1090">
        <f>IF(NOW()&gt;=DATE(YEAR(EH$2),MONTH(EH$2)+1,DAY(EH$2)),SUMIFS(TF_SOTIEN,TF_DA,$C10,TF_THANG,EH$2,TF_KM,$E10)/1000, EN10)</f>
        <v>40000000</v>
      </c>
      <c r="EL10" s="1089">
        <f t="shared" si="84"/>
        <v>0.7500000047</v>
      </c>
      <c r="EM10" s="3"/>
      <c r="EN10" s="1090">
        <f>IF(NOW()&gt;=DATE(YEAR(EH$2),MONTH(EH$2)+1,DAY(EH$2)),SUMIFS(AC_SOTIEN,AC_DA,$C10,AC_THANG,EH$2,AC_KM,$E10),SUMIFS(TF_SOTIEN,TF_DA,$C10,TF_THANG,EH$2,TF_KM,$E10))/ 1000</f>
        <v>0</v>
      </c>
      <c r="EO10" s="1089" t="str">
        <f t="shared" si="85"/>
        <v/>
      </c>
      <c r="EP10" s="3"/>
      <c r="EQ10" s="1090">
        <f t="shared" si="86"/>
        <v>-20000000</v>
      </c>
      <c r="ER10" s="1091">
        <f t="shared" si="87"/>
        <v>-1</v>
      </c>
      <c r="ES10" s="1090">
        <f t="shared" si="88"/>
        <v>-40000000</v>
      </c>
      <c r="ET10" s="1091">
        <f t="shared" si="89"/>
        <v>-1</v>
      </c>
      <c r="EU10" s="1088">
        <f>SUMIFS(BP_SOTIEN,BP_DA,$C10,BP_THANG,EU$2,BP_KM,$E10)/1000</f>
        <v>20000000</v>
      </c>
      <c r="EV10" s="1089">
        <f t="shared" si="90"/>
        <v>0.6</v>
      </c>
      <c r="EW10" s="3"/>
      <c r="EX10" s="1090">
        <f>IF(NOW()&gt;=DATE(YEAR(EU$2),MONTH(EU$2)+1,DAY(EU$2)),SUMIFS(TF_SOTIEN,TF_DA,$C10,TF_THANG,EU$2,TF_KM,$E10)/1000, FA10)</f>
        <v>40000000</v>
      </c>
      <c r="EY10" s="1089">
        <f t="shared" si="91"/>
        <v>0.7500000047</v>
      </c>
      <c r="EZ10" s="3"/>
      <c r="FA10" s="1090">
        <f>IF(NOW()&gt;=DATE(YEAR(EU$2),MONTH(EU$2)+1,DAY(EU$2)),SUMIFS(AC_SOTIEN,AC_DA,$C10,AC_THANG,EU$2,AC_KM,$E10),SUMIFS(TF_SOTIEN,TF_DA,$C10,TF_THANG,EU$2,TF_KM,$E10))/ 1000</f>
        <v>0</v>
      </c>
      <c r="FB10" s="1089" t="str">
        <f t="shared" si="92"/>
        <v/>
      </c>
      <c r="FC10" s="3"/>
      <c r="FD10" s="1090">
        <f t="shared" si="93"/>
        <v>-20000000</v>
      </c>
      <c r="FE10" s="1091">
        <f t="shared" si="94"/>
        <v>-1</v>
      </c>
      <c r="FF10" s="1090">
        <f t="shared" si="95"/>
        <v>-40000000</v>
      </c>
      <c r="FG10" s="1091">
        <f t="shared" si="96"/>
        <v>-1</v>
      </c>
      <c r="FH10" s="1088">
        <f t="shared" si="97"/>
        <v>60000000</v>
      </c>
      <c r="FI10" s="1089">
        <f t="shared" si="98"/>
        <v>0.6</v>
      </c>
      <c r="FJ10" s="3"/>
      <c r="FK10" s="1090">
        <f t="shared" si="99"/>
        <v>120000000</v>
      </c>
      <c r="FL10" s="1089">
        <f t="shared" si="100"/>
        <v>0.7500000047</v>
      </c>
      <c r="FM10" s="3"/>
      <c r="FN10" s="1090">
        <f t="shared" si="101"/>
        <v>0</v>
      </c>
      <c r="FO10" s="1089" t="str">
        <f t="shared" si="102"/>
        <v/>
      </c>
      <c r="FP10" s="3"/>
      <c r="FQ10" s="1090">
        <f t="shared" si="103"/>
        <v>-60000000</v>
      </c>
      <c r="FR10" s="1091">
        <f t="shared" si="104"/>
        <v>-1</v>
      </c>
      <c r="FS10" s="1090">
        <f t="shared" si="105"/>
        <v>-120000000</v>
      </c>
      <c r="FT10" s="1091">
        <f t="shared" si="106"/>
        <v>-1</v>
      </c>
      <c r="FU10" s="1088">
        <f>SUMIFS(BP_SOTIEN,BP_DA,$C10,BP_THANG,FU$2,BP_KM,$E10)/1000</f>
        <v>20000000</v>
      </c>
      <c r="FV10" s="1089">
        <f t="shared" si="107"/>
        <v>0.6</v>
      </c>
      <c r="FW10" s="3"/>
      <c r="FX10" s="1090">
        <f>IF(NOW()&gt;=DATE(YEAR(FU$2),MONTH(FU$2)+1,DAY(FU$2)),SUMIFS(TF_SOTIEN,TF_DA,$C10,TF_THANG,FU$2,TF_KM,$E10)/1000, GA10)</f>
        <v>40000000</v>
      </c>
      <c r="FY10" s="1089">
        <f t="shared" si="108"/>
        <v>0.7500000047</v>
      </c>
      <c r="FZ10" s="3"/>
      <c r="GA10" s="1090">
        <f>IF(NOW()&gt;=DATE(YEAR(FU$2),MONTH(FU$2)+1,DAY(FU$2)),SUMIFS(AC_SOTIEN,AC_DA,$C10,AC_THANG,FU$2,AC_KM,$E10),SUMIFS(TF_SOTIEN,TF_DA,$C10,TF_THANG,FU$2,TF_KM,$E10))/ 1000</f>
        <v>0</v>
      </c>
      <c r="GB10" s="1089" t="str">
        <f t="shared" si="109"/>
        <v/>
      </c>
      <c r="GC10" s="3"/>
      <c r="GD10" s="1090">
        <f t="shared" si="110"/>
        <v>-20000000</v>
      </c>
      <c r="GE10" s="1091">
        <f t="shared" si="111"/>
        <v>-1</v>
      </c>
      <c r="GF10" s="1090">
        <f t="shared" si="112"/>
        <v>-40000000</v>
      </c>
      <c r="GG10" s="1091">
        <f t="shared" si="113"/>
        <v>-1</v>
      </c>
      <c r="GH10" s="1088">
        <f>SUMIFS(BP_SOTIEN,BP_DA,$C10,BP_THANG,GH$2,BP_KM,$E10)/1000</f>
        <v>20000000</v>
      </c>
      <c r="GI10" s="1089">
        <f t="shared" si="114"/>
        <v>0.6</v>
      </c>
      <c r="GJ10" s="3"/>
      <c r="GK10" s="1090">
        <f>IF(NOW()&gt;=DATE(YEAR(GH$2),MONTH(GH$2)+1,DAY(GH$2)),SUMIFS(TF_SOTIEN,TF_DA,$C10,TF_THANG,GH$2,TF_KM,$E10)/1000, GN10)</f>
        <v>40000000</v>
      </c>
      <c r="GL10" s="1089">
        <f t="shared" si="115"/>
        <v>0.7500000047</v>
      </c>
      <c r="GM10" s="3"/>
      <c r="GN10" s="1090">
        <f>IF(NOW()&gt;=DATE(YEAR(GH$2),MONTH(GH$2)+1,DAY(GH$2)),SUMIFS(AC_SOTIEN,AC_DA,$C10,AC_THANG,GH$2,AC_KM,$E10),SUMIFS(TF_SOTIEN,TF_DA,$C10,TF_THANG,GH$2,TF_KM,$E10))/ 1000</f>
        <v>0</v>
      </c>
      <c r="GO10" s="1089" t="str">
        <f t="shared" si="116"/>
        <v/>
      </c>
      <c r="GP10" s="3"/>
      <c r="GQ10" s="1090">
        <f t="shared" si="117"/>
        <v>-20000000</v>
      </c>
      <c r="GR10" s="1091">
        <f t="shared" si="118"/>
        <v>-1</v>
      </c>
      <c r="GS10" s="1090">
        <f t="shared" si="119"/>
        <v>-40000000</v>
      </c>
      <c r="GT10" s="1091">
        <f t="shared" si="120"/>
        <v>-1</v>
      </c>
      <c r="GU10" s="1088">
        <f>SUMIFS(BP_SOTIEN,BP_DA,$C10,BP_THANG,GU$2,BP_KM,$E10)/1000</f>
        <v>20000000</v>
      </c>
      <c r="GV10" s="1089">
        <f t="shared" si="121"/>
        <v>0.6</v>
      </c>
      <c r="GW10" s="3"/>
      <c r="GX10" s="1090">
        <f>IF(NOW()&gt;=DATE(YEAR(GU$2),MONTH(GU$2)+1,DAY(GU$2)),SUMIFS(TF_SOTIEN,TF_DA,$C10,TF_THANG,GU$2,TF_KM,$E10)/1000, HA10)</f>
        <v>40000000</v>
      </c>
      <c r="GY10" s="1089">
        <f t="shared" si="122"/>
        <v>0.7500000047</v>
      </c>
      <c r="GZ10" s="3"/>
      <c r="HA10" s="1090">
        <f>IF(NOW()&gt;=DATE(YEAR(GU$2),MONTH(GU$2)+1,DAY(GU$2)),SUMIFS(AC_SOTIEN,AC_DA,$C10,AC_THANG,GU$2,AC_KM,$E10),SUMIFS(TF_SOTIEN,TF_DA,$C10,TF_THANG,GU$2,TF_KM,$E10))/ 1000</f>
        <v>0</v>
      </c>
      <c r="HB10" s="1089" t="str">
        <f t="shared" si="123"/>
        <v/>
      </c>
      <c r="HC10" s="3"/>
      <c r="HD10" s="1090">
        <f t="shared" si="124"/>
        <v>-20000000</v>
      </c>
      <c r="HE10" s="1091">
        <f t="shared" si="125"/>
        <v>-1</v>
      </c>
      <c r="HF10" s="1090">
        <f t="shared" si="126"/>
        <v>-40000000</v>
      </c>
      <c r="HG10" s="1091">
        <f t="shared" si="127"/>
        <v>-1</v>
      </c>
      <c r="HH10" s="1088">
        <f t="shared" si="128"/>
        <v>60000000</v>
      </c>
      <c r="HI10" s="1089">
        <f t="shared" si="129"/>
        <v>0.6</v>
      </c>
      <c r="HJ10" s="3"/>
      <c r="HK10" s="1090">
        <f t="shared" si="130"/>
        <v>120000000</v>
      </c>
      <c r="HL10" s="1089">
        <f t="shared" si="131"/>
        <v>0.7500000047</v>
      </c>
      <c r="HM10" s="3"/>
      <c r="HN10" s="1090">
        <f t="shared" si="132"/>
        <v>0</v>
      </c>
      <c r="HO10" s="1089" t="str">
        <f t="shared" si="133"/>
        <v/>
      </c>
      <c r="HP10" s="3"/>
      <c r="HQ10" s="1090">
        <f t="shared" si="134"/>
        <v>-60000000</v>
      </c>
      <c r="HR10" s="1091">
        <f t="shared" si="135"/>
        <v>-1</v>
      </c>
      <c r="HS10" s="1090">
        <f t="shared" si="136"/>
        <v>-120000000</v>
      </c>
      <c r="HT10" s="1091">
        <f t="shared" si="137"/>
        <v>-1</v>
      </c>
      <c r="HU10" s="1088">
        <f t="shared" si="138"/>
        <v>120000000</v>
      </c>
      <c r="HV10" s="1089">
        <f t="shared" si="139"/>
        <v>0.6</v>
      </c>
      <c r="HW10" s="3"/>
      <c r="HX10" s="1090">
        <f t="shared" si="140"/>
        <v>240000000</v>
      </c>
      <c r="HY10" s="1089">
        <f t="shared" si="141"/>
        <v>0.7500000047</v>
      </c>
      <c r="HZ10" s="3"/>
      <c r="IA10" s="1090">
        <f t="shared" si="142"/>
        <v>0</v>
      </c>
      <c r="IB10" s="1089" t="str">
        <f t="shared" si="143"/>
        <v/>
      </c>
      <c r="IC10" s="3"/>
      <c r="ID10" s="1090">
        <f t="shared" si="144"/>
        <v>-120000000</v>
      </c>
      <c r="IE10" s="1091">
        <f t="shared" si="145"/>
        <v>-1</v>
      </c>
      <c r="IF10" s="1090">
        <f t="shared" si="146"/>
        <v>-240000000</v>
      </c>
      <c r="IG10" s="1091">
        <f t="shared" si="147"/>
        <v>-1</v>
      </c>
      <c r="IH10" s="1088">
        <f t="shared" si="148"/>
        <v>180000000</v>
      </c>
      <c r="II10" s="1089">
        <f t="shared" si="149"/>
        <v>0.6</v>
      </c>
      <c r="IJ10" s="3"/>
      <c r="IK10" s="1090">
        <f t="shared" si="150"/>
        <v>240000000</v>
      </c>
      <c r="IL10" s="1089">
        <f t="shared" si="151"/>
        <v>0.6266567204</v>
      </c>
      <c r="IM10" s="3"/>
      <c r="IN10" s="1090">
        <f t="shared" si="152"/>
        <v>0</v>
      </c>
      <c r="IO10" s="1089">
        <f t="shared" si="153"/>
        <v>0</v>
      </c>
      <c r="IP10" s="3"/>
      <c r="IQ10" s="1090">
        <f t="shared" si="154"/>
        <v>-180000000</v>
      </c>
      <c r="IR10" s="1091">
        <f t="shared" si="1"/>
        <v>-1</v>
      </c>
      <c r="IS10" s="1090">
        <f t="shared" si="155"/>
        <v>-240000000</v>
      </c>
      <c r="IT10" s="1091">
        <f t="shared" si="2"/>
        <v>-1</v>
      </c>
    </row>
    <row r="11" collapsed="1">
      <c r="A11" s="1092" t="str">
        <f t="shared" si="3"/>
        <v/>
      </c>
      <c r="B11" s="1093" t="s">
        <v>2069</v>
      </c>
      <c r="C11" s="1093"/>
      <c r="D11" s="1093" t="str">
        <f>IF(C11&gt;0,VLOOKUP(C11,DM_DUAN ,2,"") ,IF(B11&gt;0,VLOOKUP(B11,DM_CDT,2,""),""))</f>
        <v>KIMCUONGLAND</v>
      </c>
      <c r="E11" s="1093" t="s">
        <v>198</v>
      </c>
      <c r="F11" s="1093"/>
      <c r="G11" s="1094">
        <v>1.0</v>
      </c>
      <c r="H11" s="1095">
        <f>SUMIF($B12:$B$18,$B11,H12:H$18)</f>
        <v>0</v>
      </c>
      <c r="I11" s="1096" t="str">
        <f t="shared" si="4"/>
        <v/>
      </c>
      <c r="J11" s="3"/>
      <c r="K11" s="1095">
        <f>SUMIF($B12:$B$18,$B11,K12:K$18)</f>
        <v>0</v>
      </c>
      <c r="L11" s="1096">
        <f t="shared" si="5"/>
        <v>0</v>
      </c>
      <c r="M11" s="3"/>
      <c r="N11" s="1095">
        <f>SUMIF($B12:$B$18,$B11,N12:N$18)</f>
        <v>0</v>
      </c>
      <c r="O11" s="1096">
        <f t="shared" si="6"/>
        <v>0</v>
      </c>
      <c r="P11" s="3"/>
      <c r="Q11" s="1095">
        <f t="shared" si="7"/>
        <v>0</v>
      </c>
      <c r="R11" s="1097" t="str">
        <f t="shared" si="8"/>
        <v/>
      </c>
      <c r="S11" s="1095">
        <f t="shared" si="9"/>
        <v>0</v>
      </c>
      <c r="T11" s="1097" t="str">
        <f t="shared" si="10"/>
        <v/>
      </c>
      <c r="U11" s="1095">
        <f>SUMIF($B12:$B$18,$B11,U12:U$18)</f>
        <v>0</v>
      </c>
      <c r="V11" s="1096" t="str">
        <f t="shared" si="11"/>
        <v/>
      </c>
      <c r="W11" s="3"/>
      <c r="X11" s="1095">
        <f>SUMIF($B12:$B$18,$B11,X12:X$18)</f>
        <v>0</v>
      </c>
      <c r="Y11" s="1096" t="str">
        <f t="shared" si="12"/>
        <v/>
      </c>
      <c r="Z11" s="3"/>
      <c r="AA11" s="1095">
        <f>SUMIF($B12:$B$18,$B11,AA12:AA$18)</f>
        <v>0</v>
      </c>
      <c r="AB11" s="1096">
        <f t="shared" si="13"/>
        <v>0</v>
      </c>
      <c r="AC11" s="3"/>
      <c r="AD11" s="1095">
        <f t="shared" si="14"/>
        <v>0</v>
      </c>
      <c r="AE11" s="1097" t="str">
        <f t="shared" si="15"/>
        <v/>
      </c>
      <c r="AF11" s="1095">
        <f t="shared" si="16"/>
        <v>0</v>
      </c>
      <c r="AG11" s="1097" t="str">
        <f t="shared" si="17"/>
        <v/>
      </c>
      <c r="AH11" s="1095">
        <f>SUMIF($B12:$B$18,$B11,AH12:AH$18)</f>
        <v>0</v>
      </c>
      <c r="AI11" s="1096" t="str">
        <f t="shared" si="18"/>
        <v/>
      </c>
      <c r="AJ11" s="3"/>
      <c r="AK11" s="1095">
        <f>SUMIF($B12:$B$18,$B11,AK12:AK$18)</f>
        <v>0</v>
      </c>
      <c r="AL11" s="1096">
        <f t="shared" si="19"/>
        <v>0</v>
      </c>
      <c r="AM11" s="3"/>
      <c r="AN11" s="1095">
        <f>SUMIF($B12:$B$18,$B11,AN12:AN$18)</f>
        <v>0</v>
      </c>
      <c r="AO11" s="1096">
        <f t="shared" si="20"/>
        <v>0</v>
      </c>
      <c r="AP11" s="3"/>
      <c r="AQ11" s="1095">
        <f t="shared" si="21"/>
        <v>0</v>
      </c>
      <c r="AR11" s="1097" t="str">
        <f t="shared" si="22"/>
        <v/>
      </c>
      <c r="AS11" s="1095">
        <f t="shared" si="23"/>
        <v>0</v>
      </c>
      <c r="AT11" s="1097" t="str">
        <f t="shared" si="24"/>
        <v/>
      </c>
      <c r="AU11" s="1095">
        <f t="shared" si="25"/>
        <v>0</v>
      </c>
      <c r="AV11" s="1096" t="str">
        <f t="shared" si="26"/>
        <v/>
      </c>
      <c r="AW11" s="3"/>
      <c r="AX11" s="1095">
        <f t="shared" si="27"/>
        <v>0</v>
      </c>
      <c r="AY11" s="1096">
        <f t="shared" si="28"/>
        <v>0</v>
      </c>
      <c r="AZ11" s="3"/>
      <c r="BA11" s="1095">
        <f t="shared" si="29"/>
        <v>0</v>
      </c>
      <c r="BB11" s="1096">
        <f t="shared" si="30"/>
        <v>0</v>
      </c>
      <c r="BC11" s="3"/>
      <c r="BD11" s="1095">
        <f t="shared" si="31"/>
        <v>0</v>
      </c>
      <c r="BE11" s="1097" t="str">
        <f t="shared" si="32"/>
        <v/>
      </c>
      <c r="BF11" s="1095">
        <f t="shared" si="33"/>
        <v>0</v>
      </c>
      <c r="BG11" s="1097" t="str">
        <f t="shared" si="34"/>
        <v/>
      </c>
      <c r="BH11" s="1095">
        <f>SUMIF($B12:$B$18,$B11,BH12:BH$18)</f>
        <v>0</v>
      </c>
      <c r="BI11" s="1096">
        <f t="shared" si="35"/>
        <v>0</v>
      </c>
      <c r="BJ11" s="3"/>
      <c r="BK11" s="1095">
        <f>SUMIF($B12:$B$18,$B11,BK12:BK$18)</f>
        <v>10000000</v>
      </c>
      <c r="BL11" s="1096">
        <f t="shared" si="36"/>
        <v>0.5</v>
      </c>
      <c r="BM11" s="3"/>
      <c r="BN11" s="1095">
        <f>SUMIF($B12:$B$18,$B11,BN12:BN$18)</f>
        <v>10129000</v>
      </c>
      <c r="BO11" s="1096">
        <f t="shared" si="37"/>
        <v>0.5573754435</v>
      </c>
      <c r="BP11" s="3"/>
      <c r="BQ11" s="1095">
        <f t="shared" si="38"/>
        <v>10129000</v>
      </c>
      <c r="BR11" s="1098" t="str">
        <f t="shared" si="39"/>
        <v/>
      </c>
      <c r="BS11" s="1095">
        <f t="shared" si="40"/>
        <v>129000</v>
      </c>
      <c r="BT11" s="1097">
        <f t="shared" si="41"/>
        <v>0.0129</v>
      </c>
      <c r="BU11" s="1095">
        <f>SUMIF($B12:$B$18,$B11,BU12:BU$18)</f>
        <v>0</v>
      </c>
      <c r="BV11" s="1096">
        <f t="shared" si="42"/>
        <v>0</v>
      </c>
      <c r="BW11" s="3"/>
      <c r="BX11" s="1095">
        <f>SUMIF($B12:$B$18,$B11,BX12:BX$18)</f>
        <v>0</v>
      </c>
      <c r="BY11" s="1096">
        <f t="shared" si="43"/>
        <v>0</v>
      </c>
      <c r="BZ11" s="3"/>
      <c r="CA11" s="1095">
        <f>SUMIF($B12:$B$18,$B11,CA12:CA$18)</f>
        <v>0</v>
      </c>
      <c r="CB11" s="1096">
        <f t="shared" si="44"/>
        <v>0</v>
      </c>
      <c r="CC11" s="3"/>
      <c r="CD11" s="1095">
        <f t="shared" si="45"/>
        <v>0</v>
      </c>
      <c r="CE11" s="1098" t="str">
        <f t="shared" si="46"/>
        <v/>
      </c>
      <c r="CF11" s="1095">
        <f t="shared" si="47"/>
        <v>0</v>
      </c>
      <c r="CG11" s="1097" t="str">
        <f t="shared" si="48"/>
        <v/>
      </c>
      <c r="CH11" s="1095">
        <f>SUMIF($B12:$B$18,$B11,CH12:CH$18)</f>
        <v>0</v>
      </c>
      <c r="CI11" s="1096">
        <f t="shared" si="49"/>
        <v>0</v>
      </c>
      <c r="CJ11" s="3"/>
      <c r="CK11" s="1095">
        <f>SUMIF($B12:$B$18,$B11,CK12:CK$18)</f>
        <v>0</v>
      </c>
      <c r="CL11" s="1096" t="str">
        <f t="shared" si="50"/>
        <v/>
      </c>
      <c r="CM11" s="3"/>
      <c r="CN11" s="1095">
        <f>SUMIF($B12:$B$18,$B11,CN12:CN$18)</f>
        <v>0</v>
      </c>
      <c r="CO11" s="1096">
        <f t="shared" si="51"/>
        <v>0</v>
      </c>
      <c r="CP11" s="3"/>
      <c r="CQ11" s="1095">
        <f t="shared" si="52"/>
        <v>0</v>
      </c>
      <c r="CR11" s="1098" t="str">
        <f t="shared" si="53"/>
        <v/>
      </c>
      <c r="CS11" s="1095">
        <f t="shared" si="54"/>
        <v>0</v>
      </c>
      <c r="CT11" s="1097" t="str">
        <f t="shared" si="55"/>
        <v/>
      </c>
      <c r="CU11" s="1095">
        <f t="shared" si="56"/>
        <v>0</v>
      </c>
      <c r="CV11" s="1096">
        <f t="shared" si="57"/>
        <v>0</v>
      </c>
      <c r="CW11" s="3"/>
      <c r="CX11" s="1095">
        <f t="shared" si="58"/>
        <v>10000000</v>
      </c>
      <c r="CY11" s="1096">
        <f t="shared" si="59"/>
        <v>0.3126484689</v>
      </c>
      <c r="CZ11" s="3"/>
      <c r="DA11" s="1095">
        <f t="shared" si="60"/>
        <v>10129000</v>
      </c>
      <c r="DB11" s="1096">
        <f t="shared" si="61"/>
        <v>0.4355815373</v>
      </c>
      <c r="DC11" s="3"/>
      <c r="DD11" s="1095">
        <f t="shared" si="62"/>
        <v>10129000</v>
      </c>
      <c r="DE11" s="1098" t="str">
        <f t="shared" si="63"/>
        <v/>
      </c>
      <c r="DF11" s="1095">
        <f t="shared" si="64"/>
        <v>129000</v>
      </c>
      <c r="DG11" s="1097">
        <f t="shared" si="65"/>
        <v>0.0129</v>
      </c>
      <c r="DH11" s="1095">
        <f t="shared" si="66"/>
        <v>0</v>
      </c>
      <c r="DI11" s="1096">
        <f t="shared" si="67"/>
        <v>0</v>
      </c>
      <c r="DJ11" s="3"/>
      <c r="DK11" s="1095">
        <f t="shared" si="68"/>
        <v>10000000</v>
      </c>
      <c r="DL11" s="1096">
        <f t="shared" si="69"/>
        <v>0.1587684547</v>
      </c>
      <c r="DM11" s="3"/>
      <c r="DN11" s="1095">
        <f t="shared" si="70"/>
        <v>10129000</v>
      </c>
      <c r="DO11" s="1096">
        <f t="shared" si="71"/>
        <v>0.2693278782</v>
      </c>
      <c r="DP11" s="3"/>
      <c r="DQ11" s="1095">
        <f t="shared" si="72"/>
        <v>10129000</v>
      </c>
      <c r="DR11" s="1098" t="str">
        <f t="shared" si="73"/>
        <v/>
      </c>
      <c r="DS11" s="1095">
        <f t="shared" si="74"/>
        <v>129000</v>
      </c>
      <c r="DT11" s="1097">
        <f t="shared" si="75"/>
        <v>0.0129</v>
      </c>
      <c r="DU11" s="1095">
        <f>SUMIF($B12:$B$18,$B11,DU12:DU$18)</f>
        <v>0</v>
      </c>
      <c r="DV11" s="1096">
        <f t="shared" si="76"/>
        <v>0</v>
      </c>
      <c r="DW11" s="3"/>
      <c r="DX11" s="1095">
        <f>SUMIF($B12:$B$18,$B11,DX12:DX$18)</f>
        <v>0</v>
      </c>
      <c r="DY11" s="1096">
        <f t="shared" si="77"/>
        <v>0</v>
      </c>
      <c r="DZ11" s="3"/>
      <c r="EA11" s="1095">
        <f>SUMIF($B12:$B$18,$B11,EA12:EA$18)</f>
        <v>0</v>
      </c>
      <c r="EB11" s="1096" t="str">
        <f t="shared" si="78"/>
        <v/>
      </c>
      <c r="EC11" s="3"/>
      <c r="ED11" s="1095">
        <f t="shared" si="79"/>
        <v>0</v>
      </c>
      <c r="EE11" s="1098" t="str">
        <f t="shared" si="80"/>
        <v/>
      </c>
      <c r="EF11" s="1095">
        <f t="shared" si="81"/>
        <v>0</v>
      </c>
      <c r="EG11" s="1098" t="str">
        <f t="shared" si="82"/>
        <v/>
      </c>
      <c r="EH11" s="1095">
        <f>SUMIF($B12:$B$18,$B11,EH12:EH$18)</f>
        <v>0</v>
      </c>
      <c r="EI11" s="1096">
        <f t="shared" si="83"/>
        <v>0</v>
      </c>
      <c r="EJ11" s="3"/>
      <c r="EK11" s="1095">
        <f>SUMIF($B12:$B$18,$B11,EK12:EK$18)</f>
        <v>0</v>
      </c>
      <c r="EL11" s="1096">
        <f t="shared" si="84"/>
        <v>0</v>
      </c>
      <c r="EM11" s="3"/>
      <c r="EN11" s="1095">
        <f>SUMIF($B12:$B$18,$B11,EN12:EN$18)</f>
        <v>0</v>
      </c>
      <c r="EO11" s="1096" t="str">
        <f t="shared" si="85"/>
        <v/>
      </c>
      <c r="EP11" s="3"/>
      <c r="EQ11" s="1095">
        <f t="shared" si="86"/>
        <v>0</v>
      </c>
      <c r="ER11" s="1098" t="str">
        <f t="shared" si="87"/>
        <v/>
      </c>
      <c r="ES11" s="1095">
        <f t="shared" si="88"/>
        <v>0</v>
      </c>
      <c r="ET11" s="1098" t="str">
        <f t="shared" si="89"/>
        <v/>
      </c>
      <c r="EU11" s="1095">
        <f>SUMIF($B12:$B$18,$B11,EU12:EU$18)</f>
        <v>0</v>
      </c>
      <c r="EV11" s="1096">
        <f t="shared" si="90"/>
        <v>0</v>
      </c>
      <c r="EW11" s="3"/>
      <c r="EX11" s="1095">
        <f>SUMIF($B12:$B$18,$B11,EX12:EX$18)</f>
        <v>0</v>
      </c>
      <c r="EY11" s="1096">
        <f t="shared" si="91"/>
        <v>0</v>
      </c>
      <c r="EZ11" s="3"/>
      <c r="FA11" s="1095">
        <f>SUMIF($B12:$B$18,$B11,FA12:FA$18)</f>
        <v>0</v>
      </c>
      <c r="FB11" s="1096" t="str">
        <f t="shared" si="92"/>
        <v/>
      </c>
      <c r="FC11" s="3"/>
      <c r="FD11" s="1095">
        <f t="shared" si="93"/>
        <v>0</v>
      </c>
      <c r="FE11" s="1098" t="str">
        <f t="shared" si="94"/>
        <v/>
      </c>
      <c r="FF11" s="1095">
        <f t="shared" si="95"/>
        <v>0</v>
      </c>
      <c r="FG11" s="1098" t="str">
        <f t="shared" si="96"/>
        <v/>
      </c>
      <c r="FH11" s="1095">
        <f t="shared" si="97"/>
        <v>0</v>
      </c>
      <c r="FI11" s="1096">
        <f t="shared" si="98"/>
        <v>0</v>
      </c>
      <c r="FJ11" s="3"/>
      <c r="FK11" s="1095">
        <f t="shared" si="99"/>
        <v>0</v>
      </c>
      <c r="FL11" s="1096">
        <f t="shared" si="100"/>
        <v>0</v>
      </c>
      <c r="FM11" s="3"/>
      <c r="FN11" s="1095">
        <f t="shared" si="101"/>
        <v>0</v>
      </c>
      <c r="FO11" s="1096" t="str">
        <f t="shared" si="102"/>
        <v/>
      </c>
      <c r="FP11" s="3"/>
      <c r="FQ11" s="1095">
        <f t="shared" si="103"/>
        <v>0</v>
      </c>
      <c r="FR11" s="1098" t="str">
        <f t="shared" si="104"/>
        <v/>
      </c>
      <c r="FS11" s="1095">
        <f t="shared" si="105"/>
        <v>0</v>
      </c>
      <c r="FT11" s="1098" t="str">
        <f t="shared" si="106"/>
        <v/>
      </c>
      <c r="FU11" s="1095">
        <f>SUMIF($B12:$B$18,$B11,FU12:FU$18)</f>
        <v>0</v>
      </c>
      <c r="FV11" s="1096">
        <f t="shared" si="107"/>
        <v>0</v>
      </c>
      <c r="FW11" s="3"/>
      <c r="FX11" s="1095">
        <f>SUMIF($B12:$B$18,$B11,FX12:FX$18)</f>
        <v>0</v>
      </c>
      <c r="FY11" s="1096">
        <f t="shared" si="108"/>
        <v>0</v>
      </c>
      <c r="FZ11" s="3"/>
      <c r="GA11" s="1095">
        <f>SUMIF($B12:$B$18,$B11,GA12:GA$18)</f>
        <v>0</v>
      </c>
      <c r="GB11" s="1096" t="str">
        <f t="shared" si="109"/>
        <v/>
      </c>
      <c r="GC11" s="3"/>
      <c r="GD11" s="1095">
        <f t="shared" si="110"/>
        <v>0</v>
      </c>
      <c r="GE11" s="1098" t="str">
        <f t="shared" si="111"/>
        <v/>
      </c>
      <c r="GF11" s="1095">
        <f t="shared" si="112"/>
        <v>0</v>
      </c>
      <c r="GG11" s="1098" t="str">
        <f t="shared" si="113"/>
        <v/>
      </c>
      <c r="GH11" s="1095">
        <f>SUMIF($B12:$B$18,$B11,GH12:GH$18)</f>
        <v>0</v>
      </c>
      <c r="GI11" s="1096">
        <f t="shared" si="114"/>
        <v>0</v>
      </c>
      <c r="GJ11" s="3"/>
      <c r="GK11" s="1095">
        <f>SUMIF($B12:$B$18,$B11,GK12:GK$18)</f>
        <v>0</v>
      </c>
      <c r="GL11" s="1096">
        <f t="shared" si="115"/>
        <v>0</v>
      </c>
      <c r="GM11" s="3"/>
      <c r="GN11" s="1095">
        <f>SUMIF($B12:$B$18,$B11,GN12:GN$18)</f>
        <v>0</v>
      </c>
      <c r="GO11" s="1096" t="str">
        <f t="shared" si="116"/>
        <v/>
      </c>
      <c r="GP11" s="3"/>
      <c r="GQ11" s="1095">
        <f t="shared" si="117"/>
        <v>0</v>
      </c>
      <c r="GR11" s="1098" t="str">
        <f t="shared" si="118"/>
        <v/>
      </c>
      <c r="GS11" s="1095">
        <f t="shared" si="119"/>
        <v>0</v>
      </c>
      <c r="GT11" s="1098" t="str">
        <f t="shared" si="120"/>
        <v/>
      </c>
      <c r="GU11" s="1095">
        <f>SUMIF($B12:$B$18,$B11,GU12:GU$18)</f>
        <v>0</v>
      </c>
      <c r="GV11" s="1096">
        <f t="shared" si="121"/>
        <v>0</v>
      </c>
      <c r="GW11" s="3"/>
      <c r="GX11" s="1095">
        <f>SUMIF($B12:$B$18,$B11,GX12:GX$18)</f>
        <v>0</v>
      </c>
      <c r="GY11" s="1096">
        <f t="shared" si="122"/>
        <v>0</v>
      </c>
      <c r="GZ11" s="3"/>
      <c r="HA11" s="1095">
        <f>SUMIF($B12:$B$18,$B11,HA12:HA$18)</f>
        <v>0</v>
      </c>
      <c r="HB11" s="1096" t="str">
        <f t="shared" si="123"/>
        <v/>
      </c>
      <c r="HC11" s="3"/>
      <c r="HD11" s="1095">
        <f t="shared" si="124"/>
        <v>0</v>
      </c>
      <c r="HE11" s="1098" t="str">
        <f t="shared" si="125"/>
        <v/>
      </c>
      <c r="HF11" s="1095">
        <f t="shared" si="126"/>
        <v>0</v>
      </c>
      <c r="HG11" s="1098" t="str">
        <f t="shared" si="127"/>
        <v/>
      </c>
      <c r="HH11" s="1095">
        <f t="shared" si="128"/>
        <v>0</v>
      </c>
      <c r="HI11" s="1096">
        <f t="shared" si="129"/>
        <v>0</v>
      </c>
      <c r="HJ11" s="3"/>
      <c r="HK11" s="1095">
        <f t="shared" si="130"/>
        <v>0</v>
      </c>
      <c r="HL11" s="1096">
        <f t="shared" si="131"/>
        <v>0</v>
      </c>
      <c r="HM11" s="3"/>
      <c r="HN11" s="1095">
        <f t="shared" si="132"/>
        <v>0</v>
      </c>
      <c r="HO11" s="1096" t="str">
        <f t="shared" si="133"/>
        <v/>
      </c>
      <c r="HP11" s="3"/>
      <c r="HQ11" s="1095">
        <f t="shared" si="134"/>
        <v>0</v>
      </c>
      <c r="HR11" s="1098" t="str">
        <f t="shared" si="135"/>
        <v/>
      </c>
      <c r="HS11" s="1095">
        <f t="shared" si="136"/>
        <v>0</v>
      </c>
      <c r="HT11" s="1098" t="str">
        <f t="shared" si="137"/>
        <v/>
      </c>
      <c r="HU11" s="1095">
        <f t="shared" si="138"/>
        <v>0</v>
      </c>
      <c r="HV11" s="1096">
        <f t="shared" si="139"/>
        <v>0</v>
      </c>
      <c r="HW11" s="3"/>
      <c r="HX11" s="1095">
        <f t="shared" si="140"/>
        <v>0</v>
      </c>
      <c r="HY11" s="1096">
        <f t="shared" si="141"/>
        <v>0</v>
      </c>
      <c r="HZ11" s="3"/>
      <c r="IA11" s="1095">
        <f t="shared" si="142"/>
        <v>0</v>
      </c>
      <c r="IB11" s="1096" t="str">
        <f t="shared" si="143"/>
        <v/>
      </c>
      <c r="IC11" s="3"/>
      <c r="ID11" s="1095">
        <f t="shared" si="144"/>
        <v>0</v>
      </c>
      <c r="IE11" s="1098" t="str">
        <f t="shared" si="145"/>
        <v/>
      </c>
      <c r="IF11" s="1095">
        <f t="shared" si="146"/>
        <v>0</v>
      </c>
      <c r="IG11" s="1098" t="str">
        <f t="shared" si="147"/>
        <v/>
      </c>
      <c r="IH11" s="1095">
        <f t="shared" si="148"/>
        <v>0</v>
      </c>
      <c r="II11" s="1096">
        <f t="shared" si="149"/>
        <v>0</v>
      </c>
      <c r="IJ11" s="3"/>
      <c r="IK11" s="1095">
        <f t="shared" si="150"/>
        <v>10000000</v>
      </c>
      <c r="IL11" s="1096">
        <f t="shared" si="151"/>
        <v>0.02611069669</v>
      </c>
      <c r="IM11" s="3"/>
      <c r="IN11" s="1095">
        <f t="shared" si="152"/>
        <v>10129000</v>
      </c>
      <c r="IO11" s="1096">
        <f t="shared" si="153"/>
        <v>0.2693278782</v>
      </c>
      <c r="IP11" s="3"/>
      <c r="IQ11" s="1095">
        <f t="shared" si="154"/>
        <v>10129000</v>
      </c>
      <c r="IR11" s="1098" t="str">
        <f t="shared" si="1"/>
        <v/>
      </c>
      <c r="IS11" s="1095">
        <f t="shared" si="155"/>
        <v>129000</v>
      </c>
      <c r="IT11" s="1098">
        <f t="shared" si="2"/>
        <v>0.0129</v>
      </c>
    </row>
    <row r="12" hidden="1" outlineLevel="1">
      <c r="A12" s="1086">
        <f t="shared" si="3"/>
        <v>5</v>
      </c>
      <c r="B12" s="1087" t="s">
        <v>2069</v>
      </c>
      <c r="C12" s="656" t="s">
        <v>638</v>
      </c>
      <c r="D12" s="1087" t="str">
        <f>IF(C12&gt;0,VLOOKUP(C12,DM_DUAN ,2,"") ,IF(B12&gt;0,VLOOKUP(B12,DM_CDT,2,""),""))</f>
        <v>Sản phẩm Phước Vinh</v>
      </c>
      <c r="E12" s="1087" t="s">
        <v>198</v>
      </c>
      <c r="F12" s="1087"/>
      <c r="G12" s="1086">
        <v>2.0</v>
      </c>
      <c r="H12" s="1088">
        <f>SUMIFS(BP_SOTIEN,BP_DA,$C12,BP_THANG,H$2,BP_KM,$E12)/1000</f>
        <v>0</v>
      </c>
      <c r="I12" s="1089" t="str">
        <f t="shared" si="4"/>
        <v/>
      </c>
      <c r="J12" s="3"/>
      <c r="K12" s="1090">
        <f>IF(NOW()&gt;=DATE(YEAR(H$2),MONTH(H$2)+1,DAY(H$2)),SUMIFS(TF_SOTIEN,TF_DA,$C12,TF_THANG,H$2,TF_KM,$E12)/1000, N12)</f>
        <v>0</v>
      </c>
      <c r="L12" s="1089">
        <f t="shared" si="5"/>
        <v>0</v>
      </c>
      <c r="M12" s="3"/>
      <c r="N12" s="1090">
        <f>IF(NOW()&gt;=DATE(YEAR(H$2),MONTH(H$2)+1,DAY(H$2)),SUMIFS(AC_SOTIEN,AC_DA,$C12,AC_THANG,H$2,AC_KM,$E12),SUMIFS(TF_SOTIEN,TF_DA,$C12,TF_THANG,H$2,TF_KM,$E12))/ 1000</f>
        <v>0</v>
      </c>
      <c r="O12" s="1089">
        <f t="shared" si="6"/>
        <v>0</v>
      </c>
      <c r="P12" s="3"/>
      <c r="Q12" s="1090">
        <f t="shared" si="7"/>
        <v>0</v>
      </c>
      <c r="R12" s="1091" t="str">
        <f t="shared" si="8"/>
        <v/>
      </c>
      <c r="S12" s="1090">
        <f t="shared" si="9"/>
        <v>0</v>
      </c>
      <c r="T12" s="1091" t="str">
        <f t="shared" si="10"/>
        <v/>
      </c>
      <c r="U12" s="1088">
        <f>SUMIFS(BP_SOTIEN,BP_DA,$C12,BP_THANG,U$2,BP_KM,$E12)/1000</f>
        <v>0</v>
      </c>
      <c r="V12" s="1089" t="str">
        <f t="shared" si="11"/>
        <v/>
      </c>
      <c r="W12" s="3"/>
      <c r="X12" s="1090">
        <f>IF(NOW()&gt;=DATE(YEAR(U$2),MONTH(U$2)+1,DAY(U$2)),SUMIFS(TF_SOTIEN,TF_DA,$C12,TF_THANG,U$2,TF_KM,$E12)/1000, AA12)</f>
        <v>0</v>
      </c>
      <c r="Y12" s="1089" t="str">
        <f t="shared" si="12"/>
        <v/>
      </c>
      <c r="Z12" s="3"/>
      <c r="AA12" s="1090">
        <f>IF(NOW()&gt;=DATE(YEAR(U$2),MONTH(U$2)+1,DAY(U$2)),SUMIFS(AC_SOTIEN,AC_DA,$C12,AC_THANG,U$2,AC_KM,$E12),SUMIFS(TF_SOTIEN,TF_DA,$C12,TF_THANG,U$2,TF_KM,$E12))/ 1000</f>
        <v>0</v>
      </c>
      <c r="AB12" s="1089">
        <f t="shared" si="13"/>
        <v>0</v>
      </c>
      <c r="AC12" s="3"/>
      <c r="AD12" s="1090">
        <f t="shared" si="14"/>
        <v>0</v>
      </c>
      <c r="AE12" s="1091" t="str">
        <f t="shared" si="15"/>
        <v/>
      </c>
      <c r="AF12" s="1090">
        <f t="shared" si="16"/>
        <v>0</v>
      </c>
      <c r="AG12" s="1091" t="str">
        <f t="shared" si="17"/>
        <v/>
      </c>
      <c r="AH12" s="1088">
        <f>SUMIFS(BP_SOTIEN,BP_DA,$C12,BP_THANG,AH$2,BP_KM,$E12)/1000</f>
        <v>0</v>
      </c>
      <c r="AI12" s="1089" t="str">
        <f t="shared" si="18"/>
        <v/>
      </c>
      <c r="AJ12" s="3"/>
      <c r="AK12" s="1090">
        <f>IF(NOW()&gt;=DATE(YEAR(AH$2),MONTH(AH$2)+1,DAY(AH$2)),SUMIFS(TF_SOTIEN,TF_DA,$C12,TF_THANG,AH$2,TF_KM,$E12)/1000, AN12)</f>
        <v>0</v>
      </c>
      <c r="AL12" s="1089">
        <f t="shared" si="19"/>
        <v>0</v>
      </c>
      <c r="AM12" s="3"/>
      <c r="AN12" s="1090">
        <f>IF(NOW()&gt;=DATE(YEAR(AH$2),MONTH(AH$2)+1,DAY(AH$2)),SUMIFS(AC_SOTIEN,AC_DA,$C12,AC_THANG,AH$2,AC_KM,$E12),SUMIFS(TF_SOTIEN,TF_DA,$C12,TF_THANG,AH$2,TF_KM,$E12))/ 1000</f>
        <v>0</v>
      </c>
      <c r="AO12" s="1089">
        <f t="shared" si="20"/>
        <v>0</v>
      </c>
      <c r="AP12" s="3"/>
      <c r="AQ12" s="1090">
        <f t="shared" si="21"/>
        <v>0</v>
      </c>
      <c r="AR12" s="1091" t="str">
        <f t="shared" si="22"/>
        <v/>
      </c>
      <c r="AS12" s="1090">
        <f t="shared" si="23"/>
        <v>0</v>
      </c>
      <c r="AT12" s="1091" t="str">
        <f t="shared" si="24"/>
        <v/>
      </c>
      <c r="AU12" s="1088">
        <f t="shared" si="25"/>
        <v>0</v>
      </c>
      <c r="AV12" s="1089" t="str">
        <f t="shared" si="26"/>
        <v/>
      </c>
      <c r="AW12" s="3"/>
      <c r="AX12" s="1090">
        <f t="shared" si="27"/>
        <v>0</v>
      </c>
      <c r="AY12" s="1089">
        <f t="shared" si="28"/>
        <v>0</v>
      </c>
      <c r="AZ12" s="3"/>
      <c r="BA12" s="1090">
        <f t="shared" si="29"/>
        <v>0</v>
      </c>
      <c r="BB12" s="1089">
        <f t="shared" si="30"/>
        <v>0</v>
      </c>
      <c r="BC12" s="3"/>
      <c r="BD12" s="1090">
        <f t="shared" si="31"/>
        <v>0</v>
      </c>
      <c r="BE12" s="1091" t="str">
        <f t="shared" si="32"/>
        <v/>
      </c>
      <c r="BF12" s="1090">
        <f t="shared" si="33"/>
        <v>0</v>
      </c>
      <c r="BG12" s="1091" t="str">
        <f t="shared" si="34"/>
        <v/>
      </c>
      <c r="BH12" s="1088">
        <f>SUMIFS(BP_SOTIEN,BP_DA,$C12,BP_THANG,BH$2,BP_KM,$E12)/1000</f>
        <v>0</v>
      </c>
      <c r="BI12" s="1089">
        <f t="shared" si="35"/>
        <v>0</v>
      </c>
      <c r="BJ12" s="3"/>
      <c r="BK12" s="1090">
        <f>IF(NOW()&gt;=DATE(YEAR(BH$2),MONTH(BH$2)+1,DAY(BH$2)),SUMIFS(TF_SOTIEN,TF_DA,$C12,TF_THANG,BH$2,TF_KM,$E12)/1000, BN12)</f>
        <v>8000000</v>
      </c>
      <c r="BL12" s="1089">
        <f t="shared" si="36"/>
        <v>0.4</v>
      </c>
      <c r="BM12" s="3"/>
      <c r="BN12" s="1090">
        <f>IF(NOW()&gt;=DATE(YEAR(BH$2),MONTH(BH$2)+1,DAY(BH$2)),SUMIFS(AC_SOTIEN,AC_DA,$C12,AC_THANG,BH$2,AC_KM,$E12),SUMIFS(TF_SOTIEN,TF_DA,$C12,TF_THANG,BH$2,TF_KM,$E12))/ 1000</f>
        <v>7885000</v>
      </c>
      <c r="BO12" s="1089">
        <f t="shared" si="37"/>
        <v>0.4338933134</v>
      </c>
      <c r="BP12" s="3"/>
      <c r="BQ12" s="1090">
        <f t="shared" si="38"/>
        <v>7885000</v>
      </c>
      <c r="BR12" s="1091" t="str">
        <f t="shared" si="39"/>
        <v/>
      </c>
      <c r="BS12" s="1090">
        <f t="shared" si="40"/>
        <v>-115000</v>
      </c>
      <c r="BT12" s="1091">
        <f t="shared" si="41"/>
        <v>-0.014375</v>
      </c>
      <c r="BU12" s="1088">
        <f>SUMIFS(BP_SOTIEN,BP_DA,$C12,BP_THANG,BU$2,BP_KM,$E12)/1000</f>
        <v>0</v>
      </c>
      <c r="BV12" s="1089">
        <f t="shared" si="42"/>
        <v>0</v>
      </c>
      <c r="BW12" s="3"/>
      <c r="BX12" s="1090">
        <f>IF(NOW()&gt;=DATE(YEAR(BU$2),MONTH(BU$2)+1,DAY(BU$2)),SUMIFS(TF_SOTIEN,TF_DA,$C12,TF_THANG,BU$2,TF_KM,$E12)/1000, CA12)</f>
        <v>0</v>
      </c>
      <c r="BY12" s="1089">
        <f t="shared" si="43"/>
        <v>0</v>
      </c>
      <c r="BZ12" s="3"/>
      <c r="CA12" s="1090">
        <f>IF(NOW()&gt;=DATE(YEAR(BU$2),MONTH(BU$2)+1,DAY(BU$2)),SUMIFS(AC_SOTIEN,AC_DA,$C12,AC_THANG,BU$2,AC_KM,$E12),SUMIFS(TF_SOTIEN,TF_DA,$C12,TF_THANG,BU$2,TF_KM,$E12))/ 1000</f>
        <v>0</v>
      </c>
      <c r="CB12" s="1089">
        <f t="shared" si="44"/>
        <v>0</v>
      </c>
      <c r="CC12" s="3"/>
      <c r="CD12" s="1090">
        <f t="shared" si="45"/>
        <v>0</v>
      </c>
      <c r="CE12" s="1091" t="str">
        <f t="shared" si="46"/>
        <v/>
      </c>
      <c r="CF12" s="1090">
        <f t="shared" si="47"/>
        <v>0</v>
      </c>
      <c r="CG12" s="1091" t="str">
        <f t="shared" si="48"/>
        <v/>
      </c>
      <c r="CH12" s="1088">
        <f>SUMIFS(BP_SOTIEN,BP_DA,$C12,BP_THANG,CH$2,BP_KM,$E12)/1000</f>
        <v>0</v>
      </c>
      <c r="CI12" s="1089">
        <f t="shared" si="49"/>
        <v>0</v>
      </c>
      <c r="CJ12" s="3"/>
      <c r="CK12" s="1090">
        <f>IF(NOW()&gt;=DATE(YEAR(CH$2),MONTH(CH$2)+1,DAY(CH$2)),SUMIFS(TF_SOTIEN,TF_DA,$C12,TF_THANG,CH$2,TF_KM,$E12)/1000, CN12)</f>
        <v>0</v>
      </c>
      <c r="CL12" s="1089" t="str">
        <f t="shared" si="50"/>
        <v/>
      </c>
      <c r="CM12" s="3"/>
      <c r="CN12" s="1090">
        <f>IF(NOW()&gt;=DATE(YEAR(CH$2),MONTH(CH$2)+1,DAY(CH$2)),SUMIFS(AC_SOTIEN,AC_DA,$C12,AC_THANG,CH$2,AC_KM,$E12),SUMIFS(TF_SOTIEN,TF_DA,$C12,TF_THANG,CH$2,TF_KM,$E12))/ 1000</f>
        <v>0</v>
      </c>
      <c r="CO12" s="1089">
        <f t="shared" si="51"/>
        <v>0</v>
      </c>
      <c r="CP12" s="3"/>
      <c r="CQ12" s="1090">
        <f t="shared" si="52"/>
        <v>0</v>
      </c>
      <c r="CR12" s="1091" t="str">
        <f t="shared" si="53"/>
        <v/>
      </c>
      <c r="CS12" s="1090">
        <f t="shared" si="54"/>
        <v>0</v>
      </c>
      <c r="CT12" s="1091" t="str">
        <f t="shared" si="55"/>
        <v/>
      </c>
      <c r="CU12" s="1088">
        <f t="shared" si="56"/>
        <v>0</v>
      </c>
      <c r="CV12" s="1089">
        <f t="shared" si="57"/>
        <v>0</v>
      </c>
      <c r="CW12" s="3"/>
      <c r="CX12" s="1090">
        <f t="shared" si="58"/>
        <v>8000000</v>
      </c>
      <c r="CY12" s="1089">
        <f t="shared" si="59"/>
        <v>0.2501187752</v>
      </c>
      <c r="CZ12" s="3"/>
      <c r="DA12" s="1090">
        <f t="shared" si="60"/>
        <v>7885000</v>
      </c>
      <c r="DB12" s="1089">
        <f t="shared" si="61"/>
        <v>0.3390818858</v>
      </c>
      <c r="DC12" s="3"/>
      <c r="DD12" s="1090">
        <f t="shared" si="62"/>
        <v>7885000</v>
      </c>
      <c r="DE12" s="1091" t="str">
        <f t="shared" si="63"/>
        <v/>
      </c>
      <c r="DF12" s="1090">
        <f t="shared" si="64"/>
        <v>-115000</v>
      </c>
      <c r="DG12" s="1091">
        <f t="shared" si="65"/>
        <v>-0.014375</v>
      </c>
      <c r="DH12" s="1088">
        <f t="shared" si="66"/>
        <v>0</v>
      </c>
      <c r="DI12" s="1089">
        <f t="shared" si="67"/>
        <v>0</v>
      </c>
      <c r="DJ12" s="3"/>
      <c r="DK12" s="1090">
        <f t="shared" si="68"/>
        <v>8000000</v>
      </c>
      <c r="DL12" s="1089">
        <f t="shared" si="69"/>
        <v>0.1270147638</v>
      </c>
      <c r="DM12" s="3"/>
      <c r="DN12" s="1090">
        <f t="shared" si="70"/>
        <v>7885000</v>
      </c>
      <c r="DO12" s="1089">
        <f t="shared" si="71"/>
        <v>0.2096604126</v>
      </c>
      <c r="DP12" s="3"/>
      <c r="DQ12" s="1090">
        <f t="shared" si="72"/>
        <v>7885000</v>
      </c>
      <c r="DR12" s="1091" t="str">
        <f t="shared" si="73"/>
        <v/>
      </c>
      <c r="DS12" s="1090">
        <f t="shared" si="74"/>
        <v>-115000</v>
      </c>
      <c r="DT12" s="1091">
        <f t="shared" si="75"/>
        <v>-0.014375</v>
      </c>
      <c r="DU12" s="1088">
        <f>SUMIFS(BP_SOTIEN,BP_DA,$C12,BP_THANG,DU$2,BP_KM,$E12)/1000</f>
        <v>0</v>
      </c>
      <c r="DV12" s="1089">
        <f t="shared" si="76"/>
        <v>0</v>
      </c>
      <c r="DW12" s="3"/>
      <c r="DX12" s="1090">
        <f>IF(NOW()&gt;=DATE(YEAR(DU$2),MONTH(DU$2)+1,DAY(DU$2)),SUMIFS(TF_SOTIEN,TF_DA,$C12,TF_THANG,DU$2,TF_KM,$E12)/1000, EA12)</f>
        <v>0</v>
      </c>
      <c r="DY12" s="1089">
        <f t="shared" si="77"/>
        <v>0</v>
      </c>
      <c r="DZ12" s="3"/>
      <c r="EA12" s="1090">
        <f>IF(NOW()&gt;=DATE(YEAR(DU$2),MONTH(DU$2)+1,DAY(DU$2)),SUMIFS(AC_SOTIEN,AC_DA,$C12,AC_THANG,DU$2,AC_KM,$E12),SUMIFS(TF_SOTIEN,TF_DA,$C12,TF_THANG,DU$2,TF_KM,$E12))/ 1000</f>
        <v>0</v>
      </c>
      <c r="EB12" s="1089" t="str">
        <f t="shared" si="78"/>
        <v/>
      </c>
      <c r="EC12" s="3"/>
      <c r="ED12" s="1090">
        <f t="shared" si="79"/>
        <v>0</v>
      </c>
      <c r="EE12" s="1091" t="str">
        <f t="shared" si="80"/>
        <v/>
      </c>
      <c r="EF12" s="1090">
        <f t="shared" si="81"/>
        <v>0</v>
      </c>
      <c r="EG12" s="1091" t="str">
        <f t="shared" si="82"/>
        <v/>
      </c>
      <c r="EH12" s="1088">
        <f>SUMIFS(BP_SOTIEN,BP_DA,$C12,BP_THANG,EH$2,BP_KM,$E12)/1000</f>
        <v>0</v>
      </c>
      <c r="EI12" s="1089">
        <f t="shared" si="83"/>
        <v>0</v>
      </c>
      <c r="EJ12" s="3"/>
      <c r="EK12" s="1090">
        <f>IF(NOW()&gt;=DATE(YEAR(EH$2),MONTH(EH$2)+1,DAY(EH$2)),SUMIFS(TF_SOTIEN,TF_DA,$C12,TF_THANG,EH$2,TF_KM,$E12)/1000, EN12)</f>
        <v>0</v>
      </c>
      <c r="EL12" s="1089">
        <f t="shared" si="84"/>
        <v>0</v>
      </c>
      <c r="EM12" s="3"/>
      <c r="EN12" s="1090">
        <f>IF(NOW()&gt;=DATE(YEAR(EH$2),MONTH(EH$2)+1,DAY(EH$2)),SUMIFS(AC_SOTIEN,AC_DA,$C12,AC_THANG,EH$2,AC_KM,$E12),SUMIFS(TF_SOTIEN,TF_DA,$C12,TF_THANG,EH$2,TF_KM,$E12))/ 1000</f>
        <v>0</v>
      </c>
      <c r="EO12" s="1089" t="str">
        <f t="shared" si="85"/>
        <v/>
      </c>
      <c r="EP12" s="3"/>
      <c r="EQ12" s="1090">
        <f t="shared" si="86"/>
        <v>0</v>
      </c>
      <c r="ER12" s="1091" t="str">
        <f t="shared" si="87"/>
        <v/>
      </c>
      <c r="ES12" s="1090">
        <f t="shared" si="88"/>
        <v>0</v>
      </c>
      <c r="ET12" s="1091" t="str">
        <f t="shared" si="89"/>
        <v/>
      </c>
      <c r="EU12" s="1088">
        <f>SUMIFS(BP_SOTIEN,BP_DA,$C12,BP_THANG,EU$2,BP_KM,$E12)/1000</f>
        <v>0</v>
      </c>
      <c r="EV12" s="1089">
        <f t="shared" si="90"/>
        <v>0</v>
      </c>
      <c r="EW12" s="3"/>
      <c r="EX12" s="1090">
        <f>IF(NOW()&gt;=DATE(YEAR(EU$2),MONTH(EU$2)+1,DAY(EU$2)),SUMIFS(TF_SOTIEN,TF_DA,$C12,TF_THANG,EU$2,TF_KM,$E12)/1000, FA12)</f>
        <v>0</v>
      </c>
      <c r="EY12" s="1089">
        <f t="shared" si="91"/>
        <v>0</v>
      </c>
      <c r="EZ12" s="3"/>
      <c r="FA12" s="1090">
        <f>IF(NOW()&gt;=DATE(YEAR(EU$2),MONTH(EU$2)+1,DAY(EU$2)),SUMIFS(AC_SOTIEN,AC_DA,$C12,AC_THANG,EU$2,AC_KM,$E12),SUMIFS(TF_SOTIEN,TF_DA,$C12,TF_THANG,EU$2,TF_KM,$E12))/ 1000</f>
        <v>0</v>
      </c>
      <c r="FB12" s="1089" t="str">
        <f t="shared" si="92"/>
        <v/>
      </c>
      <c r="FC12" s="3"/>
      <c r="FD12" s="1090">
        <f t="shared" si="93"/>
        <v>0</v>
      </c>
      <c r="FE12" s="1091" t="str">
        <f t="shared" si="94"/>
        <v/>
      </c>
      <c r="FF12" s="1090">
        <f t="shared" si="95"/>
        <v>0</v>
      </c>
      <c r="FG12" s="1091" t="str">
        <f t="shared" si="96"/>
        <v/>
      </c>
      <c r="FH12" s="1088">
        <f t="shared" si="97"/>
        <v>0</v>
      </c>
      <c r="FI12" s="1089">
        <f t="shared" si="98"/>
        <v>0</v>
      </c>
      <c r="FJ12" s="3"/>
      <c r="FK12" s="1090">
        <f t="shared" si="99"/>
        <v>0</v>
      </c>
      <c r="FL12" s="1089">
        <f t="shared" si="100"/>
        <v>0</v>
      </c>
      <c r="FM12" s="3"/>
      <c r="FN12" s="1090">
        <f t="shared" si="101"/>
        <v>0</v>
      </c>
      <c r="FO12" s="1089" t="str">
        <f t="shared" si="102"/>
        <v/>
      </c>
      <c r="FP12" s="3"/>
      <c r="FQ12" s="1090">
        <f t="shared" si="103"/>
        <v>0</v>
      </c>
      <c r="FR12" s="1091" t="str">
        <f t="shared" si="104"/>
        <v/>
      </c>
      <c r="FS12" s="1090">
        <f t="shared" si="105"/>
        <v>0</v>
      </c>
      <c r="FT12" s="1091" t="str">
        <f t="shared" si="106"/>
        <v/>
      </c>
      <c r="FU12" s="1088">
        <f>SUMIFS(BP_SOTIEN,BP_DA,$C12,BP_THANG,FU$2,BP_KM,$E12)/1000</f>
        <v>0</v>
      </c>
      <c r="FV12" s="1089">
        <f t="shared" si="107"/>
        <v>0</v>
      </c>
      <c r="FW12" s="3"/>
      <c r="FX12" s="1090">
        <f>IF(NOW()&gt;=DATE(YEAR(FU$2),MONTH(FU$2)+1,DAY(FU$2)),SUMIFS(TF_SOTIEN,TF_DA,$C12,TF_THANG,FU$2,TF_KM,$E12)/1000, GA12)</f>
        <v>0</v>
      </c>
      <c r="FY12" s="1089">
        <f t="shared" si="108"/>
        <v>0</v>
      </c>
      <c r="FZ12" s="3"/>
      <c r="GA12" s="1090">
        <f>IF(NOW()&gt;=DATE(YEAR(FU$2),MONTH(FU$2)+1,DAY(FU$2)),SUMIFS(AC_SOTIEN,AC_DA,$C12,AC_THANG,FU$2,AC_KM,$E12),SUMIFS(TF_SOTIEN,TF_DA,$C12,TF_THANG,FU$2,TF_KM,$E12))/ 1000</f>
        <v>0</v>
      </c>
      <c r="GB12" s="1089" t="str">
        <f t="shared" si="109"/>
        <v/>
      </c>
      <c r="GC12" s="3"/>
      <c r="GD12" s="1090">
        <f t="shared" si="110"/>
        <v>0</v>
      </c>
      <c r="GE12" s="1091" t="str">
        <f t="shared" si="111"/>
        <v/>
      </c>
      <c r="GF12" s="1090">
        <f t="shared" si="112"/>
        <v>0</v>
      </c>
      <c r="GG12" s="1091" t="str">
        <f t="shared" si="113"/>
        <v/>
      </c>
      <c r="GH12" s="1088">
        <f>SUMIFS(BP_SOTIEN,BP_DA,$C12,BP_THANG,GH$2,BP_KM,$E12)/1000</f>
        <v>0</v>
      </c>
      <c r="GI12" s="1089">
        <f t="shared" si="114"/>
        <v>0</v>
      </c>
      <c r="GJ12" s="3"/>
      <c r="GK12" s="1090">
        <f>IF(NOW()&gt;=DATE(YEAR(GH$2),MONTH(GH$2)+1,DAY(GH$2)),SUMIFS(TF_SOTIEN,TF_DA,$C12,TF_THANG,GH$2,TF_KM,$E12)/1000, GN12)</f>
        <v>0</v>
      </c>
      <c r="GL12" s="1089">
        <f t="shared" si="115"/>
        <v>0</v>
      </c>
      <c r="GM12" s="3"/>
      <c r="GN12" s="1090">
        <f>IF(NOW()&gt;=DATE(YEAR(GH$2),MONTH(GH$2)+1,DAY(GH$2)),SUMIFS(AC_SOTIEN,AC_DA,$C12,AC_THANG,GH$2,AC_KM,$E12),SUMIFS(TF_SOTIEN,TF_DA,$C12,TF_THANG,GH$2,TF_KM,$E12))/ 1000</f>
        <v>0</v>
      </c>
      <c r="GO12" s="1089" t="str">
        <f t="shared" si="116"/>
        <v/>
      </c>
      <c r="GP12" s="3"/>
      <c r="GQ12" s="1090">
        <f t="shared" si="117"/>
        <v>0</v>
      </c>
      <c r="GR12" s="1091" t="str">
        <f t="shared" si="118"/>
        <v/>
      </c>
      <c r="GS12" s="1090">
        <f t="shared" si="119"/>
        <v>0</v>
      </c>
      <c r="GT12" s="1091" t="str">
        <f t="shared" si="120"/>
        <v/>
      </c>
      <c r="GU12" s="1088">
        <f>SUMIFS(BP_SOTIEN,BP_DA,$C12,BP_THANG,GU$2,BP_KM,$E12)/1000</f>
        <v>0</v>
      </c>
      <c r="GV12" s="1089">
        <f t="shared" si="121"/>
        <v>0</v>
      </c>
      <c r="GW12" s="3"/>
      <c r="GX12" s="1090">
        <f>IF(NOW()&gt;=DATE(YEAR(GU$2),MONTH(GU$2)+1,DAY(GU$2)),SUMIFS(TF_SOTIEN,TF_DA,$C12,TF_THANG,GU$2,TF_KM,$E12)/1000, HA12)</f>
        <v>0</v>
      </c>
      <c r="GY12" s="1089">
        <f t="shared" si="122"/>
        <v>0</v>
      </c>
      <c r="GZ12" s="3"/>
      <c r="HA12" s="1090">
        <f>IF(NOW()&gt;=DATE(YEAR(GU$2),MONTH(GU$2)+1,DAY(GU$2)),SUMIFS(AC_SOTIEN,AC_DA,$C12,AC_THANG,GU$2,AC_KM,$E12),SUMIFS(TF_SOTIEN,TF_DA,$C12,TF_THANG,GU$2,TF_KM,$E12))/ 1000</f>
        <v>0</v>
      </c>
      <c r="HB12" s="1089" t="str">
        <f t="shared" si="123"/>
        <v/>
      </c>
      <c r="HC12" s="3"/>
      <c r="HD12" s="1090">
        <f t="shared" si="124"/>
        <v>0</v>
      </c>
      <c r="HE12" s="1091" t="str">
        <f t="shared" si="125"/>
        <v/>
      </c>
      <c r="HF12" s="1090">
        <f t="shared" si="126"/>
        <v>0</v>
      </c>
      <c r="HG12" s="1091" t="str">
        <f t="shared" si="127"/>
        <v/>
      </c>
      <c r="HH12" s="1088">
        <f t="shared" si="128"/>
        <v>0</v>
      </c>
      <c r="HI12" s="1089">
        <f t="shared" si="129"/>
        <v>0</v>
      </c>
      <c r="HJ12" s="3"/>
      <c r="HK12" s="1090">
        <f t="shared" si="130"/>
        <v>0</v>
      </c>
      <c r="HL12" s="1089">
        <f t="shared" si="131"/>
        <v>0</v>
      </c>
      <c r="HM12" s="3"/>
      <c r="HN12" s="1090">
        <f t="shared" si="132"/>
        <v>0</v>
      </c>
      <c r="HO12" s="1089" t="str">
        <f t="shared" si="133"/>
        <v/>
      </c>
      <c r="HP12" s="3"/>
      <c r="HQ12" s="1090">
        <f t="shared" si="134"/>
        <v>0</v>
      </c>
      <c r="HR12" s="1091" t="str">
        <f t="shared" si="135"/>
        <v/>
      </c>
      <c r="HS12" s="1090">
        <f t="shared" si="136"/>
        <v>0</v>
      </c>
      <c r="HT12" s="1091" t="str">
        <f t="shared" si="137"/>
        <v/>
      </c>
      <c r="HU12" s="1088">
        <f t="shared" si="138"/>
        <v>0</v>
      </c>
      <c r="HV12" s="1089">
        <f t="shared" si="139"/>
        <v>0</v>
      </c>
      <c r="HW12" s="3"/>
      <c r="HX12" s="1090">
        <f t="shared" si="140"/>
        <v>0</v>
      </c>
      <c r="HY12" s="1089">
        <f t="shared" si="141"/>
        <v>0</v>
      </c>
      <c r="HZ12" s="3"/>
      <c r="IA12" s="1090">
        <f t="shared" si="142"/>
        <v>0</v>
      </c>
      <c r="IB12" s="1089" t="str">
        <f t="shared" si="143"/>
        <v/>
      </c>
      <c r="IC12" s="3"/>
      <c r="ID12" s="1090">
        <f t="shared" si="144"/>
        <v>0</v>
      </c>
      <c r="IE12" s="1091" t="str">
        <f t="shared" si="145"/>
        <v/>
      </c>
      <c r="IF12" s="1090">
        <f t="shared" si="146"/>
        <v>0</v>
      </c>
      <c r="IG12" s="1091" t="str">
        <f t="shared" si="147"/>
        <v/>
      </c>
      <c r="IH12" s="1088">
        <f t="shared" si="148"/>
        <v>0</v>
      </c>
      <c r="II12" s="1089">
        <f t="shared" si="149"/>
        <v>0</v>
      </c>
      <c r="IJ12" s="3"/>
      <c r="IK12" s="1090">
        <f t="shared" si="150"/>
        <v>8000000</v>
      </c>
      <c r="IL12" s="1089">
        <f t="shared" si="151"/>
        <v>0.02088855735</v>
      </c>
      <c r="IM12" s="3"/>
      <c r="IN12" s="1090">
        <f t="shared" si="152"/>
        <v>7885000</v>
      </c>
      <c r="IO12" s="1089">
        <f t="shared" si="153"/>
        <v>0.2096604126</v>
      </c>
      <c r="IP12" s="3"/>
      <c r="IQ12" s="1090">
        <f t="shared" si="154"/>
        <v>7885000</v>
      </c>
      <c r="IR12" s="1091" t="str">
        <f t="shared" si="1"/>
        <v/>
      </c>
      <c r="IS12" s="1090">
        <f t="shared" si="155"/>
        <v>-115000</v>
      </c>
      <c r="IT12" s="1091">
        <f t="shared" si="2"/>
        <v>-0.014375</v>
      </c>
    </row>
    <row r="13" hidden="1" outlineLevel="1">
      <c r="A13" s="1086">
        <f t="shared" si="3"/>
        <v>6</v>
      </c>
      <c r="B13" s="1087" t="s">
        <v>2069</v>
      </c>
      <c r="C13" s="1087" t="s">
        <v>875</v>
      </c>
      <c r="D13" s="1087" t="str">
        <f>IF(C13&gt;0,VLOOKUP(C13,DM_DUAN ,2,"") ,IF(B13&gt;0,VLOOKUP(B13,DM_CDT,2,""),""))</f>
        <v>Sản phẩm Long Khánh 2</v>
      </c>
      <c r="E13" s="1087" t="s">
        <v>198</v>
      </c>
      <c r="F13" s="1087"/>
      <c r="G13" s="1086">
        <v>2.0</v>
      </c>
      <c r="H13" s="1088">
        <f>SUMIFS(BP_SOTIEN,BP_DA,$C13,BP_THANG,H$2,BP_KM,$E13)/1000</f>
        <v>0</v>
      </c>
      <c r="I13" s="1089" t="str">
        <f t="shared" si="4"/>
        <v/>
      </c>
      <c r="J13" s="3"/>
      <c r="K13" s="1090">
        <f>IF(NOW()&gt;=DATE(YEAR(H$2),MONTH(H$2)+1,DAY(H$2)),SUMIFS(TF_SOTIEN,TF_DA,$C13,TF_THANG,H$2,TF_KM,$E13)/1000, N13)</f>
        <v>0</v>
      </c>
      <c r="L13" s="1089">
        <f t="shared" si="5"/>
        <v>0</v>
      </c>
      <c r="M13" s="3"/>
      <c r="N13" s="1090">
        <f>IF(NOW()&gt;=DATE(YEAR(H$2),MONTH(H$2)+1,DAY(H$2)),SUMIFS(AC_SOTIEN,AC_DA,$C13,AC_THANG,H$2,AC_KM,$E13),SUMIFS(TF_SOTIEN,TF_DA,$C13,TF_THANG,H$2,TF_KM,$E13))/ 1000</f>
        <v>0</v>
      </c>
      <c r="O13" s="1089">
        <f t="shared" si="6"/>
        <v>0</v>
      </c>
      <c r="P13" s="3"/>
      <c r="Q13" s="1090">
        <f t="shared" si="7"/>
        <v>0</v>
      </c>
      <c r="R13" s="1091" t="str">
        <f t="shared" si="8"/>
        <v/>
      </c>
      <c r="S13" s="1090">
        <f t="shared" si="9"/>
        <v>0</v>
      </c>
      <c r="T13" s="1091" t="str">
        <f t="shared" si="10"/>
        <v/>
      </c>
      <c r="U13" s="1088">
        <f>SUMIFS(BP_SOTIEN,BP_DA,$C13,BP_THANG,U$2,BP_KM,$E13)/1000</f>
        <v>0</v>
      </c>
      <c r="V13" s="1089" t="str">
        <f t="shared" si="11"/>
        <v/>
      </c>
      <c r="W13" s="3"/>
      <c r="X13" s="1090">
        <f>IF(NOW()&gt;=DATE(YEAR(U$2),MONTH(U$2)+1,DAY(U$2)),SUMIFS(TF_SOTIEN,TF_DA,$C13,TF_THANG,U$2,TF_KM,$E13)/1000, AA13)</f>
        <v>0</v>
      </c>
      <c r="Y13" s="1089" t="str">
        <f t="shared" si="12"/>
        <v/>
      </c>
      <c r="Z13" s="3"/>
      <c r="AA13" s="1090">
        <f>IF(NOW()&gt;=DATE(YEAR(U$2),MONTH(U$2)+1,DAY(U$2)),SUMIFS(AC_SOTIEN,AC_DA,$C13,AC_THANG,U$2,AC_KM,$E13),SUMIFS(TF_SOTIEN,TF_DA,$C13,TF_THANG,U$2,TF_KM,$E13))/ 1000</f>
        <v>0</v>
      </c>
      <c r="AB13" s="1089">
        <f t="shared" si="13"/>
        <v>0</v>
      </c>
      <c r="AC13" s="3"/>
      <c r="AD13" s="1090">
        <f t="shared" si="14"/>
        <v>0</v>
      </c>
      <c r="AE13" s="1091" t="str">
        <f t="shared" si="15"/>
        <v/>
      </c>
      <c r="AF13" s="1090">
        <f t="shared" si="16"/>
        <v>0</v>
      </c>
      <c r="AG13" s="1091" t="str">
        <f t="shared" si="17"/>
        <v/>
      </c>
      <c r="AH13" s="1088">
        <f>SUMIFS(BP_SOTIEN,BP_DA,$C13,BP_THANG,AH$2,BP_KM,$E13)/1000</f>
        <v>0</v>
      </c>
      <c r="AI13" s="1089" t="str">
        <f t="shared" si="18"/>
        <v/>
      </c>
      <c r="AJ13" s="3"/>
      <c r="AK13" s="1090">
        <f>IF(NOW()&gt;=DATE(YEAR(AH$2),MONTH(AH$2)+1,DAY(AH$2)),SUMIFS(TF_SOTIEN,TF_DA,$C13,TF_THANG,AH$2,TF_KM,$E13)/1000, AN13)</f>
        <v>0</v>
      </c>
      <c r="AL13" s="1089">
        <f t="shared" si="19"/>
        <v>0</v>
      </c>
      <c r="AM13" s="3"/>
      <c r="AN13" s="1090">
        <f>IF(NOW()&gt;=DATE(YEAR(AH$2),MONTH(AH$2)+1,DAY(AH$2)),SUMIFS(AC_SOTIEN,AC_DA,$C13,AC_THANG,AH$2,AC_KM,$E13),SUMIFS(TF_SOTIEN,TF_DA,$C13,TF_THANG,AH$2,TF_KM,$E13))/ 1000</f>
        <v>0</v>
      </c>
      <c r="AO13" s="1089">
        <f t="shared" si="20"/>
        <v>0</v>
      </c>
      <c r="AP13" s="3"/>
      <c r="AQ13" s="1090">
        <f t="shared" si="21"/>
        <v>0</v>
      </c>
      <c r="AR13" s="1091" t="str">
        <f t="shared" si="22"/>
        <v/>
      </c>
      <c r="AS13" s="1090">
        <f t="shared" si="23"/>
        <v>0</v>
      </c>
      <c r="AT13" s="1091" t="str">
        <f t="shared" si="24"/>
        <v/>
      </c>
      <c r="AU13" s="1088">
        <f t="shared" si="25"/>
        <v>0</v>
      </c>
      <c r="AV13" s="1089" t="str">
        <f t="shared" si="26"/>
        <v/>
      </c>
      <c r="AW13" s="3"/>
      <c r="AX13" s="1090">
        <f t="shared" si="27"/>
        <v>0</v>
      </c>
      <c r="AY13" s="1089">
        <f t="shared" si="28"/>
        <v>0</v>
      </c>
      <c r="AZ13" s="3"/>
      <c r="BA13" s="1090">
        <f t="shared" si="29"/>
        <v>0</v>
      </c>
      <c r="BB13" s="1089">
        <f t="shared" si="30"/>
        <v>0</v>
      </c>
      <c r="BC13" s="3"/>
      <c r="BD13" s="1090">
        <f t="shared" si="31"/>
        <v>0</v>
      </c>
      <c r="BE13" s="1091" t="str">
        <f t="shared" si="32"/>
        <v/>
      </c>
      <c r="BF13" s="1090">
        <f t="shared" si="33"/>
        <v>0</v>
      </c>
      <c r="BG13" s="1091" t="str">
        <f t="shared" si="34"/>
        <v/>
      </c>
      <c r="BH13" s="1088">
        <f>SUMIFS(BP_SOTIEN,BP_DA,$C13,BP_THANG,BH$2,BP_KM,$E13)/1000</f>
        <v>0</v>
      </c>
      <c r="BI13" s="1089">
        <f t="shared" si="35"/>
        <v>0</v>
      </c>
      <c r="BJ13" s="3"/>
      <c r="BK13" s="1090">
        <f>IF(NOW()&gt;=DATE(YEAR(BH$2),MONTH(BH$2)+1,DAY(BH$2)),SUMIFS(TF_SOTIEN,TF_DA,$C13,TF_THANG,BH$2,TF_KM,$E13)/1000, BN13)</f>
        <v>0</v>
      </c>
      <c r="BL13" s="1089">
        <f t="shared" si="36"/>
        <v>0</v>
      </c>
      <c r="BM13" s="3"/>
      <c r="BN13" s="1090">
        <f>IF(NOW()&gt;=DATE(YEAR(BH$2),MONTH(BH$2)+1,DAY(BH$2)),SUMIFS(AC_SOTIEN,AC_DA,$C13,AC_THANG,BH$2,AC_KM,$E13),SUMIFS(TF_SOTIEN,TF_DA,$C13,TF_THANG,BH$2,TF_KM,$E13))/ 1000</f>
        <v>0</v>
      </c>
      <c r="BO13" s="1089">
        <f t="shared" si="37"/>
        <v>0</v>
      </c>
      <c r="BP13" s="3"/>
      <c r="BQ13" s="1090">
        <f t="shared" si="38"/>
        <v>0</v>
      </c>
      <c r="BR13" s="1091" t="str">
        <f t="shared" si="39"/>
        <v/>
      </c>
      <c r="BS13" s="1090">
        <f t="shared" si="40"/>
        <v>0</v>
      </c>
      <c r="BT13" s="1091" t="str">
        <f t="shared" si="41"/>
        <v/>
      </c>
      <c r="BU13" s="1088">
        <f>SUMIFS(BP_SOTIEN,BP_DA,$C13,BP_THANG,BU$2,BP_KM,$E13)/1000</f>
        <v>0</v>
      </c>
      <c r="BV13" s="1089">
        <f t="shared" si="42"/>
        <v>0</v>
      </c>
      <c r="BW13" s="3"/>
      <c r="BX13" s="1090">
        <f>IF(NOW()&gt;=DATE(YEAR(BU$2),MONTH(BU$2)+1,DAY(BU$2)),SUMIFS(TF_SOTIEN,TF_DA,$C13,TF_THANG,BU$2,TF_KM,$E13)/1000, CA13)</f>
        <v>0</v>
      </c>
      <c r="BY13" s="1089">
        <f t="shared" si="43"/>
        <v>0</v>
      </c>
      <c r="BZ13" s="3"/>
      <c r="CA13" s="1090">
        <f>IF(NOW()&gt;=DATE(YEAR(BU$2),MONTH(BU$2)+1,DAY(BU$2)),SUMIFS(AC_SOTIEN,AC_DA,$C13,AC_THANG,BU$2,AC_KM,$E13),SUMIFS(TF_SOTIEN,TF_DA,$C13,TF_THANG,BU$2,TF_KM,$E13))/ 1000</f>
        <v>0</v>
      </c>
      <c r="CB13" s="1089">
        <f t="shared" si="44"/>
        <v>0</v>
      </c>
      <c r="CC13" s="3"/>
      <c r="CD13" s="1090">
        <f t="shared" si="45"/>
        <v>0</v>
      </c>
      <c r="CE13" s="1091" t="str">
        <f t="shared" si="46"/>
        <v/>
      </c>
      <c r="CF13" s="1090">
        <f t="shared" si="47"/>
        <v>0</v>
      </c>
      <c r="CG13" s="1091" t="str">
        <f t="shared" si="48"/>
        <v/>
      </c>
      <c r="CH13" s="1088">
        <f>SUMIFS(BP_SOTIEN,BP_DA,$C13,BP_THANG,CH$2,BP_KM,$E13)/1000</f>
        <v>0</v>
      </c>
      <c r="CI13" s="1089">
        <f t="shared" si="49"/>
        <v>0</v>
      </c>
      <c r="CJ13" s="3"/>
      <c r="CK13" s="1090">
        <f>IF(NOW()&gt;=DATE(YEAR(CH$2),MONTH(CH$2)+1,DAY(CH$2)),SUMIFS(TF_SOTIEN,TF_DA,$C13,TF_THANG,CH$2,TF_KM,$E13)/1000, CN13)</f>
        <v>0</v>
      </c>
      <c r="CL13" s="1089" t="str">
        <f t="shared" si="50"/>
        <v/>
      </c>
      <c r="CM13" s="3"/>
      <c r="CN13" s="1090">
        <f>IF(NOW()&gt;=DATE(YEAR(CH$2),MONTH(CH$2)+1,DAY(CH$2)),SUMIFS(AC_SOTIEN,AC_DA,$C13,AC_THANG,CH$2,AC_KM,$E13),SUMIFS(TF_SOTIEN,TF_DA,$C13,TF_THANG,CH$2,TF_KM,$E13))/ 1000</f>
        <v>0</v>
      </c>
      <c r="CO13" s="1089">
        <f t="shared" si="51"/>
        <v>0</v>
      </c>
      <c r="CP13" s="3"/>
      <c r="CQ13" s="1090">
        <f t="shared" si="52"/>
        <v>0</v>
      </c>
      <c r="CR13" s="1091" t="str">
        <f t="shared" si="53"/>
        <v/>
      </c>
      <c r="CS13" s="1090">
        <f t="shared" si="54"/>
        <v>0</v>
      </c>
      <c r="CT13" s="1091" t="str">
        <f t="shared" si="55"/>
        <v/>
      </c>
      <c r="CU13" s="1088">
        <f t="shared" si="56"/>
        <v>0</v>
      </c>
      <c r="CV13" s="1089">
        <f t="shared" si="57"/>
        <v>0</v>
      </c>
      <c r="CW13" s="3"/>
      <c r="CX13" s="1090">
        <f t="shared" si="58"/>
        <v>0</v>
      </c>
      <c r="CY13" s="1089">
        <f t="shared" si="59"/>
        <v>0</v>
      </c>
      <c r="CZ13" s="3"/>
      <c r="DA13" s="1090">
        <f t="shared" si="60"/>
        <v>0</v>
      </c>
      <c r="DB13" s="1089">
        <f t="shared" si="61"/>
        <v>0</v>
      </c>
      <c r="DC13" s="3"/>
      <c r="DD13" s="1090">
        <f t="shared" si="62"/>
        <v>0</v>
      </c>
      <c r="DE13" s="1091" t="str">
        <f t="shared" si="63"/>
        <v/>
      </c>
      <c r="DF13" s="1090">
        <f t="shared" si="64"/>
        <v>0</v>
      </c>
      <c r="DG13" s="1091" t="str">
        <f t="shared" si="65"/>
        <v/>
      </c>
      <c r="DH13" s="1088">
        <f t="shared" si="66"/>
        <v>0</v>
      </c>
      <c r="DI13" s="1089">
        <f t="shared" si="67"/>
        <v>0</v>
      </c>
      <c r="DJ13" s="3"/>
      <c r="DK13" s="1090">
        <f t="shared" si="68"/>
        <v>0</v>
      </c>
      <c r="DL13" s="1089">
        <f t="shared" si="69"/>
        <v>0</v>
      </c>
      <c r="DM13" s="3"/>
      <c r="DN13" s="1090">
        <f t="shared" si="70"/>
        <v>0</v>
      </c>
      <c r="DO13" s="1089">
        <f t="shared" si="71"/>
        <v>0</v>
      </c>
      <c r="DP13" s="3"/>
      <c r="DQ13" s="1090">
        <f t="shared" si="72"/>
        <v>0</v>
      </c>
      <c r="DR13" s="1091" t="str">
        <f t="shared" si="73"/>
        <v/>
      </c>
      <c r="DS13" s="1090">
        <f t="shared" si="74"/>
        <v>0</v>
      </c>
      <c r="DT13" s="1091" t="str">
        <f t="shared" si="75"/>
        <v/>
      </c>
      <c r="DU13" s="1088">
        <f>SUMIFS(BP_SOTIEN,BP_DA,$C13,BP_THANG,DU$2,BP_KM,$E13)/1000</f>
        <v>0</v>
      </c>
      <c r="DV13" s="1089">
        <f t="shared" si="76"/>
        <v>0</v>
      </c>
      <c r="DW13" s="3"/>
      <c r="DX13" s="1090">
        <f>IF(NOW()&gt;=DATE(YEAR(DU$2),MONTH(DU$2)+1,DAY(DU$2)),SUMIFS(TF_SOTIEN,TF_DA,$C13,TF_THANG,DU$2,TF_KM,$E13)/1000, EA13)</f>
        <v>0</v>
      </c>
      <c r="DY13" s="1089">
        <f t="shared" si="77"/>
        <v>0</v>
      </c>
      <c r="DZ13" s="3"/>
      <c r="EA13" s="1090">
        <f>IF(NOW()&gt;=DATE(YEAR(DU$2),MONTH(DU$2)+1,DAY(DU$2)),SUMIFS(AC_SOTIEN,AC_DA,$C13,AC_THANG,DU$2,AC_KM,$E13),SUMIFS(TF_SOTIEN,TF_DA,$C13,TF_THANG,DU$2,TF_KM,$E13))/ 1000</f>
        <v>0</v>
      </c>
      <c r="EB13" s="1089" t="str">
        <f t="shared" si="78"/>
        <v/>
      </c>
      <c r="EC13" s="3"/>
      <c r="ED13" s="1090">
        <f t="shared" si="79"/>
        <v>0</v>
      </c>
      <c r="EE13" s="1091" t="str">
        <f t="shared" si="80"/>
        <v/>
      </c>
      <c r="EF13" s="1090">
        <f t="shared" si="81"/>
        <v>0</v>
      </c>
      <c r="EG13" s="1091" t="str">
        <f t="shared" si="82"/>
        <v/>
      </c>
      <c r="EH13" s="1088">
        <f>SUMIFS(BP_SOTIEN,BP_DA,$C13,BP_THANG,EH$2,BP_KM,$E13)/1000</f>
        <v>0</v>
      </c>
      <c r="EI13" s="1089">
        <f t="shared" si="83"/>
        <v>0</v>
      </c>
      <c r="EJ13" s="3"/>
      <c r="EK13" s="1090">
        <f>IF(NOW()&gt;=DATE(YEAR(EH$2),MONTH(EH$2)+1,DAY(EH$2)),SUMIFS(TF_SOTIEN,TF_DA,$C13,TF_THANG,EH$2,TF_KM,$E13)/1000, EN13)</f>
        <v>0</v>
      </c>
      <c r="EL13" s="1089">
        <f t="shared" si="84"/>
        <v>0</v>
      </c>
      <c r="EM13" s="3"/>
      <c r="EN13" s="1090">
        <f>IF(NOW()&gt;=DATE(YEAR(EH$2),MONTH(EH$2)+1,DAY(EH$2)),SUMIFS(AC_SOTIEN,AC_DA,$C13,AC_THANG,EH$2,AC_KM,$E13),SUMIFS(TF_SOTIEN,TF_DA,$C13,TF_THANG,EH$2,TF_KM,$E13))/ 1000</f>
        <v>0</v>
      </c>
      <c r="EO13" s="1089" t="str">
        <f t="shared" si="85"/>
        <v/>
      </c>
      <c r="EP13" s="3"/>
      <c r="EQ13" s="1090">
        <f t="shared" si="86"/>
        <v>0</v>
      </c>
      <c r="ER13" s="1091" t="str">
        <f t="shared" si="87"/>
        <v/>
      </c>
      <c r="ES13" s="1090">
        <f t="shared" si="88"/>
        <v>0</v>
      </c>
      <c r="ET13" s="1091" t="str">
        <f t="shared" si="89"/>
        <v/>
      </c>
      <c r="EU13" s="1088">
        <f>SUMIFS(BP_SOTIEN,BP_DA,$C13,BP_THANG,EU$2,BP_KM,$E13)/1000</f>
        <v>0</v>
      </c>
      <c r="EV13" s="1089">
        <f t="shared" si="90"/>
        <v>0</v>
      </c>
      <c r="EW13" s="3"/>
      <c r="EX13" s="1090">
        <f>IF(NOW()&gt;=DATE(YEAR(EU$2),MONTH(EU$2)+1,DAY(EU$2)),SUMIFS(TF_SOTIEN,TF_DA,$C13,TF_THANG,EU$2,TF_KM,$E13)/1000, FA13)</f>
        <v>0</v>
      </c>
      <c r="EY13" s="1089">
        <f t="shared" si="91"/>
        <v>0</v>
      </c>
      <c r="EZ13" s="3"/>
      <c r="FA13" s="1090">
        <f>IF(NOW()&gt;=DATE(YEAR(EU$2),MONTH(EU$2)+1,DAY(EU$2)),SUMIFS(AC_SOTIEN,AC_DA,$C13,AC_THANG,EU$2,AC_KM,$E13),SUMIFS(TF_SOTIEN,TF_DA,$C13,TF_THANG,EU$2,TF_KM,$E13))/ 1000</f>
        <v>0</v>
      </c>
      <c r="FB13" s="1089" t="str">
        <f t="shared" si="92"/>
        <v/>
      </c>
      <c r="FC13" s="3"/>
      <c r="FD13" s="1090">
        <f t="shared" si="93"/>
        <v>0</v>
      </c>
      <c r="FE13" s="1091" t="str">
        <f t="shared" si="94"/>
        <v/>
      </c>
      <c r="FF13" s="1090">
        <f t="shared" si="95"/>
        <v>0</v>
      </c>
      <c r="FG13" s="1091" t="str">
        <f t="shared" si="96"/>
        <v/>
      </c>
      <c r="FH13" s="1088">
        <f t="shared" si="97"/>
        <v>0</v>
      </c>
      <c r="FI13" s="1089">
        <f t="shared" si="98"/>
        <v>0</v>
      </c>
      <c r="FJ13" s="3"/>
      <c r="FK13" s="1090">
        <f t="shared" si="99"/>
        <v>0</v>
      </c>
      <c r="FL13" s="1089">
        <f t="shared" si="100"/>
        <v>0</v>
      </c>
      <c r="FM13" s="3"/>
      <c r="FN13" s="1090">
        <f t="shared" si="101"/>
        <v>0</v>
      </c>
      <c r="FO13" s="1089" t="str">
        <f t="shared" si="102"/>
        <v/>
      </c>
      <c r="FP13" s="3"/>
      <c r="FQ13" s="1090">
        <f t="shared" si="103"/>
        <v>0</v>
      </c>
      <c r="FR13" s="1091" t="str">
        <f t="shared" si="104"/>
        <v/>
      </c>
      <c r="FS13" s="1090">
        <f t="shared" si="105"/>
        <v>0</v>
      </c>
      <c r="FT13" s="1091" t="str">
        <f t="shared" si="106"/>
        <v/>
      </c>
      <c r="FU13" s="1088">
        <f>SUMIFS(BP_SOTIEN,BP_DA,$C13,BP_THANG,FU$2,BP_KM,$E13)/1000</f>
        <v>0</v>
      </c>
      <c r="FV13" s="1089">
        <f t="shared" si="107"/>
        <v>0</v>
      </c>
      <c r="FW13" s="3"/>
      <c r="FX13" s="1090">
        <f>IF(NOW()&gt;=DATE(YEAR(FU$2),MONTH(FU$2)+1,DAY(FU$2)),SUMIFS(TF_SOTIEN,TF_DA,$C13,TF_THANG,FU$2,TF_KM,$E13)/1000, GA13)</f>
        <v>0</v>
      </c>
      <c r="FY13" s="1089">
        <f t="shared" si="108"/>
        <v>0</v>
      </c>
      <c r="FZ13" s="3"/>
      <c r="GA13" s="1090">
        <f>IF(NOW()&gt;=DATE(YEAR(FU$2),MONTH(FU$2)+1,DAY(FU$2)),SUMIFS(AC_SOTIEN,AC_DA,$C13,AC_THANG,FU$2,AC_KM,$E13),SUMIFS(TF_SOTIEN,TF_DA,$C13,TF_THANG,FU$2,TF_KM,$E13))/ 1000</f>
        <v>0</v>
      </c>
      <c r="GB13" s="1089" t="str">
        <f t="shared" si="109"/>
        <v/>
      </c>
      <c r="GC13" s="3"/>
      <c r="GD13" s="1090">
        <f t="shared" si="110"/>
        <v>0</v>
      </c>
      <c r="GE13" s="1091" t="str">
        <f t="shared" si="111"/>
        <v/>
      </c>
      <c r="GF13" s="1090">
        <f t="shared" si="112"/>
        <v>0</v>
      </c>
      <c r="GG13" s="1091" t="str">
        <f t="shared" si="113"/>
        <v/>
      </c>
      <c r="GH13" s="1088">
        <f>SUMIFS(BP_SOTIEN,BP_DA,$C13,BP_THANG,GH$2,BP_KM,$E13)/1000</f>
        <v>0</v>
      </c>
      <c r="GI13" s="1089">
        <f t="shared" si="114"/>
        <v>0</v>
      </c>
      <c r="GJ13" s="3"/>
      <c r="GK13" s="1090">
        <f>IF(NOW()&gt;=DATE(YEAR(GH$2),MONTH(GH$2)+1,DAY(GH$2)),SUMIFS(TF_SOTIEN,TF_DA,$C13,TF_THANG,GH$2,TF_KM,$E13)/1000, GN13)</f>
        <v>0</v>
      </c>
      <c r="GL13" s="1089">
        <f t="shared" si="115"/>
        <v>0</v>
      </c>
      <c r="GM13" s="3"/>
      <c r="GN13" s="1090">
        <f>IF(NOW()&gt;=DATE(YEAR(GH$2),MONTH(GH$2)+1,DAY(GH$2)),SUMIFS(AC_SOTIEN,AC_DA,$C13,AC_THANG,GH$2,AC_KM,$E13),SUMIFS(TF_SOTIEN,TF_DA,$C13,TF_THANG,GH$2,TF_KM,$E13))/ 1000</f>
        <v>0</v>
      </c>
      <c r="GO13" s="1089" t="str">
        <f t="shared" si="116"/>
        <v/>
      </c>
      <c r="GP13" s="3"/>
      <c r="GQ13" s="1090">
        <f t="shared" si="117"/>
        <v>0</v>
      </c>
      <c r="GR13" s="1091" t="str">
        <f t="shared" si="118"/>
        <v/>
      </c>
      <c r="GS13" s="1090">
        <f t="shared" si="119"/>
        <v>0</v>
      </c>
      <c r="GT13" s="1091" t="str">
        <f t="shared" si="120"/>
        <v/>
      </c>
      <c r="GU13" s="1088">
        <f>SUMIFS(BP_SOTIEN,BP_DA,$C13,BP_THANG,GU$2,BP_KM,$E13)/1000</f>
        <v>0</v>
      </c>
      <c r="GV13" s="1089">
        <f t="shared" si="121"/>
        <v>0</v>
      </c>
      <c r="GW13" s="3"/>
      <c r="GX13" s="1090">
        <f>IF(NOW()&gt;=DATE(YEAR(GU$2),MONTH(GU$2)+1,DAY(GU$2)),SUMIFS(TF_SOTIEN,TF_DA,$C13,TF_THANG,GU$2,TF_KM,$E13)/1000, HA13)</f>
        <v>0</v>
      </c>
      <c r="GY13" s="1089">
        <f t="shared" si="122"/>
        <v>0</v>
      </c>
      <c r="GZ13" s="3"/>
      <c r="HA13" s="1090">
        <f>IF(NOW()&gt;=DATE(YEAR(GU$2),MONTH(GU$2)+1,DAY(GU$2)),SUMIFS(AC_SOTIEN,AC_DA,$C13,AC_THANG,GU$2,AC_KM,$E13),SUMIFS(TF_SOTIEN,TF_DA,$C13,TF_THANG,GU$2,TF_KM,$E13))/ 1000</f>
        <v>0</v>
      </c>
      <c r="HB13" s="1089" t="str">
        <f t="shared" si="123"/>
        <v/>
      </c>
      <c r="HC13" s="3"/>
      <c r="HD13" s="1090">
        <f t="shared" si="124"/>
        <v>0</v>
      </c>
      <c r="HE13" s="1091" t="str">
        <f t="shared" si="125"/>
        <v/>
      </c>
      <c r="HF13" s="1090">
        <f t="shared" si="126"/>
        <v>0</v>
      </c>
      <c r="HG13" s="1091" t="str">
        <f t="shared" si="127"/>
        <v/>
      </c>
      <c r="HH13" s="1088">
        <f t="shared" si="128"/>
        <v>0</v>
      </c>
      <c r="HI13" s="1089">
        <f t="shared" si="129"/>
        <v>0</v>
      </c>
      <c r="HJ13" s="3"/>
      <c r="HK13" s="1090">
        <f t="shared" si="130"/>
        <v>0</v>
      </c>
      <c r="HL13" s="1089">
        <f t="shared" si="131"/>
        <v>0</v>
      </c>
      <c r="HM13" s="3"/>
      <c r="HN13" s="1090">
        <f t="shared" si="132"/>
        <v>0</v>
      </c>
      <c r="HO13" s="1089" t="str">
        <f t="shared" si="133"/>
        <v/>
      </c>
      <c r="HP13" s="3"/>
      <c r="HQ13" s="1090">
        <f t="shared" si="134"/>
        <v>0</v>
      </c>
      <c r="HR13" s="1091" t="str">
        <f t="shared" si="135"/>
        <v/>
      </c>
      <c r="HS13" s="1090">
        <f t="shared" si="136"/>
        <v>0</v>
      </c>
      <c r="HT13" s="1091" t="str">
        <f t="shared" si="137"/>
        <v/>
      </c>
      <c r="HU13" s="1088">
        <f t="shared" si="138"/>
        <v>0</v>
      </c>
      <c r="HV13" s="1089">
        <f t="shared" si="139"/>
        <v>0</v>
      </c>
      <c r="HW13" s="3"/>
      <c r="HX13" s="1090">
        <f t="shared" si="140"/>
        <v>0</v>
      </c>
      <c r="HY13" s="1089">
        <f t="shared" si="141"/>
        <v>0</v>
      </c>
      <c r="HZ13" s="3"/>
      <c r="IA13" s="1090">
        <f t="shared" si="142"/>
        <v>0</v>
      </c>
      <c r="IB13" s="1089" t="str">
        <f t="shared" si="143"/>
        <v/>
      </c>
      <c r="IC13" s="3"/>
      <c r="ID13" s="1090">
        <f t="shared" si="144"/>
        <v>0</v>
      </c>
      <c r="IE13" s="1091" t="str">
        <f t="shared" si="145"/>
        <v/>
      </c>
      <c r="IF13" s="1090">
        <f t="shared" si="146"/>
        <v>0</v>
      </c>
      <c r="IG13" s="1091" t="str">
        <f t="shared" si="147"/>
        <v/>
      </c>
      <c r="IH13" s="1088">
        <f t="shared" si="148"/>
        <v>0</v>
      </c>
      <c r="II13" s="1089">
        <f t="shared" si="149"/>
        <v>0</v>
      </c>
      <c r="IJ13" s="3"/>
      <c r="IK13" s="1090">
        <f t="shared" si="150"/>
        <v>0</v>
      </c>
      <c r="IL13" s="1089">
        <f t="shared" si="151"/>
        <v>0</v>
      </c>
      <c r="IM13" s="3"/>
      <c r="IN13" s="1090">
        <f t="shared" si="152"/>
        <v>0</v>
      </c>
      <c r="IO13" s="1089">
        <f t="shared" si="153"/>
        <v>0</v>
      </c>
      <c r="IP13" s="3"/>
      <c r="IQ13" s="1090">
        <f t="shared" si="154"/>
        <v>0</v>
      </c>
      <c r="IR13" s="1091" t="str">
        <f t="shared" si="1"/>
        <v/>
      </c>
      <c r="IS13" s="1090">
        <f t="shared" si="155"/>
        <v>0</v>
      </c>
      <c r="IT13" s="1091" t="str">
        <f t="shared" si="2"/>
        <v/>
      </c>
    </row>
    <row r="14" hidden="1" outlineLevel="1">
      <c r="A14" s="1086">
        <f t="shared" si="3"/>
        <v>7</v>
      </c>
      <c r="B14" s="1087" t="s">
        <v>2069</v>
      </c>
      <c r="C14" s="1087" t="s">
        <v>636</v>
      </c>
      <c r="D14" s="1087" t="str">
        <f>IF(C14&gt;0,VLOOKUP(C14,DM_DUAN ,2,"") ,IF(B14&gt;0,VLOOKUP(B14,DM_CDT,2,""),""))</f>
        <v>Sản phẩm Long Khánh 3</v>
      </c>
      <c r="E14" s="1087" t="s">
        <v>198</v>
      </c>
      <c r="F14" s="1087"/>
      <c r="G14" s="1086">
        <v>2.0</v>
      </c>
      <c r="H14" s="1088">
        <f>SUMIFS(BP_SOTIEN,BP_DA,$C14,BP_THANG,H$2,BP_KM,$E14)/1000</f>
        <v>0</v>
      </c>
      <c r="I14" s="1089" t="str">
        <f t="shared" si="4"/>
        <v/>
      </c>
      <c r="J14" s="3"/>
      <c r="K14" s="1090">
        <f>IF(NOW()&gt;=DATE(YEAR(H$2),MONTH(H$2)+1,DAY(H$2)),SUMIFS(TF_SOTIEN,TF_DA,$C14,TF_THANG,H$2,TF_KM,$E14)/1000, N14)</f>
        <v>0</v>
      </c>
      <c r="L14" s="1089">
        <f t="shared" si="5"/>
        <v>0</v>
      </c>
      <c r="M14" s="3"/>
      <c r="N14" s="1090">
        <f>IF(NOW()&gt;=DATE(YEAR(H$2),MONTH(H$2)+1,DAY(H$2)),SUMIFS(AC_SOTIEN,AC_DA,$C14,AC_THANG,H$2,AC_KM,$E14),SUMIFS(TF_SOTIEN,TF_DA,$C14,TF_THANG,H$2,TF_KM,$E14))/ 1000</f>
        <v>0</v>
      </c>
      <c r="O14" s="1089">
        <f t="shared" si="6"/>
        <v>0</v>
      </c>
      <c r="P14" s="3"/>
      <c r="Q14" s="1090">
        <f t="shared" si="7"/>
        <v>0</v>
      </c>
      <c r="R14" s="1091" t="str">
        <f t="shared" si="8"/>
        <v/>
      </c>
      <c r="S14" s="1090">
        <f t="shared" si="9"/>
        <v>0</v>
      </c>
      <c r="T14" s="1091" t="str">
        <f t="shared" si="10"/>
        <v/>
      </c>
      <c r="U14" s="1088">
        <f>SUMIFS(BP_SOTIEN,BP_DA,$C14,BP_THANG,U$2,BP_KM,$E14)/1000</f>
        <v>0</v>
      </c>
      <c r="V14" s="1089" t="str">
        <f t="shared" si="11"/>
        <v/>
      </c>
      <c r="W14" s="3"/>
      <c r="X14" s="1090">
        <f>IF(NOW()&gt;=DATE(YEAR(U$2),MONTH(U$2)+1,DAY(U$2)),SUMIFS(TF_SOTIEN,TF_DA,$C14,TF_THANG,U$2,TF_KM,$E14)/1000, AA14)</f>
        <v>0</v>
      </c>
      <c r="Y14" s="1089" t="str">
        <f t="shared" si="12"/>
        <v/>
      </c>
      <c r="Z14" s="3"/>
      <c r="AA14" s="1090">
        <f>IF(NOW()&gt;=DATE(YEAR(U$2),MONTH(U$2)+1,DAY(U$2)),SUMIFS(AC_SOTIEN,AC_DA,$C14,AC_THANG,U$2,AC_KM,$E14),SUMIFS(TF_SOTIEN,TF_DA,$C14,TF_THANG,U$2,TF_KM,$E14))/ 1000</f>
        <v>0</v>
      </c>
      <c r="AB14" s="1089">
        <f t="shared" si="13"/>
        <v>0</v>
      </c>
      <c r="AC14" s="3"/>
      <c r="AD14" s="1090">
        <f t="shared" si="14"/>
        <v>0</v>
      </c>
      <c r="AE14" s="1091" t="str">
        <f t="shared" si="15"/>
        <v/>
      </c>
      <c r="AF14" s="1090">
        <f t="shared" si="16"/>
        <v>0</v>
      </c>
      <c r="AG14" s="1091" t="str">
        <f t="shared" si="17"/>
        <v/>
      </c>
      <c r="AH14" s="1088">
        <f>SUMIFS(BP_SOTIEN,BP_DA,$C14,BP_THANG,AH$2,BP_KM,$E14)/1000</f>
        <v>0</v>
      </c>
      <c r="AI14" s="1089" t="str">
        <f t="shared" si="18"/>
        <v/>
      </c>
      <c r="AJ14" s="3"/>
      <c r="AK14" s="1090">
        <f>IF(NOW()&gt;=DATE(YEAR(AH$2),MONTH(AH$2)+1,DAY(AH$2)),SUMIFS(TF_SOTIEN,TF_DA,$C14,TF_THANG,AH$2,TF_KM,$E14)/1000, AN14)</f>
        <v>0</v>
      </c>
      <c r="AL14" s="1089">
        <f t="shared" si="19"/>
        <v>0</v>
      </c>
      <c r="AM14" s="3"/>
      <c r="AN14" s="1090">
        <f>IF(NOW()&gt;=DATE(YEAR(AH$2),MONTH(AH$2)+1,DAY(AH$2)),SUMIFS(AC_SOTIEN,AC_DA,$C14,AC_THANG,AH$2,AC_KM,$E14),SUMIFS(TF_SOTIEN,TF_DA,$C14,TF_THANG,AH$2,TF_KM,$E14))/ 1000</f>
        <v>0</v>
      </c>
      <c r="AO14" s="1089">
        <f t="shared" si="20"/>
        <v>0</v>
      </c>
      <c r="AP14" s="3"/>
      <c r="AQ14" s="1090">
        <f t="shared" si="21"/>
        <v>0</v>
      </c>
      <c r="AR14" s="1091" t="str">
        <f t="shared" si="22"/>
        <v/>
      </c>
      <c r="AS14" s="1090">
        <f t="shared" si="23"/>
        <v>0</v>
      </c>
      <c r="AT14" s="1091" t="str">
        <f t="shared" si="24"/>
        <v/>
      </c>
      <c r="AU14" s="1088">
        <f t="shared" si="25"/>
        <v>0</v>
      </c>
      <c r="AV14" s="1089" t="str">
        <f t="shared" si="26"/>
        <v/>
      </c>
      <c r="AW14" s="3"/>
      <c r="AX14" s="1090">
        <f t="shared" si="27"/>
        <v>0</v>
      </c>
      <c r="AY14" s="1089">
        <f t="shared" si="28"/>
        <v>0</v>
      </c>
      <c r="AZ14" s="3"/>
      <c r="BA14" s="1090">
        <f t="shared" si="29"/>
        <v>0</v>
      </c>
      <c r="BB14" s="1089">
        <f t="shared" si="30"/>
        <v>0</v>
      </c>
      <c r="BC14" s="3"/>
      <c r="BD14" s="1090">
        <f t="shared" si="31"/>
        <v>0</v>
      </c>
      <c r="BE14" s="1091" t="str">
        <f t="shared" si="32"/>
        <v/>
      </c>
      <c r="BF14" s="1090">
        <f t="shared" si="33"/>
        <v>0</v>
      </c>
      <c r="BG14" s="1091" t="str">
        <f t="shared" si="34"/>
        <v/>
      </c>
      <c r="BH14" s="1088">
        <f>SUMIFS(BP_SOTIEN,BP_DA,$C14,BP_THANG,BH$2,BP_KM,$E14)/1000</f>
        <v>0</v>
      </c>
      <c r="BI14" s="1089">
        <f t="shared" si="35"/>
        <v>0</v>
      </c>
      <c r="BJ14" s="3"/>
      <c r="BK14" s="1090">
        <f>IF(NOW()&gt;=DATE(YEAR(BH$2),MONTH(BH$2)+1,DAY(BH$2)),SUMIFS(TF_SOTIEN,TF_DA,$C14,TF_THANG,BH$2,TF_KM,$E14)/1000, BN14)</f>
        <v>2000000</v>
      </c>
      <c r="BL14" s="1089">
        <f t="shared" si="36"/>
        <v>0.1</v>
      </c>
      <c r="BM14" s="3"/>
      <c r="BN14" s="1090">
        <f>IF(NOW()&gt;=DATE(YEAR(BH$2),MONTH(BH$2)+1,DAY(BH$2)),SUMIFS(AC_SOTIEN,AC_DA,$C14,AC_THANG,BH$2,AC_KM,$E14),SUMIFS(TF_SOTIEN,TF_DA,$C14,TF_THANG,BH$2,TF_KM,$E14))/ 1000</f>
        <v>2244000</v>
      </c>
      <c r="BO14" s="1089">
        <f t="shared" si="37"/>
        <v>0.12348213</v>
      </c>
      <c r="BP14" s="3"/>
      <c r="BQ14" s="1090">
        <f t="shared" si="38"/>
        <v>2244000</v>
      </c>
      <c r="BR14" s="1091" t="str">
        <f t="shared" si="39"/>
        <v/>
      </c>
      <c r="BS14" s="1090">
        <f t="shared" si="40"/>
        <v>244000</v>
      </c>
      <c r="BT14" s="1091">
        <f t="shared" si="41"/>
        <v>0.122</v>
      </c>
      <c r="BU14" s="1088">
        <f>SUMIFS(BP_SOTIEN,BP_DA,$C14,BP_THANG,BU$2,BP_KM,$E14)/1000</f>
        <v>0</v>
      </c>
      <c r="BV14" s="1089">
        <f t="shared" si="42"/>
        <v>0</v>
      </c>
      <c r="BW14" s="3"/>
      <c r="BX14" s="1090">
        <f>IF(NOW()&gt;=DATE(YEAR(BU$2),MONTH(BU$2)+1,DAY(BU$2)),SUMIFS(TF_SOTIEN,TF_DA,$C14,TF_THANG,BU$2,TF_KM,$E14)/1000, CA14)</f>
        <v>0</v>
      </c>
      <c r="BY14" s="1089">
        <f t="shared" si="43"/>
        <v>0</v>
      </c>
      <c r="BZ14" s="3"/>
      <c r="CA14" s="1090">
        <f>IF(NOW()&gt;=DATE(YEAR(BU$2),MONTH(BU$2)+1,DAY(BU$2)),SUMIFS(AC_SOTIEN,AC_DA,$C14,AC_THANG,BU$2,AC_KM,$E14),SUMIFS(TF_SOTIEN,TF_DA,$C14,TF_THANG,BU$2,TF_KM,$E14))/ 1000</f>
        <v>0</v>
      </c>
      <c r="CB14" s="1089">
        <f t="shared" si="44"/>
        <v>0</v>
      </c>
      <c r="CC14" s="3"/>
      <c r="CD14" s="1090">
        <f t="shared" si="45"/>
        <v>0</v>
      </c>
      <c r="CE14" s="1091" t="str">
        <f t="shared" si="46"/>
        <v/>
      </c>
      <c r="CF14" s="1090">
        <f t="shared" si="47"/>
        <v>0</v>
      </c>
      <c r="CG14" s="1091" t="str">
        <f t="shared" si="48"/>
        <v/>
      </c>
      <c r="CH14" s="1088">
        <f>SUMIFS(BP_SOTIEN,BP_DA,$C14,BP_THANG,CH$2,BP_KM,$E14)/1000</f>
        <v>0</v>
      </c>
      <c r="CI14" s="1089">
        <f t="shared" si="49"/>
        <v>0</v>
      </c>
      <c r="CJ14" s="3"/>
      <c r="CK14" s="1090">
        <f>IF(NOW()&gt;=DATE(YEAR(CH$2),MONTH(CH$2)+1,DAY(CH$2)),SUMIFS(TF_SOTIEN,TF_DA,$C14,TF_THANG,CH$2,TF_KM,$E14)/1000, CN14)</f>
        <v>0</v>
      </c>
      <c r="CL14" s="1089" t="str">
        <f t="shared" si="50"/>
        <v/>
      </c>
      <c r="CM14" s="3"/>
      <c r="CN14" s="1090">
        <f>IF(NOW()&gt;=DATE(YEAR(CH$2),MONTH(CH$2)+1,DAY(CH$2)),SUMIFS(AC_SOTIEN,AC_DA,$C14,AC_THANG,CH$2,AC_KM,$E14),SUMIFS(TF_SOTIEN,TF_DA,$C14,TF_THANG,CH$2,TF_KM,$E14))/ 1000</f>
        <v>0</v>
      </c>
      <c r="CO14" s="1089">
        <f t="shared" si="51"/>
        <v>0</v>
      </c>
      <c r="CP14" s="3"/>
      <c r="CQ14" s="1090">
        <f t="shared" si="52"/>
        <v>0</v>
      </c>
      <c r="CR14" s="1091" t="str">
        <f t="shared" si="53"/>
        <v/>
      </c>
      <c r="CS14" s="1090">
        <f t="shared" si="54"/>
        <v>0</v>
      </c>
      <c r="CT14" s="1091" t="str">
        <f t="shared" si="55"/>
        <v/>
      </c>
      <c r="CU14" s="1088">
        <f t="shared" si="56"/>
        <v>0</v>
      </c>
      <c r="CV14" s="1089">
        <f t="shared" si="57"/>
        <v>0</v>
      </c>
      <c r="CW14" s="3"/>
      <c r="CX14" s="1090">
        <f t="shared" si="58"/>
        <v>2000000</v>
      </c>
      <c r="CY14" s="1089">
        <f t="shared" si="59"/>
        <v>0.06252969379</v>
      </c>
      <c r="CZ14" s="3"/>
      <c r="DA14" s="1090">
        <f t="shared" si="60"/>
        <v>2244000</v>
      </c>
      <c r="DB14" s="1089">
        <f t="shared" si="61"/>
        <v>0.09649965146</v>
      </c>
      <c r="DC14" s="3"/>
      <c r="DD14" s="1090">
        <f t="shared" si="62"/>
        <v>2244000</v>
      </c>
      <c r="DE14" s="1091" t="str">
        <f t="shared" si="63"/>
        <v/>
      </c>
      <c r="DF14" s="1090">
        <f t="shared" si="64"/>
        <v>244000</v>
      </c>
      <c r="DG14" s="1091">
        <f t="shared" si="65"/>
        <v>0.122</v>
      </c>
      <c r="DH14" s="1088">
        <f t="shared" si="66"/>
        <v>0</v>
      </c>
      <c r="DI14" s="1089">
        <f t="shared" si="67"/>
        <v>0</v>
      </c>
      <c r="DJ14" s="3"/>
      <c r="DK14" s="1090">
        <f t="shared" si="68"/>
        <v>2000000</v>
      </c>
      <c r="DL14" s="1089">
        <f t="shared" si="69"/>
        <v>0.03175369094</v>
      </c>
      <c r="DM14" s="3"/>
      <c r="DN14" s="1090">
        <f t="shared" si="70"/>
        <v>2244000</v>
      </c>
      <c r="DO14" s="1089">
        <f t="shared" si="71"/>
        <v>0.05966746556</v>
      </c>
      <c r="DP14" s="3"/>
      <c r="DQ14" s="1090">
        <f t="shared" si="72"/>
        <v>2244000</v>
      </c>
      <c r="DR14" s="1091" t="str">
        <f t="shared" si="73"/>
        <v/>
      </c>
      <c r="DS14" s="1090">
        <f t="shared" si="74"/>
        <v>244000</v>
      </c>
      <c r="DT14" s="1091">
        <f t="shared" si="75"/>
        <v>0.122</v>
      </c>
      <c r="DU14" s="1088">
        <f>SUMIFS(BP_SOTIEN,BP_DA,$C14,BP_THANG,DU$2,BP_KM,$E14)/1000</f>
        <v>0</v>
      </c>
      <c r="DV14" s="1089">
        <f t="shared" si="76"/>
        <v>0</v>
      </c>
      <c r="DW14" s="3"/>
      <c r="DX14" s="1090">
        <f>IF(NOW()&gt;=DATE(YEAR(DU$2),MONTH(DU$2)+1,DAY(DU$2)),SUMIFS(TF_SOTIEN,TF_DA,$C14,TF_THANG,DU$2,TF_KM,$E14)/1000, EA14)</f>
        <v>0</v>
      </c>
      <c r="DY14" s="1089">
        <f t="shared" si="77"/>
        <v>0</v>
      </c>
      <c r="DZ14" s="3"/>
      <c r="EA14" s="1090">
        <f>IF(NOW()&gt;=DATE(YEAR(DU$2),MONTH(DU$2)+1,DAY(DU$2)),SUMIFS(AC_SOTIEN,AC_DA,$C14,AC_THANG,DU$2,AC_KM,$E14),SUMIFS(TF_SOTIEN,TF_DA,$C14,TF_THANG,DU$2,TF_KM,$E14))/ 1000</f>
        <v>0</v>
      </c>
      <c r="EB14" s="1089" t="str">
        <f t="shared" si="78"/>
        <v/>
      </c>
      <c r="EC14" s="3"/>
      <c r="ED14" s="1090">
        <f t="shared" si="79"/>
        <v>0</v>
      </c>
      <c r="EE14" s="1091" t="str">
        <f t="shared" si="80"/>
        <v/>
      </c>
      <c r="EF14" s="1090">
        <f t="shared" si="81"/>
        <v>0</v>
      </c>
      <c r="EG14" s="1091" t="str">
        <f t="shared" si="82"/>
        <v/>
      </c>
      <c r="EH14" s="1088">
        <f>SUMIFS(BP_SOTIEN,BP_DA,$C14,BP_THANG,EH$2,BP_KM,$E14)/1000</f>
        <v>0</v>
      </c>
      <c r="EI14" s="1089">
        <f t="shared" si="83"/>
        <v>0</v>
      </c>
      <c r="EJ14" s="3"/>
      <c r="EK14" s="1090">
        <f>IF(NOW()&gt;=DATE(YEAR(EH$2),MONTH(EH$2)+1,DAY(EH$2)),SUMIFS(TF_SOTIEN,TF_DA,$C14,TF_THANG,EH$2,TF_KM,$E14)/1000, EN14)</f>
        <v>0</v>
      </c>
      <c r="EL14" s="1089">
        <f t="shared" si="84"/>
        <v>0</v>
      </c>
      <c r="EM14" s="3"/>
      <c r="EN14" s="1090">
        <f>IF(NOW()&gt;=DATE(YEAR(EH$2),MONTH(EH$2)+1,DAY(EH$2)),SUMIFS(AC_SOTIEN,AC_DA,$C14,AC_THANG,EH$2,AC_KM,$E14),SUMIFS(TF_SOTIEN,TF_DA,$C14,TF_THANG,EH$2,TF_KM,$E14))/ 1000</f>
        <v>0</v>
      </c>
      <c r="EO14" s="1089" t="str">
        <f t="shared" si="85"/>
        <v/>
      </c>
      <c r="EP14" s="3"/>
      <c r="EQ14" s="1090">
        <f t="shared" si="86"/>
        <v>0</v>
      </c>
      <c r="ER14" s="1091" t="str">
        <f t="shared" si="87"/>
        <v/>
      </c>
      <c r="ES14" s="1090">
        <f t="shared" si="88"/>
        <v>0</v>
      </c>
      <c r="ET14" s="1091" t="str">
        <f t="shared" si="89"/>
        <v/>
      </c>
      <c r="EU14" s="1088">
        <f>SUMIFS(BP_SOTIEN,BP_DA,$C14,BP_THANG,EU$2,BP_KM,$E14)/1000</f>
        <v>0</v>
      </c>
      <c r="EV14" s="1089">
        <f t="shared" si="90"/>
        <v>0</v>
      </c>
      <c r="EW14" s="3"/>
      <c r="EX14" s="1090">
        <f>IF(NOW()&gt;=DATE(YEAR(EU$2),MONTH(EU$2)+1,DAY(EU$2)),SUMIFS(TF_SOTIEN,TF_DA,$C14,TF_THANG,EU$2,TF_KM,$E14)/1000, FA14)</f>
        <v>0</v>
      </c>
      <c r="EY14" s="1089">
        <f t="shared" si="91"/>
        <v>0</v>
      </c>
      <c r="EZ14" s="3"/>
      <c r="FA14" s="1090">
        <f>IF(NOW()&gt;=DATE(YEAR(EU$2),MONTH(EU$2)+1,DAY(EU$2)),SUMIFS(AC_SOTIEN,AC_DA,$C14,AC_THANG,EU$2,AC_KM,$E14),SUMIFS(TF_SOTIEN,TF_DA,$C14,TF_THANG,EU$2,TF_KM,$E14))/ 1000</f>
        <v>0</v>
      </c>
      <c r="FB14" s="1089" t="str">
        <f t="shared" si="92"/>
        <v/>
      </c>
      <c r="FC14" s="3"/>
      <c r="FD14" s="1090">
        <f t="shared" si="93"/>
        <v>0</v>
      </c>
      <c r="FE14" s="1091" t="str">
        <f t="shared" si="94"/>
        <v/>
      </c>
      <c r="FF14" s="1090">
        <f t="shared" si="95"/>
        <v>0</v>
      </c>
      <c r="FG14" s="1091" t="str">
        <f t="shared" si="96"/>
        <v/>
      </c>
      <c r="FH14" s="1088">
        <f t="shared" si="97"/>
        <v>0</v>
      </c>
      <c r="FI14" s="1089">
        <f t="shared" si="98"/>
        <v>0</v>
      </c>
      <c r="FJ14" s="3"/>
      <c r="FK14" s="1090">
        <f t="shared" si="99"/>
        <v>0</v>
      </c>
      <c r="FL14" s="1089">
        <f t="shared" si="100"/>
        <v>0</v>
      </c>
      <c r="FM14" s="3"/>
      <c r="FN14" s="1090">
        <f t="shared" si="101"/>
        <v>0</v>
      </c>
      <c r="FO14" s="1089" t="str">
        <f t="shared" si="102"/>
        <v/>
      </c>
      <c r="FP14" s="3"/>
      <c r="FQ14" s="1090">
        <f t="shared" si="103"/>
        <v>0</v>
      </c>
      <c r="FR14" s="1091" t="str">
        <f t="shared" si="104"/>
        <v/>
      </c>
      <c r="FS14" s="1090">
        <f t="shared" si="105"/>
        <v>0</v>
      </c>
      <c r="FT14" s="1091" t="str">
        <f t="shared" si="106"/>
        <v/>
      </c>
      <c r="FU14" s="1088">
        <f>SUMIFS(BP_SOTIEN,BP_DA,$C14,BP_THANG,FU$2,BP_KM,$E14)/1000</f>
        <v>0</v>
      </c>
      <c r="FV14" s="1089">
        <f t="shared" si="107"/>
        <v>0</v>
      </c>
      <c r="FW14" s="3"/>
      <c r="FX14" s="1090">
        <f>IF(NOW()&gt;=DATE(YEAR(FU$2),MONTH(FU$2)+1,DAY(FU$2)),SUMIFS(TF_SOTIEN,TF_DA,$C14,TF_THANG,FU$2,TF_KM,$E14)/1000, GA14)</f>
        <v>0</v>
      </c>
      <c r="FY14" s="1089">
        <f t="shared" si="108"/>
        <v>0</v>
      </c>
      <c r="FZ14" s="3"/>
      <c r="GA14" s="1090">
        <f>IF(NOW()&gt;=DATE(YEAR(FU$2),MONTH(FU$2)+1,DAY(FU$2)),SUMIFS(AC_SOTIEN,AC_DA,$C14,AC_THANG,FU$2,AC_KM,$E14),SUMIFS(TF_SOTIEN,TF_DA,$C14,TF_THANG,FU$2,TF_KM,$E14))/ 1000</f>
        <v>0</v>
      </c>
      <c r="GB14" s="1089" t="str">
        <f t="shared" si="109"/>
        <v/>
      </c>
      <c r="GC14" s="3"/>
      <c r="GD14" s="1090">
        <f t="shared" si="110"/>
        <v>0</v>
      </c>
      <c r="GE14" s="1091" t="str">
        <f t="shared" si="111"/>
        <v/>
      </c>
      <c r="GF14" s="1090">
        <f t="shared" si="112"/>
        <v>0</v>
      </c>
      <c r="GG14" s="1091" t="str">
        <f t="shared" si="113"/>
        <v/>
      </c>
      <c r="GH14" s="1088">
        <f>SUMIFS(BP_SOTIEN,BP_DA,$C14,BP_THANG,GH$2,BP_KM,$E14)/1000</f>
        <v>0</v>
      </c>
      <c r="GI14" s="1089">
        <f t="shared" si="114"/>
        <v>0</v>
      </c>
      <c r="GJ14" s="3"/>
      <c r="GK14" s="1090">
        <f>IF(NOW()&gt;=DATE(YEAR(GH$2),MONTH(GH$2)+1,DAY(GH$2)),SUMIFS(TF_SOTIEN,TF_DA,$C14,TF_THANG,GH$2,TF_KM,$E14)/1000, GN14)</f>
        <v>0</v>
      </c>
      <c r="GL14" s="1089">
        <f t="shared" si="115"/>
        <v>0</v>
      </c>
      <c r="GM14" s="3"/>
      <c r="GN14" s="1090">
        <f>IF(NOW()&gt;=DATE(YEAR(GH$2),MONTH(GH$2)+1,DAY(GH$2)),SUMIFS(AC_SOTIEN,AC_DA,$C14,AC_THANG,GH$2,AC_KM,$E14),SUMIFS(TF_SOTIEN,TF_DA,$C14,TF_THANG,GH$2,TF_KM,$E14))/ 1000</f>
        <v>0</v>
      </c>
      <c r="GO14" s="1089" t="str">
        <f t="shared" si="116"/>
        <v/>
      </c>
      <c r="GP14" s="3"/>
      <c r="GQ14" s="1090">
        <f t="shared" si="117"/>
        <v>0</v>
      </c>
      <c r="GR14" s="1091" t="str">
        <f t="shared" si="118"/>
        <v/>
      </c>
      <c r="GS14" s="1090">
        <f t="shared" si="119"/>
        <v>0</v>
      </c>
      <c r="GT14" s="1091" t="str">
        <f t="shared" si="120"/>
        <v/>
      </c>
      <c r="GU14" s="1088">
        <f>SUMIFS(BP_SOTIEN,BP_DA,$C14,BP_THANG,GU$2,BP_KM,$E14)/1000</f>
        <v>0</v>
      </c>
      <c r="GV14" s="1089">
        <f t="shared" si="121"/>
        <v>0</v>
      </c>
      <c r="GW14" s="3"/>
      <c r="GX14" s="1090">
        <f>IF(NOW()&gt;=DATE(YEAR(GU$2),MONTH(GU$2)+1,DAY(GU$2)),SUMIFS(TF_SOTIEN,TF_DA,$C14,TF_THANG,GU$2,TF_KM,$E14)/1000, HA14)</f>
        <v>0</v>
      </c>
      <c r="GY14" s="1089">
        <f t="shared" si="122"/>
        <v>0</v>
      </c>
      <c r="GZ14" s="3"/>
      <c r="HA14" s="1090">
        <f>IF(NOW()&gt;=DATE(YEAR(GU$2),MONTH(GU$2)+1,DAY(GU$2)),SUMIFS(AC_SOTIEN,AC_DA,$C14,AC_THANG,GU$2,AC_KM,$E14),SUMIFS(TF_SOTIEN,TF_DA,$C14,TF_THANG,GU$2,TF_KM,$E14))/ 1000</f>
        <v>0</v>
      </c>
      <c r="HB14" s="1089" t="str">
        <f t="shared" si="123"/>
        <v/>
      </c>
      <c r="HC14" s="3"/>
      <c r="HD14" s="1090">
        <f t="shared" si="124"/>
        <v>0</v>
      </c>
      <c r="HE14" s="1091" t="str">
        <f t="shared" si="125"/>
        <v/>
      </c>
      <c r="HF14" s="1090">
        <f t="shared" si="126"/>
        <v>0</v>
      </c>
      <c r="HG14" s="1091" t="str">
        <f t="shared" si="127"/>
        <v/>
      </c>
      <c r="HH14" s="1088">
        <f t="shared" si="128"/>
        <v>0</v>
      </c>
      <c r="HI14" s="1089">
        <f t="shared" si="129"/>
        <v>0</v>
      </c>
      <c r="HJ14" s="3"/>
      <c r="HK14" s="1090">
        <f t="shared" si="130"/>
        <v>0</v>
      </c>
      <c r="HL14" s="1089">
        <f t="shared" si="131"/>
        <v>0</v>
      </c>
      <c r="HM14" s="3"/>
      <c r="HN14" s="1090">
        <f t="shared" si="132"/>
        <v>0</v>
      </c>
      <c r="HO14" s="1089" t="str">
        <f t="shared" si="133"/>
        <v/>
      </c>
      <c r="HP14" s="3"/>
      <c r="HQ14" s="1090">
        <f t="shared" si="134"/>
        <v>0</v>
      </c>
      <c r="HR14" s="1091" t="str">
        <f t="shared" si="135"/>
        <v/>
      </c>
      <c r="HS14" s="1090">
        <f t="shared" si="136"/>
        <v>0</v>
      </c>
      <c r="HT14" s="1091" t="str">
        <f t="shared" si="137"/>
        <v/>
      </c>
      <c r="HU14" s="1088">
        <f t="shared" si="138"/>
        <v>0</v>
      </c>
      <c r="HV14" s="1089">
        <f t="shared" si="139"/>
        <v>0</v>
      </c>
      <c r="HW14" s="3"/>
      <c r="HX14" s="1090">
        <f t="shared" si="140"/>
        <v>0</v>
      </c>
      <c r="HY14" s="1089">
        <f t="shared" si="141"/>
        <v>0</v>
      </c>
      <c r="HZ14" s="3"/>
      <c r="IA14" s="1090">
        <f t="shared" si="142"/>
        <v>0</v>
      </c>
      <c r="IB14" s="1089" t="str">
        <f t="shared" si="143"/>
        <v/>
      </c>
      <c r="IC14" s="3"/>
      <c r="ID14" s="1090">
        <f t="shared" si="144"/>
        <v>0</v>
      </c>
      <c r="IE14" s="1091" t="str">
        <f t="shared" si="145"/>
        <v/>
      </c>
      <c r="IF14" s="1090">
        <f t="shared" si="146"/>
        <v>0</v>
      </c>
      <c r="IG14" s="1091" t="str">
        <f t="shared" si="147"/>
        <v/>
      </c>
      <c r="IH14" s="1088">
        <f t="shared" si="148"/>
        <v>0</v>
      </c>
      <c r="II14" s="1089">
        <f t="shared" si="149"/>
        <v>0</v>
      </c>
      <c r="IJ14" s="3"/>
      <c r="IK14" s="1090">
        <f t="shared" si="150"/>
        <v>2000000</v>
      </c>
      <c r="IL14" s="1089">
        <f t="shared" si="151"/>
        <v>0.005222139337</v>
      </c>
      <c r="IM14" s="3"/>
      <c r="IN14" s="1090">
        <f t="shared" si="152"/>
        <v>2244000</v>
      </c>
      <c r="IO14" s="1089">
        <f t="shared" si="153"/>
        <v>0.05966746556</v>
      </c>
      <c r="IP14" s="3"/>
      <c r="IQ14" s="1090">
        <f t="shared" si="154"/>
        <v>2244000</v>
      </c>
      <c r="IR14" s="1091" t="str">
        <f t="shared" si="1"/>
        <v/>
      </c>
      <c r="IS14" s="1090">
        <f t="shared" si="155"/>
        <v>244000</v>
      </c>
      <c r="IT14" s="1091">
        <f t="shared" si="2"/>
        <v>0.122</v>
      </c>
    </row>
    <row r="15" collapsed="1">
      <c r="A15" s="1092" t="str">
        <f t="shared" si="3"/>
        <v/>
      </c>
      <c r="B15" s="1093" t="s">
        <v>2821</v>
      </c>
      <c r="C15" s="1093"/>
      <c r="D15" s="1093" t="str">
        <f>IF(C15&gt;0,VLOOKUP(C15,DM_DUAN ,2,"") ,IF(B15&gt;0,VLOOKUP(B15,DM_CDT,2,""),""))</f>
        <v>CLOUD LAND</v>
      </c>
      <c r="E15" s="1093" t="s">
        <v>198</v>
      </c>
      <c r="F15" s="1093"/>
      <c r="G15" s="1094">
        <v>1.0</v>
      </c>
      <c r="H15" s="1095">
        <f>SUMIF($B16:$B$18,$B15,H16:H$18)</f>
        <v>0</v>
      </c>
      <c r="I15" s="1096" t="str">
        <f t="shared" si="4"/>
        <v/>
      </c>
      <c r="J15" s="3"/>
      <c r="K15" s="1095">
        <f>SUMIF($B16:$B$18,$B15,K16:K$18)</f>
        <v>0</v>
      </c>
      <c r="L15" s="1096">
        <f t="shared" si="5"/>
        <v>0</v>
      </c>
      <c r="M15" s="3"/>
      <c r="N15" s="1095">
        <f>SUMIF($B16:$B$18,$B15,N16:N$18)</f>
        <v>0</v>
      </c>
      <c r="O15" s="1096">
        <f t="shared" si="6"/>
        <v>0</v>
      </c>
      <c r="P15" s="3"/>
      <c r="Q15" s="1095">
        <f t="shared" si="7"/>
        <v>0</v>
      </c>
      <c r="R15" s="1097" t="str">
        <f t="shared" si="8"/>
        <v/>
      </c>
      <c r="S15" s="1095">
        <f t="shared" si="9"/>
        <v>0</v>
      </c>
      <c r="T15" s="1097" t="str">
        <f t="shared" si="10"/>
        <v/>
      </c>
      <c r="U15" s="1095">
        <f>SUMIF($B16:$B$18,$B15,U16:U$18)</f>
        <v>0</v>
      </c>
      <c r="V15" s="1096" t="str">
        <f t="shared" si="11"/>
        <v/>
      </c>
      <c r="W15" s="3"/>
      <c r="X15" s="1095">
        <f>SUMIF($B16:$B$18,$B15,X16:X$18)</f>
        <v>0</v>
      </c>
      <c r="Y15" s="1096" t="str">
        <f t="shared" si="12"/>
        <v/>
      </c>
      <c r="Z15" s="3"/>
      <c r="AA15" s="1095">
        <f>SUMIF($B16:$B$18,$B15,AA16:AA$18)</f>
        <v>0</v>
      </c>
      <c r="AB15" s="1096">
        <f t="shared" si="13"/>
        <v>0</v>
      </c>
      <c r="AC15" s="3"/>
      <c r="AD15" s="1095">
        <f t="shared" si="14"/>
        <v>0</v>
      </c>
      <c r="AE15" s="1097" t="str">
        <f t="shared" si="15"/>
        <v/>
      </c>
      <c r="AF15" s="1095">
        <f t="shared" si="16"/>
        <v>0</v>
      </c>
      <c r="AG15" s="1097" t="str">
        <f t="shared" si="17"/>
        <v/>
      </c>
      <c r="AH15" s="1095">
        <f>SUMIF($B16:$B$18,$B15,AH16:AH$18)</f>
        <v>0</v>
      </c>
      <c r="AI15" s="1096" t="str">
        <f t="shared" si="18"/>
        <v/>
      </c>
      <c r="AJ15" s="3"/>
      <c r="AK15" s="1095">
        <f>SUMIF($B16:$B$18,$B15,AK16:AK$18)</f>
        <v>0</v>
      </c>
      <c r="AL15" s="1096">
        <f t="shared" si="19"/>
        <v>0</v>
      </c>
      <c r="AM15" s="3"/>
      <c r="AN15" s="1095">
        <f>SUMIF($B16:$B$18,$B15,AN16:AN$18)</f>
        <v>0</v>
      </c>
      <c r="AO15" s="1096">
        <f t="shared" si="20"/>
        <v>0</v>
      </c>
      <c r="AP15" s="3"/>
      <c r="AQ15" s="1095">
        <f t="shared" si="21"/>
        <v>0</v>
      </c>
      <c r="AR15" s="1097" t="str">
        <f t="shared" si="22"/>
        <v/>
      </c>
      <c r="AS15" s="1095">
        <f t="shared" si="23"/>
        <v>0</v>
      </c>
      <c r="AT15" s="1097" t="str">
        <f t="shared" si="24"/>
        <v/>
      </c>
      <c r="AU15" s="1095">
        <f t="shared" si="25"/>
        <v>0</v>
      </c>
      <c r="AV15" s="1096" t="str">
        <f t="shared" si="26"/>
        <v/>
      </c>
      <c r="AW15" s="3"/>
      <c r="AX15" s="1095">
        <f t="shared" si="27"/>
        <v>0</v>
      </c>
      <c r="AY15" s="1096">
        <f t="shared" si="28"/>
        <v>0</v>
      </c>
      <c r="AZ15" s="3"/>
      <c r="BA15" s="1095">
        <f t="shared" si="29"/>
        <v>0</v>
      </c>
      <c r="BB15" s="1096">
        <f t="shared" si="30"/>
        <v>0</v>
      </c>
      <c r="BC15" s="3"/>
      <c r="BD15" s="1095">
        <f t="shared" si="31"/>
        <v>0</v>
      </c>
      <c r="BE15" s="1097" t="str">
        <f t="shared" si="32"/>
        <v/>
      </c>
      <c r="BF15" s="1095">
        <f t="shared" si="33"/>
        <v>0</v>
      </c>
      <c r="BG15" s="1097" t="str">
        <f t="shared" si="34"/>
        <v/>
      </c>
      <c r="BH15" s="1095">
        <f>SUMIF($B16:$B$18,$B15,BH16:BH$18)</f>
        <v>0</v>
      </c>
      <c r="BI15" s="1096">
        <f t="shared" si="35"/>
        <v>0</v>
      </c>
      <c r="BJ15" s="3"/>
      <c r="BK15" s="1095">
        <f>SUMIF($B16:$B$18,$B15,BK16:BK$18)</f>
        <v>0</v>
      </c>
      <c r="BL15" s="1096">
        <f t="shared" si="36"/>
        <v>0</v>
      </c>
      <c r="BM15" s="3"/>
      <c r="BN15" s="1095">
        <f>SUMIF($B16:$B$18,$B15,BN16:BN$18)</f>
        <v>0</v>
      </c>
      <c r="BO15" s="1096">
        <f t="shared" si="37"/>
        <v>0</v>
      </c>
      <c r="BP15" s="3"/>
      <c r="BQ15" s="1095">
        <f t="shared" si="38"/>
        <v>0</v>
      </c>
      <c r="BR15" s="1098" t="str">
        <f t="shared" si="39"/>
        <v/>
      </c>
      <c r="BS15" s="1095">
        <f t="shared" si="40"/>
        <v>0</v>
      </c>
      <c r="BT15" s="1097" t="str">
        <f t="shared" si="41"/>
        <v/>
      </c>
      <c r="BU15" s="1095">
        <f>SUMIF($B16:$B$18,$B15,BU16:BU$18)</f>
        <v>0</v>
      </c>
      <c r="BV15" s="1096">
        <f t="shared" si="42"/>
        <v>0</v>
      </c>
      <c r="BW15" s="3"/>
      <c r="BX15" s="1095">
        <f>SUMIF($B16:$B$18,$B15,BX16:BX$18)</f>
        <v>11984804</v>
      </c>
      <c r="BY15" s="1096">
        <f t="shared" si="43"/>
        <v>1</v>
      </c>
      <c r="BZ15" s="3"/>
      <c r="CA15" s="1095">
        <f>SUMIF($B16:$B$18,$B15,CA16:CA$18)</f>
        <v>3863100</v>
      </c>
      <c r="CB15" s="1096">
        <f t="shared" si="44"/>
        <v>1</v>
      </c>
      <c r="CC15" s="3"/>
      <c r="CD15" s="1095">
        <f t="shared" si="45"/>
        <v>3863100</v>
      </c>
      <c r="CE15" s="1098" t="str">
        <f t="shared" si="46"/>
        <v/>
      </c>
      <c r="CF15" s="1095">
        <f t="shared" si="47"/>
        <v>-8121704</v>
      </c>
      <c r="CG15" s="1097">
        <f t="shared" si="48"/>
        <v>-0.6776668187</v>
      </c>
      <c r="CH15" s="1095">
        <f>SUMIF($B16:$B$18,$B15,CH16:CH$18)</f>
        <v>0</v>
      </c>
      <c r="CI15" s="1096">
        <f t="shared" si="49"/>
        <v>0</v>
      </c>
      <c r="CJ15" s="3"/>
      <c r="CK15" s="1095">
        <f>SUMIF($B16:$B$18,$B15,CK16:CK$18)</f>
        <v>0</v>
      </c>
      <c r="CL15" s="1096" t="str">
        <f t="shared" si="50"/>
        <v/>
      </c>
      <c r="CM15" s="3"/>
      <c r="CN15" s="1095">
        <f>SUMIF($B16:$B$18,$B15,CN16:CN$18)</f>
        <v>1218200</v>
      </c>
      <c r="CO15" s="1096">
        <f t="shared" si="51"/>
        <v>1</v>
      </c>
      <c r="CP15" s="3"/>
      <c r="CQ15" s="1095">
        <f t="shared" si="52"/>
        <v>1218200</v>
      </c>
      <c r="CR15" s="1098" t="str">
        <f t="shared" si="53"/>
        <v/>
      </c>
      <c r="CS15" s="1095">
        <f t="shared" si="54"/>
        <v>1218200</v>
      </c>
      <c r="CT15" s="1097" t="str">
        <f t="shared" si="55"/>
        <v/>
      </c>
      <c r="CU15" s="1095">
        <f t="shared" si="56"/>
        <v>0</v>
      </c>
      <c r="CV15" s="1096">
        <f t="shared" si="57"/>
        <v>0</v>
      </c>
      <c r="CW15" s="3"/>
      <c r="CX15" s="1095">
        <f t="shared" si="58"/>
        <v>11984804</v>
      </c>
      <c r="CY15" s="1096">
        <f t="shared" si="59"/>
        <v>0.3747030621</v>
      </c>
      <c r="CZ15" s="3"/>
      <c r="DA15" s="1095">
        <f t="shared" si="60"/>
        <v>5081300</v>
      </c>
      <c r="DB15" s="1096">
        <f t="shared" si="61"/>
        <v>0.2185132259</v>
      </c>
      <c r="DC15" s="3"/>
      <c r="DD15" s="1095">
        <f t="shared" si="62"/>
        <v>5081300</v>
      </c>
      <c r="DE15" s="1098" t="str">
        <f t="shared" si="63"/>
        <v/>
      </c>
      <c r="DF15" s="1095">
        <f t="shared" si="64"/>
        <v>-6903504</v>
      </c>
      <c r="DG15" s="1097">
        <f t="shared" si="65"/>
        <v>-0.5760214351</v>
      </c>
      <c r="DH15" s="1095">
        <f t="shared" si="66"/>
        <v>0</v>
      </c>
      <c r="DI15" s="1096">
        <f t="shared" si="67"/>
        <v>0</v>
      </c>
      <c r="DJ15" s="3"/>
      <c r="DK15" s="1095">
        <f t="shared" si="68"/>
        <v>11984804</v>
      </c>
      <c r="DL15" s="1096">
        <f t="shared" si="69"/>
        <v>0.1902808811</v>
      </c>
      <c r="DM15" s="3"/>
      <c r="DN15" s="1095">
        <f t="shared" si="70"/>
        <v>5081300</v>
      </c>
      <c r="DO15" s="1096">
        <f t="shared" si="71"/>
        <v>0.1351106474</v>
      </c>
      <c r="DP15" s="3"/>
      <c r="DQ15" s="1095">
        <f t="shared" si="72"/>
        <v>5081300</v>
      </c>
      <c r="DR15" s="1098" t="str">
        <f t="shared" si="73"/>
        <v/>
      </c>
      <c r="DS15" s="1095">
        <f t="shared" si="74"/>
        <v>-6903504</v>
      </c>
      <c r="DT15" s="1097">
        <f t="shared" si="75"/>
        <v>-0.5760214351</v>
      </c>
      <c r="DU15" s="1095">
        <f>SUMIF($B16:$B$18,$B15,DU16:DU$18)</f>
        <v>0</v>
      </c>
      <c r="DV15" s="1096">
        <f t="shared" si="76"/>
        <v>0</v>
      </c>
      <c r="DW15" s="3"/>
      <c r="DX15" s="1095">
        <f>SUMIF($B16:$B$18,$B15,DX16:DX$18)</f>
        <v>0</v>
      </c>
      <c r="DY15" s="1096">
        <f t="shared" si="77"/>
        <v>0</v>
      </c>
      <c r="DZ15" s="3"/>
      <c r="EA15" s="1095">
        <f>SUMIF($B16:$B$18,$B15,EA16:EA$18)</f>
        <v>0</v>
      </c>
      <c r="EB15" s="1096" t="str">
        <f t="shared" si="78"/>
        <v/>
      </c>
      <c r="EC15" s="3"/>
      <c r="ED15" s="1095">
        <f t="shared" si="79"/>
        <v>0</v>
      </c>
      <c r="EE15" s="1098" t="str">
        <f t="shared" si="80"/>
        <v/>
      </c>
      <c r="EF15" s="1095">
        <f t="shared" si="81"/>
        <v>0</v>
      </c>
      <c r="EG15" s="1098" t="str">
        <f t="shared" si="82"/>
        <v/>
      </c>
      <c r="EH15" s="1095">
        <f>SUMIF($B16:$B$18,$B15,EH16:EH$18)</f>
        <v>0</v>
      </c>
      <c r="EI15" s="1096">
        <f t="shared" si="83"/>
        <v>0</v>
      </c>
      <c r="EJ15" s="3"/>
      <c r="EK15" s="1095">
        <f>SUMIF($B16:$B$18,$B15,EK16:EK$18)</f>
        <v>0</v>
      </c>
      <c r="EL15" s="1096">
        <f t="shared" si="84"/>
        <v>0</v>
      </c>
      <c r="EM15" s="3"/>
      <c r="EN15" s="1095">
        <f>SUMIF($B16:$B$18,$B15,EN16:EN$18)</f>
        <v>0</v>
      </c>
      <c r="EO15" s="1096" t="str">
        <f t="shared" si="85"/>
        <v/>
      </c>
      <c r="EP15" s="3"/>
      <c r="EQ15" s="1095">
        <f t="shared" si="86"/>
        <v>0</v>
      </c>
      <c r="ER15" s="1098" t="str">
        <f t="shared" si="87"/>
        <v/>
      </c>
      <c r="ES15" s="1095">
        <f t="shared" si="88"/>
        <v>0</v>
      </c>
      <c r="ET15" s="1098" t="str">
        <f t="shared" si="89"/>
        <v/>
      </c>
      <c r="EU15" s="1095">
        <f>SUMIF($B16:$B$18,$B15,EU16:EU$18)</f>
        <v>0</v>
      </c>
      <c r="EV15" s="1096">
        <f t="shared" si="90"/>
        <v>0</v>
      </c>
      <c r="EW15" s="3"/>
      <c r="EX15" s="1095">
        <f>SUMIF($B16:$B$18,$B15,EX16:EX$18)</f>
        <v>0</v>
      </c>
      <c r="EY15" s="1096">
        <f t="shared" si="91"/>
        <v>0</v>
      </c>
      <c r="EZ15" s="3"/>
      <c r="FA15" s="1095">
        <f>SUMIF($B16:$B$18,$B15,FA16:FA$18)</f>
        <v>0</v>
      </c>
      <c r="FB15" s="1096" t="str">
        <f t="shared" si="92"/>
        <v/>
      </c>
      <c r="FC15" s="3"/>
      <c r="FD15" s="1095">
        <f t="shared" si="93"/>
        <v>0</v>
      </c>
      <c r="FE15" s="1098" t="str">
        <f t="shared" si="94"/>
        <v/>
      </c>
      <c r="FF15" s="1095">
        <f t="shared" si="95"/>
        <v>0</v>
      </c>
      <c r="FG15" s="1098" t="str">
        <f t="shared" si="96"/>
        <v/>
      </c>
      <c r="FH15" s="1095">
        <f t="shared" si="97"/>
        <v>0</v>
      </c>
      <c r="FI15" s="1096">
        <f t="shared" si="98"/>
        <v>0</v>
      </c>
      <c r="FJ15" s="3"/>
      <c r="FK15" s="1095">
        <f t="shared" si="99"/>
        <v>0</v>
      </c>
      <c r="FL15" s="1096">
        <f t="shared" si="100"/>
        <v>0</v>
      </c>
      <c r="FM15" s="3"/>
      <c r="FN15" s="1095">
        <f t="shared" si="101"/>
        <v>0</v>
      </c>
      <c r="FO15" s="1096" t="str">
        <f t="shared" si="102"/>
        <v/>
      </c>
      <c r="FP15" s="3"/>
      <c r="FQ15" s="1095">
        <f t="shared" si="103"/>
        <v>0</v>
      </c>
      <c r="FR15" s="1098" t="str">
        <f t="shared" si="104"/>
        <v/>
      </c>
      <c r="FS15" s="1095">
        <f t="shared" si="105"/>
        <v>0</v>
      </c>
      <c r="FT15" s="1098" t="str">
        <f t="shared" si="106"/>
        <v/>
      </c>
      <c r="FU15" s="1095">
        <f>SUMIF($B16:$B$18,$B15,FU16:FU$18)</f>
        <v>0</v>
      </c>
      <c r="FV15" s="1096">
        <f t="shared" si="107"/>
        <v>0</v>
      </c>
      <c r="FW15" s="3"/>
      <c r="FX15" s="1095">
        <f>SUMIF($B16:$B$18,$B15,FX16:FX$18)</f>
        <v>0</v>
      </c>
      <c r="FY15" s="1096">
        <f t="shared" si="108"/>
        <v>0</v>
      </c>
      <c r="FZ15" s="3"/>
      <c r="GA15" s="1095">
        <f>SUMIF($B16:$B$18,$B15,GA16:GA$18)</f>
        <v>0</v>
      </c>
      <c r="GB15" s="1096" t="str">
        <f t="shared" si="109"/>
        <v/>
      </c>
      <c r="GC15" s="3"/>
      <c r="GD15" s="1095">
        <f t="shared" si="110"/>
        <v>0</v>
      </c>
      <c r="GE15" s="1098" t="str">
        <f t="shared" si="111"/>
        <v/>
      </c>
      <c r="GF15" s="1095">
        <f t="shared" si="112"/>
        <v>0</v>
      </c>
      <c r="GG15" s="1098" t="str">
        <f t="shared" si="113"/>
        <v/>
      </c>
      <c r="GH15" s="1095">
        <f>SUMIF($B16:$B$18,$B15,GH16:GH$18)</f>
        <v>0</v>
      </c>
      <c r="GI15" s="1096">
        <f t="shared" si="114"/>
        <v>0</v>
      </c>
      <c r="GJ15" s="3"/>
      <c r="GK15" s="1095">
        <f>SUMIF($B16:$B$18,$B15,GK16:GK$18)</f>
        <v>0</v>
      </c>
      <c r="GL15" s="1096">
        <f t="shared" si="115"/>
        <v>0</v>
      </c>
      <c r="GM15" s="3"/>
      <c r="GN15" s="1095">
        <f>SUMIF($B16:$B$18,$B15,GN16:GN$18)</f>
        <v>0</v>
      </c>
      <c r="GO15" s="1096" t="str">
        <f t="shared" si="116"/>
        <v/>
      </c>
      <c r="GP15" s="3"/>
      <c r="GQ15" s="1095">
        <f t="shared" si="117"/>
        <v>0</v>
      </c>
      <c r="GR15" s="1098" t="str">
        <f t="shared" si="118"/>
        <v/>
      </c>
      <c r="GS15" s="1095">
        <f t="shared" si="119"/>
        <v>0</v>
      </c>
      <c r="GT15" s="1098" t="str">
        <f t="shared" si="120"/>
        <v/>
      </c>
      <c r="GU15" s="1095">
        <f>SUMIF($B16:$B$18,$B15,GU16:GU$18)</f>
        <v>0</v>
      </c>
      <c r="GV15" s="1096">
        <f t="shared" si="121"/>
        <v>0</v>
      </c>
      <c r="GW15" s="3"/>
      <c r="GX15" s="1095">
        <f>SUMIF($B16:$B$18,$B15,GX16:GX$18)</f>
        <v>0</v>
      </c>
      <c r="GY15" s="1096">
        <f t="shared" si="122"/>
        <v>0</v>
      </c>
      <c r="GZ15" s="3"/>
      <c r="HA15" s="1095">
        <f>SUMIF($B16:$B$18,$B15,HA16:HA$18)</f>
        <v>0</v>
      </c>
      <c r="HB15" s="1096" t="str">
        <f t="shared" si="123"/>
        <v/>
      </c>
      <c r="HC15" s="3"/>
      <c r="HD15" s="1095">
        <f t="shared" si="124"/>
        <v>0</v>
      </c>
      <c r="HE15" s="1098" t="str">
        <f t="shared" si="125"/>
        <v/>
      </c>
      <c r="HF15" s="1095">
        <f t="shared" si="126"/>
        <v>0</v>
      </c>
      <c r="HG15" s="1098" t="str">
        <f t="shared" si="127"/>
        <v/>
      </c>
      <c r="HH15" s="1095">
        <f t="shared" si="128"/>
        <v>0</v>
      </c>
      <c r="HI15" s="1096">
        <f t="shared" si="129"/>
        <v>0</v>
      </c>
      <c r="HJ15" s="3"/>
      <c r="HK15" s="1095">
        <f t="shared" si="130"/>
        <v>0</v>
      </c>
      <c r="HL15" s="1096">
        <f t="shared" si="131"/>
        <v>0</v>
      </c>
      <c r="HM15" s="3"/>
      <c r="HN15" s="1095">
        <f t="shared" si="132"/>
        <v>0</v>
      </c>
      <c r="HO15" s="1096" t="str">
        <f t="shared" si="133"/>
        <v/>
      </c>
      <c r="HP15" s="3"/>
      <c r="HQ15" s="1095">
        <f t="shared" si="134"/>
        <v>0</v>
      </c>
      <c r="HR15" s="1098" t="str">
        <f t="shared" si="135"/>
        <v/>
      </c>
      <c r="HS15" s="1095">
        <f t="shared" si="136"/>
        <v>0</v>
      </c>
      <c r="HT15" s="1098" t="str">
        <f t="shared" si="137"/>
        <v/>
      </c>
      <c r="HU15" s="1095">
        <f t="shared" si="138"/>
        <v>0</v>
      </c>
      <c r="HV15" s="1096">
        <f t="shared" si="139"/>
        <v>0</v>
      </c>
      <c r="HW15" s="3"/>
      <c r="HX15" s="1095">
        <f t="shared" si="140"/>
        <v>0</v>
      </c>
      <c r="HY15" s="1096">
        <f t="shared" si="141"/>
        <v>0</v>
      </c>
      <c r="HZ15" s="3"/>
      <c r="IA15" s="1095">
        <f t="shared" si="142"/>
        <v>0</v>
      </c>
      <c r="IB15" s="1096" t="str">
        <f t="shared" si="143"/>
        <v/>
      </c>
      <c r="IC15" s="3"/>
      <c r="ID15" s="1095">
        <f t="shared" si="144"/>
        <v>0</v>
      </c>
      <c r="IE15" s="1098" t="str">
        <f t="shared" si="145"/>
        <v/>
      </c>
      <c r="IF15" s="1095">
        <f t="shared" si="146"/>
        <v>0</v>
      </c>
      <c r="IG15" s="1098" t="str">
        <f t="shared" si="147"/>
        <v/>
      </c>
      <c r="IH15" s="1095">
        <f t="shared" si="148"/>
        <v>0</v>
      </c>
      <c r="II15" s="1096">
        <f t="shared" si="149"/>
        <v>0</v>
      </c>
      <c r="IJ15" s="3"/>
      <c r="IK15" s="1095">
        <f t="shared" si="150"/>
        <v>11984804</v>
      </c>
      <c r="IL15" s="1096">
        <f t="shared" si="151"/>
        <v>0.03129315821</v>
      </c>
      <c r="IM15" s="3"/>
      <c r="IN15" s="1095">
        <f t="shared" si="152"/>
        <v>5081300</v>
      </c>
      <c r="IO15" s="1096">
        <f t="shared" si="153"/>
        <v>0.1351106474</v>
      </c>
      <c r="IP15" s="3"/>
      <c r="IQ15" s="1095">
        <f t="shared" si="154"/>
        <v>5081300</v>
      </c>
      <c r="IR15" s="1098" t="str">
        <f t="shared" si="1"/>
        <v/>
      </c>
      <c r="IS15" s="1095">
        <f t="shared" si="155"/>
        <v>-6903504</v>
      </c>
      <c r="IT15" s="1098">
        <f t="shared" si="2"/>
        <v>-0.5760214351</v>
      </c>
    </row>
    <row r="16" hidden="1" outlineLevel="1">
      <c r="A16" s="1086">
        <f t="shared" si="3"/>
        <v>8</v>
      </c>
      <c r="B16" s="1087" t="s">
        <v>2821</v>
      </c>
      <c r="C16" s="1087" t="s">
        <v>956</v>
      </c>
      <c r="D16" s="1087" t="str">
        <f>IF(C16&gt;0,VLOOKUP(C16,DM_DUAN ,2,"") ,IF(B16&gt;0,VLOOKUP(B16,DM_CDT,2,""),""))</f>
        <v>KDC Lộc Ngãi</v>
      </c>
      <c r="E16" s="1087" t="s">
        <v>198</v>
      </c>
      <c r="F16" s="1087"/>
      <c r="G16" s="1086">
        <v>2.0</v>
      </c>
      <c r="H16" s="1088">
        <f>SUMIFS(BP_SOTIEN,BP_DA,$C16,BP_THANG,H$2,BP_KM,$E16)/1000</f>
        <v>0</v>
      </c>
      <c r="I16" s="1089" t="str">
        <f t="shared" si="4"/>
        <v/>
      </c>
      <c r="J16" s="3"/>
      <c r="K16" s="1090">
        <f>IF(NOW()&gt;=DATE(YEAR(H$2),MONTH(H$2)+1,DAY(H$2)),SUMIFS(TF_SOTIEN,TF_DA,$C16,TF_THANG,H$2,TF_KM,$E16)/1000, N16)</f>
        <v>0</v>
      </c>
      <c r="L16" s="1089">
        <f t="shared" si="5"/>
        <v>0</v>
      </c>
      <c r="M16" s="3"/>
      <c r="N16" s="1090">
        <f>IF(NOW()&gt;=DATE(YEAR(H$2),MONTH(H$2)+1,DAY(H$2)),SUMIFS(AC_SOTIEN,AC_DA,$C16,AC_THANG,H$2,AC_KM,$E16),SUMIFS(TF_SOTIEN,TF_DA,$C16,TF_THANG,H$2,TF_KM,$E16))/ 1000</f>
        <v>0</v>
      </c>
      <c r="O16" s="1089">
        <f t="shared" si="6"/>
        <v>0</v>
      </c>
      <c r="P16" s="3"/>
      <c r="Q16" s="1090">
        <f t="shared" si="7"/>
        <v>0</v>
      </c>
      <c r="R16" s="1091" t="str">
        <f t="shared" si="8"/>
        <v/>
      </c>
      <c r="S16" s="1090">
        <f t="shared" si="9"/>
        <v>0</v>
      </c>
      <c r="T16" s="1091" t="str">
        <f t="shared" si="10"/>
        <v/>
      </c>
      <c r="U16" s="1088">
        <f>SUMIFS(BP_SOTIEN,BP_DA,$C16,BP_THANG,U$2,BP_KM,$E16)/1000</f>
        <v>0</v>
      </c>
      <c r="V16" s="1089" t="str">
        <f t="shared" si="11"/>
        <v/>
      </c>
      <c r="W16" s="3"/>
      <c r="X16" s="1090">
        <f>IF(NOW()&gt;=DATE(YEAR(U$2),MONTH(U$2)+1,DAY(U$2)),SUMIFS(TF_SOTIEN,TF_DA,$C16,TF_THANG,U$2,TF_KM,$E16)/1000, AA16)</f>
        <v>0</v>
      </c>
      <c r="Y16" s="1089" t="str">
        <f t="shared" si="12"/>
        <v/>
      </c>
      <c r="Z16" s="3"/>
      <c r="AA16" s="1090">
        <f>IF(NOW()&gt;=DATE(YEAR(U$2),MONTH(U$2)+1,DAY(U$2)),SUMIFS(AC_SOTIEN,AC_DA,$C16,AC_THANG,U$2,AC_KM,$E16),SUMIFS(TF_SOTIEN,TF_DA,$C16,TF_THANG,U$2,TF_KM,$E16))/ 1000</f>
        <v>0</v>
      </c>
      <c r="AB16" s="1089">
        <f t="shared" si="13"/>
        <v>0</v>
      </c>
      <c r="AC16" s="3"/>
      <c r="AD16" s="1090">
        <f t="shared" si="14"/>
        <v>0</v>
      </c>
      <c r="AE16" s="1091" t="str">
        <f t="shared" si="15"/>
        <v/>
      </c>
      <c r="AF16" s="1090">
        <f t="shared" si="16"/>
        <v>0</v>
      </c>
      <c r="AG16" s="1091" t="str">
        <f t="shared" si="17"/>
        <v/>
      </c>
      <c r="AH16" s="1088">
        <f>SUMIFS(BP_SOTIEN,BP_DA,$C16,BP_THANG,AH$2,BP_KM,$E16)/1000</f>
        <v>0</v>
      </c>
      <c r="AI16" s="1089" t="str">
        <f t="shared" si="18"/>
        <v/>
      </c>
      <c r="AJ16" s="3"/>
      <c r="AK16" s="1090">
        <f>IF(NOW()&gt;=DATE(YEAR(AH$2),MONTH(AH$2)+1,DAY(AH$2)),SUMIFS(TF_SOTIEN,TF_DA,$C16,TF_THANG,AH$2,TF_KM,$E16)/1000, AN16)</f>
        <v>0</v>
      </c>
      <c r="AL16" s="1089">
        <f t="shared" si="19"/>
        <v>0</v>
      </c>
      <c r="AM16" s="3"/>
      <c r="AN16" s="1090">
        <f>IF(NOW()&gt;=DATE(YEAR(AH$2),MONTH(AH$2)+1,DAY(AH$2)),SUMIFS(AC_SOTIEN,AC_DA,$C16,AC_THANG,AH$2,AC_KM,$E16),SUMIFS(TF_SOTIEN,TF_DA,$C16,TF_THANG,AH$2,TF_KM,$E16))/ 1000</f>
        <v>0</v>
      </c>
      <c r="AO16" s="1089">
        <f t="shared" si="20"/>
        <v>0</v>
      </c>
      <c r="AP16" s="3"/>
      <c r="AQ16" s="1090">
        <f t="shared" si="21"/>
        <v>0</v>
      </c>
      <c r="AR16" s="1091" t="str">
        <f t="shared" si="22"/>
        <v/>
      </c>
      <c r="AS16" s="1090">
        <f t="shared" si="23"/>
        <v>0</v>
      </c>
      <c r="AT16" s="1091" t="str">
        <f t="shared" si="24"/>
        <v/>
      </c>
      <c r="AU16" s="1088">
        <f t="shared" si="25"/>
        <v>0</v>
      </c>
      <c r="AV16" s="1089" t="str">
        <f t="shared" si="26"/>
        <v/>
      </c>
      <c r="AW16" s="3"/>
      <c r="AX16" s="1090">
        <f t="shared" si="27"/>
        <v>0</v>
      </c>
      <c r="AY16" s="1089">
        <f t="shared" si="28"/>
        <v>0</v>
      </c>
      <c r="AZ16" s="3"/>
      <c r="BA16" s="1090">
        <f t="shared" si="29"/>
        <v>0</v>
      </c>
      <c r="BB16" s="1089">
        <f t="shared" si="30"/>
        <v>0</v>
      </c>
      <c r="BC16" s="3"/>
      <c r="BD16" s="1090">
        <f t="shared" si="31"/>
        <v>0</v>
      </c>
      <c r="BE16" s="1091" t="str">
        <f t="shared" si="32"/>
        <v/>
      </c>
      <c r="BF16" s="1090">
        <f t="shared" si="33"/>
        <v>0</v>
      </c>
      <c r="BG16" s="1091" t="str">
        <f t="shared" si="34"/>
        <v/>
      </c>
      <c r="BH16" s="1088">
        <f>SUMIFS(BP_SOTIEN,BP_DA,$C16,BP_THANG,BH$2,BP_KM,$E16)/1000</f>
        <v>0</v>
      </c>
      <c r="BI16" s="1089">
        <f t="shared" si="35"/>
        <v>0</v>
      </c>
      <c r="BJ16" s="3"/>
      <c r="BK16" s="1090">
        <f>IF(NOW()&gt;=DATE(YEAR(BH$2),MONTH(BH$2)+1,DAY(BH$2)),SUMIFS(TF_SOTIEN,TF_DA,$C16,TF_THANG,BH$2,TF_KM,$E16)/1000, BN16)</f>
        <v>0</v>
      </c>
      <c r="BL16" s="1089">
        <f t="shared" si="36"/>
        <v>0</v>
      </c>
      <c r="BM16" s="3"/>
      <c r="BN16" s="1090">
        <f>IF(NOW()&gt;=DATE(YEAR(BH$2),MONTH(BH$2)+1,DAY(BH$2)),SUMIFS(AC_SOTIEN,AC_DA,$C16,AC_THANG,BH$2,AC_KM,$E16),SUMIFS(TF_SOTIEN,TF_DA,$C16,TF_THANG,BH$2,TF_KM,$E16))/ 1000</f>
        <v>0</v>
      </c>
      <c r="BO16" s="1089">
        <f t="shared" si="37"/>
        <v>0</v>
      </c>
      <c r="BP16" s="3"/>
      <c r="BQ16" s="1090">
        <f t="shared" si="38"/>
        <v>0</v>
      </c>
      <c r="BR16" s="1091" t="str">
        <f t="shared" si="39"/>
        <v/>
      </c>
      <c r="BS16" s="1090">
        <f t="shared" si="40"/>
        <v>0</v>
      </c>
      <c r="BT16" s="1091" t="str">
        <f t="shared" si="41"/>
        <v/>
      </c>
      <c r="BU16" s="1088">
        <f>SUMIFS(BP_SOTIEN,BP_DA,$C16,BP_THANG,BU$2,BP_KM,$E16)/1000</f>
        <v>0</v>
      </c>
      <c r="BV16" s="1089">
        <f t="shared" si="42"/>
        <v>0</v>
      </c>
      <c r="BW16" s="3"/>
      <c r="BX16" s="1090">
        <f>IF(NOW()&gt;=DATE(YEAR(BU$2),MONTH(BU$2)+1,DAY(BU$2)),SUMIFS(TF_SOTIEN,TF_DA,$C16,TF_THANG,BU$2,TF_KM,$E16)/1000, CA16)</f>
        <v>11984804</v>
      </c>
      <c r="BY16" s="1089">
        <f t="shared" si="43"/>
        <v>1</v>
      </c>
      <c r="BZ16" s="3"/>
      <c r="CA16" s="1090">
        <f>IF(NOW()&gt;=DATE(YEAR(BU$2),MONTH(BU$2)+1,DAY(BU$2)),SUMIFS(AC_SOTIEN,AC_DA,$C16,AC_THANG,BU$2,AC_KM,$E16),SUMIFS(TF_SOTIEN,TF_DA,$C16,TF_THANG,BU$2,TF_KM,$E16))/ 1000</f>
        <v>3863100</v>
      </c>
      <c r="CB16" s="1089">
        <f t="shared" si="44"/>
        <v>1</v>
      </c>
      <c r="CC16" s="3"/>
      <c r="CD16" s="1090">
        <f t="shared" si="45"/>
        <v>3863100</v>
      </c>
      <c r="CE16" s="1091" t="str">
        <f t="shared" si="46"/>
        <v/>
      </c>
      <c r="CF16" s="1090">
        <f t="shared" si="47"/>
        <v>-8121704</v>
      </c>
      <c r="CG16" s="1091">
        <f t="shared" si="48"/>
        <v>-0.6776668187</v>
      </c>
      <c r="CH16" s="1088">
        <f>SUMIFS(BP_SOTIEN,BP_DA,$C16,BP_THANG,CH$2,BP_KM,$E16)/1000</f>
        <v>0</v>
      </c>
      <c r="CI16" s="1089">
        <f t="shared" si="49"/>
        <v>0</v>
      </c>
      <c r="CJ16" s="3"/>
      <c r="CK16" s="1090">
        <f>IF(NOW()&gt;=DATE(YEAR(CH$2),MONTH(CH$2)+1,DAY(CH$2)),SUMIFS(TF_SOTIEN,TF_DA,$C16,TF_THANG,CH$2,TF_KM,$E16)/1000, CN16)</f>
        <v>0</v>
      </c>
      <c r="CL16" s="1089" t="str">
        <f t="shared" si="50"/>
        <v/>
      </c>
      <c r="CM16" s="3"/>
      <c r="CN16" s="1090">
        <f>IF(NOW()&gt;=DATE(YEAR(CH$2),MONTH(CH$2)+1,DAY(CH$2)),SUMIFS(AC_SOTIEN,AC_DA,$C16,AC_THANG,CH$2,AC_KM,$E16),SUMIFS(TF_SOTIEN,TF_DA,$C16,TF_THANG,CH$2,TF_KM,$E16))/ 1000</f>
        <v>1218200</v>
      </c>
      <c r="CO16" s="1089">
        <f t="shared" si="51"/>
        <v>1</v>
      </c>
      <c r="CP16" s="3"/>
      <c r="CQ16" s="1090">
        <f t="shared" si="52"/>
        <v>1218200</v>
      </c>
      <c r="CR16" s="1091" t="str">
        <f t="shared" si="53"/>
        <v/>
      </c>
      <c r="CS16" s="1090">
        <f t="shared" si="54"/>
        <v>1218200</v>
      </c>
      <c r="CT16" s="1091" t="str">
        <f t="shared" si="55"/>
        <v/>
      </c>
      <c r="CU16" s="1088">
        <f t="shared" si="56"/>
        <v>0</v>
      </c>
      <c r="CV16" s="1089">
        <f t="shared" si="57"/>
        <v>0</v>
      </c>
      <c r="CW16" s="3"/>
      <c r="CX16" s="1090">
        <f t="shared" si="58"/>
        <v>11984804</v>
      </c>
      <c r="CY16" s="1089">
        <f t="shared" si="59"/>
        <v>0.3747030621</v>
      </c>
      <c r="CZ16" s="3"/>
      <c r="DA16" s="1090">
        <f t="shared" si="60"/>
        <v>5081300</v>
      </c>
      <c r="DB16" s="1089">
        <f t="shared" si="61"/>
        <v>0.2185132259</v>
      </c>
      <c r="DC16" s="3"/>
      <c r="DD16" s="1090">
        <f t="shared" si="62"/>
        <v>5081300</v>
      </c>
      <c r="DE16" s="1091" t="str">
        <f t="shared" si="63"/>
        <v/>
      </c>
      <c r="DF16" s="1090">
        <f t="shared" si="64"/>
        <v>-6903504</v>
      </c>
      <c r="DG16" s="1091">
        <f t="shared" si="65"/>
        <v>-0.5760214351</v>
      </c>
      <c r="DH16" s="1088">
        <f t="shared" si="66"/>
        <v>0</v>
      </c>
      <c r="DI16" s="1089">
        <f t="shared" si="67"/>
        <v>0</v>
      </c>
      <c r="DJ16" s="3"/>
      <c r="DK16" s="1090">
        <f t="shared" si="68"/>
        <v>11984804</v>
      </c>
      <c r="DL16" s="1089">
        <f t="shared" si="69"/>
        <v>0.1902808811</v>
      </c>
      <c r="DM16" s="3"/>
      <c r="DN16" s="1090">
        <f t="shared" si="70"/>
        <v>5081300</v>
      </c>
      <c r="DO16" s="1089">
        <f t="shared" si="71"/>
        <v>0.1351106474</v>
      </c>
      <c r="DP16" s="3"/>
      <c r="DQ16" s="1090">
        <f t="shared" si="72"/>
        <v>5081300</v>
      </c>
      <c r="DR16" s="1091" t="str">
        <f t="shared" si="73"/>
        <v/>
      </c>
      <c r="DS16" s="1090">
        <f t="shared" si="74"/>
        <v>-6903504</v>
      </c>
      <c r="DT16" s="1091">
        <f t="shared" si="75"/>
        <v>-0.5760214351</v>
      </c>
      <c r="DU16" s="1088">
        <f>SUMIFS(BP_SOTIEN,BP_DA,$C16,BP_THANG,DU$2,BP_KM,$E16)/1000</f>
        <v>0</v>
      </c>
      <c r="DV16" s="1089">
        <f t="shared" si="76"/>
        <v>0</v>
      </c>
      <c r="DW16" s="3"/>
      <c r="DX16" s="1090">
        <f>IF(NOW()&gt;=DATE(YEAR(DU$2),MONTH(DU$2)+1,DAY(DU$2)),SUMIFS(TF_SOTIEN,TF_DA,$C16,TF_THANG,DU$2,TF_KM,$E16)/1000, EA16)</f>
        <v>0</v>
      </c>
      <c r="DY16" s="1089">
        <f t="shared" si="77"/>
        <v>0</v>
      </c>
      <c r="DZ16" s="3"/>
      <c r="EA16" s="1090">
        <f>IF(NOW()&gt;=DATE(YEAR(DU$2),MONTH(DU$2)+1,DAY(DU$2)),SUMIFS(AC_SOTIEN,AC_DA,$C16,AC_THANG,DU$2,AC_KM,$E16),SUMIFS(TF_SOTIEN,TF_DA,$C16,TF_THANG,DU$2,TF_KM,$E16))/ 1000</f>
        <v>0</v>
      </c>
      <c r="EB16" s="1089" t="str">
        <f t="shared" si="78"/>
        <v/>
      </c>
      <c r="EC16" s="3"/>
      <c r="ED16" s="1090">
        <f t="shared" si="79"/>
        <v>0</v>
      </c>
      <c r="EE16" s="1091" t="str">
        <f t="shared" si="80"/>
        <v/>
      </c>
      <c r="EF16" s="1090">
        <f t="shared" si="81"/>
        <v>0</v>
      </c>
      <c r="EG16" s="1091" t="str">
        <f t="shared" si="82"/>
        <v/>
      </c>
      <c r="EH16" s="1088">
        <f>SUMIFS(BP_SOTIEN,BP_DA,$C16,BP_THANG,EH$2,BP_KM,$E16)/1000</f>
        <v>0</v>
      </c>
      <c r="EI16" s="1089">
        <f t="shared" si="83"/>
        <v>0</v>
      </c>
      <c r="EJ16" s="3"/>
      <c r="EK16" s="1090">
        <f>IF(NOW()&gt;=DATE(YEAR(EH$2),MONTH(EH$2)+1,DAY(EH$2)),SUMIFS(TF_SOTIEN,TF_DA,$C16,TF_THANG,EH$2,TF_KM,$E16)/1000, EN16)</f>
        <v>0</v>
      </c>
      <c r="EL16" s="1089">
        <f t="shared" si="84"/>
        <v>0</v>
      </c>
      <c r="EM16" s="3"/>
      <c r="EN16" s="1090">
        <f>IF(NOW()&gt;=DATE(YEAR(EH$2),MONTH(EH$2)+1,DAY(EH$2)),SUMIFS(AC_SOTIEN,AC_DA,$C16,AC_THANG,EH$2,AC_KM,$E16),SUMIFS(TF_SOTIEN,TF_DA,$C16,TF_THANG,EH$2,TF_KM,$E16))/ 1000</f>
        <v>0</v>
      </c>
      <c r="EO16" s="1089" t="str">
        <f t="shared" si="85"/>
        <v/>
      </c>
      <c r="EP16" s="3"/>
      <c r="EQ16" s="1090">
        <f t="shared" si="86"/>
        <v>0</v>
      </c>
      <c r="ER16" s="1091" t="str">
        <f t="shared" si="87"/>
        <v/>
      </c>
      <c r="ES16" s="1090">
        <f t="shared" si="88"/>
        <v>0</v>
      </c>
      <c r="ET16" s="1091" t="str">
        <f t="shared" si="89"/>
        <v/>
      </c>
      <c r="EU16" s="1088">
        <f>SUMIFS(BP_SOTIEN,BP_DA,$C16,BP_THANG,EU$2,BP_KM,$E16)/1000</f>
        <v>0</v>
      </c>
      <c r="EV16" s="1089">
        <f t="shared" si="90"/>
        <v>0</v>
      </c>
      <c r="EW16" s="3"/>
      <c r="EX16" s="1090">
        <f>IF(NOW()&gt;=DATE(YEAR(EU$2),MONTH(EU$2)+1,DAY(EU$2)),SUMIFS(TF_SOTIEN,TF_DA,$C16,TF_THANG,EU$2,TF_KM,$E16)/1000, FA16)</f>
        <v>0</v>
      </c>
      <c r="EY16" s="1089">
        <f t="shared" si="91"/>
        <v>0</v>
      </c>
      <c r="EZ16" s="3"/>
      <c r="FA16" s="1090">
        <f>IF(NOW()&gt;=DATE(YEAR(EU$2),MONTH(EU$2)+1,DAY(EU$2)),SUMIFS(AC_SOTIEN,AC_DA,$C16,AC_THANG,EU$2,AC_KM,$E16),SUMIFS(TF_SOTIEN,TF_DA,$C16,TF_THANG,EU$2,TF_KM,$E16))/ 1000</f>
        <v>0</v>
      </c>
      <c r="FB16" s="1089" t="str">
        <f t="shared" si="92"/>
        <v/>
      </c>
      <c r="FC16" s="3"/>
      <c r="FD16" s="1090">
        <f t="shared" si="93"/>
        <v>0</v>
      </c>
      <c r="FE16" s="1091" t="str">
        <f t="shared" si="94"/>
        <v/>
      </c>
      <c r="FF16" s="1090">
        <f t="shared" si="95"/>
        <v>0</v>
      </c>
      <c r="FG16" s="1091" t="str">
        <f t="shared" si="96"/>
        <v/>
      </c>
      <c r="FH16" s="1088">
        <f t="shared" si="97"/>
        <v>0</v>
      </c>
      <c r="FI16" s="1089">
        <f t="shared" si="98"/>
        <v>0</v>
      </c>
      <c r="FJ16" s="3"/>
      <c r="FK16" s="1090">
        <f t="shared" si="99"/>
        <v>0</v>
      </c>
      <c r="FL16" s="1089">
        <f t="shared" si="100"/>
        <v>0</v>
      </c>
      <c r="FM16" s="3"/>
      <c r="FN16" s="1090">
        <f t="shared" si="101"/>
        <v>0</v>
      </c>
      <c r="FO16" s="1089" t="str">
        <f t="shared" si="102"/>
        <v/>
      </c>
      <c r="FP16" s="3"/>
      <c r="FQ16" s="1090">
        <f t="shared" si="103"/>
        <v>0</v>
      </c>
      <c r="FR16" s="1091" t="str">
        <f t="shared" si="104"/>
        <v/>
      </c>
      <c r="FS16" s="1090">
        <f t="shared" si="105"/>
        <v>0</v>
      </c>
      <c r="FT16" s="1091" t="str">
        <f t="shared" si="106"/>
        <v/>
      </c>
      <c r="FU16" s="1088">
        <f>SUMIFS(BP_SOTIEN,BP_DA,$C16,BP_THANG,FU$2,BP_KM,$E16)/1000</f>
        <v>0</v>
      </c>
      <c r="FV16" s="1089">
        <f t="shared" si="107"/>
        <v>0</v>
      </c>
      <c r="FW16" s="3"/>
      <c r="FX16" s="1090">
        <f>IF(NOW()&gt;=DATE(YEAR(FU$2),MONTH(FU$2)+1,DAY(FU$2)),SUMIFS(TF_SOTIEN,TF_DA,$C16,TF_THANG,FU$2,TF_KM,$E16)/1000, GA16)</f>
        <v>0</v>
      </c>
      <c r="FY16" s="1089">
        <f t="shared" si="108"/>
        <v>0</v>
      </c>
      <c r="FZ16" s="3"/>
      <c r="GA16" s="1090">
        <f>IF(NOW()&gt;=DATE(YEAR(FU$2),MONTH(FU$2)+1,DAY(FU$2)),SUMIFS(AC_SOTIEN,AC_DA,$C16,AC_THANG,FU$2,AC_KM,$E16),SUMIFS(TF_SOTIEN,TF_DA,$C16,TF_THANG,FU$2,TF_KM,$E16))/ 1000</f>
        <v>0</v>
      </c>
      <c r="GB16" s="1089" t="str">
        <f t="shared" si="109"/>
        <v/>
      </c>
      <c r="GC16" s="3"/>
      <c r="GD16" s="1090">
        <f t="shared" si="110"/>
        <v>0</v>
      </c>
      <c r="GE16" s="1091" t="str">
        <f t="shared" si="111"/>
        <v/>
      </c>
      <c r="GF16" s="1090">
        <f t="shared" si="112"/>
        <v>0</v>
      </c>
      <c r="GG16" s="1091" t="str">
        <f t="shared" si="113"/>
        <v/>
      </c>
      <c r="GH16" s="1088">
        <f>SUMIFS(BP_SOTIEN,BP_DA,$C16,BP_THANG,GH$2,BP_KM,$E16)/1000</f>
        <v>0</v>
      </c>
      <c r="GI16" s="1089">
        <f t="shared" si="114"/>
        <v>0</v>
      </c>
      <c r="GJ16" s="3"/>
      <c r="GK16" s="1090">
        <f>IF(NOW()&gt;=DATE(YEAR(GH$2),MONTH(GH$2)+1,DAY(GH$2)),SUMIFS(TF_SOTIEN,TF_DA,$C16,TF_THANG,GH$2,TF_KM,$E16)/1000, GN16)</f>
        <v>0</v>
      </c>
      <c r="GL16" s="1089">
        <f t="shared" si="115"/>
        <v>0</v>
      </c>
      <c r="GM16" s="3"/>
      <c r="GN16" s="1090">
        <f>IF(NOW()&gt;=DATE(YEAR(GH$2),MONTH(GH$2)+1,DAY(GH$2)),SUMIFS(AC_SOTIEN,AC_DA,$C16,AC_THANG,GH$2,AC_KM,$E16),SUMIFS(TF_SOTIEN,TF_DA,$C16,TF_THANG,GH$2,TF_KM,$E16))/ 1000</f>
        <v>0</v>
      </c>
      <c r="GO16" s="1089" t="str">
        <f t="shared" si="116"/>
        <v/>
      </c>
      <c r="GP16" s="3"/>
      <c r="GQ16" s="1090">
        <f t="shared" si="117"/>
        <v>0</v>
      </c>
      <c r="GR16" s="1091" t="str">
        <f t="shared" si="118"/>
        <v/>
      </c>
      <c r="GS16" s="1090">
        <f t="shared" si="119"/>
        <v>0</v>
      </c>
      <c r="GT16" s="1091" t="str">
        <f t="shared" si="120"/>
        <v/>
      </c>
      <c r="GU16" s="1088">
        <f>SUMIFS(BP_SOTIEN,BP_DA,$C16,BP_THANG,GU$2,BP_KM,$E16)/1000</f>
        <v>0</v>
      </c>
      <c r="GV16" s="1089">
        <f t="shared" si="121"/>
        <v>0</v>
      </c>
      <c r="GW16" s="3"/>
      <c r="GX16" s="1090">
        <f>IF(NOW()&gt;=DATE(YEAR(GU$2),MONTH(GU$2)+1,DAY(GU$2)),SUMIFS(TF_SOTIEN,TF_DA,$C16,TF_THANG,GU$2,TF_KM,$E16)/1000, HA16)</f>
        <v>0</v>
      </c>
      <c r="GY16" s="1089">
        <f t="shared" si="122"/>
        <v>0</v>
      </c>
      <c r="GZ16" s="3"/>
      <c r="HA16" s="1090">
        <f>IF(NOW()&gt;=DATE(YEAR(GU$2),MONTH(GU$2)+1,DAY(GU$2)),SUMIFS(AC_SOTIEN,AC_DA,$C16,AC_THANG,GU$2,AC_KM,$E16),SUMIFS(TF_SOTIEN,TF_DA,$C16,TF_THANG,GU$2,TF_KM,$E16))/ 1000</f>
        <v>0</v>
      </c>
      <c r="HB16" s="1089" t="str">
        <f t="shared" si="123"/>
        <v/>
      </c>
      <c r="HC16" s="3"/>
      <c r="HD16" s="1090">
        <f t="shared" si="124"/>
        <v>0</v>
      </c>
      <c r="HE16" s="1091" t="str">
        <f t="shared" si="125"/>
        <v/>
      </c>
      <c r="HF16" s="1090">
        <f t="shared" si="126"/>
        <v>0</v>
      </c>
      <c r="HG16" s="1091" t="str">
        <f t="shared" si="127"/>
        <v/>
      </c>
      <c r="HH16" s="1088">
        <f t="shared" si="128"/>
        <v>0</v>
      </c>
      <c r="HI16" s="1089">
        <f t="shared" si="129"/>
        <v>0</v>
      </c>
      <c r="HJ16" s="3"/>
      <c r="HK16" s="1090">
        <f t="shared" si="130"/>
        <v>0</v>
      </c>
      <c r="HL16" s="1089">
        <f t="shared" si="131"/>
        <v>0</v>
      </c>
      <c r="HM16" s="3"/>
      <c r="HN16" s="1090">
        <f t="shared" si="132"/>
        <v>0</v>
      </c>
      <c r="HO16" s="1089" t="str">
        <f t="shared" si="133"/>
        <v/>
      </c>
      <c r="HP16" s="3"/>
      <c r="HQ16" s="1090">
        <f t="shared" si="134"/>
        <v>0</v>
      </c>
      <c r="HR16" s="1091" t="str">
        <f t="shared" si="135"/>
        <v/>
      </c>
      <c r="HS16" s="1090">
        <f t="shared" si="136"/>
        <v>0</v>
      </c>
      <c r="HT16" s="1091" t="str">
        <f t="shared" si="137"/>
        <v/>
      </c>
      <c r="HU16" s="1088">
        <f t="shared" si="138"/>
        <v>0</v>
      </c>
      <c r="HV16" s="1089">
        <f t="shared" si="139"/>
        <v>0</v>
      </c>
      <c r="HW16" s="3"/>
      <c r="HX16" s="1090">
        <f t="shared" si="140"/>
        <v>0</v>
      </c>
      <c r="HY16" s="1089">
        <f t="shared" si="141"/>
        <v>0</v>
      </c>
      <c r="HZ16" s="3"/>
      <c r="IA16" s="1090">
        <f t="shared" si="142"/>
        <v>0</v>
      </c>
      <c r="IB16" s="1089" t="str">
        <f t="shared" si="143"/>
        <v/>
      </c>
      <c r="IC16" s="3"/>
      <c r="ID16" s="1090">
        <f t="shared" si="144"/>
        <v>0</v>
      </c>
      <c r="IE16" s="1091" t="str">
        <f t="shared" si="145"/>
        <v/>
      </c>
      <c r="IF16" s="1090">
        <f t="shared" si="146"/>
        <v>0</v>
      </c>
      <c r="IG16" s="1091" t="str">
        <f t="shared" si="147"/>
        <v/>
      </c>
      <c r="IH16" s="1088">
        <f t="shared" si="148"/>
        <v>0</v>
      </c>
      <c r="II16" s="1089">
        <f t="shared" si="149"/>
        <v>0</v>
      </c>
      <c r="IJ16" s="3"/>
      <c r="IK16" s="1090">
        <f t="shared" si="150"/>
        <v>11984804</v>
      </c>
      <c r="IL16" s="1089">
        <f t="shared" si="151"/>
        <v>0.03129315821</v>
      </c>
      <c r="IM16" s="3"/>
      <c r="IN16" s="1090">
        <f t="shared" si="152"/>
        <v>5081300</v>
      </c>
      <c r="IO16" s="1089">
        <f t="shared" si="153"/>
        <v>0.1351106474</v>
      </c>
      <c r="IP16" s="3"/>
      <c r="IQ16" s="1090">
        <f t="shared" si="154"/>
        <v>5081300</v>
      </c>
      <c r="IR16" s="1091" t="str">
        <f t="shared" si="1"/>
        <v/>
      </c>
      <c r="IS16" s="1090">
        <f t="shared" si="155"/>
        <v>-6903504</v>
      </c>
      <c r="IT16" s="1091">
        <f t="shared" si="2"/>
        <v>-0.5760214351</v>
      </c>
    </row>
    <row r="17" hidden="1" outlineLevel="1">
      <c r="A17" s="1086">
        <f t="shared" si="3"/>
        <v>9</v>
      </c>
      <c r="B17" s="1087" t="s">
        <v>2821</v>
      </c>
      <c r="C17" s="1099" t="s">
        <v>1304</v>
      </c>
      <c r="D17" s="1087" t="str">
        <f>IF(C17&gt;0,VLOOKUP(C17,DM_DUAN ,2,"") ,IF(B17&gt;0,VLOOKUP(B17,DM_CDT,2,""),""))</f>
        <v>KDC Kim Thịnh Phú</v>
      </c>
      <c r="E17" s="1087" t="s">
        <v>198</v>
      </c>
      <c r="F17" s="1087"/>
      <c r="G17" s="1086">
        <v>2.0</v>
      </c>
      <c r="H17" s="1088">
        <f>SUMIFS(BP_SOTIEN,BP_DA,$C17,BP_THANG,H$2,BP_KM,$E17)/1000</f>
        <v>0</v>
      </c>
      <c r="I17" s="1089" t="str">
        <f t="shared" si="4"/>
        <v/>
      </c>
      <c r="J17" s="3"/>
      <c r="K17" s="1090">
        <f>IF(NOW()&gt;=DATE(YEAR(H$2),MONTH(H$2)+1,DAY(H$2)),SUMIFS(TF_SOTIEN,TF_DA,$C17,TF_THANG,H$2,TF_KM,$E17)/1000, N17)</f>
        <v>0</v>
      </c>
      <c r="L17" s="1089">
        <f t="shared" si="5"/>
        <v>0</v>
      </c>
      <c r="M17" s="3"/>
      <c r="N17" s="1090">
        <f>IF(NOW()&gt;=DATE(YEAR(H$2),MONTH(H$2)+1,DAY(H$2)),SUMIFS(AC_SOTIEN,AC_DA,$C17,AC_THANG,H$2,AC_KM,$E17),SUMIFS(TF_SOTIEN,TF_DA,$C17,TF_THANG,H$2,TF_KM,$E17))/ 1000</f>
        <v>0</v>
      </c>
      <c r="O17" s="1089">
        <f t="shared" si="6"/>
        <v>0</v>
      </c>
      <c r="P17" s="3"/>
      <c r="Q17" s="1090">
        <f t="shared" si="7"/>
        <v>0</v>
      </c>
      <c r="R17" s="1091" t="str">
        <f t="shared" si="8"/>
        <v/>
      </c>
      <c r="S17" s="1090">
        <f t="shared" si="9"/>
        <v>0</v>
      </c>
      <c r="T17" s="1091" t="str">
        <f t="shared" si="10"/>
        <v/>
      </c>
      <c r="U17" s="1088">
        <f>SUMIFS(BP_SOTIEN,BP_DA,$C17,BP_THANG,U$2,BP_KM,$E17)/1000</f>
        <v>0</v>
      </c>
      <c r="V17" s="1089" t="str">
        <f t="shared" si="11"/>
        <v/>
      </c>
      <c r="W17" s="3"/>
      <c r="X17" s="1090">
        <f>IF(NOW()&gt;=DATE(YEAR(U$2),MONTH(U$2)+1,DAY(U$2)),SUMIFS(TF_SOTIEN,TF_DA,$C17,TF_THANG,U$2,TF_KM,$E17)/1000, AA17)</f>
        <v>0</v>
      </c>
      <c r="Y17" s="1089" t="str">
        <f t="shared" si="12"/>
        <v/>
      </c>
      <c r="Z17" s="3"/>
      <c r="AA17" s="1090">
        <f>IF(NOW()&gt;=DATE(YEAR(U$2),MONTH(U$2)+1,DAY(U$2)),SUMIFS(AC_SOTIEN,AC_DA,$C17,AC_THANG,U$2,AC_KM,$E17),SUMIFS(TF_SOTIEN,TF_DA,$C17,TF_THANG,U$2,TF_KM,$E17))/ 1000</f>
        <v>0</v>
      </c>
      <c r="AB17" s="1089">
        <f t="shared" si="13"/>
        <v>0</v>
      </c>
      <c r="AC17" s="3"/>
      <c r="AD17" s="1090">
        <f t="shared" si="14"/>
        <v>0</v>
      </c>
      <c r="AE17" s="1091" t="str">
        <f t="shared" si="15"/>
        <v/>
      </c>
      <c r="AF17" s="1090">
        <f t="shared" si="16"/>
        <v>0</v>
      </c>
      <c r="AG17" s="1091" t="str">
        <f t="shared" si="17"/>
        <v/>
      </c>
      <c r="AH17" s="1088">
        <f>SUMIFS(BP_SOTIEN,BP_DA,$C17,BP_THANG,AH$2,BP_KM,$E17)/1000</f>
        <v>0</v>
      </c>
      <c r="AI17" s="1089" t="str">
        <f t="shared" si="18"/>
        <v/>
      </c>
      <c r="AJ17" s="3"/>
      <c r="AK17" s="1090">
        <f>IF(NOW()&gt;=DATE(YEAR(AH$2),MONTH(AH$2)+1,DAY(AH$2)),SUMIFS(TF_SOTIEN,TF_DA,$C17,TF_THANG,AH$2,TF_KM,$E17)/1000, AN17)</f>
        <v>0</v>
      </c>
      <c r="AL17" s="1089">
        <f t="shared" si="19"/>
        <v>0</v>
      </c>
      <c r="AM17" s="3"/>
      <c r="AN17" s="1090">
        <f>IF(NOW()&gt;=DATE(YEAR(AH$2),MONTH(AH$2)+1,DAY(AH$2)),SUMIFS(AC_SOTIEN,AC_DA,$C17,AC_THANG,AH$2,AC_KM,$E17),SUMIFS(TF_SOTIEN,TF_DA,$C17,TF_THANG,AH$2,TF_KM,$E17))/ 1000</f>
        <v>0</v>
      </c>
      <c r="AO17" s="1089">
        <f t="shared" si="20"/>
        <v>0</v>
      </c>
      <c r="AP17" s="3"/>
      <c r="AQ17" s="1090">
        <f t="shared" si="21"/>
        <v>0</v>
      </c>
      <c r="AR17" s="1091" t="str">
        <f t="shared" si="22"/>
        <v/>
      </c>
      <c r="AS17" s="1090">
        <f t="shared" si="23"/>
        <v>0</v>
      </c>
      <c r="AT17" s="1091" t="str">
        <f t="shared" si="24"/>
        <v/>
      </c>
      <c r="AU17" s="1088">
        <f t="shared" si="25"/>
        <v>0</v>
      </c>
      <c r="AV17" s="1089" t="str">
        <f t="shared" si="26"/>
        <v/>
      </c>
      <c r="AW17" s="3"/>
      <c r="AX17" s="1090">
        <f t="shared" si="27"/>
        <v>0</v>
      </c>
      <c r="AY17" s="1089">
        <f t="shared" si="28"/>
        <v>0</v>
      </c>
      <c r="AZ17" s="3"/>
      <c r="BA17" s="1090">
        <f t="shared" si="29"/>
        <v>0</v>
      </c>
      <c r="BB17" s="1089">
        <f t="shared" si="30"/>
        <v>0</v>
      </c>
      <c r="BC17" s="3"/>
      <c r="BD17" s="1090">
        <f t="shared" si="31"/>
        <v>0</v>
      </c>
      <c r="BE17" s="1091" t="str">
        <f t="shared" si="32"/>
        <v/>
      </c>
      <c r="BF17" s="1090">
        <f t="shared" si="33"/>
        <v>0</v>
      </c>
      <c r="BG17" s="1091" t="str">
        <f t="shared" si="34"/>
        <v/>
      </c>
      <c r="BH17" s="1088">
        <f>SUMIFS(BP_SOTIEN,BP_DA,$C17,BP_THANG,BH$2,BP_KM,$E17)/1000</f>
        <v>0</v>
      </c>
      <c r="BI17" s="1089">
        <f t="shared" si="35"/>
        <v>0</v>
      </c>
      <c r="BJ17" s="3"/>
      <c r="BK17" s="1090">
        <f>IF(NOW()&gt;=DATE(YEAR(BH$2),MONTH(BH$2)+1,DAY(BH$2)),SUMIFS(TF_SOTIEN,TF_DA,$C17,TF_THANG,BH$2,TF_KM,$E17)/1000, BN17)</f>
        <v>0</v>
      </c>
      <c r="BL17" s="1089">
        <f t="shared" si="36"/>
        <v>0</v>
      </c>
      <c r="BM17" s="3"/>
      <c r="BN17" s="1090">
        <f>IF(NOW()&gt;=DATE(YEAR(BH$2),MONTH(BH$2)+1,DAY(BH$2)),SUMIFS(AC_SOTIEN,AC_DA,$C17,AC_THANG,BH$2,AC_KM,$E17),SUMIFS(TF_SOTIEN,TF_DA,$C17,TF_THANG,BH$2,TF_KM,$E17))/ 1000</f>
        <v>0</v>
      </c>
      <c r="BO17" s="1089">
        <f t="shared" si="37"/>
        <v>0</v>
      </c>
      <c r="BP17" s="3"/>
      <c r="BQ17" s="1090">
        <f t="shared" si="38"/>
        <v>0</v>
      </c>
      <c r="BR17" s="1091" t="str">
        <f t="shared" si="39"/>
        <v/>
      </c>
      <c r="BS17" s="1090">
        <f t="shared" si="40"/>
        <v>0</v>
      </c>
      <c r="BT17" s="1091" t="str">
        <f t="shared" si="41"/>
        <v/>
      </c>
      <c r="BU17" s="1088">
        <f>SUMIFS(BP_SOTIEN,BP_DA,$C17,BP_THANG,BU$2,BP_KM,$E17)/1000</f>
        <v>0</v>
      </c>
      <c r="BV17" s="1089">
        <f t="shared" si="42"/>
        <v>0</v>
      </c>
      <c r="BW17" s="3"/>
      <c r="BX17" s="1090">
        <f>IF(NOW()&gt;=DATE(YEAR(BU$2),MONTH(BU$2)+1,DAY(BU$2)),SUMIFS(TF_SOTIEN,TF_DA,$C17,TF_THANG,BU$2,TF_KM,$E17)/1000, CA17)</f>
        <v>0</v>
      </c>
      <c r="BY17" s="1089">
        <f t="shared" si="43"/>
        <v>0</v>
      </c>
      <c r="BZ17" s="3"/>
      <c r="CA17" s="1090">
        <f>IF(NOW()&gt;=DATE(YEAR(BU$2),MONTH(BU$2)+1,DAY(BU$2)),SUMIFS(AC_SOTIEN,AC_DA,$C17,AC_THANG,BU$2,AC_KM,$E17),SUMIFS(TF_SOTIEN,TF_DA,$C17,TF_THANG,BU$2,TF_KM,$E17))/ 1000</f>
        <v>0</v>
      </c>
      <c r="CB17" s="1089">
        <f t="shared" si="44"/>
        <v>0</v>
      </c>
      <c r="CC17" s="3"/>
      <c r="CD17" s="1090">
        <f t="shared" si="45"/>
        <v>0</v>
      </c>
      <c r="CE17" s="1091" t="str">
        <f t="shared" si="46"/>
        <v/>
      </c>
      <c r="CF17" s="1090">
        <f t="shared" si="47"/>
        <v>0</v>
      </c>
      <c r="CG17" s="1091" t="str">
        <f t="shared" si="48"/>
        <v/>
      </c>
      <c r="CH17" s="1088">
        <f>SUMIFS(BP_SOTIEN,BP_DA,$C17,BP_THANG,CH$2,BP_KM,$E17)/1000</f>
        <v>0</v>
      </c>
      <c r="CI17" s="1089">
        <f t="shared" si="49"/>
        <v>0</v>
      </c>
      <c r="CJ17" s="3"/>
      <c r="CK17" s="1090">
        <f>IF(NOW()&gt;=DATE(YEAR(CH$2),MONTH(CH$2)+1,DAY(CH$2)),SUMIFS(TF_SOTIEN,TF_DA,$C17,TF_THANG,CH$2,TF_KM,$E17)/1000, CN17)</f>
        <v>0</v>
      </c>
      <c r="CL17" s="1089" t="str">
        <f t="shared" si="50"/>
        <v/>
      </c>
      <c r="CM17" s="3"/>
      <c r="CN17" s="1090">
        <f>IF(NOW()&gt;=DATE(YEAR(CH$2),MONTH(CH$2)+1,DAY(CH$2)),SUMIFS(AC_SOTIEN,AC_DA,$C17,AC_THANG,CH$2,AC_KM,$E17),SUMIFS(TF_SOTIEN,TF_DA,$C17,TF_THANG,CH$2,TF_KM,$E17))/ 1000</f>
        <v>0</v>
      </c>
      <c r="CO17" s="1089">
        <f t="shared" si="51"/>
        <v>0</v>
      </c>
      <c r="CP17" s="3"/>
      <c r="CQ17" s="1090">
        <f t="shared" si="52"/>
        <v>0</v>
      </c>
      <c r="CR17" s="1091" t="str">
        <f t="shared" si="53"/>
        <v/>
      </c>
      <c r="CS17" s="1090">
        <f t="shared" si="54"/>
        <v>0</v>
      </c>
      <c r="CT17" s="1091" t="str">
        <f t="shared" si="55"/>
        <v/>
      </c>
      <c r="CU17" s="1088">
        <f t="shared" si="56"/>
        <v>0</v>
      </c>
      <c r="CV17" s="1089">
        <f t="shared" si="57"/>
        <v>0</v>
      </c>
      <c r="CW17" s="3"/>
      <c r="CX17" s="1090">
        <f t="shared" si="58"/>
        <v>0</v>
      </c>
      <c r="CY17" s="1089">
        <f t="shared" si="59"/>
        <v>0</v>
      </c>
      <c r="CZ17" s="3"/>
      <c r="DA17" s="1090">
        <f t="shared" si="60"/>
        <v>0</v>
      </c>
      <c r="DB17" s="1089">
        <f t="shared" si="61"/>
        <v>0</v>
      </c>
      <c r="DC17" s="3"/>
      <c r="DD17" s="1090">
        <f t="shared" si="62"/>
        <v>0</v>
      </c>
      <c r="DE17" s="1091" t="str">
        <f t="shared" si="63"/>
        <v/>
      </c>
      <c r="DF17" s="1090">
        <f t="shared" si="64"/>
        <v>0</v>
      </c>
      <c r="DG17" s="1091" t="str">
        <f t="shared" si="65"/>
        <v/>
      </c>
      <c r="DH17" s="1088">
        <f t="shared" si="66"/>
        <v>0</v>
      </c>
      <c r="DI17" s="1089">
        <f t="shared" si="67"/>
        <v>0</v>
      </c>
      <c r="DJ17" s="3"/>
      <c r="DK17" s="1090">
        <f t="shared" si="68"/>
        <v>0</v>
      </c>
      <c r="DL17" s="1089">
        <f t="shared" si="69"/>
        <v>0</v>
      </c>
      <c r="DM17" s="3"/>
      <c r="DN17" s="1090">
        <f t="shared" si="70"/>
        <v>0</v>
      </c>
      <c r="DO17" s="1089">
        <f t="shared" si="71"/>
        <v>0</v>
      </c>
      <c r="DP17" s="3"/>
      <c r="DQ17" s="1090">
        <f t="shared" si="72"/>
        <v>0</v>
      </c>
      <c r="DR17" s="1091" t="str">
        <f t="shared" si="73"/>
        <v/>
      </c>
      <c r="DS17" s="1090">
        <f t="shared" si="74"/>
        <v>0</v>
      </c>
      <c r="DT17" s="1091" t="str">
        <f t="shared" si="75"/>
        <v/>
      </c>
      <c r="DU17" s="1088">
        <f>SUMIFS(BP_SOTIEN,BP_DA,$C17,BP_THANG,DU$2,BP_KM,$E17)/1000</f>
        <v>0</v>
      </c>
      <c r="DV17" s="1089">
        <f t="shared" si="76"/>
        <v>0</v>
      </c>
      <c r="DW17" s="3"/>
      <c r="DX17" s="1090">
        <f>IF(NOW()&gt;=DATE(YEAR(DU$2),MONTH(DU$2)+1,DAY(DU$2)),SUMIFS(TF_SOTIEN,TF_DA,$C17,TF_THANG,DU$2,TF_KM,$E17)/1000, EA17)</f>
        <v>0</v>
      </c>
      <c r="DY17" s="1089">
        <f t="shared" si="77"/>
        <v>0</v>
      </c>
      <c r="DZ17" s="3"/>
      <c r="EA17" s="1090">
        <f>IF(NOW()&gt;=DATE(YEAR(DU$2),MONTH(DU$2)+1,DAY(DU$2)),SUMIFS(AC_SOTIEN,AC_DA,$C17,AC_THANG,DU$2,AC_KM,$E17),SUMIFS(TF_SOTIEN,TF_DA,$C17,TF_THANG,DU$2,TF_KM,$E17))/ 1000</f>
        <v>0</v>
      </c>
      <c r="EB17" s="1089" t="str">
        <f t="shared" si="78"/>
        <v/>
      </c>
      <c r="EC17" s="3"/>
      <c r="ED17" s="1090">
        <f t="shared" si="79"/>
        <v>0</v>
      </c>
      <c r="EE17" s="1091" t="str">
        <f t="shared" si="80"/>
        <v/>
      </c>
      <c r="EF17" s="1090">
        <f t="shared" si="81"/>
        <v>0</v>
      </c>
      <c r="EG17" s="1091" t="str">
        <f t="shared" si="82"/>
        <v/>
      </c>
      <c r="EH17" s="1088">
        <f>SUMIFS(BP_SOTIEN,BP_DA,$C17,BP_THANG,EH$2,BP_KM,$E17)/1000</f>
        <v>0</v>
      </c>
      <c r="EI17" s="1089">
        <f t="shared" si="83"/>
        <v>0</v>
      </c>
      <c r="EJ17" s="3"/>
      <c r="EK17" s="1090">
        <f>IF(NOW()&gt;=DATE(YEAR(EH$2),MONTH(EH$2)+1,DAY(EH$2)),SUMIFS(TF_SOTIEN,TF_DA,$C17,TF_THANG,EH$2,TF_KM,$E17)/1000, EN17)</f>
        <v>0</v>
      </c>
      <c r="EL17" s="1089">
        <f t="shared" si="84"/>
        <v>0</v>
      </c>
      <c r="EM17" s="3"/>
      <c r="EN17" s="1090">
        <f>IF(NOW()&gt;=DATE(YEAR(EH$2),MONTH(EH$2)+1,DAY(EH$2)),SUMIFS(AC_SOTIEN,AC_DA,$C17,AC_THANG,EH$2,AC_KM,$E17),SUMIFS(TF_SOTIEN,TF_DA,$C17,TF_THANG,EH$2,TF_KM,$E17))/ 1000</f>
        <v>0</v>
      </c>
      <c r="EO17" s="1089" t="str">
        <f t="shared" si="85"/>
        <v/>
      </c>
      <c r="EP17" s="3"/>
      <c r="EQ17" s="1090">
        <f t="shared" si="86"/>
        <v>0</v>
      </c>
      <c r="ER17" s="1091" t="str">
        <f t="shared" si="87"/>
        <v/>
      </c>
      <c r="ES17" s="1090">
        <f t="shared" si="88"/>
        <v>0</v>
      </c>
      <c r="ET17" s="1091" t="str">
        <f t="shared" si="89"/>
        <v/>
      </c>
      <c r="EU17" s="1088">
        <f>SUMIFS(BP_SOTIEN,BP_DA,$C17,BP_THANG,EU$2,BP_KM,$E17)/1000</f>
        <v>0</v>
      </c>
      <c r="EV17" s="1089">
        <f t="shared" si="90"/>
        <v>0</v>
      </c>
      <c r="EW17" s="3"/>
      <c r="EX17" s="1090">
        <f>IF(NOW()&gt;=DATE(YEAR(EU$2),MONTH(EU$2)+1,DAY(EU$2)),SUMIFS(TF_SOTIEN,TF_DA,$C17,TF_THANG,EU$2,TF_KM,$E17)/1000, FA17)</f>
        <v>0</v>
      </c>
      <c r="EY17" s="1089">
        <f t="shared" si="91"/>
        <v>0</v>
      </c>
      <c r="EZ17" s="3"/>
      <c r="FA17" s="1090">
        <f>IF(NOW()&gt;=DATE(YEAR(EU$2),MONTH(EU$2)+1,DAY(EU$2)),SUMIFS(AC_SOTIEN,AC_DA,$C17,AC_THANG,EU$2,AC_KM,$E17),SUMIFS(TF_SOTIEN,TF_DA,$C17,TF_THANG,EU$2,TF_KM,$E17))/ 1000</f>
        <v>0</v>
      </c>
      <c r="FB17" s="1089" t="str">
        <f t="shared" si="92"/>
        <v/>
      </c>
      <c r="FC17" s="3"/>
      <c r="FD17" s="1090">
        <f t="shared" si="93"/>
        <v>0</v>
      </c>
      <c r="FE17" s="1091" t="str">
        <f t="shared" si="94"/>
        <v/>
      </c>
      <c r="FF17" s="1090">
        <f t="shared" si="95"/>
        <v>0</v>
      </c>
      <c r="FG17" s="1091" t="str">
        <f t="shared" si="96"/>
        <v/>
      </c>
      <c r="FH17" s="1088">
        <f t="shared" si="97"/>
        <v>0</v>
      </c>
      <c r="FI17" s="1089">
        <f t="shared" si="98"/>
        <v>0</v>
      </c>
      <c r="FJ17" s="3"/>
      <c r="FK17" s="1090">
        <f t="shared" si="99"/>
        <v>0</v>
      </c>
      <c r="FL17" s="1089">
        <f t="shared" si="100"/>
        <v>0</v>
      </c>
      <c r="FM17" s="3"/>
      <c r="FN17" s="1090">
        <f t="shared" si="101"/>
        <v>0</v>
      </c>
      <c r="FO17" s="1089" t="str">
        <f t="shared" si="102"/>
        <v/>
      </c>
      <c r="FP17" s="3"/>
      <c r="FQ17" s="1090">
        <f t="shared" si="103"/>
        <v>0</v>
      </c>
      <c r="FR17" s="1091" t="str">
        <f t="shared" si="104"/>
        <v/>
      </c>
      <c r="FS17" s="1090">
        <f t="shared" si="105"/>
        <v>0</v>
      </c>
      <c r="FT17" s="1091" t="str">
        <f t="shared" si="106"/>
        <v/>
      </c>
      <c r="FU17" s="1088">
        <f>SUMIFS(BP_SOTIEN,BP_DA,$C17,BP_THANG,FU$2,BP_KM,$E17)/1000</f>
        <v>0</v>
      </c>
      <c r="FV17" s="1089">
        <f t="shared" si="107"/>
        <v>0</v>
      </c>
      <c r="FW17" s="3"/>
      <c r="FX17" s="1090">
        <f>IF(NOW()&gt;=DATE(YEAR(FU$2),MONTH(FU$2)+1,DAY(FU$2)),SUMIFS(TF_SOTIEN,TF_DA,$C17,TF_THANG,FU$2,TF_KM,$E17)/1000, GA17)</f>
        <v>0</v>
      </c>
      <c r="FY17" s="1089">
        <f t="shared" si="108"/>
        <v>0</v>
      </c>
      <c r="FZ17" s="3"/>
      <c r="GA17" s="1090">
        <f>IF(NOW()&gt;=DATE(YEAR(FU$2),MONTH(FU$2)+1,DAY(FU$2)),SUMIFS(AC_SOTIEN,AC_DA,$C17,AC_THANG,FU$2,AC_KM,$E17),SUMIFS(TF_SOTIEN,TF_DA,$C17,TF_THANG,FU$2,TF_KM,$E17))/ 1000</f>
        <v>0</v>
      </c>
      <c r="GB17" s="1089" t="str">
        <f t="shared" si="109"/>
        <v/>
      </c>
      <c r="GC17" s="3"/>
      <c r="GD17" s="1090">
        <f t="shared" si="110"/>
        <v>0</v>
      </c>
      <c r="GE17" s="1091" t="str">
        <f t="shared" si="111"/>
        <v/>
      </c>
      <c r="GF17" s="1090">
        <f t="shared" si="112"/>
        <v>0</v>
      </c>
      <c r="GG17" s="1091" t="str">
        <f t="shared" si="113"/>
        <v/>
      </c>
      <c r="GH17" s="1088">
        <f>SUMIFS(BP_SOTIEN,BP_DA,$C17,BP_THANG,GH$2,BP_KM,$E17)/1000</f>
        <v>0</v>
      </c>
      <c r="GI17" s="1089">
        <f t="shared" si="114"/>
        <v>0</v>
      </c>
      <c r="GJ17" s="3"/>
      <c r="GK17" s="1090">
        <f>IF(NOW()&gt;=DATE(YEAR(GH$2),MONTH(GH$2)+1,DAY(GH$2)),SUMIFS(TF_SOTIEN,TF_DA,$C17,TF_THANG,GH$2,TF_KM,$E17)/1000, GN17)</f>
        <v>0</v>
      </c>
      <c r="GL17" s="1089">
        <f t="shared" si="115"/>
        <v>0</v>
      </c>
      <c r="GM17" s="3"/>
      <c r="GN17" s="1090">
        <f>IF(NOW()&gt;=DATE(YEAR(GH$2),MONTH(GH$2)+1,DAY(GH$2)),SUMIFS(AC_SOTIEN,AC_DA,$C17,AC_THANG,GH$2,AC_KM,$E17),SUMIFS(TF_SOTIEN,TF_DA,$C17,TF_THANG,GH$2,TF_KM,$E17))/ 1000</f>
        <v>0</v>
      </c>
      <c r="GO17" s="1089" t="str">
        <f t="shared" si="116"/>
        <v/>
      </c>
      <c r="GP17" s="3"/>
      <c r="GQ17" s="1090">
        <f t="shared" si="117"/>
        <v>0</v>
      </c>
      <c r="GR17" s="1091" t="str">
        <f t="shared" si="118"/>
        <v/>
      </c>
      <c r="GS17" s="1090">
        <f t="shared" si="119"/>
        <v>0</v>
      </c>
      <c r="GT17" s="1091" t="str">
        <f t="shared" si="120"/>
        <v/>
      </c>
      <c r="GU17" s="1088">
        <f>SUMIFS(BP_SOTIEN,BP_DA,$C17,BP_THANG,GU$2,BP_KM,$E17)/1000</f>
        <v>0</v>
      </c>
      <c r="GV17" s="1089">
        <f t="shared" si="121"/>
        <v>0</v>
      </c>
      <c r="GW17" s="3"/>
      <c r="GX17" s="1090">
        <f>IF(NOW()&gt;=DATE(YEAR(GU$2),MONTH(GU$2)+1,DAY(GU$2)),SUMIFS(TF_SOTIEN,TF_DA,$C17,TF_THANG,GU$2,TF_KM,$E17)/1000, HA17)</f>
        <v>0</v>
      </c>
      <c r="GY17" s="1089">
        <f t="shared" si="122"/>
        <v>0</v>
      </c>
      <c r="GZ17" s="3"/>
      <c r="HA17" s="1090">
        <f>IF(NOW()&gt;=DATE(YEAR(GU$2),MONTH(GU$2)+1,DAY(GU$2)),SUMIFS(AC_SOTIEN,AC_DA,$C17,AC_THANG,GU$2,AC_KM,$E17),SUMIFS(TF_SOTIEN,TF_DA,$C17,TF_THANG,GU$2,TF_KM,$E17))/ 1000</f>
        <v>0</v>
      </c>
      <c r="HB17" s="1089" t="str">
        <f t="shared" si="123"/>
        <v/>
      </c>
      <c r="HC17" s="3"/>
      <c r="HD17" s="1090">
        <f t="shared" si="124"/>
        <v>0</v>
      </c>
      <c r="HE17" s="1091" t="str">
        <f t="shared" si="125"/>
        <v/>
      </c>
      <c r="HF17" s="1090">
        <f t="shared" si="126"/>
        <v>0</v>
      </c>
      <c r="HG17" s="1091" t="str">
        <f t="shared" si="127"/>
        <v/>
      </c>
      <c r="HH17" s="1088">
        <f t="shared" si="128"/>
        <v>0</v>
      </c>
      <c r="HI17" s="1089">
        <f t="shared" si="129"/>
        <v>0</v>
      </c>
      <c r="HJ17" s="3"/>
      <c r="HK17" s="1090">
        <f t="shared" si="130"/>
        <v>0</v>
      </c>
      <c r="HL17" s="1089">
        <f t="shared" si="131"/>
        <v>0</v>
      </c>
      <c r="HM17" s="3"/>
      <c r="HN17" s="1090">
        <f t="shared" si="132"/>
        <v>0</v>
      </c>
      <c r="HO17" s="1089" t="str">
        <f t="shared" si="133"/>
        <v/>
      </c>
      <c r="HP17" s="3"/>
      <c r="HQ17" s="1090">
        <f t="shared" si="134"/>
        <v>0</v>
      </c>
      <c r="HR17" s="1091" t="str">
        <f t="shared" si="135"/>
        <v/>
      </c>
      <c r="HS17" s="1090">
        <f t="shared" si="136"/>
        <v>0</v>
      </c>
      <c r="HT17" s="1091" t="str">
        <f t="shared" si="137"/>
        <v/>
      </c>
      <c r="HU17" s="1088">
        <f t="shared" si="138"/>
        <v>0</v>
      </c>
      <c r="HV17" s="1089">
        <f t="shared" si="139"/>
        <v>0</v>
      </c>
      <c r="HW17" s="3"/>
      <c r="HX17" s="1090">
        <f t="shared" si="140"/>
        <v>0</v>
      </c>
      <c r="HY17" s="1089">
        <f t="shared" si="141"/>
        <v>0</v>
      </c>
      <c r="HZ17" s="3"/>
      <c r="IA17" s="1090">
        <f t="shared" si="142"/>
        <v>0</v>
      </c>
      <c r="IB17" s="1089" t="str">
        <f t="shared" si="143"/>
        <v/>
      </c>
      <c r="IC17" s="3"/>
      <c r="ID17" s="1090">
        <f t="shared" si="144"/>
        <v>0</v>
      </c>
      <c r="IE17" s="1091" t="str">
        <f t="shared" si="145"/>
        <v/>
      </c>
      <c r="IF17" s="1090">
        <f t="shared" si="146"/>
        <v>0</v>
      </c>
      <c r="IG17" s="1091" t="str">
        <f t="shared" si="147"/>
        <v/>
      </c>
      <c r="IH17" s="1088">
        <f t="shared" si="148"/>
        <v>0</v>
      </c>
      <c r="II17" s="1089">
        <f t="shared" si="149"/>
        <v>0</v>
      </c>
      <c r="IJ17" s="3"/>
      <c r="IK17" s="1090">
        <f t="shared" si="150"/>
        <v>0</v>
      </c>
      <c r="IL17" s="1089">
        <f t="shared" si="151"/>
        <v>0</v>
      </c>
      <c r="IM17" s="3"/>
      <c r="IN17" s="1090">
        <f t="shared" si="152"/>
        <v>0</v>
      </c>
      <c r="IO17" s="1089">
        <f t="shared" si="153"/>
        <v>0</v>
      </c>
      <c r="IP17" s="3"/>
      <c r="IQ17" s="1090">
        <f t="shared" si="154"/>
        <v>0</v>
      </c>
      <c r="IR17" s="1091" t="str">
        <f t="shared" si="1"/>
        <v/>
      </c>
      <c r="IS17" s="1090">
        <f t="shared" si="155"/>
        <v>0</v>
      </c>
      <c r="IT17" s="1091" t="str">
        <f t="shared" si="2"/>
        <v/>
      </c>
    </row>
    <row r="18" hidden="1" outlineLevel="1">
      <c r="A18" s="737" t="str">
        <f t="shared" si="3"/>
        <v/>
      </c>
      <c r="B18" s="737"/>
      <c r="C18" s="744"/>
      <c r="D18" s="1087" t="str">
        <f>IF(C18&gt;0,VLOOKUP(C18,DM_DUAN ,2,"") ,IF(B18&gt;0,VLOOKUP(B18,DM_CDT,2,""),""))</f>
        <v/>
      </c>
      <c r="E18" s="1087" t="s">
        <v>198</v>
      </c>
      <c r="F18" s="737"/>
      <c r="G18" s="1086">
        <v>2.0</v>
      </c>
      <c r="H18" s="1088">
        <f>SUMIFS(BP_SOTIEN,BP_DA,$C18,BP_THANG,H$2,BP_KM,$E18)/1000</f>
        <v>0</v>
      </c>
      <c r="I18" s="1089" t="str">
        <f t="shared" si="4"/>
        <v/>
      </c>
      <c r="J18" s="3"/>
      <c r="K18" s="1090">
        <f>IF(NOW()&gt;=DATE(YEAR(H$2),MONTH(H$2)+1,DAY(H$2)),SUMIFS(TF_SOTIEN,TF_DA,$C18,TF_THANG,H$2,TF_KM,$E18)/1000, N18)</f>
        <v>0</v>
      </c>
      <c r="L18" s="1089">
        <f t="shared" si="5"/>
        <v>0</v>
      </c>
      <c r="M18" s="3"/>
      <c r="N18" s="1090">
        <f>IF(NOW()&gt;=DATE(YEAR(H$2),MONTH(H$2)+1,DAY(H$2)),SUMIFS(AC_SOTIEN,AC_DA,$C18,AC_THANG,H$2,AC_KM,$E18),SUMIFS(TF_SOTIEN,TF_DA,$C18,TF_THANG,H$2,TF_KM,$E18))/ 1000</f>
        <v>0</v>
      </c>
      <c r="O18" s="1089">
        <f t="shared" si="6"/>
        <v>0</v>
      </c>
      <c r="P18" s="3"/>
      <c r="Q18" s="1090">
        <f t="shared" si="7"/>
        <v>0</v>
      </c>
      <c r="R18" s="1091" t="str">
        <f t="shared" si="8"/>
        <v/>
      </c>
      <c r="S18" s="1090">
        <f t="shared" si="9"/>
        <v>0</v>
      </c>
      <c r="T18" s="1091" t="str">
        <f t="shared" si="10"/>
        <v/>
      </c>
      <c r="U18" s="1088">
        <f>SUMIFS(BP_SOTIEN,BP_DA,$C18,BP_THANG,U$2,BP_KM,$E18)/1000</f>
        <v>0</v>
      </c>
      <c r="V18" s="1089" t="str">
        <f t="shared" si="11"/>
        <v/>
      </c>
      <c r="W18" s="3"/>
      <c r="X18" s="1090">
        <f>IF(NOW()&gt;=DATE(YEAR(U$2),MONTH(U$2)+1,DAY(U$2)),SUMIFS(TF_SOTIEN,TF_DA,$C18,TF_THANG,U$2,TF_KM,$E18)/1000, AA18)</f>
        <v>0</v>
      </c>
      <c r="Y18" s="1089" t="str">
        <f t="shared" si="12"/>
        <v/>
      </c>
      <c r="Z18" s="3"/>
      <c r="AA18" s="1090">
        <f>IF(NOW()&gt;=DATE(YEAR(U$2),MONTH(U$2)+1,DAY(U$2)),SUMIFS(AC_SOTIEN,AC_DA,$C18,AC_THANG,U$2,AC_KM,$E18),SUMIFS(TF_SOTIEN,TF_DA,$C18,TF_THANG,U$2,TF_KM,$E18))/ 1000</f>
        <v>0</v>
      </c>
      <c r="AB18" s="1089">
        <f t="shared" si="13"/>
        <v>0</v>
      </c>
      <c r="AC18" s="3"/>
      <c r="AD18" s="1090">
        <f t="shared" si="14"/>
        <v>0</v>
      </c>
      <c r="AE18" s="1091" t="str">
        <f t="shared" si="15"/>
        <v/>
      </c>
      <c r="AF18" s="1090">
        <f t="shared" si="16"/>
        <v>0</v>
      </c>
      <c r="AG18" s="1091" t="str">
        <f t="shared" si="17"/>
        <v/>
      </c>
      <c r="AH18" s="1088">
        <f>SUMIFS(BP_SOTIEN,BP_DA,$C18,BP_THANG,AH$2,BP_KM,$E18)/1000</f>
        <v>0</v>
      </c>
      <c r="AI18" s="1089" t="str">
        <f t="shared" si="18"/>
        <v/>
      </c>
      <c r="AJ18" s="3"/>
      <c r="AK18" s="1090">
        <f>IF(NOW()&gt;=DATE(YEAR(AH$2),MONTH(AH$2)+1,DAY(AH$2)),SUMIFS(TF_SOTIEN,TF_DA,$C18,TF_THANG,AH$2,TF_KM,$E18)/1000, AN18)</f>
        <v>0</v>
      </c>
      <c r="AL18" s="1089">
        <f t="shared" si="19"/>
        <v>0</v>
      </c>
      <c r="AM18" s="3"/>
      <c r="AN18" s="1090">
        <f>IF(NOW()&gt;=DATE(YEAR(AH$2),MONTH(AH$2)+1,DAY(AH$2)),SUMIFS(AC_SOTIEN,AC_DA,$C18,AC_THANG,AH$2,AC_KM,$E18),SUMIFS(TF_SOTIEN,TF_DA,$C18,TF_THANG,AH$2,TF_KM,$E18))/ 1000</f>
        <v>0</v>
      </c>
      <c r="AO18" s="1089">
        <f t="shared" si="20"/>
        <v>0</v>
      </c>
      <c r="AP18" s="3"/>
      <c r="AQ18" s="1090">
        <f t="shared" si="21"/>
        <v>0</v>
      </c>
      <c r="AR18" s="1091" t="str">
        <f t="shared" si="22"/>
        <v/>
      </c>
      <c r="AS18" s="1090">
        <f t="shared" si="23"/>
        <v>0</v>
      </c>
      <c r="AT18" s="1091" t="str">
        <f t="shared" si="24"/>
        <v/>
      </c>
      <c r="AU18" s="1088">
        <f t="shared" si="25"/>
        <v>0</v>
      </c>
      <c r="AV18" s="1089" t="str">
        <f t="shared" si="26"/>
        <v/>
      </c>
      <c r="AW18" s="3"/>
      <c r="AX18" s="1090">
        <f t="shared" si="27"/>
        <v>0</v>
      </c>
      <c r="AY18" s="1089">
        <f t="shared" si="28"/>
        <v>0</v>
      </c>
      <c r="AZ18" s="3"/>
      <c r="BA18" s="1090">
        <f t="shared" si="29"/>
        <v>0</v>
      </c>
      <c r="BB18" s="1089">
        <f t="shared" si="30"/>
        <v>0</v>
      </c>
      <c r="BC18" s="3"/>
      <c r="BD18" s="1090">
        <f t="shared" si="31"/>
        <v>0</v>
      </c>
      <c r="BE18" s="1091" t="str">
        <f t="shared" si="32"/>
        <v/>
      </c>
      <c r="BF18" s="1090">
        <f t="shared" si="33"/>
        <v>0</v>
      </c>
      <c r="BG18" s="1091" t="str">
        <f t="shared" si="34"/>
        <v/>
      </c>
      <c r="BH18" s="1088">
        <f>SUMIFS(BP_SOTIEN,BP_DA,$C18,BP_THANG,BH$2,BP_KM,$E18)/1000</f>
        <v>0</v>
      </c>
      <c r="BI18" s="1089">
        <f t="shared" si="35"/>
        <v>0</v>
      </c>
      <c r="BJ18" s="3"/>
      <c r="BK18" s="1090">
        <f>IF(NOW()&gt;=DATE(YEAR(BH$2),MONTH(BH$2)+1,DAY(BH$2)),SUMIFS(TF_SOTIEN,TF_DA,$C18,TF_THANG,BH$2,TF_KM,$E18)/1000, BN18)</f>
        <v>0</v>
      </c>
      <c r="BL18" s="1089">
        <f t="shared" si="36"/>
        <v>0</v>
      </c>
      <c r="BM18" s="3"/>
      <c r="BN18" s="1090">
        <f>IF(NOW()&gt;=DATE(YEAR(BH$2),MONTH(BH$2)+1,DAY(BH$2)),SUMIFS(AC_SOTIEN,AC_DA,$C18,AC_THANG,BH$2,AC_KM,$E18),SUMIFS(TF_SOTIEN,TF_DA,$C18,TF_THANG,BH$2,TF_KM,$E18))/ 1000</f>
        <v>0</v>
      </c>
      <c r="BO18" s="1089">
        <f t="shared" si="37"/>
        <v>0</v>
      </c>
      <c r="BP18" s="3"/>
      <c r="BQ18" s="1090">
        <f t="shared" si="38"/>
        <v>0</v>
      </c>
      <c r="BR18" s="1091" t="str">
        <f t="shared" si="39"/>
        <v/>
      </c>
      <c r="BS18" s="1090">
        <f t="shared" si="40"/>
        <v>0</v>
      </c>
      <c r="BT18" s="1091" t="str">
        <f t="shared" si="41"/>
        <v/>
      </c>
      <c r="BU18" s="1088">
        <f>SUMIFS(BP_SOTIEN,BP_DA,$C18,BP_THANG,BU$2,BP_KM,$E18)/1000</f>
        <v>0</v>
      </c>
      <c r="BV18" s="1089">
        <f t="shared" si="42"/>
        <v>0</v>
      </c>
      <c r="BW18" s="3"/>
      <c r="BX18" s="1090">
        <f>IF(NOW()&gt;=DATE(YEAR(BU$2),MONTH(BU$2)+1,DAY(BU$2)),SUMIFS(TF_SOTIEN,TF_DA,$C18,TF_THANG,BU$2,TF_KM,$E18)/1000, CA18)</f>
        <v>0</v>
      </c>
      <c r="BY18" s="1089">
        <f t="shared" si="43"/>
        <v>0</v>
      </c>
      <c r="BZ18" s="3"/>
      <c r="CA18" s="1090">
        <f>IF(NOW()&gt;=DATE(YEAR(BU$2),MONTH(BU$2)+1,DAY(BU$2)),SUMIFS(AC_SOTIEN,AC_DA,$C18,AC_THANG,BU$2,AC_KM,$E18),SUMIFS(TF_SOTIEN,TF_DA,$C18,TF_THANG,BU$2,TF_KM,$E18))/ 1000</f>
        <v>0</v>
      </c>
      <c r="CB18" s="1089">
        <f t="shared" si="44"/>
        <v>0</v>
      </c>
      <c r="CC18" s="3"/>
      <c r="CD18" s="1090">
        <f t="shared" si="45"/>
        <v>0</v>
      </c>
      <c r="CE18" s="1091" t="str">
        <f t="shared" si="46"/>
        <v/>
      </c>
      <c r="CF18" s="1090">
        <f t="shared" si="47"/>
        <v>0</v>
      </c>
      <c r="CG18" s="1091" t="str">
        <f t="shared" si="48"/>
        <v/>
      </c>
      <c r="CH18" s="1088">
        <f>SUMIFS(BP_SOTIEN,BP_DA,$C18,BP_THANG,CH$2,BP_KM,$E18)/1000</f>
        <v>0</v>
      </c>
      <c r="CI18" s="1089">
        <f t="shared" si="49"/>
        <v>0</v>
      </c>
      <c r="CJ18" s="3"/>
      <c r="CK18" s="1090">
        <f>IF(NOW()&gt;=DATE(YEAR(CH$2),MONTH(CH$2)+1,DAY(CH$2)),SUMIFS(TF_SOTIEN,TF_DA,$C18,TF_THANG,CH$2,TF_KM,$E18)/1000, CN18)</f>
        <v>0</v>
      </c>
      <c r="CL18" s="1089" t="str">
        <f t="shared" si="50"/>
        <v/>
      </c>
      <c r="CM18" s="3"/>
      <c r="CN18" s="1090">
        <f>IF(NOW()&gt;=DATE(YEAR(CH$2),MONTH(CH$2)+1,DAY(CH$2)),SUMIFS(AC_SOTIEN,AC_DA,$C18,AC_THANG,CH$2,AC_KM,$E18),SUMIFS(TF_SOTIEN,TF_DA,$C18,TF_THANG,CH$2,TF_KM,$E18))/ 1000</f>
        <v>0</v>
      </c>
      <c r="CO18" s="1089">
        <f t="shared" si="51"/>
        <v>0</v>
      </c>
      <c r="CP18" s="3"/>
      <c r="CQ18" s="1090">
        <f t="shared" si="52"/>
        <v>0</v>
      </c>
      <c r="CR18" s="1091" t="str">
        <f t="shared" si="53"/>
        <v/>
      </c>
      <c r="CS18" s="1090">
        <f t="shared" si="54"/>
        <v>0</v>
      </c>
      <c r="CT18" s="1091" t="str">
        <f t="shared" si="55"/>
        <v/>
      </c>
      <c r="CU18" s="1088">
        <f t="shared" si="56"/>
        <v>0</v>
      </c>
      <c r="CV18" s="1089">
        <f t="shared" si="57"/>
        <v>0</v>
      </c>
      <c r="CW18" s="3"/>
      <c r="CX18" s="1090">
        <f t="shared" si="58"/>
        <v>0</v>
      </c>
      <c r="CY18" s="1089">
        <f t="shared" si="59"/>
        <v>0</v>
      </c>
      <c r="CZ18" s="3"/>
      <c r="DA18" s="1090">
        <f t="shared" si="60"/>
        <v>0</v>
      </c>
      <c r="DB18" s="1089">
        <f t="shared" si="61"/>
        <v>0</v>
      </c>
      <c r="DC18" s="3"/>
      <c r="DD18" s="1090">
        <f t="shared" si="62"/>
        <v>0</v>
      </c>
      <c r="DE18" s="1091" t="str">
        <f t="shared" si="63"/>
        <v/>
      </c>
      <c r="DF18" s="1090">
        <f t="shared" si="64"/>
        <v>0</v>
      </c>
      <c r="DG18" s="1091" t="str">
        <f t="shared" si="65"/>
        <v/>
      </c>
      <c r="DH18" s="1088">
        <f t="shared" si="66"/>
        <v>0</v>
      </c>
      <c r="DI18" s="1089">
        <f t="shared" si="67"/>
        <v>0</v>
      </c>
      <c r="DJ18" s="3"/>
      <c r="DK18" s="1090">
        <f t="shared" si="68"/>
        <v>0</v>
      </c>
      <c r="DL18" s="1089">
        <f t="shared" si="69"/>
        <v>0</v>
      </c>
      <c r="DM18" s="3"/>
      <c r="DN18" s="1090">
        <f t="shared" si="70"/>
        <v>0</v>
      </c>
      <c r="DO18" s="1089">
        <f t="shared" si="71"/>
        <v>0</v>
      </c>
      <c r="DP18" s="3"/>
      <c r="DQ18" s="1090">
        <f t="shared" si="72"/>
        <v>0</v>
      </c>
      <c r="DR18" s="1091" t="str">
        <f t="shared" si="73"/>
        <v/>
      </c>
      <c r="DS18" s="1090">
        <f t="shared" si="74"/>
        <v>0</v>
      </c>
      <c r="DT18" s="1091" t="str">
        <f t="shared" si="75"/>
        <v/>
      </c>
      <c r="DU18" s="1088">
        <f>SUMIFS(BP_SOTIEN,BP_DA,$C18,BP_THANG,DU$2,BP_KM,$E18)/1000</f>
        <v>0</v>
      </c>
      <c r="DV18" s="1089">
        <f t="shared" si="76"/>
        <v>0</v>
      </c>
      <c r="DW18" s="3"/>
      <c r="DX18" s="1090">
        <f>IF(NOW()&gt;=DATE(YEAR(DU$2),MONTH(DU$2)+1,DAY(DU$2)),SUMIFS(TF_SOTIEN,TF_DA,$C18,TF_THANG,DU$2,TF_KM,$E18)/1000, EA18)</f>
        <v>0</v>
      </c>
      <c r="DY18" s="1089">
        <f t="shared" si="77"/>
        <v>0</v>
      </c>
      <c r="DZ18" s="3"/>
      <c r="EA18" s="1090">
        <f>IF(NOW()&gt;=DATE(YEAR(DU$2),MONTH(DU$2)+1,DAY(DU$2)),SUMIFS(AC_SOTIEN,AC_DA,$C18,AC_THANG,DU$2,AC_KM,$E18),SUMIFS(TF_SOTIEN,TF_DA,$C18,TF_THANG,DU$2,TF_KM,$E18))/ 1000</f>
        <v>0</v>
      </c>
      <c r="EB18" s="1089" t="str">
        <f t="shared" si="78"/>
        <v/>
      </c>
      <c r="EC18" s="3"/>
      <c r="ED18" s="1090">
        <f t="shared" si="79"/>
        <v>0</v>
      </c>
      <c r="EE18" s="1091" t="str">
        <f t="shared" si="80"/>
        <v/>
      </c>
      <c r="EF18" s="1090">
        <f t="shared" si="81"/>
        <v>0</v>
      </c>
      <c r="EG18" s="1091" t="str">
        <f t="shared" si="82"/>
        <v/>
      </c>
      <c r="EH18" s="1088">
        <f>SUMIFS(BP_SOTIEN,BP_DA,$C18,BP_THANG,EH$2,BP_KM,$E18)/1000</f>
        <v>0</v>
      </c>
      <c r="EI18" s="1089">
        <f t="shared" si="83"/>
        <v>0</v>
      </c>
      <c r="EJ18" s="3"/>
      <c r="EK18" s="1090">
        <f>IF(NOW()&gt;=DATE(YEAR(EH$2),MONTH(EH$2)+1,DAY(EH$2)),SUMIFS(TF_SOTIEN,TF_DA,$C18,TF_THANG,EH$2,TF_KM,$E18)/1000, EN18)</f>
        <v>0</v>
      </c>
      <c r="EL18" s="1089">
        <f t="shared" si="84"/>
        <v>0</v>
      </c>
      <c r="EM18" s="3"/>
      <c r="EN18" s="1090">
        <f>IF(NOW()&gt;=DATE(YEAR(EH$2),MONTH(EH$2)+1,DAY(EH$2)),SUMIFS(AC_SOTIEN,AC_DA,$C18,AC_THANG,EH$2,AC_KM,$E18),SUMIFS(TF_SOTIEN,TF_DA,$C18,TF_THANG,EH$2,TF_KM,$E18))/ 1000</f>
        <v>0</v>
      </c>
      <c r="EO18" s="1089" t="str">
        <f t="shared" si="85"/>
        <v/>
      </c>
      <c r="EP18" s="3"/>
      <c r="EQ18" s="1090">
        <f t="shared" si="86"/>
        <v>0</v>
      </c>
      <c r="ER18" s="1091" t="str">
        <f t="shared" si="87"/>
        <v/>
      </c>
      <c r="ES18" s="1090">
        <f t="shared" si="88"/>
        <v>0</v>
      </c>
      <c r="ET18" s="1091" t="str">
        <f t="shared" si="89"/>
        <v/>
      </c>
      <c r="EU18" s="1088">
        <f>SUMIFS(BP_SOTIEN,BP_DA,$C18,BP_THANG,EU$2,BP_KM,$E18)/1000</f>
        <v>0</v>
      </c>
      <c r="EV18" s="1089">
        <f t="shared" si="90"/>
        <v>0</v>
      </c>
      <c r="EW18" s="3"/>
      <c r="EX18" s="1090">
        <f>IF(NOW()&gt;=DATE(YEAR(EU$2),MONTH(EU$2)+1,DAY(EU$2)),SUMIFS(TF_SOTIEN,TF_DA,$C18,TF_THANG,EU$2,TF_KM,$E18)/1000, FA18)</f>
        <v>0</v>
      </c>
      <c r="EY18" s="1089">
        <f t="shared" si="91"/>
        <v>0</v>
      </c>
      <c r="EZ18" s="3"/>
      <c r="FA18" s="1090">
        <f>IF(NOW()&gt;=DATE(YEAR(EU$2),MONTH(EU$2)+1,DAY(EU$2)),SUMIFS(AC_SOTIEN,AC_DA,$C18,AC_THANG,EU$2,AC_KM,$E18),SUMIFS(TF_SOTIEN,TF_DA,$C18,TF_THANG,EU$2,TF_KM,$E18))/ 1000</f>
        <v>0</v>
      </c>
      <c r="FB18" s="1089" t="str">
        <f t="shared" si="92"/>
        <v/>
      </c>
      <c r="FC18" s="3"/>
      <c r="FD18" s="1090">
        <f t="shared" si="93"/>
        <v>0</v>
      </c>
      <c r="FE18" s="1091" t="str">
        <f t="shared" si="94"/>
        <v/>
      </c>
      <c r="FF18" s="1090">
        <f t="shared" si="95"/>
        <v>0</v>
      </c>
      <c r="FG18" s="1091" t="str">
        <f t="shared" si="96"/>
        <v/>
      </c>
      <c r="FH18" s="1088">
        <f t="shared" si="97"/>
        <v>0</v>
      </c>
      <c r="FI18" s="1089">
        <f t="shared" si="98"/>
        <v>0</v>
      </c>
      <c r="FJ18" s="3"/>
      <c r="FK18" s="1090">
        <f t="shared" si="99"/>
        <v>0</v>
      </c>
      <c r="FL18" s="1089">
        <f t="shared" si="100"/>
        <v>0</v>
      </c>
      <c r="FM18" s="3"/>
      <c r="FN18" s="1090">
        <f t="shared" si="101"/>
        <v>0</v>
      </c>
      <c r="FO18" s="1089" t="str">
        <f t="shared" si="102"/>
        <v/>
      </c>
      <c r="FP18" s="3"/>
      <c r="FQ18" s="1090">
        <f t="shared" si="103"/>
        <v>0</v>
      </c>
      <c r="FR18" s="1091" t="str">
        <f t="shared" si="104"/>
        <v/>
      </c>
      <c r="FS18" s="1090">
        <f t="shared" si="105"/>
        <v>0</v>
      </c>
      <c r="FT18" s="1091" t="str">
        <f t="shared" si="106"/>
        <v/>
      </c>
      <c r="FU18" s="1088">
        <f>SUMIFS(BP_SOTIEN,BP_DA,$C18,BP_THANG,FU$2,BP_KM,$E18)/1000</f>
        <v>0</v>
      </c>
      <c r="FV18" s="1089">
        <f t="shared" si="107"/>
        <v>0</v>
      </c>
      <c r="FW18" s="3"/>
      <c r="FX18" s="1090">
        <f>IF(NOW()&gt;=DATE(YEAR(FU$2),MONTH(FU$2)+1,DAY(FU$2)),SUMIFS(TF_SOTIEN,TF_DA,$C18,TF_THANG,FU$2,TF_KM,$E18)/1000, GA18)</f>
        <v>0</v>
      </c>
      <c r="FY18" s="1089">
        <f t="shared" si="108"/>
        <v>0</v>
      </c>
      <c r="FZ18" s="3"/>
      <c r="GA18" s="1090">
        <f>IF(NOW()&gt;=DATE(YEAR(FU$2),MONTH(FU$2)+1,DAY(FU$2)),SUMIFS(AC_SOTIEN,AC_DA,$C18,AC_THANG,FU$2,AC_KM,$E18),SUMIFS(TF_SOTIEN,TF_DA,$C18,TF_THANG,FU$2,TF_KM,$E18))/ 1000</f>
        <v>0</v>
      </c>
      <c r="GB18" s="1089" t="str">
        <f t="shared" si="109"/>
        <v/>
      </c>
      <c r="GC18" s="3"/>
      <c r="GD18" s="1090">
        <f t="shared" si="110"/>
        <v>0</v>
      </c>
      <c r="GE18" s="1091" t="str">
        <f t="shared" si="111"/>
        <v/>
      </c>
      <c r="GF18" s="1090">
        <f t="shared" si="112"/>
        <v>0</v>
      </c>
      <c r="GG18" s="1091" t="str">
        <f t="shared" si="113"/>
        <v/>
      </c>
      <c r="GH18" s="1088">
        <f>SUMIFS(BP_SOTIEN,BP_DA,$C18,BP_THANG,GH$2,BP_KM,$E18)/1000</f>
        <v>0</v>
      </c>
      <c r="GI18" s="1089">
        <f t="shared" si="114"/>
        <v>0</v>
      </c>
      <c r="GJ18" s="3"/>
      <c r="GK18" s="1090">
        <f>IF(NOW()&gt;=DATE(YEAR(GH$2),MONTH(GH$2)+1,DAY(GH$2)),SUMIFS(TF_SOTIEN,TF_DA,$C18,TF_THANG,GH$2,TF_KM,$E18)/1000, GN18)</f>
        <v>0</v>
      </c>
      <c r="GL18" s="1089">
        <f t="shared" si="115"/>
        <v>0</v>
      </c>
      <c r="GM18" s="3"/>
      <c r="GN18" s="1090">
        <f>IF(NOW()&gt;=DATE(YEAR(GH$2),MONTH(GH$2)+1,DAY(GH$2)),SUMIFS(AC_SOTIEN,AC_DA,$C18,AC_THANG,GH$2,AC_KM,$E18),SUMIFS(TF_SOTIEN,TF_DA,$C18,TF_THANG,GH$2,TF_KM,$E18))/ 1000</f>
        <v>0</v>
      </c>
      <c r="GO18" s="1089" t="str">
        <f t="shared" si="116"/>
        <v/>
      </c>
      <c r="GP18" s="3"/>
      <c r="GQ18" s="1090">
        <f t="shared" si="117"/>
        <v>0</v>
      </c>
      <c r="GR18" s="1091" t="str">
        <f t="shared" si="118"/>
        <v/>
      </c>
      <c r="GS18" s="1090">
        <f t="shared" si="119"/>
        <v>0</v>
      </c>
      <c r="GT18" s="1091" t="str">
        <f t="shared" si="120"/>
        <v/>
      </c>
      <c r="GU18" s="1088">
        <f>SUMIFS(BP_SOTIEN,BP_DA,$C18,BP_THANG,GU$2,BP_KM,$E18)/1000</f>
        <v>0</v>
      </c>
      <c r="GV18" s="1089">
        <f t="shared" si="121"/>
        <v>0</v>
      </c>
      <c r="GW18" s="3"/>
      <c r="GX18" s="1090">
        <f>IF(NOW()&gt;=DATE(YEAR(GU$2),MONTH(GU$2)+1,DAY(GU$2)),SUMIFS(TF_SOTIEN,TF_DA,$C18,TF_THANG,GU$2,TF_KM,$E18)/1000, HA18)</f>
        <v>0</v>
      </c>
      <c r="GY18" s="1089">
        <f t="shared" si="122"/>
        <v>0</v>
      </c>
      <c r="GZ18" s="3"/>
      <c r="HA18" s="1090">
        <f>IF(NOW()&gt;=DATE(YEAR(GU$2),MONTH(GU$2)+1,DAY(GU$2)),SUMIFS(AC_SOTIEN,AC_DA,$C18,AC_THANG,GU$2,AC_KM,$E18),SUMIFS(TF_SOTIEN,TF_DA,$C18,TF_THANG,GU$2,TF_KM,$E18))/ 1000</f>
        <v>0</v>
      </c>
      <c r="HB18" s="1089" t="str">
        <f t="shared" si="123"/>
        <v/>
      </c>
      <c r="HC18" s="3"/>
      <c r="HD18" s="1090">
        <f t="shared" si="124"/>
        <v>0</v>
      </c>
      <c r="HE18" s="1091" t="str">
        <f t="shared" si="125"/>
        <v/>
      </c>
      <c r="HF18" s="1090">
        <f t="shared" si="126"/>
        <v>0</v>
      </c>
      <c r="HG18" s="1091" t="str">
        <f t="shared" si="127"/>
        <v/>
      </c>
      <c r="HH18" s="1088">
        <f t="shared" si="128"/>
        <v>0</v>
      </c>
      <c r="HI18" s="1089">
        <f t="shared" si="129"/>
        <v>0</v>
      </c>
      <c r="HJ18" s="3"/>
      <c r="HK18" s="1090">
        <f t="shared" si="130"/>
        <v>0</v>
      </c>
      <c r="HL18" s="1089">
        <f t="shared" si="131"/>
        <v>0</v>
      </c>
      <c r="HM18" s="3"/>
      <c r="HN18" s="1090">
        <f t="shared" si="132"/>
        <v>0</v>
      </c>
      <c r="HO18" s="1089" t="str">
        <f t="shared" si="133"/>
        <v/>
      </c>
      <c r="HP18" s="3"/>
      <c r="HQ18" s="1090">
        <f t="shared" si="134"/>
        <v>0</v>
      </c>
      <c r="HR18" s="1091" t="str">
        <f t="shared" si="135"/>
        <v/>
      </c>
      <c r="HS18" s="1090">
        <f t="shared" si="136"/>
        <v>0</v>
      </c>
      <c r="HT18" s="1091" t="str">
        <f t="shared" si="137"/>
        <v/>
      </c>
      <c r="HU18" s="1088">
        <f t="shared" si="138"/>
        <v>0</v>
      </c>
      <c r="HV18" s="1089">
        <f t="shared" si="139"/>
        <v>0</v>
      </c>
      <c r="HW18" s="3"/>
      <c r="HX18" s="1090">
        <f t="shared" si="140"/>
        <v>0</v>
      </c>
      <c r="HY18" s="1089">
        <f t="shared" si="141"/>
        <v>0</v>
      </c>
      <c r="HZ18" s="3"/>
      <c r="IA18" s="1090">
        <f t="shared" si="142"/>
        <v>0</v>
      </c>
      <c r="IB18" s="1089" t="str">
        <f t="shared" si="143"/>
        <v/>
      </c>
      <c r="IC18" s="3"/>
      <c r="ID18" s="1090">
        <f t="shared" si="144"/>
        <v>0</v>
      </c>
      <c r="IE18" s="1091" t="str">
        <f t="shared" si="145"/>
        <v/>
      </c>
      <c r="IF18" s="1090">
        <f t="shared" si="146"/>
        <v>0</v>
      </c>
      <c r="IG18" s="1091" t="str">
        <f t="shared" si="147"/>
        <v/>
      </c>
      <c r="IH18" s="1088">
        <f t="shared" si="148"/>
        <v>0</v>
      </c>
      <c r="II18" s="1089">
        <f t="shared" si="149"/>
        <v>0</v>
      </c>
      <c r="IJ18" s="3"/>
      <c r="IK18" s="1090">
        <f t="shared" si="150"/>
        <v>0</v>
      </c>
      <c r="IL18" s="1089">
        <f t="shared" si="151"/>
        <v>0</v>
      </c>
      <c r="IM18" s="3"/>
      <c r="IN18" s="1090">
        <f t="shared" si="152"/>
        <v>0</v>
      </c>
      <c r="IO18" s="1089">
        <f t="shared" si="153"/>
        <v>0</v>
      </c>
      <c r="IP18" s="3"/>
      <c r="IQ18" s="1090">
        <f t="shared" si="154"/>
        <v>0</v>
      </c>
      <c r="IR18" s="1091" t="str">
        <f t="shared" si="1"/>
        <v/>
      </c>
      <c r="IS18" s="1090">
        <f t="shared" si="155"/>
        <v>0</v>
      </c>
      <c r="IT18" s="1091" t="str">
        <f t="shared" si="2"/>
        <v/>
      </c>
    </row>
    <row r="19">
      <c r="A19" s="1073" t="s">
        <v>2822</v>
      </c>
      <c r="B19" s="1074"/>
      <c r="C19" s="1074"/>
      <c r="D19" s="1074"/>
      <c r="E19" s="1075"/>
      <c r="F19" s="1076">
        <v>511.0</v>
      </c>
      <c r="G19" s="1076">
        <v>1.0</v>
      </c>
      <c r="H19" s="1077">
        <f>SUMIF($G$20:$G$33,$G$19,H$20:H$33)</f>
        <v>0</v>
      </c>
      <c r="I19" s="1100" t="str">
        <f t="shared" si="4"/>
        <v/>
      </c>
      <c r="J19" s="3"/>
      <c r="K19" s="1077">
        <f>SUMIF($G$20:$G$33,$G$19,K$20:K$33)</f>
        <v>120000</v>
      </c>
      <c r="L19" s="1100">
        <f t="shared" si="5"/>
        <v>0.12</v>
      </c>
      <c r="M19" s="3"/>
      <c r="N19" s="1077">
        <f>SUMIF($G$20:$G$33,$G$19,N$20:N$33)</f>
        <v>340000</v>
      </c>
      <c r="O19" s="1100">
        <f t="shared" si="6"/>
        <v>0.09945999076</v>
      </c>
      <c r="P19" s="3"/>
      <c r="Q19" s="1077">
        <f>SUMIF($G$20:$G$33,$G$19,Q$20:Q$33)</f>
        <v>340000</v>
      </c>
      <c r="R19" s="1078" t="str">
        <f t="shared" si="8"/>
        <v/>
      </c>
      <c r="S19" s="1077">
        <f>SUMIF($G$20:$G$33,$G$19,S$20:S$33)</f>
        <v>220000</v>
      </c>
      <c r="T19" s="1078">
        <f t="shared" si="10"/>
        <v>1.833333333</v>
      </c>
      <c r="U19" s="1077">
        <f>SUMIF($G$20:$G$33,$G$19,U$20:U$33)</f>
        <v>0</v>
      </c>
      <c r="V19" s="1100" t="str">
        <f t="shared" si="11"/>
        <v/>
      </c>
      <c r="W19" s="3"/>
      <c r="X19" s="1077">
        <f>SUMIF($G$20:$G$33,$G$19,X$20:X$33)</f>
        <v>0</v>
      </c>
      <c r="Y19" s="1100" t="str">
        <f t="shared" si="12"/>
        <v/>
      </c>
      <c r="Z19" s="3"/>
      <c r="AA19" s="1077">
        <f>SUMIF($G$20:$G$33,$G$19,AA$20:AA$33)</f>
        <v>180000</v>
      </c>
      <c r="AB19" s="1100">
        <f t="shared" si="13"/>
        <v>0.0932642487</v>
      </c>
      <c r="AC19" s="3"/>
      <c r="AD19" s="1077">
        <f>SUMIF($G$20:$G$33,$G$19,AD$20:AD$33)</f>
        <v>180000</v>
      </c>
      <c r="AE19" s="1078" t="str">
        <f t="shared" si="15"/>
        <v/>
      </c>
      <c r="AF19" s="1077">
        <f>SUMIF($G$20:$G$33,$G$19,AF$20:AF$33)</f>
        <v>180000</v>
      </c>
      <c r="AG19" s="1078" t="str">
        <f t="shared" si="17"/>
        <v/>
      </c>
      <c r="AH19" s="1077">
        <f>SUMIF($G$20:$G$33,$G$19,AH$20:AH$33)</f>
        <v>0</v>
      </c>
      <c r="AI19" s="1100" t="str">
        <f t="shared" si="18"/>
        <v/>
      </c>
      <c r="AJ19" s="3"/>
      <c r="AK19" s="1077">
        <f>SUMIF($G$20:$G$33,$G$19,AK$20:AK$33)</f>
        <v>3600000</v>
      </c>
      <c r="AL19" s="1100">
        <f t="shared" si="19"/>
        <v>0.12</v>
      </c>
      <c r="AM19" s="3"/>
      <c r="AN19" s="1077">
        <f>SUMIF($G$20:$G$33,$G$19,AN$20:AN$33)</f>
        <v>668000</v>
      </c>
      <c r="AO19" s="1100">
        <f>IFERROR(AN19/AN$19,"")</f>
        <v>1</v>
      </c>
      <c r="AP19" s="3"/>
      <c r="AQ19" s="1077">
        <f>SUMIF($G$20:$G$33,$G$19,AQ$20:AQ$33)</f>
        <v>668000</v>
      </c>
      <c r="AR19" s="1078" t="str">
        <f t="shared" si="22"/>
        <v/>
      </c>
      <c r="AS19" s="1077">
        <f>SUMIF($G$20:$G$33,$G$19,AS$20:AS$33)</f>
        <v>-2932000</v>
      </c>
      <c r="AT19" s="1078">
        <f t="shared" si="24"/>
        <v>-0.8144444444</v>
      </c>
      <c r="AU19" s="1077">
        <f>SUMIF($G$20:$G$33,$G$19,AU$20:AU$33)</f>
        <v>0</v>
      </c>
      <c r="AV19" s="1100" t="str">
        <f t="shared" si="26"/>
        <v/>
      </c>
      <c r="AW19" s="3"/>
      <c r="AX19" s="1077">
        <f>SUMIF($G$20:$G$33,$G$19,AX$20:AX$33)</f>
        <v>3720000</v>
      </c>
      <c r="AY19" s="1100">
        <f t="shared" si="28"/>
        <v>0.12</v>
      </c>
      <c r="AZ19" s="3"/>
      <c r="BA19" s="1077">
        <f>SUMIF($G$20:$G$33,$G$19,BA$20:BA$33)</f>
        <v>1188000</v>
      </c>
      <c r="BB19" s="1100">
        <f t="shared" si="30"/>
        <v>0.08276170516</v>
      </c>
      <c r="BC19" s="3"/>
      <c r="BD19" s="1077">
        <f>SUMIF($G$20:$G$33,$G$19,BD$20:BD$33)</f>
        <v>1188000</v>
      </c>
      <c r="BE19" s="1078" t="str">
        <f t="shared" si="32"/>
        <v/>
      </c>
      <c r="BF19" s="1077">
        <f>SUMIF($G$20:$G$33,$G$19,BF$20:BF$33)</f>
        <v>-2532000</v>
      </c>
      <c r="BG19" s="1078">
        <f t="shared" si="34"/>
        <v>-0.6806451613</v>
      </c>
      <c r="BH19" s="1077">
        <f>SUMIF($G$20:$G$33,$G$19,BH$20:BH$33)</f>
        <v>4000000</v>
      </c>
      <c r="BI19" s="1100">
        <f t="shared" si="35"/>
        <v>0.12</v>
      </c>
      <c r="BJ19" s="3"/>
      <c r="BK19" s="1077">
        <f>SUMIF($G$20:$G$33,$G$19,BK$20:BK$33)</f>
        <v>0</v>
      </c>
      <c r="BL19" s="1100">
        <f t="shared" si="36"/>
        <v>0</v>
      </c>
      <c r="BM19" s="3"/>
      <c r="BN19" s="1077">
        <f>SUMIF($G$20:$G$33,$G$19,BN$20:BN$33)</f>
        <v>2601040</v>
      </c>
      <c r="BO19" s="1100">
        <f t="shared" si="37"/>
        <v>0.1431292155</v>
      </c>
      <c r="BP19" s="3"/>
      <c r="BQ19" s="1077">
        <f>SUMIF($G$20:$G$33,$G$19,BQ$20:BQ$33)</f>
        <v>-1398960</v>
      </c>
      <c r="BR19" s="1078">
        <f t="shared" si="39"/>
        <v>-0.34974</v>
      </c>
      <c r="BS19" s="1077">
        <f>SUMIF($G$20:$G$33,$G$19,BS$20:BS$33)</f>
        <v>2601040</v>
      </c>
      <c r="BT19" s="1078" t="str">
        <f t="shared" si="41"/>
        <v/>
      </c>
      <c r="BU19" s="1077">
        <f>SUMIF($G$20:$G$33,$G$19,BU$20:BU$33)</f>
        <v>4000000</v>
      </c>
      <c r="BV19" s="1100">
        <f t="shared" si="42"/>
        <v>0.12</v>
      </c>
      <c r="BW19" s="3"/>
      <c r="BX19" s="1077">
        <f>SUMIF($G$20:$G$33,$G$19,BX$20:BX$33)</f>
        <v>1494456.48</v>
      </c>
      <c r="BY19" s="1100">
        <f t="shared" si="43"/>
        <v>0.1246959466</v>
      </c>
      <c r="BZ19" s="3"/>
      <c r="CA19" s="1077">
        <f>SUMIF($G$20:$G$33,$G$19,CA$20:CA$33)</f>
        <v>555572</v>
      </c>
      <c r="CB19" s="1100">
        <f>IFERROR(CA19/CA$19,"")</f>
        <v>1</v>
      </c>
      <c r="CC19" s="3"/>
      <c r="CD19" s="1077">
        <f>SUMIF($G$20:$G$33,$G$19,CD$20:CD$33)</f>
        <v>-3444428</v>
      </c>
      <c r="CE19" s="1078">
        <f t="shared" si="46"/>
        <v>-0.861107</v>
      </c>
      <c r="CF19" s="1077">
        <f>SUMIF($G$20:$G$33,$G$19,CF$20:CF$33)</f>
        <v>-938884.48</v>
      </c>
      <c r="CG19" s="1078">
        <f t="shared" si="48"/>
        <v>-0.6282447783</v>
      </c>
      <c r="CH19" s="1077">
        <f>SUMIF($G$20:$G$33,$G$19,CH$20:CH$33)</f>
        <v>4000000</v>
      </c>
      <c r="CI19" s="1100">
        <f t="shared" si="49"/>
        <v>0.12</v>
      </c>
      <c r="CJ19" s="3"/>
      <c r="CK19" s="1077">
        <f>SUMIF($G$20:$G$33,$G$19,CK$20:CK$33)</f>
        <v>0</v>
      </c>
      <c r="CL19" s="1100" t="str">
        <f t="shared" si="50"/>
        <v/>
      </c>
      <c r="CM19" s="3"/>
      <c r="CN19" s="1077">
        <f>SUMIF($G$20:$G$33,$G$19,CN$20:CN$33)</f>
        <v>0</v>
      </c>
      <c r="CO19" s="1100" t="str">
        <f>IFERROR(CN19/CN$19,"")</f>
        <v/>
      </c>
      <c r="CP19" s="3"/>
      <c r="CQ19" s="1077">
        <f>SUMIF($G$20:$G$33,$G$19,CQ$20:CQ$33)</f>
        <v>-4000000</v>
      </c>
      <c r="CR19" s="1078">
        <f t="shared" si="53"/>
        <v>-1</v>
      </c>
      <c r="CS19" s="1077">
        <f>SUMIF($G$20:$G$33,$G$19,CS$20:CS$33)</f>
        <v>0</v>
      </c>
      <c r="CT19" s="1078" t="str">
        <f t="shared" si="55"/>
        <v/>
      </c>
      <c r="CU19" s="1077">
        <f>SUMIF($G$20:$G$33,$G$19,CU$20:CU$33)</f>
        <v>12000000</v>
      </c>
      <c r="CV19" s="1100">
        <f t="shared" si="57"/>
        <v>0.12</v>
      </c>
      <c r="CW19" s="3"/>
      <c r="CX19" s="1077">
        <f>SUMIF($G$20:$G$33,$G$19,CX$20:CX$33)</f>
        <v>1494456.48</v>
      </c>
      <c r="CY19" s="1100">
        <f t="shared" si="59"/>
        <v>0.04672395304</v>
      </c>
      <c r="CZ19" s="3"/>
      <c r="DA19" s="1077">
        <f>SUMIF($G$20:$G$33,$G$19,DA$20:DA$33)</f>
        <v>3156612</v>
      </c>
      <c r="DB19" s="1100">
        <f t="shared" si="61"/>
        <v>0.1357450792</v>
      </c>
      <c r="DC19" s="3"/>
      <c r="DD19" s="1077">
        <f>SUMIF($G$20:$G$33,$G$19,DD$20:DD$33)</f>
        <v>-8843388</v>
      </c>
      <c r="DE19" s="1078">
        <f t="shared" si="63"/>
        <v>-0.736949</v>
      </c>
      <c r="DF19" s="1077">
        <f>SUMIF($G$20:$G$33,$G$19,DF$20:DF$33)</f>
        <v>1662155.52</v>
      </c>
      <c r="DG19" s="1078">
        <f t="shared" si="65"/>
        <v>1.112214067</v>
      </c>
      <c r="DH19" s="1077">
        <f>SUMIF($G$20:$G$33,$G$19,DH$20:DH$33)</f>
        <v>12000000</v>
      </c>
      <c r="DI19" s="1100">
        <f t="shared" si="67"/>
        <v>0.12</v>
      </c>
      <c r="DJ19" s="3"/>
      <c r="DK19" s="1077">
        <f>SUMIF($G$20:$G$33,$G$19,DK$20:DK$33)</f>
        <v>5214456.48</v>
      </c>
      <c r="DL19" s="1100">
        <f t="shared" si="69"/>
        <v>0.08278911974</v>
      </c>
      <c r="DM19" s="3"/>
      <c r="DN19" s="1077">
        <f>SUMIF($G$20:$G$33,$G$19,DN$20:DN$33)</f>
        <v>4344612</v>
      </c>
      <c r="DO19" s="1100">
        <f t="shared" si="71"/>
        <v>0.1155222758</v>
      </c>
      <c r="DP19" s="3"/>
      <c r="DQ19" s="1077">
        <f>SUMIF($G$20:$G$33,$G$19,DQ$20:DQ$33)</f>
        <v>-7655388</v>
      </c>
      <c r="DR19" s="1078">
        <f t="shared" si="73"/>
        <v>-0.637949</v>
      </c>
      <c r="DS19" s="1077">
        <f>SUMIF($G$20:$G$33,$G$19,DS$20:DS$33)</f>
        <v>-869844.48</v>
      </c>
      <c r="DT19" s="1078">
        <f t="shared" si="75"/>
        <v>-0.1668140262</v>
      </c>
      <c r="DU19" s="1077">
        <f>SUMIF($G$20:$G$33,$G$19,DU$20:DU$33)</f>
        <v>4000000</v>
      </c>
      <c r="DV19" s="1100">
        <f t="shared" si="76"/>
        <v>0.12</v>
      </c>
      <c r="DW19" s="3"/>
      <c r="DX19" s="1077">
        <f>SUMIF($G$20:$G$33,$G$19,DX$20:DX$33)</f>
        <v>6039999.96</v>
      </c>
      <c r="DY19" s="1100">
        <f t="shared" si="77"/>
        <v>0.11325</v>
      </c>
      <c r="DZ19" s="3"/>
      <c r="EA19" s="1077">
        <f>SUMIF($G$20:$G$33,$G$19,EA$20:EA$33)</f>
        <v>0</v>
      </c>
      <c r="EB19" s="1100" t="str">
        <f>IFERROR(EA19/EA$19,"")</f>
        <v/>
      </c>
      <c r="EC19" s="3"/>
      <c r="ED19" s="1077">
        <f>SUMIF($G$20:$G$33,$G$19,ED$20:ED$33)</f>
        <v>-4000000</v>
      </c>
      <c r="EE19" s="1078">
        <f t="shared" si="80"/>
        <v>-1</v>
      </c>
      <c r="EF19" s="1077">
        <f>SUMIF($G$20:$G$33,$G$19,EF$20:EF$33)</f>
        <v>-6039999.96</v>
      </c>
      <c r="EG19" s="1078">
        <f t="shared" si="82"/>
        <v>-1</v>
      </c>
      <c r="EH19" s="1077">
        <f>SUMIF($G$20:$G$33,$G$19,EH$20:EH$33)</f>
        <v>4000000</v>
      </c>
      <c r="EI19" s="1100">
        <f t="shared" si="83"/>
        <v>0.12</v>
      </c>
      <c r="EJ19" s="3"/>
      <c r="EK19" s="1077">
        <f>SUMIF($G$20:$G$33,$G$19,EK$20:EK$33)</f>
        <v>6039999.96</v>
      </c>
      <c r="EL19" s="1100">
        <f t="shared" si="84"/>
        <v>0.11325</v>
      </c>
      <c r="EM19" s="3"/>
      <c r="EN19" s="1077">
        <f>SUMIF($G$20:$G$33,$G$19,EN$20:EN$33)</f>
        <v>0</v>
      </c>
      <c r="EO19" s="1100" t="str">
        <f>IFERROR(EN19/EN$19,"")</f>
        <v/>
      </c>
      <c r="EP19" s="3"/>
      <c r="EQ19" s="1077">
        <f>SUMIF($G$20:$G$33,$G$19,EQ$20:EQ$33)</f>
        <v>-4000000</v>
      </c>
      <c r="ER19" s="1078">
        <f t="shared" si="87"/>
        <v>-1</v>
      </c>
      <c r="ES19" s="1077">
        <f>SUMIF($G$20:$G$33,$G$19,ES$20:ES$33)</f>
        <v>-6039999.96</v>
      </c>
      <c r="ET19" s="1078">
        <f t="shared" si="89"/>
        <v>-1</v>
      </c>
      <c r="EU19" s="1077">
        <f>SUMIF($G$20:$G$33,$G$19,EU$20:EU$33)</f>
        <v>4000000</v>
      </c>
      <c r="EV19" s="1100">
        <f t="shared" si="90"/>
        <v>0.12</v>
      </c>
      <c r="EW19" s="3"/>
      <c r="EX19" s="1077">
        <f>SUMIF($G$20:$G$33,$G$19,EX$20:EX$33)</f>
        <v>6039999.96</v>
      </c>
      <c r="EY19" s="1100">
        <f t="shared" si="91"/>
        <v>0.11325</v>
      </c>
      <c r="EZ19" s="3"/>
      <c r="FA19" s="1077">
        <f>SUMIF($G$20:$G$33,$G$19,FA$20:FA$33)</f>
        <v>0</v>
      </c>
      <c r="FB19" s="1100" t="str">
        <f>IFERROR(FA19/FA$19,"")</f>
        <v/>
      </c>
      <c r="FC19" s="3"/>
      <c r="FD19" s="1077">
        <f>SUMIF($G$20:$G$33,$G$19,FD$20:FD$33)</f>
        <v>-4000000</v>
      </c>
      <c r="FE19" s="1078">
        <f t="shared" si="94"/>
        <v>-1</v>
      </c>
      <c r="FF19" s="1077">
        <f>SUMIF($G$20:$G$33,$G$19,FF$20:FF$33)</f>
        <v>-6039999.96</v>
      </c>
      <c r="FG19" s="1078">
        <f t="shared" si="96"/>
        <v>-1</v>
      </c>
      <c r="FH19" s="1077">
        <f>SUMIF($G$20:$G$33,$G$19,FH$20:FH$33)</f>
        <v>12000000</v>
      </c>
      <c r="FI19" s="1100">
        <f t="shared" si="98"/>
        <v>0.12</v>
      </c>
      <c r="FJ19" s="3"/>
      <c r="FK19" s="1077">
        <f>SUMIF($G$20:$G$33,$G$19,FK$20:FK$33)</f>
        <v>18119999.88</v>
      </c>
      <c r="FL19" s="1100">
        <f t="shared" si="100"/>
        <v>0.11325</v>
      </c>
      <c r="FM19" s="3"/>
      <c r="FN19" s="1077">
        <f>SUMIF($G$20:$G$33,$G$19,FN$20:FN$33)</f>
        <v>0</v>
      </c>
      <c r="FO19" s="1100" t="str">
        <f t="shared" si="102"/>
        <v/>
      </c>
      <c r="FP19" s="3"/>
      <c r="FQ19" s="1077">
        <f>SUMIF($G$20:$G$33,$G$19,FQ$20:FQ$33)</f>
        <v>-12000000</v>
      </c>
      <c r="FR19" s="1078">
        <f t="shared" si="104"/>
        <v>-1</v>
      </c>
      <c r="FS19" s="1077">
        <f>SUMIF($G$20:$G$33,$G$19,FS$20:FS$33)</f>
        <v>-18119999.88</v>
      </c>
      <c r="FT19" s="1078">
        <f t="shared" si="106"/>
        <v>-1</v>
      </c>
      <c r="FU19" s="1077">
        <f>SUMIF($G$20:$G$33,$G$19,FU$20:FU$33)</f>
        <v>4000000</v>
      </c>
      <c r="FV19" s="1100">
        <f t="shared" si="107"/>
        <v>0.12</v>
      </c>
      <c r="FW19" s="3"/>
      <c r="FX19" s="1077">
        <f>SUMIF($G$20:$G$33,$G$19,FX$20:FX$33)</f>
        <v>6039999.96</v>
      </c>
      <c r="FY19" s="1100">
        <f t="shared" si="108"/>
        <v>0.11325</v>
      </c>
      <c r="FZ19" s="3"/>
      <c r="GA19" s="1077">
        <f>SUMIF($G$20:$G$33,$G$19,GA$20:GA$33)</f>
        <v>0</v>
      </c>
      <c r="GB19" s="1100" t="str">
        <f>IFERROR(GA19/GA$19,"")</f>
        <v/>
      </c>
      <c r="GC19" s="3"/>
      <c r="GD19" s="1077">
        <f>SUMIF($G$20:$G$33,$G$19,GD$20:GD$33)</f>
        <v>-4000000</v>
      </c>
      <c r="GE19" s="1078">
        <f t="shared" si="111"/>
        <v>-1</v>
      </c>
      <c r="GF19" s="1077">
        <f>SUMIF($G$20:$G$33,$G$19,GF$20:GF$33)</f>
        <v>-6039999.96</v>
      </c>
      <c r="GG19" s="1078">
        <f t="shared" si="113"/>
        <v>-1</v>
      </c>
      <c r="GH19" s="1077">
        <f>SUMIF($G$20:$G$33,$G$19,GH$20:GH$33)</f>
        <v>4000000</v>
      </c>
      <c r="GI19" s="1100">
        <f t="shared" si="114"/>
        <v>0.12</v>
      </c>
      <c r="GJ19" s="3"/>
      <c r="GK19" s="1077">
        <f>SUMIF($G$20:$G$33,$G$19,GK$20:GK$33)</f>
        <v>6039999.96</v>
      </c>
      <c r="GL19" s="1100">
        <f t="shared" si="115"/>
        <v>0.11325</v>
      </c>
      <c r="GM19" s="3"/>
      <c r="GN19" s="1077">
        <f>SUMIF($G$20:$G$33,$G$19,GN$20:GN$33)</f>
        <v>0</v>
      </c>
      <c r="GO19" s="1100" t="str">
        <f>IFERROR(GN19/GN$19,"")</f>
        <v/>
      </c>
      <c r="GP19" s="3"/>
      <c r="GQ19" s="1077">
        <f>SUMIF($G$20:$G$33,$G$19,GQ$20:GQ$33)</f>
        <v>-4000000</v>
      </c>
      <c r="GR19" s="1078">
        <f t="shared" si="118"/>
        <v>-1</v>
      </c>
      <c r="GS19" s="1077">
        <f>SUMIF($G$20:$G$33,$G$19,GS$20:GS$33)</f>
        <v>-6039999.96</v>
      </c>
      <c r="GT19" s="1078">
        <f t="shared" si="120"/>
        <v>-1</v>
      </c>
      <c r="GU19" s="1077">
        <f>SUMIF($G$20:$G$33,$G$19,GU$20:GU$33)</f>
        <v>4000000</v>
      </c>
      <c r="GV19" s="1100">
        <f t="shared" si="121"/>
        <v>0.12</v>
      </c>
      <c r="GW19" s="3"/>
      <c r="GX19" s="1077">
        <f>SUMIF($G$20:$G$33,$G$19,GX$20:GX$33)</f>
        <v>6039999.96</v>
      </c>
      <c r="GY19" s="1100">
        <f t="shared" si="122"/>
        <v>0.11325</v>
      </c>
      <c r="GZ19" s="3"/>
      <c r="HA19" s="1077">
        <f>SUMIF($G$20:$G$33,$G$19,HA$20:HA$33)</f>
        <v>0</v>
      </c>
      <c r="HB19" s="1100" t="str">
        <f>IFERROR(HA19/HA$19,"")</f>
        <v/>
      </c>
      <c r="HC19" s="3"/>
      <c r="HD19" s="1077">
        <f>SUMIF($G$20:$G$33,$G$19,HD$20:HD$33)</f>
        <v>-4000000</v>
      </c>
      <c r="HE19" s="1078">
        <f t="shared" si="125"/>
        <v>-1</v>
      </c>
      <c r="HF19" s="1077">
        <f>SUMIF($G$20:$G$33,$G$19,HF$20:HF$33)</f>
        <v>-6039999.96</v>
      </c>
      <c r="HG19" s="1078">
        <f t="shared" si="127"/>
        <v>-1</v>
      </c>
      <c r="HH19" s="1077">
        <f>SUMIF($G$20:$G$33,$G$19,HH$20:HH$33)</f>
        <v>12000000</v>
      </c>
      <c r="HI19" s="1100">
        <f t="shared" si="129"/>
        <v>0.12</v>
      </c>
      <c r="HJ19" s="3"/>
      <c r="HK19" s="1077">
        <f>SUMIF($G$20:$G$33,$G$19,HK$20:HK$33)</f>
        <v>18119999.88</v>
      </c>
      <c r="HL19" s="1100">
        <f t="shared" si="131"/>
        <v>0.11325</v>
      </c>
      <c r="HM19" s="3"/>
      <c r="HN19" s="1077">
        <f>SUMIF($G$20:$G$33,$G$19,HN$20:HN$33)</f>
        <v>0</v>
      </c>
      <c r="HO19" s="1100" t="str">
        <f t="shared" si="133"/>
        <v/>
      </c>
      <c r="HP19" s="3"/>
      <c r="HQ19" s="1077">
        <f>SUMIF($G$20:$G$33,$G$19,HQ$20:HQ$33)</f>
        <v>-12000000</v>
      </c>
      <c r="HR19" s="1078">
        <f t="shared" si="135"/>
        <v>-1</v>
      </c>
      <c r="HS19" s="1077">
        <f>SUMIF($G$20:$G$33,$G$19,HS$20:HS$33)</f>
        <v>-18119999.88</v>
      </c>
      <c r="HT19" s="1078">
        <f t="shared" si="137"/>
        <v>-1</v>
      </c>
      <c r="HU19" s="1077">
        <f>SUMIF($G$20:$G$33,$G$19,HU$20:HU$33)</f>
        <v>24000000</v>
      </c>
      <c r="HV19" s="1100">
        <f t="shared" si="139"/>
        <v>0.12</v>
      </c>
      <c r="HW19" s="3"/>
      <c r="HX19" s="1077">
        <f>SUMIF($G$20:$G$33,$G$19,HX$20:HX$33)</f>
        <v>36239999.76</v>
      </c>
      <c r="HY19" s="1100">
        <f t="shared" si="141"/>
        <v>0.11325</v>
      </c>
      <c r="HZ19" s="3"/>
      <c r="IA19" s="1077">
        <f>SUMIF($G$20:$G$33,$G$19,IA$20:IA$33)</f>
        <v>0</v>
      </c>
      <c r="IB19" s="1100" t="str">
        <f t="shared" si="143"/>
        <v/>
      </c>
      <c r="IC19" s="3"/>
      <c r="ID19" s="1077">
        <f>SUMIF($G$20:$G$33,$G$19,ID$20:ID$33)</f>
        <v>-24000000</v>
      </c>
      <c r="IE19" s="1078">
        <f t="shared" si="145"/>
        <v>-1</v>
      </c>
      <c r="IF19" s="1077">
        <f>SUMIF($G$20:$G$33,$G$19,IF$20:IF$33)</f>
        <v>-36239999.76</v>
      </c>
      <c r="IG19" s="1078">
        <f t="shared" si="147"/>
        <v>-1</v>
      </c>
      <c r="IH19" s="1077">
        <f>SUMIF($G$20:$G$33,$G$19,IH$20:IH$33)</f>
        <v>36000000</v>
      </c>
      <c r="II19" s="1100">
        <f t="shared" si="149"/>
        <v>0.12</v>
      </c>
      <c r="IJ19" s="3"/>
      <c r="IK19" s="1077">
        <f>SUMIF($G$20:$G$33,$G$19,IK$20:IK$33)</f>
        <v>41454456.24</v>
      </c>
      <c r="IL19" s="1100">
        <f t="shared" si="151"/>
        <v>0.1082404733</v>
      </c>
      <c r="IM19" s="3"/>
      <c r="IN19" s="1077">
        <f>SUMIF($G$20:$G$33,$G$19,IN$20:IN$33)</f>
        <v>4344612</v>
      </c>
      <c r="IO19" s="1100">
        <f t="shared" si="153"/>
        <v>0.1155222758</v>
      </c>
      <c r="IP19" s="3"/>
      <c r="IQ19" s="1077">
        <f>SUMIF($G$20:$G$33,$G$19,IQ$20:IQ$33)</f>
        <v>-31655388</v>
      </c>
      <c r="IR19" s="1078">
        <f t="shared" si="1"/>
        <v>-0.8793163333</v>
      </c>
      <c r="IS19" s="1077">
        <f>SUMIF($G$20:$G$33,$G$19,IS$20:IS$33)</f>
        <v>-37109844.24</v>
      </c>
      <c r="IT19" s="1078">
        <f t="shared" si="2"/>
        <v>-0.8951955376</v>
      </c>
    </row>
    <row r="20" collapsed="1">
      <c r="A20" s="1101" t="str">
        <f>IF(C20="","",COUNTA(C$5:C20))</f>
        <v/>
      </c>
      <c r="B20" s="1093" t="s">
        <v>2066</v>
      </c>
      <c r="C20" s="1093"/>
      <c r="D20" s="1093" t="str">
        <f>IF(C20&gt;0,VLOOKUP(C20,DM_DUAN ,2,"") ,IF(B20&gt;0,VLOOKUP(B20,DM_CDT,2,""),""))</f>
        <v>THÀNH NAM</v>
      </c>
      <c r="E20" s="1093" t="s">
        <v>187</v>
      </c>
      <c r="F20" s="1093"/>
      <c r="G20" s="1102">
        <v>1.0</v>
      </c>
      <c r="H20" s="1083">
        <f>SUMIF($B21:$B$33,$B20,H21:H$33)</f>
        <v>0</v>
      </c>
      <c r="I20" s="1103" t="str">
        <f t="shared" ref="I20:I33" si="156">IFERROR(H20/SUMIF($C$5:$C$18,$C20,H$5:H$18),"")</f>
        <v/>
      </c>
      <c r="J20" s="1103" t="str">
        <f t="shared" ref="J20:J33" si="157">IFERROR(H20/H$19,"")</f>
        <v/>
      </c>
      <c r="K20" s="1083">
        <f>SUMIF($B21:$B$33,$B20,K21:K$33)</f>
        <v>120000</v>
      </c>
      <c r="L20" s="1103" t="str">
        <f t="shared" ref="L20:L33" si="158">IFERROR(K20/SUMIF($C$5:$C$18,$C20,K$5:K$18),"")</f>
        <v/>
      </c>
      <c r="M20" s="3"/>
      <c r="N20" s="1083">
        <f>SUMIF($B21:$B$33,$B20,N21:N$33)</f>
        <v>340000</v>
      </c>
      <c r="O20" s="1103" t="str">
        <f t="shared" ref="O20:O33" si="159">IFERROR(N20/SUMIF($C$5:$C$18,$C20,N$5:N$18),"")</f>
        <v/>
      </c>
      <c r="P20" s="1103">
        <f t="shared" ref="P20:P33" si="160">IFERROR(N20/N$19,"")</f>
        <v>1</v>
      </c>
      <c r="Q20" s="1095">
        <f t="shared" ref="Q20:Q33" si="161">N20-H20</f>
        <v>340000</v>
      </c>
      <c r="R20" s="1104" t="str">
        <f t="shared" si="8"/>
        <v/>
      </c>
      <c r="S20" s="1095">
        <f t="shared" ref="S20:S33" si="162">N20-K20</f>
        <v>220000</v>
      </c>
      <c r="T20" s="1104">
        <f t="shared" si="10"/>
        <v>1.833333333</v>
      </c>
      <c r="U20" s="1083">
        <f>SUMIF($B21:$B$33,$B20,U21:U$33)</f>
        <v>0</v>
      </c>
      <c r="V20" s="1103" t="str">
        <f t="shared" ref="V20:V33" si="163">IFERROR(U20/SUMIF($C$5:$C$18,$C20,U$5:U$18),"")</f>
        <v/>
      </c>
      <c r="W20" s="1103" t="str">
        <f t="shared" ref="W20:W33" si="164">IFERROR(U20/U$19,"")</f>
        <v/>
      </c>
      <c r="X20" s="1083">
        <f>SUMIF($B21:$B$33,$B20,X21:X$33)</f>
        <v>0</v>
      </c>
      <c r="Y20" s="1103" t="str">
        <f t="shared" ref="Y20:Y33" si="165">IFERROR(X20/SUMIF($C$5:$C$18,$C20,X$5:X$18),"")</f>
        <v/>
      </c>
      <c r="Z20" s="1103" t="str">
        <f t="shared" ref="Z20:Z33" si="166">IFERROR(X20/X$19,"")</f>
        <v/>
      </c>
      <c r="AA20" s="1083">
        <f>SUMIF($B21:$B$33,$B20,AA21:AA$33)</f>
        <v>180000</v>
      </c>
      <c r="AB20" s="1103" t="str">
        <f t="shared" ref="AB20:AB33" si="167">IFERROR(AA20/SUMIF($C$5:$C$18,$C20,AA$5:AA$18),"")</f>
        <v/>
      </c>
      <c r="AC20" s="1103">
        <f t="shared" ref="AC20:AC33" si="168">IFERROR(AA20/AA$19,"")</f>
        <v>1</v>
      </c>
      <c r="AD20" s="1095">
        <f t="shared" ref="AD20:AD33" si="169">AA20-U20</f>
        <v>180000</v>
      </c>
      <c r="AE20" s="1104" t="str">
        <f t="shared" si="15"/>
        <v/>
      </c>
      <c r="AF20" s="1095">
        <f t="shared" ref="AF20:AF33" si="170">AA20-X20</f>
        <v>180000</v>
      </c>
      <c r="AG20" s="1104" t="str">
        <f t="shared" si="17"/>
        <v/>
      </c>
      <c r="AH20" s="1083">
        <f>SUMIF($B21:$B$33,$B20,AH21:AH$33)</f>
        <v>0</v>
      </c>
      <c r="AI20" s="1103" t="str">
        <f t="shared" ref="AI20:AI33" si="171">IFERROR(AH20/SUMIF($C$5:$C$18,$C20,AH$5:AH$18),"")</f>
        <v/>
      </c>
      <c r="AJ20" s="1103" t="str">
        <f t="shared" ref="AJ20:AJ33" si="172">IFERROR(AH20/AH$19,"")</f>
        <v/>
      </c>
      <c r="AK20" s="1083">
        <f>SUMIF($B21:$B$33,$B20,AK21:AK$33)</f>
        <v>3600000</v>
      </c>
      <c r="AL20" s="1103" t="str">
        <f t="shared" ref="AL20:AL33" si="173">IFERROR(AK20/SUMIF($C$5:$C$18,$C20,AK$5:AK$18),"")</f>
        <v/>
      </c>
      <c r="AM20" s="1103">
        <f t="shared" ref="AM20:AM33" si="174">IFERROR(AK20/AK$19,"")</f>
        <v>1</v>
      </c>
      <c r="AN20" s="1083">
        <f>SUMIF($B21:$B$33,$B20,AN21:AN$33)</f>
        <v>668000</v>
      </c>
      <c r="AO20" s="1103" t="str">
        <f t="shared" ref="AO20:AO33" si="175">IFERROR(AN20/SUMIF($C$5:$C$18,$C20,AN$5:AN$18),"")</f>
        <v/>
      </c>
      <c r="AP20" s="1103">
        <f t="shared" ref="AP20:AP33" si="176">IFERROR(AN20/AN$19,"")</f>
        <v>1</v>
      </c>
      <c r="AQ20" s="1095">
        <f t="shared" ref="AQ20:AQ33" si="177">AN20-AH20</f>
        <v>668000</v>
      </c>
      <c r="AR20" s="1104" t="str">
        <f t="shared" si="22"/>
        <v/>
      </c>
      <c r="AS20" s="1095">
        <f t="shared" ref="AS20:AS33" si="178">AN20-AK20</f>
        <v>-2932000</v>
      </c>
      <c r="AT20" s="1104">
        <f t="shared" si="24"/>
        <v>-0.8144444444</v>
      </c>
      <c r="AU20" s="1095">
        <f t="shared" ref="AU20:AU33" si="179">SUMIF(H$3:AT$3,AU$3,H20:AT20)</f>
        <v>0</v>
      </c>
      <c r="AV20" s="1103" t="str">
        <f t="shared" ref="AV20:AV33" si="180">IFERROR(AU20/SUMIF($C$5:$C$18,$C20,AU$5:AU$18),"")</f>
        <v/>
      </c>
      <c r="AW20" s="1103" t="str">
        <f t="shared" ref="AW20:AW33" si="181">IFERROR(AU20/AU$19,"")</f>
        <v/>
      </c>
      <c r="AX20" s="1095">
        <f t="shared" ref="AX20:AX33" si="182">SUMIF(H$3:AT$3,AX$3,H20:AT20)</f>
        <v>3720000</v>
      </c>
      <c r="AY20" s="1103" t="str">
        <f t="shared" ref="AY20:AY33" si="183">IFERROR(AX20/SUMIF($C$5:$C$18,$C20,AX$5:AX$18),"")</f>
        <v/>
      </c>
      <c r="AZ20" s="1103">
        <f t="shared" ref="AZ20:AZ33" si="184">IFERROR(AX20/AX$19,"")</f>
        <v>1</v>
      </c>
      <c r="BA20" s="1105">
        <f t="shared" ref="BA20:BA33" si="185">SUMIF(H$3:AT$3,"AC",H20:AT20)+SUMIF(H$3:AT$3,"TF",H20:AT20)</f>
        <v>1188000</v>
      </c>
      <c r="BB20" s="1103" t="str">
        <f t="shared" ref="BB20:BB33" si="186">IFERROR(BA20/SUMIF($C$5:$C$18,$C20,BA$5:BA$18),"")</f>
        <v/>
      </c>
      <c r="BC20" s="1103">
        <f t="shared" ref="BC20:BC33" si="187">IFERROR(BA20/BA$19,"")</f>
        <v>1</v>
      </c>
      <c r="BD20" s="1095">
        <f t="shared" ref="BD20:BD33" si="188">BA20-AU20</f>
        <v>1188000</v>
      </c>
      <c r="BE20" s="1104" t="str">
        <f t="shared" si="32"/>
        <v/>
      </c>
      <c r="BF20" s="1095">
        <f t="shared" ref="BF20:BF33" si="189">BA20-AX20</f>
        <v>-2532000</v>
      </c>
      <c r="BG20" s="1104">
        <f t="shared" si="34"/>
        <v>-0.6806451613</v>
      </c>
      <c r="BH20" s="1083">
        <f>SUMIF($B21:$B$33,$B20,BH21:BH$33)</f>
        <v>1600000</v>
      </c>
      <c r="BI20" s="1103" t="str">
        <f t="shared" ref="BI20:BI33" si="190">IFERROR(BH20/SUMIF($C$5:$C$18,$C20,BH$5:BH$18),"")</f>
        <v/>
      </c>
      <c r="BJ20" s="1103">
        <f t="shared" ref="BJ20:BJ33" si="191">IFERROR(BH20/BH$19,"")</f>
        <v>0.4</v>
      </c>
      <c r="BK20" s="1083">
        <f>SUMIF($B21:$B$33,$B20,BK21:BK$33)</f>
        <v>0</v>
      </c>
      <c r="BL20" s="1103" t="str">
        <f t="shared" ref="BL20:BL33" si="192">IFERROR(BK20/SUMIF($C$5:$C$18,$C20,BK$5:BK$18),"")</f>
        <v/>
      </c>
      <c r="BM20" s="1103" t="str">
        <f t="shared" ref="BM20:BM33" si="193">IFERROR(BK20/BK$19,"")</f>
        <v/>
      </c>
      <c r="BN20" s="1083">
        <f>SUMIF($B21:$B$33,$B20,BN21:BN$33)</f>
        <v>677000</v>
      </c>
      <c r="BO20" s="1103" t="str">
        <f t="shared" ref="BO20:BO33" si="194">IFERROR(BN20/SUMIF($C$5:$C$18,$C20,BN$5:BN$18),"")</f>
        <v/>
      </c>
      <c r="BP20" s="1103">
        <f t="shared" ref="BP20:BP33" si="195">IFERROR(BN20/BN$19,"")</f>
        <v>0.2602805032</v>
      </c>
      <c r="BQ20" s="1095">
        <f t="shared" ref="BQ20:BQ33" si="196">BN20-BH20</f>
        <v>-923000</v>
      </c>
      <c r="BR20" s="1106">
        <f t="shared" si="39"/>
        <v>-0.576875</v>
      </c>
      <c r="BS20" s="1095">
        <f t="shared" ref="BS20:BS33" si="197">BN20-BK20</f>
        <v>677000</v>
      </c>
      <c r="BT20" s="1104" t="str">
        <f t="shared" si="41"/>
        <v/>
      </c>
      <c r="BU20" s="1083">
        <f>SUMIF($B21:$B$33,$B20,BU21:BU$33)</f>
        <v>1600000</v>
      </c>
      <c r="BV20" s="1103" t="str">
        <f t="shared" ref="BV20:BV33" si="198">IFERROR(BU20/SUMIF($C$5:$C$18,$C20,BU$5:BU$18),"")</f>
        <v/>
      </c>
      <c r="BW20" s="1103">
        <f t="shared" ref="BW20:BW29" si="199">IFERROR(BU20/BU$19,"")</f>
        <v>0.4</v>
      </c>
      <c r="BX20" s="1083">
        <f>SUMIF($B21:$B$33,$B20,BX21:BX$33)</f>
        <v>0</v>
      </c>
      <c r="BY20" s="1103" t="str">
        <f t="shared" ref="BY20:BY33" si="200">IFERROR(BX20/SUMIF($C$5:$C$18,$C20,BX$5:BX$18),"")</f>
        <v/>
      </c>
      <c r="BZ20" s="1103">
        <f t="shared" ref="BZ20:BZ29" si="201">IFERROR(BX20/BX$19,"")</f>
        <v>0</v>
      </c>
      <c r="CA20" s="1083">
        <f>SUMIF($B21:$B$33,$B20,CA21:CA$33)</f>
        <v>0</v>
      </c>
      <c r="CB20" s="1103" t="str">
        <f t="shared" ref="CB20:CB33" si="202">IFERROR(CA20/SUMIF($C$5:$C$18,$C20,CA$5:CA$18),"")</f>
        <v/>
      </c>
      <c r="CC20" s="1103">
        <f t="shared" ref="CC20:CC29" si="203">IFERROR(CA20/CA$19,"")</f>
        <v>0</v>
      </c>
      <c r="CD20" s="1095">
        <f t="shared" ref="CD20:CD33" si="204">CA20-BU20</f>
        <v>-1600000</v>
      </c>
      <c r="CE20" s="1106">
        <f t="shared" si="46"/>
        <v>-1</v>
      </c>
      <c r="CF20" s="1095">
        <f t="shared" ref="CF20:CF33" si="205">CA20-BX20</f>
        <v>0</v>
      </c>
      <c r="CG20" s="1104" t="str">
        <f t="shared" si="48"/>
        <v/>
      </c>
      <c r="CH20" s="1083">
        <f>SUMIF($B21:$B$33,$B20,CH21:CH$33)</f>
        <v>1600000</v>
      </c>
      <c r="CI20" s="1103" t="str">
        <f t="shared" ref="CI20:CI33" si="206">IFERROR(CH20/SUMIF($C$5:$C$18,$C20,CH$5:CH$18),"")</f>
        <v/>
      </c>
      <c r="CJ20" s="1103">
        <f t="shared" ref="CJ20:CJ33" si="207">IFERROR(CH20/CH$19,"")</f>
        <v>0.4</v>
      </c>
      <c r="CK20" s="1083">
        <f>SUMIF($B21:$B$33,$B20,CK21:CK$33)</f>
        <v>0</v>
      </c>
      <c r="CL20" s="1103" t="str">
        <f t="shared" ref="CL20:CL33" si="208">IFERROR(CK20/SUMIF($C$5:$C$18,$C20,CK$5:CK$18),"")</f>
        <v/>
      </c>
      <c r="CM20" s="1103" t="str">
        <f t="shared" ref="CM20:CM33" si="209">IFERROR(CK20/CK$19,"")</f>
        <v/>
      </c>
      <c r="CN20" s="1083">
        <f>SUMIF($B21:$B$33,$B20,CN21:CN$33)</f>
        <v>0</v>
      </c>
      <c r="CO20" s="1103" t="str">
        <f t="shared" ref="CO20:CO33" si="210">IFERROR(CN20/SUMIF($C$5:$C$18,$C20,CN$5:CN$18),"")</f>
        <v/>
      </c>
      <c r="CP20" s="1103" t="str">
        <f t="shared" ref="CP20:CP33" si="211">IFERROR(CN20/CN$19,"")</f>
        <v/>
      </c>
      <c r="CQ20" s="1095">
        <f t="shared" ref="CQ20:CQ33" si="212">CN20-CH20</f>
        <v>-1600000</v>
      </c>
      <c r="CR20" s="1106">
        <f t="shared" si="53"/>
        <v>-1</v>
      </c>
      <c r="CS20" s="1095">
        <f t="shared" ref="CS20:CS33" si="213">CN20-CK20</f>
        <v>0</v>
      </c>
      <c r="CT20" s="1104" t="str">
        <f t="shared" si="55"/>
        <v/>
      </c>
      <c r="CU20" s="1095">
        <f t="shared" ref="CU20:CU33" si="214">SUMIF(BH$3:CT$3,CU$3,BH20:CT20)</f>
        <v>4800000</v>
      </c>
      <c r="CV20" s="1103" t="str">
        <f t="shared" ref="CV20:CV33" si="215">IFERROR(CU20/SUMIF($C$5:$C$18,$C20,CU$5:CU$18),"")</f>
        <v/>
      </c>
      <c r="CW20" s="1103">
        <f t="shared" ref="CW20:CW33" si="216">IFERROR(CU20/CU$19,"")</f>
        <v>0.4</v>
      </c>
      <c r="CX20" s="1095">
        <f t="shared" ref="CX20:CX33" si="217">SUMIF(BH$3:CT$3,CX$3,BH20:CT20)</f>
        <v>0</v>
      </c>
      <c r="CY20" s="1103" t="str">
        <f t="shared" ref="CY20:CY33" si="218">IFERROR(CX20/SUMIF($C$5:$C$18,$C20,CX$5:CX$18),"")</f>
        <v/>
      </c>
      <c r="CZ20" s="1103">
        <f t="shared" ref="CZ20:CZ33" si="219">IFERROR(CX20/CX$19,"")</f>
        <v>0</v>
      </c>
      <c r="DA20" s="1095">
        <f t="shared" ref="DA20:DA33" si="220">SUMIF(BH$3:CT$3,"AC",BH20:CT20)+SUMIF(BH$3:CT$3,"TF",BH20:CT20)</f>
        <v>677000</v>
      </c>
      <c r="DB20" s="1103" t="str">
        <f t="shared" ref="DB20:DB33" si="221">IFERROR(DA20/SUMIF($C$5:$C$18,$C20,DA$5:DA$18),"")</f>
        <v/>
      </c>
      <c r="DC20" s="1103">
        <f t="shared" ref="DC20:DC33" si="222">IFERROR(DA20/DA$19,"")</f>
        <v>0.2144704512</v>
      </c>
      <c r="DD20" s="1095">
        <f t="shared" ref="DD20:DD33" si="223">DA20-CU20</f>
        <v>-4123000</v>
      </c>
      <c r="DE20" s="1106">
        <f t="shared" si="63"/>
        <v>-0.8589583333</v>
      </c>
      <c r="DF20" s="1095">
        <f t="shared" ref="DF20:DF33" si="224">DA20-CX20</f>
        <v>677000</v>
      </c>
      <c r="DG20" s="1104" t="str">
        <f t="shared" si="65"/>
        <v/>
      </c>
      <c r="DH20" s="1095">
        <f t="shared" ref="DH20:DH33" si="225">AU20+CU20</f>
        <v>4800000</v>
      </c>
      <c r="DI20" s="1103" t="str">
        <f t="shared" ref="DI20:DI33" si="226">IFERROR(DH20/SUMIF($C$5:$C$18,$C20,DH$5:DH$18),"")</f>
        <v/>
      </c>
      <c r="DJ20" s="1103">
        <f t="shared" ref="DJ20:DJ33" si="227">IFERROR(DH20/DH$19,"")</f>
        <v>0.4</v>
      </c>
      <c r="DK20" s="1095">
        <f t="shared" ref="DK20:DK33" si="228">AX20+CX20</f>
        <v>3720000</v>
      </c>
      <c r="DL20" s="1103" t="str">
        <f t="shared" ref="DL20:DL33" si="229">IFERROR(DK20/SUMIF($C$5:$C$18,$C20,DK$5:DK$18),"")</f>
        <v/>
      </c>
      <c r="DM20" s="1103">
        <f t="shared" ref="DM20:DM33" si="230">IFERROR(DK20/DK$19,"")</f>
        <v>0.7134012939</v>
      </c>
      <c r="DN20" s="1095">
        <f t="shared" ref="DN20:DN33" si="231">BA20+DA20</f>
        <v>1865000</v>
      </c>
      <c r="DO20" s="1103" t="str">
        <f t="shared" ref="DO20:DO33" si="232">IFERROR(DN20/SUMIF($C$5:$C$18,$C20,DN$5:DN$18),"")</f>
        <v/>
      </c>
      <c r="DP20" s="1103">
        <f t="shared" ref="DP20:DP33" si="233">IFERROR(DN20/DN$19,"")</f>
        <v>0.4292673316</v>
      </c>
      <c r="DQ20" s="1095">
        <f t="shared" ref="DQ20:DQ33" si="234">DN20-DH20</f>
        <v>-2935000</v>
      </c>
      <c r="DR20" s="1106">
        <f t="shared" si="73"/>
        <v>-0.6114583333</v>
      </c>
      <c r="DS20" s="1095">
        <f t="shared" ref="DS20:DS33" si="235">DN20-DK20</f>
        <v>-1855000</v>
      </c>
      <c r="DT20" s="1104">
        <f t="shared" si="75"/>
        <v>-0.498655914</v>
      </c>
      <c r="DU20" s="1083">
        <f>SUMIF($B21:$B$33,$B20,DU21:DU$33)</f>
        <v>1600000</v>
      </c>
      <c r="DV20" s="1103" t="str">
        <f t="shared" ref="DV20:DV33" si="236">IFERROR(DU20/SUMIF($C$5:$C$18,$C20,DU$5:DU$18),"")</f>
        <v/>
      </c>
      <c r="DW20" s="1103">
        <f t="shared" ref="DW20:DW33" si="237">IFERROR(DU20/DU$19,"")</f>
        <v>0.4</v>
      </c>
      <c r="DX20" s="1083">
        <f>SUMIF($B21:$B$33,$B20,DX21:DX$33)</f>
        <v>1239999.96</v>
      </c>
      <c r="DY20" s="1103" t="str">
        <f t="shared" ref="DY20:DY33" si="238">IFERROR(DX20/SUMIF($C$5:$C$18,$C20,DX$5:DX$18),"")</f>
        <v/>
      </c>
      <c r="DZ20" s="1103">
        <f t="shared" ref="DZ20:DZ33" si="239">IFERROR(DX20/DX$19,"")</f>
        <v>0.205298008</v>
      </c>
      <c r="EA20" s="1083">
        <f>SUMIF($B21:$B$33,$B20,EA21:EA$33)</f>
        <v>0</v>
      </c>
      <c r="EB20" s="1103" t="str">
        <f t="shared" ref="EB20:EB33" si="240">IFERROR(EA20/SUMIF($C$5:$C$18,$C20,EA$5:EA$18),"")</f>
        <v/>
      </c>
      <c r="EC20" s="1103" t="str">
        <f t="shared" ref="EC20:EC33" si="241">IFERROR(EA20/EA$19,"")</f>
        <v/>
      </c>
      <c r="ED20" s="1095">
        <f t="shared" ref="ED20:ED33" si="242">EA20-DU20</f>
        <v>-1600000</v>
      </c>
      <c r="EE20" s="1106">
        <f t="shared" si="80"/>
        <v>-1</v>
      </c>
      <c r="EF20" s="1095">
        <f t="shared" ref="EF20:EF33" si="243">EA20-DX20</f>
        <v>-1239999.96</v>
      </c>
      <c r="EG20" s="1106">
        <f t="shared" si="82"/>
        <v>-1</v>
      </c>
      <c r="EH20" s="1083">
        <f>SUMIF($B21:$B$33,$B20,EH21:EH$33)</f>
        <v>1600000</v>
      </c>
      <c r="EI20" s="1103" t="str">
        <f t="shared" ref="EI20:EI33" si="244">IFERROR(EH20/SUMIF($C$5:$C$18,$C20,EH$5:EH$18),"")</f>
        <v/>
      </c>
      <c r="EJ20" s="1103">
        <f t="shared" ref="EJ20:EJ33" si="245">IFERROR(EH20/EH$19,"")</f>
        <v>0.4</v>
      </c>
      <c r="EK20" s="1083">
        <f>SUMIF($B21:$B$33,$B20,EK21:EK$33)</f>
        <v>1239999.96</v>
      </c>
      <c r="EL20" s="1103" t="str">
        <f t="shared" ref="EL20:EL33" si="246">IFERROR(EK20/SUMIF($C$5:$C$18,$C20,EK$5:EK$18),"")</f>
        <v/>
      </c>
      <c r="EM20" s="1103">
        <f t="shared" ref="EM20:EM33" si="247">IFERROR(EK20/EK$19,"")</f>
        <v>0.205298008</v>
      </c>
      <c r="EN20" s="1083">
        <f>SUMIF($B21:$B$33,$B20,EN21:EN$33)</f>
        <v>0</v>
      </c>
      <c r="EO20" s="1103" t="str">
        <f t="shared" ref="EO20:EO33" si="248">IFERROR(EN20/SUMIF($C$5:$C$18,$C20,EN$5:EN$18),"")</f>
        <v/>
      </c>
      <c r="EP20" s="1103" t="str">
        <f t="shared" ref="EP20:EP33" si="249">IFERROR(EN20/EN$19,"")</f>
        <v/>
      </c>
      <c r="EQ20" s="1095">
        <f t="shared" ref="EQ20:EQ33" si="250">EN20-EH20</f>
        <v>-1600000</v>
      </c>
      <c r="ER20" s="1106">
        <f t="shared" si="87"/>
        <v>-1</v>
      </c>
      <c r="ES20" s="1095">
        <f t="shared" ref="ES20:ES33" si="251">EN20-EK20</f>
        <v>-1239999.96</v>
      </c>
      <c r="ET20" s="1106">
        <f t="shared" si="89"/>
        <v>-1</v>
      </c>
      <c r="EU20" s="1083">
        <f>SUMIF($B21:$B$33,$B20,EU21:EU$33)</f>
        <v>1600000</v>
      </c>
      <c r="EV20" s="1103" t="str">
        <f t="shared" ref="EV20:EV33" si="252">IFERROR(EU20/SUMIF($C$5:$C$18,$C20,EU$5:EU$18),"")</f>
        <v/>
      </c>
      <c r="EW20" s="1103">
        <f t="shared" ref="EW20:EW33" si="253">IFERROR(EU20/EU$19,"")</f>
        <v>0.4</v>
      </c>
      <c r="EX20" s="1083">
        <f>SUMIF($B21:$B$33,$B20,EX21:EX$33)</f>
        <v>1239999.96</v>
      </c>
      <c r="EY20" s="1103" t="str">
        <f t="shared" ref="EY20:EY33" si="254">IFERROR(EX20/SUMIF($C$5:$C$18,$C20,EX$5:EX$18),"")</f>
        <v/>
      </c>
      <c r="EZ20" s="1103">
        <f t="shared" ref="EZ20:EZ33" si="255">IFERROR(EX20/EX$19,"")</f>
        <v>0.205298008</v>
      </c>
      <c r="FA20" s="1083">
        <f>SUMIF($B21:$B$33,$B20,FA21:FA$33)</f>
        <v>0</v>
      </c>
      <c r="FB20" s="1103" t="str">
        <f t="shared" ref="FB20:FB33" si="256">IFERROR(FA20/SUMIF($C$5:$C$18,$C20,FA$5:FA$18),"")</f>
        <v/>
      </c>
      <c r="FC20" s="1103" t="str">
        <f t="shared" ref="FC20:FC33" si="257">IFERROR(FA20/FA$19,"")</f>
        <v/>
      </c>
      <c r="FD20" s="1095">
        <f t="shared" ref="FD20:FD33" si="258">FA20-EU20</f>
        <v>-1600000</v>
      </c>
      <c r="FE20" s="1106">
        <f t="shared" si="94"/>
        <v>-1</v>
      </c>
      <c r="FF20" s="1095">
        <f t="shared" ref="FF20:FF33" si="259">FA20-EX20</f>
        <v>-1239999.96</v>
      </c>
      <c r="FG20" s="1106">
        <f t="shared" si="96"/>
        <v>-1</v>
      </c>
      <c r="FH20" s="1095">
        <f t="shared" ref="FH20:FH33" si="260">SUMIF(DU$3:FG$3,FH$3,DU20:FG20)</f>
        <v>4800000</v>
      </c>
      <c r="FI20" s="1103" t="str">
        <f t="shared" ref="FI20:FI33" si="261">IFERROR(FH20/SUMIF($C$5:$C$18,$C20,FH$5:FH$18),"")</f>
        <v/>
      </c>
      <c r="FJ20" s="1103">
        <f t="shared" ref="FJ20:FJ33" si="262">IFERROR(FH20/FH$19,"")</f>
        <v>0.4</v>
      </c>
      <c r="FK20" s="1095">
        <f t="shared" ref="FK20:FK33" si="263">SUMIF(DU$3:FG$3,FK$3,DU20:FG20)</f>
        <v>3719999.88</v>
      </c>
      <c r="FL20" s="1103" t="str">
        <f t="shared" ref="FL20:FL33" si="264">IFERROR(FK20/SUMIF($C$5:$C$18,$C20,FK$5:FK$18),"")</f>
        <v/>
      </c>
      <c r="FM20" s="1103">
        <f t="shared" ref="FM20:FM33" si="265">IFERROR(FK20/FK$19,"")</f>
        <v>0.205298008</v>
      </c>
      <c r="FN20" s="1095">
        <f t="shared" ref="FN20:FN33" si="266">SUMIF(DU$3:FG$3,"AC",DU20:FG20)+SUMIF(DU$3:FG$3,"TF",DU20:FG20)</f>
        <v>0</v>
      </c>
      <c r="FO20" s="1103" t="str">
        <f t="shared" ref="FO20:FO33" si="267">IFERROR(FN20/SUMIF($C$5:$C$18,$C20,FN$5:FN$18),"")</f>
        <v/>
      </c>
      <c r="FP20" s="1103" t="str">
        <f t="shared" ref="FP20:FP33" si="268">IFERROR(FN20/FN$19,"")</f>
        <v/>
      </c>
      <c r="FQ20" s="1095">
        <f t="shared" ref="FQ20:FQ33" si="269">FN20-FH20</f>
        <v>-4800000</v>
      </c>
      <c r="FR20" s="1106">
        <f t="shared" si="104"/>
        <v>-1</v>
      </c>
      <c r="FS20" s="1095">
        <f t="shared" ref="FS20:FS33" si="270">FN20-FK20</f>
        <v>-3719999.88</v>
      </c>
      <c r="FT20" s="1106">
        <f t="shared" si="106"/>
        <v>-1</v>
      </c>
      <c r="FU20" s="1083">
        <f>SUMIF($B21:$B$33,$B20,FU21:FU$33)</f>
        <v>1600000</v>
      </c>
      <c r="FV20" s="1103" t="str">
        <f t="shared" ref="FV20:FV33" si="271">IFERROR(FU20/SUMIF($C$5:$C$18,$C20,FU$5:FU$18),"")</f>
        <v/>
      </c>
      <c r="FW20" s="1103">
        <f t="shared" ref="FW20:FW33" si="272">IFERROR(FU20/FU$19,"")</f>
        <v>0.4</v>
      </c>
      <c r="FX20" s="1083">
        <f>SUMIF($B21:$B$33,$B20,FX21:FX$33)</f>
        <v>1239999.96</v>
      </c>
      <c r="FY20" s="1103" t="str">
        <f t="shared" ref="FY20:FY33" si="273">IFERROR(FX20/SUMIF($C$5:$C$18,$C20,FX$5:FX$18),"")</f>
        <v/>
      </c>
      <c r="FZ20" s="1103">
        <f t="shared" ref="FZ20:FZ33" si="274">IFERROR(FX20/FX$19,"")</f>
        <v>0.205298008</v>
      </c>
      <c r="GA20" s="1083">
        <f>SUMIF($B21:$B$33,$B20,GA21:GA$33)</f>
        <v>0</v>
      </c>
      <c r="GB20" s="1103" t="str">
        <f t="shared" ref="GB20:GB33" si="275">IFERROR(GA20/SUMIF($C$5:$C$18,$C20,GA$5:GA$18),"")</f>
        <v/>
      </c>
      <c r="GC20" s="1103" t="str">
        <f t="shared" ref="GC20:GC33" si="276">IFERROR(GA20/GA$19,"")</f>
        <v/>
      </c>
      <c r="GD20" s="1095">
        <f t="shared" ref="GD20:GD33" si="277">GA20-FU20</f>
        <v>-1600000</v>
      </c>
      <c r="GE20" s="1106">
        <f t="shared" si="111"/>
        <v>-1</v>
      </c>
      <c r="GF20" s="1095">
        <f t="shared" ref="GF20:GF33" si="278">GA20-FX20</f>
        <v>-1239999.96</v>
      </c>
      <c r="GG20" s="1106">
        <f t="shared" si="113"/>
        <v>-1</v>
      </c>
      <c r="GH20" s="1083">
        <f>SUMIF($B21:$B$33,$B20,GH21:GH$33)</f>
        <v>1600000</v>
      </c>
      <c r="GI20" s="1103" t="str">
        <f t="shared" ref="GI20:GI33" si="279">IFERROR(GH20/SUMIF($C$5:$C$18,$C20,GH$5:GH$18),"")</f>
        <v/>
      </c>
      <c r="GJ20" s="1103">
        <f t="shared" ref="GJ20:GJ33" si="280">IFERROR(GH20/GH$19,"")</f>
        <v>0.4</v>
      </c>
      <c r="GK20" s="1083">
        <f>SUMIF($B21:$B$33,$B20,GK21:GK$33)</f>
        <v>1239999.96</v>
      </c>
      <c r="GL20" s="1103" t="str">
        <f t="shared" ref="GL20:GL33" si="281">IFERROR(GK20/SUMIF($C$5:$C$18,$C20,GK$5:GK$18),"")</f>
        <v/>
      </c>
      <c r="GM20" s="1103">
        <f t="shared" ref="GM20:GM33" si="282">IFERROR(GK20/GK$19,"")</f>
        <v>0.205298008</v>
      </c>
      <c r="GN20" s="1083">
        <f>SUMIF($B21:$B$33,$B20,GN21:GN$33)</f>
        <v>0</v>
      </c>
      <c r="GO20" s="1103" t="str">
        <f t="shared" ref="GO20:GO33" si="283">IFERROR(GN20/SUMIF($C$5:$C$18,$C20,GN$5:GN$18),"")</f>
        <v/>
      </c>
      <c r="GP20" s="1103" t="str">
        <f t="shared" ref="GP20:GP33" si="284">IFERROR(GN20/GN$19,"")</f>
        <v/>
      </c>
      <c r="GQ20" s="1095">
        <f t="shared" ref="GQ20:GQ33" si="285">GN20-GH20</f>
        <v>-1600000</v>
      </c>
      <c r="GR20" s="1106">
        <f t="shared" si="118"/>
        <v>-1</v>
      </c>
      <c r="GS20" s="1095">
        <f t="shared" ref="GS20:GS33" si="286">GN20-GK20</f>
        <v>-1239999.96</v>
      </c>
      <c r="GT20" s="1106">
        <f t="shared" si="120"/>
        <v>-1</v>
      </c>
      <c r="GU20" s="1083">
        <f>SUMIF($B21:$B$33,$B20,GU21:GU$33)</f>
        <v>1600000</v>
      </c>
      <c r="GV20" s="1103" t="str">
        <f t="shared" ref="GV20:GV33" si="287">IFERROR(GU20/SUMIF($C$5:$C$18,$C20,GU$5:GU$18),"")</f>
        <v/>
      </c>
      <c r="GW20" s="1103">
        <f t="shared" ref="GW20:GW33" si="288">IFERROR(GU20/GU$19,"")</f>
        <v>0.4</v>
      </c>
      <c r="GX20" s="1083">
        <f>SUMIF($B21:$B$33,$B20,GX21:GX$33)</f>
        <v>1239999.96</v>
      </c>
      <c r="GY20" s="1103" t="str">
        <f t="shared" ref="GY20:GY33" si="289">IFERROR(GX20/SUMIF($C$5:$C$18,$C20,GX$5:GX$18),"")</f>
        <v/>
      </c>
      <c r="GZ20" s="1103">
        <f t="shared" ref="GZ20:GZ33" si="290">IFERROR(GX20/GX$19,"")</f>
        <v>0.205298008</v>
      </c>
      <c r="HA20" s="1083">
        <f>SUMIF($B21:$B$33,$B20,HA21:HA$33)</f>
        <v>0</v>
      </c>
      <c r="HB20" s="1103" t="str">
        <f t="shared" ref="HB20:HB33" si="291">IFERROR(HA20/SUMIF($C$5:$C$18,$C20,HA$5:HA$18),"")</f>
        <v/>
      </c>
      <c r="HC20" s="1103" t="str">
        <f t="shared" ref="HC20:HC33" si="292">IFERROR(HA20/HA$19,"")</f>
        <v/>
      </c>
      <c r="HD20" s="1095">
        <f t="shared" ref="HD20:HD33" si="293">HA20-GU20</f>
        <v>-1600000</v>
      </c>
      <c r="HE20" s="1106">
        <f t="shared" si="125"/>
        <v>-1</v>
      </c>
      <c r="HF20" s="1095">
        <f t="shared" ref="HF20:HF33" si="294">HA20-GX20</f>
        <v>-1239999.96</v>
      </c>
      <c r="HG20" s="1106">
        <f t="shared" si="127"/>
        <v>-1</v>
      </c>
      <c r="HH20" s="1095">
        <f t="shared" ref="HH20:HH33" si="295">SUMIF(FU$3:HG$3,HH$3,FU20:HG20)</f>
        <v>4800000</v>
      </c>
      <c r="HI20" s="1103" t="str">
        <f t="shared" ref="HI20:HI33" si="296">IFERROR(HH20/SUMIF($C$5:$C$18,$C20,HH$5:HH$18),"")</f>
        <v/>
      </c>
      <c r="HJ20" s="1103">
        <f t="shared" ref="HJ20:HJ33" si="297">IFERROR(HH20/HH$19,"")</f>
        <v>0.4</v>
      </c>
      <c r="HK20" s="1095">
        <f t="shared" ref="HK20:HK33" si="298">SUMIF(FU$3:HG$3,HK$3,FU20:HG20)</f>
        <v>3719999.88</v>
      </c>
      <c r="HL20" s="1103" t="str">
        <f t="shared" ref="HL20:HL33" si="299">IFERROR(HK20/SUMIF($C$5:$C$18,$C20,HK$5:HK$18),"")</f>
        <v/>
      </c>
      <c r="HM20" s="1103">
        <f t="shared" ref="HM20:HM33" si="300">IFERROR(HK20/HK$19,"")</f>
        <v>0.205298008</v>
      </c>
      <c r="HN20" s="1095">
        <f t="shared" ref="HN20:HN33" si="301">SUMIF(FU$3:HG$3,"AC",FU20:HG20)+SUMIF(FU$3:HG$3,"TF",FU20:HG20)</f>
        <v>0</v>
      </c>
      <c r="HO20" s="1103" t="str">
        <f t="shared" ref="HO20:HO33" si="302">IFERROR(HN20/SUMIF($C$5:$C$18,$C20,HN$5:HN$18),"")</f>
        <v/>
      </c>
      <c r="HP20" s="1103" t="str">
        <f t="shared" ref="HP20:HP33" si="303">IFERROR(HN20/HN$19,"")</f>
        <v/>
      </c>
      <c r="HQ20" s="1095">
        <f t="shared" ref="HQ20:HQ33" si="304">HN20-HH20</f>
        <v>-4800000</v>
      </c>
      <c r="HR20" s="1106">
        <f t="shared" si="135"/>
        <v>-1</v>
      </c>
      <c r="HS20" s="1095">
        <f t="shared" ref="HS20:HS33" si="305">HN20-HK20</f>
        <v>-3719999.88</v>
      </c>
      <c r="HT20" s="1106">
        <f t="shared" si="137"/>
        <v>-1</v>
      </c>
      <c r="HU20" s="1095">
        <f t="shared" ref="HU20:HU33" si="306">FH20+HH20</f>
        <v>9600000</v>
      </c>
      <c r="HV20" s="1103" t="str">
        <f t="shared" ref="HV20:HV33" si="307">IFERROR(HU20/SUMIF($C$5:$C$18,$C20,HU$5:HU$18),"")</f>
        <v/>
      </c>
      <c r="HW20" s="1103">
        <f t="shared" ref="HW20:HW33" si="308">IFERROR(HU20/HU$19,"")</f>
        <v>0.4</v>
      </c>
      <c r="HX20" s="1095">
        <f t="shared" ref="HX20:HX33" si="309">FK20+HK20</f>
        <v>7439999.76</v>
      </c>
      <c r="HY20" s="1103" t="str">
        <f t="shared" ref="HY20:HY33" si="310">IFERROR(HX20/SUMIF($C$5:$C$18,$C20,HX$5:HX$18),"")</f>
        <v/>
      </c>
      <c r="HZ20" s="1103">
        <f t="shared" ref="HZ20:HZ33" si="311">IFERROR(HX20/HX$19,"")</f>
        <v>0.205298008</v>
      </c>
      <c r="IA20" s="1095">
        <f t="shared" ref="IA20:IA33" si="312">FN20+HN20</f>
        <v>0</v>
      </c>
      <c r="IB20" s="1103" t="str">
        <f t="shared" ref="IB20:IB33" si="313">IFERROR(IA20/SUMIF($C$5:$C$18,$C20,IA$5:IA$18),"")</f>
        <v/>
      </c>
      <c r="IC20" s="1103" t="str">
        <f t="shared" ref="IC20:IC33" si="314">IFERROR(IA20/IA$19,"")</f>
        <v/>
      </c>
      <c r="ID20" s="1095">
        <f t="shared" ref="ID20:ID33" si="315">IA20-HU20</f>
        <v>-9600000</v>
      </c>
      <c r="IE20" s="1106">
        <f t="shared" si="145"/>
        <v>-1</v>
      </c>
      <c r="IF20" s="1095">
        <f t="shared" ref="IF20:IF33" si="316">IA20-HX20</f>
        <v>-7439999.76</v>
      </c>
      <c r="IG20" s="1106">
        <f t="shared" si="147"/>
        <v>-1</v>
      </c>
      <c r="IH20" s="1095">
        <f t="shared" ref="IH20:IH33" si="317">DH20+HU20</f>
        <v>14400000</v>
      </c>
      <c r="II20" s="1103" t="str">
        <f t="shared" ref="II20:II33" si="318">IFERROR(IH20/SUMIF($C$5:$C$18,$C20,IH$5:IH$18),"")</f>
        <v/>
      </c>
      <c r="IJ20" s="1103">
        <f t="shared" ref="IJ20:IJ33" si="319">IFERROR(IH20/IH$19,"")</f>
        <v>0.4</v>
      </c>
      <c r="IK20" s="1095">
        <f t="shared" ref="IK20:IK33" si="320">DK20+HX20</f>
        <v>11159999.76</v>
      </c>
      <c r="IL20" s="1103" t="str">
        <f t="shared" ref="IL20:IL33" si="321">IFERROR(IK20/SUMIF($C$5:$C$18,$C20,IK$5:IK$18),"")</f>
        <v/>
      </c>
      <c r="IM20" s="1103">
        <f t="shared" ref="IM20:IM33" si="322">IFERROR(IK20/IK$19,"")</f>
        <v>0.2692110999</v>
      </c>
      <c r="IN20" s="1095">
        <f t="shared" ref="IN20:IN33" si="323">DN20+IA20</f>
        <v>1865000</v>
      </c>
      <c r="IO20" s="1103" t="str">
        <f t="shared" ref="IO20:IO33" si="324">IFERROR(IN20/SUMIF($C$5:$C$18,$C20,IN$5:IN$18),"")</f>
        <v/>
      </c>
      <c r="IP20" s="1103">
        <f t="shared" ref="IP20:IP33" si="325">IFERROR(IN20/IN$19,"")</f>
        <v>0.4292673316</v>
      </c>
      <c r="IQ20" s="1095">
        <f t="shared" ref="IQ20:IQ33" si="326">IN20-IH20</f>
        <v>-12535000</v>
      </c>
      <c r="IR20" s="1106">
        <f t="shared" si="1"/>
        <v>-0.8704861111</v>
      </c>
      <c r="IS20" s="1095">
        <f t="shared" ref="IS20:IS33" si="327">IN20-IK20</f>
        <v>-9294999.76</v>
      </c>
      <c r="IT20" s="1106">
        <f t="shared" si="2"/>
        <v>-0.8328853011</v>
      </c>
    </row>
    <row r="21" hidden="1" outlineLevel="1">
      <c r="A21" s="1086">
        <f t="shared" ref="A21:A23" si="328">IF(C21="","",COUNTA(C$20:C21))</f>
        <v>1</v>
      </c>
      <c r="B21" s="1087" t="s">
        <v>2066</v>
      </c>
      <c r="C21" s="1087" t="s">
        <v>175</v>
      </c>
      <c r="D21" s="1087" t="str">
        <f>IF(C21&gt;0,VLOOKUP(C21,DM_DUAN ,2,"") ,IF(B21&gt;0,VLOOKUP(B21,DM_CDT,2,""),""))</f>
        <v>Phước hội Hồ Tràm</v>
      </c>
      <c r="E21" s="1087" t="s">
        <v>187</v>
      </c>
      <c r="F21" s="1087"/>
      <c r="G21" s="1086">
        <v>2.0</v>
      </c>
      <c r="H21" s="1088">
        <f>SUMIFS(BP_SOTIEN,BP_DA,$C21,BP_THANG,H$2,BP_KM,$E21)/1000</f>
        <v>0</v>
      </c>
      <c r="I21" s="1089" t="str">
        <f t="shared" si="156"/>
        <v/>
      </c>
      <c r="J21" s="1089" t="str">
        <f t="shared" si="157"/>
        <v/>
      </c>
      <c r="K21" s="1090">
        <f>IF(NOW()&gt;=DATE(YEAR(H$2),MONTH(H$2)+1,DAY(H$2)),SUMIFS(TF_SOTIEN,TF_DA,$C21,TF_THANG,H$2,TF_KM,$E21)/1000, N21)</f>
        <v>120000</v>
      </c>
      <c r="L21" s="1089">
        <f t="shared" si="158"/>
        <v>0.12</v>
      </c>
      <c r="M21" s="1089">
        <f t="shared" ref="M21:M23" si="329">IFERROR(K21/K$19,"")</f>
        <v>1</v>
      </c>
      <c r="N21" s="1090">
        <f>IF(NOW()&gt;=DATE(YEAR(H$2),MONTH(H$2)+1,DAY(H$2)),SUMIFS(AC_SOTIEN,AC_DA,$C21,AC_THANG,H$2,AC_KM,$E21),SUMIFS(TF_SOTIEN,TF_DA,$C21,TF_THANG,H$2,TF_KM,$E21))/ 1000</f>
        <v>340000</v>
      </c>
      <c r="O21" s="1089">
        <f t="shared" si="159"/>
        <v>0.09945999076</v>
      </c>
      <c r="P21" s="1089">
        <f t="shared" si="160"/>
        <v>1</v>
      </c>
      <c r="Q21" s="1090">
        <f t="shared" si="161"/>
        <v>340000</v>
      </c>
      <c r="R21" s="1091" t="str">
        <f t="shared" si="8"/>
        <v/>
      </c>
      <c r="S21" s="1090">
        <f t="shared" si="162"/>
        <v>220000</v>
      </c>
      <c r="T21" s="1091">
        <f t="shared" si="10"/>
        <v>1.833333333</v>
      </c>
      <c r="U21" s="1088">
        <f>SUMIFS(BP_SOTIEN,BP_DA,$C21,BP_THANG,U$2,BP_KM,$E21)/1000</f>
        <v>0</v>
      </c>
      <c r="V21" s="1089" t="str">
        <f t="shared" si="163"/>
        <v/>
      </c>
      <c r="W21" s="1089" t="str">
        <f t="shared" si="164"/>
        <v/>
      </c>
      <c r="X21" s="1090">
        <f>IF(NOW()&gt;=DATE(YEAR(U$2),MONTH(U$2)+1,DAY(U$2)),SUMIFS(TF_SOTIEN,TF_DA,$C21,TF_THANG,U$2,TF_KM,$E21)/1000, AA21)</f>
        <v>0</v>
      </c>
      <c r="Y21" s="1089" t="str">
        <f t="shared" si="165"/>
        <v/>
      </c>
      <c r="Z21" s="1089" t="str">
        <f t="shared" si="166"/>
        <v/>
      </c>
      <c r="AA21" s="1090">
        <f>IF(NOW()&gt;=DATE(YEAR(U$2),MONTH(U$2)+1,DAY(U$2)),SUMIFS(AC_SOTIEN,AC_DA,$C21,AC_THANG,U$2,AC_KM,$E21),SUMIFS(TF_SOTIEN,TF_DA,$C21,TF_THANG,U$2,TF_KM,$E21))/ 1000</f>
        <v>180000</v>
      </c>
      <c r="AB21" s="1089">
        <f t="shared" si="167"/>
        <v>0.0932642487</v>
      </c>
      <c r="AC21" s="1089">
        <f t="shared" si="168"/>
        <v>1</v>
      </c>
      <c r="AD21" s="1090">
        <f t="shared" si="169"/>
        <v>180000</v>
      </c>
      <c r="AE21" s="1091" t="str">
        <f t="shared" si="15"/>
        <v/>
      </c>
      <c r="AF21" s="1090">
        <f t="shared" si="170"/>
        <v>180000</v>
      </c>
      <c r="AG21" s="1091" t="str">
        <f t="shared" si="17"/>
        <v/>
      </c>
      <c r="AH21" s="1088">
        <f>SUMIFS(BP_SOTIEN,BP_DA,$C21,BP_THANG,AH$2,BP_KM,$E21)/1000</f>
        <v>0</v>
      </c>
      <c r="AI21" s="1089" t="str">
        <f t="shared" si="171"/>
        <v/>
      </c>
      <c r="AJ21" s="1089" t="str">
        <f t="shared" si="172"/>
        <v/>
      </c>
      <c r="AK21" s="1090">
        <f>IF(NOW()&gt;=DATE(YEAR(AH$2),MONTH(AH$2)+1,DAY(AH$2)),SUMIFS(TF_SOTIEN,TF_DA,$C21,TF_THANG,AH$2,TF_KM,$E21)/1000, AN21)</f>
        <v>3600000</v>
      </c>
      <c r="AL21" s="1089">
        <f t="shared" si="173"/>
        <v>0.12</v>
      </c>
      <c r="AM21" s="1089">
        <f t="shared" si="174"/>
        <v>1</v>
      </c>
      <c r="AN21" s="1090">
        <f>IF(NOW()&gt;=DATE(YEAR(AH$2),MONTH(AH$2)+1,DAY(AH$2)),SUMIFS(AC_SOTIEN,AC_DA,$C21,AC_THANG,AH$2,AC_KM,$E21),SUMIFS(TF_SOTIEN,TF_DA,$C21,TF_THANG,AH$2,TF_KM,$E21))/ 1000</f>
        <v>150000</v>
      </c>
      <c r="AO21" s="1089">
        <f t="shared" si="175"/>
        <v>0.04854863845</v>
      </c>
      <c r="AP21" s="1089">
        <f t="shared" si="176"/>
        <v>0.2245508982</v>
      </c>
      <c r="AQ21" s="1090">
        <f t="shared" si="177"/>
        <v>150000</v>
      </c>
      <c r="AR21" s="1091" t="str">
        <f t="shared" si="22"/>
        <v/>
      </c>
      <c r="AS21" s="1090">
        <f t="shared" si="178"/>
        <v>-3450000</v>
      </c>
      <c r="AT21" s="1091">
        <f t="shared" si="24"/>
        <v>-0.9583333333</v>
      </c>
      <c r="AU21" s="1088">
        <f t="shared" si="179"/>
        <v>0</v>
      </c>
      <c r="AV21" s="1089" t="str">
        <f t="shared" si="180"/>
        <v/>
      </c>
      <c r="AW21" s="1089" t="str">
        <f t="shared" si="181"/>
        <v/>
      </c>
      <c r="AX21" s="1090">
        <f t="shared" si="182"/>
        <v>3720000</v>
      </c>
      <c r="AY21" s="1089">
        <f t="shared" si="183"/>
        <v>0.12</v>
      </c>
      <c r="AZ21" s="1089">
        <f t="shared" si="184"/>
        <v>1</v>
      </c>
      <c r="BA21" s="1090">
        <f t="shared" si="185"/>
        <v>670000</v>
      </c>
      <c r="BB21" s="1089">
        <f t="shared" si="186"/>
        <v>0.07940133762</v>
      </c>
      <c r="BC21" s="1089">
        <f t="shared" si="187"/>
        <v>0.563973064</v>
      </c>
      <c r="BD21" s="1090">
        <f t="shared" si="188"/>
        <v>670000</v>
      </c>
      <c r="BE21" s="1091" t="str">
        <f t="shared" si="32"/>
        <v/>
      </c>
      <c r="BF21" s="1090">
        <f t="shared" si="189"/>
        <v>-3050000</v>
      </c>
      <c r="BG21" s="1091">
        <f t="shared" si="34"/>
        <v>-0.8198924731</v>
      </c>
      <c r="BH21" s="1088">
        <f>SUMIFS(BP_SOTIEN,BP_DA,$C21,BP_THANG,BH$2,BP_KM,$E21)/1000</f>
        <v>1600000</v>
      </c>
      <c r="BI21" s="1089">
        <f t="shared" si="190"/>
        <v>0.12</v>
      </c>
      <c r="BJ21" s="1089">
        <f t="shared" si="191"/>
        <v>0.4</v>
      </c>
      <c r="BK21" s="1090">
        <f>IF(NOW()&gt;=DATE(YEAR(BH$2),MONTH(BH$2)+1,DAY(BH$2)),SUMIFS(TF_SOTIEN,TF_DA,$C21,TF_THANG,BH$2,TF_KM,$E21)/1000, BN21)</f>
        <v>0</v>
      </c>
      <c r="BL21" s="1089" t="str">
        <f t="shared" si="192"/>
        <v/>
      </c>
      <c r="BM21" s="1089" t="str">
        <f t="shared" si="193"/>
        <v/>
      </c>
      <c r="BN21" s="1090">
        <f>IF(NOW()&gt;=DATE(YEAR(BH$2),MONTH(BH$2)+1,DAY(BH$2)),SUMIFS(AC_SOTIEN,AC_DA,$C21,AC_THANG,BH$2,AC_KM,$E21),SUMIFS(TF_SOTIEN,TF_DA,$C21,TF_THANG,BH$2,TF_KM,$E21))/ 1000</f>
        <v>0</v>
      </c>
      <c r="BO21" s="1089" t="str">
        <f t="shared" si="194"/>
        <v/>
      </c>
      <c r="BP21" s="1089">
        <f t="shared" si="195"/>
        <v>0</v>
      </c>
      <c r="BQ21" s="1090">
        <f t="shared" si="196"/>
        <v>-1600000</v>
      </c>
      <c r="BR21" s="1091">
        <f t="shared" si="39"/>
        <v>-1</v>
      </c>
      <c r="BS21" s="1090">
        <f t="shared" si="197"/>
        <v>0</v>
      </c>
      <c r="BT21" s="1091" t="str">
        <f t="shared" si="41"/>
        <v/>
      </c>
      <c r="BU21" s="1088">
        <f>SUMIFS(BP_SOTIEN,BP_DA,$C21,BP_THANG,BU$2,BP_KM,$E21)/1000</f>
        <v>1600000</v>
      </c>
      <c r="BV21" s="1089">
        <f t="shared" si="198"/>
        <v>0.12</v>
      </c>
      <c r="BW21" s="1089">
        <f t="shared" si="199"/>
        <v>0.4</v>
      </c>
      <c r="BX21" s="1090">
        <f>IF(NOW()&gt;=DATE(YEAR(BU$2),MONTH(BU$2)+1,DAY(BU$2)),SUMIFS(TF_SOTIEN,TF_DA,$C21,TF_THANG,BU$2,TF_KM,$E21)/1000, CA21)</f>
        <v>0</v>
      </c>
      <c r="BY21" s="1089" t="str">
        <f t="shared" si="200"/>
        <v/>
      </c>
      <c r="BZ21" s="1089">
        <f t="shared" si="201"/>
        <v>0</v>
      </c>
      <c r="CA21" s="1090">
        <f>IF(NOW()&gt;=DATE(YEAR(BU$2),MONTH(BU$2)+1,DAY(BU$2)),SUMIFS(AC_SOTIEN,AC_DA,$C21,AC_THANG,BU$2,AC_KM,$E21),SUMIFS(TF_SOTIEN,TF_DA,$C21,TF_THANG,BU$2,TF_KM,$E21))/ 1000</f>
        <v>0</v>
      </c>
      <c r="CB21" s="1089" t="str">
        <f t="shared" si="202"/>
        <v/>
      </c>
      <c r="CC21" s="1089">
        <f t="shared" si="203"/>
        <v>0</v>
      </c>
      <c r="CD21" s="1090">
        <f t="shared" si="204"/>
        <v>-1600000</v>
      </c>
      <c r="CE21" s="1091">
        <f t="shared" si="46"/>
        <v>-1</v>
      </c>
      <c r="CF21" s="1090">
        <f t="shared" si="205"/>
        <v>0</v>
      </c>
      <c r="CG21" s="1091" t="str">
        <f t="shared" si="48"/>
        <v/>
      </c>
      <c r="CH21" s="1088">
        <f>SUMIFS(BP_SOTIEN,BP_DA,$C21,BP_THANG,CH$2,BP_KM,$E21)/1000</f>
        <v>1600000</v>
      </c>
      <c r="CI21" s="1089">
        <f t="shared" si="206"/>
        <v>0.12</v>
      </c>
      <c r="CJ21" s="1089">
        <f t="shared" si="207"/>
        <v>0.4</v>
      </c>
      <c r="CK21" s="1090">
        <f>IF(NOW()&gt;=DATE(YEAR(CH$2),MONTH(CH$2)+1,DAY(CH$2)),SUMIFS(TF_SOTIEN,TF_DA,$C21,TF_THANG,CH$2,TF_KM,$E21)/1000, CN21)</f>
        <v>0</v>
      </c>
      <c r="CL21" s="1089" t="str">
        <f t="shared" si="208"/>
        <v/>
      </c>
      <c r="CM21" s="1089" t="str">
        <f t="shared" si="209"/>
        <v/>
      </c>
      <c r="CN21" s="1090">
        <f>IF(NOW()&gt;=DATE(YEAR(CH$2),MONTH(CH$2)+1,DAY(CH$2)),SUMIFS(AC_SOTIEN,AC_DA,$C21,AC_THANG,CH$2,AC_KM,$E21),SUMIFS(TF_SOTIEN,TF_DA,$C21,TF_THANG,CH$2,TF_KM,$E21))/ 1000</f>
        <v>0</v>
      </c>
      <c r="CO21" s="1089" t="str">
        <f t="shared" si="210"/>
        <v/>
      </c>
      <c r="CP21" s="1089" t="str">
        <f t="shared" si="211"/>
        <v/>
      </c>
      <c r="CQ21" s="1090">
        <f t="shared" si="212"/>
        <v>-1600000</v>
      </c>
      <c r="CR21" s="1091">
        <f t="shared" si="53"/>
        <v>-1</v>
      </c>
      <c r="CS21" s="1090">
        <f t="shared" si="213"/>
        <v>0</v>
      </c>
      <c r="CT21" s="1091" t="str">
        <f t="shared" si="55"/>
        <v/>
      </c>
      <c r="CU21" s="1088">
        <f t="shared" si="214"/>
        <v>4800000</v>
      </c>
      <c r="CV21" s="1089">
        <f t="shared" si="215"/>
        <v>0.12</v>
      </c>
      <c r="CW21" s="1089">
        <f t="shared" si="216"/>
        <v>0.4</v>
      </c>
      <c r="CX21" s="1090">
        <f t="shared" si="217"/>
        <v>0</v>
      </c>
      <c r="CY21" s="1089" t="str">
        <f t="shared" si="218"/>
        <v/>
      </c>
      <c r="CZ21" s="1089">
        <f t="shared" si="219"/>
        <v>0</v>
      </c>
      <c r="DA21" s="1090">
        <f t="shared" si="220"/>
        <v>0</v>
      </c>
      <c r="DB21" s="1089" t="str">
        <f t="shared" si="221"/>
        <v/>
      </c>
      <c r="DC21" s="1089">
        <f t="shared" si="222"/>
        <v>0</v>
      </c>
      <c r="DD21" s="1090">
        <f t="shared" si="223"/>
        <v>-4800000</v>
      </c>
      <c r="DE21" s="1091">
        <f t="shared" si="63"/>
        <v>-1</v>
      </c>
      <c r="DF21" s="1090">
        <f t="shared" si="224"/>
        <v>0</v>
      </c>
      <c r="DG21" s="1091" t="str">
        <f t="shared" si="65"/>
        <v/>
      </c>
      <c r="DH21" s="1088">
        <f t="shared" si="225"/>
        <v>4800000</v>
      </c>
      <c r="DI21" s="1089">
        <f t="shared" si="226"/>
        <v>0.12</v>
      </c>
      <c r="DJ21" s="1089">
        <f t="shared" si="227"/>
        <v>0.4</v>
      </c>
      <c r="DK21" s="1090">
        <f t="shared" si="228"/>
        <v>3720000</v>
      </c>
      <c r="DL21" s="1089">
        <f t="shared" si="229"/>
        <v>0.12</v>
      </c>
      <c r="DM21" s="1089">
        <f t="shared" si="230"/>
        <v>0.7134012939</v>
      </c>
      <c r="DN21" s="1090">
        <f t="shared" si="231"/>
        <v>670000</v>
      </c>
      <c r="DO21" s="1089">
        <f t="shared" si="232"/>
        <v>0.07940133762</v>
      </c>
      <c r="DP21" s="1089">
        <f t="shared" si="233"/>
        <v>0.1542140012</v>
      </c>
      <c r="DQ21" s="1090">
        <f t="shared" si="234"/>
        <v>-4130000</v>
      </c>
      <c r="DR21" s="1091">
        <f t="shared" si="73"/>
        <v>-0.8604166667</v>
      </c>
      <c r="DS21" s="1090">
        <f t="shared" si="235"/>
        <v>-3050000</v>
      </c>
      <c r="DT21" s="1091">
        <f t="shared" si="75"/>
        <v>-0.8198924731</v>
      </c>
      <c r="DU21" s="1088">
        <f>SUMIFS(BP_SOTIEN,BP_DA,$C21,BP_THANG,DU$2,BP_KM,$E21)/1000</f>
        <v>1600000</v>
      </c>
      <c r="DV21" s="1089">
        <f t="shared" si="236"/>
        <v>0.12</v>
      </c>
      <c r="DW21" s="1089">
        <f t="shared" si="237"/>
        <v>0.4</v>
      </c>
      <c r="DX21" s="1090">
        <f>IF(NOW()&gt;=DATE(YEAR(DU$2),MONTH(DU$2)+1,DAY(DU$2)),SUMIFS(TF_SOTIEN,TF_DA,$C21,TF_THANG,DU$2,TF_KM,$E21)/1000, EA21)</f>
        <v>1239999.96</v>
      </c>
      <c r="DY21" s="1089">
        <f t="shared" si="238"/>
        <v>0.09299999933</v>
      </c>
      <c r="DZ21" s="1089">
        <f t="shared" si="239"/>
        <v>0.205298008</v>
      </c>
      <c r="EA21" s="1090">
        <f>IF(NOW()&gt;=DATE(YEAR(DU$2),MONTH(DU$2)+1,DAY(DU$2)),SUMIFS(AC_SOTIEN,AC_DA,$C21,AC_THANG,DU$2,AC_KM,$E21),SUMIFS(TF_SOTIEN,TF_DA,$C21,TF_THANG,DU$2,TF_KM,$E21))/ 1000</f>
        <v>0</v>
      </c>
      <c r="EB21" s="1089" t="str">
        <f t="shared" si="240"/>
        <v/>
      </c>
      <c r="EC21" s="1089" t="str">
        <f t="shared" si="241"/>
        <v/>
      </c>
      <c r="ED21" s="1090">
        <f t="shared" si="242"/>
        <v>-1600000</v>
      </c>
      <c r="EE21" s="1091">
        <f t="shared" si="80"/>
        <v>-1</v>
      </c>
      <c r="EF21" s="1090">
        <f t="shared" si="243"/>
        <v>-1239999.96</v>
      </c>
      <c r="EG21" s="1091">
        <f t="shared" si="82"/>
        <v>-1</v>
      </c>
      <c r="EH21" s="1088">
        <f>SUMIFS(BP_SOTIEN,BP_DA,$C21,BP_THANG,EH$2,BP_KM,$E21)/1000</f>
        <v>1600000</v>
      </c>
      <c r="EI21" s="1089">
        <f t="shared" si="244"/>
        <v>0.12</v>
      </c>
      <c r="EJ21" s="1089">
        <f t="shared" si="245"/>
        <v>0.4</v>
      </c>
      <c r="EK21" s="1090">
        <f>IF(NOW()&gt;=DATE(YEAR(EH$2),MONTH(EH$2)+1,DAY(EH$2)),SUMIFS(TF_SOTIEN,TF_DA,$C21,TF_THANG,EH$2,TF_KM,$E21)/1000, EN21)</f>
        <v>1239999.96</v>
      </c>
      <c r="EL21" s="1089">
        <f t="shared" si="246"/>
        <v>0.09299999933</v>
      </c>
      <c r="EM21" s="1089">
        <f t="shared" si="247"/>
        <v>0.205298008</v>
      </c>
      <c r="EN21" s="1090">
        <f>IF(NOW()&gt;=DATE(YEAR(EH$2),MONTH(EH$2)+1,DAY(EH$2)),SUMIFS(AC_SOTIEN,AC_DA,$C21,AC_THANG,EH$2,AC_KM,$E21),SUMIFS(TF_SOTIEN,TF_DA,$C21,TF_THANG,EH$2,TF_KM,$E21))/ 1000</f>
        <v>0</v>
      </c>
      <c r="EO21" s="1089" t="str">
        <f t="shared" si="248"/>
        <v/>
      </c>
      <c r="EP21" s="1089" t="str">
        <f t="shared" si="249"/>
        <v/>
      </c>
      <c r="EQ21" s="1090">
        <f t="shared" si="250"/>
        <v>-1600000</v>
      </c>
      <c r="ER21" s="1091">
        <f t="shared" si="87"/>
        <v>-1</v>
      </c>
      <c r="ES21" s="1090">
        <f t="shared" si="251"/>
        <v>-1239999.96</v>
      </c>
      <c r="ET21" s="1091">
        <f t="shared" si="89"/>
        <v>-1</v>
      </c>
      <c r="EU21" s="1088">
        <f>SUMIFS(BP_SOTIEN,BP_DA,$C21,BP_THANG,EU$2,BP_KM,$E21)/1000</f>
        <v>1600000</v>
      </c>
      <c r="EV21" s="1089">
        <f t="shared" si="252"/>
        <v>0.12</v>
      </c>
      <c r="EW21" s="1089">
        <f t="shared" si="253"/>
        <v>0.4</v>
      </c>
      <c r="EX21" s="1090">
        <f>IF(NOW()&gt;=DATE(YEAR(EU$2),MONTH(EU$2)+1,DAY(EU$2)),SUMIFS(TF_SOTIEN,TF_DA,$C21,TF_THANG,EU$2,TF_KM,$E21)/1000, FA21)</f>
        <v>1239999.96</v>
      </c>
      <c r="EY21" s="1089">
        <f t="shared" si="254"/>
        <v>0.09299999933</v>
      </c>
      <c r="EZ21" s="1089">
        <f t="shared" si="255"/>
        <v>0.205298008</v>
      </c>
      <c r="FA21" s="1090">
        <f>IF(NOW()&gt;=DATE(YEAR(EU$2),MONTH(EU$2)+1,DAY(EU$2)),SUMIFS(AC_SOTIEN,AC_DA,$C21,AC_THANG,EU$2,AC_KM,$E21),SUMIFS(TF_SOTIEN,TF_DA,$C21,TF_THANG,EU$2,TF_KM,$E21))/ 1000</f>
        <v>0</v>
      </c>
      <c r="FB21" s="1089" t="str">
        <f t="shared" si="256"/>
        <v/>
      </c>
      <c r="FC21" s="1089" t="str">
        <f t="shared" si="257"/>
        <v/>
      </c>
      <c r="FD21" s="1090">
        <f t="shared" si="258"/>
        <v>-1600000</v>
      </c>
      <c r="FE21" s="1091">
        <f t="shared" si="94"/>
        <v>-1</v>
      </c>
      <c r="FF21" s="1090">
        <f t="shared" si="259"/>
        <v>-1239999.96</v>
      </c>
      <c r="FG21" s="1091">
        <f t="shared" si="96"/>
        <v>-1</v>
      </c>
      <c r="FH21" s="1088">
        <f t="shared" si="260"/>
        <v>4800000</v>
      </c>
      <c r="FI21" s="1089">
        <f t="shared" si="261"/>
        <v>0.12</v>
      </c>
      <c r="FJ21" s="1089">
        <f t="shared" si="262"/>
        <v>0.4</v>
      </c>
      <c r="FK21" s="1090">
        <f t="shared" si="263"/>
        <v>3719999.88</v>
      </c>
      <c r="FL21" s="1089">
        <f t="shared" si="264"/>
        <v>0.09299999933</v>
      </c>
      <c r="FM21" s="1089">
        <f t="shared" si="265"/>
        <v>0.205298008</v>
      </c>
      <c r="FN21" s="1090">
        <f t="shared" si="266"/>
        <v>0</v>
      </c>
      <c r="FO21" s="1089" t="str">
        <f t="shared" si="267"/>
        <v/>
      </c>
      <c r="FP21" s="1089" t="str">
        <f t="shared" si="268"/>
        <v/>
      </c>
      <c r="FQ21" s="1090">
        <f t="shared" si="269"/>
        <v>-4800000</v>
      </c>
      <c r="FR21" s="1091">
        <f t="shared" si="104"/>
        <v>-1</v>
      </c>
      <c r="FS21" s="1090">
        <f t="shared" si="270"/>
        <v>-3719999.88</v>
      </c>
      <c r="FT21" s="1091">
        <f t="shared" si="106"/>
        <v>-1</v>
      </c>
      <c r="FU21" s="1088">
        <f>SUMIFS(BP_SOTIEN,BP_DA,$C21,BP_THANG,FU$2,BP_KM,$E21)/1000</f>
        <v>1600000</v>
      </c>
      <c r="FV21" s="1089">
        <f t="shared" si="271"/>
        <v>0.12</v>
      </c>
      <c r="FW21" s="1089">
        <f t="shared" si="272"/>
        <v>0.4</v>
      </c>
      <c r="FX21" s="1090">
        <f>IF(NOW()&gt;=DATE(YEAR(FU$2),MONTH(FU$2)+1,DAY(FU$2)),SUMIFS(TF_SOTIEN,TF_DA,$C21,TF_THANG,FU$2,TF_KM,$E21)/1000, GA21)</f>
        <v>1239999.96</v>
      </c>
      <c r="FY21" s="1089">
        <f t="shared" si="273"/>
        <v>0.09299999933</v>
      </c>
      <c r="FZ21" s="1089">
        <f t="shared" si="274"/>
        <v>0.205298008</v>
      </c>
      <c r="GA21" s="1090">
        <f>IF(NOW()&gt;=DATE(YEAR(FU$2),MONTH(FU$2)+1,DAY(FU$2)),SUMIFS(AC_SOTIEN,AC_DA,$C21,AC_THANG,FU$2,AC_KM,$E21),SUMIFS(TF_SOTIEN,TF_DA,$C21,TF_THANG,FU$2,TF_KM,$E21))/ 1000</f>
        <v>0</v>
      </c>
      <c r="GB21" s="1089" t="str">
        <f t="shared" si="275"/>
        <v/>
      </c>
      <c r="GC21" s="1089" t="str">
        <f t="shared" si="276"/>
        <v/>
      </c>
      <c r="GD21" s="1090">
        <f t="shared" si="277"/>
        <v>-1600000</v>
      </c>
      <c r="GE21" s="1091">
        <f t="shared" si="111"/>
        <v>-1</v>
      </c>
      <c r="GF21" s="1090">
        <f t="shared" si="278"/>
        <v>-1239999.96</v>
      </c>
      <c r="GG21" s="1091">
        <f t="shared" si="113"/>
        <v>-1</v>
      </c>
      <c r="GH21" s="1088">
        <f>SUMIFS(BP_SOTIEN,BP_DA,$C21,BP_THANG,GH$2,BP_KM,$E21)/1000</f>
        <v>1600000</v>
      </c>
      <c r="GI21" s="1089">
        <f t="shared" si="279"/>
        <v>0.12</v>
      </c>
      <c r="GJ21" s="1089">
        <f t="shared" si="280"/>
        <v>0.4</v>
      </c>
      <c r="GK21" s="1090">
        <f>IF(NOW()&gt;=DATE(YEAR(GH$2),MONTH(GH$2)+1,DAY(GH$2)),SUMIFS(TF_SOTIEN,TF_DA,$C21,TF_THANG,GH$2,TF_KM,$E21)/1000, GN21)</f>
        <v>1239999.96</v>
      </c>
      <c r="GL21" s="1089">
        <f t="shared" si="281"/>
        <v>0.09299999933</v>
      </c>
      <c r="GM21" s="1089">
        <f t="shared" si="282"/>
        <v>0.205298008</v>
      </c>
      <c r="GN21" s="1090">
        <f>IF(NOW()&gt;=DATE(YEAR(GH$2),MONTH(GH$2)+1,DAY(GH$2)),SUMIFS(AC_SOTIEN,AC_DA,$C21,AC_THANG,GH$2,AC_KM,$E21),SUMIFS(TF_SOTIEN,TF_DA,$C21,TF_THANG,GH$2,TF_KM,$E21))/ 1000</f>
        <v>0</v>
      </c>
      <c r="GO21" s="1089" t="str">
        <f t="shared" si="283"/>
        <v/>
      </c>
      <c r="GP21" s="1089" t="str">
        <f t="shared" si="284"/>
        <v/>
      </c>
      <c r="GQ21" s="1090">
        <f t="shared" si="285"/>
        <v>-1600000</v>
      </c>
      <c r="GR21" s="1091">
        <f t="shared" si="118"/>
        <v>-1</v>
      </c>
      <c r="GS21" s="1090">
        <f t="shared" si="286"/>
        <v>-1239999.96</v>
      </c>
      <c r="GT21" s="1091">
        <f t="shared" si="120"/>
        <v>-1</v>
      </c>
      <c r="GU21" s="1088">
        <f>SUMIFS(BP_SOTIEN,BP_DA,$C21,BP_THANG,GU$2,BP_KM,$E21)/1000</f>
        <v>1600000</v>
      </c>
      <c r="GV21" s="1089">
        <f t="shared" si="287"/>
        <v>0.12</v>
      </c>
      <c r="GW21" s="1089">
        <f t="shared" si="288"/>
        <v>0.4</v>
      </c>
      <c r="GX21" s="1090">
        <f>IF(NOW()&gt;=DATE(YEAR(GU$2),MONTH(GU$2)+1,DAY(GU$2)),SUMIFS(TF_SOTIEN,TF_DA,$C21,TF_THANG,GU$2,TF_KM,$E21)/1000, HA21)</f>
        <v>1239999.96</v>
      </c>
      <c r="GY21" s="1089">
        <f t="shared" si="289"/>
        <v>0.09299999933</v>
      </c>
      <c r="GZ21" s="1089">
        <f t="shared" si="290"/>
        <v>0.205298008</v>
      </c>
      <c r="HA21" s="1090">
        <f>IF(NOW()&gt;=DATE(YEAR(GU$2),MONTH(GU$2)+1,DAY(GU$2)),SUMIFS(AC_SOTIEN,AC_DA,$C21,AC_THANG,GU$2,AC_KM,$E21),SUMIFS(TF_SOTIEN,TF_DA,$C21,TF_THANG,GU$2,TF_KM,$E21))/ 1000</f>
        <v>0</v>
      </c>
      <c r="HB21" s="1089" t="str">
        <f t="shared" si="291"/>
        <v/>
      </c>
      <c r="HC21" s="1089" t="str">
        <f t="shared" si="292"/>
        <v/>
      </c>
      <c r="HD21" s="1090">
        <f t="shared" si="293"/>
        <v>-1600000</v>
      </c>
      <c r="HE21" s="1091">
        <f t="shared" si="125"/>
        <v>-1</v>
      </c>
      <c r="HF21" s="1090">
        <f t="shared" si="294"/>
        <v>-1239999.96</v>
      </c>
      <c r="HG21" s="1091">
        <f t="shared" si="127"/>
        <v>-1</v>
      </c>
      <c r="HH21" s="1088">
        <f t="shared" si="295"/>
        <v>4800000</v>
      </c>
      <c r="HI21" s="1089">
        <f t="shared" si="296"/>
        <v>0.12</v>
      </c>
      <c r="HJ21" s="1089">
        <f t="shared" si="297"/>
        <v>0.4</v>
      </c>
      <c r="HK21" s="1090">
        <f t="shared" si="298"/>
        <v>3719999.88</v>
      </c>
      <c r="HL21" s="1089">
        <f t="shared" si="299"/>
        <v>0.09299999933</v>
      </c>
      <c r="HM21" s="1089">
        <f t="shared" si="300"/>
        <v>0.205298008</v>
      </c>
      <c r="HN21" s="1090">
        <f t="shared" si="301"/>
        <v>0</v>
      </c>
      <c r="HO21" s="1089" t="str">
        <f t="shared" si="302"/>
        <v/>
      </c>
      <c r="HP21" s="1089" t="str">
        <f t="shared" si="303"/>
        <v/>
      </c>
      <c r="HQ21" s="1090">
        <f t="shared" si="304"/>
        <v>-4800000</v>
      </c>
      <c r="HR21" s="1091">
        <f t="shared" si="135"/>
        <v>-1</v>
      </c>
      <c r="HS21" s="1090">
        <f t="shared" si="305"/>
        <v>-3719999.88</v>
      </c>
      <c r="HT21" s="1091">
        <f t="shared" si="137"/>
        <v>-1</v>
      </c>
      <c r="HU21" s="1088">
        <f t="shared" si="306"/>
        <v>9600000</v>
      </c>
      <c r="HV21" s="1089">
        <f t="shared" si="307"/>
        <v>0.12</v>
      </c>
      <c r="HW21" s="1089">
        <f t="shared" si="308"/>
        <v>0.4</v>
      </c>
      <c r="HX21" s="1090">
        <f t="shared" si="309"/>
        <v>7439999.76</v>
      </c>
      <c r="HY21" s="1089">
        <f t="shared" si="310"/>
        <v>0.09299999933</v>
      </c>
      <c r="HZ21" s="1089">
        <f t="shared" si="311"/>
        <v>0.205298008</v>
      </c>
      <c r="IA21" s="1090">
        <f t="shared" si="312"/>
        <v>0</v>
      </c>
      <c r="IB21" s="1089" t="str">
        <f t="shared" si="313"/>
        <v/>
      </c>
      <c r="IC21" s="1089" t="str">
        <f t="shared" si="314"/>
        <v/>
      </c>
      <c r="ID21" s="1090">
        <f t="shared" si="315"/>
        <v>-9600000</v>
      </c>
      <c r="IE21" s="1091">
        <f t="shared" si="145"/>
        <v>-1</v>
      </c>
      <c r="IF21" s="1090">
        <f t="shared" si="316"/>
        <v>-7439999.76</v>
      </c>
      <c r="IG21" s="1091">
        <f t="shared" si="147"/>
        <v>-1</v>
      </c>
      <c r="IH21" s="1088">
        <f t="shared" si="317"/>
        <v>14400000</v>
      </c>
      <c r="II21" s="1089">
        <f t="shared" si="318"/>
        <v>0.12</v>
      </c>
      <c r="IJ21" s="1089">
        <f t="shared" si="319"/>
        <v>0.4</v>
      </c>
      <c r="IK21" s="1090">
        <f t="shared" si="320"/>
        <v>11159999.76</v>
      </c>
      <c r="IL21" s="1089">
        <f t="shared" si="321"/>
        <v>0.1005405402</v>
      </c>
      <c r="IM21" s="1089">
        <f t="shared" si="322"/>
        <v>0.2692110999</v>
      </c>
      <c r="IN21" s="1090">
        <f t="shared" si="323"/>
        <v>670000</v>
      </c>
      <c r="IO21" s="1089">
        <f t="shared" si="324"/>
        <v>0.07940133762</v>
      </c>
      <c r="IP21" s="1089">
        <f t="shared" si="325"/>
        <v>0.1542140012</v>
      </c>
      <c r="IQ21" s="1090">
        <f t="shared" si="326"/>
        <v>-13730000</v>
      </c>
      <c r="IR21" s="1091">
        <f t="shared" si="1"/>
        <v>-0.9534722222</v>
      </c>
      <c r="IS21" s="1090">
        <f t="shared" si="327"/>
        <v>-10489999.76</v>
      </c>
      <c r="IT21" s="1091">
        <f t="shared" si="2"/>
        <v>-0.9399641564</v>
      </c>
    </row>
    <row r="22" hidden="1" outlineLevel="1">
      <c r="A22" s="1086">
        <f t="shared" si="328"/>
        <v>2</v>
      </c>
      <c r="B22" s="1087" t="s">
        <v>2066</v>
      </c>
      <c r="C22" s="1087" t="s">
        <v>530</v>
      </c>
      <c r="D22" s="1087" t="str">
        <f>IF(C22&gt;0,VLOOKUP(C22,DM_DUAN ,2,"") ,IF(B22&gt;0,VLOOKUP(B22,DM_CDT,2,""),""))</f>
        <v>Nhà vườn sinh thái</v>
      </c>
      <c r="E22" s="1087" t="s">
        <v>187</v>
      </c>
      <c r="F22" s="1087"/>
      <c r="G22" s="1086">
        <v>2.0</v>
      </c>
      <c r="H22" s="1088">
        <f>SUMIFS(BP_SOTIEN,BP_DA,$C22,BP_THANG,H$2,BP_KM,$E22)/1000</f>
        <v>0</v>
      </c>
      <c r="I22" s="1089" t="str">
        <f t="shared" si="156"/>
        <v/>
      </c>
      <c r="J22" s="1089" t="str">
        <f t="shared" si="157"/>
        <v/>
      </c>
      <c r="K22" s="1090">
        <f>IF(NOW()&gt;=DATE(YEAR(H$2),MONTH(H$2)+1,DAY(H$2)),SUMIFS(TF_SOTIEN,TF_DA,$C22,TF_THANG,H$2,TF_KM,$E22)/1000, N22)</f>
        <v>0</v>
      </c>
      <c r="L22" s="1089" t="str">
        <f t="shared" si="158"/>
        <v/>
      </c>
      <c r="M22" s="1089">
        <f t="shared" si="329"/>
        <v>0</v>
      </c>
      <c r="N22" s="1090">
        <f>IF(NOW()&gt;=DATE(YEAR(H$2),MONTH(H$2)+1,DAY(H$2)),SUMIFS(AC_SOTIEN,AC_DA,$C22,AC_THANG,H$2,AC_KM,$E22),SUMIFS(TF_SOTIEN,TF_DA,$C22,TF_THANG,H$2,TF_KM,$E22))/ 1000</f>
        <v>0</v>
      </c>
      <c r="O22" s="1089" t="str">
        <f t="shared" si="159"/>
        <v/>
      </c>
      <c r="P22" s="1089">
        <f t="shared" si="160"/>
        <v>0</v>
      </c>
      <c r="Q22" s="1090">
        <f t="shared" si="161"/>
        <v>0</v>
      </c>
      <c r="R22" s="1091" t="str">
        <f t="shared" si="8"/>
        <v/>
      </c>
      <c r="S22" s="1090">
        <f t="shared" si="162"/>
        <v>0</v>
      </c>
      <c r="T22" s="1091" t="str">
        <f t="shared" si="10"/>
        <v/>
      </c>
      <c r="U22" s="1088">
        <f>SUMIFS(BP_SOTIEN,BP_DA,$C22,BP_THANG,U$2,BP_KM,$E22)/1000</f>
        <v>0</v>
      </c>
      <c r="V22" s="1089" t="str">
        <f t="shared" si="163"/>
        <v/>
      </c>
      <c r="W22" s="1089" t="str">
        <f t="shared" si="164"/>
        <v/>
      </c>
      <c r="X22" s="1090">
        <f>IF(NOW()&gt;=DATE(YEAR(U$2),MONTH(U$2)+1,DAY(U$2)),SUMIFS(TF_SOTIEN,TF_DA,$C22,TF_THANG,U$2,TF_KM,$E22)/1000, AA22)</f>
        <v>0</v>
      </c>
      <c r="Y22" s="1089" t="str">
        <f t="shared" si="165"/>
        <v/>
      </c>
      <c r="Z22" s="1089" t="str">
        <f t="shared" si="166"/>
        <v/>
      </c>
      <c r="AA22" s="1090">
        <f>IF(NOW()&gt;=DATE(YEAR(U$2),MONTH(U$2)+1,DAY(U$2)),SUMIFS(AC_SOTIEN,AC_DA,$C22,AC_THANG,U$2,AC_KM,$E22),SUMIFS(TF_SOTIEN,TF_DA,$C22,TF_THANG,U$2,TF_KM,$E22))/ 1000</f>
        <v>0</v>
      </c>
      <c r="AB22" s="1089" t="str">
        <f t="shared" si="167"/>
        <v/>
      </c>
      <c r="AC22" s="1089">
        <f t="shared" si="168"/>
        <v>0</v>
      </c>
      <c r="AD22" s="1090">
        <f t="shared" si="169"/>
        <v>0</v>
      </c>
      <c r="AE22" s="1091" t="str">
        <f t="shared" si="15"/>
        <v/>
      </c>
      <c r="AF22" s="1090">
        <f t="shared" si="170"/>
        <v>0</v>
      </c>
      <c r="AG22" s="1091" t="str">
        <f t="shared" si="17"/>
        <v/>
      </c>
      <c r="AH22" s="1088">
        <f>SUMIFS(BP_SOTIEN,BP_DA,$C22,BP_THANG,AH$2,BP_KM,$E22)/1000</f>
        <v>0</v>
      </c>
      <c r="AI22" s="1089" t="str">
        <f t="shared" si="171"/>
        <v/>
      </c>
      <c r="AJ22" s="1089" t="str">
        <f t="shared" si="172"/>
        <v/>
      </c>
      <c r="AK22" s="1090">
        <f>IF(NOW()&gt;=DATE(YEAR(AH$2),MONTH(AH$2)+1,DAY(AH$2)),SUMIFS(TF_SOTIEN,TF_DA,$C22,TF_THANG,AH$2,TF_KM,$E22)/1000, AN22)</f>
        <v>0</v>
      </c>
      <c r="AL22" s="1089" t="str">
        <f t="shared" si="173"/>
        <v/>
      </c>
      <c r="AM22" s="1089">
        <f t="shared" si="174"/>
        <v>0</v>
      </c>
      <c r="AN22" s="1090">
        <f>IF(NOW()&gt;=DATE(YEAR(AH$2),MONTH(AH$2)+1,DAY(AH$2)),SUMIFS(AC_SOTIEN,AC_DA,$C22,AC_THANG,AH$2,AC_KM,$E22),SUMIFS(TF_SOTIEN,TF_DA,$C22,TF_THANG,AH$2,TF_KM,$E22))/ 1000</f>
        <v>518000</v>
      </c>
      <c r="AO22" s="1089">
        <f t="shared" si="175"/>
        <v>0.08755442572</v>
      </c>
      <c r="AP22" s="1089">
        <f t="shared" si="176"/>
        <v>0.7754491018</v>
      </c>
      <c r="AQ22" s="1090">
        <f t="shared" si="177"/>
        <v>518000</v>
      </c>
      <c r="AR22" s="1091" t="str">
        <f t="shared" si="22"/>
        <v/>
      </c>
      <c r="AS22" s="1090">
        <f t="shared" si="178"/>
        <v>518000</v>
      </c>
      <c r="AT22" s="1091" t="str">
        <f t="shared" si="24"/>
        <v/>
      </c>
      <c r="AU22" s="1088">
        <f t="shared" si="179"/>
        <v>0</v>
      </c>
      <c r="AV22" s="1089" t="str">
        <f t="shared" si="180"/>
        <v/>
      </c>
      <c r="AW22" s="1089" t="str">
        <f t="shared" si="181"/>
        <v/>
      </c>
      <c r="AX22" s="1090">
        <f t="shared" si="182"/>
        <v>0</v>
      </c>
      <c r="AY22" s="1089" t="str">
        <f t="shared" si="183"/>
        <v/>
      </c>
      <c r="AZ22" s="1089">
        <f t="shared" si="184"/>
        <v>0</v>
      </c>
      <c r="BA22" s="1090">
        <f t="shared" si="185"/>
        <v>518000</v>
      </c>
      <c r="BB22" s="1089">
        <f t="shared" si="186"/>
        <v>0.08755442572</v>
      </c>
      <c r="BC22" s="1089">
        <f t="shared" si="187"/>
        <v>0.436026936</v>
      </c>
      <c r="BD22" s="1090">
        <f t="shared" si="188"/>
        <v>518000</v>
      </c>
      <c r="BE22" s="1091" t="str">
        <f t="shared" si="32"/>
        <v/>
      </c>
      <c r="BF22" s="1090">
        <f t="shared" si="189"/>
        <v>518000</v>
      </c>
      <c r="BG22" s="1091" t="str">
        <f t="shared" si="34"/>
        <v/>
      </c>
      <c r="BH22" s="1088">
        <f>SUMIFS(BP_SOTIEN,BP_DA,$C22,BP_THANG,BH$2,BP_KM,$E22)/1000</f>
        <v>0</v>
      </c>
      <c r="BI22" s="1089" t="str">
        <f t="shared" si="190"/>
        <v/>
      </c>
      <c r="BJ22" s="1089">
        <f t="shared" si="191"/>
        <v>0</v>
      </c>
      <c r="BK22" s="1090">
        <f>IF(NOW()&gt;=DATE(YEAR(BH$2),MONTH(BH$2)+1,DAY(BH$2)),SUMIFS(TF_SOTIEN,TF_DA,$C22,TF_THANG,BH$2,TF_KM,$E22)/1000, BN22)</f>
        <v>0</v>
      </c>
      <c r="BL22" s="1089">
        <f t="shared" si="192"/>
        <v>0</v>
      </c>
      <c r="BM22" s="1089" t="str">
        <f t="shared" si="193"/>
        <v/>
      </c>
      <c r="BN22" s="1090">
        <f>IF(NOW()&gt;=DATE(YEAR(BH$2),MONTH(BH$2)+1,DAY(BH$2)),SUMIFS(AC_SOTIEN,AC_DA,$C22,AC_THANG,BH$2,AC_KM,$E22),SUMIFS(TF_SOTIEN,TF_DA,$C22,TF_THANG,BH$2,TF_KM,$E22))/ 1000</f>
        <v>677000</v>
      </c>
      <c r="BO22" s="1089">
        <f t="shared" si="194"/>
        <v>0.08416556124</v>
      </c>
      <c r="BP22" s="1089">
        <f t="shared" si="195"/>
        <v>0.2602805032</v>
      </c>
      <c r="BQ22" s="1090">
        <f t="shared" si="196"/>
        <v>677000</v>
      </c>
      <c r="BR22" s="1091" t="str">
        <f t="shared" si="39"/>
        <v/>
      </c>
      <c r="BS22" s="1090">
        <f t="shared" si="197"/>
        <v>677000</v>
      </c>
      <c r="BT22" s="1091" t="str">
        <f t="shared" si="41"/>
        <v/>
      </c>
      <c r="BU22" s="1088">
        <f>SUMIFS(BP_SOTIEN,BP_DA,$C22,BP_THANG,BU$2,BP_KM,$E22)/1000</f>
        <v>0</v>
      </c>
      <c r="BV22" s="1089" t="str">
        <f t="shared" si="198"/>
        <v/>
      </c>
      <c r="BW22" s="1089">
        <f t="shared" si="199"/>
        <v>0</v>
      </c>
      <c r="BX22" s="1090">
        <f>IF(NOW()&gt;=DATE(YEAR(BU$2),MONTH(BU$2)+1,DAY(BU$2)),SUMIFS(TF_SOTIEN,TF_DA,$C22,TF_THANG,BU$2,TF_KM,$E22)/1000, CA22)</f>
        <v>0</v>
      </c>
      <c r="BY22" s="1089" t="str">
        <f t="shared" si="200"/>
        <v/>
      </c>
      <c r="BZ22" s="1089">
        <f t="shared" si="201"/>
        <v>0</v>
      </c>
      <c r="CA22" s="1090">
        <f>IF(NOW()&gt;=DATE(YEAR(BU$2),MONTH(BU$2)+1,DAY(BU$2)),SUMIFS(AC_SOTIEN,AC_DA,$C22,AC_THANG,BU$2,AC_KM,$E22),SUMIFS(TF_SOTIEN,TF_DA,$C22,TF_THANG,BU$2,TF_KM,$E22))/ 1000</f>
        <v>0</v>
      </c>
      <c r="CB22" s="1089" t="str">
        <f t="shared" si="202"/>
        <v/>
      </c>
      <c r="CC22" s="1089">
        <f t="shared" si="203"/>
        <v>0</v>
      </c>
      <c r="CD22" s="1090">
        <f t="shared" si="204"/>
        <v>0</v>
      </c>
      <c r="CE22" s="1091" t="str">
        <f t="shared" si="46"/>
        <v/>
      </c>
      <c r="CF22" s="1090">
        <f t="shared" si="205"/>
        <v>0</v>
      </c>
      <c r="CG22" s="1091" t="str">
        <f t="shared" si="48"/>
        <v/>
      </c>
      <c r="CH22" s="1088">
        <f>SUMIFS(BP_SOTIEN,BP_DA,$C22,BP_THANG,CH$2,BP_KM,$E22)/1000</f>
        <v>0</v>
      </c>
      <c r="CI22" s="1089" t="str">
        <f t="shared" si="206"/>
        <v/>
      </c>
      <c r="CJ22" s="1089">
        <f t="shared" si="207"/>
        <v>0</v>
      </c>
      <c r="CK22" s="1090">
        <f>IF(NOW()&gt;=DATE(YEAR(CH$2),MONTH(CH$2)+1,DAY(CH$2)),SUMIFS(TF_SOTIEN,TF_DA,$C22,TF_THANG,CH$2,TF_KM,$E22)/1000, CN22)</f>
        <v>0</v>
      </c>
      <c r="CL22" s="1089" t="str">
        <f t="shared" si="208"/>
        <v/>
      </c>
      <c r="CM22" s="1089" t="str">
        <f t="shared" si="209"/>
        <v/>
      </c>
      <c r="CN22" s="1090">
        <f>IF(NOW()&gt;=DATE(YEAR(CH$2),MONTH(CH$2)+1,DAY(CH$2)),SUMIFS(AC_SOTIEN,AC_DA,$C22,AC_THANG,CH$2,AC_KM,$E22),SUMIFS(TF_SOTIEN,TF_DA,$C22,TF_THANG,CH$2,TF_KM,$E22))/ 1000</f>
        <v>0</v>
      </c>
      <c r="CO22" s="1089" t="str">
        <f t="shared" si="210"/>
        <v/>
      </c>
      <c r="CP22" s="1089" t="str">
        <f t="shared" si="211"/>
        <v/>
      </c>
      <c r="CQ22" s="1090">
        <f t="shared" si="212"/>
        <v>0</v>
      </c>
      <c r="CR22" s="1091" t="str">
        <f t="shared" si="53"/>
        <v/>
      </c>
      <c r="CS22" s="1090">
        <f t="shared" si="213"/>
        <v>0</v>
      </c>
      <c r="CT22" s="1091" t="str">
        <f t="shared" si="55"/>
        <v/>
      </c>
      <c r="CU22" s="1088">
        <f t="shared" si="214"/>
        <v>0</v>
      </c>
      <c r="CV22" s="1089" t="str">
        <f t="shared" si="215"/>
        <v/>
      </c>
      <c r="CW22" s="1089">
        <f t="shared" si="216"/>
        <v>0</v>
      </c>
      <c r="CX22" s="1090">
        <f t="shared" si="217"/>
        <v>0</v>
      </c>
      <c r="CY22" s="1089">
        <f t="shared" si="218"/>
        <v>0</v>
      </c>
      <c r="CZ22" s="1089">
        <f t="shared" si="219"/>
        <v>0</v>
      </c>
      <c r="DA22" s="1090">
        <f t="shared" si="220"/>
        <v>677000</v>
      </c>
      <c r="DB22" s="1089">
        <f t="shared" si="221"/>
        <v>0.08416556124</v>
      </c>
      <c r="DC22" s="1089">
        <f t="shared" si="222"/>
        <v>0.2144704512</v>
      </c>
      <c r="DD22" s="1090">
        <f t="shared" si="223"/>
        <v>677000</v>
      </c>
      <c r="DE22" s="1091" t="str">
        <f t="shared" si="63"/>
        <v/>
      </c>
      <c r="DF22" s="1090">
        <f t="shared" si="224"/>
        <v>677000</v>
      </c>
      <c r="DG22" s="1091" t="str">
        <f t="shared" si="65"/>
        <v/>
      </c>
      <c r="DH22" s="1088">
        <f t="shared" si="225"/>
        <v>0</v>
      </c>
      <c r="DI22" s="1089" t="str">
        <f t="shared" si="226"/>
        <v/>
      </c>
      <c r="DJ22" s="1089">
        <f t="shared" si="227"/>
        <v>0</v>
      </c>
      <c r="DK22" s="1090">
        <f t="shared" si="228"/>
        <v>0</v>
      </c>
      <c r="DL22" s="1089">
        <f t="shared" si="229"/>
        <v>0</v>
      </c>
      <c r="DM22" s="1089">
        <f t="shared" si="230"/>
        <v>0</v>
      </c>
      <c r="DN22" s="1090">
        <f t="shared" si="231"/>
        <v>1195000</v>
      </c>
      <c r="DO22" s="1089">
        <f t="shared" si="232"/>
        <v>0.08560178052</v>
      </c>
      <c r="DP22" s="1089">
        <f t="shared" si="233"/>
        <v>0.2750533304</v>
      </c>
      <c r="DQ22" s="1090">
        <f t="shared" si="234"/>
        <v>1195000</v>
      </c>
      <c r="DR22" s="1091" t="str">
        <f t="shared" si="73"/>
        <v/>
      </c>
      <c r="DS22" s="1090">
        <f t="shared" si="235"/>
        <v>1195000</v>
      </c>
      <c r="DT22" s="1091" t="str">
        <f t="shared" si="75"/>
        <v/>
      </c>
      <c r="DU22" s="1088">
        <f>SUMIFS(BP_SOTIEN,BP_DA,$C22,BP_THANG,DU$2,BP_KM,$E22)/1000</f>
        <v>0</v>
      </c>
      <c r="DV22" s="1089" t="str">
        <f t="shared" si="236"/>
        <v/>
      </c>
      <c r="DW22" s="1089">
        <f t="shared" si="237"/>
        <v>0</v>
      </c>
      <c r="DX22" s="1090">
        <f>IF(NOW()&gt;=DATE(YEAR(DU$2),MONTH(DU$2)+1,DAY(DU$2)),SUMIFS(TF_SOTIEN,TF_DA,$C22,TF_THANG,DU$2,TF_KM,$E22)/1000, EA22)</f>
        <v>0</v>
      </c>
      <c r="DY22" s="1089" t="str">
        <f t="shared" si="238"/>
        <v/>
      </c>
      <c r="DZ22" s="1089">
        <f t="shared" si="239"/>
        <v>0</v>
      </c>
      <c r="EA22" s="1090">
        <f>IF(NOW()&gt;=DATE(YEAR(DU$2),MONTH(DU$2)+1,DAY(DU$2)),SUMIFS(AC_SOTIEN,AC_DA,$C22,AC_THANG,DU$2,AC_KM,$E22),SUMIFS(TF_SOTIEN,TF_DA,$C22,TF_THANG,DU$2,TF_KM,$E22))/ 1000</f>
        <v>0</v>
      </c>
      <c r="EB22" s="1089" t="str">
        <f t="shared" si="240"/>
        <v/>
      </c>
      <c r="EC22" s="1089" t="str">
        <f t="shared" si="241"/>
        <v/>
      </c>
      <c r="ED22" s="1090">
        <f t="shared" si="242"/>
        <v>0</v>
      </c>
      <c r="EE22" s="1091" t="str">
        <f t="shared" si="80"/>
        <v/>
      </c>
      <c r="EF22" s="1090">
        <f t="shared" si="243"/>
        <v>0</v>
      </c>
      <c r="EG22" s="1091" t="str">
        <f t="shared" si="82"/>
        <v/>
      </c>
      <c r="EH22" s="1088">
        <f>SUMIFS(BP_SOTIEN,BP_DA,$C22,BP_THANG,EH$2,BP_KM,$E22)/1000</f>
        <v>0</v>
      </c>
      <c r="EI22" s="1089" t="str">
        <f t="shared" si="244"/>
        <v/>
      </c>
      <c r="EJ22" s="1089">
        <f t="shared" si="245"/>
        <v>0</v>
      </c>
      <c r="EK22" s="1090">
        <f>IF(NOW()&gt;=DATE(YEAR(EH$2),MONTH(EH$2)+1,DAY(EH$2)),SUMIFS(TF_SOTIEN,TF_DA,$C22,TF_THANG,EH$2,TF_KM,$E22)/1000, EN22)</f>
        <v>0</v>
      </c>
      <c r="EL22" s="1089" t="str">
        <f t="shared" si="246"/>
        <v/>
      </c>
      <c r="EM22" s="1089">
        <f t="shared" si="247"/>
        <v>0</v>
      </c>
      <c r="EN22" s="1090">
        <f>IF(NOW()&gt;=DATE(YEAR(EH$2),MONTH(EH$2)+1,DAY(EH$2)),SUMIFS(AC_SOTIEN,AC_DA,$C22,AC_THANG,EH$2,AC_KM,$E22),SUMIFS(TF_SOTIEN,TF_DA,$C22,TF_THANG,EH$2,TF_KM,$E22))/ 1000</f>
        <v>0</v>
      </c>
      <c r="EO22" s="1089" t="str">
        <f t="shared" si="248"/>
        <v/>
      </c>
      <c r="EP22" s="1089" t="str">
        <f t="shared" si="249"/>
        <v/>
      </c>
      <c r="EQ22" s="1090">
        <f t="shared" si="250"/>
        <v>0</v>
      </c>
      <c r="ER22" s="1091" t="str">
        <f t="shared" si="87"/>
        <v/>
      </c>
      <c r="ES22" s="1090">
        <f t="shared" si="251"/>
        <v>0</v>
      </c>
      <c r="ET22" s="1091" t="str">
        <f t="shared" si="89"/>
        <v/>
      </c>
      <c r="EU22" s="1088">
        <f>SUMIFS(BP_SOTIEN,BP_DA,$C22,BP_THANG,EU$2,BP_KM,$E22)/1000</f>
        <v>0</v>
      </c>
      <c r="EV22" s="1089" t="str">
        <f t="shared" si="252"/>
        <v/>
      </c>
      <c r="EW22" s="1089">
        <f t="shared" si="253"/>
        <v>0</v>
      </c>
      <c r="EX22" s="1090">
        <f>IF(NOW()&gt;=DATE(YEAR(EU$2),MONTH(EU$2)+1,DAY(EU$2)),SUMIFS(TF_SOTIEN,TF_DA,$C22,TF_THANG,EU$2,TF_KM,$E22)/1000, FA22)</f>
        <v>0</v>
      </c>
      <c r="EY22" s="1089" t="str">
        <f t="shared" si="254"/>
        <v/>
      </c>
      <c r="EZ22" s="1089">
        <f t="shared" si="255"/>
        <v>0</v>
      </c>
      <c r="FA22" s="1090">
        <f>IF(NOW()&gt;=DATE(YEAR(EU$2),MONTH(EU$2)+1,DAY(EU$2)),SUMIFS(AC_SOTIEN,AC_DA,$C22,AC_THANG,EU$2,AC_KM,$E22),SUMIFS(TF_SOTIEN,TF_DA,$C22,TF_THANG,EU$2,TF_KM,$E22))/ 1000</f>
        <v>0</v>
      </c>
      <c r="FB22" s="1089" t="str">
        <f t="shared" si="256"/>
        <v/>
      </c>
      <c r="FC22" s="1089" t="str">
        <f t="shared" si="257"/>
        <v/>
      </c>
      <c r="FD22" s="1090">
        <f t="shared" si="258"/>
        <v>0</v>
      </c>
      <c r="FE22" s="1091" t="str">
        <f t="shared" si="94"/>
        <v/>
      </c>
      <c r="FF22" s="1090">
        <f t="shared" si="259"/>
        <v>0</v>
      </c>
      <c r="FG22" s="1091" t="str">
        <f t="shared" si="96"/>
        <v/>
      </c>
      <c r="FH22" s="1088">
        <f t="shared" si="260"/>
        <v>0</v>
      </c>
      <c r="FI22" s="1089" t="str">
        <f t="shared" si="261"/>
        <v/>
      </c>
      <c r="FJ22" s="1089">
        <f t="shared" si="262"/>
        <v>0</v>
      </c>
      <c r="FK22" s="1090">
        <f t="shared" si="263"/>
        <v>0</v>
      </c>
      <c r="FL22" s="1089" t="str">
        <f t="shared" si="264"/>
        <v/>
      </c>
      <c r="FM22" s="1089">
        <f t="shared" si="265"/>
        <v>0</v>
      </c>
      <c r="FN22" s="1090">
        <f t="shared" si="266"/>
        <v>0</v>
      </c>
      <c r="FO22" s="1089" t="str">
        <f t="shared" si="267"/>
        <v/>
      </c>
      <c r="FP22" s="1089" t="str">
        <f t="shared" si="268"/>
        <v/>
      </c>
      <c r="FQ22" s="1090">
        <f t="shared" si="269"/>
        <v>0</v>
      </c>
      <c r="FR22" s="1091" t="str">
        <f t="shared" si="104"/>
        <v/>
      </c>
      <c r="FS22" s="1090">
        <f t="shared" si="270"/>
        <v>0</v>
      </c>
      <c r="FT22" s="1091" t="str">
        <f t="shared" si="106"/>
        <v/>
      </c>
      <c r="FU22" s="1088">
        <f>SUMIFS(BP_SOTIEN,BP_DA,$C22,BP_THANG,FU$2,BP_KM,$E22)/1000</f>
        <v>0</v>
      </c>
      <c r="FV22" s="1089" t="str">
        <f t="shared" si="271"/>
        <v/>
      </c>
      <c r="FW22" s="1089">
        <f t="shared" si="272"/>
        <v>0</v>
      </c>
      <c r="FX22" s="1090">
        <f>IF(NOW()&gt;=DATE(YEAR(FU$2),MONTH(FU$2)+1,DAY(FU$2)),SUMIFS(TF_SOTIEN,TF_DA,$C22,TF_THANG,FU$2,TF_KM,$E22)/1000, GA22)</f>
        <v>0</v>
      </c>
      <c r="FY22" s="1089" t="str">
        <f t="shared" si="273"/>
        <v/>
      </c>
      <c r="FZ22" s="1089">
        <f t="shared" si="274"/>
        <v>0</v>
      </c>
      <c r="GA22" s="1090">
        <f>IF(NOW()&gt;=DATE(YEAR(FU$2),MONTH(FU$2)+1,DAY(FU$2)),SUMIFS(AC_SOTIEN,AC_DA,$C22,AC_THANG,FU$2,AC_KM,$E22),SUMIFS(TF_SOTIEN,TF_DA,$C22,TF_THANG,FU$2,TF_KM,$E22))/ 1000</f>
        <v>0</v>
      </c>
      <c r="GB22" s="1089" t="str">
        <f t="shared" si="275"/>
        <v/>
      </c>
      <c r="GC22" s="1089" t="str">
        <f t="shared" si="276"/>
        <v/>
      </c>
      <c r="GD22" s="1090">
        <f t="shared" si="277"/>
        <v>0</v>
      </c>
      <c r="GE22" s="1091" t="str">
        <f t="shared" si="111"/>
        <v/>
      </c>
      <c r="GF22" s="1090">
        <f t="shared" si="278"/>
        <v>0</v>
      </c>
      <c r="GG22" s="1091" t="str">
        <f t="shared" si="113"/>
        <v/>
      </c>
      <c r="GH22" s="1088">
        <f>SUMIFS(BP_SOTIEN,BP_DA,$C22,BP_THANG,GH$2,BP_KM,$E22)/1000</f>
        <v>0</v>
      </c>
      <c r="GI22" s="1089" t="str">
        <f t="shared" si="279"/>
        <v/>
      </c>
      <c r="GJ22" s="1089">
        <f t="shared" si="280"/>
        <v>0</v>
      </c>
      <c r="GK22" s="1090">
        <f>IF(NOW()&gt;=DATE(YEAR(GH$2),MONTH(GH$2)+1,DAY(GH$2)),SUMIFS(TF_SOTIEN,TF_DA,$C22,TF_THANG,GH$2,TF_KM,$E22)/1000, GN22)</f>
        <v>0</v>
      </c>
      <c r="GL22" s="1089" t="str">
        <f t="shared" si="281"/>
        <v/>
      </c>
      <c r="GM22" s="1089">
        <f t="shared" si="282"/>
        <v>0</v>
      </c>
      <c r="GN22" s="1090">
        <f>IF(NOW()&gt;=DATE(YEAR(GH$2),MONTH(GH$2)+1,DAY(GH$2)),SUMIFS(AC_SOTIEN,AC_DA,$C22,AC_THANG,GH$2,AC_KM,$E22),SUMIFS(TF_SOTIEN,TF_DA,$C22,TF_THANG,GH$2,TF_KM,$E22))/ 1000</f>
        <v>0</v>
      </c>
      <c r="GO22" s="1089" t="str">
        <f t="shared" si="283"/>
        <v/>
      </c>
      <c r="GP22" s="1089" t="str">
        <f t="shared" si="284"/>
        <v/>
      </c>
      <c r="GQ22" s="1090">
        <f t="shared" si="285"/>
        <v>0</v>
      </c>
      <c r="GR22" s="1091" t="str">
        <f t="shared" si="118"/>
        <v/>
      </c>
      <c r="GS22" s="1090">
        <f t="shared" si="286"/>
        <v>0</v>
      </c>
      <c r="GT22" s="1091" t="str">
        <f t="shared" si="120"/>
        <v/>
      </c>
      <c r="GU22" s="1088">
        <f>SUMIFS(BP_SOTIEN,BP_DA,$C22,BP_THANG,GU$2,BP_KM,$E22)/1000</f>
        <v>0</v>
      </c>
      <c r="GV22" s="1089" t="str">
        <f t="shared" si="287"/>
        <v/>
      </c>
      <c r="GW22" s="1089">
        <f t="shared" si="288"/>
        <v>0</v>
      </c>
      <c r="GX22" s="1090">
        <f>IF(NOW()&gt;=DATE(YEAR(GU$2),MONTH(GU$2)+1,DAY(GU$2)),SUMIFS(TF_SOTIEN,TF_DA,$C22,TF_THANG,GU$2,TF_KM,$E22)/1000, HA22)</f>
        <v>0</v>
      </c>
      <c r="GY22" s="1089" t="str">
        <f t="shared" si="289"/>
        <v/>
      </c>
      <c r="GZ22" s="1089">
        <f t="shared" si="290"/>
        <v>0</v>
      </c>
      <c r="HA22" s="1090">
        <f>IF(NOW()&gt;=DATE(YEAR(GU$2),MONTH(GU$2)+1,DAY(GU$2)),SUMIFS(AC_SOTIEN,AC_DA,$C22,AC_THANG,GU$2,AC_KM,$E22),SUMIFS(TF_SOTIEN,TF_DA,$C22,TF_THANG,GU$2,TF_KM,$E22))/ 1000</f>
        <v>0</v>
      </c>
      <c r="HB22" s="1089" t="str">
        <f t="shared" si="291"/>
        <v/>
      </c>
      <c r="HC22" s="1089" t="str">
        <f t="shared" si="292"/>
        <v/>
      </c>
      <c r="HD22" s="1090">
        <f t="shared" si="293"/>
        <v>0</v>
      </c>
      <c r="HE22" s="1091" t="str">
        <f t="shared" si="125"/>
        <v/>
      </c>
      <c r="HF22" s="1090">
        <f t="shared" si="294"/>
        <v>0</v>
      </c>
      <c r="HG22" s="1091" t="str">
        <f t="shared" si="127"/>
        <v/>
      </c>
      <c r="HH22" s="1088">
        <f t="shared" si="295"/>
        <v>0</v>
      </c>
      <c r="HI22" s="1089" t="str">
        <f t="shared" si="296"/>
        <v/>
      </c>
      <c r="HJ22" s="1089">
        <f t="shared" si="297"/>
        <v>0</v>
      </c>
      <c r="HK22" s="1090">
        <f t="shared" si="298"/>
        <v>0</v>
      </c>
      <c r="HL22" s="1089" t="str">
        <f t="shared" si="299"/>
        <v/>
      </c>
      <c r="HM22" s="1089">
        <f t="shared" si="300"/>
        <v>0</v>
      </c>
      <c r="HN22" s="1090">
        <f t="shared" si="301"/>
        <v>0</v>
      </c>
      <c r="HO22" s="1089" t="str">
        <f t="shared" si="302"/>
        <v/>
      </c>
      <c r="HP22" s="1089" t="str">
        <f t="shared" si="303"/>
        <v/>
      </c>
      <c r="HQ22" s="1090">
        <f t="shared" si="304"/>
        <v>0</v>
      </c>
      <c r="HR22" s="1091" t="str">
        <f t="shared" si="135"/>
        <v/>
      </c>
      <c r="HS22" s="1090">
        <f t="shared" si="305"/>
        <v>0</v>
      </c>
      <c r="HT22" s="1091" t="str">
        <f t="shared" si="137"/>
        <v/>
      </c>
      <c r="HU22" s="1088">
        <f t="shared" si="306"/>
        <v>0</v>
      </c>
      <c r="HV22" s="1089" t="str">
        <f t="shared" si="307"/>
        <v/>
      </c>
      <c r="HW22" s="1089">
        <f t="shared" si="308"/>
        <v>0</v>
      </c>
      <c r="HX22" s="1090">
        <f t="shared" si="309"/>
        <v>0</v>
      </c>
      <c r="HY22" s="1089" t="str">
        <f t="shared" si="310"/>
        <v/>
      </c>
      <c r="HZ22" s="1089">
        <f t="shared" si="311"/>
        <v>0</v>
      </c>
      <c r="IA22" s="1090">
        <f t="shared" si="312"/>
        <v>0</v>
      </c>
      <c r="IB22" s="1089" t="str">
        <f t="shared" si="313"/>
        <v/>
      </c>
      <c r="IC22" s="1089" t="str">
        <f t="shared" si="314"/>
        <v/>
      </c>
      <c r="ID22" s="1090">
        <f t="shared" si="315"/>
        <v>0</v>
      </c>
      <c r="IE22" s="1091" t="str">
        <f t="shared" si="145"/>
        <v/>
      </c>
      <c r="IF22" s="1090">
        <f t="shared" si="316"/>
        <v>0</v>
      </c>
      <c r="IG22" s="1091" t="str">
        <f t="shared" si="147"/>
        <v/>
      </c>
      <c r="IH22" s="1088">
        <f t="shared" si="317"/>
        <v>0</v>
      </c>
      <c r="II22" s="1089" t="str">
        <f t="shared" si="318"/>
        <v/>
      </c>
      <c r="IJ22" s="1089">
        <f t="shared" si="319"/>
        <v>0</v>
      </c>
      <c r="IK22" s="1090">
        <f t="shared" si="320"/>
        <v>0</v>
      </c>
      <c r="IL22" s="1089">
        <f t="shared" si="321"/>
        <v>0</v>
      </c>
      <c r="IM22" s="1089">
        <f t="shared" si="322"/>
        <v>0</v>
      </c>
      <c r="IN22" s="1090">
        <f t="shared" si="323"/>
        <v>1195000</v>
      </c>
      <c r="IO22" s="1089">
        <f t="shared" si="324"/>
        <v>0.08560178052</v>
      </c>
      <c r="IP22" s="1089">
        <f t="shared" si="325"/>
        <v>0.2750533304</v>
      </c>
      <c r="IQ22" s="1090">
        <f t="shared" si="326"/>
        <v>1195000</v>
      </c>
      <c r="IR22" s="1091" t="str">
        <f t="shared" si="1"/>
        <v/>
      </c>
      <c r="IS22" s="1090">
        <f t="shared" si="327"/>
        <v>1195000</v>
      </c>
      <c r="IT22" s="1091" t="str">
        <f t="shared" si="2"/>
        <v/>
      </c>
    </row>
    <row r="23" hidden="1" outlineLevel="1">
      <c r="A23" s="1086">
        <f t="shared" si="328"/>
        <v>3</v>
      </c>
      <c r="B23" s="1087" t="s">
        <v>2066</v>
      </c>
      <c r="C23" s="656" t="s">
        <v>597</v>
      </c>
      <c r="D23" s="1087" t="str">
        <f>IF(C23&gt;0,VLOOKUP(C23,DM_DUAN ,2,"") ,IF(B23&gt;0,VLOOKUP(B23,DM_CDT,2,""),""))</f>
        <v>KDC Long Hải</v>
      </c>
      <c r="E23" s="1087" t="s">
        <v>187</v>
      </c>
      <c r="F23" s="1087"/>
      <c r="G23" s="1086">
        <v>2.0</v>
      </c>
      <c r="H23" s="1088">
        <f>SUMIFS(BP_SOTIEN,BP_DA,$C23,BP_THANG,H$2,BP_KM,$E23)/1000</f>
        <v>0</v>
      </c>
      <c r="I23" s="1089" t="str">
        <f t="shared" si="156"/>
        <v/>
      </c>
      <c r="J23" s="1089" t="str">
        <f t="shared" si="157"/>
        <v/>
      </c>
      <c r="K23" s="1090">
        <f>IF(NOW()&gt;=DATE(YEAR(H$2),MONTH(H$2)+1,DAY(H$2)),SUMIFS(TF_SOTIEN,TF_DA,$C23,TF_THANG,H$2,TF_KM,$E23)/1000, N23)</f>
        <v>0</v>
      </c>
      <c r="L23" s="1089" t="str">
        <f t="shared" si="158"/>
        <v/>
      </c>
      <c r="M23" s="1089">
        <f t="shared" si="329"/>
        <v>0</v>
      </c>
      <c r="N23" s="1090">
        <f>IF(NOW()&gt;=DATE(YEAR(H$2),MONTH(H$2)+1,DAY(H$2)),SUMIFS(AC_SOTIEN,AC_DA,$C23,AC_THANG,H$2,AC_KM,$E23),SUMIFS(TF_SOTIEN,TF_DA,$C23,TF_THANG,H$2,TF_KM,$E23))/ 1000</f>
        <v>0</v>
      </c>
      <c r="O23" s="1089" t="str">
        <f t="shared" si="159"/>
        <v/>
      </c>
      <c r="P23" s="1089">
        <f t="shared" si="160"/>
        <v>0</v>
      </c>
      <c r="Q23" s="1090">
        <f t="shared" si="161"/>
        <v>0</v>
      </c>
      <c r="R23" s="1091" t="str">
        <f t="shared" si="8"/>
        <v/>
      </c>
      <c r="S23" s="1090">
        <f t="shared" si="162"/>
        <v>0</v>
      </c>
      <c r="T23" s="1091" t="str">
        <f t="shared" si="10"/>
        <v/>
      </c>
      <c r="U23" s="1088">
        <f>SUMIFS(BP_SOTIEN,BP_DA,$C23,BP_THANG,U$2,BP_KM,$E23)/1000</f>
        <v>0</v>
      </c>
      <c r="V23" s="1089" t="str">
        <f t="shared" si="163"/>
        <v/>
      </c>
      <c r="W23" s="1089" t="str">
        <f t="shared" si="164"/>
        <v/>
      </c>
      <c r="X23" s="1090">
        <f>IF(NOW()&gt;=DATE(YEAR(U$2),MONTH(U$2)+1,DAY(U$2)),SUMIFS(TF_SOTIEN,TF_DA,$C23,TF_THANG,U$2,TF_KM,$E23)/1000, AA23)</f>
        <v>0</v>
      </c>
      <c r="Y23" s="1089" t="str">
        <f t="shared" si="165"/>
        <v/>
      </c>
      <c r="Z23" s="1089" t="str">
        <f t="shared" si="166"/>
        <v/>
      </c>
      <c r="AA23" s="1090">
        <f>IF(NOW()&gt;=DATE(YEAR(U$2),MONTH(U$2)+1,DAY(U$2)),SUMIFS(AC_SOTIEN,AC_DA,$C23,AC_THANG,U$2,AC_KM,$E23),SUMIFS(TF_SOTIEN,TF_DA,$C23,TF_THANG,U$2,TF_KM,$E23))/ 1000</f>
        <v>0</v>
      </c>
      <c r="AB23" s="1089" t="str">
        <f t="shared" si="167"/>
        <v/>
      </c>
      <c r="AC23" s="1089">
        <f t="shared" si="168"/>
        <v>0</v>
      </c>
      <c r="AD23" s="1090">
        <f t="shared" si="169"/>
        <v>0</v>
      </c>
      <c r="AE23" s="1091" t="str">
        <f t="shared" si="15"/>
        <v/>
      </c>
      <c r="AF23" s="1090">
        <f t="shared" si="170"/>
        <v>0</v>
      </c>
      <c r="AG23" s="1091" t="str">
        <f t="shared" si="17"/>
        <v/>
      </c>
      <c r="AH23" s="1088">
        <f>SUMIFS(BP_SOTIEN,BP_DA,$C23,BP_THANG,AH$2,BP_KM,$E23)/1000</f>
        <v>0</v>
      </c>
      <c r="AI23" s="1089" t="str">
        <f t="shared" si="171"/>
        <v/>
      </c>
      <c r="AJ23" s="1089" t="str">
        <f t="shared" si="172"/>
        <v/>
      </c>
      <c r="AK23" s="1090">
        <f>IF(NOW()&gt;=DATE(YEAR(AH$2),MONTH(AH$2)+1,DAY(AH$2)),SUMIFS(TF_SOTIEN,TF_DA,$C23,TF_THANG,AH$2,TF_KM,$E23)/1000, AN23)</f>
        <v>0</v>
      </c>
      <c r="AL23" s="1089" t="str">
        <f t="shared" si="173"/>
        <v/>
      </c>
      <c r="AM23" s="1089">
        <f t="shared" si="174"/>
        <v>0</v>
      </c>
      <c r="AN23" s="1090">
        <f>IF(NOW()&gt;=DATE(YEAR(AH$2),MONTH(AH$2)+1,DAY(AH$2)),SUMIFS(AC_SOTIEN,AC_DA,$C23,AC_THANG,AH$2,AC_KM,$E23),SUMIFS(TF_SOTIEN,TF_DA,$C23,TF_THANG,AH$2,TF_KM,$E23))/ 1000</f>
        <v>0</v>
      </c>
      <c r="AO23" s="1089" t="str">
        <f t="shared" si="175"/>
        <v/>
      </c>
      <c r="AP23" s="1089">
        <f t="shared" si="176"/>
        <v>0</v>
      </c>
      <c r="AQ23" s="1090">
        <f t="shared" si="177"/>
        <v>0</v>
      </c>
      <c r="AR23" s="1091" t="str">
        <f t="shared" si="22"/>
        <v/>
      </c>
      <c r="AS23" s="1090">
        <f t="shared" si="178"/>
        <v>0</v>
      </c>
      <c r="AT23" s="1091" t="str">
        <f t="shared" si="24"/>
        <v/>
      </c>
      <c r="AU23" s="1088">
        <f t="shared" si="179"/>
        <v>0</v>
      </c>
      <c r="AV23" s="1089" t="str">
        <f t="shared" si="180"/>
        <v/>
      </c>
      <c r="AW23" s="1089" t="str">
        <f t="shared" si="181"/>
        <v/>
      </c>
      <c r="AX23" s="1090">
        <f t="shared" si="182"/>
        <v>0</v>
      </c>
      <c r="AY23" s="1089" t="str">
        <f t="shared" si="183"/>
        <v/>
      </c>
      <c r="AZ23" s="1089">
        <f t="shared" si="184"/>
        <v>0</v>
      </c>
      <c r="BA23" s="1090">
        <f t="shared" si="185"/>
        <v>0</v>
      </c>
      <c r="BB23" s="1089" t="str">
        <f t="shared" si="186"/>
        <v/>
      </c>
      <c r="BC23" s="1089">
        <f t="shared" si="187"/>
        <v>0</v>
      </c>
      <c r="BD23" s="1090">
        <f t="shared" si="188"/>
        <v>0</v>
      </c>
      <c r="BE23" s="1091" t="str">
        <f t="shared" si="32"/>
        <v/>
      </c>
      <c r="BF23" s="1090">
        <f t="shared" si="189"/>
        <v>0</v>
      </c>
      <c r="BG23" s="1091" t="str">
        <f t="shared" si="34"/>
        <v/>
      </c>
      <c r="BH23" s="1088">
        <f>SUMIFS(BP_SOTIEN,BP_DA,$C23,BP_THANG,BH$2,BP_KM,$E23)/1000</f>
        <v>0</v>
      </c>
      <c r="BI23" s="1089" t="str">
        <f t="shared" si="190"/>
        <v/>
      </c>
      <c r="BJ23" s="1089">
        <f t="shared" si="191"/>
        <v>0</v>
      </c>
      <c r="BK23" s="1090">
        <f>IF(NOW()&gt;=DATE(YEAR(BH$2),MONTH(BH$2)+1,DAY(BH$2)),SUMIFS(TF_SOTIEN,TF_DA,$C23,TF_THANG,BH$2,TF_KM,$E23)/1000, BN23)</f>
        <v>0</v>
      </c>
      <c r="BL23" s="1089" t="str">
        <f t="shared" si="192"/>
        <v/>
      </c>
      <c r="BM23" s="1089" t="str">
        <f t="shared" si="193"/>
        <v/>
      </c>
      <c r="BN23" s="1090">
        <f>IF(NOW()&gt;=DATE(YEAR(BH$2),MONTH(BH$2)+1,DAY(BH$2)),SUMIFS(AC_SOTIEN,AC_DA,$C23,AC_THANG,BH$2,AC_KM,$E23),SUMIFS(TF_SOTIEN,TF_DA,$C23,TF_THANG,BH$2,TF_KM,$E23))/ 1000</f>
        <v>0</v>
      </c>
      <c r="BO23" s="1089" t="str">
        <f t="shared" si="194"/>
        <v/>
      </c>
      <c r="BP23" s="1089">
        <f t="shared" si="195"/>
        <v>0</v>
      </c>
      <c r="BQ23" s="1090">
        <f t="shared" si="196"/>
        <v>0</v>
      </c>
      <c r="BR23" s="1091" t="str">
        <f t="shared" si="39"/>
        <v/>
      </c>
      <c r="BS23" s="1090">
        <f t="shared" si="197"/>
        <v>0</v>
      </c>
      <c r="BT23" s="1091" t="str">
        <f t="shared" si="41"/>
        <v/>
      </c>
      <c r="BU23" s="1088">
        <f>SUMIFS(BP_SOTIEN,BP_DA,$C23,BP_THANG,BU$2,BP_KM,$E23)/1000</f>
        <v>0</v>
      </c>
      <c r="BV23" s="1089" t="str">
        <f t="shared" si="198"/>
        <v/>
      </c>
      <c r="BW23" s="1089">
        <f t="shared" si="199"/>
        <v>0</v>
      </c>
      <c r="BX23" s="1090">
        <f>IF(NOW()&gt;=DATE(YEAR(BU$2),MONTH(BU$2)+1,DAY(BU$2)),SUMIFS(TF_SOTIEN,TF_DA,$C23,TF_THANG,BU$2,TF_KM,$E23)/1000, CA23)</f>
        <v>0</v>
      </c>
      <c r="BY23" s="1089" t="str">
        <f t="shared" si="200"/>
        <v/>
      </c>
      <c r="BZ23" s="1089">
        <f t="shared" si="201"/>
        <v>0</v>
      </c>
      <c r="CA23" s="1090">
        <f>IF(NOW()&gt;=DATE(YEAR(BU$2),MONTH(BU$2)+1,DAY(BU$2)),SUMIFS(AC_SOTIEN,AC_DA,$C23,AC_THANG,BU$2,AC_KM,$E23),SUMIFS(TF_SOTIEN,TF_DA,$C23,TF_THANG,BU$2,TF_KM,$E23))/ 1000</f>
        <v>0</v>
      </c>
      <c r="CB23" s="1089" t="str">
        <f t="shared" si="202"/>
        <v/>
      </c>
      <c r="CC23" s="1089">
        <f t="shared" si="203"/>
        <v>0</v>
      </c>
      <c r="CD23" s="1090">
        <f t="shared" si="204"/>
        <v>0</v>
      </c>
      <c r="CE23" s="1091" t="str">
        <f t="shared" si="46"/>
        <v/>
      </c>
      <c r="CF23" s="1090">
        <f t="shared" si="205"/>
        <v>0</v>
      </c>
      <c r="CG23" s="1091" t="str">
        <f t="shared" si="48"/>
        <v/>
      </c>
      <c r="CH23" s="1088">
        <f>SUMIFS(BP_SOTIEN,BP_DA,$C23,BP_THANG,CH$2,BP_KM,$E23)/1000</f>
        <v>0</v>
      </c>
      <c r="CI23" s="1089" t="str">
        <f t="shared" si="206"/>
        <v/>
      </c>
      <c r="CJ23" s="1089">
        <f t="shared" si="207"/>
        <v>0</v>
      </c>
      <c r="CK23" s="1090">
        <f>IF(NOW()&gt;=DATE(YEAR(CH$2),MONTH(CH$2)+1,DAY(CH$2)),SUMIFS(TF_SOTIEN,TF_DA,$C23,TF_THANG,CH$2,TF_KM,$E23)/1000, CN23)</f>
        <v>0</v>
      </c>
      <c r="CL23" s="1089" t="str">
        <f t="shared" si="208"/>
        <v/>
      </c>
      <c r="CM23" s="1089" t="str">
        <f t="shared" si="209"/>
        <v/>
      </c>
      <c r="CN23" s="1090">
        <f>IF(NOW()&gt;=DATE(YEAR(CH$2),MONTH(CH$2)+1,DAY(CH$2)),SUMIFS(AC_SOTIEN,AC_DA,$C23,AC_THANG,CH$2,AC_KM,$E23),SUMIFS(TF_SOTIEN,TF_DA,$C23,TF_THANG,CH$2,TF_KM,$E23))/ 1000</f>
        <v>0</v>
      </c>
      <c r="CO23" s="1089" t="str">
        <f t="shared" si="210"/>
        <v/>
      </c>
      <c r="CP23" s="1089" t="str">
        <f t="shared" si="211"/>
        <v/>
      </c>
      <c r="CQ23" s="1090">
        <f t="shared" si="212"/>
        <v>0</v>
      </c>
      <c r="CR23" s="1091" t="str">
        <f t="shared" si="53"/>
        <v/>
      </c>
      <c r="CS23" s="1090">
        <f t="shared" si="213"/>
        <v>0</v>
      </c>
      <c r="CT23" s="1091" t="str">
        <f t="shared" si="55"/>
        <v/>
      </c>
      <c r="CU23" s="1088">
        <f t="shared" si="214"/>
        <v>0</v>
      </c>
      <c r="CV23" s="1089" t="str">
        <f t="shared" si="215"/>
        <v/>
      </c>
      <c r="CW23" s="1089">
        <f t="shared" si="216"/>
        <v>0</v>
      </c>
      <c r="CX23" s="1090">
        <f t="shared" si="217"/>
        <v>0</v>
      </c>
      <c r="CY23" s="1089" t="str">
        <f t="shared" si="218"/>
        <v/>
      </c>
      <c r="CZ23" s="1089">
        <f t="shared" si="219"/>
        <v>0</v>
      </c>
      <c r="DA23" s="1090">
        <f t="shared" si="220"/>
        <v>0</v>
      </c>
      <c r="DB23" s="1089" t="str">
        <f t="shared" si="221"/>
        <v/>
      </c>
      <c r="DC23" s="1089">
        <f t="shared" si="222"/>
        <v>0</v>
      </c>
      <c r="DD23" s="1090">
        <f t="shared" si="223"/>
        <v>0</v>
      </c>
      <c r="DE23" s="1091" t="str">
        <f t="shared" si="63"/>
        <v/>
      </c>
      <c r="DF23" s="1090">
        <f t="shared" si="224"/>
        <v>0</v>
      </c>
      <c r="DG23" s="1091" t="str">
        <f t="shared" si="65"/>
        <v/>
      </c>
      <c r="DH23" s="1088">
        <f t="shared" si="225"/>
        <v>0</v>
      </c>
      <c r="DI23" s="1089" t="str">
        <f t="shared" si="226"/>
        <v/>
      </c>
      <c r="DJ23" s="1089">
        <f t="shared" si="227"/>
        <v>0</v>
      </c>
      <c r="DK23" s="1090">
        <f t="shared" si="228"/>
        <v>0</v>
      </c>
      <c r="DL23" s="1089" t="str">
        <f t="shared" si="229"/>
        <v/>
      </c>
      <c r="DM23" s="1089">
        <f t="shared" si="230"/>
        <v>0</v>
      </c>
      <c r="DN23" s="1090">
        <f t="shared" si="231"/>
        <v>0</v>
      </c>
      <c r="DO23" s="1089" t="str">
        <f t="shared" si="232"/>
        <v/>
      </c>
      <c r="DP23" s="1089">
        <f t="shared" si="233"/>
        <v>0</v>
      </c>
      <c r="DQ23" s="1090">
        <f t="shared" si="234"/>
        <v>0</v>
      </c>
      <c r="DR23" s="1091" t="str">
        <f t="shared" si="73"/>
        <v/>
      </c>
      <c r="DS23" s="1090">
        <f t="shared" si="235"/>
        <v>0</v>
      </c>
      <c r="DT23" s="1091" t="str">
        <f t="shared" si="75"/>
        <v/>
      </c>
      <c r="DU23" s="1088">
        <f>SUMIFS(BP_SOTIEN,BP_DA,$C23,BP_THANG,DU$2,BP_KM,$E23)/1000</f>
        <v>0</v>
      </c>
      <c r="DV23" s="1089" t="str">
        <f t="shared" si="236"/>
        <v/>
      </c>
      <c r="DW23" s="1089">
        <f t="shared" si="237"/>
        <v>0</v>
      </c>
      <c r="DX23" s="1090">
        <f>IF(NOW()&gt;=DATE(YEAR(DU$2),MONTH(DU$2)+1,DAY(DU$2)),SUMIFS(TF_SOTIEN,TF_DA,$C23,TF_THANG,DU$2,TF_KM,$E23)/1000, EA23)</f>
        <v>0</v>
      </c>
      <c r="DY23" s="1089" t="str">
        <f t="shared" si="238"/>
        <v/>
      </c>
      <c r="DZ23" s="1089">
        <f t="shared" si="239"/>
        <v>0</v>
      </c>
      <c r="EA23" s="1090">
        <f>IF(NOW()&gt;=DATE(YEAR(DU$2),MONTH(DU$2)+1,DAY(DU$2)),SUMIFS(AC_SOTIEN,AC_DA,$C23,AC_THANG,DU$2,AC_KM,$E23),SUMIFS(TF_SOTIEN,TF_DA,$C23,TF_THANG,DU$2,TF_KM,$E23))/ 1000</f>
        <v>0</v>
      </c>
      <c r="EB23" s="1089" t="str">
        <f t="shared" si="240"/>
        <v/>
      </c>
      <c r="EC23" s="1089" t="str">
        <f t="shared" si="241"/>
        <v/>
      </c>
      <c r="ED23" s="1090">
        <f t="shared" si="242"/>
        <v>0</v>
      </c>
      <c r="EE23" s="1091" t="str">
        <f t="shared" si="80"/>
        <v/>
      </c>
      <c r="EF23" s="1090">
        <f t="shared" si="243"/>
        <v>0</v>
      </c>
      <c r="EG23" s="1091" t="str">
        <f t="shared" si="82"/>
        <v/>
      </c>
      <c r="EH23" s="1088">
        <f>SUMIFS(BP_SOTIEN,BP_DA,$C23,BP_THANG,EH$2,BP_KM,$E23)/1000</f>
        <v>0</v>
      </c>
      <c r="EI23" s="1089" t="str">
        <f t="shared" si="244"/>
        <v/>
      </c>
      <c r="EJ23" s="1089">
        <f t="shared" si="245"/>
        <v>0</v>
      </c>
      <c r="EK23" s="1090">
        <f>IF(NOW()&gt;=DATE(YEAR(EH$2),MONTH(EH$2)+1,DAY(EH$2)),SUMIFS(TF_SOTIEN,TF_DA,$C23,TF_THANG,EH$2,TF_KM,$E23)/1000, EN23)</f>
        <v>0</v>
      </c>
      <c r="EL23" s="1089" t="str">
        <f t="shared" si="246"/>
        <v/>
      </c>
      <c r="EM23" s="1089">
        <f t="shared" si="247"/>
        <v>0</v>
      </c>
      <c r="EN23" s="1090">
        <f>IF(NOW()&gt;=DATE(YEAR(EH$2),MONTH(EH$2)+1,DAY(EH$2)),SUMIFS(AC_SOTIEN,AC_DA,$C23,AC_THANG,EH$2,AC_KM,$E23),SUMIFS(TF_SOTIEN,TF_DA,$C23,TF_THANG,EH$2,TF_KM,$E23))/ 1000</f>
        <v>0</v>
      </c>
      <c r="EO23" s="1089" t="str">
        <f t="shared" si="248"/>
        <v/>
      </c>
      <c r="EP23" s="1089" t="str">
        <f t="shared" si="249"/>
        <v/>
      </c>
      <c r="EQ23" s="1090">
        <f t="shared" si="250"/>
        <v>0</v>
      </c>
      <c r="ER23" s="1091" t="str">
        <f t="shared" si="87"/>
        <v/>
      </c>
      <c r="ES23" s="1090">
        <f t="shared" si="251"/>
        <v>0</v>
      </c>
      <c r="ET23" s="1091" t="str">
        <f t="shared" si="89"/>
        <v/>
      </c>
      <c r="EU23" s="1088">
        <f>SUMIFS(BP_SOTIEN,BP_DA,$C23,BP_THANG,EU$2,BP_KM,$E23)/1000</f>
        <v>0</v>
      </c>
      <c r="EV23" s="1089" t="str">
        <f t="shared" si="252"/>
        <v/>
      </c>
      <c r="EW23" s="1089">
        <f t="shared" si="253"/>
        <v>0</v>
      </c>
      <c r="EX23" s="1090">
        <f>IF(NOW()&gt;=DATE(YEAR(EU$2),MONTH(EU$2)+1,DAY(EU$2)),SUMIFS(TF_SOTIEN,TF_DA,$C23,TF_THANG,EU$2,TF_KM,$E23)/1000, FA23)</f>
        <v>0</v>
      </c>
      <c r="EY23" s="1089" t="str">
        <f t="shared" si="254"/>
        <v/>
      </c>
      <c r="EZ23" s="1089">
        <f t="shared" si="255"/>
        <v>0</v>
      </c>
      <c r="FA23" s="1090">
        <f>IF(NOW()&gt;=DATE(YEAR(EU$2),MONTH(EU$2)+1,DAY(EU$2)),SUMIFS(AC_SOTIEN,AC_DA,$C23,AC_THANG,EU$2,AC_KM,$E23),SUMIFS(TF_SOTIEN,TF_DA,$C23,TF_THANG,EU$2,TF_KM,$E23))/ 1000</f>
        <v>0</v>
      </c>
      <c r="FB23" s="1089" t="str">
        <f t="shared" si="256"/>
        <v/>
      </c>
      <c r="FC23" s="1089" t="str">
        <f t="shared" si="257"/>
        <v/>
      </c>
      <c r="FD23" s="1090">
        <f t="shared" si="258"/>
        <v>0</v>
      </c>
      <c r="FE23" s="1091" t="str">
        <f t="shared" si="94"/>
        <v/>
      </c>
      <c r="FF23" s="1090">
        <f t="shared" si="259"/>
        <v>0</v>
      </c>
      <c r="FG23" s="1091" t="str">
        <f t="shared" si="96"/>
        <v/>
      </c>
      <c r="FH23" s="1088">
        <f t="shared" si="260"/>
        <v>0</v>
      </c>
      <c r="FI23" s="1089" t="str">
        <f t="shared" si="261"/>
        <v/>
      </c>
      <c r="FJ23" s="1089">
        <f t="shared" si="262"/>
        <v>0</v>
      </c>
      <c r="FK23" s="1090">
        <f t="shared" si="263"/>
        <v>0</v>
      </c>
      <c r="FL23" s="1089" t="str">
        <f t="shared" si="264"/>
        <v/>
      </c>
      <c r="FM23" s="1089">
        <f t="shared" si="265"/>
        <v>0</v>
      </c>
      <c r="FN23" s="1090">
        <f t="shared" si="266"/>
        <v>0</v>
      </c>
      <c r="FO23" s="1089" t="str">
        <f t="shared" si="267"/>
        <v/>
      </c>
      <c r="FP23" s="1089" t="str">
        <f t="shared" si="268"/>
        <v/>
      </c>
      <c r="FQ23" s="1090">
        <f t="shared" si="269"/>
        <v>0</v>
      </c>
      <c r="FR23" s="1091" t="str">
        <f t="shared" si="104"/>
        <v/>
      </c>
      <c r="FS23" s="1090">
        <f t="shared" si="270"/>
        <v>0</v>
      </c>
      <c r="FT23" s="1091" t="str">
        <f t="shared" si="106"/>
        <v/>
      </c>
      <c r="FU23" s="1088">
        <f>SUMIFS(BP_SOTIEN,BP_DA,$C23,BP_THANG,FU$2,BP_KM,$E23)/1000</f>
        <v>0</v>
      </c>
      <c r="FV23" s="1089" t="str">
        <f t="shared" si="271"/>
        <v/>
      </c>
      <c r="FW23" s="1089">
        <f t="shared" si="272"/>
        <v>0</v>
      </c>
      <c r="FX23" s="1090">
        <f>IF(NOW()&gt;=DATE(YEAR(FU$2),MONTH(FU$2)+1,DAY(FU$2)),SUMIFS(TF_SOTIEN,TF_DA,$C23,TF_THANG,FU$2,TF_KM,$E23)/1000, GA23)</f>
        <v>0</v>
      </c>
      <c r="FY23" s="1089" t="str">
        <f t="shared" si="273"/>
        <v/>
      </c>
      <c r="FZ23" s="1089">
        <f t="shared" si="274"/>
        <v>0</v>
      </c>
      <c r="GA23" s="1090">
        <f>IF(NOW()&gt;=DATE(YEAR(FU$2),MONTH(FU$2)+1,DAY(FU$2)),SUMIFS(AC_SOTIEN,AC_DA,$C23,AC_THANG,FU$2,AC_KM,$E23),SUMIFS(TF_SOTIEN,TF_DA,$C23,TF_THANG,FU$2,TF_KM,$E23))/ 1000</f>
        <v>0</v>
      </c>
      <c r="GB23" s="1089" t="str">
        <f t="shared" si="275"/>
        <v/>
      </c>
      <c r="GC23" s="1089" t="str">
        <f t="shared" si="276"/>
        <v/>
      </c>
      <c r="GD23" s="1090">
        <f t="shared" si="277"/>
        <v>0</v>
      </c>
      <c r="GE23" s="1091" t="str">
        <f t="shared" si="111"/>
        <v/>
      </c>
      <c r="GF23" s="1090">
        <f t="shared" si="278"/>
        <v>0</v>
      </c>
      <c r="GG23" s="1091" t="str">
        <f t="shared" si="113"/>
        <v/>
      </c>
      <c r="GH23" s="1088">
        <f>SUMIFS(BP_SOTIEN,BP_DA,$C23,BP_THANG,GH$2,BP_KM,$E23)/1000</f>
        <v>0</v>
      </c>
      <c r="GI23" s="1089" t="str">
        <f t="shared" si="279"/>
        <v/>
      </c>
      <c r="GJ23" s="1089">
        <f t="shared" si="280"/>
        <v>0</v>
      </c>
      <c r="GK23" s="1090">
        <f>IF(NOW()&gt;=DATE(YEAR(GH$2),MONTH(GH$2)+1,DAY(GH$2)),SUMIFS(TF_SOTIEN,TF_DA,$C23,TF_THANG,GH$2,TF_KM,$E23)/1000, GN23)</f>
        <v>0</v>
      </c>
      <c r="GL23" s="1089" t="str">
        <f t="shared" si="281"/>
        <v/>
      </c>
      <c r="GM23" s="1089">
        <f t="shared" si="282"/>
        <v>0</v>
      </c>
      <c r="GN23" s="1090">
        <f>IF(NOW()&gt;=DATE(YEAR(GH$2),MONTH(GH$2)+1,DAY(GH$2)),SUMIFS(AC_SOTIEN,AC_DA,$C23,AC_THANG,GH$2,AC_KM,$E23),SUMIFS(TF_SOTIEN,TF_DA,$C23,TF_THANG,GH$2,TF_KM,$E23))/ 1000</f>
        <v>0</v>
      </c>
      <c r="GO23" s="1089" t="str">
        <f t="shared" si="283"/>
        <v/>
      </c>
      <c r="GP23" s="1089" t="str">
        <f t="shared" si="284"/>
        <v/>
      </c>
      <c r="GQ23" s="1090">
        <f t="shared" si="285"/>
        <v>0</v>
      </c>
      <c r="GR23" s="1091" t="str">
        <f t="shared" si="118"/>
        <v/>
      </c>
      <c r="GS23" s="1090">
        <f t="shared" si="286"/>
        <v>0</v>
      </c>
      <c r="GT23" s="1091" t="str">
        <f t="shared" si="120"/>
        <v/>
      </c>
      <c r="GU23" s="1088">
        <f>SUMIFS(BP_SOTIEN,BP_DA,$C23,BP_THANG,GU$2,BP_KM,$E23)/1000</f>
        <v>0</v>
      </c>
      <c r="GV23" s="1089" t="str">
        <f t="shared" si="287"/>
        <v/>
      </c>
      <c r="GW23" s="1089">
        <f t="shared" si="288"/>
        <v>0</v>
      </c>
      <c r="GX23" s="1090">
        <f>IF(NOW()&gt;=DATE(YEAR(GU$2),MONTH(GU$2)+1,DAY(GU$2)),SUMIFS(TF_SOTIEN,TF_DA,$C23,TF_THANG,GU$2,TF_KM,$E23)/1000, HA23)</f>
        <v>0</v>
      </c>
      <c r="GY23" s="1089" t="str">
        <f t="shared" si="289"/>
        <v/>
      </c>
      <c r="GZ23" s="1089">
        <f t="shared" si="290"/>
        <v>0</v>
      </c>
      <c r="HA23" s="1090">
        <f>IF(NOW()&gt;=DATE(YEAR(GU$2),MONTH(GU$2)+1,DAY(GU$2)),SUMIFS(AC_SOTIEN,AC_DA,$C23,AC_THANG,GU$2,AC_KM,$E23),SUMIFS(TF_SOTIEN,TF_DA,$C23,TF_THANG,GU$2,TF_KM,$E23))/ 1000</f>
        <v>0</v>
      </c>
      <c r="HB23" s="1089" t="str">
        <f t="shared" si="291"/>
        <v/>
      </c>
      <c r="HC23" s="1089" t="str">
        <f t="shared" si="292"/>
        <v/>
      </c>
      <c r="HD23" s="1090">
        <f t="shared" si="293"/>
        <v>0</v>
      </c>
      <c r="HE23" s="1091" t="str">
        <f t="shared" si="125"/>
        <v/>
      </c>
      <c r="HF23" s="1090">
        <f t="shared" si="294"/>
        <v>0</v>
      </c>
      <c r="HG23" s="1091" t="str">
        <f t="shared" si="127"/>
        <v/>
      </c>
      <c r="HH23" s="1088">
        <f t="shared" si="295"/>
        <v>0</v>
      </c>
      <c r="HI23" s="1089" t="str">
        <f t="shared" si="296"/>
        <v/>
      </c>
      <c r="HJ23" s="1089">
        <f t="shared" si="297"/>
        <v>0</v>
      </c>
      <c r="HK23" s="1090">
        <f t="shared" si="298"/>
        <v>0</v>
      </c>
      <c r="HL23" s="1089" t="str">
        <f t="shared" si="299"/>
        <v/>
      </c>
      <c r="HM23" s="1089">
        <f t="shared" si="300"/>
        <v>0</v>
      </c>
      <c r="HN23" s="1090">
        <f t="shared" si="301"/>
        <v>0</v>
      </c>
      <c r="HO23" s="1089" t="str">
        <f t="shared" si="302"/>
        <v/>
      </c>
      <c r="HP23" s="1089" t="str">
        <f t="shared" si="303"/>
        <v/>
      </c>
      <c r="HQ23" s="1090">
        <f t="shared" si="304"/>
        <v>0</v>
      </c>
      <c r="HR23" s="1091" t="str">
        <f t="shared" si="135"/>
        <v/>
      </c>
      <c r="HS23" s="1090">
        <f t="shared" si="305"/>
        <v>0</v>
      </c>
      <c r="HT23" s="1091" t="str">
        <f t="shared" si="137"/>
        <v/>
      </c>
      <c r="HU23" s="1088">
        <f t="shared" si="306"/>
        <v>0</v>
      </c>
      <c r="HV23" s="1089" t="str">
        <f t="shared" si="307"/>
        <v/>
      </c>
      <c r="HW23" s="1089">
        <f t="shared" si="308"/>
        <v>0</v>
      </c>
      <c r="HX23" s="1090">
        <f t="shared" si="309"/>
        <v>0</v>
      </c>
      <c r="HY23" s="1089" t="str">
        <f t="shared" si="310"/>
        <v/>
      </c>
      <c r="HZ23" s="1089">
        <f t="shared" si="311"/>
        <v>0</v>
      </c>
      <c r="IA23" s="1090">
        <f t="shared" si="312"/>
        <v>0</v>
      </c>
      <c r="IB23" s="1089" t="str">
        <f t="shared" si="313"/>
        <v/>
      </c>
      <c r="IC23" s="1089" t="str">
        <f t="shared" si="314"/>
        <v/>
      </c>
      <c r="ID23" s="1090">
        <f t="shared" si="315"/>
        <v>0</v>
      </c>
      <c r="IE23" s="1091" t="str">
        <f t="shared" si="145"/>
        <v/>
      </c>
      <c r="IF23" s="1090">
        <f t="shared" si="316"/>
        <v>0</v>
      </c>
      <c r="IG23" s="1091" t="str">
        <f t="shared" si="147"/>
        <v/>
      </c>
      <c r="IH23" s="1088">
        <f t="shared" si="317"/>
        <v>0</v>
      </c>
      <c r="II23" s="1089" t="str">
        <f t="shared" si="318"/>
        <v/>
      </c>
      <c r="IJ23" s="1089">
        <f t="shared" si="319"/>
        <v>0</v>
      </c>
      <c r="IK23" s="1090">
        <f t="shared" si="320"/>
        <v>0</v>
      </c>
      <c r="IL23" s="1089" t="str">
        <f t="shared" si="321"/>
        <v/>
      </c>
      <c r="IM23" s="1089">
        <f t="shared" si="322"/>
        <v>0</v>
      </c>
      <c r="IN23" s="1090">
        <f t="shared" si="323"/>
        <v>0</v>
      </c>
      <c r="IO23" s="1089" t="str">
        <f t="shared" si="324"/>
        <v/>
      </c>
      <c r="IP23" s="1089">
        <f t="shared" si="325"/>
        <v>0</v>
      </c>
      <c r="IQ23" s="1090">
        <f t="shared" si="326"/>
        <v>0</v>
      </c>
      <c r="IR23" s="1091" t="str">
        <f t="shared" si="1"/>
        <v/>
      </c>
      <c r="IS23" s="1090">
        <f t="shared" si="327"/>
        <v>0</v>
      </c>
      <c r="IT23" s="1091" t="str">
        <f t="shared" si="2"/>
        <v/>
      </c>
    </row>
    <row r="24" collapsed="1">
      <c r="A24" s="1101" t="str">
        <f>IF(C24="","",COUNTA(C$5:C24))</f>
        <v/>
      </c>
      <c r="B24" s="1093" t="s">
        <v>2067</v>
      </c>
      <c r="C24" s="1093"/>
      <c r="D24" s="1093" t="str">
        <f>IF(C24&gt;0,VLOOKUP(C24,DM_DUAN ,2,"") ,IF(B24&gt;0,VLOOKUP(B24,DM_CDT,2,""),""))</f>
        <v>NAM PHONG</v>
      </c>
      <c r="E24" s="1093" t="s">
        <v>187</v>
      </c>
      <c r="F24" s="1093"/>
      <c r="G24" s="1102">
        <v>1.0</v>
      </c>
      <c r="H24" s="1083">
        <f>SUMIF($B25:$B$33,$B24,H25:H$33)</f>
        <v>0</v>
      </c>
      <c r="I24" s="1103" t="str">
        <f t="shared" si="156"/>
        <v/>
      </c>
      <c r="J24" s="1103" t="str">
        <f t="shared" si="157"/>
        <v/>
      </c>
      <c r="K24" s="1083">
        <f>SUMIF($B25:$B$33,$B24,K25:K$33)</f>
        <v>0</v>
      </c>
      <c r="L24" s="1103" t="str">
        <f t="shared" si="158"/>
        <v/>
      </c>
      <c r="M24" s="3"/>
      <c r="N24" s="1083">
        <f>SUMIF($B25:$B$33,$B24,N25:N$33)</f>
        <v>0</v>
      </c>
      <c r="O24" s="1103" t="str">
        <f t="shared" si="159"/>
        <v/>
      </c>
      <c r="P24" s="1103">
        <f t="shared" si="160"/>
        <v>0</v>
      </c>
      <c r="Q24" s="1095">
        <f t="shared" si="161"/>
        <v>0</v>
      </c>
      <c r="R24" s="1104" t="str">
        <f t="shared" si="8"/>
        <v/>
      </c>
      <c r="S24" s="1095">
        <f t="shared" si="162"/>
        <v>0</v>
      </c>
      <c r="T24" s="1104" t="str">
        <f t="shared" si="10"/>
        <v/>
      </c>
      <c r="U24" s="1083">
        <f>SUMIF($B25:$B$33,$B24,U25:U$33)</f>
        <v>0</v>
      </c>
      <c r="V24" s="1103" t="str">
        <f t="shared" si="163"/>
        <v/>
      </c>
      <c r="W24" s="1103" t="str">
        <f t="shared" si="164"/>
        <v/>
      </c>
      <c r="X24" s="1083">
        <f>SUMIF($B25:$B$33,$B24,X25:X$33)</f>
        <v>0</v>
      </c>
      <c r="Y24" s="1103" t="str">
        <f t="shared" si="165"/>
        <v/>
      </c>
      <c r="Z24" s="1103" t="str">
        <f t="shared" si="166"/>
        <v/>
      </c>
      <c r="AA24" s="1083">
        <f>SUMIF($B25:$B$33,$B24,AA25:AA$33)</f>
        <v>0</v>
      </c>
      <c r="AB24" s="1103" t="str">
        <f t="shared" si="167"/>
        <v/>
      </c>
      <c r="AC24" s="1103">
        <f t="shared" si="168"/>
        <v>0</v>
      </c>
      <c r="AD24" s="1095">
        <f t="shared" si="169"/>
        <v>0</v>
      </c>
      <c r="AE24" s="1104" t="str">
        <f t="shared" si="15"/>
        <v/>
      </c>
      <c r="AF24" s="1095">
        <f t="shared" si="170"/>
        <v>0</v>
      </c>
      <c r="AG24" s="1104" t="str">
        <f t="shared" si="17"/>
        <v/>
      </c>
      <c r="AH24" s="1083">
        <f>SUMIF($B25:$B$33,$B24,AH25:AH$33)</f>
        <v>0</v>
      </c>
      <c r="AI24" s="1103" t="str">
        <f t="shared" si="171"/>
        <v/>
      </c>
      <c r="AJ24" s="1103" t="str">
        <f t="shared" si="172"/>
        <v/>
      </c>
      <c r="AK24" s="1083">
        <f>SUMIF($B25:$B$33,$B24,AK25:AK$33)</f>
        <v>0</v>
      </c>
      <c r="AL24" s="1103" t="str">
        <f t="shared" si="173"/>
        <v/>
      </c>
      <c r="AM24" s="1103">
        <f t="shared" si="174"/>
        <v>0</v>
      </c>
      <c r="AN24" s="1083">
        <f>SUMIF($B25:$B$33,$B24,AN25:AN$33)</f>
        <v>0</v>
      </c>
      <c r="AO24" s="1103" t="str">
        <f t="shared" si="175"/>
        <v/>
      </c>
      <c r="AP24" s="1103">
        <f t="shared" si="176"/>
        <v>0</v>
      </c>
      <c r="AQ24" s="1095">
        <f t="shared" si="177"/>
        <v>0</v>
      </c>
      <c r="AR24" s="1104" t="str">
        <f t="shared" si="22"/>
        <v/>
      </c>
      <c r="AS24" s="1095">
        <f t="shared" si="178"/>
        <v>0</v>
      </c>
      <c r="AT24" s="1104" t="str">
        <f t="shared" si="24"/>
        <v/>
      </c>
      <c r="AU24" s="1095">
        <f t="shared" si="179"/>
        <v>0</v>
      </c>
      <c r="AV24" s="1103" t="str">
        <f t="shared" si="180"/>
        <v/>
      </c>
      <c r="AW24" s="1103" t="str">
        <f t="shared" si="181"/>
        <v/>
      </c>
      <c r="AX24" s="1095">
        <f t="shared" si="182"/>
        <v>0</v>
      </c>
      <c r="AY24" s="1103" t="str">
        <f t="shared" si="183"/>
        <v/>
      </c>
      <c r="AZ24" s="1103">
        <f t="shared" si="184"/>
        <v>0</v>
      </c>
      <c r="BA24" s="1105">
        <f t="shared" si="185"/>
        <v>0</v>
      </c>
      <c r="BB24" s="1103" t="str">
        <f t="shared" si="186"/>
        <v/>
      </c>
      <c r="BC24" s="1103">
        <f t="shared" si="187"/>
        <v>0</v>
      </c>
      <c r="BD24" s="1095">
        <f t="shared" si="188"/>
        <v>0</v>
      </c>
      <c r="BE24" s="1104" t="str">
        <f t="shared" si="32"/>
        <v/>
      </c>
      <c r="BF24" s="1095">
        <f t="shared" si="189"/>
        <v>0</v>
      </c>
      <c r="BG24" s="1104" t="str">
        <f t="shared" si="34"/>
        <v/>
      </c>
      <c r="BH24" s="1083">
        <f>SUMIF($B25:$B$33,$B24,BH25:BH$33)</f>
        <v>2400000</v>
      </c>
      <c r="BI24" s="1103" t="str">
        <f t="shared" si="190"/>
        <v/>
      </c>
      <c r="BJ24" s="1103">
        <f t="shared" si="191"/>
        <v>0.6</v>
      </c>
      <c r="BK24" s="1083">
        <f>SUMIF($B25:$B$33,$B24,BK25:BK$33)</f>
        <v>0</v>
      </c>
      <c r="BL24" s="1103" t="str">
        <f t="shared" si="192"/>
        <v/>
      </c>
      <c r="BM24" s="1103" t="str">
        <f t="shared" si="193"/>
        <v/>
      </c>
      <c r="BN24" s="1083">
        <f>SUMIF($B25:$B$33,$B24,BN25:BN$33)</f>
        <v>0</v>
      </c>
      <c r="BO24" s="1103" t="str">
        <f t="shared" si="194"/>
        <v/>
      </c>
      <c r="BP24" s="1103">
        <f t="shared" si="195"/>
        <v>0</v>
      </c>
      <c r="BQ24" s="1095">
        <f t="shared" si="196"/>
        <v>-2400000</v>
      </c>
      <c r="BR24" s="1106">
        <f t="shared" si="39"/>
        <v>-1</v>
      </c>
      <c r="BS24" s="1095">
        <f t="shared" si="197"/>
        <v>0</v>
      </c>
      <c r="BT24" s="1104" t="str">
        <f t="shared" si="41"/>
        <v/>
      </c>
      <c r="BU24" s="1083">
        <f>SUMIF($B25:$B$33,$B24,BU25:BU$33)</f>
        <v>2400000</v>
      </c>
      <c r="BV24" s="1103" t="str">
        <f t="shared" si="198"/>
        <v/>
      </c>
      <c r="BW24" s="1103">
        <f t="shared" si="199"/>
        <v>0.6</v>
      </c>
      <c r="BX24" s="1083">
        <f>SUMIF($B25:$B$33,$B24,BX25:BX$33)</f>
        <v>0</v>
      </c>
      <c r="BY24" s="1103" t="str">
        <f t="shared" si="200"/>
        <v/>
      </c>
      <c r="BZ24" s="1103">
        <f t="shared" si="201"/>
        <v>0</v>
      </c>
      <c r="CA24" s="1083">
        <f>SUMIF($B25:$B$33,$B24,CA25:CA$33)</f>
        <v>0</v>
      </c>
      <c r="CB24" s="1103" t="str">
        <f t="shared" si="202"/>
        <v/>
      </c>
      <c r="CC24" s="1103">
        <f t="shared" si="203"/>
        <v>0</v>
      </c>
      <c r="CD24" s="1095">
        <f t="shared" si="204"/>
        <v>-2400000</v>
      </c>
      <c r="CE24" s="1106">
        <f t="shared" si="46"/>
        <v>-1</v>
      </c>
      <c r="CF24" s="1095">
        <f t="shared" si="205"/>
        <v>0</v>
      </c>
      <c r="CG24" s="1104" t="str">
        <f t="shared" si="48"/>
        <v/>
      </c>
      <c r="CH24" s="1083">
        <f>SUMIF($B25:$B$33,$B24,CH25:CH$33)</f>
        <v>2400000</v>
      </c>
      <c r="CI24" s="1103" t="str">
        <f t="shared" si="206"/>
        <v/>
      </c>
      <c r="CJ24" s="1103">
        <f t="shared" si="207"/>
        <v>0.6</v>
      </c>
      <c r="CK24" s="1083">
        <f>SUMIF($B25:$B$33,$B24,CK25:CK$33)</f>
        <v>0</v>
      </c>
      <c r="CL24" s="1103" t="str">
        <f t="shared" si="208"/>
        <v/>
      </c>
      <c r="CM24" s="1103" t="str">
        <f t="shared" si="209"/>
        <v/>
      </c>
      <c r="CN24" s="1083">
        <f>SUMIF($B25:$B$33,$B24,CN25:CN$33)</f>
        <v>0</v>
      </c>
      <c r="CO24" s="1103" t="str">
        <f t="shared" si="210"/>
        <v/>
      </c>
      <c r="CP24" s="1103" t="str">
        <f t="shared" si="211"/>
        <v/>
      </c>
      <c r="CQ24" s="1095">
        <f t="shared" si="212"/>
        <v>-2400000</v>
      </c>
      <c r="CR24" s="1106">
        <f t="shared" si="53"/>
        <v>-1</v>
      </c>
      <c r="CS24" s="1095">
        <f t="shared" si="213"/>
        <v>0</v>
      </c>
      <c r="CT24" s="1104" t="str">
        <f t="shared" si="55"/>
        <v/>
      </c>
      <c r="CU24" s="1095">
        <f t="shared" si="214"/>
        <v>7200000</v>
      </c>
      <c r="CV24" s="1103" t="str">
        <f t="shared" si="215"/>
        <v/>
      </c>
      <c r="CW24" s="1103">
        <f t="shared" si="216"/>
        <v>0.6</v>
      </c>
      <c r="CX24" s="1095">
        <f t="shared" si="217"/>
        <v>0</v>
      </c>
      <c r="CY24" s="1103" t="str">
        <f t="shared" si="218"/>
        <v/>
      </c>
      <c r="CZ24" s="1103">
        <f t="shared" si="219"/>
        <v>0</v>
      </c>
      <c r="DA24" s="1095">
        <f t="shared" si="220"/>
        <v>0</v>
      </c>
      <c r="DB24" s="1103" t="str">
        <f t="shared" si="221"/>
        <v/>
      </c>
      <c r="DC24" s="1103">
        <f t="shared" si="222"/>
        <v>0</v>
      </c>
      <c r="DD24" s="1095">
        <f t="shared" si="223"/>
        <v>-7200000</v>
      </c>
      <c r="DE24" s="1106">
        <f t="shared" si="63"/>
        <v>-1</v>
      </c>
      <c r="DF24" s="1095">
        <f t="shared" si="224"/>
        <v>0</v>
      </c>
      <c r="DG24" s="1104" t="str">
        <f t="shared" si="65"/>
        <v/>
      </c>
      <c r="DH24" s="1095">
        <f t="shared" si="225"/>
        <v>7200000</v>
      </c>
      <c r="DI24" s="1103" t="str">
        <f t="shared" si="226"/>
        <v/>
      </c>
      <c r="DJ24" s="1103">
        <f t="shared" si="227"/>
        <v>0.6</v>
      </c>
      <c r="DK24" s="1095">
        <f t="shared" si="228"/>
        <v>0</v>
      </c>
      <c r="DL24" s="1103" t="str">
        <f t="shared" si="229"/>
        <v/>
      </c>
      <c r="DM24" s="1103">
        <f t="shared" si="230"/>
        <v>0</v>
      </c>
      <c r="DN24" s="1095">
        <f t="shared" si="231"/>
        <v>0</v>
      </c>
      <c r="DO24" s="1103" t="str">
        <f t="shared" si="232"/>
        <v/>
      </c>
      <c r="DP24" s="1103">
        <f t="shared" si="233"/>
        <v>0</v>
      </c>
      <c r="DQ24" s="1095">
        <f t="shared" si="234"/>
        <v>-7200000</v>
      </c>
      <c r="DR24" s="1106">
        <f t="shared" si="73"/>
        <v>-1</v>
      </c>
      <c r="DS24" s="1095">
        <f t="shared" si="235"/>
        <v>0</v>
      </c>
      <c r="DT24" s="1104" t="str">
        <f t="shared" si="75"/>
        <v/>
      </c>
      <c r="DU24" s="1083">
        <f>SUMIF($B25:$B$33,$B24,DU25:DU$33)</f>
        <v>2400000</v>
      </c>
      <c r="DV24" s="1103" t="str">
        <f t="shared" si="236"/>
        <v/>
      </c>
      <c r="DW24" s="1103">
        <f t="shared" si="237"/>
        <v>0.6</v>
      </c>
      <c r="DX24" s="1083">
        <f>SUMIF($B25:$B$33,$B24,DX25:DX$33)</f>
        <v>4800000</v>
      </c>
      <c r="DY24" s="1103" t="str">
        <f t="shared" si="238"/>
        <v/>
      </c>
      <c r="DZ24" s="1103">
        <f t="shared" si="239"/>
        <v>0.794701992</v>
      </c>
      <c r="EA24" s="1083">
        <f>SUMIF($B25:$B$33,$B24,EA25:EA$33)</f>
        <v>0</v>
      </c>
      <c r="EB24" s="1103" t="str">
        <f t="shared" si="240"/>
        <v/>
      </c>
      <c r="EC24" s="1103" t="str">
        <f t="shared" si="241"/>
        <v/>
      </c>
      <c r="ED24" s="1095">
        <f t="shared" si="242"/>
        <v>-2400000</v>
      </c>
      <c r="EE24" s="1106">
        <f t="shared" si="80"/>
        <v>-1</v>
      </c>
      <c r="EF24" s="1095">
        <f t="shared" si="243"/>
        <v>-4800000</v>
      </c>
      <c r="EG24" s="1106">
        <f t="shared" si="82"/>
        <v>-1</v>
      </c>
      <c r="EH24" s="1083">
        <f>SUMIF($B25:$B$33,$B24,EH25:EH$33)</f>
        <v>2400000</v>
      </c>
      <c r="EI24" s="1103" t="str">
        <f t="shared" si="244"/>
        <v/>
      </c>
      <c r="EJ24" s="1103">
        <f t="shared" si="245"/>
        <v>0.6</v>
      </c>
      <c r="EK24" s="1083">
        <f>SUMIF($B25:$B$33,$B24,EK25:EK$33)</f>
        <v>4800000</v>
      </c>
      <c r="EL24" s="1103" t="str">
        <f t="shared" si="246"/>
        <v/>
      </c>
      <c r="EM24" s="1103">
        <f t="shared" si="247"/>
        <v>0.794701992</v>
      </c>
      <c r="EN24" s="1083">
        <f>SUMIF($B25:$B$33,$B24,EN25:EN$33)</f>
        <v>0</v>
      </c>
      <c r="EO24" s="1103" t="str">
        <f t="shared" si="248"/>
        <v/>
      </c>
      <c r="EP24" s="1103" t="str">
        <f t="shared" si="249"/>
        <v/>
      </c>
      <c r="EQ24" s="1095">
        <f t="shared" si="250"/>
        <v>-2400000</v>
      </c>
      <c r="ER24" s="1106">
        <f t="shared" si="87"/>
        <v>-1</v>
      </c>
      <c r="ES24" s="1095">
        <f t="shared" si="251"/>
        <v>-4800000</v>
      </c>
      <c r="ET24" s="1106">
        <f t="shared" si="89"/>
        <v>-1</v>
      </c>
      <c r="EU24" s="1083">
        <f>SUMIF($B25:$B$33,$B24,EU25:EU$33)</f>
        <v>2400000</v>
      </c>
      <c r="EV24" s="1103" t="str">
        <f t="shared" si="252"/>
        <v/>
      </c>
      <c r="EW24" s="1103">
        <f t="shared" si="253"/>
        <v>0.6</v>
      </c>
      <c r="EX24" s="1083">
        <f>SUMIF($B25:$B$33,$B24,EX25:EX$33)</f>
        <v>4800000</v>
      </c>
      <c r="EY24" s="1103" t="str">
        <f t="shared" si="254"/>
        <v/>
      </c>
      <c r="EZ24" s="1103">
        <f t="shared" si="255"/>
        <v>0.794701992</v>
      </c>
      <c r="FA24" s="1083">
        <f>SUMIF($B25:$B$33,$B24,FA25:FA$33)</f>
        <v>0</v>
      </c>
      <c r="FB24" s="1103" t="str">
        <f t="shared" si="256"/>
        <v/>
      </c>
      <c r="FC24" s="1103" t="str">
        <f t="shared" si="257"/>
        <v/>
      </c>
      <c r="FD24" s="1095">
        <f t="shared" si="258"/>
        <v>-2400000</v>
      </c>
      <c r="FE24" s="1106">
        <f t="shared" si="94"/>
        <v>-1</v>
      </c>
      <c r="FF24" s="1095">
        <f t="shared" si="259"/>
        <v>-4800000</v>
      </c>
      <c r="FG24" s="1106">
        <f t="shared" si="96"/>
        <v>-1</v>
      </c>
      <c r="FH24" s="1095">
        <f t="shared" si="260"/>
        <v>7200000</v>
      </c>
      <c r="FI24" s="1103" t="str">
        <f t="shared" si="261"/>
        <v/>
      </c>
      <c r="FJ24" s="1103">
        <f t="shared" si="262"/>
        <v>0.6</v>
      </c>
      <c r="FK24" s="1095">
        <f t="shared" si="263"/>
        <v>14400000</v>
      </c>
      <c r="FL24" s="1103" t="str">
        <f t="shared" si="264"/>
        <v/>
      </c>
      <c r="FM24" s="1103">
        <f t="shared" si="265"/>
        <v>0.794701992</v>
      </c>
      <c r="FN24" s="1095">
        <f t="shared" si="266"/>
        <v>0</v>
      </c>
      <c r="FO24" s="1103" t="str">
        <f t="shared" si="267"/>
        <v/>
      </c>
      <c r="FP24" s="1103" t="str">
        <f t="shared" si="268"/>
        <v/>
      </c>
      <c r="FQ24" s="1095">
        <f t="shared" si="269"/>
        <v>-7200000</v>
      </c>
      <c r="FR24" s="1106">
        <f t="shared" si="104"/>
        <v>-1</v>
      </c>
      <c r="FS24" s="1095">
        <f t="shared" si="270"/>
        <v>-14400000</v>
      </c>
      <c r="FT24" s="1106">
        <f t="shared" si="106"/>
        <v>-1</v>
      </c>
      <c r="FU24" s="1083">
        <f>SUMIF($B25:$B$33,$B24,FU25:FU$33)</f>
        <v>2400000</v>
      </c>
      <c r="FV24" s="1103" t="str">
        <f t="shared" si="271"/>
        <v/>
      </c>
      <c r="FW24" s="1103">
        <f t="shared" si="272"/>
        <v>0.6</v>
      </c>
      <c r="FX24" s="1083">
        <f>SUMIF($B25:$B$33,$B24,FX25:FX$33)</f>
        <v>4800000</v>
      </c>
      <c r="FY24" s="1103" t="str">
        <f t="shared" si="273"/>
        <v/>
      </c>
      <c r="FZ24" s="1103">
        <f t="shared" si="274"/>
        <v>0.794701992</v>
      </c>
      <c r="GA24" s="1083">
        <f>SUMIF($B25:$B$33,$B24,GA25:GA$33)</f>
        <v>0</v>
      </c>
      <c r="GB24" s="1103" t="str">
        <f t="shared" si="275"/>
        <v/>
      </c>
      <c r="GC24" s="1103" t="str">
        <f t="shared" si="276"/>
        <v/>
      </c>
      <c r="GD24" s="1095">
        <f t="shared" si="277"/>
        <v>-2400000</v>
      </c>
      <c r="GE24" s="1106">
        <f t="shared" si="111"/>
        <v>-1</v>
      </c>
      <c r="GF24" s="1095">
        <f t="shared" si="278"/>
        <v>-4800000</v>
      </c>
      <c r="GG24" s="1106">
        <f t="shared" si="113"/>
        <v>-1</v>
      </c>
      <c r="GH24" s="1083">
        <f>SUMIF($B25:$B$33,$B24,GH25:GH$33)</f>
        <v>2400000</v>
      </c>
      <c r="GI24" s="1103" t="str">
        <f t="shared" si="279"/>
        <v/>
      </c>
      <c r="GJ24" s="1103">
        <f t="shared" si="280"/>
        <v>0.6</v>
      </c>
      <c r="GK24" s="1083">
        <f>SUMIF($B25:$B$33,$B24,GK25:GK$33)</f>
        <v>4800000</v>
      </c>
      <c r="GL24" s="1103" t="str">
        <f t="shared" si="281"/>
        <v/>
      </c>
      <c r="GM24" s="1103">
        <f t="shared" si="282"/>
        <v>0.794701992</v>
      </c>
      <c r="GN24" s="1083">
        <f>SUMIF($B25:$B$33,$B24,GN25:GN$33)</f>
        <v>0</v>
      </c>
      <c r="GO24" s="1103" t="str">
        <f t="shared" si="283"/>
        <v/>
      </c>
      <c r="GP24" s="1103" t="str">
        <f t="shared" si="284"/>
        <v/>
      </c>
      <c r="GQ24" s="1095">
        <f t="shared" si="285"/>
        <v>-2400000</v>
      </c>
      <c r="GR24" s="1106">
        <f t="shared" si="118"/>
        <v>-1</v>
      </c>
      <c r="GS24" s="1095">
        <f t="shared" si="286"/>
        <v>-4800000</v>
      </c>
      <c r="GT24" s="1106">
        <f t="shared" si="120"/>
        <v>-1</v>
      </c>
      <c r="GU24" s="1083">
        <f>SUMIF($B25:$B$33,$B24,GU25:GU$33)</f>
        <v>2400000</v>
      </c>
      <c r="GV24" s="1103" t="str">
        <f t="shared" si="287"/>
        <v/>
      </c>
      <c r="GW24" s="1103">
        <f t="shared" si="288"/>
        <v>0.6</v>
      </c>
      <c r="GX24" s="1083">
        <f>SUMIF($B25:$B$33,$B24,GX25:GX$33)</f>
        <v>4800000</v>
      </c>
      <c r="GY24" s="1103" t="str">
        <f t="shared" si="289"/>
        <v/>
      </c>
      <c r="GZ24" s="1103">
        <f t="shared" si="290"/>
        <v>0.794701992</v>
      </c>
      <c r="HA24" s="1083">
        <f>SUMIF($B25:$B$33,$B24,HA25:HA$33)</f>
        <v>0</v>
      </c>
      <c r="HB24" s="1103" t="str">
        <f t="shared" si="291"/>
        <v/>
      </c>
      <c r="HC24" s="1103" t="str">
        <f t="shared" si="292"/>
        <v/>
      </c>
      <c r="HD24" s="1095">
        <f t="shared" si="293"/>
        <v>-2400000</v>
      </c>
      <c r="HE24" s="1106">
        <f t="shared" si="125"/>
        <v>-1</v>
      </c>
      <c r="HF24" s="1095">
        <f t="shared" si="294"/>
        <v>-4800000</v>
      </c>
      <c r="HG24" s="1106">
        <f t="shared" si="127"/>
        <v>-1</v>
      </c>
      <c r="HH24" s="1095">
        <f t="shared" si="295"/>
        <v>7200000</v>
      </c>
      <c r="HI24" s="1103" t="str">
        <f t="shared" si="296"/>
        <v/>
      </c>
      <c r="HJ24" s="1103">
        <f t="shared" si="297"/>
        <v>0.6</v>
      </c>
      <c r="HK24" s="1095">
        <f t="shared" si="298"/>
        <v>14400000</v>
      </c>
      <c r="HL24" s="1103" t="str">
        <f t="shared" si="299"/>
        <v/>
      </c>
      <c r="HM24" s="1103">
        <f t="shared" si="300"/>
        <v>0.794701992</v>
      </c>
      <c r="HN24" s="1095">
        <f t="shared" si="301"/>
        <v>0</v>
      </c>
      <c r="HO24" s="1103" t="str">
        <f t="shared" si="302"/>
        <v/>
      </c>
      <c r="HP24" s="1103" t="str">
        <f t="shared" si="303"/>
        <v/>
      </c>
      <c r="HQ24" s="1095">
        <f t="shared" si="304"/>
        <v>-7200000</v>
      </c>
      <c r="HR24" s="1106">
        <f t="shared" si="135"/>
        <v>-1</v>
      </c>
      <c r="HS24" s="1095">
        <f t="shared" si="305"/>
        <v>-14400000</v>
      </c>
      <c r="HT24" s="1106">
        <f t="shared" si="137"/>
        <v>-1</v>
      </c>
      <c r="HU24" s="1095">
        <f t="shared" si="306"/>
        <v>14400000</v>
      </c>
      <c r="HV24" s="1103" t="str">
        <f t="shared" si="307"/>
        <v/>
      </c>
      <c r="HW24" s="1103">
        <f t="shared" si="308"/>
        <v>0.6</v>
      </c>
      <c r="HX24" s="1095">
        <f t="shared" si="309"/>
        <v>28800000</v>
      </c>
      <c r="HY24" s="1103" t="str">
        <f t="shared" si="310"/>
        <v/>
      </c>
      <c r="HZ24" s="1103">
        <f t="shared" si="311"/>
        <v>0.794701992</v>
      </c>
      <c r="IA24" s="1095">
        <f t="shared" si="312"/>
        <v>0</v>
      </c>
      <c r="IB24" s="1103" t="str">
        <f t="shared" si="313"/>
        <v/>
      </c>
      <c r="IC24" s="1103" t="str">
        <f t="shared" si="314"/>
        <v/>
      </c>
      <c r="ID24" s="1095">
        <f t="shared" si="315"/>
        <v>-14400000</v>
      </c>
      <c r="IE24" s="1106">
        <f t="shared" si="145"/>
        <v>-1</v>
      </c>
      <c r="IF24" s="1095">
        <f t="shared" si="316"/>
        <v>-28800000</v>
      </c>
      <c r="IG24" s="1106">
        <f t="shared" si="147"/>
        <v>-1</v>
      </c>
      <c r="IH24" s="1095">
        <f t="shared" si="317"/>
        <v>21600000</v>
      </c>
      <c r="II24" s="1103" t="str">
        <f t="shared" si="318"/>
        <v/>
      </c>
      <c r="IJ24" s="1103">
        <f t="shared" si="319"/>
        <v>0.6</v>
      </c>
      <c r="IK24" s="1095">
        <f t="shared" si="320"/>
        <v>28800000</v>
      </c>
      <c r="IL24" s="1103" t="str">
        <f t="shared" si="321"/>
        <v/>
      </c>
      <c r="IM24" s="1103">
        <f t="shared" si="322"/>
        <v>0.6947383373</v>
      </c>
      <c r="IN24" s="1095">
        <f t="shared" si="323"/>
        <v>0</v>
      </c>
      <c r="IO24" s="1103" t="str">
        <f t="shared" si="324"/>
        <v/>
      </c>
      <c r="IP24" s="1103">
        <f t="shared" si="325"/>
        <v>0</v>
      </c>
      <c r="IQ24" s="1095">
        <f t="shared" si="326"/>
        <v>-21600000</v>
      </c>
      <c r="IR24" s="1106">
        <f t="shared" si="1"/>
        <v>-1</v>
      </c>
      <c r="IS24" s="1095">
        <f t="shared" si="327"/>
        <v>-28800000</v>
      </c>
      <c r="IT24" s="1106">
        <f t="shared" si="2"/>
        <v>-1</v>
      </c>
    </row>
    <row r="25" hidden="1" outlineLevel="1">
      <c r="A25" s="1086">
        <f>IF(C25="","",COUNTA(C$20:C25))</f>
        <v>4</v>
      </c>
      <c r="B25" s="1087" t="s">
        <v>2067</v>
      </c>
      <c r="C25" s="1087" t="s">
        <v>2067</v>
      </c>
      <c r="D25" s="1087" t="str">
        <f>IF(C25&gt;0,VLOOKUP(C25,DM_DUAN ,2,"") ,IF(B25&gt;0,VLOOKUP(B25,DM_CDT,2,""),""))</f>
        <v>NAM PHONG</v>
      </c>
      <c r="E25" s="1087" t="s">
        <v>187</v>
      </c>
      <c r="F25" s="1087"/>
      <c r="G25" s="1086">
        <v>2.0</v>
      </c>
      <c r="H25" s="1088">
        <f>SUMIFS(BP_SOTIEN,BP_DA,$C25,BP_THANG,H$2,BP_KM,$E25)/1000</f>
        <v>0</v>
      </c>
      <c r="I25" s="1089" t="str">
        <f t="shared" si="156"/>
        <v/>
      </c>
      <c r="J25" s="1089" t="str">
        <f t="shared" si="157"/>
        <v/>
      </c>
      <c r="K25" s="1090">
        <f>IF(NOW()&gt;=DATE(YEAR(H$2),MONTH(H$2)+1,DAY(H$2)),SUMIFS(TF_SOTIEN,TF_DA,$C25,TF_THANG,H$2,TF_KM,$E25)/1000, N25)</f>
        <v>0</v>
      </c>
      <c r="L25" s="1089" t="str">
        <f t="shared" si="158"/>
        <v/>
      </c>
      <c r="M25" s="1089">
        <f>IFERROR(K25/K$19,"")</f>
        <v>0</v>
      </c>
      <c r="N25" s="1090">
        <f>IF(NOW()&gt;=DATE(YEAR(H$2),MONTH(H$2)+1,DAY(H$2)),SUMIFS(AC_SOTIEN,AC_DA,$C25,AC_THANG,H$2,AC_KM,$E25),SUMIFS(TF_SOTIEN,TF_DA,$C25,TF_THANG,H$2,TF_KM,$E25))/ 1000</f>
        <v>0</v>
      </c>
      <c r="O25" s="1089" t="str">
        <f t="shared" si="159"/>
        <v/>
      </c>
      <c r="P25" s="1089">
        <f t="shared" si="160"/>
        <v>0</v>
      </c>
      <c r="Q25" s="1090">
        <f t="shared" si="161"/>
        <v>0</v>
      </c>
      <c r="R25" s="1091" t="str">
        <f t="shared" si="8"/>
        <v/>
      </c>
      <c r="S25" s="1090">
        <f t="shared" si="162"/>
        <v>0</v>
      </c>
      <c r="T25" s="1091" t="str">
        <f t="shared" si="10"/>
        <v/>
      </c>
      <c r="U25" s="1088">
        <f>SUMIFS(BP_SOTIEN,BP_DA,$C25,BP_THANG,U$2,BP_KM,$E25)/1000</f>
        <v>0</v>
      </c>
      <c r="V25" s="1089" t="str">
        <f t="shared" si="163"/>
        <v/>
      </c>
      <c r="W25" s="1089" t="str">
        <f t="shared" si="164"/>
        <v/>
      </c>
      <c r="X25" s="1090">
        <f>IF(NOW()&gt;=DATE(YEAR(U$2),MONTH(U$2)+1,DAY(U$2)),SUMIFS(TF_SOTIEN,TF_DA,$C25,TF_THANG,U$2,TF_KM,$E25)/1000, AA25)</f>
        <v>0</v>
      </c>
      <c r="Y25" s="1089" t="str">
        <f t="shared" si="165"/>
        <v/>
      </c>
      <c r="Z25" s="1089" t="str">
        <f t="shared" si="166"/>
        <v/>
      </c>
      <c r="AA25" s="1090">
        <f>IF(NOW()&gt;=DATE(YEAR(U$2),MONTH(U$2)+1,DAY(U$2)),SUMIFS(AC_SOTIEN,AC_DA,$C25,AC_THANG,U$2,AC_KM,$E25),SUMIFS(TF_SOTIEN,TF_DA,$C25,TF_THANG,U$2,TF_KM,$E25))/ 1000</f>
        <v>0</v>
      </c>
      <c r="AB25" s="1089" t="str">
        <f t="shared" si="167"/>
        <v/>
      </c>
      <c r="AC25" s="1089">
        <f t="shared" si="168"/>
        <v>0</v>
      </c>
      <c r="AD25" s="1090">
        <f t="shared" si="169"/>
        <v>0</v>
      </c>
      <c r="AE25" s="1091" t="str">
        <f t="shared" si="15"/>
        <v/>
      </c>
      <c r="AF25" s="1090">
        <f t="shared" si="170"/>
        <v>0</v>
      </c>
      <c r="AG25" s="1091" t="str">
        <f t="shared" si="17"/>
        <v/>
      </c>
      <c r="AH25" s="1088">
        <f>SUMIFS(BP_SOTIEN,BP_DA,$C25,BP_THANG,AH$2,BP_KM,$E25)/1000</f>
        <v>0</v>
      </c>
      <c r="AI25" s="1089" t="str">
        <f t="shared" si="171"/>
        <v/>
      </c>
      <c r="AJ25" s="1089" t="str">
        <f t="shared" si="172"/>
        <v/>
      </c>
      <c r="AK25" s="1090">
        <f>IF(NOW()&gt;=DATE(YEAR(AH$2),MONTH(AH$2)+1,DAY(AH$2)),SUMIFS(TF_SOTIEN,TF_DA,$C25,TF_THANG,AH$2,TF_KM,$E25)/1000, AN25)</f>
        <v>0</v>
      </c>
      <c r="AL25" s="1089" t="str">
        <f t="shared" si="173"/>
        <v/>
      </c>
      <c r="AM25" s="1089">
        <f t="shared" si="174"/>
        <v>0</v>
      </c>
      <c r="AN25" s="1090">
        <f>IF(NOW()&gt;=DATE(YEAR(AH$2),MONTH(AH$2)+1,DAY(AH$2)),SUMIFS(AC_SOTIEN,AC_DA,$C25,AC_THANG,AH$2,AC_KM,$E25),SUMIFS(TF_SOTIEN,TF_DA,$C25,TF_THANG,AH$2,TF_KM,$E25))/ 1000</f>
        <v>0</v>
      </c>
      <c r="AO25" s="1089" t="str">
        <f t="shared" si="175"/>
        <v/>
      </c>
      <c r="AP25" s="1089">
        <f t="shared" si="176"/>
        <v>0</v>
      </c>
      <c r="AQ25" s="1090">
        <f t="shared" si="177"/>
        <v>0</v>
      </c>
      <c r="AR25" s="1091" t="str">
        <f t="shared" si="22"/>
        <v/>
      </c>
      <c r="AS25" s="1090">
        <f t="shared" si="178"/>
        <v>0</v>
      </c>
      <c r="AT25" s="1091" t="str">
        <f t="shared" si="24"/>
        <v/>
      </c>
      <c r="AU25" s="1088">
        <f t="shared" si="179"/>
        <v>0</v>
      </c>
      <c r="AV25" s="1089" t="str">
        <f t="shared" si="180"/>
        <v/>
      </c>
      <c r="AW25" s="1089" t="str">
        <f t="shared" si="181"/>
        <v/>
      </c>
      <c r="AX25" s="1090">
        <f t="shared" si="182"/>
        <v>0</v>
      </c>
      <c r="AY25" s="1089" t="str">
        <f t="shared" si="183"/>
        <v/>
      </c>
      <c r="AZ25" s="1089">
        <f t="shared" si="184"/>
        <v>0</v>
      </c>
      <c r="BA25" s="1090">
        <f t="shared" si="185"/>
        <v>0</v>
      </c>
      <c r="BB25" s="1089" t="str">
        <f t="shared" si="186"/>
        <v/>
      </c>
      <c r="BC25" s="1089">
        <f t="shared" si="187"/>
        <v>0</v>
      </c>
      <c r="BD25" s="1090">
        <f t="shared" si="188"/>
        <v>0</v>
      </c>
      <c r="BE25" s="1091" t="str">
        <f t="shared" si="32"/>
        <v/>
      </c>
      <c r="BF25" s="1090">
        <f t="shared" si="189"/>
        <v>0</v>
      </c>
      <c r="BG25" s="1091" t="str">
        <f t="shared" si="34"/>
        <v/>
      </c>
      <c r="BH25" s="1088">
        <f>SUMIFS(BP_SOTIEN,BP_DA,$C25,BP_THANG,BH$2,BP_KM,$E25)/1000</f>
        <v>2400000</v>
      </c>
      <c r="BI25" s="1089">
        <f t="shared" si="190"/>
        <v>0.12</v>
      </c>
      <c r="BJ25" s="1089">
        <f t="shared" si="191"/>
        <v>0.6</v>
      </c>
      <c r="BK25" s="1090">
        <f>IF(NOW()&gt;=DATE(YEAR(BH$2),MONTH(BH$2)+1,DAY(BH$2)),SUMIFS(TF_SOTIEN,TF_DA,$C25,TF_THANG,BH$2,TF_KM,$E25)/1000, BN25)</f>
        <v>0</v>
      </c>
      <c r="BL25" s="1089" t="str">
        <f t="shared" si="192"/>
        <v/>
      </c>
      <c r="BM25" s="1089" t="str">
        <f t="shared" si="193"/>
        <v/>
      </c>
      <c r="BN25" s="1090">
        <f>IF(NOW()&gt;=DATE(YEAR(BH$2),MONTH(BH$2)+1,DAY(BH$2)),SUMIFS(AC_SOTIEN,AC_DA,$C25,AC_THANG,BH$2,AC_KM,$E25),SUMIFS(TF_SOTIEN,TF_DA,$C25,TF_THANG,BH$2,TF_KM,$E25))/ 1000</f>
        <v>0</v>
      </c>
      <c r="BO25" s="1089" t="str">
        <f t="shared" si="194"/>
        <v/>
      </c>
      <c r="BP25" s="1089">
        <f t="shared" si="195"/>
        <v>0</v>
      </c>
      <c r="BQ25" s="1090">
        <f t="shared" si="196"/>
        <v>-2400000</v>
      </c>
      <c r="BR25" s="1091">
        <f t="shared" si="39"/>
        <v>-1</v>
      </c>
      <c r="BS25" s="1090">
        <f t="shared" si="197"/>
        <v>0</v>
      </c>
      <c r="BT25" s="1091" t="str">
        <f t="shared" si="41"/>
        <v/>
      </c>
      <c r="BU25" s="1088">
        <f>SUMIFS(BP_SOTIEN,BP_DA,$C25,BP_THANG,BU$2,BP_KM,$E25)/1000</f>
        <v>2400000</v>
      </c>
      <c r="BV25" s="1089">
        <f t="shared" si="198"/>
        <v>0.12</v>
      </c>
      <c r="BW25" s="1089">
        <f t="shared" si="199"/>
        <v>0.6</v>
      </c>
      <c r="BX25" s="1090">
        <f>IF(NOW()&gt;=DATE(YEAR(BU$2),MONTH(BU$2)+1,DAY(BU$2)),SUMIFS(TF_SOTIEN,TF_DA,$C25,TF_THANG,BU$2,TF_KM,$E25)/1000, CA25)</f>
        <v>0</v>
      </c>
      <c r="BY25" s="1089" t="str">
        <f t="shared" si="200"/>
        <v/>
      </c>
      <c r="BZ25" s="1089">
        <f t="shared" si="201"/>
        <v>0</v>
      </c>
      <c r="CA25" s="1090">
        <f>IF(NOW()&gt;=DATE(YEAR(BU$2),MONTH(BU$2)+1,DAY(BU$2)),SUMIFS(AC_SOTIEN,AC_DA,$C25,AC_THANG,BU$2,AC_KM,$E25),SUMIFS(TF_SOTIEN,TF_DA,$C25,TF_THANG,BU$2,TF_KM,$E25))/ 1000</f>
        <v>0</v>
      </c>
      <c r="CB25" s="1089" t="str">
        <f t="shared" si="202"/>
        <v/>
      </c>
      <c r="CC25" s="1089">
        <f t="shared" si="203"/>
        <v>0</v>
      </c>
      <c r="CD25" s="1090">
        <f t="shared" si="204"/>
        <v>-2400000</v>
      </c>
      <c r="CE25" s="1091">
        <f t="shared" si="46"/>
        <v>-1</v>
      </c>
      <c r="CF25" s="1090">
        <f t="shared" si="205"/>
        <v>0</v>
      </c>
      <c r="CG25" s="1091" t="str">
        <f t="shared" si="48"/>
        <v/>
      </c>
      <c r="CH25" s="1088">
        <f>SUMIFS(BP_SOTIEN,BP_DA,$C25,BP_THANG,CH$2,BP_KM,$E25)/1000</f>
        <v>2400000</v>
      </c>
      <c r="CI25" s="1089">
        <f t="shared" si="206"/>
        <v>0.12</v>
      </c>
      <c r="CJ25" s="1089">
        <f t="shared" si="207"/>
        <v>0.6</v>
      </c>
      <c r="CK25" s="1090">
        <f>IF(NOW()&gt;=DATE(YEAR(CH$2),MONTH(CH$2)+1,DAY(CH$2)),SUMIFS(TF_SOTIEN,TF_DA,$C25,TF_THANG,CH$2,TF_KM,$E25)/1000, CN25)</f>
        <v>0</v>
      </c>
      <c r="CL25" s="1089" t="str">
        <f t="shared" si="208"/>
        <v/>
      </c>
      <c r="CM25" s="1089" t="str">
        <f t="shared" si="209"/>
        <v/>
      </c>
      <c r="CN25" s="1090">
        <f>IF(NOW()&gt;=DATE(YEAR(CH$2),MONTH(CH$2)+1,DAY(CH$2)),SUMIFS(AC_SOTIEN,AC_DA,$C25,AC_THANG,CH$2,AC_KM,$E25),SUMIFS(TF_SOTIEN,TF_DA,$C25,TF_THANG,CH$2,TF_KM,$E25))/ 1000</f>
        <v>0</v>
      </c>
      <c r="CO25" s="1089" t="str">
        <f t="shared" si="210"/>
        <v/>
      </c>
      <c r="CP25" s="1089" t="str">
        <f t="shared" si="211"/>
        <v/>
      </c>
      <c r="CQ25" s="1090">
        <f t="shared" si="212"/>
        <v>-2400000</v>
      </c>
      <c r="CR25" s="1091">
        <f t="shared" si="53"/>
        <v>-1</v>
      </c>
      <c r="CS25" s="1090">
        <f t="shared" si="213"/>
        <v>0</v>
      </c>
      <c r="CT25" s="1091" t="str">
        <f t="shared" si="55"/>
        <v/>
      </c>
      <c r="CU25" s="1088">
        <f t="shared" si="214"/>
        <v>7200000</v>
      </c>
      <c r="CV25" s="1089">
        <f t="shared" si="215"/>
        <v>0.12</v>
      </c>
      <c r="CW25" s="1089">
        <f t="shared" si="216"/>
        <v>0.6</v>
      </c>
      <c r="CX25" s="1090">
        <f t="shared" si="217"/>
        <v>0</v>
      </c>
      <c r="CY25" s="1089" t="str">
        <f t="shared" si="218"/>
        <v/>
      </c>
      <c r="CZ25" s="1089">
        <f t="shared" si="219"/>
        <v>0</v>
      </c>
      <c r="DA25" s="1090">
        <f t="shared" si="220"/>
        <v>0</v>
      </c>
      <c r="DB25" s="1089" t="str">
        <f t="shared" si="221"/>
        <v/>
      </c>
      <c r="DC25" s="1089">
        <f t="shared" si="222"/>
        <v>0</v>
      </c>
      <c r="DD25" s="1090">
        <f t="shared" si="223"/>
        <v>-7200000</v>
      </c>
      <c r="DE25" s="1091">
        <f t="shared" si="63"/>
        <v>-1</v>
      </c>
      <c r="DF25" s="1090">
        <f t="shared" si="224"/>
        <v>0</v>
      </c>
      <c r="DG25" s="1091" t="str">
        <f t="shared" si="65"/>
        <v/>
      </c>
      <c r="DH25" s="1088">
        <f t="shared" si="225"/>
        <v>7200000</v>
      </c>
      <c r="DI25" s="1089">
        <f t="shared" si="226"/>
        <v>0.12</v>
      </c>
      <c r="DJ25" s="1089">
        <f t="shared" si="227"/>
        <v>0.6</v>
      </c>
      <c r="DK25" s="1090">
        <f t="shared" si="228"/>
        <v>0</v>
      </c>
      <c r="DL25" s="1089" t="str">
        <f t="shared" si="229"/>
        <v/>
      </c>
      <c r="DM25" s="1089">
        <f t="shared" si="230"/>
        <v>0</v>
      </c>
      <c r="DN25" s="1090">
        <f t="shared" si="231"/>
        <v>0</v>
      </c>
      <c r="DO25" s="1089" t="str">
        <f t="shared" si="232"/>
        <v/>
      </c>
      <c r="DP25" s="1089">
        <f t="shared" si="233"/>
        <v>0</v>
      </c>
      <c r="DQ25" s="1090">
        <f t="shared" si="234"/>
        <v>-7200000</v>
      </c>
      <c r="DR25" s="1091">
        <f t="shared" si="73"/>
        <v>-1</v>
      </c>
      <c r="DS25" s="1090">
        <f t="shared" si="235"/>
        <v>0</v>
      </c>
      <c r="DT25" s="1091" t="str">
        <f t="shared" si="75"/>
        <v/>
      </c>
      <c r="DU25" s="1088">
        <f>SUMIFS(BP_SOTIEN,BP_DA,$C25,BP_THANG,DU$2,BP_KM,$E25)/1000</f>
        <v>2400000</v>
      </c>
      <c r="DV25" s="1089">
        <f t="shared" si="236"/>
        <v>0.12</v>
      </c>
      <c r="DW25" s="1089">
        <f t="shared" si="237"/>
        <v>0.6</v>
      </c>
      <c r="DX25" s="1090">
        <f>IF(NOW()&gt;=DATE(YEAR(DU$2),MONTH(DU$2)+1,DAY(DU$2)),SUMIFS(TF_SOTIEN,TF_DA,$C25,TF_THANG,DU$2,TF_KM,$E25)/1000, EA25)</f>
        <v>4800000</v>
      </c>
      <c r="DY25" s="1089">
        <f t="shared" si="238"/>
        <v>0.12</v>
      </c>
      <c r="DZ25" s="1089">
        <f t="shared" si="239"/>
        <v>0.794701992</v>
      </c>
      <c r="EA25" s="1090">
        <f>IF(NOW()&gt;=DATE(YEAR(DU$2),MONTH(DU$2)+1,DAY(DU$2)),SUMIFS(AC_SOTIEN,AC_DA,$C25,AC_THANG,DU$2,AC_KM,$E25),SUMIFS(TF_SOTIEN,TF_DA,$C25,TF_THANG,DU$2,TF_KM,$E25))/ 1000</f>
        <v>0</v>
      </c>
      <c r="EB25" s="1089" t="str">
        <f t="shared" si="240"/>
        <v/>
      </c>
      <c r="EC25" s="1089" t="str">
        <f t="shared" si="241"/>
        <v/>
      </c>
      <c r="ED25" s="1090">
        <f t="shared" si="242"/>
        <v>-2400000</v>
      </c>
      <c r="EE25" s="1091">
        <f t="shared" si="80"/>
        <v>-1</v>
      </c>
      <c r="EF25" s="1090">
        <f t="shared" si="243"/>
        <v>-4800000</v>
      </c>
      <c r="EG25" s="1091">
        <f t="shared" si="82"/>
        <v>-1</v>
      </c>
      <c r="EH25" s="1088">
        <f>SUMIFS(BP_SOTIEN,BP_DA,$C25,BP_THANG,EH$2,BP_KM,$E25)/1000</f>
        <v>2400000</v>
      </c>
      <c r="EI25" s="1089">
        <f t="shared" si="244"/>
        <v>0.12</v>
      </c>
      <c r="EJ25" s="1089">
        <f t="shared" si="245"/>
        <v>0.6</v>
      </c>
      <c r="EK25" s="1090">
        <f>IF(NOW()&gt;=DATE(YEAR(EH$2),MONTH(EH$2)+1,DAY(EH$2)),SUMIFS(TF_SOTIEN,TF_DA,$C25,TF_THANG,EH$2,TF_KM,$E25)/1000, EN25)</f>
        <v>4800000</v>
      </c>
      <c r="EL25" s="1089">
        <f t="shared" si="246"/>
        <v>0.12</v>
      </c>
      <c r="EM25" s="1089">
        <f t="shared" si="247"/>
        <v>0.794701992</v>
      </c>
      <c r="EN25" s="1090">
        <f>IF(NOW()&gt;=DATE(YEAR(EH$2),MONTH(EH$2)+1,DAY(EH$2)),SUMIFS(AC_SOTIEN,AC_DA,$C25,AC_THANG,EH$2,AC_KM,$E25),SUMIFS(TF_SOTIEN,TF_DA,$C25,TF_THANG,EH$2,TF_KM,$E25))/ 1000</f>
        <v>0</v>
      </c>
      <c r="EO25" s="1089" t="str">
        <f t="shared" si="248"/>
        <v/>
      </c>
      <c r="EP25" s="1089" t="str">
        <f t="shared" si="249"/>
        <v/>
      </c>
      <c r="EQ25" s="1090">
        <f t="shared" si="250"/>
        <v>-2400000</v>
      </c>
      <c r="ER25" s="1091">
        <f t="shared" si="87"/>
        <v>-1</v>
      </c>
      <c r="ES25" s="1090">
        <f t="shared" si="251"/>
        <v>-4800000</v>
      </c>
      <c r="ET25" s="1091">
        <f t="shared" si="89"/>
        <v>-1</v>
      </c>
      <c r="EU25" s="1088">
        <f>SUMIFS(BP_SOTIEN,BP_DA,$C25,BP_THANG,EU$2,BP_KM,$E25)/1000</f>
        <v>2400000</v>
      </c>
      <c r="EV25" s="1089">
        <f t="shared" si="252"/>
        <v>0.12</v>
      </c>
      <c r="EW25" s="1089">
        <f t="shared" si="253"/>
        <v>0.6</v>
      </c>
      <c r="EX25" s="1090">
        <f>IF(NOW()&gt;=DATE(YEAR(EU$2),MONTH(EU$2)+1,DAY(EU$2)),SUMIFS(TF_SOTIEN,TF_DA,$C25,TF_THANG,EU$2,TF_KM,$E25)/1000, FA25)</f>
        <v>4800000</v>
      </c>
      <c r="EY25" s="1089">
        <f t="shared" si="254"/>
        <v>0.12</v>
      </c>
      <c r="EZ25" s="1089">
        <f t="shared" si="255"/>
        <v>0.794701992</v>
      </c>
      <c r="FA25" s="1090">
        <f>IF(NOW()&gt;=DATE(YEAR(EU$2),MONTH(EU$2)+1,DAY(EU$2)),SUMIFS(AC_SOTIEN,AC_DA,$C25,AC_THANG,EU$2,AC_KM,$E25),SUMIFS(TF_SOTIEN,TF_DA,$C25,TF_THANG,EU$2,TF_KM,$E25))/ 1000</f>
        <v>0</v>
      </c>
      <c r="FB25" s="1089" t="str">
        <f t="shared" si="256"/>
        <v/>
      </c>
      <c r="FC25" s="1089" t="str">
        <f t="shared" si="257"/>
        <v/>
      </c>
      <c r="FD25" s="1090">
        <f t="shared" si="258"/>
        <v>-2400000</v>
      </c>
      <c r="FE25" s="1091">
        <f t="shared" si="94"/>
        <v>-1</v>
      </c>
      <c r="FF25" s="1090">
        <f t="shared" si="259"/>
        <v>-4800000</v>
      </c>
      <c r="FG25" s="1091">
        <f t="shared" si="96"/>
        <v>-1</v>
      </c>
      <c r="FH25" s="1088">
        <f t="shared" si="260"/>
        <v>7200000</v>
      </c>
      <c r="FI25" s="1089">
        <f t="shared" si="261"/>
        <v>0.12</v>
      </c>
      <c r="FJ25" s="1089">
        <f t="shared" si="262"/>
        <v>0.6</v>
      </c>
      <c r="FK25" s="1090">
        <f t="shared" si="263"/>
        <v>14400000</v>
      </c>
      <c r="FL25" s="1089">
        <f t="shared" si="264"/>
        <v>0.12</v>
      </c>
      <c r="FM25" s="1089">
        <f t="shared" si="265"/>
        <v>0.794701992</v>
      </c>
      <c r="FN25" s="1090">
        <f t="shared" si="266"/>
        <v>0</v>
      </c>
      <c r="FO25" s="1089" t="str">
        <f t="shared" si="267"/>
        <v/>
      </c>
      <c r="FP25" s="1089" t="str">
        <f t="shared" si="268"/>
        <v/>
      </c>
      <c r="FQ25" s="1090">
        <f t="shared" si="269"/>
        <v>-7200000</v>
      </c>
      <c r="FR25" s="1091">
        <f t="shared" si="104"/>
        <v>-1</v>
      </c>
      <c r="FS25" s="1090">
        <f t="shared" si="270"/>
        <v>-14400000</v>
      </c>
      <c r="FT25" s="1091">
        <f t="shared" si="106"/>
        <v>-1</v>
      </c>
      <c r="FU25" s="1088">
        <f>SUMIFS(BP_SOTIEN,BP_DA,$C25,BP_THANG,FU$2,BP_KM,$E25)/1000</f>
        <v>2400000</v>
      </c>
      <c r="FV25" s="1089">
        <f t="shared" si="271"/>
        <v>0.12</v>
      </c>
      <c r="FW25" s="1089">
        <f t="shared" si="272"/>
        <v>0.6</v>
      </c>
      <c r="FX25" s="1090">
        <f>IF(NOW()&gt;=DATE(YEAR(FU$2),MONTH(FU$2)+1,DAY(FU$2)),SUMIFS(TF_SOTIEN,TF_DA,$C25,TF_THANG,FU$2,TF_KM,$E25)/1000, GA25)</f>
        <v>4800000</v>
      </c>
      <c r="FY25" s="1089">
        <f t="shared" si="273"/>
        <v>0.12</v>
      </c>
      <c r="FZ25" s="1089">
        <f t="shared" si="274"/>
        <v>0.794701992</v>
      </c>
      <c r="GA25" s="1090">
        <f>IF(NOW()&gt;=DATE(YEAR(FU$2),MONTH(FU$2)+1,DAY(FU$2)),SUMIFS(AC_SOTIEN,AC_DA,$C25,AC_THANG,FU$2,AC_KM,$E25),SUMIFS(TF_SOTIEN,TF_DA,$C25,TF_THANG,FU$2,TF_KM,$E25))/ 1000</f>
        <v>0</v>
      </c>
      <c r="GB25" s="1089" t="str">
        <f t="shared" si="275"/>
        <v/>
      </c>
      <c r="GC25" s="1089" t="str">
        <f t="shared" si="276"/>
        <v/>
      </c>
      <c r="GD25" s="1090">
        <f t="shared" si="277"/>
        <v>-2400000</v>
      </c>
      <c r="GE25" s="1091">
        <f t="shared" si="111"/>
        <v>-1</v>
      </c>
      <c r="GF25" s="1090">
        <f t="shared" si="278"/>
        <v>-4800000</v>
      </c>
      <c r="GG25" s="1091">
        <f t="shared" si="113"/>
        <v>-1</v>
      </c>
      <c r="GH25" s="1088">
        <f>SUMIFS(BP_SOTIEN,BP_DA,$C25,BP_THANG,GH$2,BP_KM,$E25)/1000</f>
        <v>2400000</v>
      </c>
      <c r="GI25" s="1089">
        <f t="shared" si="279"/>
        <v>0.12</v>
      </c>
      <c r="GJ25" s="1089">
        <f t="shared" si="280"/>
        <v>0.6</v>
      </c>
      <c r="GK25" s="1090">
        <f>IF(NOW()&gt;=DATE(YEAR(GH$2),MONTH(GH$2)+1,DAY(GH$2)),SUMIFS(TF_SOTIEN,TF_DA,$C25,TF_THANG,GH$2,TF_KM,$E25)/1000, GN25)</f>
        <v>4800000</v>
      </c>
      <c r="GL25" s="1089">
        <f t="shared" si="281"/>
        <v>0.12</v>
      </c>
      <c r="GM25" s="1089">
        <f t="shared" si="282"/>
        <v>0.794701992</v>
      </c>
      <c r="GN25" s="1090">
        <f>IF(NOW()&gt;=DATE(YEAR(GH$2),MONTH(GH$2)+1,DAY(GH$2)),SUMIFS(AC_SOTIEN,AC_DA,$C25,AC_THANG,GH$2,AC_KM,$E25),SUMIFS(TF_SOTIEN,TF_DA,$C25,TF_THANG,GH$2,TF_KM,$E25))/ 1000</f>
        <v>0</v>
      </c>
      <c r="GO25" s="1089" t="str">
        <f t="shared" si="283"/>
        <v/>
      </c>
      <c r="GP25" s="1089" t="str">
        <f t="shared" si="284"/>
        <v/>
      </c>
      <c r="GQ25" s="1090">
        <f t="shared" si="285"/>
        <v>-2400000</v>
      </c>
      <c r="GR25" s="1091">
        <f t="shared" si="118"/>
        <v>-1</v>
      </c>
      <c r="GS25" s="1090">
        <f t="shared" si="286"/>
        <v>-4800000</v>
      </c>
      <c r="GT25" s="1091">
        <f t="shared" si="120"/>
        <v>-1</v>
      </c>
      <c r="GU25" s="1088">
        <f>SUMIFS(BP_SOTIEN,BP_DA,$C25,BP_THANG,GU$2,BP_KM,$E25)/1000</f>
        <v>2400000</v>
      </c>
      <c r="GV25" s="1089">
        <f t="shared" si="287"/>
        <v>0.12</v>
      </c>
      <c r="GW25" s="1089">
        <f t="shared" si="288"/>
        <v>0.6</v>
      </c>
      <c r="GX25" s="1090">
        <f>IF(NOW()&gt;=DATE(YEAR(GU$2),MONTH(GU$2)+1,DAY(GU$2)),SUMIFS(TF_SOTIEN,TF_DA,$C25,TF_THANG,GU$2,TF_KM,$E25)/1000, HA25)</f>
        <v>4800000</v>
      </c>
      <c r="GY25" s="1089">
        <f t="shared" si="289"/>
        <v>0.12</v>
      </c>
      <c r="GZ25" s="1089">
        <f t="shared" si="290"/>
        <v>0.794701992</v>
      </c>
      <c r="HA25" s="1090">
        <f>IF(NOW()&gt;=DATE(YEAR(GU$2),MONTH(GU$2)+1,DAY(GU$2)),SUMIFS(AC_SOTIEN,AC_DA,$C25,AC_THANG,GU$2,AC_KM,$E25),SUMIFS(TF_SOTIEN,TF_DA,$C25,TF_THANG,GU$2,TF_KM,$E25))/ 1000</f>
        <v>0</v>
      </c>
      <c r="HB25" s="1089" t="str">
        <f t="shared" si="291"/>
        <v/>
      </c>
      <c r="HC25" s="1089" t="str">
        <f t="shared" si="292"/>
        <v/>
      </c>
      <c r="HD25" s="1090">
        <f t="shared" si="293"/>
        <v>-2400000</v>
      </c>
      <c r="HE25" s="1091">
        <f t="shared" si="125"/>
        <v>-1</v>
      </c>
      <c r="HF25" s="1090">
        <f t="shared" si="294"/>
        <v>-4800000</v>
      </c>
      <c r="HG25" s="1091">
        <f t="shared" si="127"/>
        <v>-1</v>
      </c>
      <c r="HH25" s="1088">
        <f t="shared" si="295"/>
        <v>7200000</v>
      </c>
      <c r="HI25" s="1089">
        <f t="shared" si="296"/>
        <v>0.12</v>
      </c>
      <c r="HJ25" s="1089">
        <f t="shared" si="297"/>
        <v>0.6</v>
      </c>
      <c r="HK25" s="1090">
        <f t="shared" si="298"/>
        <v>14400000</v>
      </c>
      <c r="HL25" s="1089">
        <f t="shared" si="299"/>
        <v>0.12</v>
      </c>
      <c r="HM25" s="1089">
        <f t="shared" si="300"/>
        <v>0.794701992</v>
      </c>
      <c r="HN25" s="1090">
        <f t="shared" si="301"/>
        <v>0</v>
      </c>
      <c r="HO25" s="1089" t="str">
        <f t="shared" si="302"/>
        <v/>
      </c>
      <c r="HP25" s="1089" t="str">
        <f t="shared" si="303"/>
        <v/>
      </c>
      <c r="HQ25" s="1090">
        <f t="shared" si="304"/>
        <v>-7200000</v>
      </c>
      <c r="HR25" s="1091">
        <f t="shared" si="135"/>
        <v>-1</v>
      </c>
      <c r="HS25" s="1090">
        <f t="shared" si="305"/>
        <v>-14400000</v>
      </c>
      <c r="HT25" s="1091">
        <f t="shared" si="137"/>
        <v>-1</v>
      </c>
      <c r="HU25" s="1088">
        <f t="shared" si="306"/>
        <v>14400000</v>
      </c>
      <c r="HV25" s="1089">
        <f t="shared" si="307"/>
        <v>0.12</v>
      </c>
      <c r="HW25" s="1089">
        <f t="shared" si="308"/>
        <v>0.6</v>
      </c>
      <c r="HX25" s="1090">
        <f t="shared" si="309"/>
        <v>28800000</v>
      </c>
      <c r="HY25" s="1089">
        <f t="shared" si="310"/>
        <v>0.12</v>
      </c>
      <c r="HZ25" s="1089">
        <f t="shared" si="311"/>
        <v>0.794701992</v>
      </c>
      <c r="IA25" s="1090">
        <f t="shared" si="312"/>
        <v>0</v>
      </c>
      <c r="IB25" s="1089" t="str">
        <f t="shared" si="313"/>
        <v/>
      </c>
      <c r="IC25" s="1089" t="str">
        <f t="shared" si="314"/>
        <v/>
      </c>
      <c r="ID25" s="1090">
        <f t="shared" si="315"/>
        <v>-14400000</v>
      </c>
      <c r="IE25" s="1091">
        <f t="shared" si="145"/>
        <v>-1</v>
      </c>
      <c r="IF25" s="1090">
        <f t="shared" si="316"/>
        <v>-28800000</v>
      </c>
      <c r="IG25" s="1091">
        <f t="shared" si="147"/>
        <v>-1</v>
      </c>
      <c r="IH25" s="1088">
        <f t="shared" si="317"/>
        <v>21600000</v>
      </c>
      <c r="II25" s="1089">
        <f t="shared" si="318"/>
        <v>0.12</v>
      </c>
      <c r="IJ25" s="1089">
        <f t="shared" si="319"/>
        <v>0.6</v>
      </c>
      <c r="IK25" s="1090">
        <f t="shared" si="320"/>
        <v>28800000</v>
      </c>
      <c r="IL25" s="1089">
        <f t="shared" si="321"/>
        <v>0.12</v>
      </c>
      <c r="IM25" s="1089">
        <f t="shared" si="322"/>
        <v>0.6947383373</v>
      </c>
      <c r="IN25" s="1090">
        <f t="shared" si="323"/>
        <v>0</v>
      </c>
      <c r="IO25" s="1089" t="str">
        <f t="shared" si="324"/>
        <v/>
      </c>
      <c r="IP25" s="1089">
        <f t="shared" si="325"/>
        <v>0</v>
      </c>
      <c r="IQ25" s="1090">
        <f t="shared" si="326"/>
        <v>-21600000</v>
      </c>
      <c r="IR25" s="1091">
        <f t="shared" si="1"/>
        <v>-1</v>
      </c>
      <c r="IS25" s="1090">
        <f t="shared" si="327"/>
        <v>-28800000</v>
      </c>
      <c r="IT25" s="1091">
        <f t="shared" si="2"/>
        <v>-1</v>
      </c>
    </row>
    <row r="26" collapsed="1">
      <c r="A26" s="1101" t="str">
        <f>IF(C26="","",COUNTA(C$5:C26))</f>
        <v/>
      </c>
      <c r="B26" s="1093" t="s">
        <v>2069</v>
      </c>
      <c r="C26" s="1093"/>
      <c r="D26" s="1093" t="str">
        <f>IF(C26&gt;0,VLOOKUP(C26,DM_DUAN ,2,"") ,IF(B26&gt;0,VLOOKUP(B26,DM_CDT,2,""),""))</f>
        <v>KIMCUONGLAND</v>
      </c>
      <c r="E26" s="1093" t="s">
        <v>187</v>
      </c>
      <c r="F26" s="1093"/>
      <c r="G26" s="1102">
        <v>1.0</v>
      </c>
      <c r="H26" s="1083">
        <f>SUMIF($B27:$B$33,$B26,H27:H$33)</f>
        <v>0</v>
      </c>
      <c r="I26" s="1103" t="str">
        <f t="shared" si="156"/>
        <v/>
      </c>
      <c r="J26" s="1103" t="str">
        <f t="shared" si="157"/>
        <v/>
      </c>
      <c r="K26" s="1083">
        <f>SUMIF($B27:$B$33,$B26,K27:K$33)</f>
        <v>0</v>
      </c>
      <c r="L26" s="1103" t="str">
        <f t="shared" si="158"/>
        <v/>
      </c>
      <c r="M26" s="3"/>
      <c r="N26" s="1083">
        <f>SUMIF($B27:$B$33,$B26,N27:N$33)</f>
        <v>0</v>
      </c>
      <c r="O26" s="1103" t="str">
        <f t="shared" si="159"/>
        <v/>
      </c>
      <c r="P26" s="1103">
        <f t="shared" si="160"/>
        <v>0</v>
      </c>
      <c r="Q26" s="1095">
        <f t="shared" si="161"/>
        <v>0</v>
      </c>
      <c r="R26" s="1104" t="str">
        <f t="shared" si="8"/>
        <v/>
      </c>
      <c r="S26" s="1095">
        <f t="shared" si="162"/>
        <v>0</v>
      </c>
      <c r="T26" s="1104" t="str">
        <f t="shared" si="10"/>
        <v/>
      </c>
      <c r="U26" s="1083">
        <f>SUMIF($B27:$B$33,$B26,U27:U$33)</f>
        <v>0</v>
      </c>
      <c r="V26" s="1103" t="str">
        <f t="shared" si="163"/>
        <v/>
      </c>
      <c r="W26" s="1103" t="str">
        <f t="shared" si="164"/>
        <v/>
      </c>
      <c r="X26" s="1083">
        <f>SUMIF($B27:$B$33,$B26,X27:X$33)</f>
        <v>0</v>
      </c>
      <c r="Y26" s="1103" t="str">
        <f t="shared" si="165"/>
        <v/>
      </c>
      <c r="Z26" s="1103" t="str">
        <f t="shared" si="166"/>
        <v/>
      </c>
      <c r="AA26" s="1083">
        <f>SUMIF($B27:$B$33,$B26,AA27:AA$33)</f>
        <v>0</v>
      </c>
      <c r="AB26" s="1103" t="str">
        <f t="shared" si="167"/>
        <v/>
      </c>
      <c r="AC26" s="1103">
        <f t="shared" si="168"/>
        <v>0</v>
      </c>
      <c r="AD26" s="1095">
        <f t="shared" si="169"/>
        <v>0</v>
      </c>
      <c r="AE26" s="1104" t="str">
        <f t="shared" si="15"/>
        <v/>
      </c>
      <c r="AF26" s="1095">
        <f t="shared" si="170"/>
        <v>0</v>
      </c>
      <c r="AG26" s="1104" t="str">
        <f t="shared" si="17"/>
        <v/>
      </c>
      <c r="AH26" s="1083">
        <f>SUMIF($B27:$B$33,$B26,AH27:AH$33)</f>
        <v>0</v>
      </c>
      <c r="AI26" s="1103" t="str">
        <f t="shared" si="171"/>
        <v/>
      </c>
      <c r="AJ26" s="1103" t="str">
        <f t="shared" si="172"/>
        <v/>
      </c>
      <c r="AK26" s="1083">
        <f>SUMIF($B27:$B$33,$B26,AK27:AK$33)</f>
        <v>0</v>
      </c>
      <c r="AL26" s="1103" t="str">
        <f t="shared" si="173"/>
        <v/>
      </c>
      <c r="AM26" s="1103">
        <f t="shared" si="174"/>
        <v>0</v>
      </c>
      <c r="AN26" s="1083">
        <f>SUMIF($B27:$B$33,$B26,AN27:AN$33)</f>
        <v>0</v>
      </c>
      <c r="AO26" s="1103" t="str">
        <f t="shared" si="175"/>
        <v/>
      </c>
      <c r="AP26" s="1103">
        <f t="shared" si="176"/>
        <v>0</v>
      </c>
      <c r="AQ26" s="1095">
        <f t="shared" si="177"/>
        <v>0</v>
      </c>
      <c r="AR26" s="1104" t="str">
        <f t="shared" si="22"/>
        <v/>
      </c>
      <c r="AS26" s="1095">
        <f t="shared" si="178"/>
        <v>0</v>
      </c>
      <c r="AT26" s="1104" t="str">
        <f t="shared" si="24"/>
        <v/>
      </c>
      <c r="AU26" s="1095">
        <f t="shared" si="179"/>
        <v>0</v>
      </c>
      <c r="AV26" s="1103" t="str">
        <f t="shared" si="180"/>
        <v/>
      </c>
      <c r="AW26" s="1103" t="str">
        <f t="shared" si="181"/>
        <v/>
      </c>
      <c r="AX26" s="1095">
        <f t="shared" si="182"/>
        <v>0</v>
      </c>
      <c r="AY26" s="1103" t="str">
        <f t="shared" si="183"/>
        <v/>
      </c>
      <c r="AZ26" s="1103">
        <f t="shared" si="184"/>
        <v>0</v>
      </c>
      <c r="BA26" s="1105">
        <f t="shared" si="185"/>
        <v>0</v>
      </c>
      <c r="BB26" s="1103" t="str">
        <f t="shared" si="186"/>
        <v/>
      </c>
      <c r="BC26" s="1103">
        <f t="shared" si="187"/>
        <v>0</v>
      </c>
      <c r="BD26" s="1095">
        <f t="shared" si="188"/>
        <v>0</v>
      </c>
      <c r="BE26" s="1104" t="str">
        <f t="shared" si="32"/>
        <v/>
      </c>
      <c r="BF26" s="1095">
        <f t="shared" si="189"/>
        <v>0</v>
      </c>
      <c r="BG26" s="1104" t="str">
        <f t="shared" si="34"/>
        <v/>
      </c>
      <c r="BH26" s="1083">
        <f>SUMIF($B27:$B$33,$B26,BH27:BH$33)</f>
        <v>0</v>
      </c>
      <c r="BI26" s="1103" t="str">
        <f t="shared" si="190"/>
        <v/>
      </c>
      <c r="BJ26" s="1103">
        <f t="shared" si="191"/>
        <v>0</v>
      </c>
      <c r="BK26" s="1083">
        <f>SUMIF($B27:$B$33,$B26,BK27:BK$33)</f>
        <v>0</v>
      </c>
      <c r="BL26" s="1103" t="str">
        <f t="shared" si="192"/>
        <v/>
      </c>
      <c r="BM26" s="1103" t="str">
        <f t="shared" si="193"/>
        <v/>
      </c>
      <c r="BN26" s="1083">
        <f>SUMIF($B27:$B$33,$B26,BN27:BN$33)</f>
        <v>1924040</v>
      </c>
      <c r="BO26" s="1103" t="str">
        <f t="shared" si="194"/>
        <v/>
      </c>
      <c r="BP26" s="1103">
        <f t="shared" si="195"/>
        <v>0.7397194968</v>
      </c>
      <c r="BQ26" s="1095">
        <f t="shared" si="196"/>
        <v>1924040</v>
      </c>
      <c r="BR26" s="1106" t="str">
        <f t="shared" si="39"/>
        <v/>
      </c>
      <c r="BS26" s="1095">
        <f t="shared" si="197"/>
        <v>1924040</v>
      </c>
      <c r="BT26" s="1104" t="str">
        <f t="shared" si="41"/>
        <v/>
      </c>
      <c r="BU26" s="1083">
        <f>SUMIF($B27:$B$33,$B26,BU27:BU$33)</f>
        <v>0</v>
      </c>
      <c r="BV26" s="1103" t="str">
        <f t="shared" si="198"/>
        <v/>
      </c>
      <c r="BW26" s="1103">
        <f t="shared" si="199"/>
        <v>0</v>
      </c>
      <c r="BX26" s="1083">
        <f>SUMIF($B27:$B$33,$B26,BX27:BX$33)</f>
        <v>0</v>
      </c>
      <c r="BY26" s="1103" t="str">
        <f t="shared" si="200"/>
        <v/>
      </c>
      <c r="BZ26" s="1103">
        <f t="shared" si="201"/>
        <v>0</v>
      </c>
      <c r="CA26" s="1083">
        <f>SUMIF($B27:$B$33,$B26,CA27:CA$33)</f>
        <v>0</v>
      </c>
      <c r="CB26" s="1103" t="str">
        <f t="shared" si="202"/>
        <v/>
      </c>
      <c r="CC26" s="1103">
        <f t="shared" si="203"/>
        <v>0</v>
      </c>
      <c r="CD26" s="1095">
        <f t="shared" si="204"/>
        <v>0</v>
      </c>
      <c r="CE26" s="1106" t="str">
        <f t="shared" si="46"/>
        <v/>
      </c>
      <c r="CF26" s="1095">
        <f t="shared" si="205"/>
        <v>0</v>
      </c>
      <c r="CG26" s="1104" t="str">
        <f t="shared" si="48"/>
        <v/>
      </c>
      <c r="CH26" s="1083">
        <f>SUMIF($B27:$B$33,$B26,CH27:CH$33)</f>
        <v>0</v>
      </c>
      <c r="CI26" s="1103" t="str">
        <f t="shared" si="206"/>
        <v/>
      </c>
      <c r="CJ26" s="1103">
        <f t="shared" si="207"/>
        <v>0</v>
      </c>
      <c r="CK26" s="1083">
        <f>SUMIF($B27:$B$33,$B26,CK27:CK$33)</f>
        <v>0</v>
      </c>
      <c r="CL26" s="1103" t="str">
        <f t="shared" si="208"/>
        <v/>
      </c>
      <c r="CM26" s="1103" t="str">
        <f t="shared" si="209"/>
        <v/>
      </c>
      <c r="CN26" s="1083">
        <f>SUMIF($B27:$B$33,$B26,CN27:CN$33)</f>
        <v>0</v>
      </c>
      <c r="CO26" s="1103" t="str">
        <f t="shared" si="210"/>
        <v/>
      </c>
      <c r="CP26" s="1103" t="str">
        <f t="shared" si="211"/>
        <v/>
      </c>
      <c r="CQ26" s="1095">
        <f t="shared" si="212"/>
        <v>0</v>
      </c>
      <c r="CR26" s="1106" t="str">
        <f t="shared" si="53"/>
        <v/>
      </c>
      <c r="CS26" s="1095">
        <f t="shared" si="213"/>
        <v>0</v>
      </c>
      <c r="CT26" s="1104" t="str">
        <f t="shared" si="55"/>
        <v/>
      </c>
      <c r="CU26" s="1095">
        <f t="shared" si="214"/>
        <v>0</v>
      </c>
      <c r="CV26" s="1103" t="str">
        <f t="shared" si="215"/>
        <v/>
      </c>
      <c r="CW26" s="1103">
        <f t="shared" si="216"/>
        <v>0</v>
      </c>
      <c r="CX26" s="1095">
        <f t="shared" si="217"/>
        <v>0</v>
      </c>
      <c r="CY26" s="1103" t="str">
        <f t="shared" si="218"/>
        <v/>
      </c>
      <c r="CZ26" s="1103">
        <f t="shared" si="219"/>
        <v>0</v>
      </c>
      <c r="DA26" s="1095">
        <f t="shared" si="220"/>
        <v>1924040</v>
      </c>
      <c r="DB26" s="1103" t="str">
        <f t="shared" si="221"/>
        <v/>
      </c>
      <c r="DC26" s="1103">
        <f t="shared" si="222"/>
        <v>0.6095269232</v>
      </c>
      <c r="DD26" s="1095">
        <f t="shared" si="223"/>
        <v>1924040</v>
      </c>
      <c r="DE26" s="1106" t="str">
        <f t="shared" si="63"/>
        <v/>
      </c>
      <c r="DF26" s="1095">
        <f t="shared" si="224"/>
        <v>1924040</v>
      </c>
      <c r="DG26" s="1104" t="str">
        <f t="shared" si="65"/>
        <v/>
      </c>
      <c r="DH26" s="1095">
        <f t="shared" si="225"/>
        <v>0</v>
      </c>
      <c r="DI26" s="1103" t="str">
        <f t="shared" si="226"/>
        <v/>
      </c>
      <c r="DJ26" s="1103">
        <f t="shared" si="227"/>
        <v>0</v>
      </c>
      <c r="DK26" s="1095">
        <f t="shared" si="228"/>
        <v>0</v>
      </c>
      <c r="DL26" s="1103" t="str">
        <f t="shared" si="229"/>
        <v/>
      </c>
      <c r="DM26" s="1103">
        <f t="shared" si="230"/>
        <v>0</v>
      </c>
      <c r="DN26" s="1095">
        <f t="shared" si="231"/>
        <v>1924040</v>
      </c>
      <c r="DO26" s="1103" t="str">
        <f t="shared" si="232"/>
        <v/>
      </c>
      <c r="DP26" s="1103">
        <f t="shared" si="233"/>
        <v>0.4428565773</v>
      </c>
      <c r="DQ26" s="1095">
        <f t="shared" si="234"/>
        <v>1924040</v>
      </c>
      <c r="DR26" s="1106" t="str">
        <f t="shared" si="73"/>
        <v/>
      </c>
      <c r="DS26" s="1095">
        <f t="shared" si="235"/>
        <v>1924040</v>
      </c>
      <c r="DT26" s="1104" t="str">
        <f t="shared" si="75"/>
        <v/>
      </c>
      <c r="DU26" s="1083">
        <f>SUMIF($B27:$B$33,$B26,DU27:DU$33)</f>
        <v>0</v>
      </c>
      <c r="DV26" s="1103" t="str">
        <f t="shared" si="236"/>
        <v/>
      </c>
      <c r="DW26" s="1103">
        <f t="shared" si="237"/>
        <v>0</v>
      </c>
      <c r="DX26" s="1083">
        <f>SUMIF($B27:$B$33,$B26,DX27:DX$33)</f>
        <v>0</v>
      </c>
      <c r="DY26" s="1103" t="str">
        <f t="shared" si="238"/>
        <v/>
      </c>
      <c r="DZ26" s="1103">
        <f t="shared" si="239"/>
        <v>0</v>
      </c>
      <c r="EA26" s="1083">
        <f>SUMIF($B27:$B$33,$B26,EA27:EA$33)</f>
        <v>0</v>
      </c>
      <c r="EB26" s="1103" t="str">
        <f t="shared" si="240"/>
        <v/>
      </c>
      <c r="EC26" s="1103" t="str">
        <f t="shared" si="241"/>
        <v/>
      </c>
      <c r="ED26" s="1095">
        <f t="shared" si="242"/>
        <v>0</v>
      </c>
      <c r="EE26" s="1106" t="str">
        <f t="shared" si="80"/>
        <v/>
      </c>
      <c r="EF26" s="1095">
        <f t="shared" si="243"/>
        <v>0</v>
      </c>
      <c r="EG26" s="1106" t="str">
        <f t="shared" si="82"/>
        <v/>
      </c>
      <c r="EH26" s="1083">
        <f>SUMIF($B27:$B$33,$B26,EH27:EH$33)</f>
        <v>0</v>
      </c>
      <c r="EI26" s="1103" t="str">
        <f t="shared" si="244"/>
        <v/>
      </c>
      <c r="EJ26" s="1103">
        <f t="shared" si="245"/>
        <v>0</v>
      </c>
      <c r="EK26" s="1083">
        <f>SUMIF($B27:$B$33,$B26,EK27:EK$33)</f>
        <v>0</v>
      </c>
      <c r="EL26" s="1103" t="str">
        <f t="shared" si="246"/>
        <v/>
      </c>
      <c r="EM26" s="1103">
        <f t="shared" si="247"/>
        <v>0</v>
      </c>
      <c r="EN26" s="1083">
        <f>SUMIF($B27:$B$33,$B26,EN27:EN$33)</f>
        <v>0</v>
      </c>
      <c r="EO26" s="1103" t="str">
        <f t="shared" si="248"/>
        <v/>
      </c>
      <c r="EP26" s="1103" t="str">
        <f t="shared" si="249"/>
        <v/>
      </c>
      <c r="EQ26" s="1095">
        <f t="shared" si="250"/>
        <v>0</v>
      </c>
      <c r="ER26" s="1106" t="str">
        <f t="shared" si="87"/>
        <v/>
      </c>
      <c r="ES26" s="1095">
        <f t="shared" si="251"/>
        <v>0</v>
      </c>
      <c r="ET26" s="1106" t="str">
        <f t="shared" si="89"/>
        <v/>
      </c>
      <c r="EU26" s="1083">
        <f>SUMIF($B27:$B$33,$B26,EU27:EU$33)</f>
        <v>0</v>
      </c>
      <c r="EV26" s="1103" t="str">
        <f t="shared" si="252"/>
        <v/>
      </c>
      <c r="EW26" s="1103">
        <f t="shared" si="253"/>
        <v>0</v>
      </c>
      <c r="EX26" s="1083">
        <f>SUMIF($B27:$B$33,$B26,EX27:EX$33)</f>
        <v>0</v>
      </c>
      <c r="EY26" s="1103" t="str">
        <f t="shared" si="254"/>
        <v/>
      </c>
      <c r="EZ26" s="1103">
        <f t="shared" si="255"/>
        <v>0</v>
      </c>
      <c r="FA26" s="1083">
        <f>SUMIF($B27:$B$33,$B26,FA27:FA$33)</f>
        <v>0</v>
      </c>
      <c r="FB26" s="1103" t="str">
        <f t="shared" si="256"/>
        <v/>
      </c>
      <c r="FC26" s="1103" t="str">
        <f t="shared" si="257"/>
        <v/>
      </c>
      <c r="FD26" s="1095">
        <f t="shared" si="258"/>
        <v>0</v>
      </c>
      <c r="FE26" s="1106" t="str">
        <f t="shared" si="94"/>
        <v/>
      </c>
      <c r="FF26" s="1095">
        <f t="shared" si="259"/>
        <v>0</v>
      </c>
      <c r="FG26" s="1106" t="str">
        <f t="shared" si="96"/>
        <v/>
      </c>
      <c r="FH26" s="1095">
        <f t="shared" si="260"/>
        <v>0</v>
      </c>
      <c r="FI26" s="1103" t="str">
        <f t="shared" si="261"/>
        <v/>
      </c>
      <c r="FJ26" s="1103">
        <f t="shared" si="262"/>
        <v>0</v>
      </c>
      <c r="FK26" s="1095">
        <f t="shared" si="263"/>
        <v>0</v>
      </c>
      <c r="FL26" s="1103" t="str">
        <f t="shared" si="264"/>
        <v/>
      </c>
      <c r="FM26" s="1103">
        <f t="shared" si="265"/>
        <v>0</v>
      </c>
      <c r="FN26" s="1095">
        <f t="shared" si="266"/>
        <v>0</v>
      </c>
      <c r="FO26" s="1103" t="str">
        <f t="shared" si="267"/>
        <v/>
      </c>
      <c r="FP26" s="1103" t="str">
        <f t="shared" si="268"/>
        <v/>
      </c>
      <c r="FQ26" s="1095">
        <f t="shared" si="269"/>
        <v>0</v>
      </c>
      <c r="FR26" s="1106" t="str">
        <f t="shared" si="104"/>
        <v/>
      </c>
      <c r="FS26" s="1095">
        <f t="shared" si="270"/>
        <v>0</v>
      </c>
      <c r="FT26" s="1106" t="str">
        <f t="shared" si="106"/>
        <v/>
      </c>
      <c r="FU26" s="1083">
        <f>SUMIF($B27:$B$33,$B26,FU27:FU$33)</f>
        <v>0</v>
      </c>
      <c r="FV26" s="1103" t="str">
        <f t="shared" si="271"/>
        <v/>
      </c>
      <c r="FW26" s="1103">
        <f t="shared" si="272"/>
        <v>0</v>
      </c>
      <c r="FX26" s="1083">
        <f>SUMIF($B27:$B$33,$B26,FX27:FX$33)</f>
        <v>0</v>
      </c>
      <c r="FY26" s="1103" t="str">
        <f t="shared" si="273"/>
        <v/>
      </c>
      <c r="FZ26" s="1103">
        <f t="shared" si="274"/>
        <v>0</v>
      </c>
      <c r="GA26" s="1083">
        <f>SUMIF($B27:$B$33,$B26,GA27:GA$33)</f>
        <v>0</v>
      </c>
      <c r="GB26" s="1103" t="str">
        <f t="shared" si="275"/>
        <v/>
      </c>
      <c r="GC26" s="1103" t="str">
        <f t="shared" si="276"/>
        <v/>
      </c>
      <c r="GD26" s="1095">
        <f t="shared" si="277"/>
        <v>0</v>
      </c>
      <c r="GE26" s="1106" t="str">
        <f t="shared" si="111"/>
        <v/>
      </c>
      <c r="GF26" s="1095">
        <f t="shared" si="278"/>
        <v>0</v>
      </c>
      <c r="GG26" s="1106" t="str">
        <f t="shared" si="113"/>
        <v/>
      </c>
      <c r="GH26" s="1083">
        <f>SUMIF($B27:$B$33,$B26,GH27:GH$33)</f>
        <v>0</v>
      </c>
      <c r="GI26" s="1103" t="str">
        <f t="shared" si="279"/>
        <v/>
      </c>
      <c r="GJ26" s="1103">
        <f t="shared" si="280"/>
        <v>0</v>
      </c>
      <c r="GK26" s="1083">
        <f>SUMIF($B27:$B$33,$B26,GK27:GK$33)</f>
        <v>0</v>
      </c>
      <c r="GL26" s="1103" t="str">
        <f t="shared" si="281"/>
        <v/>
      </c>
      <c r="GM26" s="1103">
        <f t="shared" si="282"/>
        <v>0</v>
      </c>
      <c r="GN26" s="1083">
        <f>SUMIF($B27:$B$33,$B26,GN27:GN$33)</f>
        <v>0</v>
      </c>
      <c r="GO26" s="1103" t="str">
        <f t="shared" si="283"/>
        <v/>
      </c>
      <c r="GP26" s="1103" t="str">
        <f t="shared" si="284"/>
        <v/>
      </c>
      <c r="GQ26" s="1095">
        <f t="shared" si="285"/>
        <v>0</v>
      </c>
      <c r="GR26" s="1106" t="str">
        <f t="shared" si="118"/>
        <v/>
      </c>
      <c r="GS26" s="1095">
        <f t="shared" si="286"/>
        <v>0</v>
      </c>
      <c r="GT26" s="1106" t="str">
        <f t="shared" si="120"/>
        <v/>
      </c>
      <c r="GU26" s="1083">
        <f>SUMIF($B27:$B$33,$B26,GU27:GU$33)</f>
        <v>0</v>
      </c>
      <c r="GV26" s="1103" t="str">
        <f t="shared" si="287"/>
        <v/>
      </c>
      <c r="GW26" s="1103">
        <f t="shared" si="288"/>
        <v>0</v>
      </c>
      <c r="GX26" s="1083">
        <f>SUMIF($B27:$B$33,$B26,GX27:GX$33)</f>
        <v>0</v>
      </c>
      <c r="GY26" s="1103" t="str">
        <f t="shared" si="289"/>
        <v/>
      </c>
      <c r="GZ26" s="1103">
        <f t="shared" si="290"/>
        <v>0</v>
      </c>
      <c r="HA26" s="1083">
        <f>SUMIF($B27:$B$33,$B26,HA27:HA$33)</f>
        <v>0</v>
      </c>
      <c r="HB26" s="1103" t="str">
        <f t="shared" si="291"/>
        <v/>
      </c>
      <c r="HC26" s="1103" t="str">
        <f t="shared" si="292"/>
        <v/>
      </c>
      <c r="HD26" s="1095">
        <f t="shared" si="293"/>
        <v>0</v>
      </c>
      <c r="HE26" s="1106" t="str">
        <f t="shared" si="125"/>
        <v/>
      </c>
      <c r="HF26" s="1095">
        <f t="shared" si="294"/>
        <v>0</v>
      </c>
      <c r="HG26" s="1106" t="str">
        <f t="shared" si="127"/>
        <v/>
      </c>
      <c r="HH26" s="1095">
        <f t="shared" si="295"/>
        <v>0</v>
      </c>
      <c r="HI26" s="1103" t="str">
        <f t="shared" si="296"/>
        <v/>
      </c>
      <c r="HJ26" s="1103">
        <f t="shared" si="297"/>
        <v>0</v>
      </c>
      <c r="HK26" s="1095">
        <f t="shared" si="298"/>
        <v>0</v>
      </c>
      <c r="HL26" s="1103" t="str">
        <f t="shared" si="299"/>
        <v/>
      </c>
      <c r="HM26" s="1103">
        <f t="shared" si="300"/>
        <v>0</v>
      </c>
      <c r="HN26" s="1095">
        <f t="shared" si="301"/>
        <v>0</v>
      </c>
      <c r="HO26" s="1103" t="str">
        <f t="shared" si="302"/>
        <v/>
      </c>
      <c r="HP26" s="1103" t="str">
        <f t="shared" si="303"/>
        <v/>
      </c>
      <c r="HQ26" s="1095">
        <f t="shared" si="304"/>
        <v>0</v>
      </c>
      <c r="HR26" s="1106" t="str">
        <f t="shared" si="135"/>
        <v/>
      </c>
      <c r="HS26" s="1095">
        <f t="shared" si="305"/>
        <v>0</v>
      </c>
      <c r="HT26" s="1106" t="str">
        <f t="shared" si="137"/>
        <v/>
      </c>
      <c r="HU26" s="1095">
        <f t="shared" si="306"/>
        <v>0</v>
      </c>
      <c r="HV26" s="1103" t="str">
        <f t="shared" si="307"/>
        <v/>
      </c>
      <c r="HW26" s="1103">
        <f t="shared" si="308"/>
        <v>0</v>
      </c>
      <c r="HX26" s="1095">
        <f t="shared" si="309"/>
        <v>0</v>
      </c>
      <c r="HY26" s="1103" t="str">
        <f t="shared" si="310"/>
        <v/>
      </c>
      <c r="HZ26" s="1103">
        <f t="shared" si="311"/>
        <v>0</v>
      </c>
      <c r="IA26" s="1095">
        <f t="shared" si="312"/>
        <v>0</v>
      </c>
      <c r="IB26" s="1103" t="str">
        <f t="shared" si="313"/>
        <v/>
      </c>
      <c r="IC26" s="1103" t="str">
        <f t="shared" si="314"/>
        <v/>
      </c>
      <c r="ID26" s="1095">
        <f t="shared" si="315"/>
        <v>0</v>
      </c>
      <c r="IE26" s="1106" t="str">
        <f t="shared" si="145"/>
        <v/>
      </c>
      <c r="IF26" s="1095">
        <f t="shared" si="316"/>
        <v>0</v>
      </c>
      <c r="IG26" s="1106" t="str">
        <f t="shared" si="147"/>
        <v/>
      </c>
      <c r="IH26" s="1095">
        <f t="shared" si="317"/>
        <v>0</v>
      </c>
      <c r="II26" s="1103" t="str">
        <f t="shared" si="318"/>
        <v/>
      </c>
      <c r="IJ26" s="1103">
        <f t="shared" si="319"/>
        <v>0</v>
      </c>
      <c r="IK26" s="1095">
        <f t="shared" si="320"/>
        <v>0</v>
      </c>
      <c r="IL26" s="1103" t="str">
        <f t="shared" si="321"/>
        <v/>
      </c>
      <c r="IM26" s="1103">
        <f t="shared" si="322"/>
        <v>0</v>
      </c>
      <c r="IN26" s="1095">
        <f t="shared" si="323"/>
        <v>1924040</v>
      </c>
      <c r="IO26" s="1103" t="str">
        <f t="shared" si="324"/>
        <v/>
      </c>
      <c r="IP26" s="1103">
        <f t="shared" si="325"/>
        <v>0.4428565773</v>
      </c>
      <c r="IQ26" s="1095">
        <f t="shared" si="326"/>
        <v>1924040</v>
      </c>
      <c r="IR26" s="1106" t="str">
        <f t="shared" si="1"/>
        <v/>
      </c>
      <c r="IS26" s="1095">
        <f t="shared" si="327"/>
        <v>1924040</v>
      </c>
      <c r="IT26" s="1106" t="str">
        <f t="shared" si="2"/>
        <v/>
      </c>
    </row>
    <row r="27" hidden="1" outlineLevel="1">
      <c r="A27" s="1086">
        <f t="shared" ref="A27:A29" si="330">IF(C27="","",COUNTA(C$20:C27))</f>
        <v>5</v>
      </c>
      <c r="B27" s="1087" t="s">
        <v>2069</v>
      </c>
      <c r="C27" s="656" t="s">
        <v>638</v>
      </c>
      <c r="D27" s="1087" t="str">
        <f>IF(C27&gt;0,VLOOKUP(C27,DM_DUAN ,2,"") ,IF(B27&gt;0,VLOOKUP(B27,DM_CDT,2,""),""))</f>
        <v>Sản phẩm Phước Vinh</v>
      </c>
      <c r="E27" s="1087" t="s">
        <v>187</v>
      </c>
      <c r="F27" s="1087"/>
      <c r="G27" s="1086">
        <v>2.0</v>
      </c>
      <c r="H27" s="1088">
        <f>SUMIFS(BP_SOTIEN,BP_DA,$C27,BP_THANG,H$2,BP_KM,$E27)/1000</f>
        <v>0</v>
      </c>
      <c r="I27" s="1089" t="str">
        <f t="shared" si="156"/>
        <v/>
      </c>
      <c r="J27" s="1089" t="str">
        <f t="shared" si="157"/>
        <v/>
      </c>
      <c r="K27" s="1090">
        <f>IF(NOW()&gt;=DATE(YEAR(H$2),MONTH(H$2)+1,DAY(H$2)),SUMIFS(TF_SOTIEN,TF_DA,$C27,TF_THANG,H$2,TF_KM,$E27)/1000, N27)</f>
        <v>0</v>
      </c>
      <c r="L27" s="1089" t="str">
        <f t="shared" si="158"/>
        <v/>
      </c>
      <c r="M27" s="1089">
        <f t="shared" ref="M27:M29" si="331">IFERROR(K27/K$19,"")</f>
        <v>0</v>
      </c>
      <c r="N27" s="1090">
        <f>IF(NOW()&gt;=DATE(YEAR(H$2),MONTH(H$2)+1,DAY(H$2)),SUMIFS(AC_SOTIEN,AC_DA,$C27,AC_THANG,H$2,AC_KM,$E27),SUMIFS(TF_SOTIEN,TF_DA,$C27,TF_THANG,H$2,TF_KM,$E27))/ 1000</f>
        <v>0</v>
      </c>
      <c r="O27" s="1089" t="str">
        <f t="shared" si="159"/>
        <v/>
      </c>
      <c r="P27" s="1089">
        <f t="shared" si="160"/>
        <v>0</v>
      </c>
      <c r="Q27" s="1090">
        <f t="shared" si="161"/>
        <v>0</v>
      </c>
      <c r="R27" s="1091" t="str">
        <f t="shared" si="8"/>
        <v/>
      </c>
      <c r="S27" s="1090">
        <f t="shared" si="162"/>
        <v>0</v>
      </c>
      <c r="T27" s="1091" t="str">
        <f t="shared" si="10"/>
        <v/>
      </c>
      <c r="U27" s="1088">
        <f>SUMIFS(BP_SOTIEN,BP_DA,$C27,BP_THANG,U$2,BP_KM,$E27)/1000</f>
        <v>0</v>
      </c>
      <c r="V27" s="1089" t="str">
        <f t="shared" si="163"/>
        <v/>
      </c>
      <c r="W27" s="1089" t="str">
        <f t="shared" si="164"/>
        <v/>
      </c>
      <c r="X27" s="1090">
        <f>IF(NOW()&gt;=DATE(YEAR(U$2),MONTH(U$2)+1,DAY(U$2)),SUMIFS(TF_SOTIEN,TF_DA,$C27,TF_THANG,U$2,TF_KM,$E27)/1000, AA27)</f>
        <v>0</v>
      </c>
      <c r="Y27" s="1089" t="str">
        <f t="shared" si="165"/>
        <v/>
      </c>
      <c r="Z27" s="1089" t="str">
        <f t="shared" si="166"/>
        <v/>
      </c>
      <c r="AA27" s="1090">
        <f>IF(NOW()&gt;=DATE(YEAR(U$2),MONTH(U$2)+1,DAY(U$2)),SUMIFS(AC_SOTIEN,AC_DA,$C27,AC_THANG,U$2,AC_KM,$E27),SUMIFS(TF_SOTIEN,TF_DA,$C27,TF_THANG,U$2,TF_KM,$E27))/ 1000</f>
        <v>0</v>
      </c>
      <c r="AB27" s="1089" t="str">
        <f t="shared" si="167"/>
        <v/>
      </c>
      <c r="AC27" s="1089">
        <f t="shared" si="168"/>
        <v>0</v>
      </c>
      <c r="AD27" s="1090">
        <f t="shared" si="169"/>
        <v>0</v>
      </c>
      <c r="AE27" s="1091" t="str">
        <f t="shared" si="15"/>
        <v/>
      </c>
      <c r="AF27" s="1090">
        <f t="shared" si="170"/>
        <v>0</v>
      </c>
      <c r="AG27" s="1091" t="str">
        <f t="shared" si="17"/>
        <v/>
      </c>
      <c r="AH27" s="1088">
        <f>SUMIFS(BP_SOTIEN,BP_DA,$C27,BP_THANG,AH$2,BP_KM,$E27)/1000</f>
        <v>0</v>
      </c>
      <c r="AI27" s="1089" t="str">
        <f t="shared" si="171"/>
        <v/>
      </c>
      <c r="AJ27" s="1089" t="str">
        <f t="shared" si="172"/>
        <v/>
      </c>
      <c r="AK27" s="1090">
        <f>IF(NOW()&gt;=DATE(YEAR(AH$2),MONTH(AH$2)+1,DAY(AH$2)),SUMIFS(TF_SOTIEN,TF_DA,$C27,TF_THANG,AH$2,TF_KM,$E27)/1000, AN27)</f>
        <v>0</v>
      </c>
      <c r="AL27" s="1089" t="str">
        <f t="shared" si="173"/>
        <v/>
      </c>
      <c r="AM27" s="1089">
        <f t="shared" si="174"/>
        <v>0</v>
      </c>
      <c r="AN27" s="1090">
        <f>IF(NOW()&gt;=DATE(YEAR(AH$2),MONTH(AH$2)+1,DAY(AH$2)),SUMIFS(AC_SOTIEN,AC_DA,$C27,AC_THANG,AH$2,AC_KM,$E27),SUMIFS(TF_SOTIEN,TF_DA,$C27,TF_THANG,AH$2,TF_KM,$E27))/ 1000</f>
        <v>0</v>
      </c>
      <c r="AO27" s="1089" t="str">
        <f t="shared" si="175"/>
        <v/>
      </c>
      <c r="AP27" s="1089">
        <f t="shared" si="176"/>
        <v>0</v>
      </c>
      <c r="AQ27" s="1090">
        <f t="shared" si="177"/>
        <v>0</v>
      </c>
      <c r="AR27" s="1091" t="str">
        <f t="shared" si="22"/>
        <v/>
      </c>
      <c r="AS27" s="1090">
        <f t="shared" si="178"/>
        <v>0</v>
      </c>
      <c r="AT27" s="1091" t="str">
        <f t="shared" si="24"/>
        <v/>
      </c>
      <c r="AU27" s="1088">
        <f t="shared" si="179"/>
        <v>0</v>
      </c>
      <c r="AV27" s="1089" t="str">
        <f t="shared" si="180"/>
        <v/>
      </c>
      <c r="AW27" s="1089" t="str">
        <f t="shared" si="181"/>
        <v/>
      </c>
      <c r="AX27" s="1090">
        <f t="shared" si="182"/>
        <v>0</v>
      </c>
      <c r="AY27" s="1089" t="str">
        <f t="shared" si="183"/>
        <v/>
      </c>
      <c r="AZ27" s="1089">
        <f t="shared" si="184"/>
        <v>0</v>
      </c>
      <c r="BA27" s="1090">
        <f t="shared" si="185"/>
        <v>0</v>
      </c>
      <c r="BB27" s="1089" t="str">
        <f t="shared" si="186"/>
        <v/>
      </c>
      <c r="BC27" s="1089">
        <f t="shared" si="187"/>
        <v>0</v>
      </c>
      <c r="BD27" s="1090">
        <f t="shared" si="188"/>
        <v>0</v>
      </c>
      <c r="BE27" s="1091" t="str">
        <f t="shared" si="32"/>
        <v/>
      </c>
      <c r="BF27" s="1090">
        <f t="shared" si="189"/>
        <v>0</v>
      </c>
      <c r="BG27" s="1091" t="str">
        <f t="shared" si="34"/>
        <v/>
      </c>
      <c r="BH27" s="1088">
        <f>SUMIFS(BP_SOTIEN,BP_DA,$C27,BP_THANG,BH$2,BP_KM,$E27)/1000</f>
        <v>0</v>
      </c>
      <c r="BI27" s="1089" t="str">
        <f t="shared" si="190"/>
        <v/>
      </c>
      <c r="BJ27" s="1089">
        <f t="shared" si="191"/>
        <v>0</v>
      </c>
      <c r="BK27" s="1090">
        <f>IF(NOW()&gt;=DATE(YEAR(BH$2),MONTH(BH$2)+1,DAY(BH$2)),SUMIFS(TF_SOTIEN,TF_DA,$C27,TF_THANG,BH$2,TF_KM,$E27)/1000, BN27)</f>
        <v>0</v>
      </c>
      <c r="BL27" s="1089">
        <f t="shared" si="192"/>
        <v>0</v>
      </c>
      <c r="BM27" s="1089" t="str">
        <f t="shared" si="193"/>
        <v/>
      </c>
      <c r="BN27" s="1090">
        <f>IF(NOW()&gt;=DATE(YEAR(BH$2),MONTH(BH$2)+1,DAY(BH$2)),SUMIFS(AC_SOTIEN,AC_DA,$C27,AC_THANG,BH$2,AC_KM,$E27),SUMIFS(TF_SOTIEN,TF_DA,$C27,TF_THANG,BH$2,TF_KM,$E27))/ 1000</f>
        <v>1559000</v>
      </c>
      <c r="BO27" s="1089">
        <f t="shared" si="194"/>
        <v>0.1977171845</v>
      </c>
      <c r="BP27" s="1089">
        <f t="shared" si="195"/>
        <v>0.5993756344</v>
      </c>
      <c r="BQ27" s="1090">
        <f t="shared" si="196"/>
        <v>1559000</v>
      </c>
      <c r="BR27" s="1091" t="str">
        <f t="shared" si="39"/>
        <v/>
      </c>
      <c r="BS27" s="1090">
        <f t="shared" si="197"/>
        <v>1559000</v>
      </c>
      <c r="BT27" s="1091" t="str">
        <f t="shared" si="41"/>
        <v/>
      </c>
      <c r="BU27" s="1088">
        <f>SUMIFS(BP_SOTIEN,BP_DA,$C27,BP_THANG,BU$2,BP_KM,$E27)/1000</f>
        <v>0</v>
      </c>
      <c r="BV27" s="1089" t="str">
        <f t="shared" si="198"/>
        <v/>
      </c>
      <c r="BW27" s="1089">
        <f t="shared" si="199"/>
        <v>0</v>
      </c>
      <c r="BX27" s="1090">
        <f>IF(NOW()&gt;=DATE(YEAR(BU$2),MONTH(BU$2)+1,DAY(BU$2)),SUMIFS(TF_SOTIEN,TF_DA,$C27,TF_THANG,BU$2,TF_KM,$E27)/1000, CA27)</f>
        <v>0</v>
      </c>
      <c r="BY27" s="1089" t="str">
        <f t="shared" si="200"/>
        <v/>
      </c>
      <c r="BZ27" s="1089">
        <f t="shared" si="201"/>
        <v>0</v>
      </c>
      <c r="CA27" s="1090">
        <f>IF(NOW()&gt;=DATE(YEAR(BU$2),MONTH(BU$2)+1,DAY(BU$2)),SUMIFS(AC_SOTIEN,AC_DA,$C27,AC_THANG,BU$2,AC_KM,$E27),SUMIFS(TF_SOTIEN,TF_DA,$C27,TF_THANG,BU$2,TF_KM,$E27))/ 1000</f>
        <v>0</v>
      </c>
      <c r="CB27" s="1089" t="str">
        <f t="shared" si="202"/>
        <v/>
      </c>
      <c r="CC27" s="1089">
        <f t="shared" si="203"/>
        <v>0</v>
      </c>
      <c r="CD27" s="1090">
        <f t="shared" si="204"/>
        <v>0</v>
      </c>
      <c r="CE27" s="1091" t="str">
        <f t="shared" si="46"/>
        <v/>
      </c>
      <c r="CF27" s="1090">
        <f t="shared" si="205"/>
        <v>0</v>
      </c>
      <c r="CG27" s="1091" t="str">
        <f t="shared" si="48"/>
        <v/>
      </c>
      <c r="CH27" s="1088">
        <f>SUMIFS(BP_SOTIEN,BP_DA,$C27,BP_THANG,CH$2,BP_KM,$E27)/1000</f>
        <v>0</v>
      </c>
      <c r="CI27" s="1089" t="str">
        <f t="shared" si="206"/>
        <v/>
      </c>
      <c r="CJ27" s="1089">
        <f t="shared" si="207"/>
        <v>0</v>
      </c>
      <c r="CK27" s="1090">
        <f>IF(NOW()&gt;=DATE(YEAR(CH$2),MONTH(CH$2)+1,DAY(CH$2)),SUMIFS(TF_SOTIEN,TF_DA,$C27,TF_THANG,CH$2,TF_KM,$E27)/1000, CN27)</f>
        <v>0</v>
      </c>
      <c r="CL27" s="1089" t="str">
        <f t="shared" si="208"/>
        <v/>
      </c>
      <c r="CM27" s="1089" t="str">
        <f t="shared" si="209"/>
        <v/>
      </c>
      <c r="CN27" s="1090">
        <f>IF(NOW()&gt;=DATE(YEAR(CH$2),MONTH(CH$2)+1,DAY(CH$2)),SUMIFS(AC_SOTIEN,AC_DA,$C27,AC_THANG,CH$2,AC_KM,$E27),SUMIFS(TF_SOTIEN,TF_DA,$C27,TF_THANG,CH$2,TF_KM,$E27))/ 1000</f>
        <v>0</v>
      </c>
      <c r="CO27" s="1089" t="str">
        <f t="shared" si="210"/>
        <v/>
      </c>
      <c r="CP27" s="1089" t="str">
        <f t="shared" si="211"/>
        <v/>
      </c>
      <c r="CQ27" s="1090">
        <f t="shared" si="212"/>
        <v>0</v>
      </c>
      <c r="CR27" s="1091" t="str">
        <f t="shared" si="53"/>
        <v/>
      </c>
      <c r="CS27" s="1090">
        <f t="shared" si="213"/>
        <v>0</v>
      </c>
      <c r="CT27" s="1091" t="str">
        <f t="shared" si="55"/>
        <v/>
      </c>
      <c r="CU27" s="1088">
        <f t="shared" si="214"/>
        <v>0</v>
      </c>
      <c r="CV27" s="1089" t="str">
        <f t="shared" si="215"/>
        <v/>
      </c>
      <c r="CW27" s="1089">
        <f t="shared" si="216"/>
        <v>0</v>
      </c>
      <c r="CX27" s="1090">
        <f t="shared" si="217"/>
        <v>0</v>
      </c>
      <c r="CY27" s="1089">
        <f t="shared" si="218"/>
        <v>0</v>
      </c>
      <c r="CZ27" s="1089">
        <f t="shared" si="219"/>
        <v>0</v>
      </c>
      <c r="DA27" s="1090">
        <f t="shared" si="220"/>
        <v>1559000</v>
      </c>
      <c r="DB27" s="1089">
        <f t="shared" si="221"/>
        <v>0.1977171845</v>
      </c>
      <c r="DC27" s="1089">
        <f t="shared" si="222"/>
        <v>0.493883949</v>
      </c>
      <c r="DD27" s="1090">
        <f t="shared" si="223"/>
        <v>1559000</v>
      </c>
      <c r="DE27" s="1091" t="str">
        <f t="shared" si="63"/>
        <v/>
      </c>
      <c r="DF27" s="1090">
        <f t="shared" si="224"/>
        <v>1559000</v>
      </c>
      <c r="DG27" s="1091" t="str">
        <f t="shared" si="65"/>
        <v/>
      </c>
      <c r="DH27" s="1088">
        <f t="shared" si="225"/>
        <v>0</v>
      </c>
      <c r="DI27" s="1089" t="str">
        <f t="shared" si="226"/>
        <v/>
      </c>
      <c r="DJ27" s="1089">
        <f t="shared" si="227"/>
        <v>0</v>
      </c>
      <c r="DK27" s="1090">
        <f t="shared" si="228"/>
        <v>0</v>
      </c>
      <c r="DL27" s="1089">
        <f t="shared" si="229"/>
        <v>0</v>
      </c>
      <c r="DM27" s="1089">
        <f t="shared" si="230"/>
        <v>0</v>
      </c>
      <c r="DN27" s="1090">
        <f t="shared" si="231"/>
        <v>1559000</v>
      </c>
      <c r="DO27" s="1089">
        <f t="shared" si="232"/>
        <v>0.1977171845</v>
      </c>
      <c r="DP27" s="1089">
        <f t="shared" si="233"/>
        <v>0.3588352654</v>
      </c>
      <c r="DQ27" s="1090">
        <f t="shared" si="234"/>
        <v>1559000</v>
      </c>
      <c r="DR27" s="1091" t="str">
        <f t="shared" si="73"/>
        <v/>
      </c>
      <c r="DS27" s="1090">
        <f t="shared" si="235"/>
        <v>1559000</v>
      </c>
      <c r="DT27" s="1091" t="str">
        <f t="shared" si="75"/>
        <v/>
      </c>
      <c r="DU27" s="1088">
        <f>SUMIFS(BP_SOTIEN,BP_DA,$C27,BP_THANG,DU$2,BP_KM,$E27)/1000</f>
        <v>0</v>
      </c>
      <c r="DV27" s="1089" t="str">
        <f t="shared" si="236"/>
        <v/>
      </c>
      <c r="DW27" s="1089">
        <f t="shared" si="237"/>
        <v>0</v>
      </c>
      <c r="DX27" s="1090">
        <f>IF(NOW()&gt;=DATE(YEAR(DU$2),MONTH(DU$2)+1,DAY(DU$2)),SUMIFS(TF_SOTIEN,TF_DA,$C27,TF_THANG,DU$2,TF_KM,$E27)/1000, EA27)</f>
        <v>0</v>
      </c>
      <c r="DY27" s="1089" t="str">
        <f t="shared" si="238"/>
        <v/>
      </c>
      <c r="DZ27" s="1089">
        <f t="shared" si="239"/>
        <v>0</v>
      </c>
      <c r="EA27" s="1090">
        <f>IF(NOW()&gt;=DATE(YEAR(DU$2),MONTH(DU$2)+1,DAY(DU$2)),SUMIFS(AC_SOTIEN,AC_DA,$C27,AC_THANG,DU$2,AC_KM,$E27),SUMIFS(TF_SOTIEN,TF_DA,$C27,TF_THANG,DU$2,TF_KM,$E27))/ 1000</f>
        <v>0</v>
      </c>
      <c r="EB27" s="1089" t="str">
        <f t="shared" si="240"/>
        <v/>
      </c>
      <c r="EC27" s="1089" t="str">
        <f t="shared" si="241"/>
        <v/>
      </c>
      <c r="ED27" s="1090">
        <f t="shared" si="242"/>
        <v>0</v>
      </c>
      <c r="EE27" s="1091" t="str">
        <f t="shared" si="80"/>
        <v/>
      </c>
      <c r="EF27" s="1090">
        <f t="shared" si="243"/>
        <v>0</v>
      </c>
      <c r="EG27" s="1091" t="str">
        <f t="shared" si="82"/>
        <v/>
      </c>
      <c r="EH27" s="1088">
        <f>SUMIFS(BP_SOTIEN,BP_DA,$C27,BP_THANG,EH$2,BP_KM,$E27)/1000</f>
        <v>0</v>
      </c>
      <c r="EI27" s="1089" t="str">
        <f t="shared" si="244"/>
        <v/>
      </c>
      <c r="EJ27" s="1089">
        <f t="shared" si="245"/>
        <v>0</v>
      </c>
      <c r="EK27" s="1090">
        <f>IF(NOW()&gt;=DATE(YEAR(EH$2),MONTH(EH$2)+1,DAY(EH$2)),SUMIFS(TF_SOTIEN,TF_DA,$C27,TF_THANG,EH$2,TF_KM,$E27)/1000, EN27)</f>
        <v>0</v>
      </c>
      <c r="EL27" s="1089" t="str">
        <f t="shared" si="246"/>
        <v/>
      </c>
      <c r="EM27" s="1089">
        <f t="shared" si="247"/>
        <v>0</v>
      </c>
      <c r="EN27" s="1090">
        <f>IF(NOW()&gt;=DATE(YEAR(EH$2),MONTH(EH$2)+1,DAY(EH$2)),SUMIFS(AC_SOTIEN,AC_DA,$C27,AC_THANG,EH$2,AC_KM,$E27),SUMIFS(TF_SOTIEN,TF_DA,$C27,TF_THANG,EH$2,TF_KM,$E27))/ 1000</f>
        <v>0</v>
      </c>
      <c r="EO27" s="1089" t="str">
        <f t="shared" si="248"/>
        <v/>
      </c>
      <c r="EP27" s="1089" t="str">
        <f t="shared" si="249"/>
        <v/>
      </c>
      <c r="EQ27" s="1090">
        <f t="shared" si="250"/>
        <v>0</v>
      </c>
      <c r="ER27" s="1091" t="str">
        <f t="shared" si="87"/>
        <v/>
      </c>
      <c r="ES27" s="1090">
        <f t="shared" si="251"/>
        <v>0</v>
      </c>
      <c r="ET27" s="1091" t="str">
        <f t="shared" si="89"/>
        <v/>
      </c>
      <c r="EU27" s="1088">
        <f>SUMIFS(BP_SOTIEN,BP_DA,$C27,BP_THANG,EU$2,BP_KM,$E27)/1000</f>
        <v>0</v>
      </c>
      <c r="EV27" s="1089" t="str">
        <f t="shared" si="252"/>
        <v/>
      </c>
      <c r="EW27" s="1089">
        <f t="shared" si="253"/>
        <v>0</v>
      </c>
      <c r="EX27" s="1090">
        <f>IF(NOW()&gt;=DATE(YEAR(EU$2),MONTH(EU$2)+1,DAY(EU$2)),SUMIFS(TF_SOTIEN,TF_DA,$C27,TF_THANG,EU$2,TF_KM,$E27)/1000, FA27)</f>
        <v>0</v>
      </c>
      <c r="EY27" s="1089" t="str">
        <f t="shared" si="254"/>
        <v/>
      </c>
      <c r="EZ27" s="1089">
        <f t="shared" si="255"/>
        <v>0</v>
      </c>
      <c r="FA27" s="1090">
        <f>IF(NOW()&gt;=DATE(YEAR(EU$2),MONTH(EU$2)+1,DAY(EU$2)),SUMIFS(AC_SOTIEN,AC_DA,$C27,AC_THANG,EU$2,AC_KM,$E27),SUMIFS(TF_SOTIEN,TF_DA,$C27,TF_THANG,EU$2,TF_KM,$E27))/ 1000</f>
        <v>0</v>
      </c>
      <c r="FB27" s="1089" t="str">
        <f t="shared" si="256"/>
        <v/>
      </c>
      <c r="FC27" s="1089" t="str">
        <f t="shared" si="257"/>
        <v/>
      </c>
      <c r="FD27" s="1090">
        <f t="shared" si="258"/>
        <v>0</v>
      </c>
      <c r="FE27" s="1091" t="str">
        <f t="shared" si="94"/>
        <v/>
      </c>
      <c r="FF27" s="1090">
        <f t="shared" si="259"/>
        <v>0</v>
      </c>
      <c r="FG27" s="1091" t="str">
        <f t="shared" si="96"/>
        <v/>
      </c>
      <c r="FH27" s="1088">
        <f t="shared" si="260"/>
        <v>0</v>
      </c>
      <c r="FI27" s="1089" t="str">
        <f t="shared" si="261"/>
        <v/>
      </c>
      <c r="FJ27" s="1089">
        <f t="shared" si="262"/>
        <v>0</v>
      </c>
      <c r="FK27" s="1090">
        <f t="shared" si="263"/>
        <v>0</v>
      </c>
      <c r="FL27" s="1089" t="str">
        <f t="shared" si="264"/>
        <v/>
      </c>
      <c r="FM27" s="1089">
        <f t="shared" si="265"/>
        <v>0</v>
      </c>
      <c r="FN27" s="1090">
        <f t="shared" si="266"/>
        <v>0</v>
      </c>
      <c r="FO27" s="1089" t="str">
        <f t="shared" si="267"/>
        <v/>
      </c>
      <c r="FP27" s="1089" t="str">
        <f t="shared" si="268"/>
        <v/>
      </c>
      <c r="FQ27" s="1090">
        <f t="shared" si="269"/>
        <v>0</v>
      </c>
      <c r="FR27" s="1091" t="str">
        <f t="shared" si="104"/>
        <v/>
      </c>
      <c r="FS27" s="1090">
        <f t="shared" si="270"/>
        <v>0</v>
      </c>
      <c r="FT27" s="1091" t="str">
        <f t="shared" si="106"/>
        <v/>
      </c>
      <c r="FU27" s="1088">
        <f>SUMIFS(BP_SOTIEN,BP_DA,$C27,BP_THANG,FU$2,BP_KM,$E27)/1000</f>
        <v>0</v>
      </c>
      <c r="FV27" s="1089" t="str">
        <f t="shared" si="271"/>
        <v/>
      </c>
      <c r="FW27" s="1089">
        <f t="shared" si="272"/>
        <v>0</v>
      </c>
      <c r="FX27" s="1090">
        <f>IF(NOW()&gt;=DATE(YEAR(FU$2),MONTH(FU$2)+1,DAY(FU$2)),SUMIFS(TF_SOTIEN,TF_DA,$C27,TF_THANG,FU$2,TF_KM,$E27)/1000, GA27)</f>
        <v>0</v>
      </c>
      <c r="FY27" s="1089" t="str">
        <f t="shared" si="273"/>
        <v/>
      </c>
      <c r="FZ27" s="1089">
        <f t="shared" si="274"/>
        <v>0</v>
      </c>
      <c r="GA27" s="1090">
        <f>IF(NOW()&gt;=DATE(YEAR(FU$2),MONTH(FU$2)+1,DAY(FU$2)),SUMIFS(AC_SOTIEN,AC_DA,$C27,AC_THANG,FU$2,AC_KM,$E27),SUMIFS(TF_SOTIEN,TF_DA,$C27,TF_THANG,FU$2,TF_KM,$E27))/ 1000</f>
        <v>0</v>
      </c>
      <c r="GB27" s="1089" t="str">
        <f t="shared" si="275"/>
        <v/>
      </c>
      <c r="GC27" s="1089" t="str">
        <f t="shared" si="276"/>
        <v/>
      </c>
      <c r="GD27" s="1090">
        <f t="shared" si="277"/>
        <v>0</v>
      </c>
      <c r="GE27" s="1091" t="str">
        <f t="shared" si="111"/>
        <v/>
      </c>
      <c r="GF27" s="1090">
        <f t="shared" si="278"/>
        <v>0</v>
      </c>
      <c r="GG27" s="1091" t="str">
        <f t="shared" si="113"/>
        <v/>
      </c>
      <c r="GH27" s="1088">
        <f>SUMIFS(BP_SOTIEN,BP_DA,$C27,BP_THANG,GH$2,BP_KM,$E27)/1000</f>
        <v>0</v>
      </c>
      <c r="GI27" s="1089" t="str">
        <f t="shared" si="279"/>
        <v/>
      </c>
      <c r="GJ27" s="1089">
        <f t="shared" si="280"/>
        <v>0</v>
      </c>
      <c r="GK27" s="1090">
        <f>IF(NOW()&gt;=DATE(YEAR(GH$2),MONTH(GH$2)+1,DAY(GH$2)),SUMIFS(TF_SOTIEN,TF_DA,$C27,TF_THANG,GH$2,TF_KM,$E27)/1000, GN27)</f>
        <v>0</v>
      </c>
      <c r="GL27" s="1089" t="str">
        <f t="shared" si="281"/>
        <v/>
      </c>
      <c r="GM27" s="1089">
        <f t="shared" si="282"/>
        <v>0</v>
      </c>
      <c r="GN27" s="1090">
        <f>IF(NOW()&gt;=DATE(YEAR(GH$2),MONTH(GH$2)+1,DAY(GH$2)),SUMIFS(AC_SOTIEN,AC_DA,$C27,AC_THANG,GH$2,AC_KM,$E27),SUMIFS(TF_SOTIEN,TF_DA,$C27,TF_THANG,GH$2,TF_KM,$E27))/ 1000</f>
        <v>0</v>
      </c>
      <c r="GO27" s="1089" t="str">
        <f t="shared" si="283"/>
        <v/>
      </c>
      <c r="GP27" s="1089" t="str">
        <f t="shared" si="284"/>
        <v/>
      </c>
      <c r="GQ27" s="1090">
        <f t="shared" si="285"/>
        <v>0</v>
      </c>
      <c r="GR27" s="1091" t="str">
        <f t="shared" si="118"/>
        <v/>
      </c>
      <c r="GS27" s="1090">
        <f t="shared" si="286"/>
        <v>0</v>
      </c>
      <c r="GT27" s="1091" t="str">
        <f t="shared" si="120"/>
        <v/>
      </c>
      <c r="GU27" s="1088">
        <f>SUMIFS(BP_SOTIEN,BP_DA,$C27,BP_THANG,GU$2,BP_KM,$E27)/1000</f>
        <v>0</v>
      </c>
      <c r="GV27" s="1089" t="str">
        <f t="shared" si="287"/>
        <v/>
      </c>
      <c r="GW27" s="1089">
        <f t="shared" si="288"/>
        <v>0</v>
      </c>
      <c r="GX27" s="1090">
        <f>IF(NOW()&gt;=DATE(YEAR(GU$2),MONTH(GU$2)+1,DAY(GU$2)),SUMIFS(TF_SOTIEN,TF_DA,$C27,TF_THANG,GU$2,TF_KM,$E27)/1000, HA27)</f>
        <v>0</v>
      </c>
      <c r="GY27" s="1089" t="str">
        <f t="shared" si="289"/>
        <v/>
      </c>
      <c r="GZ27" s="1089">
        <f t="shared" si="290"/>
        <v>0</v>
      </c>
      <c r="HA27" s="1090">
        <f>IF(NOW()&gt;=DATE(YEAR(GU$2),MONTH(GU$2)+1,DAY(GU$2)),SUMIFS(AC_SOTIEN,AC_DA,$C27,AC_THANG,GU$2,AC_KM,$E27),SUMIFS(TF_SOTIEN,TF_DA,$C27,TF_THANG,GU$2,TF_KM,$E27))/ 1000</f>
        <v>0</v>
      </c>
      <c r="HB27" s="1089" t="str">
        <f t="shared" si="291"/>
        <v/>
      </c>
      <c r="HC27" s="1089" t="str">
        <f t="shared" si="292"/>
        <v/>
      </c>
      <c r="HD27" s="1090">
        <f t="shared" si="293"/>
        <v>0</v>
      </c>
      <c r="HE27" s="1091" t="str">
        <f t="shared" si="125"/>
        <v/>
      </c>
      <c r="HF27" s="1090">
        <f t="shared" si="294"/>
        <v>0</v>
      </c>
      <c r="HG27" s="1091" t="str">
        <f t="shared" si="127"/>
        <v/>
      </c>
      <c r="HH27" s="1088">
        <f t="shared" si="295"/>
        <v>0</v>
      </c>
      <c r="HI27" s="1089" t="str">
        <f t="shared" si="296"/>
        <v/>
      </c>
      <c r="HJ27" s="1089">
        <f t="shared" si="297"/>
        <v>0</v>
      </c>
      <c r="HK27" s="1090">
        <f t="shared" si="298"/>
        <v>0</v>
      </c>
      <c r="HL27" s="1089" t="str">
        <f t="shared" si="299"/>
        <v/>
      </c>
      <c r="HM27" s="1089">
        <f t="shared" si="300"/>
        <v>0</v>
      </c>
      <c r="HN27" s="1090">
        <f t="shared" si="301"/>
        <v>0</v>
      </c>
      <c r="HO27" s="1089" t="str">
        <f t="shared" si="302"/>
        <v/>
      </c>
      <c r="HP27" s="1089" t="str">
        <f t="shared" si="303"/>
        <v/>
      </c>
      <c r="HQ27" s="1090">
        <f t="shared" si="304"/>
        <v>0</v>
      </c>
      <c r="HR27" s="1091" t="str">
        <f t="shared" si="135"/>
        <v/>
      </c>
      <c r="HS27" s="1090">
        <f t="shared" si="305"/>
        <v>0</v>
      </c>
      <c r="HT27" s="1091" t="str">
        <f t="shared" si="137"/>
        <v/>
      </c>
      <c r="HU27" s="1088">
        <f t="shared" si="306"/>
        <v>0</v>
      </c>
      <c r="HV27" s="1089" t="str">
        <f t="shared" si="307"/>
        <v/>
      </c>
      <c r="HW27" s="1089">
        <f t="shared" si="308"/>
        <v>0</v>
      </c>
      <c r="HX27" s="1090">
        <f t="shared" si="309"/>
        <v>0</v>
      </c>
      <c r="HY27" s="1089" t="str">
        <f t="shared" si="310"/>
        <v/>
      </c>
      <c r="HZ27" s="1089">
        <f t="shared" si="311"/>
        <v>0</v>
      </c>
      <c r="IA27" s="1090">
        <f t="shared" si="312"/>
        <v>0</v>
      </c>
      <c r="IB27" s="1089" t="str">
        <f t="shared" si="313"/>
        <v/>
      </c>
      <c r="IC27" s="1089" t="str">
        <f t="shared" si="314"/>
        <v/>
      </c>
      <c r="ID27" s="1090">
        <f t="shared" si="315"/>
        <v>0</v>
      </c>
      <c r="IE27" s="1091" t="str">
        <f t="shared" si="145"/>
        <v/>
      </c>
      <c r="IF27" s="1090">
        <f t="shared" si="316"/>
        <v>0</v>
      </c>
      <c r="IG27" s="1091" t="str">
        <f t="shared" si="147"/>
        <v/>
      </c>
      <c r="IH27" s="1088">
        <f t="shared" si="317"/>
        <v>0</v>
      </c>
      <c r="II27" s="1089" t="str">
        <f t="shared" si="318"/>
        <v/>
      </c>
      <c r="IJ27" s="1089">
        <f t="shared" si="319"/>
        <v>0</v>
      </c>
      <c r="IK27" s="1090">
        <f t="shared" si="320"/>
        <v>0</v>
      </c>
      <c r="IL27" s="1089">
        <f t="shared" si="321"/>
        <v>0</v>
      </c>
      <c r="IM27" s="1089">
        <f t="shared" si="322"/>
        <v>0</v>
      </c>
      <c r="IN27" s="1090">
        <f t="shared" si="323"/>
        <v>1559000</v>
      </c>
      <c r="IO27" s="1089">
        <f t="shared" si="324"/>
        <v>0.1977171845</v>
      </c>
      <c r="IP27" s="1089">
        <f t="shared" si="325"/>
        <v>0.3588352654</v>
      </c>
      <c r="IQ27" s="1090">
        <f t="shared" si="326"/>
        <v>1559000</v>
      </c>
      <c r="IR27" s="1091" t="str">
        <f t="shared" si="1"/>
        <v/>
      </c>
      <c r="IS27" s="1090">
        <f t="shared" si="327"/>
        <v>1559000</v>
      </c>
      <c r="IT27" s="1091" t="str">
        <f t="shared" si="2"/>
        <v/>
      </c>
    </row>
    <row r="28" hidden="1" outlineLevel="1">
      <c r="A28" s="1086">
        <f t="shared" si="330"/>
        <v>6</v>
      </c>
      <c r="B28" s="1087" t="s">
        <v>2069</v>
      </c>
      <c r="C28" s="1087" t="s">
        <v>875</v>
      </c>
      <c r="D28" s="1087" t="str">
        <f>IF(C28&gt;0,VLOOKUP(C28,DM_DUAN ,2,"") ,IF(B28&gt;0,VLOOKUP(B28,DM_CDT,2,""),""))</f>
        <v>Sản phẩm Long Khánh 2</v>
      </c>
      <c r="E28" s="1087" t="s">
        <v>187</v>
      </c>
      <c r="F28" s="1087"/>
      <c r="G28" s="1086">
        <v>2.0</v>
      </c>
      <c r="H28" s="1088">
        <f>SUMIFS(BP_SOTIEN,BP_DA,$C28,BP_THANG,H$2,BP_KM,$E28)/1000</f>
        <v>0</v>
      </c>
      <c r="I28" s="1089" t="str">
        <f t="shared" si="156"/>
        <v/>
      </c>
      <c r="J28" s="1089" t="str">
        <f t="shared" si="157"/>
        <v/>
      </c>
      <c r="K28" s="1090">
        <f>IF(NOW()&gt;=DATE(YEAR(H$2),MONTH(H$2)+1,DAY(H$2)),SUMIFS(TF_SOTIEN,TF_DA,$C28,TF_THANG,H$2,TF_KM,$E28)/1000, N28)</f>
        <v>0</v>
      </c>
      <c r="L28" s="1089" t="str">
        <f t="shared" si="158"/>
        <v/>
      </c>
      <c r="M28" s="1089">
        <f t="shared" si="331"/>
        <v>0</v>
      </c>
      <c r="N28" s="1090">
        <f>IF(NOW()&gt;=DATE(YEAR(H$2),MONTH(H$2)+1,DAY(H$2)),SUMIFS(AC_SOTIEN,AC_DA,$C28,AC_THANG,H$2,AC_KM,$E28),SUMIFS(TF_SOTIEN,TF_DA,$C28,TF_THANG,H$2,TF_KM,$E28))/ 1000</f>
        <v>0</v>
      </c>
      <c r="O28" s="1089" t="str">
        <f t="shared" si="159"/>
        <v/>
      </c>
      <c r="P28" s="1089">
        <f t="shared" si="160"/>
        <v>0</v>
      </c>
      <c r="Q28" s="1090">
        <f t="shared" si="161"/>
        <v>0</v>
      </c>
      <c r="R28" s="1091" t="str">
        <f t="shared" si="8"/>
        <v/>
      </c>
      <c r="S28" s="1090">
        <f t="shared" si="162"/>
        <v>0</v>
      </c>
      <c r="T28" s="1091" t="str">
        <f t="shared" si="10"/>
        <v/>
      </c>
      <c r="U28" s="1088">
        <f>SUMIFS(BP_SOTIEN,BP_DA,$C28,BP_THANG,U$2,BP_KM,$E28)/1000</f>
        <v>0</v>
      </c>
      <c r="V28" s="1089" t="str">
        <f t="shared" si="163"/>
        <v/>
      </c>
      <c r="W28" s="1089" t="str">
        <f t="shared" si="164"/>
        <v/>
      </c>
      <c r="X28" s="1090">
        <f>IF(NOW()&gt;=DATE(YEAR(U$2),MONTH(U$2)+1,DAY(U$2)),SUMIFS(TF_SOTIEN,TF_DA,$C28,TF_THANG,U$2,TF_KM,$E28)/1000, AA28)</f>
        <v>0</v>
      </c>
      <c r="Y28" s="1089" t="str">
        <f t="shared" si="165"/>
        <v/>
      </c>
      <c r="Z28" s="1089" t="str">
        <f t="shared" si="166"/>
        <v/>
      </c>
      <c r="AA28" s="1090">
        <f>IF(NOW()&gt;=DATE(YEAR(U$2),MONTH(U$2)+1,DAY(U$2)),SUMIFS(AC_SOTIEN,AC_DA,$C28,AC_THANG,U$2,AC_KM,$E28),SUMIFS(TF_SOTIEN,TF_DA,$C28,TF_THANG,U$2,TF_KM,$E28))/ 1000</f>
        <v>0</v>
      </c>
      <c r="AB28" s="1089" t="str">
        <f t="shared" si="167"/>
        <v/>
      </c>
      <c r="AC28" s="1089">
        <f t="shared" si="168"/>
        <v>0</v>
      </c>
      <c r="AD28" s="1090">
        <f t="shared" si="169"/>
        <v>0</v>
      </c>
      <c r="AE28" s="1091" t="str">
        <f t="shared" si="15"/>
        <v/>
      </c>
      <c r="AF28" s="1090">
        <f t="shared" si="170"/>
        <v>0</v>
      </c>
      <c r="AG28" s="1091" t="str">
        <f t="shared" si="17"/>
        <v/>
      </c>
      <c r="AH28" s="1088">
        <f>SUMIFS(BP_SOTIEN,BP_DA,$C28,BP_THANG,AH$2,BP_KM,$E28)/1000</f>
        <v>0</v>
      </c>
      <c r="AI28" s="1089" t="str">
        <f t="shared" si="171"/>
        <v/>
      </c>
      <c r="AJ28" s="1089" t="str">
        <f t="shared" si="172"/>
        <v/>
      </c>
      <c r="AK28" s="1090">
        <f>IF(NOW()&gt;=DATE(YEAR(AH$2),MONTH(AH$2)+1,DAY(AH$2)),SUMIFS(TF_SOTIEN,TF_DA,$C28,TF_THANG,AH$2,TF_KM,$E28)/1000, AN28)</f>
        <v>0</v>
      </c>
      <c r="AL28" s="1089" t="str">
        <f t="shared" si="173"/>
        <v/>
      </c>
      <c r="AM28" s="1089">
        <f t="shared" si="174"/>
        <v>0</v>
      </c>
      <c r="AN28" s="1090">
        <f>IF(NOW()&gt;=DATE(YEAR(AH$2),MONTH(AH$2)+1,DAY(AH$2)),SUMIFS(AC_SOTIEN,AC_DA,$C28,AC_THANG,AH$2,AC_KM,$E28),SUMIFS(TF_SOTIEN,TF_DA,$C28,TF_THANG,AH$2,TF_KM,$E28))/ 1000</f>
        <v>0</v>
      </c>
      <c r="AO28" s="1089" t="str">
        <f t="shared" si="175"/>
        <v/>
      </c>
      <c r="AP28" s="1089">
        <f t="shared" si="176"/>
        <v>0</v>
      </c>
      <c r="AQ28" s="1090">
        <f t="shared" si="177"/>
        <v>0</v>
      </c>
      <c r="AR28" s="1091" t="str">
        <f t="shared" si="22"/>
        <v/>
      </c>
      <c r="AS28" s="1090">
        <f t="shared" si="178"/>
        <v>0</v>
      </c>
      <c r="AT28" s="1091" t="str">
        <f t="shared" si="24"/>
        <v/>
      </c>
      <c r="AU28" s="1088">
        <f t="shared" si="179"/>
        <v>0</v>
      </c>
      <c r="AV28" s="1089" t="str">
        <f t="shared" si="180"/>
        <v/>
      </c>
      <c r="AW28" s="1089" t="str">
        <f t="shared" si="181"/>
        <v/>
      </c>
      <c r="AX28" s="1090">
        <f t="shared" si="182"/>
        <v>0</v>
      </c>
      <c r="AY28" s="1089" t="str">
        <f t="shared" si="183"/>
        <v/>
      </c>
      <c r="AZ28" s="1089">
        <f t="shared" si="184"/>
        <v>0</v>
      </c>
      <c r="BA28" s="1090">
        <f t="shared" si="185"/>
        <v>0</v>
      </c>
      <c r="BB28" s="1089" t="str">
        <f t="shared" si="186"/>
        <v/>
      </c>
      <c r="BC28" s="1089">
        <f t="shared" si="187"/>
        <v>0</v>
      </c>
      <c r="BD28" s="1090">
        <f t="shared" si="188"/>
        <v>0</v>
      </c>
      <c r="BE28" s="1091" t="str">
        <f t="shared" si="32"/>
        <v/>
      </c>
      <c r="BF28" s="1090">
        <f t="shared" si="189"/>
        <v>0</v>
      </c>
      <c r="BG28" s="1091" t="str">
        <f t="shared" si="34"/>
        <v/>
      </c>
      <c r="BH28" s="1088">
        <f>SUMIFS(BP_SOTIEN,BP_DA,$C28,BP_THANG,BH$2,BP_KM,$E28)/1000</f>
        <v>0</v>
      </c>
      <c r="BI28" s="1089" t="str">
        <f t="shared" si="190"/>
        <v/>
      </c>
      <c r="BJ28" s="1089">
        <f t="shared" si="191"/>
        <v>0</v>
      </c>
      <c r="BK28" s="1090">
        <f>IF(NOW()&gt;=DATE(YEAR(BH$2),MONTH(BH$2)+1,DAY(BH$2)),SUMIFS(TF_SOTIEN,TF_DA,$C28,TF_THANG,BH$2,TF_KM,$E28)/1000, BN28)</f>
        <v>0</v>
      </c>
      <c r="BL28" s="1089" t="str">
        <f t="shared" si="192"/>
        <v/>
      </c>
      <c r="BM28" s="1089" t="str">
        <f t="shared" si="193"/>
        <v/>
      </c>
      <c r="BN28" s="1090">
        <f>IF(NOW()&gt;=DATE(YEAR(BH$2),MONTH(BH$2)+1,DAY(BH$2)),SUMIFS(AC_SOTIEN,AC_DA,$C28,AC_THANG,BH$2,AC_KM,$E28),SUMIFS(TF_SOTIEN,TF_DA,$C28,TF_THANG,BH$2,TF_KM,$E28))/ 1000</f>
        <v>0</v>
      </c>
      <c r="BO28" s="1089" t="str">
        <f t="shared" si="194"/>
        <v/>
      </c>
      <c r="BP28" s="1089">
        <f t="shared" si="195"/>
        <v>0</v>
      </c>
      <c r="BQ28" s="1090">
        <f t="shared" si="196"/>
        <v>0</v>
      </c>
      <c r="BR28" s="1091" t="str">
        <f t="shared" si="39"/>
        <v/>
      </c>
      <c r="BS28" s="1090">
        <f t="shared" si="197"/>
        <v>0</v>
      </c>
      <c r="BT28" s="1091" t="str">
        <f t="shared" si="41"/>
        <v/>
      </c>
      <c r="BU28" s="1088">
        <f>SUMIFS(BP_SOTIEN,BP_DA,$C28,BP_THANG,BU$2,BP_KM,$E28)/1000</f>
        <v>0</v>
      </c>
      <c r="BV28" s="1089" t="str">
        <f t="shared" si="198"/>
        <v/>
      </c>
      <c r="BW28" s="1089">
        <f t="shared" si="199"/>
        <v>0</v>
      </c>
      <c r="BX28" s="1090">
        <f>IF(NOW()&gt;=DATE(YEAR(BU$2),MONTH(BU$2)+1,DAY(BU$2)),SUMIFS(TF_SOTIEN,TF_DA,$C28,TF_THANG,BU$2,TF_KM,$E28)/1000, CA28)</f>
        <v>0</v>
      </c>
      <c r="BY28" s="1089" t="str">
        <f t="shared" si="200"/>
        <v/>
      </c>
      <c r="BZ28" s="1089">
        <f t="shared" si="201"/>
        <v>0</v>
      </c>
      <c r="CA28" s="1090">
        <f>IF(NOW()&gt;=DATE(YEAR(BU$2),MONTH(BU$2)+1,DAY(BU$2)),SUMIFS(AC_SOTIEN,AC_DA,$C28,AC_THANG,BU$2,AC_KM,$E28),SUMIFS(TF_SOTIEN,TF_DA,$C28,TF_THANG,BU$2,TF_KM,$E28))/ 1000</f>
        <v>0</v>
      </c>
      <c r="CB28" s="1089" t="str">
        <f t="shared" si="202"/>
        <v/>
      </c>
      <c r="CC28" s="1089">
        <f t="shared" si="203"/>
        <v>0</v>
      </c>
      <c r="CD28" s="1090">
        <f t="shared" si="204"/>
        <v>0</v>
      </c>
      <c r="CE28" s="1091" t="str">
        <f t="shared" si="46"/>
        <v/>
      </c>
      <c r="CF28" s="1090">
        <f t="shared" si="205"/>
        <v>0</v>
      </c>
      <c r="CG28" s="1091" t="str">
        <f t="shared" si="48"/>
        <v/>
      </c>
      <c r="CH28" s="1088">
        <f>SUMIFS(BP_SOTIEN,BP_DA,$C28,BP_THANG,CH$2,BP_KM,$E28)/1000</f>
        <v>0</v>
      </c>
      <c r="CI28" s="1089" t="str">
        <f t="shared" si="206"/>
        <v/>
      </c>
      <c r="CJ28" s="1089">
        <f t="shared" si="207"/>
        <v>0</v>
      </c>
      <c r="CK28" s="1090">
        <f>IF(NOW()&gt;=DATE(YEAR(CH$2),MONTH(CH$2)+1,DAY(CH$2)),SUMIFS(TF_SOTIEN,TF_DA,$C28,TF_THANG,CH$2,TF_KM,$E28)/1000, CN28)</f>
        <v>0</v>
      </c>
      <c r="CL28" s="1089" t="str">
        <f t="shared" si="208"/>
        <v/>
      </c>
      <c r="CM28" s="1089" t="str">
        <f t="shared" si="209"/>
        <v/>
      </c>
      <c r="CN28" s="1090">
        <f>IF(NOW()&gt;=DATE(YEAR(CH$2),MONTH(CH$2)+1,DAY(CH$2)),SUMIFS(AC_SOTIEN,AC_DA,$C28,AC_THANG,CH$2,AC_KM,$E28),SUMIFS(TF_SOTIEN,TF_DA,$C28,TF_THANG,CH$2,TF_KM,$E28))/ 1000</f>
        <v>0</v>
      </c>
      <c r="CO28" s="1089" t="str">
        <f t="shared" si="210"/>
        <v/>
      </c>
      <c r="CP28" s="1089" t="str">
        <f t="shared" si="211"/>
        <v/>
      </c>
      <c r="CQ28" s="1090">
        <f t="shared" si="212"/>
        <v>0</v>
      </c>
      <c r="CR28" s="1091" t="str">
        <f t="shared" si="53"/>
        <v/>
      </c>
      <c r="CS28" s="1090">
        <f t="shared" si="213"/>
        <v>0</v>
      </c>
      <c r="CT28" s="1091" t="str">
        <f t="shared" si="55"/>
        <v/>
      </c>
      <c r="CU28" s="1088">
        <f t="shared" si="214"/>
        <v>0</v>
      </c>
      <c r="CV28" s="1089" t="str">
        <f t="shared" si="215"/>
        <v/>
      </c>
      <c r="CW28" s="1089">
        <f t="shared" si="216"/>
        <v>0</v>
      </c>
      <c r="CX28" s="1090">
        <f t="shared" si="217"/>
        <v>0</v>
      </c>
      <c r="CY28" s="1089" t="str">
        <f t="shared" si="218"/>
        <v/>
      </c>
      <c r="CZ28" s="1089">
        <f t="shared" si="219"/>
        <v>0</v>
      </c>
      <c r="DA28" s="1090">
        <f t="shared" si="220"/>
        <v>0</v>
      </c>
      <c r="DB28" s="1089" t="str">
        <f t="shared" si="221"/>
        <v/>
      </c>
      <c r="DC28" s="1089">
        <f t="shared" si="222"/>
        <v>0</v>
      </c>
      <c r="DD28" s="1090">
        <f t="shared" si="223"/>
        <v>0</v>
      </c>
      <c r="DE28" s="1091" t="str">
        <f t="shared" si="63"/>
        <v/>
      </c>
      <c r="DF28" s="1090">
        <f t="shared" si="224"/>
        <v>0</v>
      </c>
      <c r="DG28" s="1091" t="str">
        <f t="shared" si="65"/>
        <v/>
      </c>
      <c r="DH28" s="1088">
        <f t="shared" si="225"/>
        <v>0</v>
      </c>
      <c r="DI28" s="1089" t="str">
        <f t="shared" si="226"/>
        <v/>
      </c>
      <c r="DJ28" s="1089">
        <f t="shared" si="227"/>
        <v>0</v>
      </c>
      <c r="DK28" s="1090">
        <f t="shared" si="228"/>
        <v>0</v>
      </c>
      <c r="DL28" s="1089" t="str">
        <f t="shared" si="229"/>
        <v/>
      </c>
      <c r="DM28" s="1089">
        <f t="shared" si="230"/>
        <v>0</v>
      </c>
      <c r="DN28" s="1090">
        <f t="shared" si="231"/>
        <v>0</v>
      </c>
      <c r="DO28" s="1089" t="str">
        <f t="shared" si="232"/>
        <v/>
      </c>
      <c r="DP28" s="1089">
        <f t="shared" si="233"/>
        <v>0</v>
      </c>
      <c r="DQ28" s="1090">
        <f t="shared" si="234"/>
        <v>0</v>
      </c>
      <c r="DR28" s="1091" t="str">
        <f t="shared" si="73"/>
        <v/>
      </c>
      <c r="DS28" s="1090">
        <f t="shared" si="235"/>
        <v>0</v>
      </c>
      <c r="DT28" s="1091" t="str">
        <f t="shared" si="75"/>
        <v/>
      </c>
      <c r="DU28" s="1088">
        <f>SUMIFS(BP_SOTIEN,BP_DA,$C28,BP_THANG,DU$2,BP_KM,$E28)/1000</f>
        <v>0</v>
      </c>
      <c r="DV28" s="1089" t="str">
        <f t="shared" si="236"/>
        <v/>
      </c>
      <c r="DW28" s="1089">
        <f t="shared" si="237"/>
        <v>0</v>
      </c>
      <c r="DX28" s="1090">
        <f>IF(NOW()&gt;=DATE(YEAR(DU$2),MONTH(DU$2)+1,DAY(DU$2)),SUMIFS(TF_SOTIEN,TF_DA,$C28,TF_THANG,DU$2,TF_KM,$E28)/1000, EA28)</f>
        <v>0</v>
      </c>
      <c r="DY28" s="1089" t="str">
        <f t="shared" si="238"/>
        <v/>
      </c>
      <c r="DZ28" s="1089">
        <f t="shared" si="239"/>
        <v>0</v>
      </c>
      <c r="EA28" s="1090">
        <f>IF(NOW()&gt;=DATE(YEAR(DU$2),MONTH(DU$2)+1,DAY(DU$2)),SUMIFS(AC_SOTIEN,AC_DA,$C28,AC_THANG,DU$2,AC_KM,$E28),SUMIFS(TF_SOTIEN,TF_DA,$C28,TF_THANG,DU$2,TF_KM,$E28))/ 1000</f>
        <v>0</v>
      </c>
      <c r="EB28" s="1089" t="str">
        <f t="shared" si="240"/>
        <v/>
      </c>
      <c r="EC28" s="1089" t="str">
        <f t="shared" si="241"/>
        <v/>
      </c>
      <c r="ED28" s="1090">
        <f t="shared" si="242"/>
        <v>0</v>
      </c>
      <c r="EE28" s="1091" t="str">
        <f t="shared" si="80"/>
        <v/>
      </c>
      <c r="EF28" s="1090">
        <f t="shared" si="243"/>
        <v>0</v>
      </c>
      <c r="EG28" s="1091" t="str">
        <f t="shared" si="82"/>
        <v/>
      </c>
      <c r="EH28" s="1088">
        <f>SUMIFS(BP_SOTIEN,BP_DA,$C28,BP_THANG,EH$2,BP_KM,$E28)/1000</f>
        <v>0</v>
      </c>
      <c r="EI28" s="1089" t="str">
        <f t="shared" si="244"/>
        <v/>
      </c>
      <c r="EJ28" s="1089">
        <f t="shared" si="245"/>
        <v>0</v>
      </c>
      <c r="EK28" s="1090">
        <f>IF(NOW()&gt;=DATE(YEAR(EH$2),MONTH(EH$2)+1,DAY(EH$2)),SUMIFS(TF_SOTIEN,TF_DA,$C28,TF_THANG,EH$2,TF_KM,$E28)/1000, EN28)</f>
        <v>0</v>
      </c>
      <c r="EL28" s="1089" t="str">
        <f t="shared" si="246"/>
        <v/>
      </c>
      <c r="EM28" s="1089">
        <f t="shared" si="247"/>
        <v>0</v>
      </c>
      <c r="EN28" s="1090">
        <f>IF(NOW()&gt;=DATE(YEAR(EH$2),MONTH(EH$2)+1,DAY(EH$2)),SUMIFS(AC_SOTIEN,AC_DA,$C28,AC_THANG,EH$2,AC_KM,$E28),SUMIFS(TF_SOTIEN,TF_DA,$C28,TF_THANG,EH$2,TF_KM,$E28))/ 1000</f>
        <v>0</v>
      </c>
      <c r="EO28" s="1089" t="str">
        <f t="shared" si="248"/>
        <v/>
      </c>
      <c r="EP28" s="1089" t="str">
        <f t="shared" si="249"/>
        <v/>
      </c>
      <c r="EQ28" s="1090">
        <f t="shared" si="250"/>
        <v>0</v>
      </c>
      <c r="ER28" s="1091" t="str">
        <f t="shared" si="87"/>
        <v/>
      </c>
      <c r="ES28" s="1090">
        <f t="shared" si="251"/>
        <v>0</v>
      </c>
      <c r="ET28" s="1091" t="str">
        <f t="shared" si="89"/>
        <v/>
      </c>
      <c r="EU28" s="1088">
        <f>SUMIFS(BP_SOTIEN,BP_DA,$C28,BP_THANG,EU$2,BP_KM,$E28)/1000</f>
        <v>0</v>
      </c>
      <c r="EV28" s="1089" t="str">
        <f t="shared" si="252"/>
        <v/>
      </c>
      <c r="EW28" s="1089">
        <f t="shared" si="253"/>
        <v>0</v>
      </c>
      <c r="EX28" s="1090">
        <f>IF(NOW()&gt;=DATE(YEAR(EU$2),MONTH(EU$2)+1,DAY(EU$2)),SUMIFS(TF_SOTIEN,TF_DA,$C28,TF_THANG,EU$2,TF_KM,$E28)/1000, FA28)</f>
        <v>0</v>
      </c>
      <c r="EY28" s="1089" t="str">
        <f t="shared" si="254"/>
        <v/>
      </c>
      <c r="EZ28" s="1089">
        <f t="shared" si="255"/>
        <v>0</v>
      </c>
      <c r="FA28" s="1090">
        <f>IF(NOW()&gt;=DATE(YEAR(EU$2),MONTH(EU$2)+1,DAY(EU$2)),SUMIFS(AC_SOTIEN,AC_DA,$C28,AC_THANG,EU$2,AC_KM,$E28),SUMIFS(TF_SOTIEN,TF_DA,$C28,TF_THANG,EU$2,TF_KM,$E28))/ 1000</f>
        <v>0</v>
      </c>
      <c r="FB28" s="1089" t="str">
        <f t="shared" si="256"/>
        <v/>
      </c>
      <c r="FC28" s="1089" t="str">
        <f t="shared" si="257"/>
        <v/>
      </c>
      <c r="FD28" s="1090">
        <f t="shared" si="258"/>
        <v>0</v>
      </c>
      <c r="FE28" s="1091" t="str">
        <f t="shared" si="94"/>
        <v/>
      </c>
      <c r="FF28" s="1090">
        <f t="shared" si="259"/>
        <v>0</v>
      </c>
      <c r="FG28" s="1091" t="str">
        <f t="shared" si="96"/>
        <v/>
      </c>
      <c r="FH28" s="1088">
        <f t="shared" si="260"/>
        <v>0</v>
      </c>
      <c r="FI28" s="1089" t="str">
        <f t="shared" si="261"/>
        <v/>
      </c>
      <c r="FJ28" s="1089">
        <f t="shared" si="262"/>
        <v>0</v>
      </c>
      <c r="FK28" s="1090">
        <f t="shared" si="263"/>
        <v>0</v>
      </c>
      <c r="FL28" s="1089" t="str">
        <f t="shared" si="264"/>
        <v/>
      </c>
      <c r="FM28" s="1089">
        <f t="shared" si="265"/>
        <v>0</v>
      </c>
      <c r="FN28" s="1090">
        <f t="shared" si="266"/>
        <v>0</v>
      </c>
      <c r="FO28" s="1089" t="str">
        <f t="shared" si="267"/>
        <v/>
      </c>
      <c r="FP28" s="1089" t="str">
        <f t="shared" si="268"/>
        <v/>
      </c>
      <c r="FQ28" s="1090">
        <f t="shared" si="269"/>
        <v>0</v>
      </c>
      <c r="FR28" s="1091" t="str">
        <f t="shared" si="104"/>
        <v/>
      </c>
      <c r="FS28" s="1090">
        <f t="shared" si="270"/>
        <v>0</v>
      </c>
      <c r="FT28" s="1091" t="str">
        <f t="shared" si="106"/>
        <v/>
      </c>
      <c r="FU28" s="1088">
        <f>SUMIFS(BP_SOTIEN,BP_DA,$C28,BP_THANG,FU$2,BP_KM,$E28)/1000</f>
        <v>0</v>
      </c>
      <c r="FV28" s="1089" t="str">
        <f t="shared" si="271"/>
        <v/>
      </c>
      <c r="FW28" s="1089">
        <f t="shared" si="272"/>
        <v>0</v>
      </c>
      <c r="FX28" s="1090">
        <f>IF(NOW()&gt;=DATE(YEAR(FU$2),MONTH(FU$2)+1,DAY(FU$2)),SUMIFS(TF_SOTIEN,TF_DA,$C28,TF_THANG,FU$2,TF_KM,$E28)/1000, GA28)</f>
        <v>0</v>
      </c>
      <c r="FY28" s="1089" t="str">
        <f t="shared" si="273"/>
        <v/>
      </c>
      <c r="FZ28" s="1089">
        <f t="shared" si="274"/>
        <v>0</v>
      </c>
      <c r="GA28" s="1090">
        <f>IF(NOW()&gt;=DATE(YEAR(FU$2),MONTH(FU$2)+1,DAY(FU$2)),SUMIFS(AC_SOTIEN,AC_DA,$C28,AC_THANG,FU$2,AC_KM,$E28),SUMIFS(TF_SOTIEN,TF_DA,$C28,TF_THANG,FU$2,TF_KM,$E28))/ 1000</f>
        <v>0</v>
      </c>
      <c r="GB28" s="1089" t="str">
        <f t="shared" si="275"/>
        <v/>
      </c>
      <c r="GC28" s="1089" t="str">
        <f t="shared" si="276"/>
        <v/>
      </c>
      <c r="GD28" s="1090">
        <f t="shared" si="277"/>
        <v>0</v>
      </c>
      <c r="GE28" s="1091" t="str">
        <f t="shared" si="111"/>
        <v/>
      </c>
      <c r="GF28" s="1090">
        <f t="shared" si="278"/>
        <v>0</v>
      </c>
      <c r="GG28" s="1091" t="str">
        <f t="shared" si="113"/>
        <v/>
      </c>
      <c r="GH28" s="1088">
        <f>SUMIFS(BP_SOTIEN,BP_DA,$C28,BP_THANG,GH$2,BP_KM,$E28)/1000</f>
        <v>0</v>
      </c>
      <c r="GI28" s="1089" t="str">
        <f t="shared" si="279"/>
        <v/>
      </c>
      <c r="GJ28" s="1089">
        <f t="shared" si="280"/>
        <v>0</v>
      </c>
      <c r="GK28" s="1090">
        <f>IF(NOW()&gt;=DATE(YEAR(GH$2),MONTH(GH$2)+1,DAY(GH$2)),SUMIFS(TF_SOTIEN,TF_DA,$C28,TF_THANG,GH$2,TF_KM,$E28)/1000, GN28)</f>
        <v>0</v>
      </c>
      <c r="GL28" s="1089" t="str">
        <f t="shared" si="281"/>
        <v/>
      </c>
      <c r="GM28" s="1089">
        <f t="shared" si="282"/>
        <v>0</v>
      </c>
      <c r="GN28" s="1090">
        <f>IF(NOW()&gt;=DATE(YEAR(GH$2),MONTH(GH$2)+1,DAY(GH$2)),SUMIFS(AC_SOTIEN,AC_DA,$C28,AC_THANG,GH$2,AC_KM,$E28),SUMIFS(TF_SOTIEN,TF_DA,$C28,TF_THANG,GH$2,TF_KM,$E28))/ 1000</f>
        <v>0</v>
      </c>
      <c r="GO28" s="1089" t="str">
        <f t="shared" si="283"/>
        <v/>
      </c>
      <c r="GP28" s="1089" t="str">
        <f t="shared" si="284"/>
        <v/>
      </c>
      <c r="GQ28" s="1090">
        <f t="shared" si="285"/>
        <v>0</v>
      </c>
      <c r="GR28" s="1091" t="str">
        <f t="shared" si="118"/>
        <v/>
      </c>
      <c r="GS28" s="1090">
        <f t="shared" si="286"/>
        <v>0</v>
      </c>
      <c r="GT28" s="1091" t="str">
        <f t="shared" si="120"/>
        <v/>
      </c>
      <c r="GU28" s="1088">
        <f>SUMIFS(BP_SOTIEN,BP_DA,$C28,BP_THANG,GU$2,BP_KM,$E28)/1000</f>
        <v>0</v>
      </c>
      <c r="GV28" s="1089" t="str">
        <f t="shared" si="287"/>
        <v/>
      </c>
      <c r="GW28" s="1089">
        <f t="shared" si="288"/>
        <v>0</v>
      </c>
      <c r="GX28" s="1090">
        <f>IF(NOW()&gt;=DATE(YEAR(GU$2),MONTH(GU$2)+1,DAY(GU$2)),SUMIFS(TF_SOTIEN,TF_DA,$C28,TF_THANG,GU$2,TF_KM,$E28)/1000, HA28)</f>
        <v>0</v>
      </c>
      <c r="GY28" s="1089" t="str">
        <f t="shared" si="289"/>
        <v/>
      </c>
      <c r="GZ28" s="1089">
        <f t="shared" si="290"/>
        <v>0</v>
      </c>
      <c r="HA28" s="1090">
        <f>IF(NOW()&gt;=DATE(YEAR(GU$2),MONTH(GU$2)+1,DAY(GU$2)),SUMIFS(AC_SOTIEN,AC_DA,$C28,AC_THANG,GU$2,AC_KM,$E28),SUMIFS(TF_SOTIEN,TF_DA,$C28,TF_THANG,GU$2,TF_KM,$E28))/ 1000</f>
        <v>0</v>
      </c>
      <c r="HB28" s="1089" t="str">
        <f t="shared" si="291"/>
        <v/>
      </c>
      <c r="HC28" s="1089" t="str">
        <f t="shared" si="292"/>
        <v/>
      </c>
      <c r="HD28" s="1090">
        <f t="shared" si="293"/>
        <v>0</v>
      </c>
      <c r="HE28" s="1091" t="str">
        <f t="shared" si="125"/>
        <v/>
      </c>
      <c r="HF28" s="1090">
        <f t="shared" si="294"/>
        <v>0</v>
      </c>
      <c r="HG28" s="1091" t="str">
        <f t="shared" si="127"/>
        <v/>
      </c>
      <c r="HH28" s="1088">
        <f t="shared" si="295"/>
        <v>0</v>
      </c>
      <c r="HI28" s="1089" t="str">
        <f t="shared" si="296"/>
        <v/>
      </c>
      <c r="HJ28" s="1089">
        <f t="shared" si="297"/>
        <v>0</v>
      </c>
      <c r="HK28" s="1090">
        <f t="shared" si="298"/>
        <v>0</v>
      </c>
      <c r="HL28" s="1089" t="str">
        <f t="shared" si="299"/>
        <v/>
      </c>
      <c r="HM28" s="1089">
        <f t="shared" si="300"/>
        <v>0</v>
      </c>
      <c r="HN28" s="1090">
        <f t="shared" si="301"/>
        <v>0</v>
      </c>
      <c r="HO28" s="1089" t="str">
        <f t="shared" si="302"/>
        <v/>
      </c>
      <c r="HP28" s="1089" t="str">
        <f t="shared" si="303"/>
        <v/>
      </c>
      <c r="HQ28" s="1090">
        <f t="shared" si="304"/>
        <v>0</v>
      </c>
      <c r="HR28" s="1091" t="str">
        <f t="shared" si="135"/>
        <v/>
      </c>
      <c r="HS28" s="1090">
        <f t="shared" si="305"/>
        <v>0</v>
      </c>
      <c r="HT28" s="1091" t="str">
        <f t="shared" si="137"/>
        <v/>
      </c>
      <c r="HU28" s="1088">
        <f t="shared" si="306"/>
        <v>0</v>
      </c>
      <c r="HV28" s="1089" t="str">
        <f t="shared" si="307"/>
        <v/>
      </c>
      <c r="HW28" s="1089">
        <f t="shared" si="308"/>
        <v>0</v>
      </c>
      <c r="HX28" s="1090">
        <f t="shared" si="309"/>
        <v>0</v>
      </c>
      <c r="HY28" s="1089" t="str">
        <f t="shared" si="310"/>
        <v/>
      </c>
      <c r="HZ28" s="1089">
        <f t="shared" si="311"/>
        <v>0</v>
      </c>
      <c r="IA28" s="1090">
        <f t="shared" si="312"/>
        <v>0</v>
      </c>
      <c r="IB28" s="1089" t="str">
        <f t="shared" si="313"/>
        <v/>
      </c>
      <c r="IC28" s="1089" t="str">
        <f t="shared" si="314"/>
        <v/>
      </c>
      <c r="ID28" s="1090">
        <f t="shared" si="315"/>
        <v>0</v>
      </c>
      <c r="IE28" s="1091" t="str">
        <f t="shared" si="145"/>
        <v/>
      </c>
      <c r="IF28" s="1090">
        <f t="shared" si="316"/>
        <v>0</v>
      </c>
      <c r="IG28" s="1091" t="str">
        <f t="shared" si="147"/>
        <v/>
      </c>
      <c r="IH28" s="1088">
        <f t="shared" si="317"/>
        <v>0</v>
      </c>
      <c r="II28" s="1089" t="str">
        <f t="shared" si="318"/>
        <v/>
      </c>
      <c r="IJ28" s="1089">
        <f t="shared" si="319"/>
        <v>0</v>
      </c>
      <c r="IK28" s="1090">
        <f t="shared" si="320"/>
        <v>0</v>
      </c>
      <c r="IL28" s="1089" t="str">
        <f t="shared" si="321"/>
        <v/>
      </c>
      <c r="IM28" s="1089">
        <f t="shared" si="322"/>
        <v>0</v>
      </c>
      <c r="IN28" s="1090">
        <f t="shared" si="323"/>
        <v>0</v>
      </c>
      <c r="IO28" s="1089" t="str">
        <f t="shared" si="324"/>
        <v/>
      </c>
      <c r="IP28" s="1089">
        <f t="shared" si="325"/>
        <v>0</v>
      </c>
      <c r="IQ28" s="1090">
        <f t="shared" si="326"/>
        <v>0</v>
      </c>
      <c r="IR28" s="1091" t="str">
        <f t="shared" si="1"/>
        <v/>
      </c>
      <c r="IS28" s="1090">
        <f t="shared" si="327"/>
        <v>0</v>
      </c>
      <c r="IT28" s="1091" t="str">
        <f t="shared" si="2"/>
        <v/>
      </c>
    </row>
    <row r="29" hidden="1" outlineLevel="1">
      <c r="A29" s="1086">
        <f t="shared" si="330"/>
        <v>7</v>
      </c>
      <c r="B29" s="1087" t="s">
        <v>2069</v>
      </c>
      <c r="C29" s="1087" t="s">
        <v>636</v>
      </c>
      <c r="D29" s="1087" t="str">
        <f>IF(C29&gt;0,VLOOKUP(C29,DM_DUAN ,2,"") ,IF(B29&gt;0,VLOOKUP(B29,DM_CDT,2,""),""))</f>
        <v>Sản phẩm Long Khánh 3</v>
      </c>
      <c r="E29" s="1087" t="s">
        <v>187</v>
      </c>
      <c r="F29" s="1087"/>
      <c r="G29" s="1086">
        <v>2.0</v>
      </c>
      <c r="H29" s="1088">
        <f>SUMIFS(BP_SOTIEN,BP_DA,$C29,BP_THANG,H$2,BP_KM,$E29)/1000</f>
        <v>0</v>
      </c>
      <c r="I29" s="1089" t="str">
        <f t="shared" si="156"/>
        <v/>
      </c>
      <c r="J29" s="1089" t="str">
        <f t="shared" si="157"/>
        <v/>
      </c>
      <c r="K29" s="1090">
        <f>IF(NOW()&gt;=DATE(YEAR(H$2),MONTH(H$2)+1,DAY(H$2)),SUMIFS(TF_SOTIEN,TF_DA,$C29,TF_THANG,H$2,TF_KM,$E29)/1000, N29)</f>
        <v>0</v>
      </c>
      <c r="L29" s="1089" t="str">
        <f t="shared" si="158"/>
        <v/>
      </c>
      <c r="M29" s="1089">
        <f t="shared" si="331"/>
        <v>0</v>
      </c>
      <c r="N29" s="1090">
        <f>IF(NOW()&gt;=DATE(YEAR(H$2),MONTH(H$2)+1,DAY(H$2)),SUMIFS(AC_SOTIEN,AC_DA,$C29,AC_THANG,H$2,AC_KM,$E29),SUMIFS(TF_SOTIEN,TF_DA,$C29,TF_THANG,H$2,TF_KM,$E29))/ 1000</f>
        <v>0</v>
      </c>
      <c r="O29" s="1089" t="str">
        <f t="shared" si="159"/>
        <v/>
      </c>
      <c r="P29" s="1089">
        <f t="shared" si="160"/>
        <v>0</v>
      </c>
      <c r="Q29" s="1090">
        <f t="shared" si="161"/>
        <v>0</v>
      </c>
      <c r="R29" s="1091" t="str">
        <f t="shared" si="8"/>
        <v/>
      </c>
      <c r="S29" s="1090">
        <f t="shared" si="162"/>
        <v>0</v>
      </c>
      <c r="T29" s="1091" t="str">
        <f t="shared" si="10"/>
        <v/>
      </c>
      <c r="U29" s="1088">
        <f>SUMIFS(BP_SOTIEN,BP_DA,$C29,BP_THANG,U$2,BP_KM,$E29)/1000</f>
        <v>0</v>
      </c>
      <c r="V29" s="1089" t="str">
        <f t="shared" si="163"/>
        <v/>
      </c>
      <c r="W29" s="1089" t="str">
        <f t="shared" si="164"/>
        <v/>
      </c>
      <c r="X29" s="1090">
        <f>IF(NOW()&gt;=DATE(YEAR(U$2),MONTH(U$2)+1,DAY(U$2)),SUMIFS(TF_SOTIEN,TF_DA,$C29,TF_THANG,U$2,TF_KM,$E29)/1000, AA29)</f>
        <v>0</v>
      </c>
      <c r="Y29" s="1089" t="str">
        <f t="shared" si="165"/>
        <v/>
      </c>
      <c r="Z29" s="1089" t="str">
        <f t="shared" si="166"/>
        <v/>
      </c>
      <c r="AA29" s="1090">
        <f>IF(NOW()&gt;=DATE(YEAR(U$2),MONTH(U$2)+1,DAY(U$2)),SUMIFS(AC_SOTIEN,AC_DA,$C29,AC_THANG,U$2,AC_KM,$E29),SUMIFS(TF_SOTIEN,TF_DA,$C29,TF_THANG,U$2,TF_KM,$E29))/ 1000</f>
        <v>0</v>
      </c>
      <c r="AB29" s="1089" t="str">
        <f t="shared" si="167"/>
        <v/>
      </c>
      <c r="AC29" s="1089">
        <f t="shared" si="168"/>
        <v>0</v>
      </c>
      <c r="AD29" s="1090">
        <f t="shared" si="169"/>
        <v>0</v>
      </c>
      <c r="AE29" s="1091" t="str">
        <f t="shared" si="15"/>
        <v/>
      </c>
      <c r="AF29" s="1090">
        <f t="shared" si="170"/>
        <v>0</v>
      </c>
      <c r="AG29" s="1091" t="str">
        <f t="shared" si="17"/>
        <v/>
      </c>
      <c r="AH29" s="1088">
        <f>SUMIFS(BP_SOTIEN,BP_DA,$C29,BP_THANG,AH$2,BP_KM,$E29)/1000</f>
        <v>0</v>
      </c>
      <c r="AI29" s="1089" t="str">
        <f t="shared" si="171"/>
        <v/>
      </c>
      <c r="AJ29" s="1089" t="str">
        <f t="shared" si="172"/>
        <v/>
      </c>
      <c r="AK29" s="1090">
        <f>IF(NOW()&gt;=DATE(YEAR(AH$2),MONTH(AH$2)+1,DAY(AH$2)),SUMIFS(TF_SOTIEN,TF_DA,$C29,TF_THANG,AH$2,TF_KM,$E29)/1000, AN29)</f>
        <v>0</v>
      </c>
      <c r="AL29" s="1089" t="str">
        <f t="shared" si="173"/>
        <v/>
      </c>
      <c r="AM29" s="1089">
        <f t="shared" si="174"/>
        <v>0</v>
      </c>
      <c r="AN29" s="1090">
        <f>IF(NOW()&gt;=DATE(YEAR(AH$2),MONTH(AH$2)+1,DAY(AH$2)),SUMIFS(AC_SOTIEN,AC_DA,$C29,AC_THANG,AH$2,AC_KM,$E29),SUMIFS(TF_SOTIEN,TF_DA,$C29,TF_THANG,AH$2,TF_KM,$E29))/ 1000</f>
        <v>0</v>
      </c>
      <c r="AO29" s="1089" t="str">
        <f t="shared" si="175"/>
        <v/>
      </c>
      <c r="AP29" s="1089">
        <f t="shared" si="176"/>
        <v>0</v>
      </c>
      <c r="AQ29" s="1090">
        <f t="shared" si="177"/>
        <v>0</v>
      </c>
      <c r="AR29" s="1091" t="str">
        <f t="shared" si="22"/>
        <v/>
      </c>
      <c r="AS29" s="1090">
        <f t="shared" si="178"/>
        <v>0</v>
      </c>
      <c r="AT29" s="1091" t="str">
        <f t="shared" si="24"/>
        <v/>
      </c>
      <c r="AU29" s="1088">
        <f t="shared" si="179"/>
        <v>0</v>
      </c>
      <c r="AV29" s="1089" t="str">
        <f t="shared" si="180"/>
        <v/>
      </c>
      <c r="AW29" s="1089" t="str">
        <f t="shared" si="181"/>
        <v/>
      </c>
      <c r="AX29" s="1090">
        <f t="shared" si="182"/>
        <v>0</v>
      </c>
      <c r="AY29" s="1089" t="str">
        <f t="shared" si="183"/>
        <v/>
      </c>
      <c r="AZ29" s="1089">
        <f t="shared" si="184"/>
        <v>0</v>
      </c>
      <c r="BA29" s="1090">
        <f t="shared" si="185"/>
        <v>0</v>
      </c>
      <c r="BB29" s="1089" t="str">
        <f t="shared" si="186"/>
        <v/>
      </c>
      <c r="BC29" s="1089">
        <f t="shared" si="187"/>
        <v>0</v>
      </c>
      <c r="BD29" s="1090">
        <f t="shared" si="188"/>
        <v>0</v>
      </c>
      <c r="BE29" s="1091" t="str">
        <f t="shared" si="32"/>
        <v/>
      </c>
      <c r="BF29" s="1090">
        <f t="shared" si="189"/>
        <v>0</v>
      </c>
      <c r="BG29" s="1091" t="str">
        <f t="shared" si="34"/>
        <v/>
      </c>
      <c r="BH29" s="1088">
        <f>SUMIFS(BP_SOTIEN,BP_DA,$C29,BP_THANG,BH$2,BP_KM,$E29)/1000</f>
        <v>0</v>
      </c>
      <c r="BI29" s="1089" t="str">
        <f t="shared" si="190"/>
        <v/>
      </c>
      <c r="BJ29" s="1089">
        <f t="shared" si="191"/>
        <v>0</v>
      </c>
      <c r="BK29" s="1090">
        <f>IF(NOW()&gt;=DATE(YEAR(BH$2),MONTH(BH$2)+1,DAY(BH$2)),SUMIFS(TF_SOTIEN,TF_DA,$C29,TF_THANG,BH$2,TF_KM,$E29)/1000, BN29)</f>
        <v>0</v>
      </c>
      <c r="BL29" s="1089">
        <f t="shared" si="192"/>
        <v>0</v>
      </c>
      <c r="BM29" s="1089" t="str">
        <f t="shared" si="193"/>
        <v/>
      </c>
      <c r="BN29" s="1090">
        <f>IF(NOW()&gt;=DATE(YEAR(BH$2),MONTH(BH$2)+1,DAY(BH$2)),SUMIFS(AC_SOTIEN,AC_DA,$C29,AC_THANG,BH$2,AC_KM,$E29),SUMIFS(TF_SOTIEN,TF_DA,$C29,TF_THANG,BH$2,TF_KM,$E29))/ 1000</f>
        <v>365040</v>
      </c>
      <c r="BO29" s="1089">
        <f t="shared" si="194"/>
        <v>0.1626737968</v>
      </c>
      <c r="BP29" s="1089">
        <f t="shared" si="195"/>
        <v>0.1403438625</v>
      </c>
      <c r="BQ29" s="1090">
        <f t="shared" si="196"/>
        <v>365040</v>
      </c>
      <c r="BR29" s="1091" t="str">
        <f t="shared" si="39"/>
        <v/>
      </c>
      <c r="BS29" s="1090">
        <f t="shared" si="197"/>
        <v>365040</v>
      </c>
      <c r="BT29" s="1091" t="str">
        <f t="shared" si="41"/>
        <v/>
      </c>
      <c r="BU29" s="1088">
        <f>SUMIFS(BP_SOTIEN,BP_DA,$C29,BP_THANG,BU$2,BP_KM,$E29)/1000</f>
        <v>0</v>
      </c>
      <c r="BV29" s="1089" t="str">
        <f t="shared" si="198"/>
        <v/>
      </c>
      <c r="BW29" s="1089">
        <f t="shared" si="199"/>
        <v>0</v>
      </c>
      <c r="BX29" s="1090">
        <f>IF(NOW()&gt;=DATE(YEAR(BU$2),MONTH(BU$2)+1,DAY(BU$2)),SUMIFS(TF_SOTIEN,TF_DA,$C29,TF_THANG,BU$2,TF_KM,$E29)/1000, CA29)</f>
        <v>0</v>
      </c>
      <c r="BY29" s="1089" t="str">
        <f t="shared" si="200"/>
        <v/>
      </c>
      <c r="BZ29" s="1089">
        <f t="shared" si="201"/>
        <v>0</v>
      </c>
      <c r="CA29" s="1090">
        <f>IF(NOW()&gt;=DATE(YEAR(BU$2),MONTH(BU$2)+1,DAY(BU$2)),SUMIFS(AC_SOTIEN,AC_DA,$C29,AC_THANG,BU$2,AC_KM,$E29),SUMIFS(TF_SOTIEN,TF_DA,$C29,TF_THANG,BU$2,TF_KM,$E29))/ 1000</f>
        <v>0</v>
      </c>
      <c r="CB29" s="1089" t="str">
        <f t="shared" si="202"/>
        <v/>
      </c>
      <c r="CC29" s="1089">
        <f t="shared" si="203"/>
        <v>0</v>
      </c>
      <c r="CD29" s="1090">
        <f t="shared" si="204"/>
        <v>0</v>
      </c>
      <c r="CE29" s="1091" t="str">
        <f t="shared" si="46"/>
        <v/>
      </c>
      <c r="CF29" s="1090">
        <f t="shared" si="205"/>
        <v>0</v>
      </c>
      <c r="CG29" s="1091" t="str">
        <f t="shared" si="48"/>
        <v/>
      </c>
      <c r="CH29" s="1088">
        <f>SUMIFS(BP_SOTIEN,BP_DA,$C29,BP_THANG,CH$2,BP_KM,$E29)/1000</f>
        <v>0</v>
      </c>
      <c r="CI29" s="1089" t="str">
        <f t="shared" si="206"/>
        <v/>
      </c>
      <c r="CJ29" s="1089">
        <f t="shared" si="207"/>
        <v>0</v>
      </c>
      <c r="CK29" s="1090">
        <f>IF(NOW()&gt;=DATE(YEAR(CH$2),MONTH(CH$2)+1,DAY(CH$2)),SUMIFS(TF_SOTIEN,TF_DA,$C29,TF_THANG,CH$2,TF_KM,$E29)/1000, CN29)</f>
        <v>0</v>
      </c>
      <c r="CL29" s="1089" t="str">
        <f t="shared" si="208"/>
        <v/>
      </c>
      <c r="CM29" s="1089" t="str">
        <f t="shared" si="209"/>
        <v/>
      </c>
      <c r="CN29" s="1090">
        <f>IF(NOW()&gt;=DATE(YEAR(CH$2),MONTH(CH$2)+1,DAY(CH$2)),SUMIFS(AC_SOTIEN,AC_DA,$C29,AC_THANG,CH$2,AC_KM,$E29),SUMIFS(TF_SOTIEN,TF_DA,$C29,TF_THANG,CH$2,TF_KM,$E29))/ 1000</f>
        <v>0</v>
      </c>
      <c r="CO29" s="1089" t="str">
        <f t="shared" si="210"/>
        <v/>
      </c>
      <c r="CP29" s="1089" t="str">
        <f t="shared" si="211"/>
        <v/>
      </c>
      <c r="CQ29" s="1090">
        <f t="shared" si="212"/>
        <v>0</v>
      </c>
      <c r="CR29" s="1091" t="str">
        <f t="shared" si="53"/>
        <v/>
      </c>
      <c r="CS29" s="1090">
        <f t="shared" si="213"/>
        <v>0</v>
      </c>
      <c r="CT29" s="1091" t="str">
        <f t="shared" si="55"/>
        <v/>
      </c>
      <c r="CU29" s="1088">
        <f t="shared" si="214"/>
        <v>0</v>
      </c>
      <c r="CV29" s="1089" t="str">
        <f t="shared" si="215"/>
        <v/>
      </c>
      <c r="CW29" s="1089">
        <f t="shared" si="216"/>
        <v>0</v>
      </c>
      <c r="CX29" s="1090">
        <f t="shared" si="217"/>
        <v>0</v>
      </c>
      <c r="CY29" s="1089">
        <f t="shared" si="218"/>
        <v>0</v>
      </c>
      <c r="CZ29" s="1089">
        <f t="shared" si="219"/>
        <v>0</v>
      </c>
      <c r="DA29" s="1090">
        <f t="shared" si="220"/>
        <v>365040</v>
      </c>
      <c r="DB29" s="1089">
        <f t="shared" si="221"/>
        <v>0.1626737968</v>
      </c>
      <c r="DC29" s="1089">
        <f t="shared" si="222"/>
        <v>0.1156429742</v>
      </c>
      <c r="DD29" s="1090">
        <f t="shared" si="223"/>
        <v>365040</v>
      </c>
      <c r="DE29" s="1091" t="str">
        <f t="shared" si="63"/>
        <v/>
      </c>
      <c r="DF29" s="1090">
        <f t="shared" si="224"/>
        <v>365040</v>
      </c>
      <c r="DG29" s="1091" t="str">
        <f t="shared" si="65"/>
        <v/>
      </c>
      <c r="DH29" s="1088">
        <f t="shared" si="225"/>
        <v>0</v>
      </c>
      <c r="DI29" s="1089" t="str">
        <f t="shared" si="226"/>
        <v/>
      </c>
      <c r="DJ29" s="1089">
        <f t="shared" si="227"/>
        <v>0</v>
      </c>
      <c r="DK29" s="1090">
        <f t="shared" si="228"/>
        <v>0</v>
      </c>
      <c r="DL29" s="1089">
        <f t="shared" si="229"/>
        <v>0</v>
      </c>
      <c r="DM29" s="1089">
        <f t="shared" si="230"/>
        <v>0</v>
      </c>
      <c r="DN29" s="1090">
        <f t="shared" si="231"/>
        <v>365040</v>
      </c>
      <c r="DO29" s="1089">
        <f t="shared" si="232"/>
        <v>0.1626737968</v>
      </c>
      <c r="DP29" s="1089">
        <f t="shared" si="233"/>
        <v>0.08402131191</v>
      </c>
      <c r="DQ29" s="1090">
        <f t="shared" si="234"/>
        <v>365040</v>
      </c>
      <c r="DR29" s="1091" t="str">
        <f t="shared" si="73"/>
        <v/>
      </c>
      <c r="DS29" s="1090">
        <f t="shared" si="235"/>
        <v>365040</v>
      </c>
      <c r="DT29" s="1091" t="str">
        <f t="shared" si="75"/>
        <v/>
      </c>
      <c r="DU29" s="1088">
        <f>SUMIFS(BP_SOTIEN,BP_DA,$C29,BP_THANG,DU$2,BP_KM,$E29)/1000</f>
        <v>0</v>
      </c>
      <c r="DV29" s="1089" t="str">
        <f t="shared" si="236"/>
        <v/>
      </c>
      <c r="DW29" s="1089">
        <f t="shared" si="237"/>
        <v>0</v>
      </c>
      <c r="DX29" s="1090">
        <f>IF(NOW()&gt;=DATE(YEAR(DU$2),MONTH(DU$2)+1,DAY(DU$2)),SUMIFS(TF_SOTIEN,TF_DA,$C29,TF_THANG,DU$2,TF_KM,$E29)/1000, EA29)</f>
        <v>0</v>
      </c>
      <c r="DY29" s="1089" t="str">
        <f t="shared" si="238"/>
        <v/>
      </c>
      <c r="DZ29" s="1089">
        <f t="shared" si="239"/>
        <v>0</v>
      </c>
      <c r="EA29" s="1090">
        <f>IF(NOW()&gt;=DATE(YEAR(DU$2),MONTH(DU$2)+1,DAY(DU$2)),SUMIFS(AC_SOTIEN,AC_DA,$C29,AC_THANG,DU$2,AC_KM,$E29),SUMIFS(TF_SOTIEN,TF_DA,$C29,TF_THANG,DU$2,TF_KM,$E29))/ 1000</f>
        <v>0</v>
      </c>
      <c r="EB29" s="1089" t="str">
        <f t="shared" si="240"/>
        <v/>
      </c>
      <c r="EC29" s="1089" t="str">
        <f t="shared" si="241"/>
        <v/>
      </c>
      <c r="ED29" s="1090">
        <f t="shared" si="242"/>
        <v>0</v>
      </c>
      <c r="EE29" s="1091" t="str">
        <f t="shared" si="80"/>
        <v/>
      </c>
      <c r="EF29" s="1090">
        <f t="shared" si="243"/>
        <v>0</v>
      </c>
      <c r="EG29" s="1091" t="str">
        <f t="shared" si="82"/>
        <v/>
      </c>
      <c r="EH29" s="1088">
        <f>SUMIFS(BP_SOTIEN,BP_DA,$C29,BP_THANG,EH$2,BP_KM,$E29)/1000</f>
        <v>0</v>
      </c>
      <c r="EI29" s="1089" t="str">
        <f t="shared" si="244"/>
        <v/>
      </c>
      <c r="EJ29" s="1089">
        <f t="shared" si="245"/>
        <v>0</v>
      </c>
      <c r="EK29" s="1090">
        <f>IF(NOW()&gt;=DATE(YEAR(EH$2),MONTH(EH$2)+1,DAY(EH$2)),SUMIFS(TF_SOTIEN,TF_DA,$C29,TF_THANG,EH$2,TF_KM,$E29)/1000, EN29)</f>
        <v>0</v>
      </c>
      <c r="EL29" s="1089" t="str">
        <f t="shared" si="246"/>
        <v/>
      </c>
      <c r="EM29" s="1089">
        <f t="shared" si="247"/>
        <v>0</v>
      </c>
      <c r="EN29" s="1090">
        <f>IF(NOW()&gt;=DATE(YEAR(EH$2),MONTH(EH$2)+1,DAY(EH$2)),SUMIFS(AC_SOTIEN,AC_DA,$C29,AC_THANG,EH$2,AC_KM,$E29),SUMIFS(TF_SOTIEN,TF_DA,$C29,TF_THANG,EH$2,TF_KM,$E29))/ 1000</f>
        <v>0</v>
      </c>
      <c r="EO29" s="1089" t="str">
        <f t="shared" si="248"/>
        <v/>
      </c>
      <c r="EP29" s="1089" t="str">
        <f t="shared" si="249"/>
        <v/>
      </c>
      <c r="EQ29" s="1090">
        <f t="shared" si="250"/>
        <v>0</v>
      </c>
      <c r="ER29" s="1091" t="str">
        <f t="shared" si="87"/>
        <v/>
      </c>
      <c r="ES29" s="1090">
        <f t="shared" si="251"/>
        <v>0</v>
      </c>
      <c r="ET29" s="1091" t="str">
        <f t="shared" si="89"/>
        <v/>
      </c>
      <c r="EU29" s="1088">
        <f>SUMIFS(BP_SOTIEN,BP_DA,$C29,BP_THANG,EU$2,BP_KM,$E29)/1000</f>
        <v>0</v>
      </c>
      <c r="EV29" s="1089" t="str">
        <f t="shared" si="252"/>
        <v/>
      </c>
      <c r="EW29" s="1089">
        <f t="shared" si="253"/>
        <v>0</v>
      </c>
      <c r="EX29" s="1090">
        <f>IF(NOW()&gt;=DATE(YEAR(EU$2),MONTH(EU$2)+1,DAY(EU$2)),SUMIFS(TF_SOTIEN,TF_DA,$C29,TF_THANG,EU$2,TF_KM,$E29)/1000, FA29)</f>
        <v>0</v>
      </c>
      <c r="EY29" s="1089" t="str">
        <f t="shared" si="254"/>
        <v/>
      </c>
      <c r="EZ29" s="1089">
        <f t="shared" si="255"/>
        <v>0</v>
      </c>
      <c r="FA29" s="1090">
        <f>IF(NOW()&gt;=DATE(YEAR(EU$2),MONTH(EU$2)+1,DAY(EU$2)),SUMIFS(AC_SOTIEN,AC_DA,$C29,AC_THANG,EU$2,AC_KM,$E29),SUMIFS(TF_SOTIEN,TF_DA,$C29,TF_THANG,EU$2,TF_KM,$E29))/ 1000</f>
        <v>0</v>
      </c>
      <c r="FB29" s="1089" t="str">
        <f t="shared" si="256"/>
        <v/>
      </c>
      <c r="FC29" s="1089" t="str">
        <f t="shared" si="257"/>
        <v/>
      </c>
      <c r="FD29" s="1090">
        <f t="shared" si="258"/>
        <v>0</v>
      </c>
      <c r="FE29" s="1091" t="str">
        <f t="shared" si="94"/>
        <v/>
      </c>
      <c r="FF29" s="1090">
        <f t="shared" si="259"/>
        <v>0</v>
      </c>
      <c r="FG29" s="1091" t="str">
        <f t="shared" si="96"/>
        <v/>
      </c>
      <c r="FH29" s="1088">
        <f t="shared" si="260"/>
        <v>0</v>
      </c>
      <c r="FI29" s="1089" t="str">
        <f t="shared" si="261"/>
        <v/>
      </c>
      <c r="FJ29" s="1089">
        <f t="shared" si="262"/>
        <v>0</v>
      </c>
      <c r="FK29" s="1090">
        <f t="shared" si="263"/>
        <v>0</v>
      </c>
      <c r="FL29" s="1089" t="str">
        <f t="shared" si="264"/>
        <v/>
      </c>
      <c r="FM29" s="1089">
        <f t="shared" si="265"/>
        <v>0</v>
      </c>
      <c r="FN29" s="1090">
        <f t="shared" si="266"/>
        <v>0</v>
      </c>
      <c r="FO29" s="1089" t="str">
        <f t="shared" si="267"/>
        <v/>
      </c>
      <c r="FP29" s="1089" t="str">
        <f t="shared" si="268"/>
        <v/>
      </c>
      <c r="FQ29" s="1090">
        <f t="shared" si="269"/>
        <v>0</v>
      </c>
      <c r="FR29" s="1091" t="str">
        <f t="shared" si="104"/>
        <v/>
      </c>
      <c r="FS29" s="1090">
        <f t="shared" si="270"/>
        <v>0</v>
      </c>
      <c r="FT29" s="1091" t="str">
        <f t="shared" si="106"/>
        <v/>
      </c>
      <c r="FU29" s="1088">
        <f>SUMIFS(BP_SOTIEN,BP_DA,$C29,BP_THANG,FU$2,BP_KM,$E29)/1000</f>
        <v>0</v>
      </c>
      <c r="FV29" s="1089" t="str">
        <f t="shared" si="271"/>
        <v/>
      </c>
      <c r="FW29" s="1089">
        <f t="shared" si="272"/>
        <v>0</v>
      </c>
      <c r="FX29" s="1090">
        <f>IF(NOW()&gt;=DATE(YEAR(FU$2),MONTH(FU$2)+1,DAY(FU$2)),SUMIFS(TF_SOTIEN,TF_DA,$C29,TF_THANG,FU$2,TF_KM,$E29)/1000, GA29)</f>
        <v>0</v>
      </c>
      <c r="FY29" s="1089" t="str">
        <f t="shared" si="273"/>
        <v/>
      </c>
      <c r="FZ29" s="1089">
        <f t="shared" si="274"/>
        <v>0</v>
      </c>
      <c r="GA29" s="1090">
        <f>IF(NOW()&gt;=DATE(YEAR(FU$2),MONTH(FU$2)+1,DAY(FU$2)),SUMIFS(AC_SOTIEN,AC_DA,$C29,AC_THANG,FU$2,AC_KM,$E29),SUMIFS(TF_SOTIEN,TF_DA,$C29,TF_THANG,FU$2,TF_KM,$E29))/ 1000</f>
        <v>0</v>
      </c>
      <c r="GB29" s="1089" t="str">
        <f t="shared" si="275"/>
        <v/>
      </c>
      <c r="GC29" s="1089" t="str">
        <f t="shared" si="276"/>
        <v/>
      </c>
      <c r="GD29" s="1090">
        <f t="shared" si="277"/>
        <v>0</v>
      </c>
      <c r="GE29" s="1091" t="str">
        <f t="shared" si="111"/>
        <v/>
      </c>
      <c r="GF29" s="1090">
        <f t="shared" si="278"/>
        <v>0</v>
      </c>
      <c r="GG29" s="1091" t="str">
        <f t="shared" si="113"/>
        <v/>
      </c>
      <c r="GH29" s="1088">
        <f>SUMIFS(BP_SOTIEN,BP_DA,$C29,BP_THANG,GH$2,BP_KM,$E29)/1000</f>
        <v>0</v>
      </c>
      <c r="GI29" s="1089" t="str">
        <f t="shared" si="279"/>
        <v/>
      </c>
      <c r="GJ29" s="1089">
        <f t="shared" si="280"/>
        <v>0</v>
      </c>
      <c r="GK29" s="1090">
        <f>IF(NOW()&gt;=DATE(YEAR(GH$2),MONTH(GH$2)+1,DAY(GH$2)),SUMIFS(TF_SOTIEN,TF_DA,$C29,TF_THANG,GH$2,TF_KM,$E29)/1000, GN29)</f>
        <v>0</v>
      </c>
      <c r="GL29" s="1089" t="str">
        <f t="shared" si="281"/>
        <v/>
      </c>
      <c r="GM29" s="1089">
        <f t="shared" si="282"/>
        <v>0</v>
      </c>
      <c r="GN29" s="1090">
        <f>IF(NOW()&gt;=DATE(YEAR(GH$2),MONTH(GH$2)+1,DAY(GH$2)),SUMIFS(AC_SOTIEN,AC_DA,$C29,AC_THANG,GH$2,AC_KM,$E29),SUMIFS(TF_SOTIEN,TF_DA,$C29,TF_THANG,GH$2,TF_KM,$E29))/ 1000</f>
        <v>0</v>
      </c>
      <c r="GO29" s="1089" t="str">
        <f t="shared" si="283"/>
        <v/>
      </c>
      <c r="GP29" s="1089" t="str">
        <f t="shared" si="284"/>
        <v/>
      </c>
      <c r="GQ29" s="1090">
        <f t="shared" si="285"/>
        <v>0</v>
      </c>
      <c r="GR29" s="1091" t="str">
        <f t="shared" si="118"/>
        <v/>
      </c>
      <c r="GS29" s="1090">
        <f t="shared" si="286"/>
        <v>0</v>
      </c>
      <c r="GT29" s="1091" t="str">
        <f t="shared" si="120"/>
        <v/>
      </c>
      <c r="GU29" s="1088">
        <f>SUMIFS(BP_SOTIEN,BP_DA,$C29,BP_THANG,GU$2,BP_KM,$E29)/1000</f>
        <v>0</v>
      </c>
      <c r="GV29" s="1089" t="str">
        <f t="shared" si="287"/>
        <v/>
      </c>
      <c r="GW29" s="1089">
        <f t="shared" si="288"/>
        <v>0</v>
      </c>
      <c r="GX29" s="1090">
        <f>IF(NOW()&gt;=DATE(YEAR(GU$2),MONTH(GU$2)+1,DAY(GU$2)),SUMIFS(TF_SOTIEN,TF_DA,$C29,TF_THANG,GU$2,TF_KM,$E29)/1000, HA29)</f>
        <v>0</v>
      </c>
      <c r="GY29" s="1089" t="str">
        <f t="shared" si="289"/>
        <v/>
      </c>
      <c r="GZ29" s="1089">
        <f t="shared" si="290"/>
        <v>0</v>
      </c>
      <c r="HA29" s="1090">
        <f>IF(NOW()&gt;=DATE(YEAR(GU$2),MONTH(GU$2)+1,DAY(GU$2)),SUMIFS(AC_SOTIEN,AC_DA,$C29,AC_THANG,GU$2,AC_KM,$E29),SUMIFS(TF_SOTIEN,TF_DA,$C29,TF_THANG,GU$2,TF_KM,$E29))/ 1000</f>
        <v>0</v>
      </c>
      <c r="HB29" s="1089" t="str">
        <f t="shared" si="291"/>
        <v/>
      </c>
      <c r="HC29" s="1089" t="str">
        <f t="shared" si="292"/>
        <v/>
      </c>
      <c r="HD29" s="1090">
        <f t="shared" si="293"/>
        <v>0</v>
      </c>
      <c r="HE29" s="1091" t="str">
        <f t="shared" si="125"/>
        <v/>
      </c>
      <c r="HF29" s="1090">
        <f t="shared" si="294"/>
        <v>0</v>
      </c>
      <c r="HG29" s="1091" t="str">
        <f t="shared" si="127"/>
        <v/>
      </c>
      <c r="HH29" s="1088">
        <f t="shared" si="295"/>
        <v>0</v>
      </c>
      <c r="HI29" s="1089" t="str">
        <f t="shared" si="296"/>
        <v/>
      </c>
      <c r="HJ29" s="1089">
        <f t="shared" si="297"/>
        <v>0</v>
      </c>
      <c r="HK29" s="1090">
        <f t="shared" si="298"/>
        <v>0</v>
      </c>
      <c r="HL29" s="1089" t="str">
        <f t="shared" si="299"/>
        <v/>
      </c>
      <c r="HM29" s="1089">
        <f t="shared" si="300"/>
        <v>0</v>
      </c>
      <c r="HN29" s="1090">
        <f t="shared" si="301"/>
        <v>0</v>
      </c>
      <c r="HO29" s="1089" t="str">
        <f t="shared" si="302"/>
        <v/>
      </c>
      <c r="HP29" s="1089" t="str">
        <f t="shared" si="303"/>
        <v/>
      </c>
      <c r="HQ29" s="1090">
        <f t="shared" si="304"/>
        <v>0</v>
      </c>
      <c r="HR29" s="1091" t="str">
        <f t="shared" si="135"/>
        <v/>
      </c>
      <c r="HS29" s="1090">
        <f t="shared" si="305"/>
        <v>0</v>
      </c>
      <c r="HT29" s="1091" t="str">
        <f t="shared" si="137"/>
        <v/>
      </c>
      <c r="HU29" s="1088">
        <f t="shared" si="306"/>
        <v>0</v>
      </c>
      <c r="HV29" s="1089" t="str">
        <f t="shared" si="307"/>
        <v/>
      </c>
      <c r="HW29" s="1089">
        <f t="shared" si="308"/>
        <v>0</v>
      </c>
      <c r="HX29" s="1090">
        <f t="shared" si="309"/>
        <v>0</v>
      </c>
      <c r="HY29" s="1089" t="str">
        <f t="shared" si="310"/>
        <v/>
      </c>
      <c r="HZ29" s="1089">
        <f t="shared" si="311"/>
        <v>0</v>
      </c>
      <c r="IA29" s="1090">
        <f t="shared" si="312"/>
        <v>0</v>
      </c>
      <c r="IB29" s="1089" t="str">
        <f t="shared" si="313"/>
        <v/>
      </c>
      <c r="IC29" s="1089" t="str">
        <f t="shared" si="314"/>
        <v/>
      </c>
      <c r="ID29" s="1090">
        <f t="shared" si="315"/>
        <v>0</v>
      </c>
      <c r="IE29" s="1091" t="str">
        <f t="shared" si="145"/>
        <v/>
      </c>
      <c r="IF29" s="1090">
        <f t="shared" si="316"/>
        <v>0</v>
      </c>
      <c r="IG29" s="1091" t="str">
        <f t="shared" si="147"/>
        <v/>
      </c>
      <c r="IH29" s="1088">
        <f t="shared" si="317"/>
        <v>0</v>
      </c>
      <c r="II29" s="1089" t="str">
        <f t="shared" si="318"/>
        <v/>
      </c>
      <c r="IJ29" s="1089">
        <f t="shared" si="319"/>
        <v>0</v>
      </c>
      <c r="IK29" s="1090">
        <f t="shared" si="320"/>
        <v>0</v>
      </c>
      <c r="IL29" s="1089">
        <f t="shared" si="321"/>
        <v>0</v>
      </c>
      <c r="IM29" s="1089">
        <f t="shared" si="322"/>
        <v>0</v>
      </c>
      <c r="IN29" s="1090">
        <f t="shared" si="323"/>
        <v>365040</v>
      </c>
      <c r="IO29" s="1089">
        <f t="shared" si="324"/>
        <v>0.1626737968</v>
      </c>
      <c r="IP29" s="1089">
        <f t="shared" si="325"/>
        <v>0.08402131191</v>
      </c>
      <c r="IQ29" s="1090">
        <f t="shared" si="326"/>
        <v>365040</v>
      </c>
      <c r="IR29" s="1091" t="str">
        <f t="shared" si="1"/>
        <v/>
      </c>
      <c r="IS29" s="1090">
        <f t="shared" si="327"/>
        <v>365040</v>
      </c>
      <c r="IT29" s="1091" t="str">
        <f t="shared" si="2"/>
        <v/>
      </c>
    </row>
    <row r="30">
      <c r="A30" s="1101" t="str">
        <f>IF(C30="","",COUNTA(C$5:C30))</f>
        <v/>
      </c>
      <c r="B30" s="1093" t="s">
        <v>2821</v>
      </c>
      <c r="C30" s="1093"/>
      <c r="D30" s="1093" t="str">
        <f>IF(C30&gt;0,VLOOKUP(C30,DM_DUAN ,2,"") ,IF(B30&gt;0,VLOOKUP(B30,DM_CDT,2,""),""))</f>
        <v>CLOUD LAND</v>
      </c>
      <c r="E30" s="1093" t="s">
        <v>187</v>
      </c>
      <c r="F30" s="1093"/>
      <c r="G30" s="1102">
        <v>1.0</v>
      </c>
      <c r="H30" s="1083">
        <f>SUMIF($B31:$B$33,$B30,H31:H$33)</f>
        <v>0</v>
      </c>
      <c r="I30" s="1103" t="str">
        <f t="shared" si="156"/>
        <v/>
      </c>
      <c r="J30" s="1103" t="str">
        <f t="shared" si="157"/>
        <v/>
      </c>
      <c r="K30" s="1083">
        <f>SUMIF($B31:$B$33,$B30,K31:K$33)</f>
        <v>0</v>
      </c>
      <c r="L30" s="1103" t="str">
        <f t="shared" si="158"/>
        <v/>
      </c>
      <c r="M30" s="3"/>
      <c r="N30" s="1083">
        <f>SUMIF($B31:$B$33,$B30,N31:N$33)</f>
        <v>0</v>
      </c>
      <c r="O30" s="1103" t="str">
        <f t="shared" si="159"/>
        <v/>
      </c>
      <c r="P30" s="1103">
        <f t="shared" si="160"/>
        <v>0</v>
      </c>
      <c r="Q30" s="1095">
        <f t="shared" si="161"/>
        <v>0</v>
      </c>
      <c r="R30" s="1104" t="str">
        <f t="shared" si="8"/>
        <v/>
      </c>
      <c r="S30" s="1095">
        <f t="shared" si="162"/>
        <v>0</v>
      </c>
      <c r="T30" s="1104" t="str">
        <f t="shared" si="10"/>
        <v/>
      </c>
      <c r="U30" s="1083">
        <f>SUMIF($B31:$B$33,$B30,U31:U$33)</f>
        <v>0</v>
      </c>
      <c r="V30" s="1103" t="str">
        <f t="shared" si="163"/>
        <v/>
      </c>
      <c r="W30" s="1103" t="str">
        <f t="shared" si="164"/>
        <v/>
      </c>
      <c r="X30" s="1083">
        <f>SUMIF($B31:$B$33,$B30,X31:X$33)</f>
        <v>0</v>
      </c>
      <c r="Y30" s="1103" t="str">
        <f t="shared" si="165"/>
        <v/>
      </c>
      <c r="Z30" s="1103" t="str">
        <f t="shared" si="166"/>
        <v/>
      </c>
      <c r="AA30" s="1083">
        <f>SUMIF($B31:$B$33,$B30,AA31:AA$33)</f>
        <v>0</v>
      </c>
      <c r="AB30" s="1103" t="str">
        <f t="shared" si="167"/>
        <v/>
      </c>
      <c r="AC30" s="1103">
        <f t="shared" si="168"/>
        <v>0</v>
      </c>
      <c r="AD30" s="1095">
        <f t="shared" si="169"/>
        <v>0</v>
      </c>
      <c r="AE30" s="1104" t="str">
        <f t="shared" si="15"/>
        <v/>
      </c>
      <c r="AF30" s="1095">
        <f t="shared" si="170"/>
        <v>0</v>
      </c>
      <c r="AG30" s="1104" t="str">
        <f t="shared" si="17"/>
        <v/>
      </c>
      <c r="AH30" s="1083">
        <f>SUMIF($B31:$B$33,$B30,AH31:AH$33)</f>
        <v>0</v>
      </c>
      <c r="AI30" s="1103" t="str">
        <f t="shared" si="171"/>
        <v/>
      </c>
      <c r="AJ30" s="1103" t="str">
        <f t="shared" si="172"/>
        <v/>
      </c>
      <c r="AK30" s="1083">
        <f>SUMIF($B31:$B$33,$B30,AK31:AK$33)</f>
        <v>0</v>
      </c>
      <c r="AL30" s="1103" t="str">
        <f t="shared" si="173"/>
        <v/>
      </c>
      <c r="AM30" s="1103">
        <f t="shared" si="174"/>
        <v>0</v>
      </c>
      <c r="AN30" s="1083">
        <f>SUMIF($B31:$B$33,$B30,AN31:AN$33)</f>
        <v>0</v>
      </c>
      <c r="AO30" s="1103" t="str">
        <f t="shared" si="175"/>
        <v/>
      </c>
      <c r="AP30" s="1103">
        <f t="shared" si="176"/>
        <v>0</v>
      </c>
      <c r="AQ30" s="1095">
        <f t="shared" si="177"/>
        <v>0</v>
      </c>
      <c r="AR30" s="1104" t="str">
        <f t="shared" si="22"/>
        <v/>
      </c>
      <c r="AS30" s="1095">
        <f t="shared" si="178"/>
        <v>0</v>
      </c>
      <c r="AT30" s="1104" t="str">
        <f t="shared" si="24"/>
        <v/>
      </c>
      <c r="AU30" s="1095">
        <f t="shared" si="179"/>
        <v>0</v>
      </c>
      <c r="AV30" s="1103" t="str">
        <f t="shared" si="180"/>
        <v/>
      </c>
      <c r="AW30" s="1103" t="str">
        <f t="shared" si="181"/>
        <v/>
      </c>
      <c r="AX30" s="1095">
        <f t="shared" si="182"/>
        <v>0</v>
      </c>
      <c r="AY30" s="1103" t="str">
        <f t="shared" si="183"/>
        <v/>
      </c>
      <c r="AZ30" s="1103">
        <f t="shared" si="184"/>
        <v>0</v>
      </c>
      <c r="BA30" s="1105">
        <f t="shared" si="185"/>
        <v>0</v>
      </c>
      <c r="BB30" s="1103" t="str">
        <f t="shared" si="186"/>
        <v/>
      </c>
      <c r="BC30" s="1103">
        <f t="shared" si="187"/>
        <v>0</v>
      </c>
      <c r="BD30" s="1095">
        <f t="shared" si="188"/>
        <v>0</v>
      </c>
      <c r="BE30" s="1104" t="str">
        <f t="shared" si="32"/>
        <v/>
      </c>
      <c r="BF30" s="1095">
        <f t="shared" si="189"/>
        <v>0</v>
      </c>
      <c r="BG30" s="1104" t="str">
        <f t="shared" si="34"/>
        <v/>
      </c>
      <c r="BH30" s="1083">
        <f>SUMIF($B31:$B$33,$B30,BH31:BH$33)</f>
        <v>0</v>
      </c>
      <c r="BI30" s="1103" t="str">
        <f t="shared" si="190"/>
        <v/>
      </c>
      <c r="BJ30" s="1103">
        <f t="shared" si="191"/>
        <v>0</v>
      </c>
      <c r="BK30" s="1083">
        <f>SUMIF($B31:$B$33,$B30,BK31:BK$33)</f>
        <v>0</v>
      </c>
      <c r="BL30" s="1103" t="str">
        <f t="shared" si="192"/>
        <v/>
      </c>
      <c r="BM30" s="1103" t="str">
        <f t="shared" si="193"/>
        <v/>
      </c>
      <c r="BN30" s="1083">
        <f>SUMIF($B31:$B$33,$B30,BN31:BN$33)</f>
        <v>0</v>
      </c>
      <c r="BO30" s="1103" t="str">
        <f t="shared" si="194"/>
        <v/>
      </c>
      <c r="BP30" s="1103">
        <f t="shared" si="195"/>
        <v>0</v>
      </c>
      <c r="BQ30" s="1095">
        <f t="shared" si="196"/>
        <v>0</v>
      </c>
      <c r="BR30" s="1106" t="str">
        <f t="shared" si="39"/>
        <v/>
      </c>
      <c r="BS30" s="1095">
        <f t="shared" si="197"/>
        <v>0</v>
      </c>
      <c r="BT30" s="1104" t="str">
        <f t="shared" si="41"/>
        <v/>
      </c>
      <c r="BU30" s="1083">
        <f>SUMIF($B31:$B$33,$B30,BU31:BU$33)</f>
        <v>0</v>
      </c>
      <c r="BV30" s="1103" t="str">
        <f t="shared" si="198"/>
        <v/>
      </c>
      <c r="BW30" s="3"/>
      <c r="BX30" s="1083">
        <f>SUMIF($B31:$B$33,$B30,BX31:BX$33)</f>
        <v>1494456.48</v>
      </c>
      <c r="BY30" s="1103" t="str">
        <f t="shared" si="200"/>
        <v/>
      </c>
      <c r="BZ30" s="3"/>
      <c r="CA30" s="1083">
        <f>SUMIF($B31:$B$33,$B30,CA31:CA$33)</f>
        <v>555572</v>
      </c>
      <c r="CB30" s="1103" t="str">
        <f t="shared" si="202"/>
        <v/>
      </c>
      <c r="CC30" s="3"/>
      <c r="CD30" s="1095">
        <f t="shared" si="204"/>
        <v>555572</v>
      </c>
      <c r="CE30" s="1106" t="str">
        <f t="shared" si="46"/>
        <v/>
      </c>
      <c r="CF30" s="1095">
        <f t="shared" si="205"/>
        <v>-938884.48</v>
      </c>
      <c r="CG30" s="1104">
        <f t="shared" si="48"/>
        <v>-0.6282447783</v>
      </c>
      <c r="CH30" s="1083">
        <f>SUMIF($B31:$B$33,$B30,CH31:CH$33)</f>
        <v>0</v>
      </c>
      <c r="CI30" s="1103" t="str">
        <f t="shared" si="206"/>
        <v/>
      </c>
      <c r="CJ30" s="1103">
        <f t="shared" si="207"/>
        <v>0</v>
      </c>
      <c r="CK30" s="1083">
        <f>SUMIF($B31:$B$33,$B30,CK31:CK$33)</f>
        <v>0</v>
      </c>
      <c r="CL30" s="1103" t="str">
        <f t="shared" si="208"/>
        <v/>
      </c>
      <c r="CM30" s="1103" t="str">
        <f t="shared" si="209"/>
        <v/>
      </c>
      <c r="CN30" s="1083">
        <f>SUMIF($B31:$B$33,$B30,CN31:CN$33)</f>
        <v>0</v>
      </c>
      <c r="CO30" s="1103" t="str">
        <f t="shared" si="210"/>
        <v/>
      </c>
      <c r="CP30" s="1103" t="str">
        <f t="shared" si="211"/>
        <v/>
      </c>
      <c r="CQ30" s="1095">
        <f t="shared" si="212"/>
        <v>0</v>
      </c>
      <c r="CR30" s="1106" t="str">
        <f t="shared" si="53"/>
        <v/>
      </c>
      <c r="CS30" s="1095">
        <f t="shared" si="213"/>
        <v>0</v>
      </c>
      <c r="CT30" s="1104" t="str">
        <f t="shared" si="55"/>
        <v/>
      </c>
      <c r="CU30" s="1095">
        <f t="shared" si="214"/>
        <v>0</v>
      </c>
      <c r="CV30" s="1103" t="str">
        <f t="shared" si="215"/>
        <v/>
      </c>
      <c r="CW30" s="1103">
        <f t="shared" si="216"/>
        <v>0</v>
      </c>
      <c r="CX30" s="1095">
        <f t="shared" si="217"/>
        <v>1494456.48</v>
      </c>
      <c r="CY30" s="1103" t="str">
        <f t="shared" si="218"/>
        <v/>
      </c>
      <c r="CZ30" s="1103">
        <f t="shared" si="219"/>
        <v>1</v>
      </c>
      <c r="DA30" s="1095">
        <f t="shared" si="220"/>
        <v>555572</v>
      </c>
      <c r="DB30" s="1103" t="str">
        <f t="shared" si="221"/>
        <v/>
      </c>
      <c r="DC30" s="1103">
        <f t="shared" si="222"/>
        <v>0.1760026256</v>
      </c>
      <c r="DD30" s="1095">
        <f t="shared" si="223"/>
        <v>555572</v>
      </c>
      <c r="DE30" s="1106" t="str">
        <f t="shared" si="63"/>
        <v/>
      </c>
      <c r="DF30" s="1095">
        <f t="shared" si="224"/>
        <v>-938884.48</v>
      </c>
      <c r="DG30" s="1104">
        <f t="shared" si="65"/>
        <v>-0.6282447783</v>
      </c>
      <c r="DH30" s="1095">
        <f t="shared" si="225"/>
        <v>0</v>
      </c>
      <c r="DI30" s="1103" t="str">
        <f t="shared" si="226"/>
        <v/>
      </c>
      <c r="DJ30" s="1103">
        <f t="shared" si="227"/>
        <v>0</v>
      </c>
      <c r="DK30" s="1095">
        <f t="shared" si="228"/>
        <v>1494456.48</v>
      </c>
      <c r="DL30" s="1103" t="str">
        <f t="shared" si="229"/>
        <v/>
      </c>
      <c r="DM30" s="1103">
        <f t="shared" si="230"/>
        <v>0.2865987061</v>
      </c>
      <c r="DN30" s="1095">
        <f t="shared" si="231"/>
        <v>555572</v>
      </c>
      <c r="DO30" s="1103" t="str">
        <f t="shared" si="232"/>
        <v/>
      </c>
      <c r="DP30" s="1103">
        <f t="shared" si="233"/>
        <v>0.1278760911</v>
      </c>
      <c r="DQ30" s="1095">
        <f t="shared" si="234"/>
        <v>555572</v>
      </c>
      <c r="DR30" s="1106" t="str">
        <f t="shared" si="73"/>
        <v/>
      </c>
      <c r="DS30" s="1095">
        <f t="shared" si="235"/>
        <v>-938884.48</v>
      </c>
      <c r="DT30" s="1104">
        <f t="shared" si="75"/>
        <v>-0.6282447783</v>
      </c>
      <c r="DU30" s="1083">
        <f>SUMIF($B31:$B$33,$B30,DU31:DU$33)</f>
        <v>0</v>
      </c>
      <c r="DV30" s="1103" t="str">
        <f t="shared" si="236"/>
        <v/>
      </c>
      <c r="DW30" s="1103">
        <f t="shared" si="237"/>
        <v>0</v>
      </c>
      <c r="DX30" s="1083">
        <f>SUMIF($B31:$B$33,$B30,DX31:DX$33)</f>
        <v>0</v>
      </c>
      <c r="DY30" s="1103" t="str">
        <f t="shared" si="238"/>
        <v/>
      </c>
      <c r="DZ30" s="1103">
        <f t="shared" si="239"/>
        <v>0</v>
      </c>
      <c r="EA30" s="1083">
        <f>SUMIF($B31:$B$33,$B30,EA31:EA$33)</f>
        <v>0</v>
      </c>
      <c r="EB30" s="1103" t="str">
        <f t="shared" si="240"/>
        <v/>
      </c>
      <c r="EC30" s="1103" t="str">
        <f t="shared" si="241"/>
        <v/>
      </c>
      <c r="ED30" s="1095">
        <f t="shared" si="242"/>
        <v>0</v>
      </c>
      <c r="EE30" s="1106" t="str">
        <f t="shared" si="80"/>
        <v/>
      </c>
      <c r="EF30" s="1095">
        <f t="shared" si="243"/>
        <v>0</v>
      </c>
      <c r="EG30" s="1106" t="str">
        <f t="shared" si="82"/>
        <v/>
      </c>
      <c r="EH30" s="1083">
        <f>SUMIF($B31:$B$33,$B30,EH31:EH$33)</f>
        <v>0</v>
      </c>
      <c r="EI30" s="1103" t="str">
        <f t="shared" si="244"/>
        <v/>
      </c>
      <c r="EJ30" s="1103">
        <f t="shared" si="245"/>
        <v>0</v>
      </c>
      <c r="EK30" s="1083">
        <f>SUMIF($B31:$B$33,$B30,EK31:EK$33)</f>
        <v>0</v>
      </c>
      <c r="EL30" s="1103" t="str">
        <f t="shared" si="246"/>
        <v/>
      </c>
      <c r="EM30" s="1103">
        <f t="shared" si="247"/>
        <v>0</v>
      </c>
      <c r="EN30" s="1083">
        <f>SUMIF($B31:$B$33,$B30,EN31:EN$33)</f>
        <v>0</v>
      </c>
      <c r="EO30" s="1103" t="str">
        <f t="shared" si="248"/>
        <v/>
      </c>
      <c r="EP30" s="1103" t="str">
        <f t="shared" si="249"/>
        <v/>
      </c>
      <c r="EQ30" s="1095">
        <f t="shared" si="250"/>
        <v>0</v>
      </c>
      <c r="ER30" s="1106" t="str">
        <f t="shared" si="87"/>
        <v/>
      </c>
      <c r="ES30" s="1095">
        <f t="shared" si="251"/>
        <v>0</v>
      </c>
      <c r="ET30" s="1106" t="str">
        <f t="shared" si="89"/>
        <v/>
      </c>
      <c r="EU30" s="1083">
        <f>SUMIF($B31:$B$33,$B30,EU31:EU$33)</f>
        <v>0</v>
      </c>
      <c r="EV30" s="1103" t="str">
        <f t="shared" si="252"/>
        <v/>
      </c>
      <c r="EW30" s="1103">
        <f t="shared" si="253"/>
        <v>0</v>
      </c>
      <c r="EX30" s="1083">
        <f>SUMIF($B31:$B$33,$B30,EX31:EX$33)</f>
        <v>0</v>
      </c>
      <c r="EY30" s="1103" t="str">
        <f t="shared" si="254"/>
        <v/>
      </c>
      <c r="EZ30" s="1103">
        <f t="shared" si="255"/>
        <v>0</v>
      </c>
      <c r="FA30" s="1083">
        <f>SUMIF($B31:$B$33,$B30,FA31:FA$33)</f>
        <v>0</v>
      </c>
      <c r="FB30" s="1103" t="str">
        <f t="shared" si="256"/>
        <v/>
      </c>
      <c r="FC30" s="1103" t="str">
        <f t="shared" si="257"/>
        <v/>
      </c>
      <c r="FD30" s="1095">
        <f t="shared" si="258"/>
        <v>0</v>
      </c>
      <c r="FE30" s="1106" t="str">
        <f t="shared" si="94"/>
        <v/>
      </c>
      <c r="FF30" s="1095">
        <f t="shared" si="259"/>
        <v>0</v>
      </c>
      <c r="FG30" s="1106" t="str">
        <f t="shared" si="96"/>
        <v/>
      </c>
      <c r="FH30" s="1095">
        <f t="shared" si="260"/>
        <v>0</v>
      </c>
      <c r="FI30" s="1103" t="str">
        <f t="shared" si="261"/>
        <v/>
      </c>
      <c r="FJ30" s="1103">
        <f t="shared" si="262"/>
        <v>0</v>
      </c>
      <c r="FK30" s="1095">
        <f t="shared" si="263"/>
        <v>0</v>
      </c>
      <c r="FL30" s="1103" t="str">
        <f t="shared" si="264"/>
        <v/>
      </c>
      <c r="FM30" s="1103">
        <f t="shared" si="265"/>
        <v>0</v>
      </c>
      <c r="FN30" s="1095">
        <f t="shared" si="266"/>
        <v>0</v>
      </c>
      <c r="FO30" s="1103" t="str">
        <f t="shared" si="267"/>
        <v/>
      </c>
      <c r="FP30" s="1103" t="str">
        <f t="shared" si="268"/>
        <v/>
      </c>
      <c r="FQ30" s="1095">
        <f t="shared" si="269"/>
        <v>0</v>
      </c>
      <c r="FR30" s="1106" t="str">
        <f t="shared" si="104"/>
        <v/>
      </c>
      <c r="FS30" s="1095">
        <f t="shared" si="270"/>
        <v>0</v>
      </c>
      <c r="FT30" s="1106" t="str">
        <f t="shared" si="106"/>
        <v/>
      </c>
      <c r="FU30" s="1083">
        <f>SUMIF($B31:$B$33,$B30,FU31:FU$33)</f>
        <v>0</v>
      </c>
      <c r="FV30" s="1103" t="str">
        <f t="shared" si="271"/>
        <v/>
      </c>
      <c r="FW30" s="1103">
        <f t="shared" si="272"/>
        <v>0</v>
      </c>
      <c r="FX30" s="1083">
        <f>SUMIF($B31:$B$33,$B30,FX31:FX$33)</f>
        <v>0</v>
      </c>
      <c r="FY30" s="1103" t="str">
        <f t="shared" si="273"/>
        <v/>
      </c>
      <c r="FZ30" s="1103">
        <f t="shared" si="274"/>
        <v>0</v>
      </c>
      <c r="GA30" s="1083">
        <f>SUMIF($B31:$B$33,$B30,GA31:GA$33)</f>
        <v>0</v>
      </c>
      <c r="GB30" s="1103" t="str">
        <f t="shared" si="275"/>
        <v/>
      </c>
      <c r="GC30" s="1103" t="str">
        <f t="shared" si="276"/>
        <v/>
      </c>
      <c r="GD30" s="1095">
        <f t="shared" si="277"/>
        <v>0</v>
      </c>
      <c r="GE30" s="1106" t="str">
        <f t="shared" si="111"/>
        <v/>
      </c>
      <c r="GF30" s="1095">
        <f t="shared" si="278"/>
        <v>0</v>
      </c>
      <c r="GG30" s="1106" t="str">
        <f t="shared" si="113"/>
        <v/>
      </c>
      <c r="GH30" s="1083">
        <f>SUMIF($B31:$B$33,$B30,GH31:GH$33)</f>
        <v>0</v>
      </c>
      <c r="GI30" s="1103" t="str">
        <f t="shared" si="279"/>
        <v/>
      </c>
      <c r="GJ30" s="1103">
        <f t="shared" si="280"/>
        <v>0</v>
      </c>
      <c r="GK30" s="1083">
        <f>SUMIF($B31:$B$33,$B30,GK31:GK$33)</f>
        <v>0</v>
      </c>
      <c r="GL30" s="1103" t="str">
        <f t="shared" si="281"/>
        <v/>
      </c>
      <c r="GM30" s="1103">
        <f t="shared" si="282"/>
        <v>0</v>
      </c>
      <c r="GN30" s="1083">
        <f>SUMIF($B31:$B$33,$B30,GN31:GN$33)</f>
        <v>0</v>
      </c>
      <c r="GO30" s="1103" t="str">
        <f t="shared" si="283"/>
        <v/>
      </c>
      <c r="GP30" s="1103" t="str">
        <f t="shared" si="284"/>
        <v/>
      </c>
      <c r="GQ30" s="1095">
        <f t="shared" si="285"/>
        <v>0</v>
      </c>
      <c r="GR30" s="1106" t="str">
        <f t="shared" si="118"/>
        <v/>
      </c>
      <c r="GS30" s="1095">
        <f t="shared" si="286"/>
        <v>0</v>
      </c>
      <c r="GT30" s="1106" t="str">
        <f t="shared" si="120"/>
        <v/>
      </c>
      <c r="GU30" s="1083">
        <f>SUMIF($B31:$B$33,$B30,GU31:GU$33)</f>
        <v>0</v>
      </c>
      <c r="GV30" s="1103" t="str">
        <f t="shared" si="287"/>
        <v/>
      </c>
      <c r="GW30" s="1103">
        <f t="shared" si="288"/>
        <v>0</v>
      </c>
      <c r="GX30" s="1083">
        <f>SUMIF($B31:$B$33,$B30,GX31:GX$33)</f>
        <v>0</v>
      </c>
      <c r="GY30" s="1103" t="str">
        <f t="shared" si="289"/>
        <v/>
      </c>
      <c r="GZ30" s="1103">
        <f t="shared" si="290"/>
        <v>0</v>
      </c>
      <c r="HA30" s="1083">
        <f>SUMIF($B31:$B$33,$B30,HA31:HA$33)</f>
        <v>0</v>
      </c>
      <c r="HB30" s="1103" t="str">
        <f t="shared" si="291"/>
        <v/>
      </c>
      <c r="HC30" s="1103" t="str">
        <f t="shared" si="292"/>
        <v/>
      </c>
      <c r="HD30" s="1095">
        <f t="shared" si="293"/>
        <v>0</v>
      </c>
      <c r="HE30" s="1106" t="str">
        <f t="shared" si="125"/>
        <v/>
      </c>
      <c r="HF30" s="1095">
        <f t="shared" si="294"/>
        <v>0</v>
      </c>
      <c r="HG30" s="1106" t="str">
        <f t="shared" si="127"/>
        <v/>
      </c>
      <c r="HH30" s="1095">
        <f t="shared" si="295"/>
        <v>0</v>
      </c>
      <c r="HI30" s="1103" t="str">
        <f t="shared" si="296"/>
        <v/>
      </c>
      <c r="HJ30" s="1103">
        <f t="shared" si="297"/>
        <v>0</v>
      </c>
      <c r="HK30" s="1095">
        <f t="shared" si="298"/>
        <v>0</v>
      </c>
      <c r="HL30" s="1103" t="str">
        <f t="shared" si="299"/>
        <v/>
      </c>
      <c r="HM30" s="1103">
        <f t="shared" si="300"/>
        <v>0</v>
      </c>
      <c r="HN30" s="1095">
        <f t="shared" si="301"/>
        <v>0</v>
      </c>
      <c r="HO30" s="1103" t="str">
        <f t="shared" si="302"/>
        <v/>
      </c>
      <c r="HP30" s="1103" t="str">
        <f t="shared" si="303"/>
        <v/>
      </c>
      <c r="HQ30" s="1095">
        <f t="shared" si="304"/>
        <v>0</v>
      </c>
      <c r="HR30" s="1106" t="str">
        <f t="shared" si="135"/>
        <v/>
      </c>
      <c r="HS30" s="1095">
        <f t="shared" si="305"/>
        <v>0</v>
      </c>
      <c r="HT30" s="1106" t="str">
        <f t="shared" si="137"/>
        <v/>
      </c>
      <c r="HU30" s="1095">
        <f t="shared" si="306"/>
        <v>0</v>
      </c>
      <c r="HV30" s="1103" t="str">
        <f t="shared" si="307"/>
        <v/>
      </c>
      <c r="HW30" s="1103">
        <f t="shared" si="308"/>
        <v>0</v>
      </c>
      <c r="HX30" s="1095">
        <f t="shared" si="309"/>
        <v>0</v>
      </c>
      <c r="HY30" s="1103" t="str">
        <f t="shared" si="310"/>
        <v/>
      </c>
      <c r="HZ30" s="1103">
        <f t="shared" si="311"/>
        <v>0</v>
      </c>
      <c r="IA30" s="1095">
        <f t="shared" si="312"/>
        <v>0</v>
      </c>
      <c r="IB30" s="1103" t="str">
        <f t="shared" si="313"/>
        <v/>
      </c>
      <c r="IC30" s="1103" t="str">
        <f t="shared" si="314"/>
        <v/>
      </c>
      <c r="ID30" s="1095">
        <f t="shared" si="315"/>
        <v>0</v>
      </c>
      <c r="IE30" s="1106" t="str">
        <f t="shared" si="145"/>
        <v/>
      </c>
      <c r="IF30" s="1095">
        <f t="shared" si="316"/>
        <v>0</v>
      </c>
      <c r="IG30" s="1106" t="str">
        <f t="shared" si="147"/>
        <v/>
      </c>
      <c r="IH30" s="1095">
        <f t="shared" si="317"/>
        <v>0</v>
      </c>
      <c r="II30" s="1103" t="str">
        <f t="shared" si="318"/>
        <v/>
      </c>
      <c r="IJ30" s="1103">
        <f t="shared" si="319"/>
        <v>0</v>
      </c>
      <c r="IK30" s="1095">
        <f t="shared" si="320"/>
        <v>1494456.48</v>
      </c>
      <c r="IL30" s="1103" t="str">
        <f t="shared" si="321"/>
        <v/>
      </c>
      <c r="IM30" s="1103">
        <f t="shared" si="322"/>
        <v>0.03605056285</v>
      </c>
      <c r="IN30" s="1095">
        <f t="shared" si="323"/>
        <v>555572</v>
      </c>
      <c r="IO30" s="1103" t="str">
        <f t="shared" si="324"/>
        <v/>
      </c>
      <c r="IP30" s="1103">
        <f t="shared" si="325"/>
        <v>0.1278760911</v>
      </c>
      <c r="IQ30" s="1095">
        <f t="shared" si="326"/>
        <v>555572</v>
      </c>
      <c r="IR30" s="1106" t="str">
        <f t="shared" si="1"/>
        <v/>
      </c>
      <c r="IS30" s="1095">
        <f t="shared" si="327"/>
        <v>-938884.48</v>
      </c>
      <c r="IT30" s="1106">
        <f t="shared" si="2"/>
        <v>-0.6282447783</v>
      </c>
    </row>
    <row r="31" outlineLevel="1">
      <c r="A31" s="1086">
        <f t="shared" ref="A31:A32" si="332">IF(C31="","",COUNTA(C$20:C31))</f>
        <v>8</v>
      </c>
      <c r="B31" s="1087" t="s">
        <v>2821</v>
      </c>
      <c r="C31" s="1087" t="s">
        <v>956</v>
      </c>
      <c r="D31" s="1087" t="str">
        <f>IF(C31&gt;0,VLOOKUP(C31,DM_DUAN ,2,"") ,IF(B31&gt;0,VLOOKUP(B31,DM_CDT,2,""),""))</f>
        <v>KDC Lộc Ngãi</v>
      </c>
      <c r="E31" s="1087" t="s">
        <v>187</v>
      </c>
      <c r="F31" s="1087"/>
      <c r="G31" s="1086">
        <v>2.0</v>
      </c>
      <c r="H31" s="1088">
        <f>SUMIFS(BP_SOTIEN,BP_DA,$C31,BP_THANG,H$2,BP_KM,$E31)/1000</f>
        <v>0</v>
      </c>
      <c r="I31" s="1089" t="str">
        <f t="shared" si="156"/>
        <v/>
      </c>
      <c r="J31" s="1089" t="str">
        <f t="shared" si="157"/>
        <v/>
      </c>
      <c r="K31" s="1090">
        <f>IF(NOW()&gt;=DATE(YEAR(H$2),MONTH(H$2)+1,DAY(H$2)),SUMIFS(TF_SOTIEN,TF_DA,$C31,TF_THANG,H$2,TF_KM,$E31)/1000, N31)</f>
        <v>0</v>
      </c>
      <c r="L31" s="1089" t="str">
        <f t="shared" si="158"/>
        <v/>
      </c>
      <c r="M31" s="1089">
        <f t="shared" ref="M31:M33" si="333">IFERROR(K31/K$19,"")</f>
        <v>0</v>
      </c>
      <c r="N31" s="1090">
        <f>IF(NOW()&gt;=DATE(YEAR(H$2),MONTH(H$2)+1,DAY(H$2)),SUMIFS(AC_SOTIEN,AC_DA,$C31,AC_THANG,H$2,AC_KM,$E31),SUMIFS(TF_SOTIEN,TF_DA,$C31,TF_THANG,H$2,TF_KM,$E31))/ 1000</f>
        <v>0</v>
      </c>
      <c r="O31" s="1089" t="str">
        <f t="shared" si="159"/>
        <v/>
      </c>
      <c r="P31" s="1089">
        <f t="shared" si="160"/>
        <v>0</v>
      </c>
      <c r="Q31" s="1090">
        <f t="shared" si="161"/>
        <v>0</v>
      </c>
      <c r="R31" s="1091" t="str">
        <f t="shared" si="8"/>
        <v/>
      </c>
      <c r="S31" s="1090">
        <f t="shared" si="162"/>
        <v>0</v>
      </c>
      <c r="T31" s="1091" t="str">
        <f t="shared" si="10"/>
        <v/>
      </c>
      <c r="U31" s="1088">
        <f>SUMIFS(BP_SOTIEN,BP_DA,$C31,BP_THANG,U$2,BP_KM,$E31)/1000</f>
        <v>0</v>
      </c>
      <c r="V31" s="1089" t="str">
        <f t="shared" si="163"/>
        <v/>
      </c>
      <c r="W31" s="1089" t="str">
        <f t="shared" si="164"/>
        <v/>
      </c>
      <c r="X31" s="1090">
        <f>IF(NOW()&gt;=DATE(YEAR(U$2),MONTH(U$2)+1,DAY(U$2)),SUMIFS(TF_SOTIEN,TF_DA,$C31,TF_THANG,U$2,TF_KM,$E31)/1000, AA31)</f>
        <v>0</v>
      </c>
      <c r="Y31" s="1089" t="str">
        <f t="shared" si="165"/>
        <v/>
      </c>
      <c r="Z31" s="1089" t="str">
        <f t="shared" si="166"/>
        <v/>
      </c>
      <c r="AA31" s="1090">
        <f>IF(NOW()&gt;=DATE(YEAR(U$2),MONTH(U$2)+1,DAY(U$2)),SUMIFS(AC_SOTIEN,AC_DA,$C31,AC_THANG,U$2,AC_KM,$E31),SUMIFS(TF_SOTIEN,TF_DA,$C31,TF_THANG,U$2,TF_KM,$E31))/ 1000</f>
        <v>0</v>
      </c>
      <c r="AB31" s="1089" t="str">
        <f t="shared" si="167"/>
        <v/>
      </c>
      <c r="AC31" s="1089">
        <f t="shared" si="168"/>
        <v>0</v>
      </c>
      <c r="AD31" s="1090">
        <f t="shared" si="169"/>
        <v>0</v>
      </c>
      <c r="AE31" s="1091" t="str">
        <f t="shared" si="15"/>
        <v/>
      </c>
      <c r="AF31" s="1090">
        <f t="shared" si="170"/>
        <v>0</v>
      </c>
      <c r="AG31" s="1091" t="str">
        <f t="shared" si="17"/>
        <v/>
      </c>
      <c r="AH31" s="1088">
        <f>SUMIFS(BP_SOTIEN,BP_DA,$C31,BP_THANG,AH$2,BP_KM,$E31)/1000</f>
        <v>0</v>
      </c>
      <c r="AI31" s="1089" t="str">
        <f t="shared" si="171"/>
        <v/>
      </c>
      <c r="AJ31" s="1089" t="str">
        <f t="shared" si="172"/>
        <v/>
      </c>
      <c r="AK31" s="1090">
        <f>IF(NOW()&gt;=DATE(YEAR(AH$2),MONTH(AH$2)+1,DAY(AH$2)),SUMIFS(TF_SOTIEN,TF_DA,$C31,TF_THANG,AH$2,TF_KM,$E31)/1000, AN31)</f>
        <v>0</v>
      </c>
      <c r="AL31" s="1089" t="str">
        <f t="shared" si="173"/>
        <v/>
      </c>
      <c r="AM31" s="1089">
        <f t="shared" si="174"/>
        <v>0</v>
      </c>
      <c r="AN31" s="1090">
        <f>IF(NOW()&gt;=DATE(YEAR(AH$2),MONTH(AH$2)+1,DAY(AH$2)),SUMIFS(AC_SOTIEN,AC_DA,$C31,AC_THANG,AH$2,AC_KM,$E31),SUMIFS(TF_SOTIEN,TF_DA,$C31,TF_THANG,AH$2,TF_KM,$E31))/ 1000</f>
        <v>0</v>
      </c>
      <c r="AO31" s="1089" t="str">
        <f t="shared" si="175"/>
        <v/>
      </c>
      <c r="AP31" s="1089">
        <f t="shared" si="176"/>
        <v>0</v>
      </c>
      <c r="AQ31" s="1090">
        <f t="shared" si="177"/>
        <v>0</v>
      </c>
      <c r="AR31" s="1091" t="str">
        <f t="shared" si="22"/>
        <v/>
      </c>
      <c r="AS31" s="1090">
        <f t="shared" si="178"/>
        <v>0</v>
      </c>
      <c r="AT31" s="1091" t="str">
        <f t="shared" si="24"/>
        <v/>
      </c>
      <c r="AU31" s="1088">
        <f t="shared" si="179"/>
        <v>0</v>
      </c>
      <c r="AV31" s="1089" t="str">
        <f t="shared" si="180"/>
        <v/>
      </c>
      <c r="AW31" s="1089" t="str">
        <f t="shared" si="181"/>
        <v/>
      </c>
      <c r="AX31" s="1090">
        <f t="shared" si="182"/>
        <v>0</v>
      </c>
      <c r="AY31" s="1089" t="str">
        <f t="shared" si="183"/>
        <v/>
      </c>
      <c r="AZ31" s="1089">
        <f t="shared" si="184"/>
        <v>0</v>
      </c>
      <c r="BA31" s="1090">
        <f t="shared" si="185"/>
        <v>0</v>
      </c>
      <c r="BB31" s="1089" t="str">
        <f t="shared" si="186"/>
        <v/>
      </c>
      <c r="BC31" s="1089">
        <f t="shared" si="187"/>
        <v>0</v>
      </c>
      <c r="BD31" s="1090">
        <f t="shared" si="188"/>
        <v>0</v>
      </c>
      <c r="BE31" s="1091" t="str">
        <f t="shared" si="32"/>
        <v/>
      </c>
      <c r="BF31" s="1090">
        <f t="shared" si="189"/>
        <v>0</v>
      </c>
      <c r="BG31" s="1091" t="str">
        <f t="shared" si="34"/>
        <v/>
      </c>
      <c r="BH31" s="1088">
        <f>SUMIFS(BP_SOTIEN,BP_DA,$C31,BP_THANG,BH$2,BP_KM,$E31)/1000</f>
        <v>0</v>
      </c>
      <c r="BI31" s="1089" t="str">
        <f t="shared" si="190"/>
        <v/>
      </c>
      <c r="BJ31" s="1089">
        <f t="shared" si="191"/>
        <v>0</v>
      </c>
      <c r="BK31" s="1090">
        <f>IF(NOW()&gt;=DATE(YEAR(BH$2),MONTH(BH$2)+1,DAY(BH$2)),SUMIFS(TF_SOTIEN,TF_DA,$C31,TF_THANG,BH$2,TF_KM,$E31)/1000, BN31)</f>
        <v>0</v>
      </c>
      <c r="BL31" s="1089" t="str">
        <f t="shared" si="192"/>
        <v/>
      </c>
      <c r="BM31" s="1089" t="str">
        <f t="shared" si="193"/>
        <v/>
      </c>
      <c r="BN31" s="1090">
        <f>IF(NOW()&gt;=DATE(YEAR(BH$2),MONTH(BH$2)+1,DAY(BH$2)),SUMIFS(AC_SOTIEN,AC_DA,$C31,AC_THANG,BH$2,AC_KM,$E31),SUMIFS(TF_SOTIEN,TF_DA,$C31,TF_THANG,BH$2,TF_KM,$E31))/ 1000</f>
        <v>0</v>
      </c>
      <c r="BO31" s="1089" t="str">
        <f t="shared" si="194"/>
        <v/>
      </c>
      <c r="BP31" s="1089">
        <f t="shared" si="195"/>
        <v>0</v>
      </c>
      <c r="BQ31" s="1090">
        <f t="shared" si="196"/>
        <v>0</v>
      </c>
      <c r="BR31" s="1091" t="str">
        <f t="shared" si="39"/>
        <v/>
      </c>
      <c r="BS31" s="1090">
        <f t="shared" si="197"/>
        <v>0</v>
      </c>
      <c r="BT31" s="1091" t="str">
        <f t="shared" si="41"/>
        <v/>
      </c>
      <c r="BU31" s="1088">
        <f>SUMIFS(BP_SOTIEN,BP_DA,$C31,BP_THANG,BU$2,BP_KM,$E31)/1000</f>
        <v>0</v>
      </c>
      <c r="BV31" s="1089" t="str">
        <f t="shared" si="198"/>
        <v/>
      </c>
      <c r="BW31" s="1089">
        <f t="shared" ref="BW31:BW33" si="334">IFERROR(BU31/BU$19,"")</f>
        <v>0</v>
      </c>
      <c r="BX31" s="1090">
        <f>IF(NOW()&gt;=DATE(YEAR(BU$2),MONTH(BU$2)+1,DAY(BU$2)),SUMIFS(TF_SOTIEN,TF_DA,$C31,TF_THANG,BU$2,TF_KM,$E31)/1000, CA31)</f>
        <v>1494456.48</v>
      </c>
      <c r="BY31" s="1089">
        <f t="shared" si="200"/>
        <v>0.1246959466</v>
      </c>
      <c r="BZ31" s="1089">
        <f t="shared" ref="BZ31:BZ33" si="335">IFERROR(BX31/BX$19,"")</f>
        <v>1</v>
      </c>
      <c r="CA31" s="1090">
        <f>IF(NOW()&gt;=DATE(YEAR(BU$2),MONTH(BU$2)+1,DAY(BU$2)),SUMIFS(AC_SOTIEN,AC_DA,$C31,AC_THANG,BU$2,AC_KM,$E31),SUMIFS(TF_SOTIEN,TF_DA,$C31,TF_THANG,BU$2,TF_KM,$E31))/ 1000</f>
        <v>555572</v>
      </c>
      <c r="CB31" s="1089">
        <f t="shared" si="202"/>
        <v>0.1438150708</v>
      </c>
      <c r="CC31" s="1089">
        <f t="shared" ref="CC31:CC33" si="336">IFERROR(CA31/CA$19,"")</f>
        <v>1</v>
      </c>
      <c r="CD31" s="1090">
        <f t="shared" si="204"/>
        <v>555572</v>
      </c>
      <c r="CE31" s="1091" t="str">
        <f t="shared" si="46"/>
        <v/>
      </c>
      <c r="CF31" s="1090">
        <f t="shared" si="205"/>
        <v>-938884.48</v>
      </c>
      <c r="CG31" s="1091">
        <f t="shared" si="48"/>
        <v>-0.6282447783</v>
      </c>
      <c r="CH31" s="1088">
        <f>SUMIFS(BP_SOTIEN,BP_DA,$C31,BP_THANG,CH$2,BP_KM,$E31)/1000</f>
        <v>0</v>
      </c>
      <c r="CI31" s="1089" t="str">
        <f t="shared" si="206"/>
        <v/>
      </c>
      <c r="CJ31" s="1089">
        <f t="shared" si="207"/>
        <v>0</v>
      </c>
      <c r="CK31" s="1090">
        <f>IF(NOW()&gt;=DATE(YEAR(CH$2),MONTH(CH$2)+1,DAY(CH$2)),SUMIFS(TF_SOTIEN,TF_DA,$C31,TF_THANG,CH$2,TF_KM,$E31)/1000, CN31)</f>
        <v>0</v>
      </c>
      <c r="CL31" s="1089" t="str">
        <f t="shared" si="208"/>
        <v/>
      </c>
      <c r="CM31" s="1089" t="str">
        <f t="shared" si="209"/>
        <v/>
      </c>
      <c r="CN31" s="1090">
        <f>IF(NOW()&gt;=DATE(YEAR(CH$2),MONTH(CH$2)+1,DAY(CH$2)),SUMIFS(AC_SOTIEN,AC_DA,$C31,AC_THANG,CH$2,AC_KM,$E31),SUMIFS(TF_SOTIEN,TF_DA,$C31,TF_THANG,CH$2,TF_KM,$E31))/ 1000</f>
        <v>0</v>
      </c>
      <c r="CO31" s="1089">
        <f t="shared" si="210"/>
        <v>0</v>
      </c>
      <c r="CP31" s="1089" t="str">
        <f t="shared" si="211"/>
        <v/>
      </c>
      <c r="CQ31" s="1090">
        <f t="shared" si="212"/>
        <v>0</v>
      </c>
      <c r="CR31" s="1091" t="str">
        <f t="shared" si="53"/>
        <v/>
      </c>
      <c r="CS31" s="1090">
        <f t="shared" si="213"/>
        <v>0</v>
      </c>
      <c r="CT31" s="1091" t="str">
        <f t="shared" si="55"/>
        <v/>
      </c>
      <c r="CU31" s="1088">
        <f t="shared" si="214"/>
        <v>0</v>
      </c>
      <c r="CV31" s="1089" t="str">
        <f t="shared" si="215"/>
        <v/>
      </c>
      <c r="CW31" s="1089">
        <f t="shared" si="216"/>
        <v>0</v>
      </c>
      <c r="CX31" s="1090">
        <f t="shared" si="217"/>
        <v>1494456.48</v>
      </c>
      <c r="CY31" s="1089">
        <f t="shared" si="218"/>
        <v>0.1246959466</v>
      </c>
      <c r="CZ31" s="1089">
        <f t="shared" si="219"/>
        <v>1</v>
      </c>
      <c r="DA31" s="1090">
        <f t="shared" si="220"/>
        <v>555572</v>
      </c>
      <c r="DB31" s="1089">
        <f t="shared" si="221"/>
        <v>0.1093365871</v>
      </c>
      <c r="DC31" s="1089">
        <f t="shared" si="222"/>
        <v>0.1760026256</v>
      </c>
      <c r="DD31" s="1090">
        <f t="shared" si="223"/>
        <v>555572</v>
      </c>
      <c r="DE31" s="1091" t="str">
        <f t="shared" si="63"/>
        <v/>
      </c>
      <c r="DF31" s="1090">
        <f t="shared" si="224"/>
        <v>-938884.48</v>
      </c>
      <c r="DG31" s="1091">
        <f t="shared" si="65"/>
        <v>-0.6282447783</v>
      </c>
      <c r="DH31" s="1088">
        <f t="shared" si="225"/>
        <v>0</v>
      </c>
      <c r="DI31" s="1089" t="str">
        <f t="shared" si="226"/>
        <v/>
      </c>
      <c r="DJ31" s="1089">
        <f t="shared" si="227"/>
        <v>0</v>
      </c>
      <c r="DK31" s="1090">
        <f t="shared" si="228"/>
        <v>1494456.48</v>
      </c>
      <c r="DL31" s="1089">
        <f t="shared" si="229"/>
        <v>0.1246959466</v>
      </c>
      <c r="DM31" s="1089">
        <f t="shared" si="230"/>
        <v>0.2865987061</v>
      </c>
      <c r="DN31" s="1090">
        <f t="shared" si="231"/>
        <v>555572</v>
      </c>
      <c r="DO31" s="1089">
        <f t="shared" si="232"/>
        <v>0.1093365871</v>
      </c>
      <c r="DP31" s="1089">
        <f t="shared" si="233"/>
        <v>0.1278760911</v>
      </c>
      <c r="DQ31" s="1090">
        <f t="shared" si="234"/>
        <v>555572</v>
      </c>
      <c r="DR31" s="1091" t="str">
        <f t="shared" si="73"/>
        <v/>
      </c>
      <c r="DS31" s="1090">
        <f t="shared" si="235"/>
        <v>-938884.48</v>
      </c>
      <c r="DT31" s="1091">
        <f t="shared" si="75"/>
        <v>-0.6282447783</v>
      </c>
      <c r="DU31" s="1088">
        <f>SUMIFS(BP_SOTIEN,BP_DA,$C31,BP_THANG,DU$2,BP_KM,$E31)/1000</f>
        <v>0</v>
      </c>
      <c r="DV31" s="1089" t="str">
        <f t="shared" si="236"/>
        <v/>
      </c>
      <c r="DW31" s="1089">
        <f t="shared" si="237"/>
        <v>0</v>
      </c>
      <c r="DX31" s="1090">
        <f>IF(NOW()&gt;=DATE(YEAR(DU$2),MONTH(DU$2)+1,DAY(DU$2)),SUMIFS(TF_SOTIEN,TF_DA,$C31,TF_THANG,DU$2,TF_KM,$E31)/1000, EA31)</f>
        <v>0</v>
      </c>
      <c r="DY31" s="1089" t="str">
        <f t="shared" si="238"/>
        <v/>
      </c>
      <c r="DZ31" s="1089">
        <f t="shared" si="239"/>
        <v>0</v>
      </c>
      <c r="EA31" s="1090">
        <f>IF(NOW()&gt;=DATE(YEAR(DU$2),MONTH(DU$2)+1,DAY(DU$2)),SUMIFS(AC_SOTIEN,AC_DA,$C31,AC_THANG,DU$2,AC_KM,$E31),SUMIFS(TF_SOTIEN,TF_DA,$C31,TF_THANG,DU$2,TF_KM,$E31))/ 1000</f>
        <v>0</v>
      </c>
      <c r="EB31" s="1089" t="str">
        <f t="shared" si="240"/>
        <v/>
      </c>
      <c r="EC31" s="1089" t="str">
        <f t="shared" si="241"/>
        <v/>
      </c>
      <c r="ED31" s="1090">
        <f t="shared" si="242"/>
        <v>0</v>
      </c>
      <c r="EE31" s="1091" t="str">
        <f t="shared" si="80"/>
        <v/>
      </c>
      <c r="EF31" s="1090">
        <f t="shared" si="243"/>
        <v>0</v>
      </c>
      <c r="EG31" s="1091" t="str">
        <f t="shared" si="82"/>
        <v/>
      </c>
      <c r="EH31" s="1088">
        <f>SUMIFS(BP_SOTIEN,BP_DA,$C31,BP_THANG,EH$2,BP_KM,$E31)/1000</f>
        <v>0</v>
      </c>
      <c r="EI31" s="1089" t="str">
        <f t="shared" si="244"/>
        <v/>
      </c>
      <c r="EJ31" s="1089">
        <f t="shared" si="245"/>
        <v>0</v>
      </c>
      <c r="EK31" s="1090">
        <f>IF(NOW()&gt;=DATE(YEAR(EH$2),MONTH(EH$2)+1,DAY(EH$2)),SUMIFS(TF_SOTIEN,TF_DA,$C31,TF_THANG,EH$2,TF_KM,$E31)/1000, EN31)</f>
        <v>0</v>
      </c>
      <c r="EL31" s="1089" t="str">
        <f t="shared" si="246"/>
        <v/>
      </c>
      <c r="EM31" s="1089">
        <f t="shared" si="247"/>
        <v>0</v>
      </c>
      <c r="EN31" s="1090">
        <f>IF(NOW()&gt;=DATE(YEAR(EH$2),MONTH(EH$2)+1,DAY(EH$2)),SUMIFS(AC_SOTIEN,AC_DA,$C31,AC_THANG,EH$2,AC_KM,$E31),SUMIFS(TF_SOTIEN,TF_DA,$C31,TF_THANG,EH$2,TF_KM,$E31))/ 1000</f>
        <v>0</v>
      </c>
      <c r="EO31" s="1089" t="str">
        <f t="shared" si="248"/>
        <v/>
      </c>
      <c r="EP31" s="1089" t="str">
        <f t="shared" si="249"/>
        <v/>
      </c>
      <c r="EQ31" s="1090">
        <f t="shared" si="250"/>
        <v>0</v>
      </c>
      <c r="ER31" s="1091" t="str">
        <f t="shared" si="87"/>
        <v/>
      </c>
      <c r="ES31" s="1090">
        <f t="shared" si="251"/>
        <v>0</v>
      </c>
      <c r="ET31" s="1091" t="str">
        <f t="shared" si="89"/>
        <v/>
      </c>
      <c r="EU31" s="1088">
        <f>SUMIFS(BP_SOTIEN,BP_DA,$C31,BP_THANG,EU$2,BP_KM,$E31)/1000</f>
        <v>0</v>
      </c>
      <c r="EV31" s="1089" t="str">
        <f t="shared" si="252"/>
        <v/>
      </c>
      <c r="EW31" s="1089">
        <f t="shared" si="253"/>
        <v>0</v>
      </c>
      <c r="EX31" s="1090">
        <f>IF(NOW()&gt;=DATE(YEAR(EU$2),MONTH(EU$2)+1,DAY(EU$2)),SUMIFS(TF_SOTIEN,TF_DA,$C31,TF_THANG,EU$2,TF_KM,$E31)/1000, FA31)</f>
        <v>0</v>
      </c>
      <c r="EY31" s="1089" t="str">
        <f t="shared" si="254"/>
        <v/>
      </c>
      <c r="EZ31" s="1089">
        <f t="shared" si="255"/>
        <v>0</v>
      </c>
      <c r="FA31" s="1090">
        <f>IF(NOW()&gt;=DATE(YEAR(EU$2),MONTH(EU$2)+1,DAY(EU$2)),SUMIFS(AC_SOTIEN,AC_DA,$C31,AC_THANG,EU$2,AC_KM,$E31),SUMIFS(TF_SOTIEN,TF_DA,$C31,TF_THANG,EU$2,TF_KM,$E31))/ 1000</f>
        <v>0</v>
      </c>
      <c r="FB31" s="1089" t="str">
        <f t="shared" si="256"/>
        <v/>
      </c>
      <c r="FC31" s="1089" t="str">
        <f t="shared" si="257"/>
        <v/>
      </c>
      <c r="FD31" s="1090">
        <f t="shared" si="258"/>
        <v>0</v>
      </c>
      <c r="FE31" s="1091" t="str">
        <f t="shared" si="94"/>
        <v/>
      </c>
      <c r="FF31" s="1090">
        <f t="shared" si="259"/>
        <v>0</v>
      </c>
      <c r="FG31" s="1091" t="str">
        <f t="shared" si="96"/>
        <v/>
      </c>
      <c r="FH31" s="1088">
        <f t="shared" si="260"/>
        <v>0</v>
      </c>
      <c r="FI31" s="1089" t="str">
        <f t="shared" si="261"/>
        <v/>
      </c>
      <c r="FJ31" s="1089">
        <f t="shared" si="262"/>
        <v>0</v>
      </c>
      <c r="FK31" s="1090">
        <f t="shared" si="263"/>
        <v>0</v>
      </c>
      <c r="FL31" s="1089" t="str">
        <f t="shared" si="264"/>
        <v/>
      </c>
      <c r="FM31" s="1089">
        <f t="shared" si="265"/>
        <v>0</v>
      </c>
      <c r="FN31" s="1090">
        <f t="shared" si="266"/>
        <v>0</v>
      </c>
      <c r="FO31" s="1089" t="str">
        <f t="shared" si="267"/>
        <v/>
      </c>
      <c r="FP31" s="1089" t="str">
        <f t="shared" si="268"/>
        <v/>
      </c>
      <c r="FQ31" s="1090">
        <f t="shared" si="269"/>
        <v>0</v>
      </c>
      <c r="FR31" s="1091" t="str">
        <f t="shared" si="104"/>
        <v/>
      </c>
      <c r="FS31" s="1090">
        <f t="shared" si="270"/>
        <v>0</v>
      </c>
      <c r="FT31" s="1091" t="str">
        <f t="shared" si="106"/>
        <v/>
      </c>
      <c r="FU31" s="1088">
        <f>SUMIFS(BP_SOTIEN,BP_DA,$C31,BP_THANG,FU$2,BP_KM,$E31)/1000</f>
        <v>0</v>
      </c>
      <c r="FV31" s="1089" t="str">
        <f t="shared" si="271"/>
        <v/>
      </c>
      <c r="FW31" s="1089">
        <f t="shared" si="272"/>
        <v>0</v>
      </c>
      <c r="FX31" s="1090">
        <f>IF(NOW()&gt;=DATE(YEAR(FU$2),MONTH(FU$2)+1,DAY(FU$2)),SUMIFS(TF_SOTIEN,TF_DA,$C31,TF_THANG,FU$2,TF_KM,$E31)/1000, GA31)</f>
        <v>0</v>
      </c>
      <c r="FY31" s="1089" t="str">
        <f t="shared" si="273"/>
        <v/>
      </c>
      <c r="FZ31" s="1089">
        <f t="shared" si="274"/>
        <v>0</v>
      </c>
      <c r="GA31" s="1090">
        <f>IF(NOW()&gt;=DATE(YEAR(FU$2),MONTH(FU$2)+1,DAY(FU$2)),SUMIFS(AC_SOTIEN,AC_DA,$C31,AC_THANG,FU$2,AC_KM,$E31),SUMIFS(TF_SOTIEN,TF_DA,$C31,TF_THANG,FU$2,TF_KM,$E31))/ 1000</f>
        <v>0</v>
      </c>
      <c r="GB31" s="1089" t="str">
        <f t="shared" si="275"/>
        <v/>
      </c>
      <c r="GC31" s="1089" t="str">
        <f t="shared" si="276"/>
        <v/>
      </c>
      <c r="GD31" s="1090">
        <f t="shared" si="277"/>
        <v>0</v>
      </c>
      <c r="GE31" s="1091" t="str">
        <f t="shared" si="111"/>
        <v/>
      </c>
      <c r="GF31" s="1090">
        <f t="shared" si="278"/>
        <v>0</v>
      </c>
      <c r="GG31" s="1091" t="str">
        <f t="shared" si="113"/>
        <v/>
      </c>
      <c r="GH31" s="1088">
        <f>SUMIFS(BP_SOTIEN,BP_DA,$C31,BP_THANG,GH$2,BP_KM,$E31)/1000</f>
        <v>0</v>
      </c>
      <c r="GI31" s="1089" t="str">
        <f t="shared" si="279"/>
        <v/>
      </c>
      <c r="GJ31" s="1089">
        <f t="shared" si="280"/>
        <v>0</v>
      </c>
      <c r="GK31" s="1090">
        <f>IF(NOW()&gt;=DATE(YEAR(GH$2),MONTH(GH$2)+1,DAY(GH$2)),SUMIFS(TF_SOTIEN,TF_DA,$C31,TF_THANG,GH$2,TF_KM,$E31)/1000, GN31)</f>
        <v>0</v>
      </c>
      <c r="GL31" s="1089" t="str">
        <f t="shared" si="281"/>
        <v/>
      </c>
      <c r="GM31" s="1089">
        <f t="shared" si="282"/>
        <v>0</v>
      </c>
      <c r="GN31" s="1090">
        <f>IF(NOW()&gt;=DATE(YEAR(GH$2),MONTH(GH$2)+1,DAY(GH$2)),SUMIFS(AC_SOTIEN,AC_DA,$C31,AC_THANG,GH$2,AC_KM,$E31),SUMIFS(TF_SOTIEN,TF_DA,$C31,TF_THANG,GH$2,TF_KM,$E31))/ 1000</f>
        <v>0</v>
      </c>
      <c r="GO31" s="1089" t="str">
        <f t="shared" si="283"/>
        <v/>
      </c>
      <c r="GP31" s="1089" t="str">
        <f t="shared" si="284"/>
        <v/>
      </c>
      <c r="GQ31" s="1090">
        <f t="shared" si="285"/>
        <v>0</v>
      </c>
      <c r="GR31" s="1091" t="str">
        <f t="shared" si="118"/>
        <v/>
      </c>
      <c r="GS31" s="1090">
        <f t="shared" si="286"/>
        <v>0</v>
      </c>
      <c r="GT31" s="1091" t="str">
        <f t="shared" si="120"/>
        <v/>
      </c>
      <c r="GU31" s="1088">
        <f>SUMIFS(BP_SOTIEN,BP_DA,$C31,BP_THANG,GU$2,BP_KM,$E31)/1000</f>
        <v>0</v>
      </c>
      <c r="GV31" s="1089" t="str">
        <f t="shared" si="287"/>
        <v/>
      </c>
      <c r="GW31" s="1089">
        <f t="shared" si="288"/>
        <v>0</v>
      </c>
      <c r="GX31" s="1090">
        <f>IF(NOW()&gt;=DATE(YEAR(GU$2),MONTH(GU$2)+1,DAY(GU$2)),SUMIFS(TF_SOTIEN,TF_DA,$C31,TF_THANG,GU$2,TF_KM,$E31)/1000, HA31)</f>
        <v>0</v>
      </c>
      <c r="GY31" s="1089" t="str">
        <f t="shared" si="289"/>
        <v/>
      </c>
      <c r="GZ31" s="1089">
        <f t="shared" si="290"/>
        <v>0</v>
      </c>
      <c r="HA31" s="1090">
        <f>IF(NOW()&gt;=DATE(YEAR(GU$2),MONTH(GU$2)+1,DAY(GU$2)),SUMIFS(AC_SOTIEN,AC_DA,$C31,AC_THANG,GU$2,AC_KM,$E31),SUMIFS(TF_SOTIEN,TF_DA,$C31,TF_THANG,GU$2,TF_KM,$E31))/ 1000</f>
        <v>0</v>
      </c>
      <c r="HB31" s="1089" t="str">
        <f t="shared" si="291"/>
        <v/>
      </c>
      <c r="HC31" s="1089" t="str">
        <f t="shared" si="292"/>
        <v/>
      </c>
      <c r="HD31" s="1090">
        <f t="shared" si="293"/>
        <v>0</v>
      </c>
      <c r="HE31" s="1091" t="str">
        <f t="shared" si="125"/>
        <v/>
      </c>
      <c r="HF31" s="1090">
        <f t="shared" si="294"/>
        <v>0</v>
      </c>
      <c r="HG31" s="1091" t="str">
        <f t="shared" si="127"/>
        <v/>
      </c>
      <c r="HH31" s="1088">
        <f t="shared" si="295"/>
        <v>0</v>
      </c>
      <c r="HI31" s="1089" t="str">
        <f t="shared" si="296"/>
        <v/>
      </c>
      <c r="HJ31" s="1089">
        <f t="shared" si="297"/>
        <v>0</v>
      </c>
      <c r="HK31" s="1090">
        <f t="shared" si="298"/>
        <v>0</v>
      </c>
      <c r="HL31" s="1089" t="str">
        <f t="shared" si="299"/>
        <v/>
      </c>
      <c r="HM31" s="1089">
        <f t="shared" si="300"/>
        <v>0</v>
      </c>
      <c r="HN31" s="1090">
        <f t="shared" si="301"/>
        <v>0</v>
      </c>
      <c r="HO31" s="1089" t="str">
        <f t="shared" si="302"/>
        <v/>
      </c>
      <c r="HP31" s="1089" t="str">
        <f t="shared" si="303"/>
        <v/>
      </c>
      <c r="HQ31" s="1090">
        <f t="shared" si="304"/>
        <v>0</v>
      </c>
      <c r="HR31" s="1091" t="str">
        <f t="shared" si="135"/>
        <v/>
      </c>
      <c r="HS31" s="1090">
        <f t="shared" si="305"/>
        <v>0</v>
      </c>
      <c r="HT31" s="1091" t="str">
        <f t="shared" si="137"/>
        <v/>
      </c>
      <c r="HU31" s="1088">
        <f t="shared" si="306"/>
        <v>0</v>
      </c>
      <c r="HV31" s="1089" t="str">
        <f t="shared" si="307"/>
        <v/>
      </c>
      <c r="HW31" s="1089">
        <f t="shared" si="308"/>
        <v>0</v>
      </c>
      <c r="HX31" s="1090">
        <f t="shared" si="309"/>
        <v>0</v>
      </c>
      <c r="HY31" s="1089" t="str">
        <f t="shared" si="310"/>
        <v/>
      </c>
      <c r="HZ31" s="1089">
        <f t="shared" si="311"/>
        <v>0</v>
      </c>
      <c r="IA31" s="1090">
        <f t="shared" si="312"/>
        <v>0</v>
      </c>
      <c r="IB31" s="1089" t="str">
        <f t="shared" si="313"/>
        <v/>
      </c>
      <c r="IC31" s="1089" t="str">
        <f t="shared" si="314"/>
        <v/>
      </c>
      <c r="ID31" s="1090">
        <f t="shared" si="315"/>
        <v>0</v>
      </c>
      <c r="IE31" s="1091" t="str">
        <f t="shared" si="145"/>
        <v/>
      </c>
      <c r="IF31" s="1090">
        <f t="shared" si="316"/>
        <v>0</v>
      </c>
      <c r="IG31" s="1091" t="str">
        <f t="shared" si="147"/>
        <v/>
      </c>
      <c r="IH31" s="1088">
        <f t="shared" si="317"/>
        <v>0</v>
      </c>
      <c r="II31" s="1089" t="str">
        <f t="shared" si="318"/>
        <v/>
      </c>
      <c r="IJ31" s="1089">
        <f t="shared" si="319"/>
        <v>0</v>
      </c>
      <c r="IK31" s="1090">
        <f t="shared" si="320"/>
        <v>1494456.48</v>
      </c>
      <c r="IL31" s="1089">
        <f t="shared" si="321"/>
        <v>0.1246959466</v>
      </c>
      <c r="IM31" s="1089">
        <f t="shared" si="322"/>
        <v>0.03605056285</v>
      </c>
      <c r="IN31" s="1090">
        <f t="shared" si="323"/>
        <v>555572</v>
      </c>
      <c r="IO31" s="1089">
        <f t="shared" si="324"/>
        <v>0.1093365871</v>
      </c>
      <c r="IP31" s="1089">
        <f t="shared" si="325"/>
        <v>0.1278760911</v>
      </c>
      <c r="IQ31" s="1090">
        <f t="shared" si="326"/>
        <v>555572</v>
      </c>
      <c r="IR31" s="1091" t="str">
        <f t="shared" si="1"/>
        <v/>
      </c>
      <c r="IS31" s="1090">
        <f t="shared" si="327"/>
        <v>-938884.48</v>
      </c>
      <c r="IT31" s="1091">
        <f t="shared" si="2"/>
        <v>-0.6282447783</v>
      </c>
    </row>
    <row r="32" outlineLevel="1">
      <c r="A32" s="1086">
        <f t="shared" si="332"/>
        <v>9</v>
      </c>
      <c r="B32" s="1087" t="s">
        <v>2821</v>
      </c>
      <c r="C32" s="1099" t="s">
        <v>1304</v>
      </c>
      <c r="D32" s="1087" t="str">
        <f>IF(C32&gt;0,VLOOKUP(C32,DM_DUAN ,2,"") ,IF(B32&gt;0,VLOOKUP(B32,DM_CDT,2,""),""))</f>
        <v>KDC Kim Thịnh Phú</v>
      </c>
      <c r="E32" s="1087" t="s">
        <v>187</v>
      </c>
      <c r="F32" s="1087"/>
      <c r="G32" s="1086">
        <v>2.0</v>
      </c>
      <c r="H32" s="1088">
        <f>SUMIFS(BP_SOTIEN,BP_DA,$C32,BP_THANG,H$2,BP_KM,$E32)/1000</f>
        <v>0</v>
      </c>
      <c r="I32" s="1089" t="str">
        <f t="shared" si="156"/>
        <v/>
      </c>
      <c r="J32" s="1089" t="str">
        <f t="shared" si="157"/>
        <v/>
      </c>
      <c r="K32" s="1090">
        <f>IF(NOW()&gt;=DATE(YEAR(H$2),MONTH(H$2)+1,DAY(H$2)),SUMIFS(TF_SOTIEN,TF_DA,$C32,TF_THANG,H$2,TF_KM,$E32)/1000, N32)</f>
        <v>0</v>
      </c>
      <c r="L32" s="1089" t="str">
        <f t="shared" si="158"/>
        <v/>
      </c>
      <c r="M32" s="1089">
        <f t="shared" si="333"/>
        <v>0</v>
      </c>
      <c r="N32" s="1090">
        <f>IF(NOW()&gt;=DATE(YEAR(H$2),MONTH(H$2)+1,DAY(H$2)),SUMIFS(AC_SOTIEN,AC_DA,$C32,AC_THANG,H$2,AC_KM,$E32),SUMIFS(TF_SOTIEN,TF_DA,$C32,TF_THANG,H$2,TF_KM,$E32))/ 1000</f>
        <v>0</v>
      </c>
      <c r="O32" s="1089" t="str">
        <f t="shared" si="159"/>
        <v/>
      </c>
      <c r="P32" s="1089">
        <f t="shared" si="160"/>
        <v>0</v>
      </c>
      <c r="Q32" s="1090">
        <f t="shared" si="161"/>
        <v>0</v>
      </c>
      <c r="R32" s="1091" t="str">
        <f t="shared" si="8"/>
        <v/>
      </c>
      <c r="S32" s="1090">
        <f t="shared" si="162"/>
        <v>0</v>
      </c>
      <c r="T32" s="1091" t="str">
        <f t="shared" si="10"/>
        <v/>
      </c>
      <c r="U32" s="1088">
        <f>SUMIFS(BP_SOTIEN,BP_DA,$C32,BP_THANG,U$2,BP_KM,$E32)/1000</f>
        <v>0</v>
      </c>
      <c r="V32" s="1089" t="str">
        <f t="shared" si="163"/>
        <v/>
      </c>
      <c r="W32" s="1089" t="str">
        <f t="shared" si="164"/>
        <v/>
      </c>
      <c r="X32" s="1090">
        <f>IF(NOW()&gt;=DATE(YEAR(U$2),MONTH(U$2)+1,DAY(U$2)),SUMIFS(TF_SOTIEN,TF_DA,$C32,TF_THANG,U$2,TF_KM,$E32)/1000, AA32)</f>
        <v>0</v>
      </c>
      <c r="Y32" s="1089" t="str">
        <f t="shared" si="165"/>
        <v/>
      </c>
      <c r="Z32" s="1089" t="str">
        <f t="shared" si="166"/>
        <v/>
      </c>
      <c r="AA32" s="1090">
        <f>IF(NOW()&gt;=DATE(YEAR(U$2),MONTH(U$2)+1,DAY(U$2)),SUMIFS(AC_SOTIEN,AC_DA,$C32,AC_THANG,U$2,AC_KM,$E32),SUMIFS(TF_SOTIEN,TF_DA,$C32,TF_THANG,U$2,TF_KM,$E32))/ 1000</f>
        <v>0</v>
      </c>
      <c r="AB32" s="1089" t="str">
        <f t="shared" si="167"/>
        <v/>
      </c>
      <c r="AC32" s="1089">
        <f t="shared" si="168"/>
        <v>0</v>
      </c>
      <c r="AD32" s="1090">
        <f t="shared" si="169"/>
        <v>0</v>
      </c>
      <c r="AE32" s="1091" t="str">
        <f t="shared" si="15"/>
        <v/>
      </c>
      <c r="AF32" s="1090">
        <f t="shared" si="170"/>
        <v>0</v>
      </c>
      <c r="AG32" s="1091" t="str">
        <f t="shared" si="17"/>
        <v/>
      </c>
      <c r="AH32" s="1088">
        <f>SUMIFS(BP_SOTIEN,BP_DA,$C32,BP_THANG,AH$2,BP_KM,$E32)/1000</f>
        <v>0</v>
      </c>
      <c r="AI32" s="1089" t="str">
        <f t="shared" si="171"/>
        <v/>
      </c>
      <c r="AJ32" s="1089" t="str">
        <f t="shared" si="172"/>
        <v/>
      </c>
      <c r="AK32" s="1090">
        <f>IF(NOW()&gt;=DATE(YEAR(AH$2),MONTH(AH$2)+1,DAY(AH$2)),SUMIFS(TF_SOTIEN,TF_DA,$C32,TF_THANG,AH$2,TF_KM,$E32)/1000, AN32)</f>
        <v>0</v>
      </c>
      <c r="AL32" s="1089" t="str">
        <f t="shared" si="173"/>
        <v/>
      </c>
      <c r="AM32" s="1089">
        <f t="shared" si="174"/>
        <v>0</v>
      </c>
      <c r="AN32" s="1090">
        <f>IF(NOW()&gt;=DATE(YEAR(AH$2),MONTH(AH$2)+1,DAY(AH$2)),SUMIFS(AC_SOTIEN,AC_DA,$C32,AC_THANG,AH$2,AC_KM,$E32),SUMIFS(TF_SOTIEN,TF_DA,$C32,TF_THANG,AH$2,TF_KM,$E32))/ 1000</f>
        <v>0</v>
      </c>
      <c r="AO32" s="1089" t="str">
        <f t="shared" si="175"/>
        <v/>
      </c>
      <c r="AP32" s="1089">
        <f t="shared" si="176"/>
        <v>0</v>
      </c>
      <c r="AQ32" s="1090">
        <f t="shared" si="177"/>
        <v>0</v>
      </c>
      <c r="AR32" s="1091" t="str">
        <f t="shared" si="22"/>
        <v/>
      </c>
      <c r="AS32" s="1090">
        <f t="shared" si="178"/>
        <v>0</v>
      </c>
      <c r="AT32" s="1091" t="str">
        <f t="shared" si="24"/>
        <v/>
      </c>
      <c r="AU32" s="1088">
        <f t="shared" si="179"/>
        <v>0</v>
      </c>
      <c r="AV32" s="1089" t="str">
        <f t="shared" si="180"/>
        <v/>
      </c>
      <c r="AW32" s="1089" t="str">
        <f t="shared" si="181"/>
        <v/>
      </c>
      <c r="AX32" s="1090">
        <f t="shared" si="182"/>
        <v>0</v>
      </c>
      <c r="AY32" s="1089" t="str">
        <f t="shared" si="183"/>
        <v/>
      </c>
      <c r="AZ32" s="1089">
        <f t="shared" si="184"/>
        <v>0</v>
      </c>
      <c r="BA32" s="1090">
        <f t="shared" si="185"/>
        <v>0</v>
      </c>
      <c r="BB32" s="1089" t="str">
        <f t="shared" si="186"/>
        <v/>
      </c>
      <c r="BC32" s="1089">
        <f t="shared" si="187"/>
        <v>0</v>
      </c>
      <c r="BD32" s="1090">
        <f t="shared" si="188"/>
        <v>0</v>
      </c>
      <c r="BE32" s="1091" t="str">
        <f t="shared" si="32"/>
        <v/>
      </c>
      <c r="BF32" s="1090">
        <f t="shared" si="189"/>
        <v>0</v>
      </c>
      <c r="BG32" s="1091" t="str">
        <f t="shared" si="34"/>
        <v/>
      </c>
      <c r="BH32" s="1088">
        <f>SUMIFS(BP_SOTIEN,BP_DA,$C32,BP_THANG,BH$2,BP_KM,$E32)/1000</f>
        <v>0</v>
      </c>
      <c r="BI32" s="1089" t="str">
        <f t="shared" si="190"/>
        <v/>
      </c>
      <c r="BJ32" s="1089">
        <f t="shared" si="191"/>
        <v>0</v>
      </c>
      <c r="BK32" s="1090">
        <f>IF(NOW()&gt;=DATE(YEAR(BH$2),MONTH(BH$2)+1,DAY(BH$2)),SUMIFS(TF_SOTIEN,TF_DA,$C32,TF_THANG,BH$2,TF_KM,$E32)/1000, BN32)</f>
        <v>0</v>
      </c>
      <c r="BL32" s="1089" t="str">
        <f t="shared" si="192"/>
        <v/>
      </c>
      <c r="BM32" s="1089" t="str">
        <f t="shared" si="193"/>
        <v/>
      </c>
      <c r="BN32" s="1090">
        <f>IF(NOW()&gt;=DATE(YEAR(BH$2),MONTH(BH$2)+1,DAY(BH$2)),SUMIFS(AC_SOTIEN,AC_DA,$C32,AC_THANG,BH$2,AC_KM,$E32),SUMIFS(TF_SOTIEN,TF_DA,$C32,TF_THANG,BH$2,TF_KM,$E32))/ 1000</f>
        <v>0</v>
      </c>
      <c r="BO32" s="1089" t="str">
        <f t="shared" si="194"/>
        <v/>
      </c>
      <c r="BP32" s="1089">
        <f t="shared" si="195"/>
        <v>0</v>
      </c>
      <c r="BQ32" s="1090">
        <f t="shared" si="196"/>
        <v>0</v>
      </c>
      <c r="BR32" s="1091" t="str">
        <f t="shared" si="39"/>
        <v/>
      </c>
      <c r="BS32" s="1090">
        <f t="shared" si="197"/>
        <v>0</v>
      </c>
      <c r="BT32" s="1091" t="str">
        <f t="shared" si="41"/>
        <v/>
      </c>
      <c r="BU32" s="1088">
        <f>SUMIFS(BP_SOTIEN,BP_DA,$C32,BP_THANG,BU$2,BP_KM,$E32)/1000</f>
        <v>0</v>
      </c>
      <c r="BV32" s="1089" t="str">
        <f t="shared" si="198"/>
        <v/>
      </c>
      <c r="BW32" s="1089">
        <f t="shared" si="334"/>
        <v>0</v>
      </c>
      <c r="BX32" s="1090">
        <f>IF(NOW()&gt;=DATE(YEAR(BU$2),MONTH(BU$2)+1,DAY(BU$2)),SUMIFS(TF_SOTIEN,TF_DA,$C32,TF_THANG,BU$2,TF_KM,$E32)/1000, CA32)</f>
        <v>0</v>
      </c>
      <c r="BY32" s="1089" t="str">
        <f t="shared" si="200"/>
        <v/>
      </c>
      <c r="BZ32" s="1089">
        <f t="shared" si="335"/>
        <v>0</v>
      </c>
      <c r="CA32" s="1090">
        <f>IF(NOW()&gt;=DATE(YEAR(BU$2),MONTH(BU$2)+1,DAY(BU$2)),SUMIFS(AC_SOTIEN,AC_DA,$C32,AC_THANG,BU$2,AC_KM,$E32),SUMIFS(TF_SOTIEN,TF_DA,$C32,TF_THANG,BU$2,TF_KM,$E32))/ 1000</f>
        <v>0</v>
      </c>
      <c r="CB32" s="1089" t="str">
        <f t="shared" si="202"/>
        <v/>
      </c>
      <c r="CC32" s="1089">
        <f t="shared" si="336"/>
        <v>0</v>
      </c>
      <c r="CD32" s="1090">
        <f t="shared" si="204"/>
        <v>0</v>
      </c>
      <c r="CE32" s="1091" t="str">
        <f t="shared" si="46"/>
        <v/>
      </c>
      <c r="CF32" s="1090">
        <f t="shared" si="205"/>
        <v>0</v>
      </c>
      <c r="CG32" s="1091" t="str">
        <f t="shared" si="48"/>
        <v/>
      </c>
      <c r="CH32" s="1088">
        <f>SUMIFS(BP_SOTIEN,BP_DA,$C32,BP_THANG,CH$2,BP_KM,$E32)/1000</f>
        <v>0</v>
      </c>
      <c r="CI32" s="1089" t="str">
        <f t="shared" si="206"/>
        <v/>
      </c>
      <c r="CJ32" s="1089">
        <f t="shared" si="207"/>
        <v>0</v>
      </c>
      <c r="CK32" s="1090">
        <f>IF(NOW()&gt;=DATE(YEAR(CH$2),MONTH(CH$2)+1,DAY(CH$2)),SUMIFS(TF_SOTIEN,TF_DA,$C32,TF_THANG,CH$2,TF_KM,$E32)/1000, CN32)</f>
        <v>0</v>
      </c>
      <c r="CL32" s="1089" t="str">
        <f t="shared" si="208"/>
        <v/>
      </c>
      <c r="CM32" s="1089" t="str">
        <f t="shared" si="209"/>
        <v/>
      </c>
      <c r="CN32" s="1090">
        <f>IF(NOW()&gt;=DATE(YEAR(CH$2),MONTH(CH$2)+1,DAY(CH$2)),SUMIFS(AC_SOTIEN,AC_DA,$C32,AC_THANG,CH$2,AC_KM,$E32),SUMIFS(TF_SOTIEN,TF_DA,$C32,TF_THANG,CH$2,TF_KM,$E32))/ 1000</f>
        <v>0</v>
      </c>
      <c r="CO32" s="1089" t="str">
        <f t="shared" si="210"/>
        <v/>
      </c>
      <c r="CP32" s="1089" t="str">
        <f t="shared" si="211"/>
        <v/>
      </c>
      <c r="CQ32" s="1090">
        <f t="shared" si="212"/>
        <v>0</v>
      </c>
      <c r="CR32" s="1091" t="str">
        <f t="shared" si="53"/>
        <v/>
      </c>
      <c r="CS32" s="1090">
        <f t="shared" si="213"/>
        <v>0</v>
      </c>
      <c r="CT32" s="1091" t="str">
        <f t="shared" si="55"/>
        <v/>
      </c>
      <c r="CU32" s="1088">
        <f t="shared" si="214"/>
        <v>0</v>
      </c>
      <c r="CV32" s="1089" t="str">
        <f t="shared" si="215"/>
        <v/>
      </c>
      <c r="CW32" s="1089">
        <f t="shared" si="216"/>
        <v>0</v>
      </c>
      <c r="CX32" s="1090">
        <f t="shared" si="217"/>
        <v>0</v>
      </c>
      <c r="CY32" s="1089" t="str">
        <f t="shared" si="218"/>
        <v/>
      </c>
      <c r="CZ32" s="1089">
        <f t="shared" si="219"/>
        <v>0</v>
      </c>
      <c r="DA32" s="1090">
        <f t="shared" si="220"/>
        <v>0</v>
      </c>
      <c r="DB32" s="1089" t="str">
        <f t="shared" si="221"/>
        <v/>
      </c>
      <c r="DC32" s="1089">
        <f t="shared" si="222"/>
        <v>0</v>
      </c>
      <c r="DD32" s="1090">
        <f t="shared" si="223"/>
        <v>0</v>
      </c>
      <c r="DE32" s="1091" t="str">
        <f t="shared" si="63"/>
        <v/>
      </c>
      <c r="DF32" s="1090">
        <f t="shared" si="224"/>
        <v>0</v>
      </c>
      <c r="DG32" s="1091" t="str">
        <f t="shared" si="65"/>
        <v/>
      </c>
      <c r="DH32" s="1088">
        <f t="shared" si="225"/>
        <v>0</v>
      </c>
      <c r="DI32" s="1089" t="str">
        <f t="shared" si="226"/>
        <v/>
      </c>
      <c r="DJ32" s="1089">
        <f t="shared" si="227"/>
        <v>0</v>
      </c>
      <c r="DK32" s="1090">
        <f t="shared" si="228"/>
        <v>0</v>
      </c>
      <c r="DL32" s="1089" t="str">
        <f t="shared" si="229"/>
        <v/>
      </c>
      <c r="DM32" s="1089">
        <f t="shared" si="230"/>
        <v>0</v>
      </c>
      <c r="DN32" s="1090">
        <f t="shared" si="231"/>
        <v>0</v>
      </c>
      <c r="DO32" s="1089" t="str">
        <f t="shared" si="232"/>
        <v/>
      </c>
      <c r="DP32" s="1089">
        <f t="shared" si="233"/>
        <v>0</v>
      </c>
      <c r="DQ32" s="1090">
        <f t="shared" si="234"/>
        <v>0</v>
      </c>
      <c r="DR32" s="1091" t="str">
        <f t="shared" si="73"/>
        <v/>
      </c>
      <c r="DS32" s="1090">
        <f t="shared" si="235"/>
        <v>0</v>
      </c>
      <c r="DT32" s="1091" t="str">
        <f t="shared" si="75"/>
        <v/>
      </c>
      <c r="DU32" s="1088">
        <f>SUMIFS(BP_SOTIEN,BP_DA,$C32,BP_THANG,DU$2,BP_KM,$E32)/1000</f>
        <v>0</v>
      </c>
      <c r="DV32" s="1089" t="str">
        <f t="shared" si="236"/>
        <v/>
      </c>
      <c r="DW32" s="1089">
        <f t="shared" si="237"/>
        <v>0</v>
      </c>
      <c r="DX32" s="1090">
        <f>IF(NOW()&gt;=DATE(YEAR(DU$2),MONTH(DU$2)+1,DAY(DU$2)),SUMIFS(TF_SOTIEN,TF_DA,$C32,TF_THANG,DU$2,TF_KM,$E32)/1000, EA32)</f>
        <v>0</v>
      </c>
      <c r="DY32" s="1089" t="str">
        <f t="shared" si="238"/>
        <v/>
      </c>
      <c r="DZ32" s="1089">
        <f t="shared" si="239"/>
        <v>0</v>
      </c>
      <c r="EA32" s="1090">
        <f>IF(NOW()&gt;=DATE(YEAR(DU$2),MONTH(DU$2)+1,DAY(DU$2)),SUMIFS(AC_SOTIEN,AC_DA,$C32,AC_THANG,DU$2,AC_KM,$E32),SUMIFS(TF_SOTIEN,TF_DA,$C32,TF_THANG,DU$2,TF_KM,$E32))/ 1000</f>
        <v>0</v>
      </c>
      <c r="EB32" s="1089" t="str">
        <f t="shared" si="240"/>
        <v/>
      </c>
      <c r="EC32" s="1089" t="str">
        <f t="shared" si="241"/>
        <v/>
      </c>
      <c r="ED32" s="1090">
        <f t="shared" si="242"/>
        <v>0</v>
      </c>
      <c r="EE32" s="1091" t="str">
        <f t="shared" si="80"/>
        <v/>
      </c>
      <c r="EF32" s="1090">
        <f t="shared" si="243"/>
        <v>0</v>
      </c>
      <c r="EG32" s="1091" t="str">
        <f t="shared" si="82"/>
        <v/>
      </c>
      <c r="EH32" s="1088">
        <f>SUMIFS(BP_SOTIEN,BP_DA,$C32,BP_THANG,EH$2,BP_KM,$E32)/1000</f>
        <v>0</v>
      </c>
      <c r="EI32" s="1089" t="str">
        <f t="shared" si="244"/>
        <v/>
      </c>
      <c r="EJ32" s="1089">
        <f t="shared" si="245"/>
        <v>0</v>
      </c>
      <c r="EK32" s="1090">
        <f>IF(NOW()&gt;=DATE(YEAR(EH$2),MONTH(EH$2)+1,DAY(EH$2)),SUMIFS(TF_SOTIEN,TF_DA,$C32,TF_THANG,EH$2,TF_KM,$E32)/1000, EN32)</f>
        <v>0</v>
      </c>
      <c r="EL32" s="1089" t="str">
        <f t="shared" si="246"/>
        <v/>
      </c>
      <c r="EM32" s="1089">
        <f t="shared" si="247"/>
        <v>0</v>
      </c>
      <c r="EN32" s="1090">
        <f>IF(NOW()&gt;=DATE(YEAR(EH$2),MONTH(EH$2)+1,DAY(EH$2)),SUMIFS(AC_SOTIEN,AC_DA,$C32,AC_THANG,EH$2,AC_KM,$E32),SUMIFS(TF_SOTIEN,TF_DA,$C32,TF_THANG,EH$2,TF_KM,$E32))/ 1000</f>
        <v>0</v>
      </c>
      <c r="EO32" s="1089" t="str">
        <f t="shared" si="248"/>
        <v/>
      </c>
      <c r="EP32" s="1089" t="str">
        <f t="shared" si="249"/>
        <v/>
      </c>
      <c r="EQ32" s="1090">
        <f t="shared" si="250"/>
        <v>0</v>
      </c>
      <c r="ER32" s="1091" t="str">
        <f t="shared" si="87"/>
        <v/>
      </c>
      <c r="ES32" s="1090">
        <f t="shared" si="251"/>
        <v>0</v>
      </c>
      <c r="ET32" s="1091" t="str">
        <f t="shared" si="89"/>
        <v/>
      </c>
      <c r="EU32" s="1088">
        <f>SUMIFS(BP_SOTIEN,BP_DA,$C32,BP_THANG,EU$2,BP_KM,$E32)/1000</f>
        <v>0</v>
      </c>
      <c r="EV32" s="1089" t="str">
        <f t="shared" si="252"/>
        <v/>
      </c>
      <c r="EW32" s="1089">
        <f t="shared" si="253"/>
        <v>0</v>
      </c>
      <c r="EX32" s="1090">
        <f>IF(NOW()&gt;=DATE(YEAR(EU$2),MONTH(EU$2)+1,DAY(EU$2)),SUMIFS(TF_SOTIEN,TF_DA,$C32,TF_THANG,EU$2,TF_KM,$E32)/1000, FA32)</f>
        <v>0</v>
      </c>
      <c r="EY32" s="1089" t="str">
        <f t="shared" si="254"/>
        <v/>
      </c>
      <c r="EZ32" s="1089">
        <f t="shared" si="255"/>
        <v>0</v>
      </c>
      <c r="FA32" s="1090">
        <f>IF(NOW()&gt;=DATE(YEAR(EU$2),MONTH(EU$2)+1,DAY(EU$2)),SUMIFS(AC_SOTIEN,AC_DA,$C32,AC_THANG,EU$2,AC_KM,$E32),SUMIFS(TF_SOTIEN,TF_DA,$C32,TF_THANG,EU$2,TF_KM,$E32))/ 1000</f>
        <v>0</v>
      </c>
      <c r="FB32" s="1089" t="str">
        <f t="shared" si="256"/>
        <v/>
      </c>
      <c r="FC32" s="1089" t="str">
        <f t="shared" si="257"/>
        <v/>
      </c>
      <c r="FD32" s="1090">
        <f t="shared" si="258"/>
        <v>0</v>
      </c>
      <c r="FE32" s="1091" t="str">
        <f t="shared" si="94"/>
        <v/>
      </c>
      <c r="FF32" s="1090">
        <f t="shared" si="259"/>
        <v>0</v>
      </c>
      <c r="FG32" s="1091" t="str">
        <f t="shared" si="96"/>
        <v/>
      </c>
      <c r="FH32" s="1088">
        <f t="shared" si="260"/>
        <v>0</v>
      </c>
      <c r="FI32" s="1089" t="str">
        <f t="shared" si="261"/>
        <v/>
      </c>
      <c r="FJ32" s="1089">
        <f t="shared" si="262"/>
        <v>0</v>
      </c>
      <c r="FK32" s="1090">
        <f t="shared" si="263"/>
        <v>0</v>
      </c>
      <c r="FL32" s="1089" t="str">
        <f t="shared" si="264"/>
        <v/>
      </c>
      <c r="FM32" s="1089">
        <f t="shared" si="265"/>
        <v>0</v>
      </c>
      <c r="FN32" s="1090">
        <f t="shared" si="266"/>
        <v>0</v>
      </c>
      <c r="FO32" s="1089" t="str">
        <f t="shared" si="267"/>
        <v/>
      </c>
      <c r="FP32" s="1089" t="str">
        <f t="shared" si="268"/>
        <v/>
      </c>
      <c r="FQ32" s="1090">
        <f t="shared" si="269"/>
        <v>0</v>
      </c>
      <c r="FR32" s="1091" t="str">
        <f t="shared" si="104"/>
        <v/>
      </c>
      <c r="FS32" s="1090">
        <f t="shared" si="270"/>
        <v>0</v>
      </c>
      <c r="FT32" s="1091" t="str">
        <f t="shared" si="106"/>
        <v/>
      </c>
      <c r="FU32" s="1088">
        <f>SUMIFS(BP_SOTIEN,BP_DA,$C32,BP_THANG,FU$2,BP_KM,$E32)/1000</f>
        <v>0</v>
      </c>
      <c r="FV32" s="1089" t="str">
        <f t="shared" si="271"/>
        <v/>
      </c>
      <c r="FW32" s="1089">
        <f t="shared" si="272"/>
        <v>0</v>
      </c>
      <c r="FX32" s="1090">
        <f>IF(NOW()&gt;=DATE(YEAR(FU$2),MONTH(FU$2)+1,DAY(FU$2)),SUMIFS(TF_SOTIEN,TF_DA,$C32,TF_THANG,FU$2,TF_KM,$E32)/1000, GA32)</f>
        <v>0</v>
      </c>
      <c r="FY32" s="1089" t="str">
        <f t="shared" si="273"/>
        <v/>
      </c>
      <c r="FZ32" s="1089">
        <f t="shared" si="274"/>
        <v>0</v>
      </c>
      <c r="GA32" s="1090">
        <f>IF(NOW()&gt;=DATE(YEAR(FU$2),MONTH(FU$2)+1,DAY(FU$2)),SUMIFS(AC_SOTIEN,AC_DA,$C32,AC_THANG,FU$2,AC_KM,$E32),SUMIFS(TF_SOTIEN,TF_DA,$C32,TF_THANG,FU$2,TF_KM,$E32))/ 1000</f>
        <v>0</v>
      </c>
      <c r="GB32" s="1089" t="str">
        <f t="shared" si="275"/>
        <v/>
      </c>
      <c r="GC32" s="1089" t="str">
        <f t="shared" si="276"/>
        <v/>
      </c>
      <c r="GD32" s="1090">
        <f t="shared" si="277"/>
        <v>0</v>
      </c>
      <c r="GE32" s="1091" t="str">
        <f t="shared" si="111"/>
        <v/>
      </c>
      <c r="GF32" s="1090">
        <f t="shared" si="278"/>
        <v>0</v>
      </c>
      <c r="GG32" s="1091" t="str">
        <f t="shared" si="113"/>
        <v/>
      </c>
      <c r="GH32" s="1088">
        <f>SUMIFS(BP_SOTIEN,BP_DA,$C32,BP_THANG,GH$2,BP_KM,$E32)/1000</f>
        <v>0</v>
      </c>
      <c r="GI32" s="1089" t="str">
        <f t="shared" si="279"/>
        <v/>
      </c>
      <c r="GJ32" s="1089">
        <f t="shared" si="280"/>
        <v>0</v>
      </c>
      <c r="GK32" s="1090">
        <f>IF(NOW()&gt;=DATE(YEAR(GH$2),MONTH(GH$2)+1,DAY(GH$2)),SUMIFS(TF_SOTIEN,TF_DA,$C32,TF_THANG,GH$2,TF_KM,$E32)/1000, GN32)</f>
        <v>0</v>
      </c>
      <c r="GL32" s="1089" t="str">
        <f t="shared" si="281"/>
        <v/>
      </c>
      <c r="GM32" s="1089">
        <f t="shared" si="282"/>
        <v>0</v>
      </c>
      <c r="GN32" s="1090">
        <f>IF(NOW()&gt;=DATE(YEAR(GH$2),MONTH(GH$2)+1,DAY(GH$2)),SUMIFS(AC_SOTIEN,AC_DA,$C32,AC_THANG,GH$2,AC_KM,$E32),SUMIFS(TF_SOTIEN,TF_DA,$C32,TF_THANG,GH$2,TF_KM,$E32))/ 1000</f>
        <v>0</v>
      </c>
      <c r="GO32" s="1089" t="str">
        <f t="shared" si="283"/>
        <v/>
      </c>
      <c r="GP32" s="1089" t="str">
        <f t="shared" si="284"/>
        <v/>
      </c>
      <c r="GQ32" s="1090">
        <f t="shared" si="285"/>
        <v>0</v>
      </c>
      <c r="GR32" s="1091" t="str">
        <f t="shared" si="118"/>
        <v/>
      </c>
      <c r="GS32" s="1090">
        <f t="shared" si="286"/>
        <v>0</v>
      </c>
      <c r="GT32" s="1091" t="str">
        <f t="shared" si="120"/>
        <v/>
      </c>
      <c r="GU32" s="1088">
        <f>SUMIFS(BP_SOTIEN,BP_DA,$C32,BP_THANG,GU$2,BP_KM,$E32)/1000</f>
        <v>0</v>
      </c>
      <c r="GV32" s="1089" t="str">
        <f t="shared" si="287"/>
        <v/>
      </c>
      <c r="GW32" s="1089">
        <f t="shared" si="288"/>
        <v>0</v>
      </c>
      <c r="GX32" s="1090">
        <f>IF(NOW()&gt;=DATE(YEAR(GU$2),MONTH(GU$2)+1,DAY(GU$2)),SUMIFS(TF_SOTIEN,TF_DA,$C32,TF_THANG,GU$2,TF_KM,$E32)/1000, HA32)</f>
        <v>0</v>
      </c>
      <c r="GY32" s="1089" t="str">
        <f t="shared" si="289"/>
        <v/>
      </c>
      <c r="GZ32" s="1089">
        <f t="shared" si="290"/>
        <v>0</v>
      </c>
      <c r="HA32" s="1090">
        <f>IF(NOW()&gt;=DATE(YEAR(GU$2),MONTH(GU$2)+1,DAY(GU$2)),SUMIFS(AC_SOTIEN,AC_DA,$C32,AC_THANG,GU$2,AC_KM,$E32),SUMIFS(TF_SOTIEN,TF_DA,$C32,TF_THANG,GU$2,TF_KM,$E32))/ 1000</f>
        <v>0</v>
      </c>
      <c r="HB32" s="1089" t="str">
        <f t="shared" si="291"/>
        <v/>
      </c>
      <c r="HC32" s="1089" t="str">
        <f t="shared" si="292"/>
        <v/>
      </c>
      <c r="HD32" s="1090">
        <f t="shared" si="293"/>
        <v>0</v>
      </c>
      <c r="HE32" s="1091" t="str">
        <f t="shared" si="125"/>
        <v/>
      </c>
      <c r="HF32" s="1090">
        <f t="shared" si="294"/>
        <v>0</v>
      </c>
      <c r="HG32" s="1091" t="str">
        <f t="shared" si="127"/>
        <v/>
      </c>
      <c r="HH32" s="1088">
        <f t="shared" si="295"/>
        <v>0</v>
      </c>
      <c r="HI32" s="1089" t="str">
        <f t="shared" si="296"/>
        <v/>
      </c>
      <c r="HJ32" s="1089">
        <f t="shared" si="297"/>
        <v>0</v>
      </c>
      <c r="HK32" s="1090">
        <f t="shared" si="298"/>
        <v>0</v>
      </c>
      <c r="HL32" s="1089" t="str">
        <f t="shared" si="299"/>
        <v/>
      </c>
      <c r="HM32" s="1089">
        <f t="shared" si="300"/>
        <v>0</v>
      </c>
      <c r="HN32" s="1090">
        <f t="shared" si="301"/>
        <v>0</v>
      </c>
      <c r="HO32" s="1089" t="str">
        <f t="shared" si="302"/>
        <v/>
      </c>
      <c r="HP32" s="1089" t="str">
        <f t="shared" si="303"/>
        <v/>
      </c>
      <c r="HQ32" s="1090">
        <f t="shared" si="304"/>
        <v>0</v>
      </c>
      <c r="HR32" s="1091" t="str">
        <f t="shared" si="135"/>
        <v/>
      </c>
      <c r="HS32" s="1090">
        <f t="shared" si="305"/>
        <v>0</v>
      </c>
      <c r="HT32" s="1091" t="str">
        <f t="shared" si="137"/>
        <v/>
      </c>
      <c r="HU32" s="1088">
        <f t="shared" si="306"/>
        <v>0</v>
      </c>
      <c r="HV32" s="1089" t="str">
        <f t="shared" si="307"/>
        <v/>
      </c>
      <c r="HW32" s="1089">
        <f t="shared" si="308"/>
        <v>0</v>
      </c>
      <c r="HX32" s="1090">
        <f t="shared" si="309"/>
        <v>0</v>
      </c>
      <c r="HY32" s="1089" t="str">
        <f t="shared" si="310"/>
        <v/>
      </c>
      <c r="HZ32" s="1089">
        <f t="shared" si="311"/>
        <v>0</v>
      </c>
      <c r="IA32" s="1090">
        <f t="shared" si="312"/>
        <v>0</v>
      </c>
      <c r="IB32" s="1089" t="str">
        <f t="shared" si="313"/>
        <v/>
      </c>
      <c r="IC32" s="1089" t="str">
        <f t="shared" si="314"/>
        <v/>
      </c>
      <c r="ID32" s="1090">
        <f t="shared" si="315"/>
        <v>0</v>
      </c>
      <c r="IE32" s="1091" t="str">
        <f t="shared" si="145"/>
        <v/>
      </c>
      <c r="IF32" s="1090">
        <f t="shared" si="316"/>
        <v>0</v>
      </c>
      <c r="IG32" s="1091" t="str">
        <f t="shared" si="147"/>
        <v/>
      </c>
      <c r="IH32" s="1088">
        <f t="shared" si="317"/>
        <v>0</v>
      </c>
      <c r="II32" s="1089" t="str">
        <f t="shared" si="318"/>
        <v/>
      </c>
      <c r="IJ32" s="1089">
        <f t="shared" si="319"/>
        <v>0</v>
      </c>
      <c r="IK32" s="1090">
        <f t="shared" si="320"/>
        <v>0</v>
      </c>
      <c r="IL32" s="1089" t="str">
        <f t="shared" si="321"/>
        <v/>
      </c>
      <c r="IM32" s="1089">
        <f t="shared" si="322"/>
        <v>0</v>
      </c>
      <c r="IN32" s="1090">
        <f t="shared" si="323"/>
        <v>0</v>
      </c>
      <c r="IO32" s="1089" t="str">
        <f t="shared" si="324"/>
        <v/>
      </c>
      <c r="IP32" s="1089">
        <f t="shared" si="325"/>
        <v>0</v>
      </c>
      <c r="IQ32" s="1090">
        <f t="shared" si="326"/>
        <v>0</v>
      </c>
      <c r="IR32" s="1091" t="str">
        <f t="shared" si="1"/>
        <v/>
      </c>
      <c r="IS32" s="1090">
        <f t="shared" si="327"/>
        <v>0</v>
      </c>
      <c r="IT32" s="1091" t="str">
        <f t="shared" si="2"/>
        <v/>
      </c>
    </row>
    <row r="33" outlineLevel="1">
      <c r="A33" s="1086" t="str">
        <f>IF(C33="","",COUNTA(C$19:C33))</f>
        <v/>
      </c>
      <c r="B33" s="1087"/>
      <c r="C33" s="656"/>
      <c r="D33" s="1087" t="str">
        <f>IF(C33="","",VLOOKUP(C33,DM_DUAN,2,0))</f>
        <v/>
      </c>
      <c r="E33" s="1087" t="s">
        <v>187</v>
      </c>
      <c r="F33" s="1087"/>
      <c r="G33" s="1086">
        <v>2.0</v>
      </c>
      <c r="H33" s="1088">
        <f>SUMIFS(BP_SOTIEN,BP_DA,$C33,BP_THANG,H$2,BP_KM,$E33)/1000</f>
        <v>0</v>
      </c>
      <c r="I33" s="1089" t="str">
        <f t="shared" si="156"/>
        <v/>
      </c>
      <c r="J33" s="1089" t="str">
        <f t="shared" si="157"/>
        <v/>
      </c>
      <c r="K33" s="1090">
        <f>IF(NOW()&gt;=DATE(YEAR(H$2),MONTH(H$2)+1,DAY(H$2)),SUMIFS(TF_SOTIEN,TF_DA,$C33,TF_THANG,H$2,TF_KM,$E33)/1000, N33)</f>
        <v>0</v>
      </c>
      <c r="L33" s="1089" t="str">
        <f t="shared" si="158"/>
        <v/>
      </c>
      <c r="M33" s="1089">
        <f t="shared" si="333"/>
        <v>0</v>
      </c>
      <c r="N33" s="1090">
        <f>IF(NOW()&gt;=DATE(YEAR(H$2),MONTH(H$2)+1,DAY(H$2)),SUMIFS(AC_SOTIEN,AC_DA,$C33,AC_THANG,H$2,AC_KM,$E33),SUMIFS(TF_SOTIEN,TF_DA,$C33,TF_THANG,H$2,TF_KM,$E33))/ 1000</f>
        <v>0</v>
      </c>
      <c r="O33" s="1089" t="str">
        <f t="shared" si="159"/>
        <v/>
      </c>
      <c r="P33" s="1089">
        <f t="shared" si="160"/>
        <v>0</v>
      </c>
      <c r="Q33" s="1090">
        <f t="shared" si="161"/>
        <v>0</v>
      </c>
      <c r="R33" s="1091" t="str">
        <f t="shared" si="8"/>
        <v/>
      </c>
      <c r="S33" s="1090">
        <f t="shared" si="162"/>
        <v>0</v>
      </c>
      <c r="T33" s="1091" t="str">
        <f t="shared" si="10"/>
        <v/>
      </c>
      <c r="U33" s="1088">
        <f>SUMIFS(BP_SOTIEN,BP_DA,$C33,BP_THANG,U$2,BP_KM,$E33)/1000</f>
        <v>0</v>
      </c>
      <c r="V33" s="1089" t="str">
        <f t="shared" si="163"/>
        <v/>
      </c>
      <c r="W33" s="1089" t="str">
        <f t="shared" si="164"/>
        <v/>
      </c>
      <c r="X33" s="1090">
        <f>IF(NOW()&gt;=DATE(YEAR(U$2),MONTH(U$2)+1,DAY(U$2)),SUMIFS(TF_SOTIEN,TF_DA,$C33,TF_THANG,U$2,TF_KM,$E33)/1000, AA33)</f>
        <v>0</v>
      </c>
      <c r="Y33" s="1089" t="str">
        <f t="shared" si="165"/>
        <v/>
      </c>
      <c r="Z33" s="1089" t="str">
        <f t="shared" si="166"/>
        <v/>
      </c>
      <c r="AA33" s="1090">
        <f>IF(NOW()&gt;=DATE(YEAR(U$2),MONTH(U$2)+1,DAY(U$2)),SUMIFS(AC_SOTIEN,AC_DA,$C33,AC_THANG,U$2,AC_KM,$E33),SUMIFS(TF_SOTIEN,TF_DA,$C33,TF_THANG,U$2,TF_KM,$E33))/ 1000</f>
        <v>0</v>
      </c>
      <c r="AB33" s="1089" t="str">
        <f t="shared" si="167"/>
        <v/>
      </c>
      <c r="AC33" s="1089">
        <f t="shared" si="168"/>
        <v>0</v>
      </c>
      <c r="AD33" s="1090">
        <f t="shared" si="169"/>
        <v>0</v>
      </c>
      <c r="AE33" s="1091" t="str">
        <f t="shared" si="15"/>
        <v/>
      </c>
      <c r="AF33" s="1090">
        <f t="shared" si="170"/>
        <v>0</v>
      </c>
      <c r="AG33" s="1091" t="str">
        <f t="shared" si="17"/>
        <v/>
      </c>
      <c r="AH33" s="1088">
        <f>SUMIFS(BP_SOTIEN,BP_DA,$C33,BP_THANG,AH$2,BP_KM,$E33)/1000</f>
        <v>0</v>
      </c>
      <c r="AI33" s="1089" t="str">
        <f t="shared" si="171"/>
        <v/>
      </c>
      <c r="AJ33" s="1089" t="str">
        <f t="shared" si="172"/>
        <v/>
      </c>
      <c r="AK33" s="1090">
        <f>IF(NOW()&gt;=DATE(YEAR(AH$2),MONTH(AH$2)+1,DAY(AH$2)),SUMIFS(TF_SOTIEN,TF_DA,$C33,TF_THANG,AH$2,TF_KM,$E33)/1000, AN33)</f>
        <v>0</v>
      </c>
      <c r="AL33" s="1089" t="str">
        <f t="shared" si="173"/>
        <v/>
      </c>
      <c r="AM33" s="1089">
        <f t="shared" si="174"/>
        <v>0</v>
      </c>
      <c r="AN33" s="1090">
        <f>IF(NOW()&gt;=DATE(YEAR(AH$2),MONTH(AH$2)+1,DAY(AH$2)),SUMIFS(AC_SOTIEN,AC_DA,$C33,AC_THANG,AH$2,AC_KM,$E33),SUMIFS(TF_SOTIEN,TF_DA,$C33,TF_THANG,AH$2,TF_KM,$E33))/ 1000</f>
        <v>0</v>
      </c>
      <c r="AO33" s="1089" t="str">
        <f t="shared" si="175"/>
        <v/>
      </c>
      <c r="AP33" s="1089">
        <f t="shared" si="176"/>
        <v>0</v>
      </c>
      <c r="AQ33" s="1090">
        <f t="shared" si="177"/>
        <v>0</v>
      </c>
      <c r="AR33" s="1091" t="str">
        <f t="shared" si="22"/>
        <v/>
      </c>
      <c r="AS33" s="1090">
        <f t="shared" si="178"/>
        <v>0</v>
      </c>
      <c r="AT33" s="1091" t="str">
        <f t="shared" si="24"/>
        <v/>
      </c>
      <c r="AU33" s="1088">
        <f t="shared" si="179"/>
        <v>0</v>
      </c>
      <c r="AV33" s="1089" t="str">
        <f t="shared" si="180"/>
        <v/>
      </c>
      <c r="AW33" s="1089" t="str">
        <f t="shared" si="181"/>
        <v/>
      </c>
      <c r="AX33" s="1090">
        <f t="shared" si="182"/>
        <v>0</v>
      </c>
      <c r="AY33" s="1089" t="str">
        <f t="shared" si="183"/>
        <v/>
      </c>
      <c r="AZ33" s="1089">
        <f t="shared" si="184"/>
        <v>0</v>
      </c>
      <c r="BA33" s="1090">
        <f t="shared" si="185"/>
        <v>0</v>
      </c>
      <c r="BB33" s="1089" t="str">
        <f t="shared" si="186"/>
        <v/>
      </c>
      <c r="BC33" s="1089">
        <f t="shared" si="187"/>
        <v>0</v>
      </c>
      <c r="BD33" s="1090">
        <f t="shared" si="188"/>
        <v>0</v>
      </c>
      <c r="BE33" s="1091" t="str">
        <f t="shared" si="32"/>
        <v/>
      </c>
      <c r="BF33" s="1090">
        <f t="shared" si="189"/>
        <v>0</v>
      </c>
      <c r="BG33" s="1091" t="str">
        <f t="shared" si="34"/>
        <v/>
      </c>
      <c r="BH33" s="1088">
        <f>SUMIFS(BP_SOTIEN,BP_DA,$C33,BP_THANG,BH$2,BP_KM,$E33)/1000</f>
        <v>0</v>
      </c>
      <c r="BI33" s="1089" t="str">
        <f t="shared" si="190"/>
        <v/>
      </c>
      <c r="BJ33" s="1089">
        <f t="shared" si="191"/>
        <v>0</v>
      </c>
      <c r="BK33" s="1090">
        <f>IF(NOW()&gt;=DATE(YEAR(BH$2),MONTH(BH$2)+1,DAY(BH$2)),SUMIFS(TF_SOTIEN,TF_DA,$C33,TF_THANG,BH$2,TF_KM,$E33)/1000, BN33)</f>
        <v>0</v>
      </c>
      <c r="BL33" s="1089" t="str">
        <f t="shared" si="192"/>
        <v/>
      </c>
      <c r="BM33" s="1089" t="str">
        <f t="shared" si="193"/>
        <v/>
      </c>
      <c r="BN33" s="1090">
        <f>IF(NOW()&gt;=DATE(YEAR(BH$2),MONTH(BH$2)+1,DAY(BH$2)),SUMIFS(AC_SOTIEN,AC_DA,$C33,AC_THANG,BH$2,AC_KM,$E33),SUMIFS(TF_SOTIEN,TF_DA,$C33,TF_THANG,BH$2,TF_KM,$E33))/ 1000</f>
        <v>0</v>
      </c>
      <c r="BO33" s="1089" t="str">
        <f t="shared" si="194"/>
        <v/>
      </c>
      <c r="BP33" s="1089">
        <f t="shared" si="195"/>
        <v>0</v>
      </c>
      <c r="BQ33" s="1090">
        <f t="shared" si="196"/>
        <v>0</v>
      </c>
      <c r="BR33" s="1091" t="str">
        <f t="shared" si="39"/>
        <v/>
      </c>
      <c r="BS33" s="1090">
        <f t="shared" si="197"/>
        <v>0</v>
      </c>
      <c r="BT33" s="1091" t="str">
        <f t="shared" si="41"/>
        <v/>
      </c>
      <c r="BU33" s="1088">
        <f>SUMIFS(BP_SOTIEN,BP_DA,$C33,BP_THANG,BU$2,BP_KM,$E33)/1000</f>
        <v>0</v>
      </c>
      <c r="BV33" s="1089" t="str">
        <f t="shared" si="198"/>
        <v/>
      </c>
      <c r="BW33" s="1089">
        <f t="shared" si="334"/>
        <v>0</v>
      </c>
      <c r="BX33" s="1090">
        <f>IF(NOW()&gt;=DATE(YEAR(BU$2),MONTH(BU$2)+1,DAY(BU$2)),SUMIFS(TF_SOTIEN,TF_DA,$C33,TF_THANG,BU$2,TF_KM,$E33)/1000, CA33)</f>
        <v>0</v>
      </c>
      <c r="BY33" s="1089" t="str">
        <f t="shared" si="200"/>
        <v/>
      </c>
      <c r="BZ33" s="1089">
        <f t="shared" si="335"/>
        <v>0</v>
      </c>
      <c r="CA33" s="1090">
        <f>IF(NOW()&gt;=DATE(YEAR(BU$2),MONTH(BU$2)+1,DAY(BU$2)),SUMIFS(AC_SOTIEN,AC_DA,$C33,AC_THANG,BU$2,AC_KM,$E33),SUMIFS(TF_SOTIEN,TF_DA,$C33,TF_THANG,BU$2,TF_KM,$E33))/ 1000</f>
        <v>0</v>
      </c>
      <c r="CB33" s="1089" t="str">
        <f t="shared" si="202"/>
        <v/>
      </c>
      <c r="CC33" s="1089">
        <f t="shared" si="336"/>
        <v>0</v>
      </c>
      <c r="CD33" s="1090">
        <f t="shared" si="204"/>
        <v>0</v>
      </c>
      <c r="CE33" s="1091" t="str">
        <f t="shared" si="46"/>
        <v/>
      </c>
      <c r="CF33" s="1090">
        <f t="shared" si="205"/>
        <v>0</v>
      </c>
      <c r="CG33" s="1091" t="str">
        <f t="shared" si="48"/>
        <v/>
      </c>
      <c r="CH33" s="1088">
        <f>SUMIFS(BP_SOTIEN,BP_DA,$C33,BP_THANG,CH$2,BP_KM,$E33)/1000</f>
        <v>0</v>
      </c>
      <c r="CI33" s="1089" t="str">
        <f t="shared" si="206"/>
        <v/>
      </c>
      <c r="CJ33" s="1089">
        <f t="shared" si="207"/>
        <v>0</v>
      </c>
      <c r="CK33" s="1090">
        <f>IF(NOW()&gt;=DATE(YEAR(CH$2),MONTH(CH$2)+1,DAY(CH$2)),SUMIFS(TF_SOTIEN,TF_DA,$C33,TF_THANG,CH$2,TF_KM,$E33)/1000, CN33)</f>
        <v>0</v>
      </c>
      <c r="CL33" s="1089" t="str">
        <f t="shared" si="208"/>
        <v/>
      </c>
      <c r="CM33" s="1089" t="str">
        <f t="shared" si="209"/>
        <v/>
      </c>
      <c r="CN33" s="1090">
        <f>IF(NOW()&gt;=DATE(YEAR(CH$2),MONTH(CH$2)+1,DAY(CH$2)),SUMIFS(AC_SOTIEN,AC_DA,$C33,AC_THANG,CH$2,AC_KM,$E33),SUMIFS(TF_SOTIEN,TF_DA,$C33,TF_THANG,CH$2,TF_KM,$E33))/ 1000</f>
        <v>0</v>
      </c>
      <c r="CO33" s="1089" t="str">
        <f t="shared" si="210"/>
        <v/>
      </c>
      <c r="CP33" s="1089" t="str">
        <f t="shared" si="211"/>
        <v/>
      </c>
      <c r="CQ33" s="1090">
        <f t="shared" si="212"/>
        <v>0</v>
      </c>
      <c r="CR33" s="1091" t="str">
        <f t="shared" si="53"/>
        <v/>
      </c>
      <c r="CS33" s="1090">
        <f t="shared" si="213"/>
        <v>0</v>
      </c>
      <c r="CT33" s="1091" t="str">
        <f t="shared" si="55"/>
        <v/>
      </c>
      <c r="CU33" s="1088">
        <f t="shared" si="214"/>
        <v>0</v>
      </c>
      <c r="CV33" s="1089" t="str">
        <f t="shared" si="215"/>
        <v/>
      </c>
      <c r="CW33" s="1089">
        <f t="shared" si="216"/>
        <v>0</v>
      </c>
      <c r="CX33" s="1090">
        <f t="shared" si="217"/>
        <v>0</v>
      </c>
      <c r="CY33" s="1089" t="str">
        <f t="shared" si="218"/>
        <v/>
      </c>
      <c r="CZ33" s="1089">
        <f t="shared" si="219"/>
        <v>0</v>
      </c>
      <c r="DA33" s="1090">
        <f t="shared" si="220"/>
        <v>0</v>
      </c>
      <c r="DB33" s="1089" t="str">
        <f t="shared" si="221"/>
        <v/>
      </c>
      <c r="DC33" s="1089">
        <f t="shared" si="222"/>
        <v>0</v>
      </c>
      <c r="DD33" s="1090">
        <f t="shared" si="223"/>
        <v>0</v>
      </c>
      <c r="DE33" s="1091" t="str">
        <f t="shared" si="63"/>
        <v/>
      </c>
      <c r="DF33" s="1090">
        <f t="shared" si="224"/>
        <v>0</v>
      </c>
      <c r="DG33" s="1091" t="str">
        <f t="shared" si="65"/>
        <v/>
      </c>
      <c r="DH33" s="1088">
        <f t="shared" si="225"/>
        <v>0</v>
      </c>
      <c r="DI33" s="1089" t="str">
        <f t="shared" si="226"/>
        <v/>
      </c>
      <c r="DJ33" s="1089">
        <f t="shared" si="227"/>
        <v>0</v>
      </c>
      <c r="DK33" s="1090">
        <f t="shared" si="228"/>
        <v>0</v>
      </c>
      <c r="DL33" s="1089" t="str">
        <f t="shared" si="229"/>
        <v/>
      </c>
      <c r="DM33" s="1089">
        <f t="shared" si="230"/>
        <v>0</v>
      </c>
      <c r="DN33" s="1090">
        <f t="shared" si="231"/>
        <v>0</v>
      </c>
      <c r="DO33" s="1089" t="str">
        <f t="shared" si="232"/>
        <v/>
      </c>
      <c r="DP33" s="1089">
        <f t="shared" si="233"/>
        <v>0</v>
      </c>
      <c r="DQ33" s="1090">
        <f t="shared" si="234"/>
        <v>0</v>
      </c>
      <c r="DR33" s="1091" t="str">
        <f t="shared" si="73"/>
        <v/>
      </c>
      <c r="DS33" s="1090">
        <f t="shared" si="235"/>
        <v>0</v>
      </c>
      <c r="DT33" s="1091" t="str">
        <f t="shared" si="75"/>
        <v/>
      </c>
      <c r="DU33" s="1088">
        <f>SUMIFS(BP_SOTIEN,BP_DA,$C33,BP_THANG,DU$2,BP_KM,$E33)/1000</f>
        <v>0</v>
      </c>
      <c r="DV33" s="1089" t="str">
        <f t="shared" si="236"/>
        <v/>
      </c>
      <c r="DW33" s="1089">
        <f t="shared" si="237"/>
        <v>0</v>
      </c>
      <c r="DX33" s="1090">
        <f>IF(NOW()&gt;=DATE(YEAR(DU$2),MONTH(DU$2)+1,DAY(DU$2)),SUMIFS(TF_SOTIEN,TF_DA,$C33,TF_THANG,DU$2,TF_KM,$E33)/1000, EA33)</f>
        <v>0</v>
      </c>
      <c r="DY33" s="1089" t="str">
        <f t="shared" si="238"/>
        <v/>
      </c>
      <c r="DZ33" s="1089">
        <f t="shared" si="239"/>
        <v>0</v>
      </c>
      <c r="EA33" s="1090">
        <f>IF(NOW()&gt;=DATE(YEAR(DU$2),MONTH(DU$2)+1,DAY(DU$2)),SUMIFS(AC_SOTIEN,AC_DA,$C33,AC_THANG,DU$2,AC_KM,$E33),SUMIFS(TF_SOTIEN,TF_DA,$C33,TF_THANG,DU$2,TF_KM,$E33))/ 1000</f>
        <v>0</v>
      </c>
      <c r="EB33" s="1089" t="str">
        <f t="shared" si="240"/>
        <v/>
      </c>
      <c r="EC33" s="1089" t="str">
        <f t="shared" si="241"/>
        <v/>
      </c>
      <c r="ED33" s="1090">
        <f t="shared" si="242"/>
        <v>0</v>
      </c>
      <c r="EE33" s="1091" t="str">
        <f t="shared" si="80"/>
        <v/>
      </c>
      <c r="EF33" s="1090">
        <f t="shared" si="243"/>
        <v>0</v>
      </c>
      <c r="EG33" s="1091" t="str">
        <f t="shared" si="82"/>
        <v/>
      </c>
      <c r="EH33" s="1088">
        <f>SUMIFS(BP_SOTIEN,BP_DA,$C33,BP_THANG,EH$2,BP_KM,$E33)/1000</f>
        <v>0</v>
      </c>
      <c r="EI33" s="1089" t="str">
        <f t="shared" si="244"/>
        <v/>
      </c>
      <c r="EJ33" s="1089">
        <f t="shared" si="245"/>
        <v>0</v>
      </c>
      <c r="EK33" s="1090">
        <f>IF(NOW()&gt;=DATE(YEAR(EH$2),MONTH(EH$2)+1,DAY(EH$2)),SUMIFS(TF_SOTIEN,TF_DA,$C33,TF_THANG,EH$2,TF_KM,$E33)/1000, EN33)</f>
        <v>0</v>
      </c>
      <c r="EL33" s="1089" t="str">
        <f t="shared" si="246"/>
        <v/>
      </c>
      <c r="EM33" s="1089">
        <f t="shared" si="247"/>
        <v>0</v>
      </c>
      <c r="EN33" s="1090">
        <f>IF(NOW()&gt;=DATE(YEAR(EH$2),MONTH(EH$2)+1,DAY(EH$2)),SUMIFS(AC_SOTIEN,AC_DA,$C33,AC_THANG,EH$2,AC_KM,$E33),SUMIFS(TF_SOTIEN,TF_DA,$C33,TF_THANG,EH$2,TF_KM,$E33))/ 1000</f>
        <v>0</v>
      </c>
      <c r="EO33" s="1089" t="str">
        <f t="shared" si="248"/>
        <v/>
      </c>
      <c r="EP33" s="1089" t="str">
        <f t="shared" si="249"/>
        <v/>
      </c>
      <c r="EQ33" s="1090">
        <f t="shared" si="250"/>
        <v>0</v>
      </c>
      <c r="ER33" s="1091" t="str">
        <f t="shared" si="87"/>
        <v/>
      </c>
      <c r="ES33" s="1090">
        <f t="shared" si="251"/>
        <v>0</v>
      </c>
      <c r="ET33" s="1091" t="str">
        <f t="shared" si="89"/>
        <v/>
      </c>
      <c r="EU33" s="1088">
        <f>SUMIFS(BP_SOTIEN,BP_DA,$C33,BP_THANG,EU$2,BP_KM,$E33)/1000</f>
        <v>0</v>
      </c>
      <c r="EV33" s="1089" t="str">
        <f t="shared" si="252"/>
        <v/>
      </c>
      <c r="EW33" s="1089">
        <f t="shared" si="253"/>
        <v>0</v>
      </c>
      <c r="EX33" s="1090">
        <f>IF(NOW()&gt;=DATE(YEAR(EU$2),MONTH(EU$2)+1,DAY(EU$2)),SUMIFS(TF_SOTIEN,TF_DA,$C33,TF_THANG,EU$2,TF_KM,$E33)/1000, FA33)</f>
        <v>0</v>
      </c>
      <c r="EY33" s="1089" t="str">
        <f t="shared" si="254"/>
        <v/>
      </c>
      <c r="EZ33" s="1089">
        <f t="shared" si="255"/>
        <v>0</v>
      </c>
      <c r="FA33" s="1090">
        <f>IF(NOW()&gt;=DATE(YEAR(EU$2),MONTH(EU$2)+1,DAY(EU$2)),SUMIFS(AC_SOTIEN,AC_DA,$C33,AC_THANG,EU$2,AC_KM,$E33),SUMIFS(TF_SOTIEN,TF_DA,$C33,TF_THANG,EU$2,TF_KM,$E33))/ 1000</f>
        <v>0</v>
      </c>
      <c r="FB33" s="1089" t="str">
        <f t="shared" si="256"/>
        <v/>
      </c>
      <c r="FC33" s="1089" t="str">
        <f t="shared" si="257"/>
        <v/>
      </c>
      <c r="FD33" s="1090">
        <f t="shared" si="258"/>
        <v>0</v>
      </c>
      <c r="FE33" s="1091" t="str">
        <f t="shared" si="94"/>
        <v/>
      </c>
      <c r="FF33" s="1090">
        <f t="shared" si="259"/>
        <v>0</v>
      </c>
      <c r="FG33" s="1091" t="str">
        <f t="shared" si="96"/>
        <v/>
      </c>
      <c r="FH33" s="1088">
        <f t="shared" si="260"/>
        <v>0</v>
      </c>
      <c r="FI33" s="1089" t="str">
        <f t="shared" si="261"/>
        <v/>
      </c>
      <c r="FJ33" s="1089">
        <f t="shared" si="262"/>
        <v>0</v>
      </c>
      <c r="FK33" s="1090">
        <f t="shared" si="263"/>
        <v>0</v>
      </c>
      <c r="FL33" s="1089" t="str">
        <f t="shared" si="264"/>
        <v/>
      </c>
      <c r="FM33" s="1089">
        <f t="shared" si="265"/>
        <v>0</v>
      </c>
      <c r="FN33" s="1090">
        <f t="shared" si="266"/>
        <v>0</v>
      </c>
      <c r="FO33" s="1089" t="str">
        <f t="shared" si="267"/>
        <v/>
      </c>
      <c r="FP33" s="1089" t="str">
        <f t="shared" si="268"/>
        <v/>
      </c>
      <c r="FQ33" s="1090">
        <f t="shared" si="269"/>
        <v>0</v>
      </c>
      <c r="FR33" s="1091" t="str">
        <f t="shared" si="104"/>
        <v/>
      </c>
      <c r="FS33" s="1090">
        <f t="shared" si="270"/>
        <v>0</v>
      </c>
      <c r="FT33" s="1091" t="str">
        <f t="shared" si="106"/>
        <v/>
      </c>
      <c r="FU33" s="1088">
        <f>SUMIFS(BP_SOTIEN,BP_DA,$C33,BP_THANG,FU$2,BP_KM,$E33)/1000</f>
        <v>0</v>
      </c>
      <c r="FV33" s="1089" t="str">
        <f t="shared" si="271"/>
        <v/>
      </c>
      <c r="FW33" s="1089">
        <f t="shared" si="272"/>
        <v>0</v>
      </c>
      <c r="FX33" s="1090">
        <f>IF(NOW()&gt;=DATE(YEAR(FU$2),MONTH(FU$2)+1,DAY(FU$2)),SUMIFS(TF_SOTIEN,TF_DA,$C33,TF_THANG,FU$2,TF_KM,$E33)/1000, GA33)</f>
        <v>0</v>
      </c>
      <c r="FY33" s="1089" t="str">
        <f t="shared" si="273"/>
        <v/>
      </c>
      <c r="FZ33" s="1089">
        <f t="shared" si="274"/>
        <v>0</v>
      </c>
      <c r="GA33" s="1090">
        <f>IF(NOW()&gt;=DATE(YEAR(FU$2),MONTH(FU$2)+1,DAY(FU$2)),SUMIFS(AC_SOTIEN,AC_DA,$C33,AC_THANG,FU$2,AC_KM,$E33),SUMIFS(TF_SOTIEN,TF_DA,$C33,TF_THANG,FU$2,TF_KM,$E33))/ 1000</f>
        <v>0</v>
      </c>
      <c r="GB33" s="1089" t="str">
        <f t="shared" si="275"/>
        <v/>
      </c>
      <c r="GC33" s="1089" t="str">
        <f t="shared" si="276"/>
        <v/>
      </c>
      <c r="GD33" s="1090">
        <f t="shared" si="277"/>
        <v>0</v>
      </c>
      <c r="GE33" s="1091" t="str">
        <f t="shared" si="111"/>
        <v/>
      </c>
      <c r="GF33" s="1090">
        <f t="shared" si="278"/>
        <v>0</v>
      </c>
      <c r="GG33" s="1091" t="str">
        <f t="shared" si="113"/>
        <v/>
      </c>
      <c r="GH33" s="1088">
        <f>SUMIFS(BP_SOTIEN,BP_DA,$C33,BP_THANG,GH$2,BP_KM,$E33)/1000</f>
        <v>0</v>
      </c>
      <c r="GI33" s="1089" t="str">
        <f t="shared" si="279"/>
        <v/>
      </c>
      <c r="GJ33" s="1089">
        <f t="shared" si="280"/>
        <v>0</v>
      </c>
      <c r="GK33" s="1090">
        <f>IF(NOW()&gt;=DATE(YEAR(GH$2),MONTH(GH$2)+1,DAY(GH$2)),SUMIFS(TF_SOTIEN,TF_DA,$C33,TF_THANG,GH$2,TF_KM,$E33)/1000, GN33)</f>
        <v>0</v>
      </c>
      <c r="GL33" s="1089" t="str">
        <f t="shared" si="281"/>
        <v/>
      </c>
      <c r="GM33" s="1089">
        <f t="shared" si="282"/>
        <v>0</v>
      </c>
      <c r="GN33" s="1090">
        <f>IF(NOW()&gt;=DATE(YEAR(GH$2),MONTH(GH$2)+1,DAY(GH$2)),SUMIFS(AC_SOTIEN,AC_DA,$C33,AC_THANG,GH$2,AC_KM,$E33),SUMIFS(TF_SOTIEN,TF_DA,$C33,TF_THANG,GH$2,TF_KM,$E33))/ 1000</f>
        <v>0</v>
      </c>
      <c r="GO33" s="1089" t="str">
        <f t="shared" si="283"/>
        <v/>
      </c>
      <c r="GP33" s="1089" t="str">
        <f t="shared" si="284"/>
        <v/>
      </c>
      <c r="GQ33" s="1090">
        <f t="shared" si="285"/>
        <v>0</v>
      </c>
      <c r="GR33" s="1091" t="str">
        <f t="shared" si="118"/>
        <v/>
      </c>
      <c r="GS33" s="1090">
        <f t="shared" si="286"/>
        <v>0</v>
      </c>
      <c r="GT33" s="1091" t="str">
        <f t="shared" si="120"/>
        <v/>
      </c>
      <c r="GU33" s="1088">
        <f>SUMIFS(BP_SOTIEN,BP_DA,$C33,BP_THANG,GU$2,BP_KM,$E33)/1000</f>
        <v>0</v>
      </c>
      <c r="GV33" s="1089" t="str">
        <f t="shared" si="287"/>
        <v/>
      </c>
      <c r="GW33" s="1089">
        <f t="shared" si="288"/>
        <v>0</v>
      </c>
      <c r="GX33" s="1090">
        <f>IF(NOW()&gt;=DATE(YEAR(GU$2),MONTH(GU$2)+1,DAY(GU$2)),SUMIFS(TF_SOTIEN,TF_DA,$C33,TF_THANG,GU$2,TF_KM,$E33)/1000, HA33)</f>
        <v>0</v>
      </c>
      <c r="GY33" s="1089" t="str">
        <f t="shared" si="289"/>
        <v/>
      </c>
      <c r="GZ33" s="1089">
        <f t="shared" si="290"/>
        <v>0</v>
      </c>
      <c r="HA33" s="1090">
        <f>IF(NOW()&gt;=DATE(YEAR(GU$2),MONTH(GU$2)+1,DAY(GU$2)),SUMIFS(AC_SOTIEN,AC_DA,$C33,AC_THANG,GU$2,AC_KM,$E33),SUMIFS(TF_SOTIEN,TF_DA,$C33,TF_THANG,GU$2,TF_KM,$E33))/ 1000</f>
        <v>0</v>
      </c>
      <c r="HB33" s="1089" t="str">
        <f t="shared" si="291"/>
        <v/>
      </c>
      <c r="HC33" s="1089" t="str">
        <f t="shared" si="292"/>
        <v/>
      </c>
      <c r="HD33" s="1090">
        <f t="shared" si="293"/>
        <v>0</v>
      </c>
      <c r="HE33" s="1091" t="str">
        <f t="shared" si="125"/>
        <v/>
      </c>
      <c r="HF33" s="1090">
        <f t="shared" si="294"/>
        <v>0</v>
      </c>
      <c r="HG33" s="1091" t="str">
        <f t="shared" si="127"/>
        <v/>
      </c>
      <c r="HH33" s="1088">
        <f t="shared" si="295"/>
        <v>0</v>
      </c>
      <c r="HI33" s="1089" t="str">
        <f t="shared" si="296"/>
        <v/>
      </c>
      <c r="HJ33" s="1089">
        <f t="shared" si="297"/>
        <v>0</v>
      </c>
      <c r="HK33" s="1090">
        <f t="shared" si="298"/>
        <v>0</v>
      </c>
      <c r="HL33" s="1089" t="str">
        <f t="shared" si="299"/>
        <v/>
      </c>
      <c r="HM33" s="1089">
        <f t="shared" si="300"/>
        <v>0</v>
      </c>
      <c r="HN33" s="1090">
        <f t="shared" si="301"/>
        <v>0</v>
      </c>
      <c r="HO33" s="1089" t="str">
        <f t="shared" si="302"/>
        <v/>
      </c>
      <c r="HP33" s="1089" t="str">
        <f t="shared" si="303"/>
        <v/>
      </c>
      <c r="HQ33" s="1090">
        <f t="shared" si="304"/>
        <v>0</v>
      </c>
      <c r="HR33" s="1091" t="str">
        <f t="shared" si="135"/>
        <v/>
      </c>
      <c r="HS33" s="1090">
        <f t="shared" si="305"/>
        <v>0</v>
      </c>
      <c r="HT33" s="1091" t="str">
        <f t="shared" si="137"/>
        <v/>
      </c>
      <c r="HU33" s="1088">
        <f t="shared" si="306"/>
        <v>0</v>
      </c>
      <c r="HV33" s="1089" t="str">
        <f t="shared" si="307"/>
        <v/>
      </c>
      <c r="HW33" s="1089">
        <f t="shared" si="308"/>
        <v>0</v>
      </c>
      <c r="HX33" s="1090">
        <f t="shared" si="309"/>
        <v>0</v>
      </c>
      <c r="HY33" s="1089" t="str">
        <f t="shared" si="310"/>
        <v/>
      </c>
      <c r="HZ33" s="1089">
        <f t="shared" si="311"/>
        <v>0</v>
      </c>
      <c r="IA33" s="1090">
        <f t="shared" si="312"/>
        <v>0</v>
      </c>
      <c r="IB33" s="1089" t="str">
        <f t="shared" si="313"/>
        <v/>
      </c>
      <c r="IC33" s="1089" t="str">
        <f t="shared" si="314"/>
        <v/>
      </c>
      <c r="ID33" s="1090">
        <f t="shared" si="315"/>
        <v>0</v>
      </c>
      <c r="IE33" s="1091" t="str">
        <f t="shared" si="145"/>
        <v/>
      </c>
      <c r="IF33" s="1090">
        <f t="shared" si="316"/>
        <v>0</v>
      </c>
      <c r="IG33" s="1091" t="str">
        <f t="shared" si="147"/>
        <v/>
      </c>
      <c r="IH33" s="1088">
        <f t="shared" si="317"/>
        <v>0</v>
      </c>
      <c r="II33" s="1089" t="str">
        <f t="shared" si="318"/>
        <v/>
      </c>
      <c r="IJ33" s="1089">
        <f t="shared" si="319"/>
        <v>0</v>
      </c>
      <c r="IK33" s="1090">
        <f t="shared" si="320"/>
        <v>0</v>
      </c>
      <c r="IL33" s="1089" t="str">
        <f t="shared" si="321"/>
        <v/>
      </c>
      <c r="IM33" s="1089">
        <f t="shared" si="322"/>
        <v>0</v>
      </c>
      <c r="IN33" s="1090">
        <f t="shared" si="323"/>
        <v>0</v>
      </c>
      <c r="IO33" s="1089" t="str">
        <f t="shared" si="324"/>
        <v/>
      </c>
      <c r="IP33" s="1089">
        <f t="shared" si="325"/>
        <v>0</v>
      </c>
      <c r="IQ33" s="1090">
        <f t="shared" si="326"/>
        <v>0</v>
      </c>
      <c r="IR33" s="1091" t="str">
        <f t="shared" si="1"/>
        <v/>
      </c>
      <c r="IS33" s="1090">
        <f t="shared" si="327"/>
        <v>0</v>
      </c>
      <c r="IT33" s="1091" t="str">
        <f t="shared" si="2"/>
        <v/>
      </c>
    </row>
    <row r="34">
      <c r="A34" s="1107" t="s">
        <v>2823</v>
      </c>
      <c r="B34" s="1108"/>
      <c r="C34" s="1108"/>
      <c r="D34" s="1108"/>
      <c r="E34" s="1108"/>
      <c r="F34" s="1108"/>
      <c r="G34" s="1109">
        <v>1.0</v>
      </c>
      <c r="H34" s="1110">
        <f>SUMIF($G$35:$G$48,$G$34,H$35:H$48)</f>
        <v>0</v>
      </c>
      <c r="I34" s="1111" t="str">
        <f>IFERROR(H34/H$19,"")</f>
        <v/>
      </c>
      <c r="J34" s="3"/>
      <c r="K34" s="1110">
        <f>SUMIF($G$35:$G$48,$G$34,K$35:K$48)</f>
        <v>0</v>
      </c>
      <c r="L34" s="1111">
        <f>IFERROR(K34/K$19,"")</f>
        <v>0</v>
      </c>
      <c r="M34" s="3"/>
      <c r="N34" s="1110">
        <f>SUMIF($G$35:$G$48,$G$34,N$35:N$48)</f>
        <v>0</v>
      </c>
      <c r="O34" s="1111">
        <f>IFERROR(N34/N$19,"")</f>
        <v>0</v>
      </c>
      <c r="P34" s="3"/>
      <c r="Q34" s="1110">
        <f>SUMIF($G$35:$G$48,$G$34,Q$35:Q$48)</f>
        <v>0</v>
      </c>
      <c r="R34" s="1112" t="str">
        <f t="shared" si="8"/>
        <v/>
      </c>
      <c r="S34" s="1110">
        <f>SUMIF($G$35:$G$48,$G$34,S$35:S$48)</f>
        <v>0</v>
      </c>
      <c r="T34" s="1112" t="str">
        <f t="shared" si="10"/>
        <v/>
      </c>
      <c r="U34" s="1110">
        <f>SUMIF($G$35:$G$48,$G$34,U$35:U$48)</f>
        <v>0</v>
      </c>
      <c r="V34" s="1111" t="str">
        <f>IFERROR(U34/U$19,"")</f>
        <v/>
      </c>
      <c r="W34" s="3"/>
      <c r="X34" s="1110">
        <f>SUMIF($G$35:$G$48,$G$34,X$35:X$48)</f>
        <v>0</v>
      </c>
      <c r="Y34" s="1111" t="str">
        <f>IFERROR(X34/X$19,"")</f>
        <v/>
      </c>
      <c r="Z34" s="3"/>
      <c r="AA34" s="1110">
        <f>SUMIF($G$35:$G$48,$G$34,AA$35:AA$48)</f>
        <v>0</v>
      </c>
      <c r="AB34" s="1111">
        <f>IFERROR(AA34/AA$19,"")</f>
        <v>0</v>
      </c>
      <c r="AC34" s="3"/>
      <c r="AD34" s="1110">
        <f>SUMIF($G$35:$G$48,$G$34,AD$35:AD$48)</f>
        <v>0</v>
      </c>
      <c r="AE34" s="1112" t="str">
        <f t="shared" si="15"/>
        <v/>
      </c>
      <c r="AF34" s="1110">
        <f>SUMIF($G$35:$G$48,$G$34,AF$35:AF$48)</f>
        <v>0</v>
      </c>
      <c r="AG34" s="1112" t="str">
        <f t="shared" si="17"/>
        <v/>
      </c>
      <c r="AH34" s="1110">
        <f>SUMIF($G$35:$G$48,$G$34,AH$35:AH$48)</f>
        <v>0</v>
      </c>
      <c r="AI34" s="1111" t="str">
        <f>IFERROR(AH34/AH$19,"")</f>
        <v/>
      </c>
      <c r="AJ34" s="3"/>
      <c r="AK34" s="1110">
        <f>SUMIF($G$35:$G$48,$G$34,AK$35:AK$48)</f>
        <v>0</v>
      </c>
      <c r="AL34" s="1111">
        <f>IFERROR(AK34/AK$19,"")</f>
        <v>0</v>
      </c>
      <c r="AM34" s="3"/>
      <c r="AN34" s="1110">
        <f>SUMIF($G$35:$G$48,$G$34,AN$35:AN$48)</f>
        <v>0</v>
      </c>
      <c r="AO34" s="1111">
        <f>IFERROR(AN34/AN$19,"")</f>
        <v>0</v>
      </c>
      <c r="AP34" s="3"/>
      <c r="AQ34" s="1110">
        <f>SUMIF($G$35:$G$48,$G$34,AQ$35:AQ$48)</f>
        <v>0</v>
      </c>
      <c r="AR34" s="1112" t="str">
        <f t="shared" si="22"/>
        <v/>
      </c>
      <c r="AS34" s="1110">
        <f>SUMIF($G$35:$G$48,$G$34,AS$35:AS$48)</f>
        <v>0</v>
      </c>
      <c r="AT34" s="1112" t="str">
        <f t="shared" si="24"/>
        <v/>
      </c>
      <c r="AU34" s="1110">
        <f>SUMIF($G$35:$G$48,$G$34,AU$35:AU$48)</f>
        <v>0</v>
      </c>
      <c r="AV34" s="1111" t="str">
        <f>IFERROR(AU34/AU$19,"")</f>
        <v/>
      </c>
      <c r="AW34" s="3"/>
      <c r="AX34" s="1110">
        <f>SUMIF($G$35:$G$48,$G$34,AX$35:AX$48)</f>
        <v>0</v>
      </c>
      <c r="AY34" s="1111">
        <f>IFERROR(AX34/AX$19,"")</f>
        <v>0</v>
      </c>
      <c r="AZ34" s="3"/>
      <c r="BA34" s="1110">
        <f>SUMIF($G$35:$G$48,$G$34,BA$35:BA$48)</f>
        <v>0</v>
      </c>
      <c r="BB34" s="1111">
        <f>IFERROR(BA34/BA$19,"")</f>
        <v>0</v>
      </c>
      <c r="BC34" s="3"/>
      <c r="BD34" s="1110">
        <f>SUMIF($G$35:$G$48,$G$34,BD$35:BD$48)</f>
        <v>0</v>
      </c>
      <c r="BE34" s="1112" t="str">
        <f t="shared" si="32"/>
        <v/>
      </c>
      <c r="BF34" s="1110">
        <f>SUMIF($G$35:$G$48,$G$34,BF$35:BF$48)</f>
        <v>0</v>
      </c>
      <c r="BG34" s="1112" t="str">
        <f t="shared" si="34"/>
        <v/>
      </c>
      <c r="BH34" s="1110">
        <f>SUMIF($G$35:$G$48,$G$34,BH$35:BH$48)</f>
        <v>0</v>
      </c>
      <c r="BI34" s="1111">
        <f>IFERROR(BH34/BH$19,"")</f>
        <v>0</v>
      </c>
      <c r="BJ34" s="3"/>
      <c r="BK34" s="1110">
        <f>SUMIF($G$35:$G$48,$G$34,BK$35:BK$48)</f>
        <v>0</v>
      </c>
      <c r="BL34" s="1111" t="str">
        <f>IFERROR(BK34/BK$19,"")</f>
        <v/>
      </c>
      <c r="BM34" s="3"/>
      <c r="BN34" s="1110">
        <f>SUMIF($G$35:$G$48,$G$34,BN$35:BN$48)</f>
        <v>0</v>
      </c>
      <c r="BO34" s="1111">
        <f>IFERROR(BN34/BN$19,"")</f>
        <v>0</v>
      </c>
      <c r="BP34" s="3"/>
      <c r="BQ34" s="1110">
        <f>SUMIF($G$35:$G$48,$G$34,BQ$35:BQ$48)</f>
        <v>0</v>
      </c>
      <c r="BR34" s="1112" t="str">
        <f t="shared" si="39"/>
        <v/>
      </c>
      <c r="BS34" s="1110">
        <f>SUMIF($G$35:$G$48,$G$34,BS$35:BS$48)</f>
        <v>0</v>
      </c>
      <c r="BT34" s="1112" t="str">
        <f t="shared" si="41"/>
        <v/>
      </c>
      <c r="BU34" s="1110">
        <f>SUMIF($G$35:$G$48,$G$34,BU$35:BU$48)</f>
        <v>0</v>
      </c>
      <c r="BV34" s="1111">
        <f>IFERROR(BU34/BU$19,"")</f>
        <v>0</v>
      </c>
      <c r="BW34" s="3"/>
      <c r="BX34" s="1110">
        <f>SUMIF($G$35:$G$48,$G$34,BX$35:BX$48)</f>
        <v>0</v>
      </c>
      <c r="BY34" s="1111">
        <f>IFERROR(BX34/BX$19,"")</f>
        <v>0</v>
      </c>
      <c r="BZ34" s="3"/>
      <c r="CA34" s="1110">
        <f>SUMIF($G$35:$G$48,$G$34,CA$35:CA$48)</f>
        <v>0</v>
      </c>
      <c r="CB34" s="1111">
        <f>IFERROR(CA34/CA$19,"")</f>
        <v>0</v>
      </c>
      <c r="CC34" s="3"/>
      <c r="CD34" s="1110">
        <f>SUMIF($G$35:$G$48,$G$34,CD$35:CD$48)</f>
        <v>0</v>
      </c>
      <c r="CE34" s="1112" t="str">
        <f t="shared" si="46"/>
        <v/>
      </c>
      <c r="CF34" s="1110">
        <f>SUMIF($G$35:$G$48,$G$34,CF$35:CF$48)</f>
        <v>0</v>
      </c>
      <c r="CG34" s="1112" t="str">
        <f t="shared" si="48"/>
        <v/>
      </c>
      <c r="CH34" s="1110">
        <f>SUMIF($G$35:$G$48,$G$34,CH$35:CH$48)</f>
        <v>0</v>
      </c>
      <c r="CI34" s="1111">
        <f>IFERROR(CH34/CH$19,"")</f>
        <v>0</v>
      </c>
      <c r="CJ34" s="3"/>
      <c r="CK34" s="1110">
        <f>SUMIF($G$35:$G$48,$G$34,CK$35:CK$48)</f>
        <v>0</v>
      </c>
      <c r="CL34" s="1111" t="str">
        <f>IFERROR(CK34/CK$19,"")</f>
        <v/>
      </c>
      <c r="CM34" s="3"/>
      <c r="CN34" s="1110">
        <f>SUMIF($G$35:$G$48,$G$34,CN$35:CN$48)</f>
        <v>0</v>
      </c>
      <c r="CO34" s="1111" t="str">
        <f>IFERROR(CN34/CN$19,"")</f>
        <v/>
      </c>
      <c r="CP34" s="3"/>
      <c r="CQ34" s="1110">
        <f>SUMIF($G$35:$G$48,$G$34,CQ$35:CQ$48)</f>
        <v>0</v>
      </c>
      <c r="CR34" s="1112" t="str">
        <f t="shared" si="53"/>
        <v/>
      </c>
      <c r="CS34" s="1110">
        <f>SUMIF($G$35:$G$48,$G$34,CS$35:CS$48)</f>
        <v>0</v>
      </c>
      <c r="CT34" s="1112" t="str">
        <f t="shared" si="55"/>
        <v/>
      </c>
      <c r="CU34" s="1110">
        <f>SUMIF($G$35:$G$48,$G$34,CU$35:CU$48)</f>
        <v>0</v>
      </c>
      <c r="CV34" s="1111">
        <f>IFERROR(CU34/CU$19,"")</f>
        <v>0</v>
      </c>
      <c r="CW34" s="3"/>
      <c r="CX34" s="1110">
        <f>SUMIF($G$35:$G$48,$G$34,CX$35:CX$48)</f>
        <v>0</v>
      </c>
      <c r="CY34" s="1111">
        <f>IFERROR(CX34/CX$19,"")</f>
        <v>0</v>
      </c>
      <c r="CZ34" s="3"/>
      <c r="DA34" s="1110">
        <f>SUMIF($G$35:$G$48,$G$34,DA$35:DA$48)</f>
        <v>0</v>
      </c>
      <c r="DB34" s="1111">
        <f>IFERROR(DA34/DA$19,"")</f>
        <v>0</v>
      </c>
      <c r="DC34" s="3"/>
      <c r="DD34" s="1110">
        <f>SUMIF($G$35:$G$48,$G$34,DD$35:DD$48)</f>
        <v>0</v>
      </c>
      <c r="DE34" s="1112" t="str">
        <f t="shared" si="63"/>
        <v/>
      </c>
      <c r="DF34" s="1110">
        <f>SUMIF($G$35:$G$48,$G$34,DF$35:DF$48)</f>
        <v>0</v>
      </c>
      <c r="DG34" s="1112" t="str">
        <f t="shared" si="65"/>
        <v/>
      </c>
      <c r="DH34" s="1110">
        <f>SUMIF($G$35:$G$48,$G$34,DH$35:DH$48)</f>
        <v>0</v>
      </c>
      <c r="DI34" s="1111">
        <f>IFERROR(DH34/DH$19,"")</f>
        <v>0</v>
      </c>
      <c r="DJ34" s="3"/>
      <c r="DK34" s="1110">
        <f>SUMIF($G$35:$G$48,$G$34,DK$35:DK$48)</f>
        <v>0</v>
      </c>
      <c r="DL34" s="1111">
        <f>IFERROR(DK34/DK$19,"")</f>
        <v>0</v>
      </c>
      <c r="DM34" s="3"/>
      <c r="DN34" s="1110">
        <f>SUMIF($G$35:$G$48,$G$34,DN$35:DN$48)</f>
        <v>0</v>
      </c>
      <c r="DO34" s="1111">
        <f>IFERROR(DN34/DN$19,"")</f>
        <v>0</v>
      </c>
      <c r="DP34" s="3"/>
      <c r="DQ34" s="1110">
        <f>SUMIF($G$35:$G$48,$G$34,DQ$35:DQ$48)</f>
        <v>0</v>
      </c>
      <c r="DR34" s="1112" t="str">
        <f t="shared" si="73"/>
        <v/>
      </c>
      <c r="DS34" s="1110">
        <f>SUMIF($G$35:$G$48,$G$34,DS$35:DS$48)</f>
        <v>0</v>
      </c>
      <c r="DT34" s="1112" t="str">
        <f t="shared" si="75"/>
        <v/>
      </c>
      <c r="DU34" s="1110">
        <f>SUMIF($G$35:$G$48,$G$34,DU$35:DU$48)</f>
        <v>0</v>
      </c>
      <c r="DV34" s="1111">
        <f>IFERROR(DU34/DU$19,"")</f>
        <v>0</v>
      </c>
      <c r="DW34" s="3"/>
      <c r="DX34" s="1110">
        <f>SUMIF($G$35:$G$48,$G$34,DX$35:DX$48)</f>
        <v>0</v>
      </c>
      <c r="DY34" s="1111">
        <f>IFERROR(DX34/DX$19,"")</f>
        <v>0</v>
      </c>
      <c r="DZ34" s="3"/>
      <c r="EA34" s="1110">
        <f>SUMIF($G$35:$G$48,$G$34,EA$35:EA$48)</f>
        <v>0</v>
      </c>
      <c r="EB34" s="1111" t="str">
        <f>IFERROR(EA34/EA$19,"")</f>
        <v/>
      </c>
      <c r="EC34" s="3"/>
      <c r="ED34" s="1110">
        <f>SUMIF($G$35:$G$48,$G$34,ED$35:ED$48)</f>
        <v>0</v>
      </c>
      <c r="EE34" s="1112" t="str">
        <f t="shared" si="80"/>
        <v/>
      </c>
      <c r="EF34" s="1110">
        <f>SUMIF($G$35:$G$48,$G$34,EF$35:EF$48)</f>
        <v>0</v>
      </c>
      <c r="EG34" s="1112" t="str">
        <f t="shared" si="82"/>
        <v/>
      </c>
      <c r="EH34" s="1110">
        <f>SUMIF($G$35:$G$48,$G$34,EH$35:EH$48)</f>
        <v>0</v>
      </c>
      <c r="EI34" s="1111">
        <f>IFERROR(EH34/EH$19,"")</f>
        <v>0</v>
      </c>
      <c r="EJ34" s="3"/>
      <c r="EK34" s="1110">
        <f>SUMIF($G$35:$G$48,$G$34,EK$35:EK$48)</f>
        <v>0</v>
      </c>
      <c r="EL34" s="1111">
        <f>IFERROR(EK34/EK$19,"")</f>
        <v>0</v>
      </c>
      <c r="EM34" s="3"/>
      <c r="EN34" s="1110">
        <f>SUMIF($G$35:$G$48,$G$34,EN$35:EN$48)</f>
        <v>0</v>
      </c>
      <c r="EO34" s="1111" t="str">
        <f>IFERROR(EN34/EN$19,"")</f>
        <v/>
      </c>
      <c r="EP34" s="3"/>
      <c r="EQ34" s="1110">
        <f>SUMIF($G$35:$G$48,$G$34,EQ$35:EQ$48)</f>
        <v>0</v>
      </c>
      <c r="ER34" s="1112" t="str">
        <f t="shared" si="87"/>
        <v/>
      </c>
      <c r="ES34" s="1110">
        <f>SUMIF($G$35:$G$48,$G$34,ES$35:ES$48)</f>
        <v>0</v>
      </c>
      <c r="ET34" s="1112" t="str">
        <f t="shared" si="89"/>
        <v/>
      </c>
      <c r="EU34" s="1110">
        <f>SUMIF($G$35:$G$48,$G$34,EU$35:EU$48)</f>
        <v>0</v>
      </c>
      <c r="EV34" s="1111">
        <f>IFERROR(EU34/EU$19,"")</f>
        <v>0</v>
      </c>
      <c r="EW34" s="3"/>
      <c r="EX34" s="1110">
        <f>SUMIF($G$35:$G$48,$G$34,EX$35:EX$48)</f>
        <v>0</v>
      </c>
      <c r="EY34" s="1111">
        <f>IFERROR(EX34/EX$19,"")</f>
        <v>0</v>
      </c>
      <c r="EZ34" s="3"/>
      <c r="FA34" s="1110">
        <f>SUMIF($G$35:$G$48,$G$34,FA$35:FA$48)</f>
        <v>0</v>
      </c>
      <c r="FB34" s="1111" t="str">
        <f>IFERROR(FA34/FA$19,"")</f>
        <v/>
      </c>
      <c r="FC34" s="3"/>
      <c r="FD34" s="1110">
        <f>SUMIF($G$35:$G$48,$G$34,FD$35:FD$48)</f>
        <v>0</v>
      </c>
      <c r="FE34" s="1112" t="str">
        <f t="shared" si="94"/>
        <v/>
      </c>
      <c r="FF34" s="1110">
        <f>SUMIF($G$35:$G$48,$G$34,FF$35:FF$48)</f>
        <v>0</v>
      </c>
      <c r="FG34" s="1112" t="str">
        <f t="shared" si="96"/>
        <v/>
      </c>
      <c r="FH34" s="1110">
        <f>SUMIF($G$35:$G$48,$G$34,FH$35:FH$48)</f>
        <v>0</v>
      </c>
      <c r="FI34" s="1111">
        <f>IFERROR(FH34/FH$19,"")</f>
        <v>0</v>
      </c>
      <c r="FJ34" s="3"/>
      <c r="FK34" s="1110">
        <f>SUMIF($G$35:$G$48,$G$34,FK$35:FK$48)</f>
        <v>0</v>
      </c>
      <c r="FL34" s="1111">
        <f>IFERROR(FK34/FK$19,"")</f>
        <v>0</v>
      </c>
      <c r="FM34" s="3"/>
      <c r="FN34" s="1110">
        <f>SUMIF($G$35:$G$48,$G$34,FN$35:FN$48)</f>
        <v>0</v>
      </c>
      <c r="FO34" s="1111" t="str">
        <f>IFERROR(FN34/FN$19,"")</f>
        <v/>
      </c>
      <c r="FP34" s="3"/>
      <c r="FQ34" s="1110">
        <f>SUMIF($G$35:$G$48,$G$34,FQ$35:FQ$48)</f>
        <v>0</v>
      </c>
      <c r="FR34" s="1112" t="str">
        <f t="shared" si="104"/>
        <v/>
      </c>
      <c r="FS34" s="1110">
        <f>SUMIF($G$35:$G$48,$G$34,FS$35:FS$48)</f>
        <v>0</v>
      </c>
      <c r="FT34" s="1112" t="str">
        <f t="shared" si="106"/>
        <v/>
      </c>
      <c r="FU34" s="1110">
        <f>SUMIF($G$35:$G$48,$G$34,FU$35:FU$48)</f>
        <v>0</v>
      </c>
      <c r="FV34" s="1111">
        <f>IFERROR(FU34/FU$19,"")</f>
        <v>0</v>
      </c>
      <c r="FW34" s="3"/>
      <c r="FX34" s="1110">
        <f>SUMIF($G$35:$G$48,$G$34,FX$35:FX$48)</f>
        <v>0</v>
      </c>
      <c r="FY34" s="1111">
        <f>IFERROR(FX34/FX$19,"")</f>
        <v>0</v>
      </c>
      <c r="FZ34" s="3"/>
      <c r="GA34" s="1110">
        <f>SUMIF($G$35:$G$48,$G$34,GA$35:GA$48)</f>
        <v>0</v>
      </c>
      <c r="GB34" s="1111" t="str">
        <f>IFERROR(GA34/GA$19,"")</f>
        <v/>
      </c>
      <c r="GC34" s="3"/>
      <c r="GD34" s="1110">
        <f>SUMIF($G$35:$G$48,$G$34,GD$35:GD$48)</f>
        <v>0</v>
      </c>
      <c r="GE34" s="1112" t="str">
        <f t="shared" si="111"/>
        <v/>
      </c>
      <c r="GF34" s="1110">
        <f>SUMIF($G$35:$G$48,$G$34,GF$35:GF$48)</f>
        <v>0</v>
      </c>
      <c r="GG34" s="1112" t="str">
        <f t="shared" si="113"/>
        <v/>
      </c>
      <c r="GH34" s="1110">
        <f>SUMIF($G$35:$G$48,$G$34,GH$35:GH$48)</f>
        <v>0</v>
      </c>
      <c r="GI34" s="1111">
        <f>IFERROR(GH34/GH$19,"")</f>
        <v>0</v>
      </c>
      <c r="GJ34" s="3"/>
      <c r="GK34" s="1110">
        <f>SUMIF($G$35:$G$48,$G$34,GK$35:GK$48)</f>
        <v>0</v>
      </c>
      <c r="GL34" s="1111">
        <f>IFERROR(GK34/GK$19,"")</f>
        <v>0</v>
      </c>
      <c r="GM34" s="3"/>
      <c r="GN34" s="1110">
        <f>SUMIF($G$35:$G$48,$G$34,GN$35:GN$48)</f>
        <v>0</v>
      </c>
      <c r="GO34" s="1111" t="str">
        <f>IFERROR(GN34/GN$19,"")</f>
        <v/>
      </c>
      <c r="GP34" s="3"/>
      <c r="GQ34" s="1110">
        <f>SUMIF($G$35:$G$48,$G$34,GQ$35:GQ$48)</f>
        <v>0</v>
      </c>
      <c r="GR34" s="1112" t="str">
        <f t="shared" si="118"/>
        <v/>
      </c>
      <c r="GS34" s="1110">
        <f>SUMIF($G$35:$G$48,$G$34,GS$35:GS$48)</f>
        <v>0</v>
      </c>
      <c r="GT34" s="1112" t="str">
        <f t="shared" si="120"/>
        <v/>
      </c>
      <c r="GU34" s="1110">
        <f>SUMIF($G$35:$G$48,$G$34,GU$35:GU$48)</f>
        <v>0</v>
      </c>
      <c r="GV34" s="1111">
        <f>IFERROR(GU34/GU$19,"")</f>
        <v>0</v>
      </c>
      <c r="GW34" s="3"/>
      <c r="GX34" s="1110">
        <f>SUMIF($G$35:$G$48,$G$34,GX$35:GX$48)</f>
        <v>0</v>
      </c>
      <c r="GY34" s="1111">
        <f>IFERROR(GX34/GX$19,"")</f>
        <v>0</v>
      </c>
      <c r="GZ34" s="3"/>
      <c r="HA34" s="1110">
        <f>SUMIF($G$35:$G$48,$G$34,HA$35:HA$48)</f>
        <v>0</v>
      </c>
      <c r="HB34" s="1111" t="str">
        <f>IFERROR(HA34/HA$19,"")</f>
        <v/>
      </c>
      <c r="HC34" s="3"/>
      <c r="HD34" s="1110">
        <f>SUMIF($G$35:$G$48,$G$34,HD$35:HD$48)</f>
        <v>0</v>
      </c>
      <c r="HE34" s="1112" t="str">
        <f t="shared" si="125"/>
        <v/>
      </c>
      <c r="HF34" s="1110">
        <f>SUMIF($G$35:$G$48,$G$34,HF$35:HF$48)</f>
        <v>0</v>
      </c>
      <c r="HG34" s="1112" t="str">
        <f t="shared" si="127"/>
        <v/>
      </c>
      <c r="HH34" s="1110">
        <f>SUMIF($G$35:$G$48,$G$34,HH$35:HH$48)</f>
        <v>0</v>
      </c>
      <c r="HI34" s="1111">
        <f>IFERROR(HH34/HH$19,"")</f>
        <v>0</v>
      </c>
      <c r="HJ34" s="3"/>
      <c r="HK34" s="1110">
        <f>SUMIF($G$35:$G$48,$G$34,HK$35:HK$48)</f>
        <v>0</v>
      </c>
      <c r="HL34" s="1111">
        <f>IFERROR(HK34/HK$19,"")</f>
        <v>0</v>
      </c>
      <c r="HM34" s="3"/>
      <c r="HN34" s="1110">
        <f>SUMIF($G$35:$G$48,$G$34,HN$35:HN$48)</f>
        <v>0</v>
      </c>
      <c r="HO34" s="1111" t="str">
        <f>IFERROR(HN34/HN$19,"")</f>
        <v/>
      </c>
      <c r="HP34" s="3"/>
      <c r="HQ34" s="1110">
        <f>SUMIF($G$35:$G$48,$G$34,HQ$35:HQ$48)</f>
        <v>0</v>
      </c>
      <c r="HR34" s="1112" t="str">
        <f t="shared" si="135"/>
        <v/>
      </c>
      <c r="HS34" s="1110">
        <f>SUMIF($G$35:$G$48,$G$34,HS$35:HS$48)</f>
        <v>0</v>
      </c>
      <c r="HT34" s="1112" t="str">
        <f t="shared" si="137"/>
        <v/>
      </c>
      <c r="HU34" s="1110">
        <f>SUMIF($G$35:$G$48,$G$34,HU$35:HU$48)</f>
        <v>0</v>
      </c>
      <c r="HV34" s="1111">
        <f>IFERROR(HU34/HU$19,"")</f>
        <v>0</v>
      </c>
      <c r="HW34" s="3"/>
      <c r="HX34" s="1110">
        <f>SUMIF($G$35:$G$48,$G$34,HX$35:HX$48)</f>
        <v>0</v>
      </c>
      <c r="HY34" s="1111">
        <f>IFERROR(HX34/HX$19,"")</f>
        <v>0</v>
      </c>
      <c r="HZ34" s="3"/>
      <c r="IA34" s="1110">
        <f>SUMIF($G$35:$G$48,$G$34,IA$35:IA$48)</f>
        <v>0</v>
      </c>
      <c r="IB34" s="1111" t="str">
        <f>IFERROR(IA34/IA$19,"")</f>
        <v/>
      </c>
      <c r="IC34" s="3"/>
      <c r="ID34" s="1110">
        <f>SUMIF($G$35:$G$48,$G$34,ID$35:ID$48)</f>
        <v>0</v>
      </c>
      <c r="IE34" s="1112" t="str">
        <f t="shared" si="145"/>
        <v/>
      </c>
      <c r="IF34" s="1110">
        <f>SUMIF($G$35:$G$48,$G$34,IF$35:IF$48)</f>
        <v>0</v>
      </c>
      <c r="IG34" s="1112" t="str">
        <f t="shared" si="147"/>
        <v/>
      </c>
      <c r="IH34" s="1110">
        <f>SUMIF($G$35:$G$48,$G$34,IH$35:IH$48)</f>
        <v>0</v>
      </c>
      <c r="II34" s="1111">
        <f>IFERROR(IH34/IH$19,"")</f>
        <v>0</v>
      </c>
      <c r="IJ34" s="3"/>
      <c r="IK34" s="1110">
        <f>SUMIF($G$35:$G$48,$G$34,IK$35:IK$48)</f>
        <v>0</v>
      </c>
      <c r="IL34" s="1111">
        <f>IFERROR(IK34/IK$19,"")</f>
        <v>0</v>
      </c>
      <c r="IM34" s="3"/>
      <c r="IN34" s="1110">
        <f>SUMIF($G$35:$G$48,$G$34,IN$35:IN$48)</f>
        <v>0</v>
      </c>
      <c r="IO34" s="1111">
        <f>IFERROR(IN34/IN$19,"")</f>
        <v>0</v>
      </c>
      <c r="IP34" s="3"/>
      <c r="IQ34" s="1110">
        <f>SUMIF($G$35:$G$48,$G$34,IQ$35:IQ$48)</f>
        <v>0</v>
      </c>
      <c r="IR34" s="1112" t="str">
        <f t="shared" si="1"/>
        <v/>
      </c>
      <c r="IS34" s="1110">
        <f>SUMIF($G$35:$G$48,$G$34,IS$35:IS$48)</f>
        <v>0</v>
      </c>
      <c r="IT34" s="1112" t="str">
        <f t="shared" si="2"/>
        <v/>
      </c>
    </row>
    <row r="35" collapsed="1">
      <c r="A35" s="1113" t="str">
        <f t="shared" ref="A35:A48" si="337">IF(C35="","",COUNTA(C$35:C35))</f>
        <v/>
      </c>
      <c r="B35" s="1114" t="s">
        <v>2066</v>
      </c>
      <c r="C35" s="1114"/>
      <c r="D35" s="1114" t="str">
        <f>IF(C35&gt;0,VLOOKUP(C35,DM_DUAN ,2,"") ,IF(B35&gt;0,VLOOKUP(B35,DM_CDT,2,""),""))</f>
        <v>THÀNH NAM</v>
      </c>
      <c r="E35" s="1115" t="s">
        <v>2239</v>
      </c>
      <c r="F35" s="1115"/>
      <c r="G35" s="1116">
        <v>1.0</v>
      </c>
      <c r="H35" s="1083">
        <f>SUMIF($B36:$B$48,$B35,H36:H$48)</f>
        <v>0</v>
      </c>
      <c r="I35" s="1117" t="str">
        <f t="shared" ref="I35:I48" si="338">IFERROR(H35/SUMIF($C$20:$C$33,$C35,H$20:H$33),"")</f>
        <v/>
      </c>
      <c r="J35" s="1118" t="str">
        <f t="shared" ref="J35:J48" si="339">IFERROR(H35/H$34,"")</f>
        <v/>
      </c>
      <c r="K35" s="1083">
        <f>SUMIF($B36:$B$48,$B35,K36:K$48)</f>
        <v>0</v>
      </c>
      <c r="L35" s="1117" t="str">
        <f t="shared" ref="L35:L48" si="340">IFERROR(K35/SUMIF($C$20:$C$33,$C35,K$20:K$33),"")</f>
        <v/>
      </c>
      <c r="M35" s="1118" t="str">
        <f t="shared" ref="M35:M48" si="341">IFERROR(K35/K$34,"")</f>
        <v/>
      </c>
      <c r="N35" s="1083">
        <f>SUMIF($B36:$B$48,$B35,N36:N$48)</f>
        <v>0</v>
      </c>
      <c r="O35" s="1117" t="str">
        <f t="shared" ref="O35:O48" si="342">IFERROR(N35/SUMIF($C$20:$C$33,$C35,N$20:N$33),"")</f>
        <v/>
      </c>
      <c r="P35" s="1118" t="str">
        <f t="shared" ref="P35:P48" si="343">IFERROR(N35/N$34,"")</f>
        <v/>
      </c>
      <c r="Q35" s="1119">
        <f t="shared" ref="Q35:Q48" si="344">N35-H35</f>
        <v>0</v>
      </c>
      <c r="R35" s="1117" t="str">
        <f t="shared" si="8"/>
        <v/>
      </c>
      <c r="S35" s="1119">
        <f t="shared" ref="S35:S48" si="345">N35-K35</f>
        <v>0</v>
      </c>
      <c r="T35" s="1117" t="str">
        <f t="shared" si="10"/>
        <v/>
      </c>
      <c r="U35" s="1083">
        <f>SUMIF($B36:$B$48,$B35,U36:U$48)</f>
        <v>0</v>
      </c>
      <c r="V35" s="1117" t="str">
        <f t="shared" ref="V35:V48" si="346">IFERROR(U35/SUMIF($C$20:$C$33,$C35,U$20:U$33),"")</f>
        <v/>
      </c>
      <c r="W35" s="1118" t="str">
        <f t="shared" ref="W35:W48" si="347">IFERROR(U35/U$34,"")</f>
        <v/>
      </c>
      <c r="X35" s="1083">
        <f>SUMIF($B36:$B$48,$B35,X36:X$48)</f>
        <v>0</v>
      </c>
      <c r="Y35" s="1117" t="str">
        <f t="shared" ref="Y35:Y48" si="348">IFERROR(X35/SUMIF($C$20:$C$33,$C35,X$20:X$33),"")</f>
        <v/>
      </c>
      <c r="Z35" s="1118" t="str">
        <f t="shared" ref="Z35:Z48" si="349">IFERROR(X35/X$34,"")</f>
        <v/>
      </c>
      <c r="AA35" s="1083">
        <f>SUMIF($B36:$B$48,$B35,AA36:AA$48)</f>
        <v>0</v>
      </c>
      <c r="AB35" s="1117" t="str">
        <f t="shared" ref="AB35:AB48" si="350">IFERROR(AA35/SUMIF($C$20:$C$33,$C35,AA$20:AA$33),"")</f>
        <v/>
      </c>
      <c r="AC35" s="1118" t="str">
        <f t="shared" ref="AC35:AC48" si="351">IFERROR(AA35/AA$34,"")</f>
        <v/>
      </c>
      <c r="AD35" s="1119">
        <f t="shared" ref="AD35:AD48" si="352">AA35-U35</f>
        <v>0</v>
      </c>
      <c r="AE35" s="1117" t="str">
        <f t="shared" si="15"/>
        <v/>
      </c>
      <c r="AF35" s="1119">
        <f t="shared" ref="AF35:AF48" si="353">AA35-X35</f>
        <v>0</v>
      </c>
      <c r="AG35" s="1117" t="str">
        <f t="shared" si="17"/>
        <v/>
      </c>
      <c r="AH35" s="1083">
        <f>SUMIF($B36:$B$48,$B35,AH36:AH$48)</f>
        <v>0</v>
      </c>
      <c r="AI35" s="1117" t="str">
        <f t="shared" ref="AI35:AI48" si="354">IFERROR(AH35/SUMIF($C$20:$C$33,$C35,AH$20:AH$33),"")</f>
        <v/>
      </c>
      <c r="AJ35" s="1118" t="str">
        <f t="shared" ref="AJ35:AJ48" si="355">IFERROR(AH35/AH$34,"")</f>
        <v/>
      </c>
      <c r="AK35" s="1083">
        <f>SUMIF($B36:$B$48,$B35,AK36:AK$48)</f>
        <v>0</v>
      </c>
      <c r="AL35" s="1117" t="str">
        <f t="shared" ref="AL35:AL48" si="356">IFERROR(AK35/SUMIF($C$20:$C$33,$C35,AK$20:AK$33),"")</f>
        <v/>
      </c>
      <c r="AM35" s="1118" t="str">
        <f t="shared" ref="AM35:AM48" si="357">IFERROR(AK35/AK$34,"")</f>
        <v/>
      </c>
      <c r="AN35" s="1083">
        <f>SUMIF($B36:$B$48,$B35,AN36:AN$48)</f>
        <v>0</v>
      </c>
      <c r="AO35" s="1117" t="str">
        <f t="shared" ref="AO35:AO48" si="358">IFERROR(AN35/SUMIF($C$20:$C$33,$C35,AN$20:AN$33),"")</f>
        <v/>
      </c>
      <c r="AP35" s="1118" t="str">
        <f t="shared" ref="AP35:AP48" si="359">IFERROR(AN35/AN$34,"")</f>
        <v/>
      </c>
      <c r="AQ35" s="1119">
        <f t="shared" ref="AQ35:AQ48" si="360">AN35-AH35</f>
        <v>0</v>
      </c>
      <c r="AR35" s="1117" t="str">
        <f t="shared" si="22"/>
        <v/>
      </c>
      <c r="AS35" s="1119">
        <f t="shared" ref="AS35:AS48" si="361">AN35-AK35</f>
        <v>0</v>
      </c>
      <c r="AT35" s="1117" t="str">
        <f t="shared" si="24"/>
        <v/>
      </c>
      <c r="AU35" s="1120">
        <f t="shared" ref="AU35:AU48" si="362">SUMIF(H$3:AT$3,AU$3,H35:AT35)</f>
        <v>0</v>
      </c>
      <c r="AV35" s="1117" t="str">
        <f t="shared" ref="AV35:AV48" si="363">IFERROR(AU35/SUMIF($C$20:$C$33,$C35,AU$20:AU$33),"")</f>
        <v/>
      </c>
      <c r="AW35" s="1118" t="str">
        <f t="shared" ref="AW35:AW48" si="364">IFERROR(AU35/AU$34,"")</f>
        <v/>
      </c>
      <c r="AX35" s="1119">
        <f t="shared" ref="AX35:AX48" si="365">SUMIF(H$3:AT$3,AX$3,H35:AT35)</f>
        <v>0</v>
      </c>
      <c r="AY35" s="1117" t="str">
        <f t="shared" ref="AY35:AY48" si="366">IFERROR(AX35/SUMIF($C$20:$C$33,$C35,AX$20:AX$33),"")</f>
        <v/>
      </c>
      <c r="AZ35" s="1118" t="str">
        <f t="shared" ref="AZ35:AZ48" si="367">IFERROR(AX35/AX$34,"")</f>
        <v/>
      </c>
      <c r="BA35" s="1119">
        <f t="shared" ref="BA35:BA48" si="368">SUMIF(H$3:AT$3,"AC",H35:AT35)+SUMIF(H$3:AT$3,"TF",H35:AT35)</f>
        <v>0</v>
      </c>
      <c r="BB35" s="1117" t="str">
        <f t="shared" ref="BB35:BB48" si="369">IFERROR(BA35/SUMIF($C$20:$C$33,$C35,BA$20:BA$33),"")</f>
        <v/>
      </c>
      <c r="BC35" s="1118" t="str">
        <f t="shared" ref="BC35:BC48" si="370">IFERROR(BA35/BA$34,"")</f>
        <v/>
      </c>
      <c r="BD35" s="1119">
        <f t="shared" ref="BD35:BD48" si="371">BA35-AU35</f>
        <v>0</v>
      </c>
      <c r="BE35" s="1117" t="str">
        <f t="shared" si="32"/>
        <v/>
      </c>
      <c r="BF35" s="1119">
        <f t="shared" ref="BF35:BF48" si="372">BA35-AX35</f>
        <v>0</v>
      </c>
      <c r="BG35" s="1117" t="str">
        <f t="shared" si="34"/>
        <v/>
      </c>
      <c r="BH35" s="1083">
        <f>SUMIF($B36:$B$48,$B35,BH36:BH$48)</f>
        <v>0</v>
      </c>
      <c r="BI35" s="1117" t="str">
        <f t="shared" ref="BI35:BI48" si="373">IFERROR(BH35/SUMIF($C$20:$C$33,$C35,BH$20:BH$33),"")</f>
        <v/>
      </c>
      <c r="BJ35" s="1118" t="str">
        <f t="shared" ref="BJ35:BJ48" si="374">IFERROR(BH35/BH$34,"")</f>
        <v/>
      </c>
      <c r="BK35" s="1083">
        <f>SUMIF($B36:$B$48,$B35,BK36:BK$48)</f>
        <v>0</v>
      </c>
      <c r="BL35" s="1117" t="str">
        <f t="shared" ref="BL35:BL48" si="375">IFERROR(BK35/SUMIF($C$20:$C$33,$C35,BK$20:BK$33),"")</f>
        <v/>
      </c>
      <c r="BM35" s="1118" t="str">
        <f t="shared" ref="BM35:BM48" si="376">IFERROR(BK35/BK$34,"")</f>
        <v/>
      </c>
      <c r="BN35" s="1083">
        <f>SUMIF($B36:$B$48,$B35,BN36:BN$48)</f>
        <v>0</v>
      </c>
      <c r="BO35" s="1117" t="str">
        <f t="shared" ref="BO35:BO48" si="377">IFERROR(BN35/SUMIF($C$20:$C$33,$C35,BN$20:BN$33),"")</f>
        <v/>
      </c>
      <c r="BP35" s="1118" t="str">
        <f t="shared" ref="BP35:BP48" si="378">IFERROR(BN35/BN$34,"")</f>
        <v/>
      </c>
      <c r="BQ35" s="1119">
        <f t="shared" ref="BQ35:BQ48" si="379">BN35-BH35</f>
        <v>0</v>
      </c>
      <c r="BR35" s="1117" t="str">
        <f t="shared" si="39"/>
        <v/>
      </c>
      <c r="BS35" s="1119">
        <f t="shared" ref="BS35:BS48" si="380">BN35-BK35</f>
        <v>0</v>
      </c>
      <c r="BT35" s="1117" t="str">
        <f t="shared" si="41"/>
        <v/>
      </c>
      <c r="BU35" s="1083">
        <f>SUMIF($B36:$B$48,$B35,BU36:BU$48)</f>
        <v>0</v>
      </c>
      <c r="BV35" s="1117" t="str">
        <f t="shared" ref="BV35:BV48" si="381">IFERROR(BU35/SUMIF($C$20:$C$33,$C35,BU$20:BU$33),"")</f>
        <v/>
      </c>
      <c r="BW35" s="1118" t="str">
        <f t="shared" ref="BW35:BW48" si="382">IFERROR(BU35/BU$34,"")</f>
        <v/>
      </c>
      <c r="BX35" s="1083">
        <f>SUMIF($B36:$B$48,$B35,BX36:BX$48)</f>
        <v>0</v>
      </c>
      <c r="BY35" s="1117" t="str">
        <f t="shared" ref="BY35:BY48" si="383">IFERROR(BX35/SUMIF($C$20:$C$33,$C35,BX$20:BX$33),"")</f>
        <v/>
      </c>
      <c r="BZ35" s="1118" t="str">
        <f t="shared" ref="BZ35:BZ48" si="384">IFERROR(BX35/BX$34,"")</f>
        <v/>
      </c>
      <c r="CA35" s="1083">
        <f>SUMIF($B36:$B$48,$B35,CA36:CA$48)</f>
        <v>0</v>
      </c>
      <c r="CB35" s="1117" t="str">
        <f t="shared" ref="CB35:CB48" si="385">IFERROR(CA35/SUMIF($C$20:$C$33,$C35,CA$20:CA$33),"")</f>
        <v/>
      </c>
      <c r="CC35" s="1118" t="str">
        <f t="shared" ref="CC35:CC48" si="386">IFERROR(CA35/CA$34,"")</f>
        <v/>
      </c>
      <c r="CD35" s="1119">
        <f t="shared" ref="CD35:CD48" si="387">CA35-BU35</f>
        <v>0</v>
      </c>
      <c r="CE35" s="1117" t="str">
        <f t="shared" si="46"/>
        <v/>
      </c>
      <c r="CF35" s="1119">
        <f t="shared" ref="CF35:CF48" si="388">CA35-BX35</f>
        <v>0</v>
      </c>
      <c r="CG35" s="1117" t="str">
        <f t="shared" si="48"/>
        <v/>
      </c>
      <c r="CH35" s="1083">
        <f>SUMIF($B36:$B$48,$B35,CH36:CH$48)</f>
        <v>0</v>
      </c>
      <c r="CI35" s="1117" t="str">
        <f t="shared" ref="CI35:CI48" si="389">IFERROR(CH35/SUMIF($C$20:$C$33,$C35,CH$20:CH$33),"")</f>
        <v/>
      </c>
      <c r="CJ35" s="1118" t="str">
        <f t="shared" ref="CJ35:CJ48" si="390">IFERROR(CH35/CH$34,"")</f>
        <v/>
      </c>
      <c r="CK35" s="1083">
        <f>SUMIF($B36:$B$48,$B35,CK36:CK$48)</f>
        <v>0</v>
      </c>
      <c r="CL35" s="1117" t="str">
        <f t="shared" ref="CL35:CL48" si="391">IFERROR(CK35/SUMIF($C$20:$C$33,$C35,CK$20:CK$33),"")</f>
        <v/>
      </c>
      <c r="CM35" s="1118" t="str">
        <f t="shared" ref="CM35:CM48" si="392">IFERROR(CK35/CK$34,"")</f>
        <v/>
      </c>
      <c r="CN35" s="1083">
        <f>SUMIF($B36:$B$48,$B35,CN36:CN$48)</f>
        <v>0</v>
      </c>
      <c r="CO35" s="1117" t="str">
        <f t="shared" ref="CO35:CO48" si="393">IFERROR(CN35/SUMIF($C$20:$C$33,$C35,CN$20:CN$33),"")</f>
        <v/>
      </c>
      <c r="CP35" s="1118" t="str">
        <f t="shared" ref="CP35:CP48" si="394">IFERROR(CN35/CN$34,"")</f>
        <v/>
      </c>
      <c r="CQ35" s="1119">
        <f t="shared" ref="CQ35:CQ48" si="395">CN35-CH35</f>
        <v>0</v>
      </c>
      <c r="CR35" s="1117" t="str">
        <f t="shared" si="53"/>
        <v/>
      </c>
      <c r="CS35" s="1119">
        <f t="shared" ref="CS35:CS48" si="396">CN35-CK35</f>
        <v>0</v>
      </c>
      <c r="CT35" s="1117" t="str">
        <f t="shared" si="55"/>
        <v/>
      </c>
      <c r="CU35" s="1120">
        <f t="shared" ref="CU35:CU48" si="397">SUMIF(BH$3:CT$3,CU$3,BH35:CT35)</f>
        <v>0</v>
      </c>
      <c r="CV35" s="1117" t="str">
        <f t="shared" ref="CV35:CV48" si="398">IFERROR(CU35/SUMIF($C$20:$C$33,$C35,CU$20:CU$33),"")</f>
        <v/>
      </c>
      <c r="CW35" s="1118" t="str">
        <f t="shared" ref="CW35:CW48" si="399">IFERROR(CU35/CU$34,"")</f>
        <v/>
      </c>
      <c r="CX35" s="1119">
        <f t="shared" ref="CX35:CX48" si="400">SUMIF(BH$3:CT$3,CX$3,BH35:CT35)</f>
        <v>0</v>
      </c>
      <c r="CY35" s="1117" t="str">
        <f t="shared" ref="CY35:CY48" si="401">IFERROR(CX35/SUMIF($C$20:$C$33,$C35,CX$20:CX$33),"")</f>
        <v/>
      </c>
      <c r="CZ35" s="1118" t="str">
        <f t="shared" ref="CZ35:CZ48" si="402">IFERROR(CX35/CX$34,"")</f>
        <v/>
      </c>
      <c r="DA35" s="1119">
        <f t="shared" ref="DA35:DA48" si="403">SUMIF(BH$3:CT$3,"AC",BH35:CT35)+SUMIF(BH$3:CT$3,"TF",BH35:CT35)</f>
        <v>0</v>
      </c>
      <c r="DB35" s="1117" t="str">
        <f t="shared" ref="DB35:DB48" si="404">IFERROR(DA35/SUMIF($C$20:$C$33,$C35,DA$20:DA$33),"")</f>
        <v/>
      </c>
      <c r="DC35" s="1118" t="str">
        <f t="shared" ref="DC35:DC48" si="405">IFERROR(DA35/DA$34,"")</f>
        <v/>
      </c>
      <c r="DD35" s="1119">
        <f t="shared" ref="DD35:DD48" si="406">DA35-CU35</f>
        <v>0</v>
      </c>
      <c r="DE35" s="1117" t="str">
        <f t="shared" si="63"/>
        <v/>
      </c>
      <c r="DF35" s="1119">
        <f t="shared" ref="DF35:DF48" si="407">DA35-CX35</f>
        <v>0</v>
      </c>
      <c r="DG35" s="1117" t="str">
        <f t="shared" si="65"/>
        <v/>
      </c>
      <c r="DH35" s="1120">
        <f t="shared" ref="DH35:DH48" si="408">AU35+CU35</f>
        <v>0</v>
      </c>
      <c r="DI35" s="1117" t="str">
        <f t="shared" ref="DI35:DI48" si="409">IFERROR(DH35/SUMIF($C$20:$C$33,$C35,DH$20:DH$33),"")</f>
        <v/>
      </c>
      <c r="DJ35" s="1118" t="str">
        <f t="shared" ref="DJ35:DJ48" si="410">IFERROR(DH35/DH$34,"")</f>
        <v/>
      </c>
      <c r="DK35" s="1119">
        <f t="shared" ref="DK35:DK48" si="411">AX35+CX35</f>
        <v>0</v>
      </c>
      <c r="DL35" s="1117" t="str">
        <f t="shared" ref="DL35:DL48" si="412">IFERROR(DK35/SUMIF($C$20:$C$33,$C35,DK$20:DK$33),"")</f>
        <v/>
      </c>
      <c r="DM35" s="1118" t="str">
        <f t="shared" ref="DM35:DM48" si="413">IFERROR(DK35/DK$34,"")</f>
        <v/>
      </c>
      <c r="DN35" s="1119">
        <f t="shared" ref="DN35:DN48" si="414">BA35+DA35</f>
        <v>0</v>
      </c>
      <c r="DO35" s="1117" t="str">
        <f t="shared" ref="DO35:DO48" si="415">IFERROR(DN35/SUMIF($C$20:$C$33,$C35,DN$20:DN$33),"")</f>
        <v/>
      </c>
      <c r="DP35" s="1118" t="str">
        <f t="shared" ref="DP35:DP48" si="416">IFERROR(DN35/DN$34,"")</f>
        <v/>
      </c>
      <c r="DQ35" s="1119">
        <f t="shared" ref="DQ35:DQ48" si="417">DN35-DH35</f>
        <v>0</v>
      </c>
      <c r="DR35" s="1117" t="str">
        <f t="shared" si="73"/>
        <v/>
      </c>
      <c r="DS35" s="1119">
        <f t="shared" ref="DS35:DS48" si="418">DN35-DK35</f>
        <v>0</v>
      </c>
      <c r="DT35" s="1117" t="str">
        <f t="shared" si="75"/>
        <v/>
      </c>
      <c r="DU35" s="1083">
        <f>SUMIF($B36:$B$48,$B35,DU36:DU$48)</f>
        <v>0</v>
      </c>
      <c r="DV35" s="1117" t="str">
        <f t="shared" ref="DV35:DV48" si="419">IFERROR(DU35/SUMIF($C$20:$C$33,$C35,DU$20:DU$33),"")</f>
        <v/>
      </c>
      <c r="DW35" s="1118" t="str">
        <f t="shared" ref="DW35:DW48" si="420">IFERROR(DU35/DU$34,"")</f>
        <v/>
      </c>
      <c r="DX35" s="1083">
        <f>SUMIF($B36:$B$48,$B35,DX36:DX$48)</f>
        <v>0</v>
      </c>
      <c r="DY35" s="1117" t="str">
        <f t="shared" ref="DY35:DY48" si="421">IFERROR(DX35/SUMIF($C$20:$C$33,$C35,DX$20:DX$33),"")</f>
        <v/>
      </c>
      <c r="DZ35" s="1118" t="str">
        <f t="shared" ref="DZ35:DZ48" si="422">IFERROR(DX35/DX$34,"")</f>
        <v/>
      </c>
      <c r="EA35" s="1083">
        <f>SUMIF($B36:$B$48,$B35,EA36:EA$48)</f>
        <v>0</v>
      </c>
      <c r="EB35" s="1117" t="str">
        <f t="shared" ref="EB35:EB48" si="423">IFERROR(EA35/SUMIF($C$20:$C$33,$C35,EA$20:EA$33),"")</f>
        <v/>
      </c>
      <c r="EC35" s="1118" t="str">
        <f t="shared" ref="EC35:EC48" si="424">IFERROR(EA35/EA$34,"")</f>
        <v/>
      </c>
      <c r="ED35" s="1119">
        <f t="shared" ref="ED35:ED48" si="425">EA35-DU35</f>
        <v>0</v>
      </c>
      <c r="EE35" s="1117" t="str">
        <f t="shared" si="80"/>
        <v/>
      </c>
      <c r="EF35" s="1119">
        <f t="shared" ref="EF35:EF48" si="426">EA35-DX35</f>
        <v>0</v>
      </c>
      <c r="EG35" s="1117" t="str">
        <f t="shared" si="82"/>
        <v/>
      </c>
      <c r="EH35" s="1083">
        <f>SUMIF($B36:$B$48,$B35,EH36:EH$48)</f>
        <v>0</v>
      </c>
      <c r="EI35" s="1117" t="str">
        <f t="shared" ref="EI35:EI48" si="427">IFERROR(EH35/SUMIF($C$20:$C$33,$C35,EH$20:EH$33),"")</f>
        <v/>
      </c>
      <c r="EJ35" s="1118" t="str">
        <f t="shared" ref="EJ35:EJ48" si="428">IFERROR(EH35/EH$34,"")</f>
        <v/>
      </c>
      <c r="EK35" s="1083">
        <f>SUMIF($B36:$B$48,$B35,EK36:EK$48)</f>
        <v>0</v>
      </c>
      <c r="EL35" s="1117" t="str">
        <f t="shared" ref="EL35:EL48" si="429">IFERROR(EK35/SUMIF($C$20:$C$33,$C35,EK$20:EK$33),"")</f>
        <v/>
      </c>
      <c r="EM35" s="1118" t="str">
        <f t="shared" ref="EM35:EM48" si="430">IFERROR(EK35/EK$34,"")</f>
        <v/>
      </c>
      <c r="EN35" s="1083">
        <f>SUMIF($B36:$B$48,$B35,EN36:EN$48)</f>
        <v>0</v>
      </c>
      <c r="EO35" s="1117" t="str">
        <f t="shared" ref="EO35:EO48" si="431">IFERROR(EN35/SUMIF($C$20:$C$33,$C35,EN$20:EN$33),"")</f>
        <v/>
      </c>
      <c r="EP35" s="1118" t="str">
        <f t="shared" ref="EP35:EP48" si="432">IFERROR(EN35/EN$34,"")</f>
        <v/>
      </c>
      <c r="EQ35" s="1119">
        <f t="shared" ref="EQ35:EQ48" si="433">EN35-EH35</f>
        <v>0</v>
      </c>
      <c r="ER35" s="1117" t="str">
        <f t="shared" si="87"/>
        <v/>
      </c>
      <c r="ES35" s="1119">
        <f t="shared" ref="ES35:ES48" si="434">EN35-EK35</f>
        <v>0</v>
      </c>
      <c r="ET35" s="1117" t="str">
        <f t="shared" si="89"/>
        <v/>
      </c>
      <c r="EU35" s="1083">
        <f>SUMIF($B36:$B$48,$B35,EU36:EU$48)</f>
        <v>0</v>
      </c>
      <c r="EV35" s="1117" t="str">
        <f t="shared" ref="EV35:EV48" si="435">IFERROR(EU35/SUMIF($C$20:$C$33,$C35,EU$20:EU$33),"")</f>
        <v/>
      </c>
      <c r="EW35" s="1118" t="str">
        <f t="shared" ref="EW35:EW48" si="436">IFERROR(EU35/EU$34,"")</f>
        <v/>
      </c>
      <c r="EX35" s="1083">
        <f>SUMIF($B36:$B$48,$B35,EX36:EX$48)</f>
        <v>0</v>
      </c>
      <c r="EY35" s="1117" t="str">
        <f t="shared" ref="EY35:EY48" si="437">IFERROR(EX35/SUMIF($C$20:$C$33,$C35,EX$20:EX$33),"")</f>
        <v/>
      </c>
      <c r="EZ35" s="1118" t="str">
        <f t="shared" ref="EZ35:EZ48" si="438">IFERROR(EX35/EX$34,"")</f>
        <v/>
      </c>
      <c r="FA35" s="1083">
        <f>SUMIF($B36:$B$48,$B35,FA36:FA$48)</f>
        <v>0</v>
      </c>
      <c r="FB35" s="1117" t="str">
        <f t="shared" ref="FB35:FB48" si="439">IFERROR(FA35/SUMIF($C$20:$C$33,$C35,FA$20:FA$33),"")</f>
        <v/>
      </c>
      <c r="FC35" s="1118" t="str">
        <f t="shared" ref="FC35:FC48" si="440">IFERROR(FA35/FA$34,"")</f>
        <v/>
      </c>
      <c r="FD35" s="1119">
        <f t="shared" ref="FD35:FD48" si="441">FA35-EU35</f>
        <v>0</v>
      </c>
      <c r="FE35" s="1117" t="str">
        <f t="shared" si="94"/>
        <v/>
      </c>
      <c r="FF35" s="1119">
        <f t="shared" ref="FF35:FF48" si="442">FA35-EX35</f>
        <v>0</v>
      </c>
      <c r="FG35" s="1117" t="str">
        <f t="shared" si="96"/>
        <v/>
      </c>
      <c r="FH35" s="1120">
        <f t="shared" ref="FH35:FH48" si="443">SUMIF(DU$3:FG$3,FH$3,DU35:FG35)</f>
        <v>0</v>
      </c>
      <c r="FI35" s="1117" t="str">
        <f t="shared" ref="FI35:FI48" si="444">IFERROR(FH35/SUMIF($C$20:$C$33,$C35,FH$20:FH$33),"")</f>
        <v/>
      </c>
      <c r="FJ35" s="1118" t="str">
        <f t="shared" ref="FJ35:FJ48" si="445">IFERROR(FH35/FH$34,"")</f>
        <v/>
      </c>
      <c r="FK35" s="1119">
        <f t="shared" ref="FK35:FK48" si="446">SUMIF(DU$3:FG$3,FK$3,DU35:FG35)</f>
        <v>0</v>
      </c>
      <c r="FL35" s="1117" t="str">
        <f t="shared" ref="FL35:FL48" si="447">IFERROR(FK35/SUMIF($C$20:$C$33,$C35,FK$20:FK$33),"")</f>
        <v/>
      </c>
      <c r="FM35" s="1118" t="str">
        <f t="shared" ref="FM35:FM48" si="448">IFERROR(FK35/FK$34,"")</f>
        <v/>
      </c>
      <c r="FN35" s="1119">
        <f t="shared" ref="FN35:FN48" si="449">SUMIF(DU$3:FG$3,"AC",DU35:FG35)+SUMIF(DU$3:FG$3,"TF",DU35:FG35)</f>
        <v>0</v>
      </c>
      <c r="FO35" s="1117" t="str">
        <f t="shared" ref="FO35:FO48" si="450">IFERROR(FN35/SUMIF($C$20:$C$33,$C35,FN$20:FN$33),"")</f>
        <v/>
      </c>
      <c r="FP35" s="1118" t="str">
        <f t="shared" ref="FP35:FP48" si="451">IFERROR(FN35/FN$34,"")</f>
        <v/>
      </c>
      <c r="FQ35" s="1119">
        <f t="shared" ref="FQ35:FQ48" si="452">FN35-FH35</f>
        <v>0</v>
      </c>
      <c r="FR35" s="1117" t="str">
        <f t="shared" si="104"/>
        <v/>
      </c>
      <c r="FS35" s="1119">
        <f t="shared" ref="FS35:FS48" si="453">FN35-FK35</f>
        <v>0</v>
      </c>
      <c r="FT35" s="1117" t="str">
        <f t="shared" si="106"/>
        <v/>
      </c>
      <c r="FU35" s="1083">
        <f>SUMIF($B36:$B$48,$B35,FU36:FU$48)</f>
        <v>0</v>
      </c>
      <c r="FV35" s="1117" t="str">
        <f t="shared" ref="FV35:FV48" si="454">IFERROR(FU35/SUMIF($C$20:$C$33,$C35,FU$20:FU$33),"")</f>
        <v/>
      </c>
      <c r="FW35" s="1118" t="str">
        <f t="shared" ref="FW35:FW48" si="455">IFERROR(FU35/FU$34,"")</f>
        <v/>
      </c>
      <c r="FX35" s="1083">
        <f>SUMIF($B36:$B$48,$B35,FX36:FX$48)</f>
        <v>0</v>
      </c>
      <c r="FY35" s="1117" t="str">
        <f t="shared" ref="FY35:FY48" si="456">IFERROR(FX35/SUMIF($C$20:$C$33,$C35,FX$20:FX$33),"")</f>
        <v/>
      </c>
      <c r="FZ35" s="1118" t="str">
        <f t="shared" ref="FZ35:FZ48" si="457">IFERROR(FX35/FX$34,"")</f>
        <v/>
      </c>
      <c r="GA35" s="1083">
        <f>SUMIF($B36:$B$48,$B35,GA36:GA$48)</f>
        <v>0</v>
      </c>
      <c r="GB35" s="1117" t="str">
        <f t="shared" ref="GB35:GB48" si="458">IFERROR(GA35/SUMIF($C$20:$C$33,$C35,GA$20:GA$33),"")</f>
        <v/>
      </c>
      <c r="GC35" s="1118" t="str">
        <f t="shared" ref="GC35:GC48" si="459">IFERROR(GA35/GA$34,"")</f>
        <v/>
      </c>
      <c r="GD35" s="1119">
        <f t="shared" ref="GD35:GD48" si="460">GA35-FU35</f>
        <v>0</v>
      </c>
      <c r="GE35" s="1117" t="str">
        <f t="shared" si="111"/>
        <v/>
      </c>
      <c r="GF35" s="1119">
        <f t="shared" ref="GF35:GF48" si="461">GA35-FX35</f>
        <v>0</v>
      </c>
      <c r="GG35" s="1117" t="str">
        <f t="shared" si="113"/>
        <v/>
      </c>
      <c r="GH35" s="1120">
        <f>SUMIFS(BP_SOTIEN,BP_DA,$C35,BP_THANG,GH$2,BP_KM,$E35)/1000</f>
        <v>0</v>
      </c>
      <c r="GI35" s="1117" t="str">
        <f t="shared" ref="GI35:GI48" si="462">IFERROR(GH35/SUMIF($C$20:$C$33,$C35,GH$20:GH$33),"")</f>
        <v/>
      </c>
      <c r="GJ35" s="1118" t="str">
        <f t="shared" ref="GJ35:GJ48" si="463">IFERROR(GH35/GH$34,"")</f>
        <v/>
      </c>
      <c r="GK35" s="1083">
        <f>SUMIF($B36:$B$48,$B35,GK36:GK$48)</f>
        <v>0</v>
      </c>
      <c r="GL35" s="1117" t="str">
        <f t="shared" ref="GL35:GL48" si="464">IFERROR(GK35/SUMIF($C$20:$C$33,$C35,GK$20:GK$33),"")</f>
        <v/>
      </c>
      <c r="GM35" s="1118" t="str">
        <f t="shared" ref="GM35:GM48" si="465">IFERROR(GK35/GK$34,"")</f>
        <v/>
      </c>
      <c r="GN35" s="1083">
        <f>SUMIF($B36:$B$48,$B35,GN36:GN$48)</f>
        <v>0</v>
      </c>
      <c r="GO35" s="1117" t="str">
        <f t="shared" ref="GO35:GO48" si="466">IFERROR(GN35/SUMIF($C$20:$C$33,$C35,GN$20:GN$33),"")</f>
        <v/>
      </c>
      <c r="GP35" s="1118" t="str">
        <f t="shared" ref="GP35:GP48" si="467">IFERROR(GN35/GN$34,"")</f>
        <v/>
      </c>
      <c r="GQ35" s="1119">
        <f t="shared" ref="GQ35:GQ48" si="468">GN35-GH35</f>
        <v>0</v>
      </c>
      <c r="GR35" s="1117" t="str">
        <f t="shared" si="118"/>
        <v/>
      </c>
      <c r="GS35" s="1119">
        <f t="shared" ref="GS35:GS48" si="469">GN35-GK35</f>
        <v>0</v>
      </c>
      <c r="GT35" s="1117" t="str">
        <f t="shared" si="120"/>
        <v/>
      </c>
      <c r="GU35" s="1083">
        <f>SUMIF($B36:$B$48,$B35,GU36:GU$48)</f>
        <v>0</v>
      </c>
      <c r="GV35" s="1117" t="str">
        <f t="shared" ref="GV35:GV48" si="470">IFERROR(GU35/SUMIF($C$20:$C$33,$C35,GU$20:GU$33),"")</f>
        <v/>
      </c>
      <c r="GW35" s="1118" t="str">
        <f t="shared" ref="GW35:GW48" si="471">IFERROR(GU35/GU$34,"")</f>
        <v/>
      </c>
      <c r="GX35" s="1083">
        <f>SUMIF($B36:$B$48,$B35,GX36:GX$48)</f>
        <v>0</v>
      </c>
      <c r="GY35" s="1117" t="str">
        <f t="shared" ref="GY35:GY48" si="472">IFERROR(GX35/SUMIF($C$20:$C$33,$C35,GX$20:GX$33),"")</f>
        <v/>
      </c>
      <c r="GZ35" s="1118" t="str">
        <f t="shared" ref="GZ35:GZ48" si="473">IFERROR(GX35/GX$34,"")</f>
        <v/>
      </c>
      <c r="HA35" s="1083">
        <f>SUMIF($B36:$B$48,$B35,HA36:HA$48)</f>
        <v>0</v>
      </c>
      <c r="HB35" s="1117" t="str">
        <f t="shared" ref="HB35:HB48" si="474">IFERROR(HA35/SUMIF($C$20:$C$33,$C35,HA$20:HA$33),"")</f>
        <v/>
      </c>
      <c r="HC35" s="1118" t="str">
        <f t="shared" ref="HC35:HC48" si="475">IFERROR(HA35/HA$34,"")</f>
        <v/>
      </c>
      <c r="HD35" s="1119">
        <f t="shared" ref="HD35:HD48" si="476">HA35-GU35</f>
        <v>0</v>
      </c>
      <c r="HE35" s="1117" t="str">
        <f t="shared" si="125"/>
        <v/>
      </c>
      <c r="HF35" s="1119">
        <f t="shared" ref="HF35:HF48" si="477">HA35-GX35</f>
        <v>0</v>
      </c>
      <c r="HG35" s="1117" t="str">
        <f t="shared" si="127"/>
        <v/>
      </c>
      <c r="HH35" s="1120">
        <f t="shared" ref="HH35:HH48" si="478">SUMIF(FU$3:HG$3,HH$3,FU35:HG35)</f>
        <v>0</v>
      </c>
      <c r="HI35" s="1117" t="str">
        <f t="shared" ref="HI35:HI48" si="479">IFERROR(HH35/SUMIF($C$20:$C$33,$C35,HH$20:HH$33),"")</f>
        <v/>
      </c>
      <c r="HJ35" s="1118" t="str">
        <f t="shared" ref="HJ35:HJ48" si="480">IFERROR(HH35/HH$34,"")</f>
        <v/>
      </c>
      <c r="HK35" s="1119">
        <f t="shared" ref="HK35:HK48" si="481">SUMIF(FU$3:HG$3,HK$3,FU35:HG35)</f>
        <v>0</v>
      </c>
      <c r="HL35" s="1117" t="str">
        <f t="shared" ref="HL35:HL48" si="482">IFERROR(HK35/SUMIF($C$20:$C$33,$C35,HK$20:HK$33),"")</f>
        <v/>
      </c>
      <c r="HM35" s="1118" t="str">
        <f t="shared" ref="HM35:HM48" si="483">IFERROR(HK35/HK$34,"")</f>
        <v/>
      </c>
      <c r="HN35" s="1119">
        <f t="shared" ref="HN35:HN48" si="484">SUMIF(FU$3:HG$3,"AC",FU35:HG35)+SUMIF(FU$3:HG$3,"TF",FU35:HG35)</f>
        <v>0</v>
      </c>
      <c r="HO35" s="1117" t="str">
        <f t="shared" ref="HO35:HO48" si="485">IFERROR(HN35/SUMIF($C$20:$C$33,$C35,HN$20:HN$33),"")</f>
        <v/>
      </c>
      <c r="HP35" s="1118" t="str">
        <f t="shared" ref="HP35:HP48" si="486">IFERROR(HN35/HN$34,"")</f>
        <v/>
      </c>
      <c r="HQ35" s="1119">
        <f t="shared" ref="HQ35:HQ48" si="487">HN35-HH35</f>
        <v>0</v>
      </c>
      <c r="HR35" s="1117" t="str">
        <f t="shared" si="135"/>
        <v/>
      </c>
      <c r="HS35" s="1119">
        <f t="shared" ref="HS35:HS48" si="488">HN35-HK35</f>
        <v>0</v>
      </c>
      <c r="HT35" s="1117" t="str">
        <f t="shared" si="137"/>
        <v/>
      </c>
      <c r="HU35" s="1120">
        <f t="shared" ref="HU35:HU48" si="489">FH35+HH35</f>
        <v>0</v>
      </c>
      <c r="HV35" s="1117" t="str">
        <f t="shared" ref="HV35:HV48" si="490">IFERROR(HU35/SUMIF($C$20:$C$33,$C35,HU$20:HU$33),"")</f>
        <v/>
      </c>
      <c r="HW35" s="1118" t="str">
        <f t="shared" ref="HW35:HW48" si="491">IFERROR(HU35/HU$34,"")</f>
        <v/>
      </c>
      <c r="HX35" s="1119">
        <f t="shared" ref="HX35:HX48" si="492">FK35+HK35</f>
        <v>0</v>
      </c>
      <c r="HY35" s="1117" t="str">
        <f t="shared" ref="HY35:HY48" si="493">IFERROR(HX35/SUMIF($C$20:$C$33,$C35,HX$20:HX$33),"")</f>
        <v/>
      </c>
      <c r="HZ35" s="1118" t="str">
        <f t="shared" ref="HZ35:HZ48" si="494">IFERROR(HX35/HX$34,"")</f>
        <v/>
      </c>
      <c r="IA35" s="1119">
        <f t="shared" ref="IA35:IA48" si="495">FN35+HN35</f>
        <v>0</v>
      </c>
      <c r="IB35" s="1117" t="str">
        <f t="shared" ref="IB35:IB48" si="496">IFERROR(IA35/SUMIF($C$20:$C$33,$C35,IA$20:IA$33),"")</f>
        <v/>
      </c>
      <c r="IC35" s="1118" t="str">
        <f t="shared" ref="IC35:IC48" si="497">IFERROR(IA35/IA$34,"")</f>
        <v/>
      </c>
      <c r="ID35" s="1119">
        <f t="shared" ref="ID35:ID48" si="498">IA35-HU35</f>
        <v>0</v>
      </c>
      <c r="IE35" s="1117" t="str">
        <f t="shared" si="145"/>
        <v/>
      </c>
      <c r="IF35" s="1119">
        <f t="shared" ref="IF35:IF48" si="499">IA35-HX35</f>
        <v>0</v>
      </c>
      <c r="IG35" s="1117" t="str">
        <f t="shared" si="147"/>
        <v/>
      </c>
      <c r="IH35" s="1120">
        <f t="shared" ref="IH35:IH48" si="500">DH35+HU35</f>
        <v>0</v>
      </c>
      <c r="II35" s="1117" t="str">
        <f t="shared" ref="II35:II48" si="501">IFERROR(IH35/SUMIF($C$20:$C$33,$C35,IH$20:IH$33),"")</f>
        <v/>
      </c>
      <c r="IJ35" s="1118" t="str">
        <f t="shared" ref="IJ35:IJ48" si="502">IFERROR(IH35/IH$34,"")</f>
        <v/>
      </c>
      <c r="IK35" s="1119">
        <f t="shared" ref="IK35:IK48" si="503">DK35+HX35</f>
        <v>0</v>
      </c>
      <c r="IL35" s="1117" t="str">
        <f t="shared" ref="IL35:IL48" si="504">IFERROR(IK35/SUMIF($C$20:$C$33,$C35,IK$20:IK$33),"")</f>
        <v/>
      </c>
      <c r="IM35" s="1118" t="str">
        <f t="shared" ref="IM35:IM48" si="505">IFERROR(IK35/IK$34,"")</f>
        <v/>
      </c>
      <c r="IN35" s="1119">
        <f t="shared" ref="IN35:IN48" si="506">DN35+IA35</f>
        <v>0</v>
      </c>
      <c r="IO35" s="1117" t="str">
        <f t="shared" ref="IO35:IO48" si="507">IFERROR(IN35/SUMIF($C$20:$C$33,$C35,IN$20:IN$33),"")</f>
        <v/>
      </c>
      <c r="IP35" s="1118" t="str">
        <f t="shared" ref="IP35:IP48" si="508">IFERROR(IN35/IN$34,"")</f>
        <v/>
      </c>
      <c r="IQ35" s="1119">
        <f t="shared" ref="IQ35:IQ48" si="509">IN35-IH35</f>
        <v>0</v>
      </c>
      <c r="IR35" s="1117" t="str">
        <f t="shared" si="1"/>
        <v/>
      </c>
      <c r="IS35" s="1119">
        <f t="shared" ref="IS35:IS48" si="510">IN35-IK35</f>
        <v>0</v>
      </c>
      <c r="IT35" s="1117" t="str">
        <f t="shared" si="2"/>
        <v/>
      </c>
    </row>
    <row r="36" hidden="1" outlineLevel="1">
      <c r="A36" s="1086">
        <f t="shared" si="337"/>
        <v>1</v>
      </c>
      <c r="B36" s="1087" t="s">
        <v>2066</v>
      </c>
      <c r="C36" s="1087" t="s">
        <v>175</v>
      </c>
      <c r="D36" s="1087" t="str">
        <f>IF(C36&gt;0,VLOOKUP(C36,DM_DUAN ,2,"") ,IF(B36&gt;0,VLOOKUP(B36,DM_CDT,2,""),""))</f>
        <v>Phước hội Hồ Tràm</v>
      </c>
      <c r="E36" s="1087" t="s">
        <v>2239</v>
      </c>
      <c r="F36" s="1087"/>
      <c r="G36" s="1086">
        <v>2.0</v>
      </c>
      <c r="H36" s="1088">
        <f>SUMIFS(BP_SOTIEN,BP_DA,$C36,BP_THANG,H$2,BP_KM,$E36)/1000</f>
        <v>0</v>
      </c>
      <c r="I36" s="1091" t="str">
        <f t="shared" si="338"/>
        <v/>
      </c>
      <c r="J36" s="1089" t="str">
        <f t="shared" si="339"/>
        <v/>
      </c>
      <c r="K36" s="1090">
        <f>IF(NOW()&gt;=DATE(YEAR(H$2),MONTH(H$2)+1,DAY(H$2)),SUMIFS(TF_SOTIEN,TF_DA,$C36,TF_THANG,H$2,TF_KM,$E36)/1000, N36)</f>
        <v>0</v>
      </c>
      <c r="L36" s="1091">
        <f t="shared" si="340"/>
        <v>0</v>
      </c>
      <c r="M36" s="1089" t="str">
        <f t="shared" si="341"/>
        <v/>
      </c>
      <c r="N36" s="1090">
        <f>IF(NOW()&gt;=DATE(YEAR(H$2),MONTH(H$2)+1,DAY(H$2)),SUMIFS(AC_SOTIEN,AC_DA,$C36,AC_THANG,H$2,AC_KM,$E36),SUMIFS(TF_SOTIEN,TF_DA,$C36,TF_THANG,H$2,TF_KM,$E36))/ 1000</f>
        <v>0</v>
      </c>
      <c r="O36" s="1091">
        <f t="shared" si="342"/>
        <v>0</v>
      </c>
      <c r="P36" s="1089" t="str">
        <f t="shared" si="343"/>
        <v/>
      </c>
      <c r="Q36" s="1090">
        <f t="shared" si="344"/>
        <v>0</v>
      </c>
      <c r="R36" s="1091" t="str">
        <f t="shared" si="8"/>
        <v/>
      </c>
      <c r="S36" s="1090">
        <f t="shared" si="345"/>
        <v>0</v>
      </c>
      <c r="T36" s="1091" t="str">
        <f t="shared" si="10"/>
        <v/>
      </c>
      <c r="U36" s="1088">
        <f>SUMIFS(BP_SOTIEN,BP_DA,$C36,BP_THANG,U$2,BP_KM,$E36)/1000</f>
        <v>0</v>
      </c>
      <c r="V36" s="1091" t="str">
        <f t="shared" si="346"/>
        <v/>
      </c>
      <c r="W36" s="1089" t="str">
        <f t="shared" si="347"/>
        <v/>
      </c>
      <c r="X36" s="1090">
        <f>IF(NOW()&gt;=DATE(YEAR(U$2),MONTH(U$2)+1,DAY(U$2)),SUMIFS(TF_SOTIEN,TF_DA,$C36,TF_THANG,U$2,TF_KM,$E36)/1000, AA36)</f>
        <v>0</v>
      </c>
      <c r="Y36" s="1091" t="str">
        <f t="shared" si="348"/>
        <v/>
      </c>
      <c r="Z36" s="1089" t="str">
        <f t="shared" si="349"/>
        <v/>
      </c>
      <c r="AA36" s="1090">
        <f>IF(NOW()&gt;=DATE(YEAR(U$2),MONTH(U$2)+1,DAY(U$2)),SUMIFS(AC_SOTIEN,AC_DA,$C36,AC_THANG,U$2,AC_KM,$E36),SUMIFS(TF_SOTIEN,TF_DA,$C36,TF_THANG,U$2,TF_KM,$E36))/ 1000</f>
        <v>0</v>
      </c>
      <c r="AB36" s="1091">
        <f t="shared" si="350"/>
        <v>0</v>
      </c>
      <c r="AC36" s="1089" t="str">
        <f t="shared" si="351"/>
        <v/>
      </c>
      <c r="AD36" s="1090">
        <f t="shared" si="352"/>
        <v>0</v>
      </c>
      <c r="AE36" s="1091" t="str">
        <f t="shared" si="15"/>
        <v/>
      </c>
      <c r="AF36" s="1090">
        <f t="shared" si="353"/>
        <v>0</v>
      </c>
      <c r="AG36" s="1091" t="str">
        <f t="shared" si="17"/>
        <v/>
      </c>
      <c r="AH36" s="1088">
        <f>SUMIFS(BP_SOTIEN,BP_DA,$C36,BP_THANG,AH$2,BP_KM,$E36)/1000</f>
        <v>0</v>
      </c>
      <c r="AI36" s="1091" t="str">
        <f t="shared" si="354"/>
        <v/>
      </c>
      <c r="AJ36" s="1089" t="str">
        <f t="shared" si="355"/>
        <v/>
      </c>
      <c r="AK36" s="1090">
        <f>IF(NOW()&gt;=DATE(YEAR(AH$2),MONTH(AH$2)+1,DAY(AH$2)),SUMIFS(TF_SOTIEN,TF_DA,$C36,TF_THANG,AH$2,TF_KM,$E36)/1000, AN36)</f>
        <v>0</v>
      </c>
      <c r="AL36" s="1091">
        <f t="shared" si="356"/>
        <v>0</v>
      </c>
      <c r="AM36" s="1089" t="str">
        <f t="shared" si="357"/>
        <v/>
      </c>
      <c r="AN36" s="1090">
        <f>IF(NOW()&gt;=DATE(YEAR(AH$2),MONTH(AH$2)+1,DAY(AH$2)),SUMIFS(AC_SOTIEN,AC_DA,$C36,AC_THANG,AH$2,AC_KM,$E36),SUMIFS(TF_SOTIEN,TF_DA,$C36,TF_THANG,AH$2,TF_KM,$E36))/ 1000</f>
        <v>0</v>
      </c>
      <c r="AO36" s="1091">
        <f t="shared" si="358"/>
        <v>0</v>
      </c>
      <c r="AP36" s="1089" t="str">
        <f t="shared" si="359"/>
        <v/>
      </c>
      <c r="AQ36" s="1090">
        <f t="shared" si="360"/>
        <v>0</v>
      </c>
      <c r="AR36" s="1091" t="str">
        <f t="shared" si="22"/>
        <v/>
      </c>
      <c r="AS36" s="1090">
        <f t="shared" si="361"/>
        <v>0</v>
      </c>
      <c r="AT36" s="1091" t="str">
        <f t="shared" si="24"/>
        <v/>
      </c>
      <c r="AU36" s="1088">
        <f t="shared" si="362"/>
        <v>0</v>
      </c>
      <c r="AV36" s="1091" t="str">
        <f t="shared" si="363"/>
        <v/>
      </c>
      <c r="AW36" s="1089" t="str">
        <f t="shared" si="364"/>
        <v/>
      </c>
      <c r="AX36" s="1090">
        <f t="shared" si="365"/>
        <v>0</v>
      </c>
      <c r="AY36" s="1091">
        <f t="shared" si="366"/>
        <v>0</v>
      </c>
      <c r="AZ36" s="1089" t="str">
        <f t="shared" si="367"/>
        <v/>
      </c>
      <c r="BA36" s="1090">
        <f t="shared" si="368"/>
        <v>0</v>
      </c>
      <c r="BB36" s="1091">
        <f t="shared" si="369"/>
        <v>0</v>
      </c>
      <c r="BC36" s="1089" t="str">
        <f t="shared" si="370"/>
        <v/>
      </c>
      <c r="BD36" s="1090">
        <f t="shared" si="371"/>
        <v>0</v>
      </c>
      <c r="BE36" s="1091" t="str">
        <f t="shared" si="32"/>
        <v/>
      </c>
      <c r="BF36" s="1090">
        <f t="shared" si="372"/>
        <v>0</v>
      </c>
      <c r="BG36" s="1091" t="str">
        <f t="shared" si="34"/>
        <v/>
      </c>
      <c r="BH36" s="1088">
        <f>SUMIFS(BP_SOTIEN,BP_DA,$C36,BP_THANG,BH$2,BP_KM,$E36)/1000</f>
        <v>0</v>
      </c>
      <c r="BI36" s="1091">
        <f t="shared" si="373"/>
        <v>0</v>
      </c>
      <c r="BJ36" s="1089" t="str">
        <f t="shared" si="374"/>
        <v/>
      </c>
      <c r="BK36" s="1090">
        <f>IF(NOW()&gt;=DATE(YEAR(BH$2),MONTH(BH$2)+1,DAY(BH$2)),SUMIFS(TF_SOTIEN,TF_DA,$C36,TF_THANG,BH$2,TF_KM,$E36)/1000, BN36)</f>
        <v>0</v>
      </c>
      <c r="BL36" s="1091" t="str">
        <f t="shared" si="375"/>
        <v/>
      </c>
      <c r="BM36" s="1089" t="str">
        <f t="shared" si="376"/>
        <v/>
      </c>
      <c r="BN36" s="1090">
        <f>IF(NOW()&gt;=DATE(YEAR(BH$2),MONTH(BH$2)+1,DAY(BH$2)),SUMIFS(AC_SOTIEN,AC_DA,$C36,AC_THANG,BH$2,AC_KM,$E36),SUMIFS(TF_SOTIEN,TF_DA,$C36,TF_THANG,BH$2,TF_KM,$E36))/ 1000</f>
        <v>0</v>
      </c>
      <c r="BO36" s="1091" t="str">
        <f t="shared" si="377"/>
        <v/>
      </c>
      <c r="BP36" s="1089" t="str">
        <f t="shared" si="378"/>
        <v/>
      </c>
      <c r="BQ36" s="1090">
        <f t="shared" si="379"/>
        <v>0</v>
      </c>
      <c r="BR36" s="1091" t="str">
        <f t="shared" si="39"/>
        <v/>
      </c>
      <c r="BS36" s="1090">
        <f t="shared" si="380"/>
        <v>0</v>
      </c>
      <c r="BT36" s="1091" t="str">
        <f t="shared" si="41"/>
        <v/>
      </c>
      <c r="BU36" s="1088">
        <f>SUMIFS(BP_SOTIEN,BP_DA,$C36,BP_THANG,BU$2,BP_KM,$E36)/1000</f>
        <v>0</v>
      </c>
      <c r="BV36" s="1091">
        <f t="shared" si="381"/>
        <v>0</v>
      </c>
      <c r="BW36" s="1089" t="str">
        <f t="shared" si="382"/>
        <v/>
      </c>
      <c r="BX36" s="1090">
        <f>IF(NOW()&gt;=DATE(YEAR(BU$2),MONTH(BU$2)+1,DAY(BU$2)),SUMIFS(TF_SOTIEN,TF_DA,$C36,TF_THANG,BU$2,TF_KM,$E36)/1000, CA36)</f>
        <v>0</v>
      </c>
      <c r="BY36" s="1091" t="str">
        <f t="shared" si="383"/>
        <v/>
      </c>
      <c r="BZ36" s="1089" t="str">
        <f t="shared" si="384"/>
        <v/>
      </c>
      <c r="CA36" s="1090">
        <f>IF(NOW()&gt;=DATE(YEAR(BU$2),MONTH(BU$2)+1,DAY(BU$2)),SUMIFS(AC_SOTIEN,AC_DA,$C36,AC_THANG,BU$2,AC_KM,$E36),SUMIFS(TF_SOTIEN,TF_DA,$C36,TF_THANG,BU$2,TF_KM,$E36))/ 1000</f>
        <v>0</v>
      </c>
      <c r="CB36" s="1091" t="str">
        <f t="shared" si="385"/>
        <v/>
      </c>
      <c r="CC36" s="1089" t="str">
        <f t="shared" si="386"/>
        <v/>
      </c>
      <c r="CD36" s="1090">
        <f t="shared" si="387"/>
        <v>0</v>
      </c>
      <c r="CE36" s="1091" t="str">
        <f t="shared" si="46"/>
        <v/>
      </c>
      <c r="CF36" s="1090">
        <f t="shared" si="388"/>
        <v>0</v>
      </c>
      <c r="CG36" s="1091" t="str">
        <f t="shared" si="48"/>
        <v/>
      </c>
      <c r="CH36" s="1088">
        <f>SUMIFS(BP_SOTIEN,BP_DA,$C36,BP_THANG,CH$2,BP_KM,$E36)/1000</f>
        <v>0</v>
      </c>
      <c r="CI36" s="1091">
        <f t="shared" si="389"/>
        <v>0</v>
      </c>
      <c r="CJ36" s="1089" t="str">
        <f t="shared" si="390"/>
        <v/>
      </c>
      <c r="CK36" s="1090">
        <f>IF(NOW()&gt;=DATE(YEAR(CH$2),MONTH(CH$2)+1,DAY(CH$2)),SUMIFS(TF_SOTIEN,TF_DA,$C36,TF_THANG,CH$2,TF_KM,$E36)/1000, CN36)</f>
        <v>0</v>
      </c>
      <c r="CL36" s="1091" t="str">
        <f t="shared" si="391"/>
        <v/>
      </c>
      <c r="CM36" s="1089" t="str">
        <f t="shared" si="392"/>
        <v/>
      </c>
      <c r="CN36" s="1090">
        <f>IF(NOW()&gt;=DATE(YEAR(CH$2),MONTH(CH$2)+1,DAY(CH$2)),SUMIFS(AC_SOTIEN,AC_DA,$C36,AC_THANG,CH$2,AC_KM,$E36),SUMIFS(TF_SOTIEN,TF_DA,$C36,TF_THANG,CH$2,TF_KM,$E36))/ 1000</f>
        <v>0</v>
      </c>
      <c r="CO36" s="1091" t="str">
        <f t="shared" si="393"/>
        <v/>
      </c>
      <c r="CP36" s="1089" t="str">
        <f t="shared" si="394"/>
        <v/>
      </c>
      <c r="CQ36" s="1090">
        <f t="shared" si="395"/>
        <v>0</v>
      </c>
      <c r="CR36" s="1091" t="str">
        <f t="shared" si="53"/>
        <v/>
      </c>
      <c r="CS36" s="1090">
        <f t="shared" si="396"/>
        <v>0</v>
      </c>
      <c r="CT36" s="1091" t="str">
        <f t="shared" si="55"/>
        <v/>
      </c>
      <c r="CU36" s="1088">
        <f t="shared" si="397"/>
        <v>0</v>
      </c>
      <c r="CV36" s="1091">
        <f t="shared" si="398"/>
        <v>0</v>
      </c>
      <c r="CW36" s="1089" t="str">
        <f t="shared" si="399"/>
        <v/>
      </c>
      <c r="CX36" s="1090">
        <f t="shared" si="400"/>
        <v>0</v>
      </c>
      <c r="CY36" s="1091" t="str">
        <f t="shared" si="401"/>
        <v/>
      </c>
      <c r="CZ36" s="1089" t="str">
        <f t="shared" si="402"/>
        <v/>
      </c>
      <c r="DA36" s="1090">
        <f t="shared" si="403"/>
        <v>0</v>
      </c>
      <c r="DB36" s="1091" t="str">
        <f t="shared" si="404"/>
        <v/>
      </c>
      <c r="DC36" s="1089" t="str">
        <f t="shared" si="405"/>
        <v/>
      </c>
      <c r="DD36" s="1090">
        <f t="shared" si="406"/>
        <v>0</v>
      </c>
      <c r="DE36" s="1091" t="str">
        <f t="shared" si="63"/>
        <v/>
      </c>
      <c r="DF36" s="1090">
        <f t="shared" si="407"/>
        <v>0</v>
      </c>
      <c r="DG36" s="1091" t="str">
        <f t="shared" si="65"/>
        <v/>
      </c>
      <c r="DH36" s="1088">
        <f t="shared" si="408"/>
        <v>0</v>
      </c>
      <c r="DI36" s="1091">
        <f t="shared" si="409"/>
        <v>0</v>
      </c>
      <c r="DJ36" s="1089" t="str">
        <f t="shared" si="410"/>
        <v/>
      </c>
      <c r="DK36" s="1090">
        <f t="shared" si="411"/>
        <v>0</v>
      </c>
      <c r="DL36" s="1091">
        <f t="shared" si="412"/>
        <v>0</v>
      </c>
      <c r="DM36" s="1089" t="str">
        <f t="shared" si="413"/>
        <v/>
      </c>
      <c r="DN36" s="1090">
        <f t="shared" si="414"/>
        <v>0</v>
      </c>
      <c r="DO36" s="1091">
        <f t="shared" si="415"/>
        <v>0</v>
      </c>
      <c r="DP36" s="1089" t="str">
        <f t="shared" si="416"/>
        <v/>
      </c>
      <c r="DQ36" s="1090">
        <f t="shared" si="417"/>
        <v>0</v>
      </c>
      <c r="DR36" s="1091" t="str">
        <f t="shared" si="73"/>
        <v/>
      </c>
      <c r="DS36" s="1090">
        <f t="shared" si="418"/>
        <v>0</v>
      </c>
      <c r="DT36" s="1091" t="str">
        <f t="shared" si="75"/>
        <v/>
      </c>
      <c r="DU36" s="1088">
        <f>SUMIFS(BP_SOTIEN,BP_DA,$C36,BP_THANG,DU$2,BP_KM,$E36)/1000</f>
        <v>0</v>
      </c>
      <c r="DV36" s="1091">
        <f t="shared" si="419"/>
        <v>0</v>
      </c>
      <c r="DW36" s="1089" t="str">
        <f t="shared" si="420"/>
        <v/>
      </c>
      <c r="DX36" s="1090">
        <f>IF(NOW()&gt;=DATE(YEAR(DU$2),MONTH(DU$2)+1,DAY(DU$2)),SUMIFS(TF_SOTIEN,TF_DA,$C36,TF_THANG,DU$2,TF_KM,$E36)/1000, EA36)</f>
        <v>0</v>
      </c>
      <c r="DY36" s="1091">
        <f t="shared" si="421"/>
        <v>0</v>
      </c>
      <c r="DZ36" s="1089" t="str">
        <f t="shared" si="422"/>
        <v/>
      </c>
      <c r="EA36" s="1090">
        <f>IF(NOW()&gt;=DATE(YEAR(DU$2),MONTH(DU$2)+1,DAY(DU$2)),SUMIFS(AC_SOTIEN,AC_DA,$C36,AC_THANG,DU$2,AC_KM,$E36),SUMIFS(TF_SOTIEN,TF_DA,$C36,TF_THANG,DU$2,TF_KM,$E36))/ 1000</f>
        <v>0</v>
      </c>
      <c r="EB36" s="1091" t="str">
        <f t="shared" si="423"/>
        <v/>
      </c>
      <c r="EC36" s="1089" t="str">
        <f t="shared" si="424"/>
        <v/>
      </c>
      <c r="ED36" s="1090">
        <f t="shared" si="425"/>
        <v>0</v>
      </c>
      <c r="EE36" s="1091" t="str">
        <f t="shared" si="80"/>
        <v/>
      </c>
      <c r="EF36" s="1090">
        <f t="shared" si="426"/>
        <v>0</v>
      </c>
      <c r="EG36" s="1091" t="str">
        <f t="shared" si="82"/>
        <v/>
      </c>
      <c r="EH36" s="1088">
        <f>SUMIFS(BP_SOTIEN,BP_DA,$C36,BP_THANG,EH$2,BP_KM,$E36)/1000</f>
        <v>0</v>
      </c>
      <c r="EI36" s="1091">
        <f t="shared" si="427"/>
        <v>0</v>
      </c>
      <c r="EJ36" s="1089" t="str">
        <f t="shared" si="428"/>
        <v/>
      </c>
      <c r="EK36" s="1090">
        <f>IF(NOW()&gt;=DATE(YEAR(EH$2),MONTH(EH$2)+1,DAY(EH$2)),SUMIFS(TF_SOTIEN,TF_DA,$C36,TF_THANG,EH$2,TF_KM,$E36)/1000, EN36)</f>
        <v>0</v>
      </c>
      <c r="EL36" s="1091">
        <f t="shared" si="429"/>
        <v>0</v>
      </c>
      <c r="EM36" s="1089" t="str">
        <f t="shared" si="430"/>
        <v/>
      </c>
      <c r="EN36" s="1090">
        <f>IF(NOW()&gt;=DATE(YEAR(EH$2),MONTH(EH$2)+1,DAY(EH$2)),SUMIFS(AC_SOTIEN,AC_DA,$C36,AC_THANG,EH$2,AC_KM,$E36),SUMIFS(TF_SOTIEN,TF_DA,$C36,TF_THANG,EH$2,TF_KM,$E36))/ 1000</f>
        <v>0</v>
      </c>
      <c r="EO36" s="1091" t="str">
        <f t="shared" si="431"/>
        <v/>
      </c>
      <c r="EP36" s="1089" t="str">
        <f t="shared" si="432"/>
        <v/>
      </c>
      <c r="EQ36" s="1090">
        <f t="shared" si="433"/>
        <v>0</v>
      </c>
      <c r="ER36" s="1091" t="str">
        <f t="shared" si="87"/>
        <v/>
      </c>
      <c r="ES36" s="1090">
        <f t="shared" si="434"/>
        <v>0</v>
      </c>
      <c r="ET36" s="1091" t="str">
        <f t="shared" si="89"/>
        <v/>
      </c>
      <c r="EU36" s="1088">
        <f>SUMIFS(BP_SOTIEN,BP_DA,$C36,BP_THANG,EU$2,BP_KM,$E36)/1000</f>
        <v>0</v>
      </c>
      <c r="EV36" s="1091">
        <f t="shared" si="435"/>
        <v>0</v>
      </c>
      <c r="EW36" s="1089" t="str">
        <f t="shared" si="436"/>
        <v/>
      </c>
      <c r="EX36" s="1090">
        <f>IF(NOW()&gt;=DATE(YEAR(EU$2),MONTH(EU$2)+1,DAY(EU$2)),SUMIFS(TF_SOTIEN,TF_DA,$C36,TF_THANG,EU$2,TF_KM,$E36)/1000, FA36)</f>
        <v>0</v>
      </c>
      <c r="EY36" s="1091">
        <f t="shared" si="437"/>
        <v>0</v>
      </c>
      <c r="EZ36" s="1089" t="str">
        <f t="shared" si="438"/>
        <v/>
      </c>
      <c r="FA36" s="1090">
        <f>IF(NOW()&gt;=DATE(YEAR(EU$2),MONTH(EU$2)+1,DAY(EU$2)),SUMIFS(AC_SOTIEN,AC_DA,$C36,AC_THANG,EU$2,AC_KM,$E36),SUMIFS(TF_SOTIEN,TF_DA,$C36,TF_THANG,EU$2,TF_KM,$E36))/ 1000</f>
        <v>0</v>
      </c>
      <c r="FB36" s="1091" t="str">
        <f t="shared" si="439"/>
        <v/>
      </c>
      <c r="FC36" s="1089" t="str">
        <f t="shared" si="440"/>
        <v/>
      </c>
      <c r="FD36" s="1090">
        <f t="shared" si="441"/>
        <v>0</v>
      </c>
      <c r="FE36" s="1091" t="str">
        <f t="shared" si="94"/>
        <v/>
      </c>
      <c r="FF36" s="1090">
        <f t="shared" si="442"/>
        <v>0</v>
      </c>
      <c r="FG36" s="1091" t="str">
        <f t="shared" si="96"/>
        <v/>
      </c>
      <c r="FH36" s="1088">
        <f t="shared" si="443"/>
        <v>0</v>
      </c>
      <c r="FI36" s="1091">
        <f t="shared" si="444"/>
        <v>0</v>
      </c>
      <c r="FJ36" s="1089" t="str">
        <f t="shared" si="445"/>
        <v/>
      </c>
      <c r="FK36" s="1090">
        <f t="shared" si="446"/>
        <v>0</v>
      </c>
      <c r="FL36" s="1091">
        <f t="shared" si="447"/>
        <v>0</v>
      </c>
      <c r="FM36" s="1089" t="str">
        <f t="shared" si="448"/>
        <v/>
      </c>
      <c r="FN36" s="1090">
        <f t="shared" si="449"/>
        <v>0</v>
      </c>
      <c r="FO36" s="1091" t="str">
        <f t="shared" si="450"/>
        <v/>
      </c>
      <c r="FP36" s="1089" t="str">
        <f t="shared" si="451"/>
        <v/>
      </c>
      <c r="FQ36" s="1090">
        <f t="shared" si="452"/>
        <v>0</v>
      </c>
      <c r="FR36" s="1091" t="str">
        <f t="shared" si="104"/>
        <v/>
      </c>
      <c r="FS36" s="1090">
        <f t="shared" si="453"/>
        <v>0</v>
      </c>
      <c r="FT36" s="1091" t="str">
        <f t="shared" si="106"/>
        <v/>
      </c>
      <c r="FU36" s="1088">
        <f>SUMIFS(BP_SOTIEN,BP_DA,$C36,BP_THANG,FU$2,BP_KM,$E36)/1000</f>
        <v>0</v>
      </c>
      <c r="FV36" s="1091">
        <f t="shared" si="454"/>
        <v>0</v>
      </c>
      <c r="FW36" s="1089" t="str">
        <f t="shared" si="455"/>
        <v/>
      </c>
      <c r="FX36" s="1090">
        <f>IF(NOW()&gt;=DATE(YEAR(FU$2),MONTH(FU$2)+1,DAY(FU$2)),SUMIFS(TF_SOTIEN,TF_DA,$C36,TF_THANG,FU$2,TF_KM,$E36)/1000, GA36)</f>
        <v>0</v>
      </c>
      <c r="FY36" s="1091">
        <f t="shared" si="456"/>
        <v>0</v>
      </c>
      <c r="FZ36" s="1089" t="str">
        <f t="shared" si="457"/>
        <v/>
      </c>
      <c r="GA36" s="1090">
        <f>IF(NOW()&gt;=DATE(YEAR(FU$2),MONTH(FU$2)+1,DAY(FU$2)),SUMIFS(AC_SOTIEN,AC_DA,$C36,AC_THANG,FU$2,AC_KM,$E36),SUMIFS(TF_SOTIEN,TF_DA,$C36,TF_THANG,FU$2,TF_KM,$E36))/ 1000</f>
        <v>0</v>
      </c>
      <c r="GB36" s="1091" t="str">
        <f t="shared" si="458"/>
        <v/>
      </c>
      <c r="GC36" s="1089" t="str">
        <f t="shared" si="459"/>
        <v/>
      </c>
      <c r="GD36" s="1090">
        <f t="shared" si="460"/>
        <v>0</v>
      </c>
      <c r="GE36" s="1091" t="str">
        <f t="shared" si="111"/>
        <v/>
      </c>
      <c r="GF36" s="1090">
        <f t="shared" si="461"/>
        <v>0</v>
      </c>
      <c r="GG36" s="1091" t="str">
        <f t="shared" si="113"/>
        <v/>
      </c>
      <c r="GH36" s="1088">
        <f>SUMIFS(BP_SOTIEN,BP_DA,$C36,BP_THANG,GH$2,BP_KM,$E36)/1000</f>
        <v>0</v>
      </c>
      <c r="GI36" s="1091">
        <f t="shared" si="462"/>
        <v>0</v>
      </c>
      <c r="GJ36" s="1089" t="str">
        <f t="shared" si="463"/>
        <v/>
      </c>
      <c r="GK36" s="1090">
        <f>IF(NOW()&gt;=DATE(YEAR(GH$2),MONTH(GH$2)+1,DAY(GH$2)),SUMIFS(TF_SOTIEN,TF_DA,$C36,TF_THANG,GH$2,TF_KM,$E36)/1000, GN36)</f>
        <v>0</v>
      </c>
      <c r="GL36" s="1091">
        <f t="shared" si="464"/>
        <v>0</v>
      </c>
      <c r="GM36" s="1089" t="str">
        <f t="shared" si="465"/>
        <v/>
      </c>
      <c r="GN36" s="1090">
        <f>IF(NOW()&gt;=DATE(YEAR(GH$2),MONTH(GH$2)+1,DAY(GH$2)),SUMIFS(AC_SOTIEN,AC_DA,$C36,AC_THANG,GH$2,AC_KM,$E36),SUMIFS(TF_SOTIEN,TF_DA,$C36,TF_THANG,GH$2,TF_KM,$E36))/ 1000</f>
        <v>0</v>
      </c>
      <c r="GO36" s="1091" t="str">
        <f t="shared" si="466"/>
        <v/>
      </c>
      <c r="GP36" s="1089" t="str">
        <f t="shared" si="467"/>
        <v/>
      </c>
      <c r="GQ36" s="1090">
        <f t="shared" si="468"/>
        <v>0</v>
      </c>
      <c r="GR36" s="1091" t="str">
        <f t="shared" si="118"/>
        <v/>
      </c>
      <c r="GS36" s="1090">
        <f t="shared" si="469"/>
        <v>0</v>
      </c>
      <c r="GT36" s="1091" t="str">
        <f t="shared" si="120"/>
        <v/>
      </c>
      <c r="GU36" s="1088">
        <f>SUMIFS(BP_SOTIEN,BP_DA,$C36,BP_THANG,GU$2,BP_KM,$E36)/1000</f>
        <v>0</v>
      </c>
      <c r="GV36" s="1091">
        <f t="shared" si="470"/>
        <v>0</v>
      </c>
      <c r="GW36" s="1089" t="str">
        <f t="shared" si="471"/>
        <v/>
      </c>
      <c r="GX36" s="1090">
        <f>IF(NOW()&gt;=DATE(YEAR(GU$2),MONTH(GU$2)+1,DAY(GU$2)),SUMIFS(TF_SOTIEN,TF_DA,$C36,TF_THANG,GU$2,TF_KM,$E36)/1000, HA36)</f>
        <v>0</v>
      </c>
      <c r="GY36" s="1091">
        <f t="shared" si="472"/>
        <v>0</v>
      </c>
      <c r="GZ36" s="1089" t="str">
        <f t="shared" si="473"/>
        <v/>
      </c>
      <c r="HA36" s="1090">
        <f>IF(NOW()&gt;=DATE(YEAR(GU$2),MONTH(GU$2)+1,DAY(GU$2)),SUMIFS(AC_SOTIEN,AC_DA,$C36,AC_THANG,GU$2,AC_KM,$E36),SUMIFS(TF_SOTIEN,TF_DA,$C36,TF_THANG,GU$2,TF_KM,$E36))/ 1000</f>
        <v>0</v>
      </c>
      <c r="HB36" s="1091" t="str">
        <f t="shared" si="474"/>
        <v/>
      </c>
      <c r="HC36" s="1089" t="str">
        <f t="shared" si="475"/>
        <v/>
      </c>
      <c r="HD36" s="1090">
        <f t="shared" si="476"/>
        <v>0</v>
      </c>
      <c r="HE36" s="1091" t="str">
        <f t="shared" si="125"/>
        <v/>
      </c>
      <c r="HF36" s="1090">
        <f t="shared" si="477"/>
        <v>0</v>
      </c>
      <c r="HG36" s="1091" t="str">
        <f t="shared" si="127"/>
        <v/>
      </c>
      <c r="HH36" s="1088">
        <f t="shared" si="478"/>
        <v>0</v>
      </c>
      <c r="HI36" s="1091">
        <f t="shared" si="479"/>
        <v>0</v>
      </c>
      <c r="HJ36" s="1089" t="str">
        <f t="shared" si="480"/>
        <v/>
      </c>
      <c r="HK36" s="1090">
        <f t="shared" si="481"/>
        <v>0</v>
      </c>
      <c r="HL36" s="1091">
        <f t="shared" si="482"/>
        <v>0</v>
      </c>
      <c r="HM36" s="1089" t="str">
        <f t="shared" si="483"/>
        <v/>
      </c>
      <c r="HN36" s="1090">
        <f t="shared" si="484"/>
        <v>0</v>
      </c>
      <c r="HO36" s="1091" t="str">
        <f t="shared" si="485"/>
        <v/>
      </c>
      <c r="HP36" s="1089" t="str">
        <f t="shared" si="486"/>
        <v/>
      </c>
      <c r="HQ36" s="1090">
        <f t="shared" si="487"/>
        <v>0</v>
      </c>
      <c r="HR36" s="1091" t="str">
        <f t="shared" si="135"/>
        <v/>
      </c>
      <c r="HS36" s="1090">
        <f t="shared" si="488"/>
        <v>0</v>
      </c>
      <c r="HT36" s="1091" t="str">
        <f t="shared" si="137"/>
        <v/>
      </c>
      <c r="HU36" s="1088">
        <f t="shared" si="489"/>
        <v>0</v>
      </c>
      <c r="HV36" s="1091">
        <f t="shared" si="490"/>
        <v>0</v>
      </c>
      <c r="HW36" s="1089" t="str">
        <f t="shared" si="491"/>
        <v/>
      </c>
      <c r="HX36" s="1090">
        <f t="shared" si="492"/>
        <v>0</v>
      </c>
      <c r="HY36" s="1091">
        <f t="shared" si="493"/>
        <v>0</v>
      </c>
      <c r="HZ36" s="1089" t="str">
        <f t="shared" si="494"/>
        <v/>
      </c>
      <c r="IA36" s="1090">
        <f t="shared" si="495"/>
        <v>0</v>
      </c>
      <c r="IB36" s="1091" t="str">
        <f t="shared" si="496"/>
        <v/>
      </c>
      <c r="IC36" s="1089" t="str">
        <f t="shared" si="497"/>
        <v/>
      </c>
      <c r="ID36" s="1090">
        <f t="shared" si="498"/>
        <v>0</v>
      </c>
      <c r="IE36" s="1091" t="str">
        <f t="shared" si="145"/>
        <v/>
      </c>
      <c r="IF36" s="1090">
        <f t="shared" si="499"/>
        <v>0</v>
      </c>
      <c r="IG36" s="1091" t="str">
        <f t="shared" si="147"/>
        <v/>
      </c>
      <c r="IH36" s="1088">
        <f t="shared" si="500"/>
        <v>0</v>
      </c>
      <c r="II36" s="1091">
        <f t="shared" si="501"/>
        <v>0</v>
      </c>
      <c r="IJ36" s="1089" t="str">
        <f t="shared" si="502"/>
        <v/>
      </c>
      <c r="IK36" s="1090">
        <f t="shared" si="503"/>
        <v>0</v>
      </c>
      <c r="IL36" s="1091">
        <f t="shared" si="504"/>
        <v>0</v>
      </c>
      <c r="IM36" s="1089" t="str">
        <f t="shared" si="505"/>
        <v/>
      </c>
      <c r="IN36" s="1090">
        <f t="shared" si="506"/>
        <v>0</v>
      </c>
      <c r="IO36" s="1091">
        <f t="shared" si="507"/>
        <v>0</v>
      </c>
      <c r="IP36" s="1089" t="str">
        <f t="shared" si="508"/>
        <v/>
      </c>
      <c r="IQ36" s="1090">
        <f t="shared" si="509"/>
        <v>0</v>
      </c>
      <c r="IR36" s="1091" t="str">
        <f t="shared" si="1"/>
        <v/>
      </c>
      <c r="IS36" s="1090">
        <f t="shared" si="510"/>
        <v>0</v>
      </c>
      <c r="IT36" s="1091" t="str">
        <f t="shared" si="2"/>
        <v/>
      </c>
    </row>
    <row r="37" hidden="1" outlineLevel="1">
      <c r="A37" s="1086">
        <f t="shared" si="337"/>
        <v>2</v>
      </c>
      <c r="B37" s="1087" t="s">
        <v>2066</v>
      </c>
      <c r="C37" s="1087" t="s">
        <v>530</v>
      </c>
      <c r="D37" s="1087" t="str">
        <f>IF(C37&gt;0,VLOOKUP(C37,DM_DUAN ,2,"") ,IF(B37&gt;0,VLOOKUP(B37,DM_CDT,2,""),""))</f>
        <v>Nhà vườn sinh thái</v>
      </c>
      <c r="E37" s="1087" t="s">
        <v>2239</v>
      </c>
      <c r="F37" s="1087"/>
      <c r="G37" s="1086">
        <v>2.0</v>
      </c>
      <c r="H37" s="1088">
        <f>SUMIFS(BP_SOTIEN,BP_DA,$C37,BP_THANG,H$2,BP_KM,$E37)/1000</f>
        <v>0</v>
      </c>
      <c r="I37" s="1091" t="str">
        <f t="shared" si="338"/>
        <v/>
      </c>
      <c r="J37" s="1089" t="str">
        <f t="shared" si="339"/>
        <v/>
      </c>
      <c r="K37" s="1090">
        <f>IF(NOW()&gt;=DATE(YEAR(H$2),MONTH(H$2)+1,DAY(H$2)),SUMIFS(TF_SOTIEN,TF_DA,$C37,TF_THANG,H$2,TF_KM,$E37)/1000, N37)</f>
        <v>0</v>
      </c>
      <c r="L37" s="1091" t="str">
        <f t="shared" si="340"/>
        <v/>
      </c>
      <c r="M37" s="1089" t="str">
        <f t="shared" si="341"/>
        <v/>
      </c>
      <c r="N37" s="1090">
        <f>IF(NOW()&gt;=DATE(YEAR(H$2),MONTH(H$2)+1,DAY(H$2)),SUMIFS(AC_SOTIEN,AC_DA,$C37,AC_THANG,H$2,AC_KM,$E37),SUMIFS(TF_SOTIEN,TF_DA,$C37,TF_THANG,H$2,TF_KM,$E37))/ 1000</f>
        <v>0</v>
      </c>
      <c r="O37" s="1091" t="str">
        <f t="shared" si="342"/>
        <v/>
      </c>
      <c r="P37" s="1089" t="str">
        <f t="shared" si="343"/>
        <v/>
      </c>
      <c r="Q37" s="1090">
        <f t="shared" si="344"/>
        <v>0</v>
      </c>
      <c r="R37" s="1091" t="str">
        <f t="shared" si="8"/>
        <v/>
      </c>
      <c r="S37" s="1090">
        <f t="shared" si="345"/>
        <v>0</v>
      </c>
      <c r="T37" s="1091" t="str">
        <f t="shared" si="10"/>
        <v/>
      </c>
      <c r="U37" s="1088">
        <f>SUMIFS(BP_SOTIEN,BP_DA,$C37,BP_THANG,U$2,BP_KM,$E37)/1000</f>
        <v>0</v>
      </c>
      <c r="V37" s="1091" t="str">
        <f t="shared" si="346"/>
        <v/>
      </c>
      <c r="W37" s="1089" t="str">
        <f t="shared" si="347"/>
        <v/>
      </c>
      <c r="X37" s="1090">
        <f>IF(NOW()&gt;=DATE(YEAR(U$2),MONTH(U$2)+1,DAY(U$2)),SUMIFS(TF_SOTIEN,TF_DA,$C37,TF_THANG,U$2,TF_KM,$E37)/1000, AA37)</f>
        <v>0</v>
      </c>
      <c r="Y37" s="1091" t="str">
        <f t="shared" si="348"/>
        <v/>
      </c>
      <c r="Z37" s="1089" t="str">
        <f t="shared" si="349"/>
        <v/>
      </c>
      <c r="AA37" s="1090">
        <f>IF(NOW()&gt;=DATE(YEAR(U$2),MONTH(U$2)+1,DAY(U$2)),SUMIFS(AC_SOTIEN,AC_DA,$C37,AC_THANG,U$2,AC_KM,$E37),SUMIFS(TF_SOTIEN,TF_DA,$C37,TF_THANG,U$2,TF_KM,$E37))/ 1000</f>
        <v>0</v>
      </c>
      <c r="AB37" s="1091" t="str">
        <f t="shared" si="350"/>
        <v/>
      </c>
      <c r="AC37" s="1089" t="str">
        <f t="shared" si="351"/>
        <v/>
      </c>
      <c r="AD37" s="1090">
        <f t="shared" si="352"/>
        <v>0</v>
      </c>
      <c r="AE37" s="1091" t="str">
        <f t="shared" si="15"/>
        <v/>
      </c>
      <c r="AF37" s="1090">
        <f t="shared" si="353"/>
        <v>0</v>
      </c>
      <c r="AG37" s="1091" t="str">
        <f t="shared" si="17"/>
        <v/>
      </c>
      <c r="AH37" s="1088">
        <f>SUMIFS(BP_SOTIEN,BP_DA,$C37,BP_THANG,AH$2,BP_KM,$E37)/1000</f>
        <v>0</v>
      </c>
      <c r="AI37" s="1091" t="str">
        <f t="shared" si="354"/>
        <v/>
      </c>
      <c r="AJ37" s="1089" t="str">
        <f t="shared" si="355"/>
        <v/>
      </c>
      <c r="AK37" s="1090">
        <f>IF(NOW()&gt;=DATE(YEAR(AH$2),MONTH(AH$2)+1,DAY(AH$2)),SUMIFS(TF_SOTIEN,TF_DA,$C37,TF_THANG,AH$2,TF_KM,$E37)/1000, AN37)</f>
        <v>0</v>
      </c>
      <c r="AL37" s="1091" t="str">
        <f t="shared" si="356"/>
        <v/>
      </c>
      <c r="AM37" s="1089" t="str">
        <f t="shared" si="357"/>
        <v/>
      </c>
      <c r="AN37" s="1090">
        <f>IF(NOW()&gt;=DATE(YEAR(AH$2),MONTH(AH$2)+1,DAY(AH$2)),SUMIFS(AC_SOTIEN,AC_DA,$C37,AC_THANG,AH$2,AC_KM,$E37),SUMIFS(TF_SOTIEN,TF_DA,$C37,TF_THANG,AH$2,TF_KM,$E37))/ 1000</f>
        <v>0</v>
      </c>
      <c r="AO37" s="1091">
        <f t="shared" si="358"/>
        <v>0</v>
      </c>
      <c r="AP37" s="1089" t="str">
        <f t="shared" si="359"/>
        <v/>
      </c>
      <c r="AQ37" s="1090">
        <f t="shared" si="360"/>
        <v>0</v>
      </c>
      <c r="AR37" s="1091" t="str">
        <f t="shared" si="22"/>
        <v/>
      </c>
      <c r="AS37" s="1090">
        <f t="shared" si="361"/>
        <v>0</v>
      </c>
      <c r="AT37" s="1091" t="str">
        <f t="shared" si="24"/>
        <v/>
      </c>
      <c r="AU37" s="1088">
        <f t="shared" si="362"/>
        <v>0</v>
      </c>
      <c r="AV37" s="1091" t="str">
        <f t="shared" si="363"/>
        <v/>
      </c>
      <c r="AW37" s="1089" t="str">
        <f t="shared" si="364"/>
        <v/>
      </c>
      <c r="AX37" s="1090">
        <f t="shared" si="365"/>
        <v>0</v>
      </c>
      <c r="AY37" s="1091" t="str">
        <f t="shared" si="366"/>
        <v/>
      </c>
      <c r="AZ37" s="1089" t="str">
        <f t="shared" si="367"/>
        <v/>
      </c>
      <c r="BA37" s="1090">
        <f t="shared" si="368"/>
        <v>0</v>
      </c>
      <c r="BB37" s="1091">
        <f t="shared" si="369"/>
        <v>0</v>
      </c>
      <c r="BC37" s="1089" t="str">
        <f t="shared" si="370"/>
        <v/>
      </c>
      <c r="BD37" s="1090">
        <f t="shared" si="371"/>
        <v>0</v>
      </c>
      <c r="BE37" s="1091" t="str">
        <f t="shared" si="32"/>
        <v/>
      </c>
      <c r="BF37" s="1090">
        <f t="shared" si="372"/>
        <v>0</v>
      </c>
      <c r="BG37" s="1091" t="str">
        <f t="shared" si="34"/>
        <v/>
      </c>
      <c r="BH37" s="1088">
        <f>SUMIFS(BP_SOTIEN,BP_DA,$C37,BP_THANG,BH$2,BP_KM,$E37)/1000</f>
        <v>0</v>
      </c>
      <c r="BI37" s="1091" t="str">
        <f t="shared" si="373"/>
        <v/>
      </c>
      <c r="BJ37" s="1089" t="str">
        <f t="shared" si="374"/>
        <v/>
      </c>
      <c r="BK37" s="1090">
        <f>IF(NOW()&gt;=DATE(YEAR(BH$2),MONTH(BH$2)+1,DAY(BH$2)),SUMIFS(TF_SOTIEN,TF_DA,$C37,TF_THANG,BH$2,TF_KM,$E37)/1000, BN37)</f>
        <v>0</v>
      </c>
      <c r="BL37" s="1091" t="str">
        <f t="shared" si="375"/>
        <v/>
      </c>
      <c r="BM37" s="1089" t="str">
        <f t="shared" si="376"/>
        <v/>
      </c>
      <c r="BN37" s="1090">
        <f>IF(NOW()&gt;=DATE(YEAR(BH$2),MONTH(BH$2)+1,DAY(BH$2)),SUMIFS(AC_SOTIEN,AC_DA,$C37,AC_THANG,BH$2,AC_KM,$E37),SUMIFS(TF_SOTIEN,TF_DA,$C37,TF_THANG,BH$2,TF_KM,$E37))/ 1000</f>
        <v>0</v>
      </c>
      <c r="BO37" s="1091">
        <f t="shared" si="377"/>
        <v>0</v>
      </c>
      <c r="BP37" s="1089" t="str">
        <f t="shared" si="378"/>
        <v/>
      </c>
      <c r="BQ37" s="1090">
        <f t="shared" si="379"/>
        <v>0</v>
      </c>
      <c r="BR37" s="1091" t="str">
        <f t="shared" si="39"/>
        <v/>
      </c>
      <c r="BS37" s="1090">
        <f t="shared" si="380"/>
        <v>0</v>
      </c>
      <c r="BT37" s="1091" t="str">
        <f t="shared" si="41"/>
        <v/>
      </c>
      <c r="BU37" s="1088">
        <f>SUMIFS(BP_SOTIEN,BP_DA,$C37,BP_THANG,BU$2,BP_KM,$E37)/1000</f>
        <v>0</v>
      </c>
      <c r="BV37" s="1091" t="str">
        <f t="shared" si="381"/>
        <v/>
      </c>
      <c r="BW37" s="1089" t="str">
        <f t="shared" si="382"/>
        <v/>
      </c>
      <c r="BX37" s="1090">
        <f>IF(NOW()&gt;=DATE(YEAR(BU$2),MONTH(BU$2)+1,DAY(BU$2)),SUMIFS(TF_SOTIEN,TF_DA,$C37,TF_THANG,BU$2,TF_KM,$E37)/1000, CA37)</f>
        <v>0</v>
      </c>
      <c r="BY37" s="1091" t="str">
        <f t="shared" si="383"/>
        <v/>
      </c>
      <c r="BZ37" s="1089" t="str">
        <f t="shared" si="384"/>
        <v/>
      </c>
      <c r="CA37" s="1090">
        <f>IF(NOW()&gt;=DATE(YEAR(BU$2),MONTH(BU$2)+1,DAY(BU$2)),SUMIFS(AC_SOTIEN,AC_DA,$C37,AC_THANG,BU$2,AC_KM,$E37),SUMIFS(TF_SOTIEN,TF_DA,$C37,TF_THANG,BU$2,TF_KM,$E37))/ 1000</f>
        <v>0</v>
      </c>
      <c r="CB37" s="1091" t="str">
        <f t="shared" si="385"/>
        <v/>
      </c>
      <c r="CC37" s="1089" t="str">
        <f t="shared" si="386"/>
        <v/>
      </c>
      <c r="CD37" s="1090">
        <f t="shared" si="387"/>
        <v>0</v>
      </c>
      <c r="CE37" s="1091" t="str">
        <f t="shared" si="46"/>
        <v/>
      </c>
      <c r="CF37" s="1090">
        <f t="shared" si="388"/>
        <v>0</v>
      </c>
      <c r="CG37" s="1091" t="str">
        <f t="shared" si="48"/>
        <v/>
      </c>
      <c r="CH37" s="1088">
        <f>SUMIFS(BP_SOTIEN,BP_DA,$C37,BP_THANG,CH$2,BP_KM,$E37)/1000</f>
        <v>0</v>
      </c>
      <c r="CI37" s="1091" t="str">
        <f t="shared" si="389"/>
        <v/>
      </c>
      <c r="CJ37" s="1089" t="str">
        <f t="shared" si="390"/>
        <v/>
      </c>
      <c r="CK37" s="1090">
        <f>IF(NOW()&gt;=DATE(YEAR(CH$2),MONTH(CH$2)+1,DAY(CH$2)),SUMIFS(TF_SOTIEN,TF_DA,$C37,TF_THANG,CH$2,TF_KM,$E37)/1000, CN37)</f>
        <v>0</v>
      </c>
      <c r="CL37" s="1091" t="str">
        <f t="shared" si="391"/>
        <v/>
      </c>
      <c r="CM37" s="1089" t="str">
        <f t="shared" si="392"/>
        <v/>
      </c>
      <c r="CN37" s="1090">
        <f>IF(NOW()&gt;=DATE(YEAR(CH$2),MONTH(CH$2)+1,DAY(CH$2)),SUMIFS(AC_SOTIEN,AC_DA,$C37,AC_THANG,CH$2,AC_KM,$E37),SUMIFS(TF_SOTIEN,TF_DA,$C37,TF_THANG,CH$2,TF_KM,$E37))/ 1000</f>
        <v>0</v>
      </c>
      <c r="CO37" s="1091" t="str">
        <f t="shared" si="393"/>
        <v/>
      </c>
      <c r="CP37" s="1089" t="str">
        <f t="shared" si="394"/>
        <v/>
      </c>
      <c r="CQ37" s="1090">
        <f t="shared" si="395"/>
        <v>0</v>
      </c>
      <c r="CR37" s="1091" t="str">
        <f t="shared" si="53"/>
        <v/>
      </c>
      <c r="CS37" s="1090">
        <f t="shared" si="396"/>
        <v>0</v>
      </c>
      <c r="CT37" s="1091" t="str">
        <f t="shared" si="55"/>
        <v/>
      </c>
      <c r="CU37" s="1088">
        <f t="shared" si="397"/>
        <v>0</v>
      </c>
      <c r="CV37" s="1091" t="str">
        <f t="shared" si="398"/>
        <v/>
      </c>
      <c r="CW37" s="1089" t="str">
        <f t="shared" si="399"/>
        <v/>
      </c>
      <c r="CX37" s="1090">
        <f t="shared" si="400"/>
        <v>0</v>
      </c>
      <c r="CY37" s="1091" t="str">
        <f t="shared" si="401"/>
        <v/>
      </c>
      <c r="CZ37" s="1089" t="str">
        <f t="shared" si="402"/>
        <v/>
      </c>
      <c r="DA37" s="1090">
        <f t="shared" si="403"/>
        <v>0</v>
      </c>
      <c r="DB37" s="1091">
        <f t="shared" si="404"/>
        <v>0</v>
      </c>
      <c r="DC37" s="1089" t="str">
        <f t="shared" si="405"/>
        <v/>
      </c>
      <c r="DD37" s="1090">
        <f t="shared" si="406"/>
        <v>0</v>
      </c>
      <c r="DE37" s="1091" t="str">
        <f t="shared" si="63"/>
        <v/>
      </c>
      <c r="DF37" s="1090">
        <f t="shared" si="407"/>
        <v>0</v>
      </c>
      <c r="DG37" s="1091" t="str">
        <f t="shared" si="65"/>
        <v/>
      </c>
      <c r="DH37" s="1088">
        <f t="shared" si="408"/>
        <v>0</v>
      </c>
      <c r="DI37" s="1091" t="str">
        <f t="shared" si="409"/>
        <v/>
      </c>
      <c r="DJ37" s="1089" t="str">
        <f t="shared" si="410"/>
        <v/>
      </c>
      <c r="DK37" s="1090">
        <f t="shared" si="411"/>
        <v>0</v>
      </c>
      <c r="DL37" s="1091" t="str">
        <f t="shared" si="412"/>
        <v/>
      </c>
      <c r="DM37" s="1089" t="str">
        <f t="shared" si="413"/>
        <v/>
      </c>
      <c r="DN37" s="1090">
        <f t="shared" si="414"/>
        <v>0</v>
      </c>
      <c r="DO37" s="1091">
        <f t="shared" si="415"/>
        <v>0</v>
      </c>
      <c r="DP37" s="1089" t="str">
        <f t="shared" si="416"/>
        <v/>
      </c>
      <c r="DQ37" s="1090">
        <f t="shared" si="417"/>
        <v>0</v>
      </c>
      <c r="DR37" s="1091" t="str">
        <f t="shared" si="73"/>
        <v/>
      </c>
      <c r="DS37" s="1090">
        <f t="shared" si="418"/>
        <v>0</v>
      </c>
      <c r="DT37" s="1091" t="str">
        <f t="shared" si="75"/>
        <v/>
      </c>
      <c r="DU37" s="1088">
        <f>SUMIFS(BP_SOTIEN,BP_DA,$C37,BP_THANG,DU$2,BP_KM,$E37)/1000</f>
        <v>0</v>
      </c>
      <c r="DV37" s="1091" t="str">
        <f t="shared" si="419"/>
        <v/>
      </c>
      <c r="DW37" s="1089" t="str">
        <f t="shared" si="420"/>
        <v/>
      </c>
      <c r="DX37" s="1090">
        <f>IF(NOW()&gt;=DATE(YEAR(DU$2),MONTH(DU$2)+1,DAY(DU$2)),SUMIFS(TF_SOTIEN,TF_DA,$C37,TF_THANG,DU$2,TF_KM,$E37)/1000, EA37)</f>
        <v>0</v>
      </c>
      <c r="DY37" s="1091" t="str">
        <f t="shared" si="421"/>
        <v/>
      </c>
      <c r="DZ37" s="1089" t="str">
        <f t="shared" si="422"/>
        <v/>
      </c>
      <c r="EA37" s="1090">
        <f>IF(NOW()&gt;=DATE(YEAR(DU$2),MONTH(DU$2)+1,DAY(DU$2)),SUMIFS(AC_SOTIEN,AC_DA,$C37,AC_THANG,DU$2,AC_KM,$E37),SUMIFS(TF_SOTIEN,TF_DA,$C37,TF_THANG,DU$2,TF_KM,$E37))/ 1000</f>
        <v>0</v>
      </c>
      <c r="EB37" s="1091" t="str">
        <f t="shared" si="423"/>
        <v/>
      </c>
      <c r="EC37" s="1089" t="str">
        <f t="shared" si="424"/>
        <v/>
      </c>
      <c r="ED37" s="1090">
        <f t="shared" si="425"/>
        <v>0</v>
      </c>
      <c r="EE37" s="1091" t="str">
        <f t="shared" si="80"/>
        <v/>
      </c>
      <c r="EF37" s="1090">
        <f t="shared" si="426"/>
        <v>0</v>
      </c>
      <c r="EG37" s="1091" t="str">
        <f t="shared" si="82"/>
        <v/>
      </c>
      <c r="EH37" s="1088">
        <f>SUMIFS(BP_SOTIEN,BP_DA,$C37,BP_THANG,EH$2,BP_KM,$E37)/1000</f>
        <v>0</v>
      </c>
      <c r="EI37" s="1091" t="str">
        <f t="shared" si="427"/>
        <v/>
      </c>
      <c r="EJ37" s="1089" t="str">
        <f t="shared" si="428"/>
        <v/>
      </c>
      <c r="EK37" s="1090">
        <f>IF(NOW()&gt;=DATE(YEAR(EH$2),MONTH(EH$2)+1,DAY(EH$2)),SUMIFS(TF_SOTIEN,TF_DA,$C37,TF_THANG,EH$2,TF_KM,$E37)/1000, EN37)</f>
        <v>0</v>
      </c>
      <c r="EL37" s="1091" t="str">
        <f t="shared" si="429"/>
        <v/>
      </c>
      <c r="EM37" s="1089" t="str">
        <f t="shared" si="430"/>
        <v/>
      </c>
      <c r="EN37" s="1090">
        <f>IF(NOW()&gt;=DATE(YEAR(EH$2),MONTH(EH$2)+1,DAY(EH$2)),SUMIFS(AC_SOTIEN,AC_DA,$C37,AC_THANG,EH$2,AC_KM,$E37),SUMIFS(TF_SOTIEN,TF_DA,$C37,TF_THANG,EH$2,TF_KM,$E37))/ 1000</f>
        <v>0</v>
      </c>
      <c r="EO37" s="1091" t="str">
        <f t="shared" si="431"/>
        <v/>
      </c>
      <c r="EP37" s="1089" t="str">
        <f t="shared" si="432"/>
        <v/>
      </c>
      <c r="EQ37" s="1090">
        <f t="shared" si="433"/>
        <v>0</v>
      </c>
      <c r="ER37" s="1091" t="str">
        <f t="shared" si="87"/>
        <v/>
      </c>
      <c r="ES37" s="1090">
        <f t="shared" si="434"/>
        <v>0</v>
      </c>
      <c r="ET37" s="1091" t="str">
        <f t="shared" si="89"/>
        <v/>
      </c>
      <c r="EU37" s="1088">
        <f>SUMIFS(BP_SOTIEN,BP_DA,$C37,BP_THANG,EU$2,BP_KM,$E37)/1000</f>
        <v>0</v>
      </c>
      <c r="EV37" s="1091" t="str">
        <f t="shared" si="435"/>
        <v/>
      </c>
      <c r="EW37" s="1089" t="str">
        <f t="shared" si="436"/>
        <v/>
      </c>
      <c r="EX37" s="1090">
        <f>IF(NOW()&gt;=DATE(YEAR(EU$2),MONTH(EU$2)+1,DAY(EU$2)),SUMIFS(TF_SOTIEN,TF_DA,$C37,TF_THANG,EU$2,TF_KM,$E37)/1000, FA37)</f>
        <v>0</v>
      </c>
      <c r="EY37" s="1091" t="str">
        <f t="shared" si="437"/>
        <v/>
      </c>
      <c r="EZ37" s="1089" t="str">
        <f t="shared" si="438"/>
        <v/>
      </c>
      <c r="FA37" s="1090">
        <f>IF(NOW()&gt;=DATE(YEAR(EU$2),MONTH(EU$2)+1,DAY(EU$2)),SUMIFS(AC_SOTIEN,AC_DA,$C37,AC_THANG,EU$2,AC_KM,$E37),SUMIFS(TF_SOTIEN,TF_DA,$C37,TF_THANG,EU$2,TF_KM,$E37))/ 1000</f>
        <v>0</v>
      </c>
      <c r="FB37" s="1091" t="str">
        <f t="shared" si="439"/>
        <v/>
      </c>
      <c r="FC37" s="1089" t="str">
        <f t="shared" si="440"/>
        <v/>
      </c>
      <c r="FD37" s="1090">
        <f t="shared" si="441"/>
        <v>0</v>
      </c>
      <c r="FE37" s="1091" t="str">
        <f t="shared" si="94"/>
        <v/>
      </c>
      <c r="FF37" s="1090">
        <f t="shared" si="442"/>
        <v>0</v>
      </c>
      <c r="FG37" s="1091" t="str">
        <f t="shared" si="96"/>
        <v/>
      </c>
      <c r="FH37" s="1088">
        <f t="shared" si="443"/>
        <v>0</v>
      </c>
      <c r="FI37" s="1091" t="str">
        <f t="shared" si="444"/>
        <v/>
      </c>
      <c r="FJ37" s="1089" t="str">
        <f t="shared" si="445"/>
        <v/>
      </c>
      <c r="FK37" s="1090">
        <f t="shared" si="446"/>
        <v>0</v>
      </c>
      <c r="FL37" s="1091" t="str">
        <f t="shared" si="447"/>
        <v/>
      </c>
      <c r="FM37" s="1089" t="str">
        <f t="shared" si="448"/>
        <v/>
      </c>
      <c r="FN37" s="1090">
        <f t="shared" si="449"/>
        <v>0</v>
      </c>
      <c r="FO37" s="1091" t="str">
        <f t="shared" si="450"/>
        <v/>
      </c>
      <c r="FP37" s="1089" t="str">
        <f t="shared" si="451"/>
        <v/>
      </c>
      <c r="FQ37" s="1090">
        <f t="shared" si="452"/>
        <v>0</v>
      </c>
      <c r="FR37" s="1091" t="str">
        <f t="shared" si="104"/>
        <v/>
      </c>
      <c r="FS37" s="1090">
        <f t="shared" si="453"/>
        <v>0</v>
      </c>
      <c r="FT37" s="1091" t="str">
        <f t="shared" si="106"/>
        <v/>
      </c>
      <c r="FU37" s="1088">
        <f>SUMIFS(BP_SOTIEN,BP_DA,$C37,BP_THANG,FU$2,BP_KM,$E37)/1000</f>
        <v>0</v>
      </c>
      <c r="FV37" s="1091" t="str">
        <f t="shared" si="454"/>
        <v/>
      </c>
      <c r="FW37" s="1089" t="str">
        <f t="shared" si="455"/>
        <v/>
      </c>
      <c r="FX37" s="1090">
        <f>IF(NOW()&gt;=DATE(YEAR(FU$2),MONTH(FU$2)+1,DAY(FU$2)),SUMIFS(TF_SOTIEN,TF_DA,$C37,TF_THANG,FU$2,TF_KM,$E37)/1000, GA37)</f>
        <v>0</v>
      </c>
      <c r="FY37" s="1091" t="str">
        <f t="shared" si="456"/>
        <v/>
      </c>
      <c r="FZ37" s="1089" t="str">
        <f t="shared" si="457"/>
        <v/>
      </c>
      <c r="GA37" s="1090">
        <f>IF(NOW()&gt;=DATE(YEAR(FU$2),MONTH(FU$2)+1,DAY(FU$2)),SUMIFS(AC_SOTIEN,AC_DA,$C37,AC_THANG,FU$2,AC_KM,$E37),SUMIFS(TF_SOTIEN,TF_DA,$C37,TF_THANG,FU$2,TF_KM,$E37))/ 1000</f>
        <v>0</v>
      </c>
      <c r="GB37" s="1091" t="str">
        <f t="shared" si="458"/>
        <v/>
      </c>
      <c r="GC37" s="1089" t="str">
        <f t="shared" si="459"/>
        <v/>
      </c>
      <c r="GD37" s="1090">
        <f t="shared" si="460"/>
        <v>0</v>
      </c>
      <c r="GE37" s="1091" t="str">
        <f t="shared" si="111"/>
        <v/>
      </c>
      <c r="GF37" s="1090">
        <f t="shared" si="461"/>
        <v>0</v>
      </c>
      <c r="GG37" s="1091" t="str">
        <f t="shared" si="113"/>
        <v/>
      </c>
      <c r="GH37" s="1088">
        <f>SUMIFS(BP_SOTIEN,BP_DA,$C37,BP_THANG,GH$2,BP_KM,$E37)/1000</f>
        <v>0</v>
      </c>
      <c r="GI37" s="1091" t="str">
        <f t="shared" si="462"/>
        <v/>
      </c>
      <c r="GJ37" s="1089" t="str">
        <f t="shared" si="463"/>
        <v/>
      </c>
      <c r="GK37" s="1090">
        <f>IF(NOW()&gt;=DATE(YEAR(GH$2),MONTH(GH$2)+1,DAY(GH$2)),SUMIFS(TF_SOTIEN,TF_DA,$C37,TF_THANG,GH$2,TF_KM,$E37)/1000, GN37)</f>
        <v>0</v>
      </c>
      <c r="GL37" s="1091" t="str">
        <f t="shared" si="464"/>
        <v/>
      </c>
      <c r="GM37" s="1089" t="str">
        <f t="shared" si="465"/>
        <v/>
      </c>
      <c r="GN37" s="1090">
        <f>IF(NOW()&gt;=DATE(YEAR(GH$2),MONTH(GH$2)+1,DAY(GH$2)),SUMIFS(AC_SOTIEN,AC_DA,$C37,AC_THANG,GH$2,AC_KM,$E37),SUMIFS(TF_SOTIEN,TF_DA,$C37,TF_THANG,GH$2,TF_KM,$E37))/ 1000</f>
        <v>0</v>
      </c>
      <c r="GO37" s="1091" t="str">
        <f t="shared" si="466"/>
        <v/>
      </c>
      <c r="GP37" s="1089" t="str">
        <f t="shared" si="467"/>
        <v/>
      </c>
      <c r="GQ37" s="1090">
        <f t="shared" si="468"/>
        <v>0</v>
      </c>
      <c r="GR37" s="1091" t="str">
        <f t="shared" si="118"/>
        <v/>
      </c>
      <c r="GS37" s="1090">
        <f t="shared" si="469"/>
        <v>0</v>
      </c>
      <c r="GT37" s="1091" t="str">
        <f t="shared" si="120"/>
        <v/>
      </c>
      <c r="GU37" s="1088">
        <f>SUMIFS(BP_SOTIEN,BP_DA,$C37,BP_THANG,GU$2,BP_KM,$E37)/1000</f>
        <v>0</v>
      </c>
      <c r="GV37" s="1091" t="str">
        <f t="shared" si="470"/>
        <v/>
      </c>
      <c r="GW37" s="1089" t="str">
        <f t="shared" si="471"/>
        <v/>
      </c>
      <c r="GX37" s="1090">
        <f>IF(NOW()&gt;=DATE(YEAR(GU$2),MONTH(GU$2)+1,DAY(GU$2)),SUMIFS(TF_SOTIEN,TF_DA,$C37,TF_THANG,GU$2,TF_KM,$E37)/1000, HA37)</f>
        <v>0</v>
      </c>
      <c r="GY37" s="1091" t="str">
        <f t="shared" si="472"/>
        <v/>
      </c>
      <c r="GZ37" s="1089" t="str">
        <f t="shared" si="473"/>
        <v/>
      </c>
      <c r="HA37" s="1090">
        <f>IF(NOW()&gt;=DATE(YEAR(GU$2),MONTH(GU$2)+1,DAY(GU$2)),SUMIFS(AC_SOTIEN,AC_DA,$C37,AC_THANG,GU$2,AC_KM,$E37),SUMIFS(TF_SOTIEN,TF_DA,$C37,TF_THANG,GU$2,TF_KM,$E37))/ 1000</f>
        <v>0</v>
      </c>
      <c r="HB37" s="1091" t="str">
        <f t="shared" si="474"/>
        <v/>
      </c>
      <c r="HC37" s="1089" t="str">
        <f t="shared" si="475"/>
        <v/>
      </c>
      <c r="HD37" s="1090">
        <f t="shared" si="476"/>
        <v>0</v>
      </c>
      <c r="HE37" s="1091" t="str">
        <f t="shared" si="125"/>
        <v/>
      </c>
      <c r="HF37" s="1090">
        <f t="shared" si="477"/>
        <v>0</v>
      </c>
      <c r="HG37" s="1091" t="str">
        <f t="shared" si="127"/>
        <v/>
      </c>
      <c r="HH37" s="1088">
        <f t="shared" si="478"/>
        <v>0</v>
      </c>
      <c r="HI37" s="1091" t="str">
        <f t="shared" si="479"/>
        <v/>
      </c>
      <c r="HJ37" s="1089" t="str">
        <f t="shared" si="480"/>
        <v/>
      </c>
      <c r="HK37" s="1090">
        <f t="shared" si="481"/>
        <v>0</v>
      </c>
      <c r="HL37" s="1091" t="str">
        <f t="shared" si="482"/>
        <v/>
      </c>
      <c r="HM37" s="1089" t="str">
        <f t="shared" si="483"/>
        <v/>
      </c>
      <c r="HN37" s="1090">
        <f t="shared" si="484"/>
        <v>0</v>
      </c>
      <c r="HO37" s="1091" t="str">
        <f t="shared" si="485"/>
        <v/>
      </c>
      <c r="HP37" s="1089" t="str">
        <f t="shared" si="486"/>
        <v/>
      </c>
      <c r="HQ37" s="1090">
        <f t="shared" si="487"/>
        <v>0</v>
      </c>
      <c r="HR37" s="1091" t="str">
        <f t="shared" si="135"/>
        <v/>
      </c>
      <c r="HS37" s="1090">
        <f t="shared" si="488"/>
        <v>0</v>
      </c>
      <c r="HT37" s="1091" t="str">
        <f t="shared" si="137"/>
        <v/>
      </c>
      <c r="HU37" s="1088">
        <f t="shared" si="489"/>
        <v>0</v>
      </c>
      <c r="HV37" s="1091" t="str">
        <f t="shared" si="490"/>
        <v/>
      </c>
      <c r="HW37" s="1089" t="str">
        <f t="shared" si="491"/>
        <v/>
      </c>
      <c r="HX37" s="1090">
        <f t="shared" si="492"/>
        <v>0</v>
      </c>
      <c r="HY37" s="1091" t="str">
        <f t="shared" si="493"/>
        <v/>
      </c>
      <c r="HZ37" s="1089" t="str">
        <f t="shared" si="494"/>
        <v/>
      </c>
      <c r="IA37" s="1090">
        <f t="shared" si="495"/>
        <v>0</v>
      </c>
      <c r="IB37" s="1091" t="str">
        <f t="shared" si="496"/>
        <v/>
      </c>
      <c r="IC37" s="1089" t="str">
        <f t="shared" si="497"/>
        <v/>
      </c>
      <c r="ID37" s="1090">
        <f t="shared" si="498"/>
        <v>0</v>
      </c>
      <c r="IE37" s="1091" t="str">
        <f t="shared" si="145"/>
        <v/>
      </c>
      <c r="IF37" s="1090">
        <f t="shared" si="499"/>
        <v>0</v>
      </c>
      <c r="IG37" s="1091" t="str">
        <f t="shared" si="147"/>
        <v/>
      </c>
      <c r="IH37" s="1088">
        <f t="shared" si="500"/>
        <v>0</v>
      </c>
      <c r="II37" s="1091" t="str">
        <f t="shared" si="501"/>
        <v/>
      </c>
      <c r="IJ37" s="1089" t="str">
        <f t="shared" si="502"/>
        <v/>
      </c>
      <c r="IK37" s="1090">
        <f t="shared" si="503"/>
        <v>0</v>
      </c>
      <c r="IL37" s="1091" t="str">
        <f t="shared" si="504"/>
        <v/>
      </c>
      <c r="IM37" s="1089" t="str">
        <f t="shared" si="505"/>
        <v/>
      </c>
      <c r="IN37" s="1090">
        <f t="shared" si="506"/>
        <v>0</v>
      </c>
      <c r="IO37" s="1091">
        <f t="shared" si="507"/>
        <v>0</v>
      </c>
      <c r="IP37" s="1089" t="str">
        <f t="shared" si="508"/>
        <v/>
      </c>
      <c r="IQ37" s="1090">
        <f t="shared" si="509"/>
        <v>0</v>
      </c>
      <c r="IR37" s="1091" t="str">
        <f t="shared" si="1"/>
        <v/>
      </c>
      <c r="IS37" s="1090">
        <f t="shared" si="510"/>
        <v>0</v>
      </c>
      <c r="IT37" s="1091" t="str">
        <f t="shared" si="2"/>
        <v/>
      </c>
    </row>
    <row r="38" hidden="1" outlineLevel="1">
      <c r="A38" s="1086">
        <f t="shared" si="337"/>
        <v>3</v>
      </c>
      <c r="B38" s="1087" t="s">
        <v>2066</v>
      </c>
      <c r="C38" s="656" t="s">
        <v>597</v>
      </c>
      <c r="D38" s="1087" t="str">
        <f>IF(C38&gt;0,VLOOKUP(C38,DM_DUAN ,2,"") ,IF(B38&gt;0,VLOOKUP(B38,DM_CDT,2,""),""))</f>
        <v>KDC Long Hải</v>
      </c>
      <c r="E38" s="1087" t="s">
        <v>2239</v>
      </c>
      <c r="F38" s="1087"/>
      <c r="G38" s="1086">
        <v>2.0</v>
      </c>
      <c r="H38" s="1088">
        <f>SUMIFS(BP_SOTIEN,BP_DA,$C38,BP_THANG,H$2,BP_KM,$E38)/1000</f>
        <v>0</v>
      </c>
      <c r="I38" s="1091" t="str">
        <f t="shared" si="338"/>
        <v/>
      </c>
      <c r="J38" s="1089" t="str">
        <f t="shared" si="339"/>
        <v/>
      </c>
      <c r="K38" s="1090">
        <f>IF(NOW()&gt;=DATE(YEAR(H$2),MONTH(H$2)+1,DAY(H$2)),SUMIFS(TF_SOTIEN,TF_DA,$C38,TF_THANG,H$2,TF_KM,$E38)/1000, N38)</f>
        <v>0</v>
      </c>
      <c r="L38" s="1091" t="str">
        <f t="shared" si="340"/>
        <v/>
      </c>
      <c r="M38" s="1089" t="str">
        <f t="shared" si="341"/>
        <v/>
      </c>
      <c r="N38" s="1090">
        <f>IF(NOW()&gt;=DATE(YEAR(H$2),MONTH(H$2)+1,DAY(H$2)),SUMIFS(AC_SOTIEN,AC_DA,$C38,AC_THANG,H$2,AC_KM,$E38),SUMIFS(TF_SOTIEN,TF_DA,$C38,TF_THANG,H$2,TF_KM,$E38))/ 1000</f>
        <v>0</v>
      </c>
      <c r="O38" s="1091" t="str">
        <f t="shared" si="342"/>
        <v/>
      </c>
      <c r="P38" s="1089" t="str">
        <f t="shared" si="343"/>
        <v/>
      </c>
      <c r="Q38" s="1090">
        <f t="shared" si="344"/>
        <v>0</v>
      </c>
      <c r="R38" s="1091" t="str">
        <f t="shared" si="8"/>
        <v/>
      </c>
      <c r="S38" s="1090">
        <f t="shared" si="345"/>
        <v>0</v>
      </c>
      <c r="T38" s="1091" t="str">
        <f t="shared" si="10"/>
        <v/>
      </c>
      <c r="U38" s="1088">
        <f>SUMIFS(BP_SOTIEN,BP_DA,$C38,BP_THANG,U$2,BP_KM,$E38)/1000</f>
        <v>0</v>
      </c>
      <c r="V38" s="1091" t="str">
        <f t="shared" si="346"/>
        <v/>
      </c>
      <c r="W38" s="1089" t="str">
        <f t="shared" si="347"/>
        <v/>
      </c>
      <c r="X38" s="1090">
        <f>IF(NOW()&gt;=DATE(YEAR(U$2),MONTH(U$2)+1,DAY(U$2)),SUMIFS(TF_SOTIEN,TF_DA,$C38,TF_THANG,U$2,TF_KM,$E38)/1000, AA38)</f>
        <v>0</v>
      </c>
      <c r="Y38" s="1091" t="str">
        <f t="shared" si="348"/>
        <v/>
      </c>
      <c r="Z38" s="1089" t="str">
        <f t="shared" si="349"/>
        <v/>
      </c>
      <c r="AA38" s="1090">
        <f>IF(NOW()&gt;=DATE(YEAR(U$2),MONTH(U$2)+1,DAY(U$2)),SUMIFS(AC_SOTIEN,AC_DA,$C38,AC_THANG,U$2,AC_KM,$E38),SUMIFS(TF_SOTIEN,TF_DA,$C38,TF_THANG,U$2,TF_KM,$E38))/ 1000</f>
        <v>0</v>
      </c>
      <c r="AB38" s="1091" t="str">
        <f t="shared" si="350"/>
        <v/>
      </c>
      <c r="AC38" s="1089" t="str">
        <f t="shared" si="351"/>
        <v/>
      </c>
      <c r="AD38" s="1090">
        <f t="shared" si="352"/>
        <v>0</v>
      </c>
      <c r="AE38" s="1091" t="str">
        <f t="shared" si="15"/>
        <v/>
      </c>
      <c r="AF38" s="1090">
        <f t="shared" si="353"/>
        <v>0</v>
      </c>
      <c r="AG38" s="1091" t="str">
        <f t="shared" si="17"/>
        <v/>
      </c>
      <c r="AH38" s="1088">
        <f>SUMIFS(BP_SOTIEN,BP_DA,$C38,BP_THANG,AH$2,BP_KM,$E38)/1000</f>
        <v>0</v>
      </c>
      <c r="AI38" s="1091" t="str">
        <f t="shared" si="354"/>
        <v/>
      </c>
      <c r="AJ38" s="1089" t="str">
        <f t="shared" si="355"/>
        <v/>
      </c>
      <c r="AK38" s="1090">
        <f>IF(NOW()&gt;=DATE(YEAR(AH$2),MONTH(AH$2)+1,DAY(AH$2)),SUMIFS(TF_SOTIEN,TF_DA,$C38,TF_THANG,AH$2,TF_KM,$E38)/1000, AN38)</f>
        <v>0</v>
      </c>
      <c r="AL38" s="1091" t="str">
        <f t="shared" si="356"/>
        <v/>
      </c>
      <c r="AM38" s="1089" t="str">
        <f t="shared" si="357"/>
        <v/>
      </c>
      <c r="AN38" s="1090">
        <f>IF(NOW()&gt;=DATE(YEAR(AH$2),MONTH(AH$2)+1,DAY(AH$2)),SUMIFS(AC_SOTIEN,AC_DA,$C38,AC_THANG,AH$2,AC_KM,$E38),SUMIFS(TF_SOTIEN,TF_DA,$C38,TF_THANG,AH$2,TF_KM,$E38))/ 1000</f>
        <v>0</v>
      </c>
      <c r="AO38" s="1091" t="str">
        <f t="shared" si="358"/>
        <v/>
      </c>
      <c r="AP38" s="1089" t="str">
        <f t="shared" si="359"/>
        <v/>
      </c>
      <c r="AQ38" s="1090">
        <f t="shared" si="360"/>
        <v>0</v>
      </c>
      <c r="AR38" s="1091" t="str">
        <f t="shared" si="22"/>
        <v/>
      </c>
      <c r="AS38" s="1090">
        <f t="shared" si="361"/>
        <v>0</v>
      </c>
      <c r="AT38" s="1091" t="str">
        <f t="shared" si="24"/>
        <v/>
      </c>
      <c r="AU38" s="1088">
        <f t="shared" si="362"/>
        <v>0</v>
      </c>
      <c r="AV38" s="1091" t="str">
        <f t="shared" si="363"/>
        <v/>
      </c>
      <c r="AW38" s="1089" t="str">
        <f t="shared" si="364"/>
        <v/>
      </c>
      <c r="AX38" s="1090">
        <f t="shared" si="365"/>
        <v>0</v>
      </c>
      <c r="AY38" s="1091" t="str">
        <f t="shared" si="366"/>
        <v/>
      </c>
      <c r="AZ38" s="1089" t="str">
        <f t="shared" si="367"/>
        <v/>
      </c>
      <c r="BA38" s="1090">
        <f t="shared" si="368"/>
        <v>0</v>
      </c>
      <c r="BB38" s="1091" t="str">
        <f t="shared" si="369"/>
        <v/>
      </c>
      <c r="BC38" s="1089" t="str">
        <f t="shared" si="370"/>
        <v/>
      </c>
      <c r="BD38" s="1090">
        <f t="shared" si="371"/>
        <v>0</v>
      </c>
      <c r="BE38" s="1091" t="str">
        <f t="shared" si="32"/>
        <v/>
      </c>
      <c r="BF38" s="1090">
        <f t="shared" si="372"/>
        <v>0</v>
      </c>
      <c r="BG38" s="1091" t="str">
        <f t="shared" si="34"/>
        <v/>
      </c>
      <c r="BH38" s="1088">
        <f>SUMIFS(BP_SOTIEN,BP_DA,$C38,BP_THANG,BH$2,BP_KM,$E38)/1000</f>
        <v>0</v>
      </c>
      <c r="BI38" s="1091" t="str">
        <f t="shared" si="373"/>
        <v/>
      </c>
      <c r="BJ38" s="1089" t="str">
        <f t="shared" si="374"/>
        <v/>
      </c>
      <c r="BK38" s="1090">
        <f>IF(NOW()&gt;=DATE(YEAR(BH$2),MONTH(BH$2)+1,DAY(BH$2)),SUMIFS(TF_SOTIEN,TF_DA,$C38,TF_THANG,BH$2,TF_KM,$E38)/1000, BN38)</f>
        <v>0</v>
      </c>
      <c r="BL38" s="1091" t="str">
        <f t="shared" si="375"/>
        <v/>
      </c>
      <c r="BM38" s="1089" t="str">
        <f t="shared" si="376"/>
        <v/>
      </c>
      <c r="BN38" s="1090">
        <f>IF(NOW()&gt;=DATE(YEAR(BH$2),MONTH(BH$2)+1,DAY(BH$2)),SUMIFS(AC_SOTIEN,AC_DA,$C38,AC_THANG,BH$2,AC_KM,$E38),SUMIFS(TF_SOTIEN,TF_DA,$C38,TF_THANG,BH$2,TF_KM,$E38))/ 1000</f>
        <v>0</v>
      </c>
      <c r="BO38" s="1091" t="str">
        <f t="shared" si="377"/>
        <v/>
      </c>
      <c r="BP38" s="1089" t="str">
        <f t="shared" si="378"/>
        <v/>
      </c>
      <c r="BQ38" s="1090">
        <f t="shared" si="379"/>
        <v>0</v>
      </c>
      <c r="BR38" s="1091" t="str">
        <f t="shared" si="39"/>
        <v/>
      </c>
      <c r="BS38" s="1090">
        <f t="shared" si="380"/>
        <v>0</v>
      </c>
      <c r="BT38" s="1091" t="str">
        <f t="shared" si="41"/>
        <v/>
      </c>
      <c r="BU38" s="1088">
        <f>SUMIFS(BP_SOTIEN,BP_DA,$C38,BP_THANG,BU$2,BP_KM,$E38)/1000</f>
        <v>0</v>
      </c>
      <c r="BV38" s="1091" t="str">
        <f t="shared" si="381"/>
        <v/>
      </c>
      <c r="BW38" s="1089" t="str">
        <f t="shared" si="382"/>
        <v/>
      </c>
      <c r="BX38" s="1090">
        <f>IF(NOW()&gt;=DATE(YEAR(BU$2),MONTH(BU$2)+1,DAY(BU$2)),SUMIFS(TF_SOTIEN,TF_DA,$C38,TF_THANG,BU$2,TF_KM,$E38)/1000, CA38)</f>
        <v>0</v>
      </c>
      <c r="BY38" s="1091" t="str">
        <f t="shared" si="383"/>
        <v/>
      </c>
      <c r="BZ38" s="1089" t="str">
        <f t="shared" si="384"/>
        <v/>
      </c>
      <c r="CA38" s="1090">
        <f>IF(NOW()&gt;=DATE(YEAR(BU$2),MONTH(BU$2)+1,DAY(BU$2)),SUMIFS(AC_SOTIEN,AC_DA,$C38,AC_THANG,BU$2,AC_KM,$E38),SUMIFS(TF_SOTIEN,TF_DA,$C38,TF_THANG,BU$2,TF_KM,$E38))/ 1000</f>
        <v>0</v>
      </c>
      <c r="CB38" s="1091" t="str">
        <f t="shared" si="385"/>
        <v/>
      </c>
      <c r="CC38" s="1089" t="str">
        <f t="shared" si="386"/>
        <v/>
      </c>
      <c r="CD38" s="1090">
        <f t="shared" si="387"/>
        <v>0</v>
      </c>
      <c r="CE38" s="1091" t="str">
        <f t="shared" si="46"/>
        <v/>
      </c>
      <c r="CF38" s="1090">
        <f t="shared" si="388"/>
        <v>0</v>
      </c>
      <c r="CG38" s="1091" t="str">
        <f t="shared" si="48"/>
        <v/>
      </c>
      <c r="CH38" s="1088">
        <f>SUMIFS(BP_SOTIEN,BP_DA,$C38,BP_THANG,CH$2,BP_KM,$E38)/1000</f>
        <v>0</v>
      </c>
      <c r="CI38" s="1091" t="str">
        <f t="shared" si="389"/>
        <v/>
      </c>
      <c r="CJ38" s="1089" t="str">
        <f t="shared" si="390"/>
        <v/>
      </c>
      <c r="CK38" s="1090">
        <f>IF(NOW()&gt;=DATE(YEAR(CH$2),MONTH(CH$2)+1,DAY(CH$2)),SUMIFS(TF_SOTIEN,TF_DA,$C38,TF_THANG,CH$2,TF_KM,$E38)/1000, CN38)</f>
        <v>0</v>
      </c>
      <c r="CL38" s="1091" t="str">
        <f t="shared" si="391"/>
        <v/>
      </c>
      <c r="CM38" s="1089" t="str">
        <f t="shared" si="392"/>
        <v/>
      </c>
      <c r="CN38" s="1090">
        <f>IF(NOW()&gt;=DATE(YEAR(CH$2),MONTH(CH$2)+1,DAY(CH$2)),SUMIFS(AC_SOTIEN,AC_DA,$C38,AC_THANG,CH$2,AC_KM,$E38),SUMIFS(TF_SOTIEN,TF_DA,$C38,TF_THANG,CH$2,TF_KM,$E38))/ 1000</f>
        <v>0</v>
      </c>
      <c r="CO38" s="1091" t="str">
        <f t="shared" si="393"/>
        <v/>
      </c>
      <c r="CP38" s="1089" t="str">
        <f t="shared" si="394"/>
        <v/>
      </c>
      <c r="CQ38" s="1090">
        <f t="shared" si="395"/>
        <v>0</v>
      </c>
      <c r="CR38" s="1091" t="str">
        <f t="shared" si="53"/>
        <v/>
      </c>
      <c r="CS38" s="1090">
        <f t="shared" si="396"/>
        <v>0</v>
      </c>
      <c r="CT38" s="1091" t="str">
        <f t="shared" si="55"/>
        <v/>
      </c>
      <c r="CU38" s="1088">
        <f t="shared" si="397"/>
        <v>0</v>
      </c>
      <c r="CV38" s="1091" t="str">
        <f t="shared" si="398"/>
        <v/>
      </c>
      <c r="CW38" s="1089" t="str">
        <f t="shared" si="399"/>
        <v/>
      </c>
      <c r="CX38" s="1090">
        <f t="shared" si="400"/>
        <v>0</v>
      </c>
      <c r="CY38" s="1091" t="str">
        <f t="shared" si="401"/>
        <v/>
      </c>
      <c r="CZ38" s="1089" t="str">
        <f t="shared" si="402"/>
        <v/>
      </c>
      <c r="DA38" s="1090">
        <f t="shared" si="403"/>
        <v>0</v>
      </c>
      <c r="DB38" s="1091" t="str">
        <f t="shared" si="404"/>
        <v/>
      </c>
      <c r="DC38" s="1089" t="str">
        <f t="shared" si="405"/>
        <v/>
      </c>
      <c r="DD38" s="1090">
        <f t="shared" si="406"/>
        <v>0</v>
      </c>
      <c r="DE38" s="1091" t="str">
        <f t="shared" si="63"/>
        <v/>
      </c>
      <c r="DF38" s="1090">
        <f t="shared" si="407"/>
        <v>0</v>
      </c>
      <c r="DG38" s="1091" t="str">
        <f t="shared" si="65"/>
        <v/>
      </c>
      <c r="DH38" s="1088">
        <f t="shared" si="408"/>
        <v>0</v>
      </c>
      <c r="DI38" s="1091" t="str">
        <f t="shared" si="409"/>
        <v/>
      </c>
      <c r="DJ38" s="1089" t="str">
        <f t="shared" si="410"/>
        <v/>
      </c>
      <c r="DK38" s="1090">
        <f t="shared" si="411"/>
        <v>0</v>
      </c>
      <c r="DL38" s="1091" t="str">
        <f t="shared" si="412"/>
        <v/>
      </c>
      <c r="DM38" s="1089" t="str">
        <f t="shared" si="413"/>
        <v/>
      </c>
      <c r="DN38" s="1090">
        <f t="shared" si="414"/>
        <v>0</v>
      </c>
      <c r="DO38" s="1091" t="str">
        <f t="shared" si="415"/>
        <v/>
      </c>
      <c r="DP38" s="1089" t="str">
        <f t="shared" si="416"/>
        <v/>
      </c>
      <c r="DQ38" s="1090">
        <f t="shared" si="417"/>
        <v>0</v>
      </c>
      <c r="DR38" s="1091" t="str">
        <f t="shared" si="73"/>
        <v/>
      </c>
      <c r="DS38" s="1090">
        <f t="shared" si="418"/>
        <v>0</v>
      </c>
      <c r="DT38" s="1091" t="str">
        <f t="shared" si="75"/>
        <v/>
      </c>
      <c r="DU38" s="1088">
        <f>SUMIFS(BP_SOTIEN,BP_DA,$C38,BP_THANG,DU$2,BP_KM,$E38)/1000</f>
        <v>0</v>
      </c>
      <c r="DV38" s="1091" t="str">
        <f t="shared" si="419"/>
        <v/>
      </c>
      <c r="DW38" s="1089" t="str">
        <f t="shared" si="420"/>
        <v/>
      </c>
      <c r="DX38" s="1090">
        <f>IF(NOW()&gt;=DATE(YEAR(DU$2),MONTH(DU$2)+1,DAY(DU$2)),SUMIFS(TF_SOTIEN,TF_DA,$C38,TF_THANG,DU$2,TF_KM,$E38)/1000, EA38)</f>
        <v>0</v>
      </c>
      <c r="DY38" s="1091" t="str">
        <f t="shared" si="421"/>
        <v/>
      </c>
      <c r="DZ38" s="1089" t="str">
        <f t="shared" si="422"/>
        <v/>
      </c>
      <c r="EA38" s="1090">
        <f>IF(NOW()&gt;=DATE(YEAR(DU$2),MONTH(DU$2)+1,DAY(DU$2)),SUMIFS(AC_SOTIEN,AC_DA,$C38,AC_THANG,DU$2,AC_KM,$E38),SUMIFS(TF_SOTIEN,TF_DA,$C38,TF_THANG,DU$2,TF_KM,$E38))/ 1000</f>
        <v>0</v>
      </c>
      <c r="EB38" s="1091" t="str">
        <f t="shared" si="423"/>
        <v/>
      </c>
      <c r="EC38" s="1089" t="str">
        <f t="shared" si="424"/>
        <v/>
      </c>
      <c r="ED38" s="1090">
        <f t="shared" si="425"/>
        <v>0</v>
      </c>
      <c r="EE38" s="1091" t="str">
        <f t="shared" si="80"/>
        <v/>
      </c>
      <c r="EF38" s="1090">
        <f t="shared" si="426"/>
        <v>0</v>
      </c>
      <c r="EG38" s="1091" t="str">
        <f t="shared" si="82"/>
        <v/>
      </c>
      <c r="EH38" s="1088">
        <f>SUMIFS(BP_SOTIEN,BP_DA,$C38,BP_THANG,EH$2,BP_KM,$E38)/1000</f>
        <v>0</v>
      </c>
      <c r="EI38" s="1091" t="str">
        <f t="shared" si="427"/>
        <v/>
      </c>
      <c r="EJ38" s="1089" t="str">
        <f t="shared" si="428"/>
        <v/>
      </c>
      <c r="EK38" s="1090">
        <f>IF(NOW()&gt;=DATE(YEAR(EH$2),MONTH(EH$2)+1,DAY(EH$2)),SUMIFS(TF_SOTIEN,TF_DA,$C38,TF_THANG,EH$2,TF_KM,$E38)/1000, EN38)</f>
        <v>0</v>
      </c>
      <c r="EL38" s="1091" t="str">
        <f t="shared" si="429"/>
        <v/>
      </c>
      <c r="EM38" s="1089" t="str">
        <f t="shared" si="430"/>
        <v/>
      </c>
      <c r="EN38" s="1090">
        <f>IF(NOW()&gt;=DATE(YEAR(EH$2),MONTH(EH$2)+1,DAY(EH$2)),SUMIFS(AC_SOTIEN,AC_DA,$C38,AC_THANG,EH$2,AC_KM,$E38),SUMIFS(TF_SOTIEN,TF_DA,$C38,TF_THANG,EH$2,TF_KM,$E38))/ 1000</f>
        <v>0</v>
      </c>
      <c r="EO38" s="1091" t="str">
        <f t="shared" si="431"/>
        <v/>
      </c>
      <c r="EP38" s="1089" t="str">
        <f t="shared" si="432"/>
        <v/>
      </c>
      <c r="EQ38" s="1090">
        <f t="shared" si="433"/>
        <v>0</v>
      </c>
      <c r="ER38" s="1091" t="str">
        <f t="shared" si="87"/>
        <v/>
      </c>
      <c r="ES38" s="1090">
        <f t="shared" si="434"/>
        <v>0</v>
      </c>
      <c r="ET38" s="1091" t="str">
        <f t="shared" si="89"/>
        <v/>
      </c>
      <c r="EU38" s="1088">
        <f>SUMIFS(BP_SOTIEN,BP_DA,$C38,BP_THANG,EU$2,BP_KM,$E38)/1000</f>
        <v>0</v>
      </c>
      <c r="EV38" s="1091" t="str">
        <f t="shared" si="435"/>
        <v/>
      </c>
      <c r="EW38" s="1089" t="str">
        <f t="shared" si="436"/>
        <v/>
      </c>
      <c r="EX38" s="1090">
        <f>IF(NOW()&gt;=DATE(YEAR(EU$2),MONTH(EU$2)+1,DAY(EU$2)),SUMIFS(TF_SOTIEN,TF_DA,$C38,TF_THANG,EU$2,TF_KM,$E38)/1000, FA38)</f>
        <v>0</v>
      </c>
      <c r="EY38" s="1091" t="str">
        <f t="shared" si="437"/>
        <v/>
      </c>
      <c r="EZ38" s="1089" t="str">
        <f t="shared" si="438"/>
        <v/>
      </c>
      <c r="FA38" s="1090">
        <f>IF(NOW()&gt;=DATE(YEAR(EU$2),MONTH(EU$2)+1,DAY(EU$2)),SUMIFS(AC_SOTIEN,AC_DA,$C38,AC_THANG,EU$2,AC_KM,$E38),SUMIFS(TF_SOTIEN,TF_DA,$C38,TF_THANG,EU$2,TF_KM,$E38))/ 1000</f>
        <v>0</v>
      </c>
      <c r="FB38" s="1091" t="str">
        <f t="shared" si="439"/>
        <v/>
      </c>
      <c r="FC38" s="1089" t="str">
        <f t="shared" si="440"/>
        <v/>
      </c>
      <c r="FD38" s="1090">
        <f t="shared" si="441"/>
        <v>0</v>
      </c>
      <c r="FE38" s="1091" t="str">
        <f t="shared" si="94"/>
        <v/>
      </c>
      <c r="FF38" s="1090">
        <f t="shared" si="442"/>
        <v>0</v>
      </c>
      <c r="FG38" s="1091" t="str">
        <f t="shared" si="96"/>
        <v/>
      </c>
      <c r="FH38" s="1088">
        <f t="shared" si="443"/>
        <v>0</v>
      </c>
      <c r="FI38" s="1091" t="str">
        <f t="shared" si="444"/>
        <v/>
      </c>
      <c r="FJ38" s="1089" t="str">
        <f t="shared" si="445"/>
        <v/>
      </c>
      <c r="FK38" s="1090">
        <f t="shared" si="446"/>
        <v>0</v>
      </c>
      <c r="FL38" s="1091" t="str">
        <f t="shared" si="447"/>
        <v/>
      </c>
      <c r="FM38" s="1089" t="str">
        <f t="shared" si="448"/>
        <v/>
      </c>
      <c r="FN38" s="1090">
        <f t="shared" si="449"/>
        <v>0</v>
      </c>
      <c r="FO38" s="1091" t="str">
        <f t="shared" si="450"/>
        <v/>
      </c>
      <c r="FP38" s="1089" t="str">
        <f t="shared" si="451"/>
        <v/>
      </c>
      <c r="FQ38" s="1090">
        <f t="shared" si="452"/>
        <v>0</v>
      </c>
      <c r="FR38" s="1091" t="str">
        <f t="shared" si="104"/>
        <v/>
      </c>
      <c r="FS38" s="1090">
        <f t="shared" si="453"/>
        <v>0</v>
      </c>
      <c r="FT38" s="1091" t="str">
        <f t="shared" si="106"/>
        <v/>
      </c>
      <c r="FU38" s="1088">
        <f>SUMIFS(BP_SOTIEN,BP_DA,$C38,BP_THANG,FU$2,BP_KM,$E38)/1000</f>
        <v>0</v>
      </c>
      <c r="FV38" s="1091" t="str">
        <f t="shared" si="454"/>
        <v/>
      </c>
      <c r="FW38" s="1089" t="str">
        <f t="shared" si="455"/>
        <v/>
      </c>
      <c r="FX38" s="1090">
        <f>IF(NOW()&gt;=DATE(YEAR(FU$2),MONTH(FU$2)+1,DAY(FU$2)),SUMIFS(TF_SOTIEN,TF_DA,$C38,TF_THANG,FU$2,TF_KM,$E38)/1000, GA38)</f>
        <v>0</v>
      </c>
      <c r="FY38" s="1091" t="str">
        <f t="shared" si="456"/>
        <v/>
      </c>
      <c r="FZ38" s="1089" t="str">
        <f t="shared" si="457"/>
        <v/>
      </c>
      <c r="GA38" s="1090">
        <f>IF(NOW()&gt;=DATE(YEAR(FU$2),MONTH(FU$2)+1,DAY(FU$2)),SUMIFS(AC_SOTIEN,AC_DA,$C38,AC_THANG,FU$2,AC_KM,$E38),SUMIFS(TF_SOTIEN,TF_DA,$C38,TF_THANG,FU$2,TF_KM,$E38))/ 1000</f>
        <v>0</v>
      </c>
      <c r="GB38" s="1091" t="str">
        <f t="shared" si="458"/>
        <v/>
      </c>
      <c r="GC38" s="1089" t="str">
        <f t="shared" si="459"/>
        <v/>
      </c>
      <c r="GD38" s="1090">
        <f t="shared" si="460"/>
        <v>0</v>
      </c>
      <c r="GE38" s="1091" t="str">
        <f t="shared" si="111"/>
        <v/>
      </c>
      <c r="GF38" s="1090">
        <f t="shared" si="461"/>
        <v>0</v>
      </c>
      <c r="GG38" s="1091" t="str">
        <f t="shared" si="113"/>
        <v/>
      </c>
      <c r="GH38" s="1088">
        <f>SUMIFS(BP_SOTIEN,BP_DA,$C38,BP_THANG,GH$2,BP_KM,$E38)/1000</f>
        <v>0</v>
      </c>
      <c r="GI38" s="1091" t="str">
        <f t="shared" si="462"/>
        <v/>
      </c>
      <c r="GJ38" s="1089" t="str">
        <f t="shared" si="463"/>
        <v/>
      </c>
      <c r="GK38" s="1090">
        <f>IF(NOW()&gt;=DATE(YEAR(GH$2),MONTH(GH$2)+1,DAY(GH$2)),SUMIFS(TF_SOTIEN,TF_DA,$C38,TF_THANG,GH$2,TF_KM,$E38)/1000, GN38)</f>
        <v>0</v>
      </c>
      <c r="GL38" s="1091" t="str">
        <f t="shared" si="464"/>
        <v/>
      </c>
      <c r="GM38" s="1089" t="str">
        <f t="shared" si="465"/>
        <v/>
      </c>
      <c r="GN38" s="1090">
        <f>IF(NOW()&gt;=DATE(YEAR(GH$2),MONTH(GH$2)+1,DAY(GH$2)),SUMIFS(AC_SOTIEN,AC_DA,$C38,AC_THANG,GH$2,AC_KM,$E38),SUMIFS(TF_SOTIEN,TF_DA,$C38,TF_THANG,GH$2,TF_KM,$E38))/ 1000</f>
        <v>0</v>
      </c>
      <c r="GO38" s="1091" t="str">
        <f t="shared" si="466"/>
        <v/>
      </c>
      <c r="GP38" s="1089" t="str">
        <f t="shared" si="467"/>
        <v/>
      </c>
      <c r="GQ38" s="1090">
        <f t="shared" si="468"/>
        <v>0</v>
      </c>
      <c r="GR38" s="1091" t="str">
        <f t="shared" si="118"/>
        <v/>
      </c>
      <c r="GS38" s="1090">
        <f t="shared" si="469"/>
        <v>0</v>
      </c>
      <c r="GT38" s="1091" t="str">
        <f t="shared" si="120"/>
        <v/>
      </c>
      <c r="GU38" s="1088">
        <f>SUMIFS(BP_SOTIEN,BP_DA,$C38,BP_THANG,GU$2,BP_KM,$E38)/1000</f>
        <v>0</v>
      </c>
      <c r="GV38" s="1091" t="str">
        <f t="shared" si="470"/>
        <v/>
      </c>
      <c r="GW38" s="1089" t="str">
        <f t="shared" si="471"/>
        <v/>
      </c>
      <c r="GX38" s="1090">
        <f>IF(NOW()&gt;=DATE(YEAR(GU$2),MONTH(GU$2)+1,DAY(GU$2)),SUMIFS(TF_SOTIEN,TF_DA,$C38,TF_THANG,GU$2,TF_KM,$E38)/1000, HA38)</f>
        <v>0</v>
      </c>
      <c r="GY38" s="1091" t="str">
        <f t="shared" si="472"/>
        <v/>
      </c>
      <c r="GZ38" s="1089" t="str">
        <f t="shared" si="473"/>
        <v/>
      </c>
      <c r="HA38" s="1090">
        <f>IF(NOW()&gt;=DATE(YEAR(GU$2),MONTH(GU$2)+1,DAY(GU$2)),SUMIFS(AC_SOTIEN,AC_DA,$C38,AC_THANG,GU$2,AC_KM,$E38),SUMIFS(TF_SOTIEN,TF_DA,$C38,TF_THANG,GU$2,TF_KM,$E38))/ 1000</f>
        <v>0</v>
      </c>
      <c r="HB38" s="1091" t="str">
        <f t="shared" si="474"/>
        <v/>
      </c>
      <c r="HC38" s="1089" t="str">
        <f t="shared" si="475"/>
        <v/>
      </c>
      <c r="HD38" s="1090">
        <f t="shared" si="476"/>
        <v>0</v>
      </c>
      <c r="HE38" s="1091" t="str">
        <f t="shared" si="125"/>
        <v/>
      </c>
      <c r="HF38" s="1090">
        <f t="shared" si="477"/>
        <v>0</v>
      </c>
      <c r="HG38" s="1091" t="str">
        <f t="shared" si="127"/>
        <v/>
      </c>
      <c r="HH38" s="1088">
        <f t="shared" si="478"/>
        <v>0</v>
      </c>
      <c r="HI38" s="1091" t="str">
        <f t="shared" si="479"/>
        <v/>
      </c>
      <c r="HJ38" s="1089" t="str">
        <f t="shared" si="480"/>
        <v/>
      </c>
      <c r="HK38" s="1090">
        <f t="shared" si="481"/>
        <v>0</v>
      </c>
      <c r="HL38" s="1091" t="str">
        <f t="shared" si="482"/>
        <v/>
      </c>
      <c r="HM38" s="1089" t="str">
        <f t="shared" si="483"/>
        <v/>
      </c>
      <c r="HN38" s="1090">
        <f t="shared" si="484"/>
        <v>0</v>
      </c>
      <c r="HO38" s="1091" t="str">
        <f t="shared" si="485"/>
        <v/>
      </c>
      <c r="HP38" s="1089" t="str">
        <f t="shared" si="486"/>
        <v/>
      </c>
      <c r="HQ38" s="1090">
        <f t="shared" si="487"/>
        <v>0</v>
      </c>
      <c r="HR38" s="1091" t="str">
        <f t="shared" si="135"/>
        <v/>
      </c>
      <c r="HS38" s="1090">
        <f t="shared" si="488"/>
        <v>0</v>
      </c>
      <c r="HT38" s="1091" t="str">
        <f t="shared" si="137"/>
        <v/>
      </c>
      <c r="HU38" s="1088">
        <f t="shared" si="489"/>
        <v>0</v>
      </c>
      <c r="HV38" s="1091" t="str">
        <f t="shared" si="490"/>
        <v/>
      </c>
      <c r="HW38" s="1089" t="str">
        <f t="shared" si="491"/>
        <v/>
      </c>
      <c r="HX38" s="1090">
        <f t="shared" si="492"/>
        <v>0</v>
      </c>
      <c r="HY38" s="1091" t="str">
        <f t="shared" si="493"/>
        <v/>
      </c>
      <c r="HZ38" s="1089" t="str">
        <f t="shared" si="494"/>
        <v/>
      </c>
      <c r="IA38" s="1090">
        <f t="shared" si="495"/>
        <v>0</v>
      </c>
      <c r="IB38" s="1091" t="str">
        <f t="shared" si="496"/>
        <v/>
      </c>
      <c r="IC38" s="1089" t="str">
        <f t="shared" si="497"/>
        <v/>
      </c>
      <c r="ID38" s="1090">
        <f t="shared" si="498"/>
        <v>0</v>
      </c>
      <c r="IE38" s="1091" t="str">
        <f t="shared" si="145"/>
        <v/>
      </c>
      <c r="IF38" s="1090">
        <f t="shared" si="499"/>
        <v>0</v>
      </c>
      <c r="IG38" s="1091" t="str">
        <f t="shared" si="147"/>
        <v/>
      </c>
      <c r="IH38" s="1088">
        <f t="shared" si="500"/>
        <v>0</v>
      </c>
      <c r="II38" s="1091" t="str">
        <f t="shared" si="501"/>
        <v/>
      </c>
      <c r="IJ38" s="1089" t="str">
        <f t="shared" si="502"/>
        <v/>
      </c>
      <c r="IK38" s="1090">
        <f t="shared" si="503"/>
        <v>0</v>
      </c>
      <c r="IL38" s="1091" t="str">
        <f t="shared" si="504"/>
        <v/>
      </c>
      <c r="IM38" s="1089" t="str">
        <f t="shared" si="505"/>
        <v/>
      </c>
      <c r="IN38" s="1090">
        <f t="shared" si="506"/>
        <v>0</v>
      </c>
      <c r="IO38" s="1091" t="str">
        <f t="shared" si="507"/>
        <v/>
      </c>
      <c r="IP38" s="1089" t="str">
        <f t="shared" si="508"/>
        <v/>
      </c>
      <c r="IQ38" s="1090">
        <f t="shared" si="509"/>
        <v>0</v>
      </c>
      <c r="IR38" s="1091" t="str">
        <f t="shared" si="1"/>
        <v/>
      </c>
      <c r="IS38" s="1090">
        <f t="shared" si="510"/>
        <v>0</v>
      </c>
      <c r="IT38" s="1091" t="str">
        <f t="shared" si="2"/>
        <v/>
      </c>
    </row>
    <row r="39" collapsed="1">
      <c r="A39" s="1113" t="str">
        <f t="shared" si="337"/>
        <v/>
      </c>
      <c r="B39" s="1114" t="s">
        <v>2067</v>
      </c>
      <c r="C39" s="1114"/>
      <c r="D39" s="1114" t="str">
        <f>IF(C39&gt;0,VLOOKUP(C39,DM_DUAN ,2,"") ,IF(B39&gt;0,VLOOKUP(B39,DM_CDT,2,""),""))</f>
        <v>NAM PHONG</v>
      </c>
      <c r="E39" s="1115" t="s">
        <v>2239</v>
      </c>
      <c r="F39" s="1115"/>
      <c r="G39" s="1116">
        <v>1.0</v>
      </c>
      <c r="H39" s="1083">
        <f>SUMIF($B40:$B$48,$B39,H40:H$48)</f>
        <v>0</v>
      </c>
      <c r="I39" s="1117" t="str">
        <f t="shared" si="338"/>
        <v/>
      </c>
      <c r="J39" s="1118" t="str">
        <f t="shared" si="339"/>
        <v/>
      </c>
      <c r="K39" s="1083">
        <f>SUMIF($B40:$B$48,$B39,K40:K$48)</f>
        <v>0</v>
      </c>
      <c r="L39" s="1117" t="str">
        <f t="shared" si="340"/>
        <v/>
      </c>
      <c r="M39" s="1118" t="str">
        <f t="shared" si="341"/>
        <v/>
      </c>
      <c r="N39" s="1083">
        <f>SUMIF($B40:$B$48,$B39,N40:N$48)</f>
        <v>0</v>
      </c>
      <c r="O39" s="1117" t="str">
        <f t="shared" si="342"/>
        <v/>
      </c>
      <c r="P39" s="1118" t="str">
        <f t="shared" si="343"/>
        <v/>
      </c>
      <c r="Q39" s="1119">
        <f t="shared" si="344"/>
        <v>0</v>
      </c>
      <c r="R39" s="1117" t="str">
        <f t="shared" si="8"/>
        <v/>
      </c>
      <c r="S39" s="1119">
        <f t="shared" si="345"/>
        <v>0</v>
      </c>
      <c r="T39" s="1117" t="str">
        <f t="shared" si="10"/>
        <v/>
      </c>
      <c r="U39" s="1083">
        <f>SUMIF($B40:$B$48,$B39,U40:U$48)</f>
        <v>0</v>
      </c>
      <c r="V39" s="1117" t="str">
        <f t="shared" si="346"/>
        <v/>
      </c>
      <c r="W39" s="1118" t="str">
        <f t="shared" si="347"/>
        <v/>
      </c>
      <c r="X39" s="1083">
        <f>SUMIF($B40:$B$48,$B39,X40:X$48)</f>
        <v>0</v>
      </c>
      <c r="Y39" s="1117" t="str">
        <f t="shared" si="348"/>
        <v/>
      </c>
      <c r="Z39" s="1118" t="str">
        <f t="shared" si="349"/>
        <v/>
      </c>
      <c r="AA39" s="1083">
        <f>SUMIF($B40:$B$48,$B39,AA40:AA$48)</f>
        <v>0</v>
      </c>
      <c r="AB39" s="1117" t="str">
        <f t="shared" si="350"/>
        <v/>
      </c>
      <c r="AC39" s="1118" t="str">
        <f t="shared" si="351"/>
        <v/>
      </c>
      <c r="AD39" s="1119">
        <f t="shared" si="352"/>
        <v>0</v>
      </c>
      <c r="AE39" s="1117" t="str">
        <f t="shared" si="15"/>
        <v/>
      </c>
      <c r="AF39" s="1119">
        <f t="shared" si="353"/>
        <v>0</v>
      </c>
      <c r="AG39" s="1117" t="str">
        <f t="shared" si="17"/>
        <v/>
      </c>
      <c r="AH39" s="1083">
        <f>SUMIF($B40:$B$48,$B39,AH40:AH$48)</f>
        <v>0</v>
      </c>
      <c r="AI39" s="1117" t="str">
        <f t="shared" si="354"/>
        <v/>
      </c>
      <c r="AJ39" s="1118" t="str">
        <f t="shared" si="355"/>
        <v/>
      </c>
      <c r="AK39" s="1083">
        <f>SUMIF($B40:$B$48,$B39,AK40:AK$48)</f>
        <v>0</v>
      </c>
      <c r="AL39" s="1117" t="str">
        <f t="shared" si="356"/>
        <v/>
      </c>
      <c r="AM39" s="1118" t="str">
        <f t="shared" si="357"/>
        <v/>
      </c>
      <c r="AN39" s="1083">
        <f>SUMIF($B40:$B$48,$B39,AN40:AN$48)</f>
        <v>0</v>
      </c>
      <c r="AO39" s="1117" t="str">
        <f t="shared" si="358"/>
        <v/>
      </c>
      <c r="AP39" s="1118" t="str">
        <f t="shared" si="359"/>
        <v/>
      </c>
      <c r="AQ39" s="1119">
        <f t="shared" si="360"/>
        <v>0</v>
      </c>
      <c r="AR39" s="1117" t="str">
        <f t="shared" si="22"/>
        <v/>
      </c>
      <c r="AS39" s="1119">
        <f t="shared" si="361"/>
        <v>0</v>
      </c>
      <c r="AT39" s="1117" t="str">
        <f t="shared" si="24"/>
        <v/>
      </c>
      <c r="AU39" s="1120">
        <f t="shared" si="362"/>
        <v>0</v>
      </c>
      <c r="AV39" s="1117" t="str">
        <f t="shared" si="363"/>
        <v/>
      </c>
      <c r="AW39" s="1118" t="str">
        <f t="shared" si="364"/>
        <v/>
      </c>
      <c r="AX39" s="1119">
        <f t="shared" si="365"/>
        <v>0</v>
      </c>
      <c r="AY39" s="1117" t="str">
        <f t="shared" si="366"/>
        <v/>
      </c>
      <c r="AZ39" s="1118" t="str">
        <f t="shared" si="367"/>
        <v/>
      </c>
      <c r="BA39" s="1119">
        <f t="shared" si="368"/>
        <v>0</v>
      </c>
      <c r="BB39" s="1117" t="str">
        <f t="shared" si="369"/>
        <v/>
      </c>
      <c r="BC39" s="1118" t="str">
        <f t="shared" si="370"/>
        <v/>
      </c>
      <c r="BD39" s="1119">
        <f t="shared" si="371"/>
        <v>0</v>
      </c>
      <c r="BE39" s="1117" t="str">
        <f t="shared" si="32"/>
        <v/>
      </c>
      <c r="BF39" s="1119">
        <f t="shared" si="372"/>
        <v>0</v>
      </c>
      <c r="BG39" s="1117" t="str">
        <f t="shared" si="34"/>
        <v/>
      </c>
      <c r="BH39" s="1083">
        <f>SUMIF($B40:$B$48,$B39,BH40:BH$48)</f>
        <v>0</v>
      </c>
      <c r="BI39" s="1117" t="str">
        <f t="shared" si="373"/>
        <v/>
      </c>
      <c r="BJ39" s="1118" t="str">
        <f t="shared" si="374"/>
        <v/>
      </c>
      <c r="BK39" s="1083">
        <f>SUMIF($B40:$B$48,$B39,BK40:BK$48)</f>
        <v>0</v>
      </c>
      <c r="BL39" s="1117" t="str">
        <f t="shared" si="375"/>
        <v/>
      </c>
      <c r="BM39" s="1118" t="str">
        <f t="shared" si="376"/>
        <v/>
      </c>
      <c r="BN39" s="1083">
        <f>SUMIF($B40:$B$48,$B39,BN40:BN$48)</f>
        <v>0</v>
      </c>
      <c r="BO39" s="1117" t="str">
        <f t="shared" si="377"/>
        <v/>
      </c>
      <c r="BP39" s="1118" t="str">
        <f t="shared" si="378"/>
        <v/>
      </c>
      <c r="BQ39" s="1119">
        <f t="shared" si="379"/>
        <v>0</v>
      </c>
      <c r="BR39" s="1117" t="str">
        <f t="shared" si="39"/>
        <v/>
      </c>
      <c r="BS39" s="1119">
        <f t="shared" si="380"/>
        <v>0</v>
      </c>
      <c r="BT39" s="1117" t="str">
        <f t="shared" si="41"/>
        <v/>
      </c>
      <c r="BU39" s="1083">
        <f>SUMIF($B40:$B$48,$B39,BU40:BU$48)</f>
        <v>0</v>
      </c>
      <c r="BV39" s="1117" t="str">
        <f t="shared" si="381"/>
        <v/>
      </c>
      <c r="BW39" s="1118" t="str">
        <f t="shared" si="382"/>
        <v/>
      </c>
      <c r="BX39" s="1083">
        <f>SUMIF($B40:$B$48,$B39,BX40:BX$48)</f>
        <v>0</v>
      </c>
      <c r="BY39" s="1117" t="str">
        <f t="shared" si="383"/>
        <v/>
      </c>
      <c r="BZ39" s="1118" t="str">
        <f t="shared" si="384"/>
        <v/>
      </c>
      <c r="CA39" s="1083">
        <f>SUMIF($B40:$B$48,$B39,CA40:CA$48)</f>
        <v>0</v>
      </c>
      <c r="CB39" s="1117" t="str">
        <f t="shared" si="385"/>
        <v/>
      </c>
      <c r="CC39" s="1118" t="str">
        <f t="shared" si="386"/>
        <v/>
      </c>
      <c r="CD39" s="1119">
        <f t="shared" si="387"/>
        <v>0</v>
      </c>
      <c r="CE39" s="1117" t="str">
        <f t="shared" si="46"/>
        <v/>
      </c>
      <c r="CF39" s="1119">
        <f t="shared" si="388"/>
        <v>0</v>
      </c>
      <c r="CG39" s="1117" t="str">
        <f t="shared" si="48"/>
        <v/>
      </c>
      <c r="CH39" s="1083">
        <f>SUMIF($B40:$B$48,$B39,CH40:CH$48)</f>
        <v>0</v>
      </c>
      <c r="CI39" s="1117" t="str">
        <f t="shared" si="389"/>
        <v/>
      </c>
      <c r="CJ39" s="1118" t="str">
        <f t="shared" si="390"/>
        <v/>
      </c>
      <c r="CK39" s="1083">
        <f>SUMIF($B40:$B$48,$B39,CK40:CK$48)</f>
        <v>0</v>
      </c>
      <c r="CL39" s="1117" t="str">
        <f t="shared" si="391"/>
        <v/>
      </c>
      <c r="CM39" s="1118" t="str">
        <f t="shared" si="392"/>
        <v/>
      </c>
      <c r="CN39" s="1083">
        <f>SUMIF($B40:$B$48,$B39,CN40:CN$48)</f>
        <v>0</v>
      </c>
      <c r="CO39" s="1117" t="str">
        <f t="shared" si="393"/>
        <v/>
      </c>
      <c r="CP39" s="1118" t="str">
        <f t="shared" si="394"/>
        <v/>
      </c>
      <c r="CQ39" s="1119">
        <f t="shared" si="395"/>
        <v>0</v>
      </c>
      <c r="CR39" s="1117" t="str">
        <f t="shared" si="53"/>
        <v/>
      </c>
      <c r="CS39" s="1119">
        <f t="shared" si="396"/>
        <v>0</v>
      </c>
      <c r="CT39" s="1117" t="str">
        <f t="shared" si="55"/>
        <v/>
      </c>
      <c r="CU39" s="1120">
        <f t="shared" si="397"/>
        <v>0</v>
      </c>
      <c r="CV39" s="1117" t="str">
        <f t="shared" si="398"/>
        <v/>
      </c>
      <c r="CW39" s="1118" t="str">
        <f t="shared" si="399"/>
        <v/>
      </c>
      <c r="CX39" s="1119">
        <f t="shared" si="400"/>
        <v>0</v>
      </c>
      <c r="CY39" s="1117" t="str">
        <f t="shared" si="401"/>
        <v/>
      </c>
      <c r="CZ39" s="1118" t="str">
        <f t="shared" si="402"/>
        <v/>
      </c>
      <c r="DA39" s="1119">
        <f t="shared" si="403"/>
        <v>0</v>
      </c>
      <c r="DB39" s="1117" t="str">
        <f t="shared" si="404"/>
        <v/>
      </c>
      <c r="DC39" s="1118" t="str">
        <f t="shared" si="405"/>
        <v/>
      </c>
      <c r="DD39" s="1119">
        <f t="shared" si="406"/>
        <v>0</v>
      </c>
      <c r="DE39" s="1117" t="str">
        <f t="shared" si="63"/>
        <v/>
      </c>
      <c r="DF39" s="1119">
        <f t="shared" si="407"/>
        <v>0</v>
      </c>
      <c r="DG39" s="1117" t="str">
        <f t="shared" si="65"/>
        <v/>
      </c>
      <c r="DH39" s="1120">
        <f t="shared" si="408"/>
        <v>0</v>
      </c>
      <c r="DI39" s="1117" t="str">
        <f t="shared" si="409"/>
        <v/>
      </c>
      <c r="DJ39" s="1118" t="str">
        <f t="shared" si="410"/>
        <v/>
      </c>
      <c r="DK39" s="1119">
        <f t="shared" si="411"/>
        <v>0</v>
      </c>
      <c r="DL39" s="1117" t="str">
        <f t="shared" si="412"/>
        <v/>
      </c>
      <c r="DM39" s="1118" t="str">
        <f t="shared" si="413"/>
        <v/>
      </c>
      <c r="DN39" s="1119">
        <f t="shared" si="414"/>
        <v>0</v>
      </c>
      <c r="DO39" s="1117" t="str">
        <f t="shared" si="415"/>
        <v/>
      </c>
      <c r="DP39" s="1118" t="str">
        <f t="shared" si="416"/>
        <v/>
      </c>
      <c r="DQ39" s="1119">
        <f t="shared" si="417"/>
        <v>0</v>
      </c>
      <c r="DR39" s="1117" t="str">
        <f t="shared" si="73"/>
        <v/>
      </c>
      <c r="DS39" s="1119">
        <f t="shared" si="418"/>
        <v>0</v>
      </c>
      <c r="DT39" s="1117" t="str">
        <f t="shared" si="75"/>
        <v/>
      </c>
      <c r="DU39" s="1083">
        <f>SUMIF($B40:$B$48,$B39,DU40:DU$48)</f>
        <v>0</v>
      </c>
      <c r="DV39" s="1117" t="str">
        <f t="shared" si="419"/>
        <v/>
      </c>
      <c r="DW39" s="1118" t="str">
        <f t="shared" si="420"/>
        <v/>
      </c>
      <c r="DX39" s="1083">
        <f>SUMIF($B40:$B$48,$B39,DX40:DX$48)</f>
        <v>0</v>
      </c>
      <c r="DY39" s="1117" t="str">
        <f t="shared" si="421"/>
        <v/>
      </c>
      <c r="DZ39" s="1118" t="str">
        <f t="shared" si="422"/>
        <v/>
      </c>
      <c r="EA39" s="1083">
        <f>SUMIF($B40:$B$48,$B39,EA40:EA$48)</f>
        <v>0</v>
      </c>
      <c r="EB39" s="1117" t="str">
        <f t="shared" si="423"/>
        <v/>
      </c>
      <c r="EC39" s="1118" t="str">
        <f t="shared" si="424"/>
        <v/>
      </c>
      <c r="ED39" s="1119">
        <f t="shared" si="425"/>
        <v>0</v>
      </c>
      <c r="EE39" s="1117" t="str">
        <f t="shared" si="80"/>
        <v/>
      </c>
      <c r="EF39" s="1119">
        <f t="shared" si="426"/>
        <v>0</v>
      </c>
      <c r="EG39" s="1117" t="str">
        <f t="shared" si="82"/>
        <v/>
      </c>
      <c r="EH39" s="1083">
        <f>SUMIF($B40:$B$48,$B39,EH40:EH$48)</f>
        <v>0</v>
      </c>
      <c r="EI39" s="1117" t="str">
        <f t="shared" si="427"/>
        <v/>
      </c>
      <c r="EJ39" s="1118" t="str">
        <f t="shared" si="428"/>
        <v/>
      </c>
      <c r="EK39" s="1083">
        <f>SUMIF($B40:$B$48,$B39,EK40:EK$48)</f>
        <v>0</v>
      </c>
      <c r="EL39" s="1117" t="str">
        <f t="shared" si="429"/>
        <v/>
      </c>
      <c r="EM39" s="1118" t="str">
        <f t="shared" si="430"/>
        <v/>
      </c>
      <c r="EN39" s="1083">
        <f>SUMIF($B40:$B$48,$B39,EN40:EN$48)</f>
        <v>0</v>
      </c>
      <c r="EO39" s="1117" t="str">
        <f t="shared" si="431"/>
        <v/>
      </c>
      <c r="EP39" s="1118" t="str">
        <f t="shared" si="432"/>
        <v/>
      </c>
      <c r="EQ39" s="1119">
        <f t="shared" si="433"/>
        <v>0</v>
      </c>
      <c r="ER39" s="1117" t="str">
        <f t="shared" si="87"/>
        <v/>
      </c>
      <c r="ES39" s="1119">
        <f t="shared" si="434"/>
        <v>0</v>
      </c>
      <c r="ET39" s="1117" t="str">
        <f t="shared" si="89"/>
        <v/>
      </c>
      <c r="EU39" s="1083">
        <f>SUMIF($B40:$B$48,$B39,EU40:EU$48)</f>
        <v>0</v>
      </c>
      <c r="EV39" s="1117" t="str">
        <f t="shared" si="435"/>
        <v/>
      </c>
      <c r="EW39" s="1118" t="str">
        <f t="shared" si="436"/>
        <v/>
      </c>
      <c r="EX39" s="1083">
        <f>SUMIF($B40:$B$48,$B39,EX40:EX$48)</f>
        <v>0</v>
      </c>
      <c r="EY39" s="1117" t="str">
        <f t="shared" si="437"/>
        <v/>
      </c>
      <c r="EZ39" s="1118" t="str">
        <f t="shared" si="438"/>
        <v/>
      </c>
      <c r="FA39" s="1083">
        <f>SUMIF($B40:$B$48,$B39,FA40:FA$48)</f>
        <v>0</v>
      </c>
      <c r="FB39" s="1117" t="str">
        <f t="shared" si="439"/>
        <v/>
      </c>
      <c r="FC39" s="1118" t="str">
        <f t="shared" si="440"/>
        <v/>
      </c>
      <c r="FD39" s="1119">
        <f t="shared" si="441"/>
        <v>0</v>
      </c>
      <c r="FE39" s="1117" t="str">
        <f t="shared" si="94"/>
        <v/>
      </c>
      <c r="FF39" s="1119">
        <f t="shared" si="442"/>
        <v>0</v>
      </c>
      <c r="FG39" s="1117" t="str">
        <f t="shared" si="96"/>
        <v/>
      </c>
      <c r="FH39" s="1120">
        <f t="shared" si="443"/>
        <v>0</v>
      </c>
      <c r="FI39" s="1117" t="str">
        <f t="shared" si="444"/>
        <v/>
      </c>
      <c r="FJ39" s="1118" t="str">
        <f t="shared" si="445"/>
        <v/>
      </c>
      <c r="FK39" s="1119">
        <f t="shared" si="446"/>
        <v>0</v>
      </c>
      <c r="FL39" s="1117" t="str">
        <f t="shared" si="447"/>
        <v/>
      </c>
      <c r="FM39" s="1118" t="str">
        <f t="shared" si="448"/>
        <v/>
      </c>
      <c r="FN39" s="1119">
        <f t="shared" si="449"/>
        <v>0</v>
      </c>
      <c r="FO39" s="1117" t="str">
        <f t="shared" si="450"/>
        <v/>
      </c>
      <c r="FP39" s="1118" t="str">
        <f t="shared" si="451"/>
        <v/>
      </c>
      <c r="FQ39" s="1119">
        <f t="shared" si="452"/>
        <v>0</v>
      </c>
      <c r="FR39" s="1117" t="str">
        <f t="shared" si="104"/>
        <v/>
      </c>
      <c r="FS39" s="1119">
        <f t="shared" si="453"/>
        <v>0</v>
      </c>
      <c r="FT39" s="1117" t="str">
        <f t="shared" si="106"/>
        <v/>
      </c>
      <c r="FU39" s="1083">
        <f>SUMIF($B40:$B$48,$B39,FU40:FU$48)</f>
        <v>0</v>
      </c>
      <c r="FV39" s="1117" t="str">
        <f t="shared" si="454"/>
        <v/>
      </c>
      <c r="FW39" s="1118" t="str">
        <f t="shared" si="455"/>
        <v/>
      </c>
      <c r="FX39" s="1083">
        <f>SUMIF($B40:$B$48,$B39,FX40:FX$48)</f>
        <v>0</v>
      </c>
      <c r="FY39" s="1117" t="str">
        <f t="shared" si="456"/>
        <v/>
      </c>
      <c r="FZ39" s="1118" t="str">
        <f t="shared" si="457"/>
        <v/>
      </c>
      <c r="GA39" s="1083">
        <f>SUMIF($B40:$B$48,$B39,GA40:GA$48)</f>
        <v>0</v>
      </c>
      <c r="GB39" s="1117" t="str">
        <f t="shared" si="458"/>
        <v/>
      </c>
      <c r="GC39" s="1118" t="str">
        <f t="shared" si="459"/>
        <v/>
      </c>
      <c r="GD39" s="1119">
        <f t="shared" si="460"/>
        <v>0</v>
      </c>
      <c r="GE39" s="1117" t="str">
        <f t="shared" si="111"/>
        <v/>
      </c>
      <c r="GF39" s="1119">
        <f t="shared" si="461"/>
        <v>0</v>
      </c>
      <c r="GG39" s="1117" t="str">
        <f t="shared" si="113"/>
        <v/>
      </c>
      <c r="GH39" s="1120">
        <f>SUMIFS(BP_SOTIEN,BP_DA,$C39,BP_THANG,GH$2,BP_KM,$E39)/1000</f>
        <v>0</v>
      </c>
      <c r="GI39" s="1117" t="str">
        <f t="shared" si="462"/>
        <v/>
      </c>
      <c r="GJ39" s="1118" t="str">
        <f t="shared" si="463"/>
        <v/>
      </c>
      <c r="GK39" s="1083">
        <f>SUMIF($B40:$B$48,$B39,GK40:GK$48)</f>
        <v>0</v>
      </c>
      <c r="GL39" s="1117" t="str">
        <f t="shared" si="464"/>
        <v/>
      </c>
      <c r="GM39" s="1118" t="str">
        <f t="shared" si="465"/>
        <v/>
      </c>
      <c r="GN39" s="1083">
        <f>SUMIF($B40:$B$48,$B39,GN40:GN$48)</f>
        <v>0</v>
      </c>
      <c r="GO39" s="1117" t="str">
        <f t="shared" si="466"/>
        <v/>
      </c>
      <c r="GP39" s="1118" t="str">
        <f t="shared" si="467"/>
        <v/>
      </c>
      <c r="GQ39" s="1119">
        <f t="shared" si="468"/>
        <v>0</v>
      </c>
      <c r="GR39" s="1117" t="str">
        <f t="shared" si="118"/>
        <v/>
      </c>
      <c r="GS39" s="1119">
        <f t="shared" si="469"/>
        <v>0</v>
      </c>
      <c r="GT39" s="1117" t="str">
        <f t="shared" si="120"/>
        <v/>
      </c>
      <c r="GU39" s="1083">
        <f>SUMIF($B40:$B$48,$B39,GU40:GU$48)</f>
        <v>0</v>
      </c>
      <c r="GV39" s="1117" t="str">
        <f t="shared" si="470"/>
        <v/>
      </c>
      <c r="GW39" s="1118" t="str">
        <f t="shared" si="471"/>
        <v/>
      </c>
      <c r="GX39" s="1083">
        <f>SUMIF($B40:$B$48,$B39,GX40:GX$48)</f>
        <v>0</v>
      </c>
      <c r="GY39" s="1117" t="str">
        <f t="shared" si="472"/>
        <v/>
      </c>
      <c r="GZ39" s="1118" t="str">
        <f t="shared" si="473"/>
        <v/>
      </c>
      <c r="HA39" s="1083">
        <f>SUMIF($B40:$B$48,$B39,HA40:HA$48)</f>
        <v>0</v>
      </c>
      <c r="HB39" s="1117" t="str">
        <f t="shared" si="474"/>
        <v/>
      </c>
      <c r="HC39" s="1118" t="str">
        <f t="shared" si="475"/>
        <v/>
      </c>
      <c r="HD39" s="1119">
        <f t="shared" si="476"/>
        <v>0</v>
      </c>
      <c r="HE39" s="1117" t="str">
        <f t="shared" si="125"/>
        <v/>
      </c>
      <c r="HF39" s="1119">
        <f t="shared" si="477"/>
        <v>0</v>
      </c>
      <c r="HG39" s="1117" t="str">
        <f t="shared" si="127"/>
        <v/>
      </c>
      <c r="HH39" s="1120">
        <f t="shared" si="478"/>
        <v>0</v>
      </c>
      <c r="HI39" s="1117" t="str">
        <f t="shared" si="479"/>
        <v/>
      </c>
      <c r="HJ39" s="1118" t="str">
        <f t="shared" si="480"/>
        <v/>
      </c>
      <c r="HK39" s="1119">
        <f t="shared" si="481"/>
        <v>0</v>
      </c>
      <c r="HL39" s="1117" t="str">
        <f t="shared" si="482"/>
        <v/>
      </c>
      <c r="HM39" s="1118" t="str">
        <f t="shared" si="483"/>
        <v/>
      </c>
      <c r="HN39" s="1119">
        <f t="shared" si="484"/>
        <v>0</v>
      </c>
      <c r="HO39" s="1117" t="str">
        <f t="shared" si="485"/>
        <v/>
      </c>
      <c r="HP39" s="1118" t="str">
        <f t="shared" si="486"/>
        <v/>
      </c>
      <c r="HQ39" s="1119">
        <f t="shared" si="487"/>
        <v>0</v>
      </c>
      <c r="HR39" s="1117" t="str">
        <f t="shared" si="135"/>
        <v/>
      </c>
      <c r="HS39" s="1119">
        <f t="shared" si="488"/>
        <v>0</v>
      </c>
      <c r="HT39" s="1117" t="str">
        <f t="shared" si="137"/>
        <v/>
      </c>
      <c r="HU39" s="1120">
        <f t="shared" si="489"/>
        <v>0</v>
      </c>
      <c r="HV39" s="1117" t="str">
        <f t="shared" si="490"/>
        <v/>
      </c>
      <c r="HW39" s="1118" t="str">
        <f t="shared" si="491"/>
        <v/>
      </c>
      <c r="HX39" s="1119">
        <f t="shared" si="492"/>
        <v>0</v>
      </c>
      <c r="HY39" s="1117" t="str">
        <f t="shared" si="493"/>
        <v/>
      </c>
      <c r="HZ39" s="1118" t="str">
        <f t="shared" si="494"/>
        <v/>
      </c>
      <c r="IA39" s="1119">
        <f t="shared" si="495"/>
        <v>0</v>
      </c>
      <c r="IB39" s="1117" t="str">
        <f t="shared" si="496"/>
        <v/>
      </c>
      <c r="IC39" s="1118" t="str">
        <f t="shared" si="497"/>
        <v/>
      </c>
      <c r="ID39" s="1119">
        <f t="shared" si="498"/>
        <v>0</v>
      </c>
      <c r="IE39" s="1117" t="str">
        <f t="shared" si="145"/>
        <v/>
      </c>
      <c r="IF39" s="1119">
        <f t="shared" si="499"/>
        <v>0</v>
      </c>
      <c r="IG39" s="1117" t="str">
        <f t="shared" si="147"/>
        <v/>
      </c>
      <c r="IH39" s="1120">
        <f t="shared" si="500"/>
        <v>0</v>
      </c>
      <c r="II39" s="1117" t="str">
        <f t="shared" si="501"/>
        <v/>
      </c>
      <c r="IJ39" s="1118" t="str">
        <f t="shared" si="502"/>
        <v/>
      </c>
      <c r="IK39" s="1119">
        <f t="shared" si="503"/>
        <v>0</v>
      </c>
      <c r="IL39" s="1117" t="str">
        <f t="shared" si="504"/>
        <v/>
      </c>
      <c r="IM39" s="1118" t="str">
        <f t="shared" si="505"/>
        <v/>
      </c>
      <c r="IN39" s="1119">
        <f t="shared" si="506"/>
        <v>0</v>
      </c>
      <c r="IO39" s="1117" t="str">
        <f t="shared" si="507"/>
        <v/>
      </c>
      <c r="IP39" s="1118" t="str">
        <f t="shared" si="508"/>
        <v/>
      </c>
      <c r="IQ39" s="1119">
        <f t="shared" si="509"/>
        <v>0</v>
      </c>
      <c r="IR39" s="1117" t="str">
        <f t="shared" si="1"/>
        <v/>
      </c>
      <c r="IS39" s="1119">
        <f t="shared" si="510"/>
        <v>0</v>
      </c>
      <c r="IT39" s="1117" t="str">
        <f t="shared" si="2"/>
        <v/>
      </c>
    </row>
    <row r="40" hidden="1" outlineLevel="1">
      <c r="A40" s="1086">
        <f t="shared" si="337"/>
        <v>4</v>
      </c>
      <c r="B40" s="1087" t="s">
        <v>2067</v>
      </c>
      <c r="C40" s="1087" t="s">
        <v>2067</v>
      </c>
      <c r="D40" s="1087" t="str">
        <f>IF(C40&gt;0,VLOOKUP(C40,DM_DUAN ,2,"") ,IF(B40&gt;0,VLOOKUP(B40,DM_CDT,2,""),""))</f>
        <v>NAM PHONG</v>
      </c>
      <c r="E40" s="1087" t="s">
        <v>2239</v>
      </c>
      <c r="F40" s="1087"/>
      <c r="G40" s="1086">
        <v>2.0</v>
      </c>
      <c r="H40" s="1088">
        <f>SUMIFS(BP_SOTIEN,BP_DA,$C40,BP_THANG,H$2,BP_KM,$E40)/1000</f>
        <v>0</v>
      </c>
      <c r="I40" s="1091" t="str">
        <f t="shared" si="338"/>
        <v/>
      </c>
      <c r="J40" s="1089" t="str">
        <f t="shared" si="339"/>
        <v/>
      </c>
      <c r="K40" s="1090">
        <f>IF(NOW()&gt;=DATE(YEAR(H$2),MONTH(H$2)+1,DAY(H$2)),SUMIFS(TF_SOTIEN,TF_DA,$C40,TF_THANG,H$2,TF_KM,$E40)/1000, N40)</f>
        <v>0</v>
      </c>
      <c r="L40" s="1091" t="str">
        <f t="shared" si="340"/>
        <v/>
      </c>
      <c r="M40" s="1089" t="str">
        <f t="shared" si="341"/>
        <v/>
      </c>
      <c r="N40" s="1090">
        <f>IF(NOW()&gt;=DATE(YEAR(H$2),MONTH(H$2)+1,DAY(H$2)),SUMIFS(AC_SOTIEN,AC_DA,$C40,AC_THANG,H$2,AC_KM,$E40),SUMIFS(TF_SOTIEN,TF_DA,$C40,TF_THANG,H$2,TF_KM,$E40))/ 1000</f>
        <v>0</v>
      </c>
      <c r="O40" s="1091" t="str">
        <f t="shared" si="342"/>
        <v/>
      </c>
      <c r="P40" s="1089" t="str">
        <f t="shared" si="343"/>
        <v/>
      </c>
      <c r="Q40" s="1090">
        <f t="shared" si="344"/>
        <v>0</v>
      </c>
      <c r="R40" s="1091" t="str">
        <f t="shared" si="8"/>
        <v/>
      </c>
      <c r="S40" s="1090">
        <f t="shared" si="345"/>
        <v>0</v>
      </c>
      <c r="T40" s="1091" t="str">
        <f t="shared" si="10"/>
        <v/>
      </c>
      <c r="U40" s="1088">
        <f>SUMIFS(BP_SOTIEN,BP_DA,$C40,BP_THANG,U$2,BP_KM,$E40)/1000</f>
        <v>0</v>
      </c>
      <c r="V40" s="1091" t="str">
        <f t="shared" si="346"/>
        <v/>
      </c>
      <c r="W40" s="1089" t="str">
        <f t="shared" si="347"/>
        <v/>
      </c>
      <c r="X40" s="1090">
        <f>IF(NOW()&gt;=DATE(YEAR(U$2),MONTH(U$2)+1,DAY(U$2)),SUMIFS(TF_SOTIEN,TF_DA,$C40,TF_THANG,U$2,TF_KM,$E40)/1000, AA40)</f>
        <v>0</v>
      </c>
      <c r="Y40" s="1091" t="str">
        <f t="shared" si="348"/>
        <v/>
      </c>
      <c r="Z40" s="1089" t="str">
        <f t="shared" si="349"/>
        <v/>
      </c>
      <c r="AA40" s="1090">
        <f>IF(NOW()&gt;=DATE(YEAR(U$2),MONTH(U$2)+1,DAY(U$2)),SUMIFS(AC_SOTIEN,AC_DA,$C40,AC_THANG,U$2,AC_KM,$E40),SUMIFS(TF_SOTIEN,TF_DA,$C40,TF_THANG,U$2,TF_KM,$E40))/ 1000</f>
        <v>0</v>
      </c>
      <c r="AB40" s="1091" t="str">
        <f t="shared" si="350"/>
        <v/>
      </c>
      <c r="AC40" s="1089" t="str">
        <f t="shared" si="351"/>
        <v/>
      </c>
      <c r="AD40" s="1090">
        <f t="shared" si="352"/>
        <v>0</v>
      </c>
      <c r="AE40" s="1091" t="str">
        <f t="shared" si="15"/>
        <v/>
      </c>
      <c r="AF40" s="1090">
        <f t="shared" si="353"/>
        <v>0</v>
      </c>
      <c r="AG40" s="1091" t="str">
        <f t="shared" si="17"/>
        <v/>
      </c>
      <c r="AH40" s="1088">
        <f>SUMIFS(BP_SOTIEN,BP_DA,$C40,BP_THANG,AH$2,BP_KM,$E40)/1000</f>
        <v>0</v>
      </c>
      <c r="AI40" s="1091" t="str">
        <f t="shared" si="354"/>
        <v/>
      </c>
      <c r="AJ40" s="1089" t="str">
        <f t="shared" si="355"/>
        <v/>
      </c>
      <c r="AK40" s="1090">
        <f>IF(NOW()&gt;=DATE(YEAR(AH$2),MONTH(AH$2)+1,DAY(AH$2)),SUMIFS(TF_SOTIEN,TF_DA,$C40,TF_THANG,AH$2,TF_KM,$E40)/1000, AN40)</f>
        <v>0</v>
      </c>
      <c r="AL40" s="1091" t="str">
        <f t="shared" si="356"/>
        <v/>
      </c>
      <c r="AM40" s="1089" t="str">
        <f t="shared" si="357"/>
        <v/>
      </c>
      <c r="AN40" s="1090">
        <f>IF(NOW()&gt;=DATE(YEAR(AH$2),MONTH(AH$2)+1,DAY(AH$2)),SUMIFS(AC_SOTIEN,AC_DA,$C40,AC_THANG,AH$2,AC_KM,$E40),SUMIFS(TF_SOTIEN,TF_DA,$C40,TF_THANG,AH$2,TF_KM,$E40))/ 1000</f>
        <v>0</v>
      </c>
      <c r="AO40" s="1091" t="str">
        <f t="shared" si="358"/>
        <v/>
      </c>
      <c r="AP40" s="1089" t="str">
        <f t="shared" si="359"/>
        <v/>
      </c>
      <c r="AQ40" s="1090">
        <f t="shared" si="360"/>
        <v>0</v>
      </c>
      <c r="AR40" s="1091" t="str">
        <f t="shared" si="22"/>
        <v/>
      </c>
      <c r="AS40" s="1090">
        <f t="shared" si="361"/>
        <v>0</v>
      </c>
      <c r="AT40" s="1091" t="str">
        <f t="shared" si="24"/>
        <v/>
      </c>
      <c r="AU40" s="1088">
        <f t="shared" si="362"/>
        <v>0</v>
      </c>
      <c r="AV40" s="1091" t="str">
        <f t="shared" si="363"/>
        <v/>
      </c>
      <c r="AW40" s="1089" t="str">
        <f t="shared" si="364"/>
        <v/>
      </c>
      <c r="AX40" s="1090">
        <f t="shared" si="365"/>
        <v>0</v>
      </c>
      <c r="AY40" s="1091" t="str">
        <f t="shared" si="366"/>
        <v/>
      </c>
      <c r="AZ40" s="1089" t="str">
        <f t="shared" si="367"/>
        <v/>
      </c>
      <c r="BA40" s="1090">
        <f t="shared" si="368"/>
        <v>0</v>
      </c>
      <c r="BB40" s="1091" t="str">
        <f t="shared" si="369"/>
        <v/>
      </c>
      <c r="BC40" s="1089" t="str">
        <f t="shared" si="370"/>
        <v/>
      </c>
      <c r="BD40" s="1090">
        <f t="shared" si="371"/>
        <v>0</v>
      </c>
      <c r="BE40" s="1091" t="str">
        <f t="shared" si="32"/>
        <v/>
      </c>
      <c r="BF40" s="1090">
        <f t="shared" si="372"/>
        <v>0</v>
      </c>
      <c r="BG40" s="1091" t="str">
        <f t="shared" si="34"/>
        <v/>
      </c>
      <c r="BH40" s="1088">
        <f>SUMIFS(BP_SOTIEN,BP_DA,$C40,BP_THANG,BH$2,BP_KM,$E40)/1000</f>
        <v>0</v>
      </c>
      <c r="BI40" s="1091">
        <f t="shared" si="373"/>
        <v>0</v>
      </c>
      <c r="BJ40" s="1089" t="str">
        <f t="shared" si="374"/>
        <v/>
      </c>
      <c r="BK40" s="1090">
        <f>IF(NOW()&gt;=DATE(YEAR(BH$2),MONTH(BH$2)+1,DAY(BH$2)),SUMIFS(TF_SOTIEN,TF_DA,$C40,TF_THANG,BH$2,TF_KM,$E40)/1000, BN40)</f>
        <v>0</v>
      </c>
      <c r="BL40" s="1091" t="str">
        <f t="shared" si="375"/>
        <v/>
      </c>
      <c r="BM40" s="1089" t="str">
        <f t="shared" si="376"/>
        <v/>
      </c>
      <c r="BN40" s="1090">
        <f>IF(NOW()&gt;=DATE(YEAR(BH$2),MONTH(BH$2)+1,DAY(BH$2)),SUMIFS(AC_SOTIEN,AC_DA,$C40,AC_THANG,BH$2,AC_KM,$E40),SUMIFS(TF_SOTIEN,TF_DA,$C40,TF_THANG,BH$2,TF_KM,$E40))/ 1000</f>
        <v>0</v>
      </c>
      <c r="BO40" s="1091" t="str">
        <f t="shared" si="377"/>
        <v/>
      </c>
      <c r="BP40" s="1089" t="str">
        <f t="shared" si="378"/>
        <v/>
      </c>
      <c r="BQ40" s="1090">
        <f t="shared" si="379"/>
        <v>0</v>
      </c>
      <c r="BR40" s="1091" t="str">
        <f t="shared" si="39"/>
        <v/>
      </c>
      <c r="BS40" s="1090">
        <f t="shared" si="380"/>
        <v>0</v>
      </c>
      <c r="BT40" s="1091" t="str">
        <f t="shared" si="41"/>
        <v/>
      </c>
      <c r="BU40" s="1088">
        <f>SUMIFS(BP_SOTIEN,BP_DA,$C40,BP_THANG,BU$2,BP_KM,$E40)/1000</f>
        <v>0</v>
      </c>
      <c r="BV40" s="1091">
        <f t="shared" si="381"/>
        <v>0</v>
      </c>
      <c r="BW40" s="1089" t="str">
        <f t="shared" si="382"/>
        <v/>
      </c>
      <c r="BX40" s="1090">
        <f>IF(NOW()&gt;=DATE(YEAR(BU$2),MONTH(BU$2)+1,DAY(BU$2)),SUMIFS(TF_SOTIEN,TF_DA,$C40,TF_THANG,BU$2,TF_KM,$E40)/1000, CA40)</f>
        <v>0</v>
      </c>
      <c r="BY40" s="1091" t="str">
        <f t="shared" si="383"/>
        <v/>
      </c>
      <c r="BZ40" s="1089" t="str">
        <f t="shared" si="384"/>
        <v/>
      </c>
      <c r="CA40" s="1090">
        <f>IF(NOW()&gt;=DATE(YEAR(BU$2),MONTH(BU$2)+1,DAY(BU$2)),SUMIFS(AC_SOTIEN,AC_DA,$C40,AC_THANG,BU$2,AC_KM,$E40),SUMIFS(TF_SOTIEN,TF_DA,$C40,TF_THANG,BU$2,TF_KM,$E40))/ 1000</f>
        <v>0</v>
      </c>
      <c r="CB40" s="1091" t="str">
        <f t="shared" si="385"/>
        <v/>
      </c>
      <c r="CC40" s="1089" t="str">
        <f t="shared" si="386"/>
        <v/>
      </c>
      <c r="CD40" s="1090">
        <f t="shared" si="387"/>
        <v>0</v>
      </c>
      <c r="CE40" s="1091" t="str">
        <f t="shared" si="46"/>
        <v/>
      </c>
      <c r="CF40" s="1090">
        <f t="shared" si="388"/>
        <v>0</v>
      </c>
      <c r="CG40" s="1091" t="str">
        <f t="shared" si="48"/>
        <v/>
      </c>
      <c r="CH40" s="1088">
        <f>SUMIFS(BP_SOTIEN,BP_DA,$C40,BP_THANG,CH$2,BP_KM,$E40)/1000</f>
        <v>0</v>
      </c>
      <c r="CI40" s="1091">
        <f t="shared" si="389"/>
        <v>0</v>
      </c>
      <c r="CJ40" s="1089" t="str">
        <f t="shared" si="390"/>
        <v/>
      </c>
      <c r="CK40" s="1090">
        <f>IF(NOW()&gt;=DATE(YEAR(CH$2),MONTH(CH$2)+1,DAY(CH$2)),SUMIFS(TF_SOTIEN,TF_DA,$C40,TF_THANG,CH$2,TF_KM,$E40)/1000, CN40)</f>
        <v>0</v>
      </c>
      <c r="CL40" s="1091" t="str">
        <f t="shared" si="391"/>
        <v/>
      </c>
      <c r="CM40" s="1089" t="str">
        <f t="shared" si="392"/>
        <v/>
      </c>
      <c r="CN40" s="1090">
        <f>IF(NOW()&gt;=DATE(YEAR(CH$2),MONTH(CH$2)+1,DAY(CH$2)),SUMIFS(AC_SOTIEN,AC_DA,$C40,AC_THANG,CH$2,AC_KM,$E40),SUMIFS(TF_SOTIEN,TF_DA,$C40,TF_THANG,CH$2,TF_KM,$E40))/ 1000</f>
        <v>0</v>
      </c>
      <c r="CO40" s="1091" t="str">
        <f t="shared" si="393"/>
        <v/>
      </c>
      <c r="CP40" s="1089" t="str">
        <f t="shared" si="394"/>
        <v/>
      </c>
      <c r="CQ40" s="1090">
        <f t="shared" si="395"/>
        <v>0</v>
      </c>
      <c r="CR40" s="1091" t="str">
        <f t="shared" si="53"/>
        <v/>
      </c>
      <c r="CS40" s="1090">
        <f t="shared" si="396"/>
        <v>0</v>
      </c>
      <c r="CT40" s="1091" t="str">
        <f t="shared" si="55"/>
        <v/>
      </c>
      <c r="CU40" s="1088">
        <f t="shared" si="397"/>
        <v>0</v>
      </c>
      <c r="CV40" s="1091">
        <f t="shared" si="398"/>
        <v>0</v>
      </c>
      <c r="CW40" s="1089" t="str">
        <f t="shared" si="399"/>
        <v/>
      </c>
      <c r="CX40" s="1090">
        <f t="shared" si="400"/>
        <v>0</v>
      </c>
      <c r="CY40" s="1091" t="str">
        <f t="shared" si="401"/>
        <v/>
      </c>
      <c r="CZ40" s="1089" t="str">
        <f t="shared" si="402"/>
        <v/>
      </c>
      <c r="DA40" s="1090">
        <f t="shared" si="403"/>
        <v>0</v>
      </c>
      <c r="DB40" s="1091" t="str">
        <f t="shared" si="404"/>
        <v/>
      </c>
      <c r="DC40" s="1089" t="str">
        <f t="shared" si="405"/>
        <v/>
      </c>
      <c r="DD40" s="1090">
        <f t="shared" si="406"/>
        <v>0</v>
      </c>
      <c r="DE40" s="1091" t="str">
        <f t="shared" si="63"/>
        <v/>
      </c>
      <c r="DF40" s="1090">
        <f t="shared" si="407"/>
        <v>0</v>
      </c>
      <c r="DG40" s="1091" t="str">
        <f t="shared" si="65"/>
        <v/>
      </c>
      <c r="DH40" s="1088">
        <f t="shared" si="408"/>
        <v>0</v>
      </c>
      <c r="DI40" s="1091">
        <f t="shared" si="409"/>
        <v>0</v>
      </c>
      <c r="DJ40" s="1089" t="str">
        <f t="shared" si="410"/>
        <v/>
      </c>
      <c r="DK40" s="1090">
        <f t="shared" si="411"/>
        <v>0</v>
      </c>
      <c r="DL40" s="1091" t="str">
        <f t="shared" si="412"/>
        <v/>
      </c>
      <c r="DM40" s="1089" t="str">
        <f t="shared" si="413"/>
        <v/>
      </c>
      <c r="DN40" s="1090">
        <f t="shared" si="414"/>
        <v>0</v>
      </c>
      <c r="DO40" s="1091" t="str">
        <f t="shared" si="415"/>
        <v/>
      </c>
      <c r="DP40" s="1089" t="str">
        <f t="shared" si="416"/>
        <v/>
      </c>
      <c r="DQ40" s="1090">
        <f t="shared" si="417"/>
        <v>0</v>
      </c>
      <c r="DR40" s="1091" t="str">
        <f t="shared" si="73"/>
        <v/>
      </c>
      <c r="DS40" s="1090">
        <f t="shared" si="418"/>
        <v>0</v>
      </c>
      <c r="DT40" s="1091" t="str">
        <f t="shared" si="75"/>
        <v/>
      </c>
      <c r="DU40" s="1088">
        <f>SUMIFS(BP_SOTIEN,BP_DA,$C40,BP_THANG,DU$2,BP_KM,$E40)/1000</f>
        <v>0</v>
      </c>
      <c r="DV40" s="1091">
        <f t="shared" si="419"/>
        <v>0</v>
      </c>
      <c r="DW40" s="1089" t="str">
        <f t="shared" si="420"/>
        <v/>
      </c>
      <c r="DX40" s="1090">
        <f>IF(NOW()&gt;=DATE(YEAR(DU$2),MONTH(DU$2)+1,DAY(DU$2)),SUMIFS(TF_SOTIEN,TF_DA,$C40,TF_THANG,DU$2,TF_KM,$E40)/1000, EA40)</f>
        <v>0</v>
      </c>
      <c r="DY40" s="1091">
        <f t="shared" si="421"/>
        <v>0</v>
      </c>
      <c r="DZ40" s="1089" t="str">
        <f t="shared" si="422"/>
        <v/>
      </c>
      <c r="EA40" s="1090">
        <f>IF(NOW()&gt;=DATE(YEAR(DU$2),MONTH(DU$2)+1,DAY(DU$2)),SUMIFS(AC_SOTIEN,AC_DA,$C40,AC_THANG,DU$2,AC_KM,$E40),SUMIFS(TF_SOTIEN,TF_DA,$C40,TF_THANG,DU$2,TF_KM,$E40))/ 1000</f>
        <v>0</v>
      </c>
      <c r="EB40" s="1091" t="str">
        <f t="shared" si="423"/>
        <v/>
      </c>
      <c r="EC40" s="1089" t="str">
        <f t="shared" si="424"/>
        <v/>
      </c>
      <c r="ED40" s="1090">
        <f t="shared" si="425"/>
        <v>0</v>
      </c>
      <c r="EE40" s="1091" t="str">
        <f t="shared" si="80"/>
        <v/>
      </c>
      <c r="EF40" s="1090">
        <f t="shared" si="426"/>
        <v>0</v>
      </c>
      <c r="EG40" s="1091" t="str">
        <f t="shared" si="82"/>
        <v/>
      </c>
      <c r="EH40" s="1088">
        <f>SUMIFS(BP_SOTIEN,BP_DA,$C40,BP_THANG,EH$2,BP_KM,$E40)/1000</f>
        <v>0</v>
      </c>
      <c r="EI40" s="1091">
        <f t="shared" si="427"/>
        <v>0</v>
      </c>
      <c r="EJ40" s="1089" t="str">
        <f t="shared" si="428"/>
        <v/>
      </c>
      <c r="EK40" s="1090">
        <f>IF(NOW()&gt;=DATE(YEAR(EH$2),MONTH(EH$2)+1,DAY(EH$2)),SUMIFS(TF_SOTIEN,TF_DA,$C40,TF_THANG,EH$2,TF_KM,$E40)/1000, EN40)</f>
        <v>0</v>
      </c>
      <c r="EL40" s="1091">
        <f t="shared" si="429"/>
        <v>0</v>
      </c>
      <c r="EM40" s="1089" t="str">
        <f t="shared" si="430"/>
        <v/>
      </c>
      <c r="EN40" s="1090">
        <f>IF(NOW()&gt;=DATE(YEAR(EH$2),MONTH(EH$2)+1,DAY(EH$2)),SUMIFS(AC_SOTIEN,AC_DA,$C40,AC_THANG,EH$2,AC_KM,$E40),SUMIFS(TF_SOTIEN,TF_DA,$C40,TF_THANG,EH$2,TF_KM,$E40))/ 1000</f>
        <v>0</v>
      </c>
      <c r="EO40" s="1091" t="str">
        <f t="shared" si="431"/>
        <v/>
      </c>
      <c r="EP40" s="1089" t="str">
        <f t="shared" si="432"/>
        <v/>
      </c>
      <c r="EQ40" s="1090">
        <f t="shared" si="433"/>
        <v>0</v>
      </c>
      <c r="ER40" s="1091" t="str">
        <f t="shared" si="87"/>
        <v/>
      </c>
      <c r="ES40" s="1090">
        <f t="shared" si="434"/>
        <v>0</v>
      </c>
      <c r="ET40" s="1091" t="str">
        <f t="shared" si="89"/>
        <v/>
      </c>
      <c r="EU40" s="1088">
        <f>SUMIFS(BP_SOTIEN,BP_DA,$C40,BP_THANG,EU$2,BP_KM,$E40)/1000</f>
        <v>0</v>
      </c>
      <c r="EV40" s="1091">
        <f t="shared" si="435"/>
        <v>0</v>
      </c>
      <c r="EW40" s="1089" t="str">
        <f t="shared" si="436"/>
        <v/>
      </c>
      <c r="EX40" s="1090">
        <f>IF(NOW()&gt;=DATE(YEAR(EU$2),MONTH(EU$2)+1,DAY(EU$2)),SUMIFS(TF_SOTIEN,TF_DA,$C40,TF_THANG,EU$2,TF_KM,$E40)/1000, FA40)</f>
        <v>0</v>
      </c>
      <c r="EY40" s="1091">
        <f t="shared" si="437"/>
        <v>0</v>
      </c>
      <c r="EZ40" s="1089" t="str">
        <f t="shared" si="438"/>
        <v/>
      </c>
      <c r="FA40" s="1090">
        <f>IF(NOW()&gt;=DATE(YEAR(EU$2),MONTH(EU$2)+1,DAY(EU$2)),SUMIFS(AC_SOTIEN,AC_DA,$C40,AC_THANG,EU$2,AC_KM,$E40),SUMIFS(TF_SOTIEN,TF_DA,$C40,TF_THANG,EU$2,TF_KM,$E40))/ 1000</f>
        <v>0</v>
      </c>
      <c r="FB40" s="1091" t="str">
        <f t="shared" si="439"/>
        <v/>
      </c>
      <c r="FC40" s="1089" t="str">
        <f t="shared" si="440"/>
        <v/>
      </c>
      <c r="FD40" s="1090">
        <f t="shared" si="441"/>
        <v>0</v>
      </c>
      <c r="FE40" s="1091" t="str">
        <f t="shared" si="94"/>
        <v/>
      </c>
      <c r="FF40" s="1090">
        <f t="shared" si="442"/>
        <v>0</v>
      </c>
      <c r="FG40" s="1091" t="str">
        <f t="shared" si="96"/>
        <v/>
      </c>
      <c r="FH40" s="1088">
        <f t="shared" si="443"/>
        <v>0</v>
      </c>
      <c r="FI40" s="1091">
        <f t="shared" si="444"/>
        <v>0</v>
      </c>
      <c r="FJ40" s="1089" t="str">
        <f t="shared" si="445"/>
        <v/>
      </c>
      <c r="FK40" s="1090">
        <f t="shared" si="446"/>
        <v>0</v>
      </c>
      <c r="FL40" s="1091">
        <f t="shared" si="447"/>
        <v>0</v>
      </c>
      <c r="FM40" s="1089" t="str">
        <f t="shared" si="448"/>
        <v/>
      </c>
      <c r="FN40" s="1090">
        <f t="shared" si="449"/>
        <v>0</v>
      </c>
      <c r="FO40" s="1091" t="str">
        <f t="shared" si="450"/>
        <v/>
      </c>
      <c r="FP40" s="1089" t="str">
        <f t="shared" si="451"/>
        <v/>
      </c>
      <c r="FQ40" s="1090">
        <f t="shared" si="452"/>
        <v>0</v>
      </c>
      <c r="FR40" s="1091" t="str">
        <f t="shared" si="104"/>
        <v/>
      </c>
      <c r="FS40" s="1090">
        <f t="shared" si="453"/>
        <v>0</v>
      </c>
      <c r="FT40" s="1091" t="str">
        <f t="shared" si="106"/>
        <v/>
      </c>
      <c r="FU40" s="1088">
        <f>SUMIFS(BP_SOTIEN,BP_DA,$C40,BP_THANG,FU$2,BP_KM,$E40)/1000</f>
        <v>0</v>
      </c>
      <c r="FV40" s="1091">
        <f t="shared" si="454"/>
        <v>0</v>
      </c>
      <c r="FW40" s="1089" t="str">
        <f t="shared" si="455"/>
        <v/>
      </c>
      <c r="FX40" s="1090">
        <f>IF(NOW()&gt;=DATE(YEAR(FU$2),MONTH(FU$2)+1,DAY(FU$2)),SUMIFS(TF_SOTIEN,TF_DA,$C40,TF_THANG,FU$2,TF_KM,$E40)/1000, GA40)</f>
        <v>0</v>
      </c>
      <c r="FY40" s="1091">
        <f t="shared" si="456"/>
        <v>0</v>
      </c>
      <c r="FZ40" s="1089" t="str">
        <f t="shared" si="457"/>
        <v/>
      </c>
      <c r="GA40" s="1090">
        <f>IF(NOW()&gt;=DATE(YEAR(FU$2),MONTH(FU$2)+1,DAY(FU$2)),SUMIFS(AC_SOTIEN,AC_DA,$C40,AC_THANG,FU$2,AC_KM,$E40),SUMIFS(TF_SOTIEN,TF_DA,$C40,TF_THANG,FU$2,TF_KM,$E40))/ 1000</f>
        <v>0</v>
      </c>
      <c r="GB40" s="1091" t="str">
        <f t="shared" si="458"/>
        <v/>
      </c>
      <c r="GC40" s="1089" t="str">
        <f t="shared" si="459"/>
        <v/>
      </c>
      <c r="GD40" s="1090">
        <f t="shared" si="460"/>
        <v>0</v>
      </c>
      <c r="GE40" s="1091" t="str">
        <f t="shared" si="111"/>
        <v/>
      </c>
      <c r="GF40" s="1090">
        <f t="shared" si="461"/>
        <v>0</v>
      </c>
      <c r="GG40" s="1091" t="str">
        <f t="shared" si="113"/>
        <v/>
      </c>
      <c r="GH40" s="1088">
        <f>SUMIFS(BP_SOTIEN,BP_DA,$C40,BP_THANG,GH$2,BP_KM,$E40)/1000</f>
        <v>0</v>
      </c>
      <c r="GI40" s="1091">
        <f t="shared" si="462"/>
        <v>0</v>
      </c>
      <c r="GJ40" s="1089" t="str">
        <f t="shared" si="463"/>
        <v/>
      </c>
      <c r="GK40" s="1090">
        <f>IF(NOW()&gt;=DATE(YEAR(GH$2),MONTH(GH$2)+1,DAY(GH$2)),SUMIFS(TF_SOTIEN,TF_DA,$C40,TF_THANG,GH$2,TF_KM,$E40)/1000, GN40)</f>
        <v>0</v>
      </c>
      <c r="GL40" s="1091">
        <f t="shared" si="464"/>
        <v>0</v>
      </c>
      <c r="GM40" s="1089" t="str">
        <f t="shared" si="465"/>
        <v/>
      </c>
      <c r="GN40" s="1090">
        <f>IF(NOW()&gt;=DATE(YEAR(GH$2),MONTH(GH$2)+1,DAY(GH$2)),SUMIFS(AC_SOTIEN,AC_DA,$C40,AC_THANG,GH$2,AC_KM,$E40),SUMIFS(TF_SOTIEN,TF_DA,$C40,TF_THANG,GH$2,TF_KM,$E40))/ 1000</f>
        <v>0</v>
      </c>
      <c r="GO40" s="1091" t="str">
        <f t="shared" si="466"/>
        <v/>
      </c>
      <c r="GP40" s="1089" t="str">
        <f t="shared" si="467"/>
        <v/>
      </c>
      <c r="GQ40" s="1090">
        <f t="shared" si="468"/>
        <v>0</v>
      </c>
      <c r="GR40" s="1091" t="str">
        <f t="shared" si="118"/>
        <v/>
      </c>
      <c r="GS40" s="1090">
        <f t="shared" si="469"/>
        <v>0</v>
      </c>
      <c r="GT40" s="1091" t="str">
        <f t="shared" si="120"/>
        <v/>
      </c>
      <c r="GU40" s="1088">
        <f>SUMIFS(BP_SOTIEN,BP_DA,$C40,BP_THANG,GU$2,BP_KM,$E40)/1000</f>
        <v>0</v>
      </c>
      <c r="GV40" s="1091">
        <f t="shared" si="470"/>
        <v>0</v>
      </c>
      <c r="GW40" s="1089" t="str">
        <f t="shared" si="471"/>
        <v/>
      </c>
      <c r="GX40" s="1090">
        <f>IF(NOW()&gt;=DATE(YEAR(GU$2),MONTH(GU$2)+1,DAY(GU$2)),SUMIFS(TF_SOTIEN,TF_DA,$C40,TF_THANG,GU$2,TF_KM,$E40)/1000, HA40)</f>
        <v>0</v>
      </c>
      <c r="GY40" s="1091">
        <f t="shared" si="472"/>
        <v>0</v>
      </c>
      <c r="GZ40" s="1089" t="str">
        <f t="shared" si="473"/>
        <v/>
      </c>
      <c r="HA40" s="1090">
        <f>IF(NOW()&gt;=DATE(YEAR(GU$2),MONTH(GU$2)+1,DAY(GU$2)),SUMIFS(AC_SOTIEN,AC_DA,$C40,AC_THANG,GU$2,AC_KM,$E40),SUMIFS(TF_SOTIEN,TF_DA,$C40,TF_THANG,GU$2,TF_KM,$E40))/ 1000</f>
        <v>0</v>
      </c>
      <c r="HB40" s="1091" t="str">
        <f t="shared" si="474"/>
        <v/>
      </c>
      <c r="HC40" s="1089" t="str">
        <f t="shared" si="475"/>
        <v/>
      </c>
      <c r="HD40" s="1090">
        <f t="shared" si="476"/>
        <v>0</v>
      </c>
      <c r="HE40" s="1091" t="str">
        <f t="shared" si="125"/>
        <v/>
      </c>
      <c r="HF40" s="1090">
        <f t="shared" si="477"/>
        <v>0</v>
      </c>
      <c r="HG40" s="1091" t="str">
        <f t="shared" si="127"/>
        <v/>
      </c>
      <c r="HH40" s="1088">
        <f t="shared" si="478"/>
        <v>0</v>
      </c>
      <c r="HI40" s="1091">
        <f t="shared" si="479"/>
        <v>0</v>
      </c>
      <c r="HJ40" s="1089" t="str">
        <f t="shared" si="480"/>
        <v/>
      </c>
      <c r="HK40" s="1090">
        <f t="shared" si="481"/>
        <v>0</v>
      </c>
      <c r="HL40" s="1091">
        <f t="shared" si="482"/>
        <v>0</v>
      </c>
      <c r="HM40" s="1089" t="str">
        <f t="shared" si="483"/>
        <v/>
      </c>
      <c r="HN40" s="1090">
        <f t="shared" si="484"/>
        <v>0</v>
      </c>
      <c r="HO40" s="1091" t="str">
        <f t="shared" si="485"/>
        <v/>
      </c>
      <c r="HP40" s="1089" t="str">
        <f t="shared" si="486"/>
        <v/>
      </c>
      <c r="HQ40" s="1090">
        <f t="shared" si="487"/>
        <v>0</v>
      </c>
      <c r="HR40" s="1091" t="str">
        <f t="shared" si="135"/>
        <v/>
      </c>
      <c r="HS40" s="1090">
        <f t="shared" si="488"/>
        <v>0</v>
      </c>
      <c r="HT40" s="1091" t="str">
        <f t="shared" si="137"/>
        <v/>
      </c>
      <c r="HU40" s="1088">
        <f t="shared" si="489"/>
        <v>0</v>
      </c>
      <c r="HV40" s="1091">
        <f t="shared" si="490"/>
        <v>0</v>
      </c>
      <c r="HW40" s="1089" t="str">
        <f t="shared" si="491"/>
        <v/>
      </c>
      <c r="HX40" s="1090">
        <f t="shared" si="492"/>
        <v>0</v>
      </c>
      <c r="HY40" s="1091">
        <f t="shared" si="493"/>
        <v>0</v>
      </c>
      <c r="HZ40" s="1089" t="str">
        <f t="shared" si="494"/>
        <v/>
      </c>
      <c r="IA40" s="1090">
        <f t="shared" si="495"/>
        <v>0</v>
      </c>
      <c r="IB40" s="1091" t="str">
        <f t="shared" si="496"/>
        <v/>
      </c>
      <c r="IC40" s="1089" t="str">
        <f t="shared" si="497"/>
        <v/>
      </c>
      <c r="ID40" s="1090">
        <f t="shared" si="498"/>
        <v>0</v>
      </c>
      <c r="IE40" s="1091" t="str">
        <f t="shared" si="145"/>
        <v/>
      </c>
      <c r="IF40" s="1090">
        <f t="shared" si="499"/>
        <v>0</v>
      </c>
      <c r="IG40" s="1091" t="str">
        <f t="shared" si="147"/>
        <v/>
      </c>
      <c r="IH40" s="1088">
        <f t="shared" si="500"/>
        <v>0</v>
      </c>
      <c r="II40" s="1091">
        <f t="shared" si="501"/>
        <v>0</v>
      </c>
      <c r="IJ40" s="1089" t="str">
        <f t="shared" si="502"/>
        <v/>
      </c>
      <c r="IK40" s="1090">
        <f t="shared" si="503"/>
        <v>0</v>
      </c>
      <c r="IL40" s="1091">
        <f t="shared" si="504"/>
        <v>0</v>
      </c>
      <c r="IM40" s="1089" t="str">
        <f t="shared" si="505"/>
        <v/>
      </c>
      <c r="IN40" s="1090">
        <f t="shared" si="506"/>
        <v>0</v>
      </c>
      <c r="IO40" s="1091" t="str">
        <f t="shared" si="507"/>
        <v/>
      </c>
      <c r="IP40" s="1089" t="str">
        <f t="shared" si="508"/>
        <v/>
      </c>
      <c r="IQ40" s="1090">
        <f t="shared" si="509"/>
        <v>0</v>
      </c>
      <c r="IR40" s="1091" t="str">
        <f t="shared" si="1"/>
        <v/>
      </c>
      <c r="IS40" s="1090">
        <f t="shared" si="510"/>
        <v>0</v>
      </c>
      <c r="IT40" s="1091" t="str">
        <f t="shared" si="2"/>
        <v/>
      </c>
    </row>
    <row r="41" collapsed="1">
      <c r="A41" s="1113" t="str">
        <f t="shared" si="337"/>
        <v/>
      </c>
      <c r="B41" s="1114" t="s">
        <v>2069</v>
      </c>
      <c r="C41" s="1114"/>
      <c r="D41" s="1114" t="str">
        <f>IF(C41&gt;0,VLOOKUP(C41,DM_DUAN ,2,"") ,IF(B41&gt;0,VLOOKUP(B41,DM_CDT,2,""),""))</f>
        <v>KIMCUONGLAND</v>
      </c>
      <c r="E41" s="1115" t="s">
        <v>2239</v>
      </c>
      <c r="F41" s="1115"/>
      <c r="G41" s="1116">
        <v>1.0</v>
      </c>
      <c r="H41" s="1083">
        <f>SUMIF($B42:$B$48,$B41,H42:H$48)</f>
        <v>0</v>
      </c>
      <c r="I41" s="1117" t="str">
        <f t="shared" si="338"/>
        <v/>
      </c>
      <c r="J41" s="1118" t="str">
        <f t="shared" si="339"/>
        <v/>
      </c>
      <c r="K41" s="1083">
        <f>SUMIF($B42:$B$48,$B41,K42:K$48)</f>
        <v>0</v>
      </c>
      <c r="L41" s="1117" t="str">
        <f t="shared" si="340"/>
        <v/>
      </c>
      <c r="M41" s="1118" t="str">
        <f t="shared" si="341"/>
        <v/>
      </c>
      <c r="N41" s="1083">
        <f>SUMIF($B42:$B$48,$B41,N42:N$48)</f>
        <v>0</v>
      </c>
      <c r="O41" s="1117" t="str">
        <f t="shared" si="342"/>
        <v/>
      </c>
      <c r="P41" s="1118" t="str">
        <f t="shared" si="343"/>
        <v/>
      </c>
      <c r="Q41" s="1119">
        <f t="shared" si="344"/>
        <v>0</v>
      </c>
      <c r="R41" s="1117" t="str">
        <f t="shared" si="8"/>
        <v/>
      </c>
      <c r="S41" s="1119">
        <f t="shared" si="345"/>
        <v>0</v>
      </c>
      <c r="T41" s="1117" t="str">
        <f t="shared" si="10"/>
        <v/>
      </c>
      <c r="U41" s="1083">
        <f>SUMIF($B42:$B$48,$B41,U42:U$48)</f>
        <v>0</v>
      </c>
      <c r="V41" s="1117" t="str">
        <f t="shared" si="346"/>
        <v/>
      </c>
      <c r="W41" s="1118" t="str">
        <f t="shared" si="347"/>
        <v/>
      </c>
      <c r="X41" s="1083">
        <f>SUMIF($B42:$B$48,$B41,X42:X$48)</f>
        <v>0</v>
      </c>
      <c r="Y41" s="1117" t="str">
        <f t="shared" si="348"/>
        <v/>
      </c>
      <c r="Z41" s="1118" t="str">
        <f t="shared" si="349"/>
        <v/>
      </c>
      <c r="AA41" s="1083">
        <f>SUMIF($B42:$B$48,$B41,AA42:AA$48)</f>
        <v>0</v>
      </c>
      <c r="AB41" s="1117" t="str">
        <f t="shared" si="350"/>
        <v/>
      </c>
      <c r="AC41" s="1118" t="str">
        <f t="shared" si="351"/>
        <v/>
      </c>
      <c r="AD41" s="1119">
        <f t="shared" si="352"/>
        <v>0</v>
      </c>
      <c r="AE41" s="1117" t="str">
        <f t="shared" si="15"/>
        <v/>
      </c>
      <c r="AF41" s="1119">
        <f t="shared" si="353"/>
        <v>0</v>
      </c>
      <c r="AG41" s="1117" t="str">
        <f t="shared" si="17"/>
        <v/>
      </c>
      <c r="AH41" s="1083">
        <f>SUMIF($B42:$B$48,$B41,AH42:AH$48)</f>
        <v>0</v>
      </c>
      <c r="AI41" s="1117" t="str">
        <f t="shared" si="354"/>
        <v/>
      </c>
      <c r="AJ41" s="1118" t="str">
        <f t="shared" si="355"/>
        <v/>
      </c>
      <c r="AK41" s="1083">
        <f>SUMIF($B42:$B$48,$B41,AK42:AK$48)</f>
        <v>0</v>
      </c>
      <c r="AL41" s="1117" t="str">
        <f t="shared" si="356"/>
        <v/>
      </c>
      <c r="AM41" s="1118" t="str">
        <f t="shared" si="357"/>
        <v/>
      </c>
      <c r="AN41" s="1083">
        <f>SUMIF($B42:$B$48,$B41,AN42:AN$48)</f>
        <v>0</v>
      </c>
      <c r="AO41" s="1117" t="str">
        <f t="shared" si="358"/>
        <v/>
      </c>
      <c r="AP41" s="1118" t="str">
        <f t="shared" si="359"/>
        <v/>
      </c>
      <c r="AQ41" s="1119">
        <f t="shared" si="360"/>
        <v>0</v>
      </c>
      <c r="AR41" s="1117" t="str">
        <f t="shared" si="22"/>
        <v/>
      </c>
      <c r="AS41" s="1119">
        <f t="shared" si="361"/>
        <v>0</v>
      </c>
      <c r="AT41" s="1117" t="str">
        <f t="shared" si="24"/>
        <v/>
      </c>
      <c r="AU41" s="1120">
        <f t="shared" si="362"/>
        <v>0</v>
      </c>
      <c r="AV41" s="1117" t="str">
        <f t="shared" si="363"/>
        <v/>
      </c>
      <c r="AW41" s="1118" t="str">
        <f t="shared" si="364"/>
        <v/>
      </c>
      <c r="AX41" s="1119">
        <f t="shared" si="365"/>
        <v>0</v>
      </c>
      <c r="AY41" s="1117" t="str">
        <f t="shared" si="366"/>
        <v/>
      </c>
      <c r="AZ41" s="1118" t="str">
        <f t="shared" si="367"/>
        <v/>
      </c>
      <c r="BA41" s="1119">
        <f t="shared" si="368"/>
        <v>0</v>
      </c>
      <c r="BB41" s="1117" t="str">
        <f t="shared" si="369"/>
        <v/>
      </c>
      <c r="BC41" s="1118" t="str">
        <f t="shared" si="370"/>
        <v/>
      </c>
      <c r="BD41" s="1119">
        <f t="shared" si="371"/>
        <v>0</v>
      </c>
      <c r="BE41" s="1117" t="str">
        <f t="shared" si="32"/>
        <v/>
      </c>
      <c r="BF41" s="1119">
        <f t="shared" si="372"/>
        <v>0</v>
      </c>
      <c r="BG41" s="1117" t="str">
        <f t="shared" si="34"/>
        <v/>
      </c>
      <c r="BH41" s="1083">
        <f>SUMIF($B42:$B$48,$B41,BH42:BH$48)</f>
        <v>0</v>
      </c>
      <c r="BI41" s="1117" t="str">
        <f t="shared" si="373"/>
        <v/>
      </c>
      <c r="BJ41" s="1118" t="str">
        <f t="shared" si="374"/>
        <v/>
      </c>
      <c r="BK41" s="1083">
        <f>SUMIF($B42:$B$48,$B41,BK42:BK$48)</f>
        <v>0</v>
      </c>
      <c r="BL41" s="1117" t="str">
        <f t="shared" si="375"/>
        <v/>
      </c>
      <c r="BM41" s="1118" t="str">
        <f t="shared" si="376"/>
        <v/>
      </c>
      <c r="BN41" s="1083">
        <f>SUMIF($B42:$B$48,$B41,BN42:BN$48)</f>
        <v>0</v>
      </c>
      <c r="BO41" s="1117" t="str">
        <f t="shared" si="377"/>
        <v/>
      </c>
      <c r="BP41" s="1118" t="str">
        <f t="shared" si="378"/>
        <v/>
      </c>
      <c r="BQ41" s="1119">
        <f t="shared" si="379"/>
        <v>0</v>
      </c>
      <c r="BR41" s="1117" t="str">
        <f t="shared" si="39"/>
        <v/>
      </c>
      <c r="BS41" s="1119">
        <f t="shared" si="380"/>
        <v>0</v>
      </c>
      <c r="BT41" s="1117" t="str">
        <f t="shared" si="41"/>
        <v/>
      </c>
      <c r="BU41" s="1083">
        <f>SUMIF($B42:$B$48,$B41,BU42:BU$48)</f>
        <v>0</v>
      </c>
      <c r="BV41" s="1117" t="str">
        <f t="shared" si="381"/>
        <v/>
      </c>
      <c r="BW41" s="1118" t="str">
        <f t="shared" si="382"/>
        <v/>
      </c>
      <c r="BX41" s="1083">
        <f>SUMIF($B42:$B$48,$B41,BX42:BX$48)</f>
        <v>0</v>
      </c>
      <c r="BY41" s="1117" t="str">
        <f t="shared" si="383"/>
        <v/>
      </c>
      <c r="BZ41" s="1118" t="str">
        <f t="shared" si="384"/>
        <v/>
      </c>
      <c r="CA41" s="1083">
        <f>SUMIF($B42:$B$48,$B41,CA42:CA$48)</f>
        <v>0</v>
      </c>
      <c r="CB41" s="1117" t="str">
        <f t="shared" si="385"/>
        <v/>
      </c>
      <c r="CC41" s="1118" t="str">
        <f t="shared" si="386"/>
        <v/>
      </c>
      <c r="CD41" s="1119">
        <f t="shared" si="387"/>
        <v>0</v>
      </c>
      <c r="CE41" s="1117" t="str">
        <f t="shared" si="46"/>
        <v/>
      </c>
      <c r="CF41" s="1119">
        <f t="shared" si="388"/>
        <v>0</v>
      </c>
      <c r="CG41" s="1117" t="str">
        <f t="shared" si="48"/>
        <v/>
      </c>
      <c r="CH41" s="1083">
        <f>SUMIF($B42:$B$48,$B41,CH42:CH$48)</f>
        <v>0</v>
      </c>
      <c r="CI41" s="1117" t="str">
        <f t="shared" si="389"/>
        <v/>
      </c>
      <c r="CJ41" s="1118" t="str">
        <f t="shared" si="390"/>
        <v/>
      </c>
      <c r="CK41" s="1083">
        <f>SUMIF($B42:$B$48,$B41,CK42:CK$48)</f>
        <v>0</v>
      </c>
      <c r="CL41" s="1117" t="str">
        <f t="shared" si="391"/>
        <v/>
      </c>
      <c r="CM41" s="1118" t="str">
        <f t="shared" si="392"/>
        <v/>
      </c>
      <c r="CN41" s="1083">
        <f>SUMIF($B42:$B$48,$B41,CN42:CN$48)</f>
        <v>0</v>
      </c>
      <c r="CO41" s="1117" t="str">
        <f t="shared" si="393"/>
        <v/>
      </c>
      <c r="CP41" s="1118" t="str">
        <f t="shared" si="394"/>
        <v/>
      </c>
      <c r="CQ41" s="1119">
        <f t="shared" si="395"/>
        <v>0</v>
      </c>
      <c r="CR41" s="1117" t="str">
        <f t="shared" si="53"/>
        <v/>
      </c>
      <c r="CS41" s="1119">
        <f t="shared" si="396"/>
        <v>0</v>
      </c>
      <c r="CT41" s="1117" t="str">
        <f t="shared" si="55"/>
        <v/>
      </c>
      <c r="CU41" s="1120">
        <f t="shared" si="397"/>
        <v>0</v>
      </c>
      <c r="CV41" s="1117" t="str">
        <f t="shared" si="398"/>
        <v/>
      </c>
      <c r="CW41" s="1118" t="str">
        <f t="shared" si="399"/>
        <v/>
      </c>
      <c r="CX41" s="1119">
        <f t="shared" si="400"/>
        <v>0</v>
      </c>
      <c r="CY41" s="1117" t="str">
        <f t="shared" si="401"/>
        <v/>
      </c>
      <c r="CZ41" s="1118" t="str">
        <f t="shared" si="402"/>
        <v/>
      </c>
      <c r="DA41" s="1119">
        <f t="shared" si="403"/>
        <v>0</v>
      </c>
      <c r="DB41" s="1117" t="str">
        <f t="shared" si="404"/>
        <v/>
      </c>
      <c r="DC41" s="1118" t="str">
        <f t="shared" si="405"/>
        <v/>
      </c>
      <c r="DD41" s="1119">
        <f t="shared" si="406"/>
        <v>0</v>
      </c>
      <c r="DE41" s="1117" t="str">
        <f t="shared" si="63"/>
        <v/>
      </c>
      <c r="DF41" s="1119">
        <f t="shared" si="407"/>
        <v>0</v>
      </c>
      <c r="DG41" s="1117" t="str">
        <f t="shared" si="65"/>
        <v/>
      </c>
      <c r="DH41" s="1120">
        <f t="shared" si="408"/>
        <v>0</v>
      </c>
      <c r="DI41" s="1117" t="str">
        <f t="shared" si="409"/>
        <v/>
      </c>
      <c r="DJ41" s="1118" t="str">
        <f t="shared" si="410"/>
        <v/>
      </c>
      <c r="DK41" s="1119">
        <f t="shared" si="411"/>
        <v>0</v>
      </c>
      <c r="DL41" s="1117" t="str">
        <f t="shared" si="412"/>
        <v/>
      </c>
      <c r="DM41" s="1118" t="str">
        <f t="shared" si="413"/>
        <v/>
      </c>
      <c r="DN41" s="1119">
        <f t="shared" si="414"/>
        <v>0</v>
      </c>
      <c r="DO41" s="1117" t="str">
        <f t="shared" si="415"/>
        <v/>
      </c>
      <c r="DP41" s="1118" t="str">
        <f t="shared" si="416"/>
        <v/>
      </c>
      <c r="DQ41" s="1119">
        <f t="shared" si="417"/>
        <v>0</v>
      </c>
      <c r="DR41" s="1117" t="str">
        <f t="shared" si="73"/>
        <v/>
      </c>
      <c r="DS41" s="1119">
        <f t="shared" si="418"/>
        <v>0</v>
      </c>
      <c r="DT41" s="1117" t="str">
        <f t="shared" si="75"/>
        <v/>
      </c>
      <c r="DU41" s="1083">
        <f>SUMIF($B42:$B$48,$B41,DU42:DU$48)</f>
        <v>0</v>
      </c>
      <c r="DV41" s="1117" t="str">
        <f t="shared" si="419"/>
        <v/>
      </c>
      <c r="DW41" s="1118" t="str">
        <f t="shared" si="420"/>
        <v/>
      </c>
      <c r="DX41" s="1083">
        <f>SUMIF($B42:$B$48,$B41,DX42:DX$48)</f>
        <v>0</v>
      </c>
      <c r="DY41" s="1117" t="str">
        <f t="shared" si="421"/>
        <v/>
      </c>
      <c r="DZ41" s="1118" t="str">
        <f t="shared" si="422"/>
        <v/>
      </c>
      <c r="EA41" s="1083">
        <f>SUMIF($B42:$B$48,$B41,EA42:EA$48)</f>
        <v>0</v>
      </c>
      <c r="EB41" s="1117" t="str">
        <f t="shared" si="423"/>
        <v/>
      </c>
      <c r="EC41" s="1118" t="str">
        <f t="shared" si="424"/>
        <v/>
      </c>
      <c r="ED41" s="1119">
        <f t="shared" si="425"/>
        <v>0</v>
      </c>
      <c r="EE41" s="1117" t="str">
        <f t="shared" si="80"/>
        <v/>
      </c>
      <c r="EF41" s="1119">
        <f t="shared" si="426"/>
        <v>0</v>
      </c>
      <c r="EG41" s="1117" t="str">
        <f t="shared" si="82"/>
        <v/>
      </c>
      <c r="EH41" s="1083">
        <f>SUMIF($B42:$B$48,$B41,EH42:EH$48)</f>
        <v>0</v>
      </c>
      <c r="EI41" s="1117" t="str">
        <f t="shared" si="427"/>
        <v/>
      </c>
      <c r="EJ41" s="1118" t="str">
        <f t="shared" si="428"/>
        <v/>
      </c>
      <c r="EK41" s="1083">
        <f>SUMIF($B42:$B$48,$B41,EK42:EK$48)</f>
        <v>0</v>
      </c>
      <c r="EL41" s="1117" t="str">
        <f t="shared" si="429"/>
        <v/>
      </c>
      <c r="EM41" s="1118" t="str">
        <f t="shared" si="430"/>
        <v/>
      </c>
      <c r="EN41" s="1083">
        <f>SUMIF($B42:$B$48,$B41,EN42:EN$48)</f>
        <v>0</v>
      </c>
      <c r="EO41" s="1117" t="str">
        <f t="shared" si="431"/>
        <v/>
      </c>
      <c r="EP41" s="1118" t="str">
        <f t="shared" si="432"/>
        <v/>
      </c>
      <c r="EQ41" s="1119">
        <f t="shared" si="433"/>
        <v>0</v>
      </c>
      <c r="ER41" s="1117" t="str">
        <f t="shared" si="87"/>
        <v/>
      </c>
      <c r="ES41" s="1119">
        <f t="shared" si="434"/>
        <v>0</v>
      </c>
      <c r="ET41" s="1117" t="str">
        <f t="shared" si="89"/>
        <v/>
      </c>
      <c r="EU41" s="1083">
        <f>SUMIF($B42:$B$48,$B41,EU42:EU$48)</f>
        <v>0</v>
      </c>
      <c r="EV41" s="1117" t="str">
        <f t="shared" si="435"/>
        <v/>
      </c>
      <c r="EW41" s="1118" t="str">
        <f t="shared" si="436"/>
        <v/>
      </c>
      <c r="EX41" s="1083">
        <f>SUMIF($B42:$B$48,$B41,EX42:EX$48)</f>
        <v>0</v>
      </c>
      <c r="EY41" s="1117" t="str">
        <f t="shared" si="437"/>
        <v/>
      </c>
      <c r="EZ41" s="1118" t="str">
        <f t="shared" si="438"/>
        <v/>
      </c>
      <c r="FA41" s="1083">
        <f>SUMIF($B42:$B$48,$B41,FA42:FA$48)</f>
        <v>0</v>
      </c>
      <c r="FB41" s="1117" t="str">
        <f t="shared" si="439"/>
        <v/>
      </c>
      <c r="FC41" s="1118" t="str">
        <f t="shared" si="440"/>
        <v/>
      </c>
      <c r="FD41" s="1119">
        <f t="shared" si="441"/>
        <v>0</v>
      </c>
      <c r="FE41" s="1117" t="str">
        <f t="shared" si="94"/>
        <v/>
      </c>
      <c r="FF41" s="1119">
        <f t="shared" si="442"/>
        <v>0</v>
      </c>
      <c r="FG41" s="1117" t="str">
        <f t="shared" si="96"/>
        <v/>
      </c>
      <c r="FH41" s="1120">
        <f t="shared" si="443"/>
        <v>0</v>
      </c>
      <c r="FI41" s="1117" t="str">
        <f t="shared" si="444"/>
        <v/>
      </c>
      <c r="FJ41" s="1118" t="str">
        <f t="shared" si="445"/>
        <v/>
      </c>
      <c r="FK41" s="1119">
        <f t="shared" si="446"/>
        <v>0</v>
      </c>
      <c r="FL41" s="1117" t="str">
        <f t="shared" si="447"/>
        <v/>
      </c>
      <c r="FM41" s="1118" t="str">
        <f t="shared" si="448"/>
        <v/>
      </c>
      <c r="FN41" s="1119">
        <f t="shared" si="449"/>
        <v>0</v>
      </c>
      <c r="FO41" s="1117" t="str">
        <f t="shared" si="450"/>
        <v/>
      </c>
      <c r="FP41" s="1118" t="str">
        <f t="shared" si="451"/>
        <v/>
      </c>
      <c r="FQ41" s="1119">
        <f t="shared" si="452"/>
        <v>0</v>
      </c>
      <c r="FR41" s="1117" t="str">
        <f t="shared" si="104"/>
        <v/>
      </c>
      <c r="FS41" s="1119">
        <f t="shared" si="453"/>
        <v>0</v>
      </c>
      <c r="FT41" s="1117" t="str">
        <f t="shared" si="106"/>
        <v/>
      </c>
      <c r="FU41" s="1083">
        <f>SUMIF($B42:$B$48,$B41,FU42:FU$48)</f>
        <v>0</v>
      </c>
      <c r="FV41" s="1117" t="str">
        <f t="shared" si="454"/>
        <v/>
      </c>
      <c r="FW41" s="1118" t="str">
        <f t="shared" si="455"/>
        <v/>
      </c>
      <c r="FX41" s="1083">
        <f>SUMIF($B42:$B$48,$B41,FX42:FX$48)</f>
        <v>0</v>
      </c>
      <c r="FY41" s="1117" t="str">
        <f t="shared" si="456"/>
        <v/>
      </c>
      <c r="FZ41" s="1118" t="str">
        <f t="shared" si="457"/>
        <v/>
      </c>
      <c r="GA41" s="1083">
        <f>SUMIF($B42:$B$48,$B41,GA42:GA$48)</f>
        <v>0</v>
      </c>
      <c r="GB41" s="1117" t="str">
        <f t="shared" si="458"/>
        <v/>
      </c>
      <c r="GC41" s="1118" t="str">
        <f t="shared" si="459"/>
        <v/>
      </c>
      <c r="GD41" s="1119">
        <f t="shared" si="460"/>
        <v>0</v>
      </c>
      <c r="GE41" s="1117" t="str">
        <f t="shared" si="111"/>
        <v/>
      </c>
      <c r="GF41" s="1119">
        <f t="shared" si="461"/>
        <v>0</v>
      </c>
      <c r="GG41" s="1117" t="str">
        <f t="shared" si="113"/>
        <v/>
      </c>
      <c r="GH41" s="1120">
        <f>SUMIFS(BP_SOTIEN,BP_DA,$C41,BP_THANG,GH$2,BP_KM,$E41)/1000</f>
        <v>0</v>
      </c>
      <c r="GI41" s="1117" t="str">
        <f t="shared" si="462"/>
        <v/>
      </c>
      <c r="GJ41" s="1118" t="str">
        <f t="shared" si="463"/>
        <v/>
      </c>
      <c r="GK41" s="1083">
        <f>SUMIF($B42:$B$48,$B41,GK42:GK$48)</f>
        <v>0</v>
      </c>
      <c r="GL41" s="1117" t="str">
        <f t="shared" si="464"/>
        <v/>
      </c>
      <c r="GM41" s="1118" t="str">
        <f t="shared" si="465"/>
        <v/>
      </c>
      <c r="GN41" s="1083">
        <f>SUMIF($B42:$B$48,$B41,GN42:GN$48)</f>
        <v>0</v>
      </c>
      <c r="GO41" s="1117" t="str">
        <f t="shared" si="466"/>
        <v/>
      </c>
      <c r="GP41" s="1118" t="str">
        <f t="shared" si="467"/>
        <v/>
      </c>
      <c r="GQ41" s="1119">
        <f t="shared" si="468"/>
        <v>0</v>
      </c>
      <c r="GR41" s="1117" t="str">
        <f t="shared" si="118"/>
        <v/>
      </c>
      <c r="GS41" s="1119">
        <f t="shared" si="469"/>
        <v>0</v>
      </c>
      <c r="GT41" s="1117" t="str">
        <f t="shared" si="120"/>
        <v/>
      </c>
      <c r="GU41" s="1083">
        <f>SUMIF($B42:$B$48,$B41,GU42:GU$48)</f>
        <v>0</v>
      </c>
      <c r="GV41" s="1117" t="str">
        <f t="shared" si="470"/>
        <v/>
      </c>
      <c r="GW41" s="1118" t="str">
        <f t="shared" si="471"/>
        <v/>
      </c>
      <c r="GX41" s="1083">
        <f>SUMIF($B42:$B$48,$B41,GX42:GX$48)</f>
        <v>0</v>
      </c>
      <c r="GY41" s="1117" t="str">
        <f t="shared" si="472"/>
        <v/>
      </c>
      <c r="GZ41" s="1118" t="str">
        <f t="shared" si="473"/>
        <v/>
      </c>
      <c r="HA41" s="1083">
        <f>SUMIF($B42:$B$48,$B41,HA42:HA$48)</f>
        <v>0</v>
      </c>
      <c r="HB41" s="1117" t="str">
        <f t="shared" si="474"/>
        <v/>
      </c>
      <c r="HC41" s="1118" t="str">
        <f t="shared" si="475"/>
        <v/>
      </c>
      <c r="HD41" s="1119">
        <f t="shared" si="476"/>
        <v>0</v>
      </c>
      <c r="HE41" s="1117" t="str">
        <f t="shared" si="125"/>
        <v/>
      </c>
      <c r="HF41" s="1119">
        <f t="shared" si="477"/>
        <v>0</v>
      </c>
      <c r="HG41" s="1117" t="str">
        <f t="shared" si="127"/>
        <v/>
      </c>
      <c r="HH41" s="1120">
        <f t="shared" si="478"/>
        <v>0</v>
      </c>
      <c r="HI41" s="1117" t="str">
        <f t="shared" si="479"/>
        <v/>
      </c>
      <c r="HJ41" s="1118" t="str">
        <f t="shared" si="480"/>
        <v/>
      </c>
      <c r="HK41" s="1119">
        <f t="shared" si="481"/>
        <v>0</v>
      </c>
      <c r="HL41" s="1117" t="str">
        <f t="shared" si="482"/>
        <v/>
      </c>
      <c r="HM41" s="1118" t="str">
        <f t="shared" si="483"/>
        <v/>
      </c>
      <c r="HN41" s="1119">
        <f t="shared" si="484"/>
        <v>0</v>
      </c>
      <c r="HO41" s="1117" t="str">
        <f t="shared" si="485"/>
        <v/>
      </c>
      <c r="HP41" s="1118" t="str">
        <f t="shared" si="486"/>
        <v/>
      </c>
      <c r="HQ41" s="1119">
        <f t="shared" si="487"/>
        <v>0</v>
      </c>
      <c r="HR41" s="1117" t="str">
        <f t="shared" si="135"/>
        <v/>
      </c>
      <c r="HS41" s="1119">
        <f t="shared" si="488"/>
        <v>0</v>
      </c>
      <c r="HT41" s="1117" t="str">
        <f t="shared" si="137"/>
        <v/>
      </c>
      <c r="HU41" s="1120">
        <f t="shared" si="489"/>
        <v>0</v>
      </c>
      <c r="HV41" s="1117" t="str">
        <f t="shared" si="490"/>
        <v/>
      </c>
      <c r="HW41" s="1118" t="str">
        <f t="shared" si="491"/>
        <v/>
      </c>
      <c r="HX41" s="1119">
        <f t="shared" si="492"/>
        <v>0</v>
      </c>
      <c r="HY41" s="1117" t="str">
        <f t="shared" si="493"/>
        <v/>
      </c>
      <c r="HZ41" s="1118" t="str">
        <f t="shared" si="494"/>
        <v/>
      </c>
      <c r="IA41" s="1119">
        <f t="shared" si="495"/>
        <v>0</v>
      </c>
      <c r="IB41" s="1117" t="str">
        <f t="shared" si="496"/>
        <v/>
      </c>
      <c r="IC41" s="1118" t="str">
        <f t="shared" si="497"/>
        <v/>
      </c>
      <c r="ID41" s="1119">
        <f t="shared" si="498"/>
        <v>0</v>
      </c>
      <c r="IE41" s="1117" t="str">
        <f t="shared" si="145"/>
        <v/>
      </c>
      <c r="IF41" s="1119">
        <f t="shared" si="499"/>
        <v>0</v>
      </c>
      <c r="IG41" s="1117" t="str">
        <f t="shared" si="147"/>
        <v/>
      </c>
      <c r="IH41" s="1120">
        <f t="shared" si="500"/>
        <v>0</v>
      </c>
      <c r="II41" s="1117" t="str">
        <f t="shared" si="501"/>
        <v/>
      </c>
      <c r="IJ41" s="1118" t="str">
        <f t="shared" si="502"/>
        <v/>
      </c>
      <c r="IK41" s="1119">
        <f t="shared" si="503"/>
        <v>0</v>
      </c>
      <c r="IL41" s="1117" t="str">
        <f t="shared" si="504"/>
        <v/>
      </c>
      <c r="IM41" s="1118" t="str">
        <f t="shared" si="505"/>
        <v/>
      </c>
      <c r="IN41" s="1119">
        <f t="shared" si="506"/>
        <v>0</v>
      </c>
      <c r="IO41" s="1117" t="str">
        <f t="shared" si="507"/>
        <v/>
      </c>
      <c r="IP41" s="1118" t="str">
        <f t="shared" si="508"/>
        <v/>
      </c>
      <c r="IQ41" s="1119">
        <f t="shared" si="509"/>
        <v>0</v>
      </c>
      <c r="IR41" s="1117" t="str">
        <f t="shared" si="1"/>
        <v/>
      </c>
      <c r="IS41" s="1119">
        <f t="shared" si="510"/>
        <v>0</v>
      </c>
      <c r="IT41" s="1117" t="str">
        <f t="shared" si="2"/>
        <v/>
      </c>
    </row>
    <row r="42" hidden="1" outlineLevel="1">
      <c r="A42" s="1086">
        <f t="shared" si="337"/>
        <v>5</v>
      </c>
      <c r="B42" s="1087" t="s">
        <v>2069</v>
      </c>
      <c r="C42" s="656" t="s">
        <v>638</v>
      </c>
      <c r="D42" s="1087" t="str">
        <f>IF(C42&gt;0,VLOOKUP(C42,DM_DUAN ,2,"") ,IF(B42&gt;0,VLOOKUP(B42,DM_CDT,2,""),""))</f>
        <v>Sản phẩm Phước Vinh</v>
      </c>
      <c r="E42" s="1087" t="s">
        <v>2239</v>
      </c>
      <c r="F42" s="1087"/>
      <c r="G42" s="1086">
        <v>2.0</v>
      </c>
      <c r="H42" s="1088">
        <f>SUMIFS(BP_SOTIEN,BP_DA,$C42,BP_THANG,H$2,BP_KM,$E42)/1000</f>
        <v>0</v>
      </c>
      <c r="I42" s="1091" t="str">
        <f t="shared" si="338"/>
        <v/>
      </c>
      <c r="J42" s="1089" t="str">
        <f t="shared" si="339"/>
        <v/>
      </c>
      <c r="K42" s="1090">
        <f>IF(NOW()&gt;=DATE(YEAR(H$2),MONTH(H$2)+1,DAY(H$2)),SUMIFS(TF_SOTIEN,TF_DA,$C42,TF_THANG,H$2,TF_KM,$E42)/1000, N42)</f>
        <v>0</v>
      </c>
      <c r="L42" s="1091" t="str">
        <f t="shared" si="340"/>
        <v/>
      </c>
      <c r="M42" s="1089" t="str">
        <f t="shared" si="341"/>
        <v/>
      </c>
      <c r="N42" s="1090">
        <f>IF(NOW()&gt;=DATE(YEAR(H$2),MONTH(H$2)+1,DAY(H$2)),SUMIFS(AC_SOTIEN,AC_DA,$C42,AC_THANG,H$2,AC_KM,$E42),SUMIFS(TF_SOTIEN,TF_DA,$C42,TF_THANG,H$2,TF_KM,$E42))/ 1000</f>
        <v>0</v>
      </c>
      <c r="O42" s="1091" t="str">
        <f t="shared" si="342"/>
        <v/>
      </c>
      <c r="P42" s="1089" t="str">
        <f t="shared" si="343"/>
        <v/>
      </c>
      <c r="Q42" s="1090">
        <f t="shared" si="344"/>
        <v>0</v>
      </c>
      <c r="R42" s="1091" t="str">
        <f t="shared" si="8"/>
        <v/>
      </c>
      <c r="S42" s="1090">
        <f t="shared" si="345"/>
        <v>0</v>
      </c>
      <c r="T42" s="1091" t="str">
        <f t="shared" si="10"/>
        <v/>
      </c>
      <c r="U42" s="1088">
        <f>SUMIFS(BP_SOTIEN,BP_DA,$C42,BP_THANG,U$2,BP_KM,$E42)/1000</f>
        <v>0</v>
      </c>
      <c r="V42" s="1091" t="str">
        <f t="shared" si="346"/>
        <v/>
      </c>
      <c r="W42" s="1089" t="str">
        <f t="shared" si="347"/>
        <v/>
      </c>
      <c r="X42" s="1090">
        <f>IF(NOW()&gt;=DATE(YEAR(U$2),MONTH(U$2)+1,DAY(U$2)),SUMIFS(TF_SOTIEN,TF_DA,$C42,TF_THANG,U$2,TF_KM,$E42)/1000, AA42)</f>
        <v>0</v>
      </c>
      <c r="Y42" s="1091" t="str">
        <f t="shared" si="348"/>
        <v/>
      </c>
      <c r="Z42" s="1089" t="str">
        <f t="shared" si="349"/>
        <v/>
      </c>
      <c r="AA42" s="1090">
        <f>IF(NOW()&gt;=DATE(YEAR(U$2),MONTH(U$2)+1,DAY(U$2)),SUMIFS(AC_SOTIEN,AC_DA,$C42,AC_THANG,U$2,AC_KM,$E42),SUMIFS(TF_SOTIEN,TF_DA,$C42,TF_THANG,U$2,TF_KM,$E42))/ 1000</f>
        <v>0</v>
      </c>
      <c r="AB42" s="1091" t="str">
        <f t="shared" si="350"/>
        <v/>
      </c>
      <c r="AC42" s="1089" t="str">
        <f t="shared" si="351"/>
        <v/>
      </c>
      <c r="AD42" s="1090">
        <f t="shared" si="352"/>
        <v>0</v>
      </c>
      <c r="AE42" s="1091" t="str">
        <f t="shared" si="15"/>
        <v/>
      </c>
      <c r="AF42" s="1090">
        <f t="shared" si="353"/>
        <v>0</v>
      </c>
      <c r="AG42" s="1091" t="str">
        <f t="shared" si="17"/>
        <v/>
      </c>
      <c r="AH42" s="1088">
        <f>SUMIFS(BP_SOTIEN,BP_DA,$C42,BP_THANG,AH$2,BP_KM,$E42)/1000</f>
        <v>0</v>
      </c>
      <c r="AI42" s="1091" t="str">
        <f t="shared" si="354"/>
        <v/>
      </c>
      <c r="AJ42" s="1089" t="str">
        <f t="shared" si="355"/>
        <v/>
      </c>
      <c r="AK42" s="1090">
        <f>IF(NOW()&gt;=DATE(YEAR(AH$2),MONTH(AH$2)+1,DAY(AH$2)),SUMIFS(TF_SOTIEN,TF_DA,$C42,TF_THANG,AH$2,TF_KM,$E42)/1000, AN42)</f>
        <v>0</v>
      </c>
      <c r="AL42" s="1091" t="str">
        <f t="shared" si="356"/>
        <v/>
      </c>
      <c r="AM42" s="1089" t="str">
        <f t="shared" si="357"/>
        <v/>
      </c>
      <c r="AN42" s="1090">
        <f>IF(NOW()&gt;=DATE(YEAR(AH$2),MONTH(AH$2)+1,DAY(AH$2)),SUMIFS(AC_SOTIEN,AC_DA,$C42,AC_THANG,AH$2,AC_KM,$E42),SUMIFS(TF_SOTIEN,TF_DA,$C42,TF_THANG,AH$2,TF_KM,$E42))/ 1000</f>
        <v>0</v>
      </c>
      <c r="AO42" s="1091" t="str">
        <f t="shared" si="358"/>
        <v/>
      </c>
      <c r="AP42" s="1089" t="str">
        <f t="shared" si="359"/>
        <v/>
      </c>
      <c r="AQ42" s="1090">
        <f t="shared" si="360"/>
        <v>0</v>
      </c>
      <c r="AR42" s="1091" t="str">
        <f t="shared" si="22"/>
        <v/>
      </c>
      <c r="AS42" s="1090">
        <f t="shared" si="361"/>
        <v>0</v>
      </c>
      <c r="AT42" s="1091" t="str">
        <f t="shared" si="24"/>
        <v/>
      </c>
      <c r="AU42" s="1088">
        <f t="shared" si="362"/>
        <v>0</v>
      </c>
      <c r="AV42" s="1091" t="str">
        <f t="shared" si="363"/>
        <v/>
      </c>
      <c r="AW42" s="1089" t="str">
        <f t="shared" si="364"/>
        <v/>
      </c>
      <c r="AX42" s="1090">
        <f t="shared" si="365"/>
        <v>0</v>
      </c>
      <c r="AY42" s="1091" t="str">
        <f t="shared" si="366"/>
        <v/>
      </c>
      <c r="AZ42" s="1089" t="str">
        <f t="shared" si="367"/>
        <v/>
      </c>
      <c r="BA42" s="1090">
        <f t="shared" si="368"/>
        <v>0</v>
      </c>
      <c r="BB42" s="1091" t="str">
        <f t="shared" si="369"/>
        <v/>
      </c>
      <c r="BC42" s="1089" t="str">
        <f t="shared" si="370"/>
        <v/>
      </c>
      <c r="BD42" s="1090">
        <f t="shared" si="371"/>
        <v>0</v>
      </c>
      <c r="BE42" s="1091" t="str">
        <f t="shared" si="32"/>
        <v/>
      </c>
      <c r="BF42" s="1090">
        <f t="shared" si="372"/>
        <v>0</v>
      </c>
      <c r="BG42" s="1091" t="str">
        <f t="shared" si="34"/>
        <v/>
      </c>
      <c r="BH42" s="1088">
        <f>SUMIFS(BP_SOTIEN,BP_DA,$C42,BP_THANG,BH$2,BP_KM,$E42)/1000</f>
        <v>0</v>
      </c>
      <c r="BI42" s="1091" t="str">
        <f t="shared" si="373"/>
        <v/>
      </c>
      <c r="BJ42" s="1089" t="str">
        <f t="shared" si="374"/>
        <v/>
      </c>
      <c r="BK42" s="1090">
        <f>IF(NOW()&gt;=DATE(YEAR(BH$2),MONTH(BH$2)+1,DAY(BH$2)),SUMIFS(TF_SOTIEN,TF_DA,$C42,TF_THANG,BH$2,TF_KM,$E42)/1000, BN42)</f>
        <v>0</v>
      </c>
      <c r="BL42" s="1091" t="str">
        <f t="shared" si="375"/>
        <v/>
      </c>
      <c r="BM42" s="1089" t="str">
        <f t="shared" si="376"/>
        <v/>
      </c>
      <c r="BN42" s="1090">
        <f>IF(NOW()&gt;=DATE(YEAR(BH$2),MONTH(BH$2)+1,DAY(BH$2)),SUMIFS(AC_SOTIEN,AC_DA,$C42,AC_THANG,BH$2,AC_KM,$E42),SUMIFS(TF_SOTIEN,TF_DA,$C42,TF_THANG,BH$2,TF_KM,$E42))/ 1000</f>
        <v>0</v>
      </c>
      <c r="BO42" s="1091">
        <f t="shared" si="377"/>
        <v>0</v>
      </c>
      <c r="BP42" s="1089" t="str">
        <f t="shared" si="378"/>
        <v/>
      </c>
      <c r="BQ42" s="1090">
        <f t="shared" si="379"/>
        <v>0</v>
      </c>
      <c r="BR42" s="1091" t="str">
        <f t="shared" si="39"/>
        <v/>
      </c>
      <c r="BS42" s="1090">
        <f t="shared" si="380"/>
        <v>0</v>
      </c>
      <c r="BT42" s="1091" t="str">
        <f t="shared" si="41"/>
        <v/>
      </c>
      <c r="BU42" s="1088">
        <f>SUMIFS(BP_SOTIEN,BP_DA,$C42,BP_THANG,BU$2,BP_KM,$E42)/1000</f>
        <v>0</v>
      </c>
      <c r="BV42" s="1091" t="str">
        <f t="shared" si="381"/>
        <v/>
      </c>
      <c r="BW42" s="1089" t="str">
        <f t="shared" si="382"/>
        <v/>
      </c>
      <c r="BX42" s="1090">
        <f>IF(NOW()&gt;=DATE(YEAR(BU$2),MONTH(BU$2)+1,DAY(BU$2)),SUMIFS(TF_SOTIEN,TF_DA,$C42,TF_THANG,BU$2,TF_KM,$E42)/1000, CA42)</f>
        <v>0</v>
      </c>
      <c r="BY42" s="1091" t="str">
        <f t="shared" si="383"/>
        <v/>
      </c>
      <c r="BZ42" s="1089" t="str">
        <f t="shared" si="384"/>
        <v/>
      </c>
      <c r="CA42" s="1090">
        <f>IF(NOW()&gt;=DATE(YEAR(BU$2),MONTH(BU$2)+1,DAY(BU$2)),SUMIFS(AC_SOTIEN,AC_DA,$C42,AC_THANG,BU$2,AC_KM,$E42),SUMIFS(TF_SOTIEN,TF_DA,$C42,TF_THANG,BU$2,TF_KM,$E42))/ 1000</f>
        <v>0</v>
      </c>
      <c r="CB42" s="1091" t="str">
        <f t="shared" si="385"/>
        <v/>
      </c>
      <c r="CC42" s="1089" t="str">
        <f t="shared" si="386"/>
        <v/>
      </c>
      <c r="CD42" s="1090">
        <f t="shared" si="387"/>
        <v>0</v>
      </c>
      <c r="CE42" s="1091" t="str">
        <f t="shared" si="46"/>
        <v/>
      </c>
      <c r="CF42" s="1090">
        <f t="shared" si="388"/>
        <v>0</v>
      </c>
      <c r="CG42" s="1091" t="str">
        <f t="shared" si="48"/>
        <v/>
      </c>
      <c r="CH42" s="1088">
        <f>SUMIFS(BP_SOTIEN,BP_DA,$C42,BP_THANG,CH$2,BP_KM,$E42)/1000</f>
        <v>0</v>
      </c>
      <c r="CI42" s="1091" t="str">
        <f t="shared" si="389"/>
        <v/>
      </c>
      <c r="CJ42" s="1089" t="str">
        <f t="shared" si="390"/>
        <v/>
      </c>
      <c r="CK42" s="1090">
        <f>IF(NOW()&gt;=DATE(YEAR(CH$2),MONTH(CH$2)+1,DAY(CH$2)),SUMIFS(TF_SOTIEN,TF_DA,$C42,TF_THANG,CH$2,TF_KM,$E42)/1000, CN42)</f>
        <v>0</v>
      </c>
      <c r="CL42" s="1091" t="str">
        <f t="shared" si="391"/>
        <v/>
      </c>
      <c r="CM42" s="1089" t="str">
        <f t="shared" si="392"/>
        <v/>
      </c>
      <c r="CN42" s="1090">
        <f>IF(NOW()&gt;=DATE(YEAR(CH$2),MONTH(CH$2)+1,DAY(CH$2)),SUMIFS(AC_SOTIEN,AC_DA,$C42,AC_THANG,CH$2,AC_KM,$E42),SUMIFS(TF_SOTIEN,TF_DA,$C42,TF_THANG,CH$2,TF_KM,$E42))/ 1000</f>
        <v>0</v>
      </c>
      <c r="CO42" s="1091" t="str">
        <f t="shared" si="393"/>
        <v/>
      </c>
      <c r="CP42" s="1089" t="str">
        <f t="shared" si="394"/>
        <v/>
      </c>
      <c r="CQ42" s="1090">
        <f t="shared" si="395"/>
        <v>0</v>
      </c>
      <c r="CR42" s="1091" t="str">
        <f t="shared" si="53"/>
        <v/>
      </c>
      <c r="CS42" s="1090">
        <f t="shared" si="396"/>
        <v>0</v>
      </c>
      <c r="CT42" s="1091" t="str">
        <f t="shared" si="55"/>
        <v/>
      </c>
      <c r="CU42" s="1088">
        <f t="shared" si="397"/>
        <v>0</v>
      </c>
      <c r="CV42" s="1091" t="str">
        <f t="shared" si="398"/>
        <v/>
      </c>
      <c r="CW42" s="1089" t="str">
        <f t="shared" si="399"/>
        <v/>
      </c>
      <c r="CX42" s="1090">
        <f t="shared" si="400"/>
        <v>0</v>
      </c>
      <c r="CY42" s="1091" t="str">
        <f t="shared" si="401"/>
        <v/>
      </c>
      <c r="CZ42" s="1089" t="str">
        <f t="shared" si="402"/>
        <v/>
      </c>
      <c r="DA42" s="1090">
        <f t="shared" si="403"/>
        <v>0</v>
      </c>
      <c r="DB42" s="1091">
        <f t="shared" si="404"/>
        <v>0</v>
      </c>
      <c r="DC42" s="1089" t="str">
        <f t="shared" si="405"/>
        <v/>
      </c>
      <c r="DD42" s="1090">
        <f t="shared" si="406"/>
        <v>0</v>
      </c>
      <c r="DE42" s="1091" t="str">
        <f t="shared" si="63"/>
        <v/>
      </c>
      <c r="DF42" s="1090">
        <f t="shared" si="407"/>
        <v>0</v>
      </c>
      <c r="DG42" s="1091" t="str">
        <f t="shared" si="65"/>
        <v/>
      </c>
      <c r="DH42" s="1088">
        <f t="shared" si="408"/>
        <v>0</v>
      </c>
      <c r="DI42" s="1091" t="str">
        <f t="shared" si="409"/>
        <v/>
      </c>
      <c r="DJ42" s="1089" t="str">
        <f t="shared" si="410"/>
        <v/>
      </c>
      <c r="DK42" s="1090">
        <f t="shared" si="411"/>
        <v>0</v>
      </c>
      <c r="DL42" s="1091" t="str">
        <f t="shared" si="412"/>
        <v/>
      </c>
      <c r="DM42" s="1089" t="str">
        <f t="shared" si="413"/>
        <v/>
      </c>
      <c r="DN42" s="1090">
        <f t="shared" si="414"/>
        <v>0</v>
      </c>
      <c r="DO42" s="1091">
        <f t="shared" si="415"/>
        <v>0</v>
      </c>
      <c r="DP42" s="1089" t="str">
        <f t="shared" si="416"/>
        <v/>
      </c>
      <c r="DQ42" s="1090">
        <f t="shared" si="417"/>
        <v>0</v>
      </c>
      <c r="DR42" s="1091" t="str">
        <f t="shared" si="73"/>
        <v/>
      </c>
      <c r="DS42" s="1090">
        <f t="shared" si="418"/>
        <v>0</v>
      </c>
      <c r="DT42" s="1091" t="str">
        <f t="shared" si="75"/>
        <v/>
      </c>
      <c r="DU42" s="1088">
        <f>SUMIFS(BP_SOTIEN,BP_DA,$C42,BP_THANG,DU$2,BP_KM,$E42)/1000</f>
        <v>0</v>
      </c>
      <c r="DV42" s="1091" t="str">
        <f t="shared" si="419"/>
        <v/>
      </c>
      <c r="DW42" s="1089" t="str">
        <f t="shared" si="420"/>
        <v/>
      </c>
      <c r="DX42" s="1090">
        <f>IF(NOW()&gt;=DATE(YEAR(DU$2),MONTH(DU$2)+1,DAY(DU$2)),SUMIFS(TF_SOTIEN,TF_DA,$C42,TF_THANG,DU$2,TF_KM,$E42)/1000, EA42)</f>
        <v>0</v>
      </c>
      <c r="DY42" s="1091" t="str">
        <f t="shared" si="421"/>
        <v/>
      </c>
      <c r="DZ42" s="1089" t="str">
        <f t="shared" si="422"/>
        <v/>
      </c>
      <c r="EA42" s="1090">
        <f>IF(NOW()&gt;=DATE(YEAR(DU$2),MONTH(DU$2)+1,DAY(DU$2)),SUMIFS(AC_SOTIEN,AC_DA,$C42,AC_THANG,DU$2,AC_KM,$E42),SUMIFS(TF_SOTIEN,TF_DA,$C42,TF_THANG,DU$2,TF_KM,$E42))/ 1000</f>
        <v>0</v>
      </c>
      <c r="EB42" s="1091" t="str">
        <f t="shared" si="423"/>
        <v/>
      </c>
      <c r="EC42" s="1089" t="str">
        <f t="shared" si="424"/>
        <v/>
      </c>
      <c r="ED42" s="1090">
        <f t="shared" si="425"/>
        <v>0</v>
      </c>
      <c r="EE42" s="1091" t="str">
        <f t="shared" si="80"/>
        <v/>
      </c>
      <c r="EF42" s="1090">
        <f t="shared" si="426"/>
        <v>0</v>
      </c>
      <c r="EG42" s="1091" t="str">
        <f t="shared" si="82"/>
        <v/>
      </c>
      <c r="EH42" s="1088">
        <f>SUMIFS(BP_SOTIEN,BP_DA,$C42,BP_THANG,EH$2,BP_KM,$E42)/1000</f>
        <v>0</v>
      </c>
      <c r="EI42" s="1091" t="str">
        <f t="shared" si="427"/>
        <v/>
      </c>
      <c r="EJ42" s="1089" t="str">
        <f t="shared" si="428"/>
        <v/>
      </c>
      <c r="EK42" s="1090">
        <f>IF(NOW()&gt;=DATE(YEAR(EH$2),MONTH(EH$2)+1,DAY(EH$2)),SUMIFS(TF_SOTIEN,TF_DA,$C42,TF_THANG,EH$2,TF_KM,$E42)/1000, EN42)</f>
        <v>0</v>
      </c>
      <c r="EL42" s="1091" t="str">
        <f t="shared" si="429"/>
        <v/>
      </c>
      <c r="EM42" s="1089" t="str">
        <f t="shared" si="430"/>
        <v/>
      </c>
      <c r="EN42" s="1090">
        <f>IF(NOW()&gt;=DATE(YEAR(EH$2),MONTH(EH$2)+1,DAY(EH$2)),SUMIFS(AC_SOTIEN,AC_DA,$C42,AC_THANG,EH$2,AC_KM,$E42),SUMIFS(TF_SOTIEN,TF_DA,$C42,TF_THANG,EH$2,TF_KM,$E42))/ 1000</f>
        <v>0</v>
      </c>
      <c r="EO42" s="1091" t="str">
        <f t="shared" si="431"/>
        <v/>
      </c>
      <c r="EP42" s="1089" t="str">
        <f t="shared" si="432"/>
        <v/>
      </c>
      <c r="EQ42" s="1090">
        <f t="shared" si="433"/>
        <v>0</v>
      </c>
      <c r="ER42" s="1091" t="str">
        <f t="shared" si="87"/>
        <v/>
      </c>
      <c r="ES42" s="1090">
        <f t="shared" si="434"/>
        <v>0</v>
      </c>
      <c r="ET42" s="1091" t="str">
        <f t="shared" si="89"/>
        <v/>
      </c>
      <c r="EU42" s="1088">
        <f>SUMIFS(BP_SOTIEN,BP_DA,$C42,BP_THANG,EU$2,BP_KM,$E42)/1000</f>
        <v>0</v>
      </c>
      <c r="EV42" s="1091" t="str">
        <f t="shared" si="435"/>
        <v/>
      </c>
      <c r="EW42" s="1089" t="str">
        <f t="shared" si="436"/>
        <v/>
      </c>
      <c r="EX42" s="1090">
        <f>IF(NOW()&gt;=DATE(YEAR(EU$2),MONTH(EU$2)+1,DAY(EU$2)),SUMIFS(TF_SOTIEN,TF_DA,$C42,TF_THANG,EU$2,TF_KM,$E42)/1000, FA42)</f>
        <v>0</v>
      </c>
      <c r="EY42" s="1091" t="str">
        <f t="shared" si="437"/>
        <v/>
      </c>
      <c r="EZ42" s="1089" t="str">
        <f t="shared" si="438"/>
        <v/>
      </c>
      <c r="FA42" s="1090">
        <f>IF(NOW()&gt;=DATE(YEAR(EU$2),MONTH(EU$2)+1,DAY(EU$2)),SUMIFS(AC_SOTIEN,AC_DA,$C42,AC_THANG,EU$2,AC_KM,$E42),SUMIFS(TF_SOTIEN,TF_DA,$C42,TF_THANG,EU$2,TF_KM,$E42))/ 1000</f>
        <v>0</v>
      </c>
      <c r="FB42" s="1091" t="str">
        <f t="shared" si="439"/>
        <v/>
      </c>
      <c r="FC42" s="1089" t="str">
        <f t="shared" si="440"/>
        <v/>
      </c>
      <c r="FD42" s="1090">
        <f t="shared" si="441"/>
        <v>0</v>
      </c>
      <c r="FE42" s="1091" t="str">
        <f t="shared" si="94"/>
        <v/>
      </c>
      <c r="FF42" s="1090">
        <f t="shared" si="442"/>
        <v>0</v>
      </c>
      <c r="FG42" s="1091" t="str">
        <f t="shared" si="96"/>
        <v/>
      </c>
      <c r="FH42" s="1088">
        <f t="shared" si="443"/>
        <v>0</v>
      </c>
      <c r="FI42" s="1091" t="str">
        <f t="shared" si="444"/>
        <v/>
      </c>
      <c r="FJ42" s="1089" t="str">
        <f t="shared" si="445"/>
        <v/>
      </c>
      <c r="FK42" s="1090">
        <f t="shared" si="446"/>
        <v>0</v>
      </c>
      <c r="FL42" s="1091" t="str">
        <f t="shared" si="447"/>
        <v/>
      </c>
      <c r="FM42" s="1089" t="str">
        <f t="shared" si="448"/>
        <v/>
      </c>
      <c r="FN42" s="1090">
        <f t="shared" si="449"/>
        <v>0</v>
      </c>
      <c r="FO42" s="1091" t="str">
        <f t="shared" si="450"/>
        <v/>
      </c>
      <c r="FP42" s="1089" t="str">
        <f t="shared" si="451"/>
        <v/>
      </c>
      <c r="FQ42" s="1090">
        <f t="shared" si="452"/>
        <v>0</v>
      </c>
      <c r="FR42" s="1091" t="str">
        <f t="shared" si="104"/>
        <v/>
      </c>
      <c r="FS42" s="1090">
        <f t="shared" si="453"/>
        <v>0</v>
      </c>
      <c r="FT42" s="1091" t="str">
        <f t="shared" si="106"/>
        <v/>
      </c>
      <c r="FU42" s="1088">
        <f>SUMIFS(BP_SOTIEN,BP_DA,$C42,BP_THANG,FU$2,BP_KM,$E42)/1000</f>
        <v>0</v>
      </c>
      <c r="FV42" s="1091" t="str">
        <f t="shared" si="454"/>
        <v/>
      </c>
      <c r="FW42" s="1089" t="str">
        <f t="shared" si="455"/>
        <v/>
      </c>
      <c r="FX42" s="1090">
        <f>IF(NOW()&gt;=DATE(YEAR(FU$2),MONTH(FU$2)+1,DAY(FU$2)),SUMIFS(TF_SOTIEN,TF_DA,$C42,TF_THANG,FU$2,TF_KM,$E42)/1000, GA42)</f>
        <v>0</v>
      </c>
      <c r="FY42" s="1091" t="str">
        <f t="shared" si="456"/>
        <v/>
      </c>
      <c r="FZ42" s="1089" t="str">
        <f t="shared" si="457"/>
        <v/>
      </c>
      <c r="GA42" s="1090">
        <f>IF(NOW()&gt;=DATE(YEAR(FU$2),MONTH(FU$2)+1,DAY(FU$2)),SUMIFS(AC_SOTIEN,AC_DA,$C42,AC_THANG,FU$2,AC_KM,$E42),SUMIFS(TF_SOTIEN,TF_DA,$C42,TF_THANG,FU$2,TF_KM,$E42))/ 1000</f>
        <v>0</v>
      </c>
      <c r="GB42" s="1091" t="str">
        <f t="shared" si="458"/>
        <v/>
      </c>
      <c r="GC42" s="1089" t="str">
        <f t="shared" si="459"/>
        <v/>
      </c>
      <c r="GD42" s="1090">
        <f t="shared" si="460"/>
        <v>0</v>
      </c>
      <c r="GE42" s="1091" t="str">
        <f t="shared" si="111"/>
        <v/>
      </c>
      <c r="GF42" s="1090">
        <f t="shared" si="461"/>
        <v>0</v>
      </c>
      <c r="GG42" s="1091" t="str">
        <f t="shared" si="113"/>
        <v/>
      </c>
      <c r="GH42" s="1088">
        <f>SUMIFS(BP_SOTIEN,BP_DA,$C42,BP_THANG,GH$2,BP_KM,$E42)/1000</f>
        <v>0</v>
      </c>
      <c r="GI42" s="1091" t="str">
        <f t="shared" si="462"/>
        <v/>
      </c>
      <c r="GJ42" s="1089" t="str">
        <f t="shared" si="463"/>
        <v/>
      </c>
      <c r="GK42" s="1090">
        <f>IF(NOW()&gt;=DATE(YEAR(GH$2),MONTH(GH$2)+1,DAY(GH$2)),SUMIFS(TF_SOTIEN,TF_DA,$C42,TF_THANG,GH$2,TF_KM,$E42)/1000, GN42)</f>
        <v>0</v>
      </c>
      <c r="GL42" s="1091" t="str">
        <f t="shared" si="464"/>
        <v/>
      </c>
      <c r="GM42" s="1089" t="str">
        <f t="shared" si="465"/>
        <v/>
      </c>
      <c r="GN42" s="1090">
        <f>IF(NOW()&gt;=DATE(YEAR(GH$2),MONTH(GH$2)+1,DAY(GH$2)),SUMIFS(AC_SOTIEN,AC_DA,$C42,AC_THANG,GH$2,AC_KM,$E42),SUMIFS(TF_SOTIEN,TF_DA,$C42,TF_THANG,GH$2,TF_KM,$E42))/ 1000</f>
        <v>0</v>
      </c>
      <c r="GO42" s="1091" t="str">
        <f t="shared" si="466"/>
        <v/>
      </c>
      <c r="GP42" s="1089" t="str">
        <f t="shared" si="467"/>
        <v/>
      </c>
      <c r="GQ42" s="1090">
        <f t="shared" si="468"/>
        <v>0</v>
      </c>
      <c r="GR42" s="1091" t="str">
        <f t="shared" si="118"/>
        <v/>
      </c>
      <c r="GS42" s="1090">
        <f t="shared" si="469"/>
        <v>0</v>
      </c>
      <c r="GT42" s="1091" t="str">
        <f t="shared" si="120"/>
        <v/>
      </c>
      <c r="GU42" s="1088">
        <f>SUMIFS(BP_SOTIEN,BP_DA,$C42,BP_THANG,GU$2,BP_KM,$E42)/1000</f>
        <v>0</v>
      </c>
      <c r="GV42" s="1091" t="str">
        <f t="shared" si="470"/>
        <v/>
      </c>
      <c r="GW42" s="1089" t="str">
        <f t="shared" si="471"/>
        <v/>
      </c>
      <c r="GX42" s="1090">
        <f>IF(NOW()&gt;=DATE(YEAR(GU$2),MONTH(GU$2)+1,DAY(GU$2)),SUMIFS(TF_SOTIEN,TF_DA,$C42,TF_THANG,GU$2,TF_KM,$E42)/1000, HA42)</f>
        <v>0</v>
      </c>
      <c r="GY42" s="1091" t="str">
        <f t="shared" si="472"/>
        <v/>
      </c>
      <c r="GZ42" s="1089" t="str">
        <f t="shared" si="473"/>
        <v/>
      </c>
      <c r="HA42" s="1090">
        <f>IF(NOW()&gt;=DATE(YEAR(GU$2),MONTH(GU$2)+1,DAY(GU$2)),SUMIFS(AC_SOTIEN,AC_DA,$C42,AC_THANG,GU$2,AC_KM,$E42),SUMIFS(TF_SOTIEN,TF_DA,$C42,TF_THANG,GU$2,TF_KM,$E42))/ 1000</f>
        <v>0</v>
      </c>
      <c r="HB42" s="1091" t="str">
        <f t="shared" si="474"/>
        <v/>
      </c>
      <c r="HC42" s="1089" t="str">
        <f t="shared" si="475"/>
        <v/>
      </c>
      <c r="HD42" s="1090">
        <f t="shared" si="476"/>
        <v>0</v>
      </c>
      <c r="HE42" s="1091" t="str">
        <f t="shared" si="125"/>
        <v/>
      </c>
      <c r="HF42" s="1090">
        <f t="shared" si="477"/>
        <v>0</v>
      </c>
      <c r="HG42" s="1091" t="str">
        <f t="shared" si="127"/>
        <v/>
      </c>
      <c r="HH42" s="1088">
        <f t="shared" si="478"/>
        <v>0</v>
      </c>
      <c r="HI42" s="1091" t="str">
        <f t="shared" si="479"/>
        <v/>
      </c>
      <c r="HJ42" s="1089" t="str">
        <f t="shared" si="480"/>
        <v/>
      </c>
      <c r="HK42" s="1090">
        <f t="shared" si="481"/>
        <v>0</v>
      </c>
      <c r="HL42" s="1091" t="str">
        <f t="shared" si="482"/>
        <v/>
      </c>
      <c r="HM42" s="1089" t="str">
        <f t="shared" si="483"/>
        <v/>
      </c>
      <c r="HN42" s="1090">
        <f t="shared" si="484"/>
        <v>0</v>
      </c>
      <c r="HO42" s="1091" t="str">
        <f t="shared" si="485"/>
        <v/>
      </c>
      <c r="HP42" s="1089" t="str">
        <f t="shared" si="486"/>
        <v/>
      </c>
      <c r="HQ42" s="1090">
        <f t="shared" si="487"/>
        <v>0</v>
      </c>
      <c r="HR42" s="1091" t="str">
        <f t="shared" si="135"/>
        <v/>
      </c>
      <c r="HS42" s="1090">
        <f t="shared" si="488"/>
        <v>0</v>
      </c>
      <c r="HT42" s="1091" t="str">
        <f t="shared" si="137"/>
        <v/>
      </c>
      <c r="HU42" s="1088">
        <f t="shared" si="489"/>
        <v>0</v>
      </c>
      <c r="HV42" s="1091" t="str">
        <f t="shared" si="490"/>
        <v/>
      </c>
      <c r="HW42" s="1089" t="str">
        <f t="shared" si="491"/>
        <v/>
      </c>
      <c r="HX42" s="1090">
        <f t="shared" si="492"/>
        <v>0</v>
      </c>
      <c r="HY42" s="1091" t="str">
        <f t="shared" si="493"/>
        <v/>
      </c>
      <c r="HZ42" s="1089" t="str">
        <f t="shared" si="494"/>
        <v/>
      </c>
      <c r="IA42" s="1090">
        <f t="shared" si="495"/>
        <v>0</v>
      </c>
      <c r="IB42" s="1091" t="str">
        <f t="shared" si="496"/>
        <v/>
      </c>
      <c r="IC42" s="1089" t="str">
        <f t="shared" si="497"/>
        <v/>
      </c>
      <c r="ID42" s="1090">
        <f t="shared" si="498"/>
        <v>0</v>
      </c>
      <c r="IE42" s="1091" t="str">
        <f t="shared" si="145"/>
        <v/>
      </c>
      <c r="IF42" s="1090">
        <f t="shared" si="499"/>
        <v>0</v>
      </c>
      <c r="IG42" s="1091" t="str">
        <f t="shared" si="147"/>
        <v/>
      </c>
      <c r="IH42" s="1088">
        <f t="shared" si="500"/>
        <v>0</v>
      </c>
      <c r="II42" s="1091" t="str">
        <f t="shared" si="501"/>
        <v/>
      </c>
      <c r="IJ42" s="1089" t="str">
        <f t="shared" si="502"/>
        <v/>
      </c>
      <c r="IK42" s="1090">
        <f t="shared" si="503"/>
        <v>0</v>
      </c>
      <c r="IL42" s="1091" t="str">
        <f t="shared" si="504"/>
        <v/>
      </c>
      <c r="IM42" s="1089" t="str">
        <f t="shared" si="505"/>
        <v/>
      </c>
      <c r="IN42" s="1090">
        <f t="shared" si="506"/>
        <v>0</v>
      </c>
      <c r="IO42" s="1091">
        <f t="shared" si="507"/>
        <v>0</v>
      </c>
      <c r="IP42" s="1089" t="str">
        <f t="shared" si="508"/>
        <v/>
      </c>
      <c r="IQ42" s="1090">
        <f t="shared" si="509"/>
        <v>0</v>
      </c>
      <c r="IR42" s="1091" t="str">
        <f t="shared" si="1"/>
        <v/>
      </c>
      <c r="IS42" s="1090">
        <f t="shared" si="510"/>
        <v>0</v>
      </c>
      <c r="IT42" s="1091" t="str">
        <f t="shared" si="2"/>
        <v/>
      </c>
    </row>
    <row r="43" hidden="1" outlineLevel="1">
      <c r="A43" s="1086">
        <f t="shared" si="337"/>
        <v>6</v>
      </c>
      <c r="B43" s="1087" t="s">
        <v>2069</v>
      </c>
      <c r="C43" s="1087" t="s">
        <v>875</v>
      </c>
      <c r="D43" s="1087" t="str">
        <f>IF(C43&gt;0,VLOOKUP(C43,DM_DUAN ,2,"") ,IF(B43&gt;0,VLOOKUP(B43,DM_CDT,2,""),""))</f>
        <v>Sản phẩm Long Khánh 2</v>
      </c>
      <c r="E43" s="1087" t="s">
        <v>2239</v>
      </c>
      <c r="F43" s="1087"/>
      <c r="G43" s="1086">
        <v>2.0</v>
      </c>
      <c r="H43" s="1088">
        <f>SUMIFS(BP_SOTIEN,BP_DA,$C43,BP_THANG,H$2,BP_KM,$E43)/1000</f>
        <v>0</v>
      </c>
      <c r="I43" s="1091" t="str">
        <f t="shared" si="338"/>
        <v/>
      </c>
      <c r="J43" s="1089" t="str">
        <f t="shared" si="339"/>
        <v/>
      </c>
      <c r="K43" s="1090">
        <f>IF(NOW()&gt;=DATE(YEAR(H$2),MONTH(H$2)+1,DAY(H$2)),SUMIFS(TF_SOTIEN,TF_DA,$C43,TF_THANG,H$2,TF_KM,$E43)/1000, N43)</f>
        <v>0</v>
      </c>
      <c r="L43" s="1091" t="str">
        <f t="shared" si="340"/>
        <v/>
      </c>
      <c r="M43" s="1089" t="str">
        <f t="shared" si="341"/>
        <v/>
      </c>
      <c r="N43" s="1090">
        <f>IF(NOW()&gt;=DATE(YEAR(H$2),MONTH(H$2)+1,DAY(H$2)),SUMIFS(AC_SOTIEN,AC_DA,$C43,AC_THANG,H$2,AC_KM,$E43),SUMIFS(TF_SOTIEN,TF_DA,$C43,TF_THANG,H$2,TF_KM,$E43))/ 1000</f>
        <v>0</v>
      </c>
      <c r="O43" s="1091" t="str">
        <f t="shared" si="342"/>
        <v/>
      </c>
      <c r="P43" s="1089" t="str">
        <f t="shared" si="343"/>
        <v/>
      </c>
      <c r="Q43" s="1090">
        <f t="shared" si="344"/>
        <v>0</v>
      </c>
      <c r="R43" s="1091" t="str">
        <f t="shared" si="8"/>
        <v/>
      </c>
      <c r="S43" s="1090">
        <f t="shared" si="345"/>
        <v>0</v>
      </c>
      <c r="T43" s="1091" t="str">
        <f t="shared" si="10"/>
        <v/>
      </c>
      <c r="U43" s="1088">
        <f>SUMIFS(BP_SOTIEN,BP_DA,$C43,BP_THANG,U$2,BP_KM,$E43)/1000</f>
        <v>0</v>
      </c>
      <c r="V43" s="1091" t="str">
        <f t="shared" si="346"/>
        <v/>
      </c>
      <c r="W43" s="1089" t="str">
        <f t="shared" si="347"/>
        <v/>
      </c>
      <c r="X43" s="1090">
        <f>IF(NOW()&gt;=DATE(YEAR(U$2),MONTH(U$2)+1,DAY(U$2)),SUMIFS(TF_SOTIEN,TF_DA,$C43,TF_THANG,U$2,TF_KM,$E43)/1000, AA43)</f>
        <v>0</v>
      </c>
      <c r="Y43" s="1091" t="str">
        <f t="shared" si="348"/>
        <v/>
      </c>
      <c r="Z43" s="1089" t="str">
        <f t="shared" si="349"/>
        <v/>
      </c>
      <c r="AA43" s="1090">
        <f>IF(NOW()&gt;=DATE(YEAR(U$2),MONTH(U$2)+1,DAY(U$2)),SUMIFS(AC_SOTIEN,AC_DA,$C43,AC_THANG,U$2,AC_KM,$E43),SUMIFS(TF_SOTIEN,TF_DA,$C43,TF_THANG,U$2,TF_KM,$E43))/ 1000</f>
        <v>0</v>
      </c>
      <c r="AB43" s="1091" t="str">
        <f t="shared" si="350"/>
        <v/>
      </c>
      <c r="AC43" s="1089" t="str">
        <f t="shared" si="351"/>
        <v/>
      </c>
      <c r="AD43" s="1090">
        <f t="shared" si="352"/>
        <v>0</v>
      </c>
      <c r="AE43" s="1091" t="str">
        <f t="shared" si="15"/>
        <v/>
      </c>
      <c r="AF43" s="1090">
        <f t="shared" si="353"/>
        <v>0</v>
      </c>
      <c r="AG43" s="1091" t="str">
        <f t="shared" si="17"/>
        <v/>
      </c>
      <c r="AH43" s="1088">
        <f>SUMIFS(BP_SOTIEN,BP_DA,$C43,BP_THANG,AH$2,BP_KM,$E43)/1000</f>
        <v>0</v>
      </c>
      <c r="AI43" s="1091" t="str">
        <f t="shared" si="354"/>
        <v/>
      </c>
      <c r="AJ43" s="1089" t="str">
        <f t="shared" si="355"/>
        <v/>
      </c>
      <c r="AK43" s="1090">
        <f>IF(NOW()&gt;=DATE(YEAR(AH$2),MONTH(AH$2)+1,DAY(AH$2)),SUMIFS(TF_SOTIEN,TF_DA,$C43,TF_THANG,AH$2,TF_KM,$E43)/1000, AN43)</f>
        <v>0</v>
      </c>
      <c r="AL43" s="1091" t="str">
        <f t="shared" si="356"/>
        <v/>
      </c>
      <c r="AM43" s="1089" t="str">
        <f t="shared" si="357"/>
        <v/>
      </c>
      <c r="AN43" s="1090">
        <f>IF(NOW()&gt;=DATE(YEAR(AH$2),MONTH(AH$2)+1,DAY(AH$2)),SUMIFS(AC_SOTIEN,AC_DA,$C43,AC_THANG,AH$2,AC_KM,$E43),SUMIFS(TF_SOTIEN,TF_DA,$C43,TF_THANG,AH$2,TF_KM,$E43))/ 1000</f>
        <v>0</v>
      </c>
      <c r="AO43" s="1091" t="str">
        <f t="shared" si="358"/>
        <v/>
      </c>
      <c r="AP43" s="1089" t="str">
        <f t="shared" si="359"/>
        <v/>
      </c>
      <c r="AQ43" s="1090">
        <f t="shared" si="360"/>
        <v>0</v>
      </c>
      <c r="AR43" s="1091" t="str">
        <f t="shared" si="22"/>
        <v/>
      </c>
      <c r="AS43" s="1090">
        <f t="shared" si="361"/>
        <v>0</v>
      </c>
      <c r="AT43" s="1091" t="str">
        <f t="shared" si="24"/>
        <v/>
      </c>
      <c r="AU43" s="1088">
        <f t="shared" si="362"/>
        <v>0</v>
      </c>
      <c r="AV43" s="1091" t="str">
        <f t="shared" si="363"/>
        <v/>
      </c>
      <c r="AW43" s="1089" t="str">
        <f t="shared" si="364"/>
        <v/>
      </c>
      <c r="AX43" s="1090">
        <f t="shared" si="365"/>
        <v>0</v>
      </c>
      <c r="AY43" s="1091" t="str">
        <f t="shared" si="366"/>
        <v/>
      </c>
      <c r="AZ43" s="1089" t="str">
        <f t="shared" si="367"/>
        <v/>
      </c>
      <c r="BA43" s="1090">
        <f t="shared" si="368"/>
        <v>0</v>
      </c>
      <c r="BB43" s="1091" t="str">
        <f t="shared" si="369"/>
        <v/>
      </c>
      <c r="BC43" s="1089" t="str">
        <f t="shared" si="370"/>
        <v/>
      </c>
      <c r="BD43" s="1090">
        <f t="shared" si="371"/>
        <v>0</v>
      </c>
      <c r="BE43" s="1091" t="str">
        <f t="shared" si="32"/>
        <v/>
      </c>
      <c r="BF43" s="1090">
        <f t="shared" si="372"/>
        <v>0</v>
      </c>
      <c r="BG43" s="1091" t="str">
        <f t="shared" si="34"/>
        <v/>
      </c>
      <c r="BH43" s="1088">
        <f>SUMIFS(BP_SOTIEN,BP_DA,$C43,BP_THANG,BH$2,BP_KM,$E43)/1000</f>
        <v>0</v>
      </c>
      <c r="BI43" s="1091" t="str">
        <f t="shared" si="373"/>
        <v/>
      </c>
      <c r="BJ43" s="1089" t="str">
        <f t="shared" si="374"/>
        <v/>
      </c>
      <c r="BK43" s="1090">
        <f>IF(NOW()&gt;=DATE(YEAR(BH$2),MONTH(BH$2)+1,DAY(BH$2)),SUMIFS(TF_SOTIEN,TF_DA,$C43,TF_THANG,BH$2,TF_KM,$E43)/1000, BN43)</f>
        <v>0</v>
      </c>
      <c r="BL43" s="1091" t="str">
        <f t="shared" si="375"/>
        <v/>
      </c>
      <c r="BM43" s="1089" t="str">
        <f t="shared" si="376"/>
        <v/>
      </c>
      <c r="BN43" s="1090">
        <f>IF(NOW()&gt;=DATE(YEAR(BH$2),MONTH(BH$2)+1,DAY(BH$2)),SUMIFS(AC_SOTIEN,AC_DA,$C43,AC_THANG,BH$2,AC_KM,$E43),SUMIFS(TF_SOTIEN,TF_DA,$C43,TF_THANG,BH$2,TF_KM,$E43))/ 1000</f>
        <v>0</v>
      </c>
      <c r="BO43" s="1091" t="str">
        <f t="shared" si="377"/>
        <v/>
      </c>
      <c r="BP43" s="1089" t="str">
        <f t="shared" si="378"/>
        <v/>
      </c>
      <c r="BQ43" s="1090">
        <f t="shared" si="379"/>
        <v>0</v>
      </c>
      <c r="BR43" s="1091" t="str">
        <f t="shared" si="39"/>
        <v/>
      </c>
      <c r="BS43" s="1090">
        <f t="shared" si="380"/>
        <v>0</v>
      </c>
      <c r="BT43" s="1091" t="str">
        <f t="shared" si="41"/>
        <v/>
      </c>
      <c r="BU43" s="1088">
        <f>SUMIFS(BP_SOTIEN,BP_DA,$C43,BP_THANG,BU$2,BP_KM,$E43)/1000</f>
        <v>0</v>
      </c>
      <c r="BV43" s="1091" t="str">
        <f t="shared" si="381"/>
        <v/>
      </c>
      <c r="BW43" s="1089" t="str">
        <f t="shared" si="382"/>
        <v/>
      </c>
      <c r="BX43" s="1090">
        <f>IF(NOW()&gt;=DATE(YEAR(BU$2),MONTH(BU$2)+1,DAY(BU$2)),SUMIFS(TF_SOTIEN,TF_DA,$C43,TF_THANG,BU$2,TF_KM,$E43)/1000, CA43)</f>
        <v>0</v>
      </c>
      <c r="BY43" s="1091" t="str">
        <f t="shared" si="383"/>
        <v/>
      </c>
      <c r="BZ43" s="1089" t="str">
        <f t="shared" si="384"/>
        <v/>
      </c>
      <c r="CA43" s="1090">
        <f>IF(NOW()&gt;=DATE(YEAR(BU$2),MONTH(BU$2)+1,DAY(BU$2)),SUMIFS(AC_SOTIEN,AC_DA,$C43,AC_THANG,BU$2,AC_KM,$E43),SUMIFS(TF_SOTIEN,TF_DA,$C43,TF_THANG,BU$2,TF_KM,$E43))/ 1000</f>
        <v>0</v>
      </c>
      <c r="CB43" s="1091" t="str">
        <f t="shared" si="385"/>
        <v/>
      </c>
      <c r="CC43" s="1089" t="str">
        <f t="shared" si="386"/>
        <v/>
      </c>
      <c r="CD43" s="1090">
        <f t="shared" si="387"/>
        <v>0</v>
      </c>
      <c r="CE43" s="1091" t="str">
        <f t="shared" si="46"/>
        <v/>
      </c>
      <c r="CF43" s="1090">
        <f t="shared" si="388"/>
        <v>0</v>
      </c>
      <c r="CG43" s="1091" t="str">
        <f t="shared" si="48"/>
        <v/>
      </c>
      <c r="CH43" s="1088">
        <f>SUMIFS(BP_SOTIEN,BP_DA,$C43,BP_THANG,CH$2,BP_KM,$E43)/1000</f>
        <v>0</v>
      </c>
      <c r="CI43" s="1091" t="str">
        <f t="shared" si="389"/>
        <v/>
      </c>
      <c r="CJ43" s="1089" t="str">
        <f t="shared" si="390"/>
        <v/>
      </c>
      <c r="CK43" s="1090">
        <f>IF(NOW()&gt;=DATE(YEAR(CH$2),MONTH(CH$2)+1,DAY(CH$2)),SUMIFS(TF_SOTIEN,TF_DA,$C43,TF_THANG,CH$2,TF_KM,$E43)/1000, CN43)</f>
        <v>0</v>
      </c>
      <c r="CL43" s="1091" t="str">
        <f t="shared" si="391"/>
        <v/>
      </c>
      <c r="CM43" s="1089" t="str">
        <f t="shared" si="392"/>
        <v/>
      </c>
      <c r="CN43" s="1090">
        <f>IF(NOW()&gt;=DATE(YEAR(CH$2),MONTH(CH$2)+1,DAY(CH$2)),SUMIFS(AC_SOTIEN,AC_DA,$C43,AC_THANG,CH$2,AC_KM,$E43),SUMIFS(TF_SOTIEN,TF_DA,$C43,TF_THANG,CH$2,TF_KM,$E43))/ 1000</f>
        <v>0</v>
      </c>
      <c r="CO43" s="1091" t="str">
        <f t="shared" si="393"/>
        <v/>
      </c>
      <c r="CP43" s="1089" t="str">
        <f t="shared" si="394"/>
        <v/>
      </c>
      <c r="CQ43" s="1090">
        <f t="shared" si="395"/>
        <v>0</v>
      </c>
      <c r="CR43" s="1091" t="str">
        <f t="shared" si="53"/>
        <v/>
      </c>
      <c r="CS43" s="1090">
        <f t="shared" si="396"/>
        <v>0</v>
      </c>
      <c r="CT43" s="1091" t="str">
        <f t="shared" si="55"/>
        <v/>
      </c>
      <c r="CU43" s="1088">
        <f t="shared" si="397"/>
        <v>0</v>
      </c>
      <c r="CV43" s="1091" t="str">
        <f t="shared" si="398"/>
        <v/>
      </c>
      <c r="CW43" s="1089" t="str">
        <f t="shared" si="399"/>
        <v/>
      </c>
      <c r="CX43" s="1090">
        <f t="shared" si="400"/>
        <v>0</v>
      </c>
      <c r="CY43" s="1091" t="str">
        <f t="shared" si="401"/>
        <v/>
      </c>
      <c r="CZ43" s="1089" t="str">
        <f t="shared" si="402"/>
        <v/>
      </c>
      <c r="DA43" s="1090">
        <f t="shared" si="403"/>
        <v>0</v>
      </c>
      <c r="DB43" s="1091" t="str">
        <f t="shared" si="404"/>
        <v/>
      </c>
      <c r="DC43" s="1089" t="str">
        <f t="shared" si="405"/>
        <v/>
      </c>
      <c r="DD43" s="1090">
        <f t="shared" si="406"/>
        <v>0</v>
      </c>
      <c r="DE43" s="1091" t="str">
        <f t="shared" si="63"/>
        <v/>
      </c>
      <c r="DF43" s="1090">
        <f t="shared" si="407"/>
        <v>0</v>
      </c>
      <c r="DG43" s="1091" t="str">
        <f t="shared" si="65"/>
        <v/>
      </c>
      <c r="DH43" s="1088">
        <f t="shared" si="408"/>
        <v>0</v>
      </c>
      <c r="DI43" s="1091" t="str">
        <f t="shared" si="409"/>
        <v/>
      </c>
      <c r="DJ43" s="1089" t="str">
        <f t="shared" si="410"/>
        <v/>
      </c>
      <c r="DK43" s="1090">
        <f t="shared" si="411"/>
        <v>0</v>
      </c>
      <c r="DL43" s="1091" t="str">
        <f t="shared" si="412"/>
        <v/>
      </c>
      <c r="DM43" s="1089" t="str">
        <f t="shared" si="413"/>
        <v/>
      </c>
      <c r="DN43" s="1090">
        <f t="shared" si="414"/>
        <v>0</v>
      </c>
      <c r="DO43" s="1091" t="str">
        <f t="shared" si="415"/>
        <v/>
      </c>
      <c r="DP43" s="1089" t="str">
        <f t="shared" si="416"/>
        <v/>
      </c>
      <c r="DQ43" s="1090">
        <f t="shared" si="417"/>
        <v>0</v>
      </c>
      <c r="DR43" s="1091" t="str">
        <f t="shared" si="73"/>
        <v/>
      </c>
      <c r="DS43" s="1090">
        <f t="shared" si="418"/>
        <v>0</v>
      </c>
      <c r="DT43" s="1091" t="str">
        <f t="shared" si="75"/>
        <v/>
      </c>
      <c r="DU43" s="1088">
        <f>SUMIFS(BP_SOTIEN,BP_DA,$C43,BP_THANG,DU$2,BP_KM,$E43)/1000</f>
        <v>0</v>
      </c>
      <c r="DV43" s="1091" t="str">
        <f t="shared" si="419"/>
        <v/>
      </c>
      <c r="DW43" s="1089" t="str">
        <f t="shared" si="420"/>
        <v/>
      </c>
      <c r="DX43" s="1090">
        <f>IF(NOW()&gt;=DATE(YEAR(DU$2),MONTH(DU$2)+1,DAY(DU$2)),SUMIFS(TF_SOTIEN,TF_DA,$C43,TF_THANG,DU$2,TF_KM,$E43)/1000, EA43)</f>
        <v>0</v>
      </c>
      <c r="DY43" s="1091" t="str">
        <f t="shared" si="421"/>
        <v/>
      </c>
      <c r="DZ43" s="1089" t="str">
        <f t="shared" si="422"/>
        <v/>
      </c>
      <c r="EA43" s="1090">
        <f>IF(NOW()&gt;=DATE(YEAR(DU$2),MONTH(DU$2)+1,DAY(DU$2)),SUMIFS(AC_SOTIEN,AC_DA,$C43,AC_THANG,DU$2,AC_KM,$E43),SUMIFS(TF_SOTIEN,TF_DA,$C43,TF_THANG,DU$2,TF_KM,$E43))/ 1000</f>
        <v>0</v>
      </c>
      <c r="EB43" s="1091" t="str">
        <f t="shared" si="423"/>
        <v/>
      </c>
      <c r="EC43" s="1089" t="str">
        <f t="shared" si="424"/>
        <v/>
      </c>
      <c r="ED43" s="1090">
        <f t="shared" si="425"/>
        <v>0</v>
      </c>
      <c r="EE43" s="1091" t="str">
        <f t="shared" si="80"/>
        <v/>
      </c>
      <c r="EF43" s="1090">
        <f t="shared" si="426"/>
        <v>0</v>
      </c>
      <c r="EG43" s="1091" t="str">
        <f t="shared" si="82"/>
        <v/>
      </c>
      <c r="EH43" s="1088">
        <f>SUMIFS(BP_SOTIEN,BP_DA,$C43,BP_THANG,EH$2,BP_KM,$E43)/1000</f>
        <v>0</v>
      </c>
      <c r="EI43" s="1091" t="str">
        <f t="shared" si="427"/>
        <v/>
      </c>
      <c r="EJ43" s="1089" t="str">
        <f t="shared" si="428"/>
        <v/>
      </c>
      <c r="EK43" s="1090">
        <f>IF(NOW()&gt;=DATE(YEAR(EH$2),MONTH(EH$2)+1,DAY(EH$2)),SUMIFS(TF_SOTIEN,TF_DA,$C43,TF_THANG,EH$2,TF_KM,$E43)/1000, EN43)</f>
        <v>0</v>
      </c>
      <c r="EL43" s="1091" t="str">
        <f t="shared" si="429"/>
        <v/>
      </c>
      <c r="EM43" s="1089" t="str">
        <f t="shared" si="430"/>
        <v/>
      </c>
      <c r="EN43" s="1090">
        <f>IF(NOW()&gt;=DATE(YEAR(EH$2),MONTH(EH$2)+1,DAY(EH$2)),SUMIFS(AC_SOTIEN,AC_DA,$C43,AC_THANG,EH$2,AC_KM,$E43),SUMIFS(TF_SOTIEN,TF_DA,$C43,TF_THANG,EH$2,TF_KM,$E43))/ 1000</f>
        <v>0</v>
      </c>
      <c r="EO43" s="1091" t="str">
        <f t="shared" si="431"/>
        <v/>
      </c>
      <c r="EP43" s="1089" t="str">
        <f t="shared" si="432"/>
        <v/>
      </c>
      <c r="EQ43" s="1090">
        <f t="shared" si="433"/>
        <v>0</v>
      </c>
      <c r="ER43" s="1091" t="str">
        <f t="shared" si="87"/>
        <v/>
      </c>
      <c r="ES43" s="1090">
        <f t="shared" si="434"/>
        <v>0</v>
      </c>
      <c r="ET43" s="1091" t="str">
        <f t="shared" si="89"/>
        <v/>
      </c>
      <c r="EU43" s="1088">
        <f>SUMIFS(BP_SOTIEN,BP_DA,$C43,BP_THANG,EU$2,BP_KM,$E43)/1000</f>
        <v>0</v>
      </c>
      <c r="EV43" s="1091" t="str">
        <f t="shared" si="435"/>
        <v/>
      </c>
      <c r="EW43" s="1089" t="str">
        <f t="shared" si="436"/>
        <v/>
      </c>
      <c r="EX43" s="1090">
        <f>IF(NOW()&gt;=DATE(YEAR(EU$2),MONTH(EU$2)+1,DAY(EU$2)),SUMIFS(TF_SOTIEN,TF_DA,$C43,TF_THANG,EU$2,TF_KM,$E43)/1000, FA43)</f>
        <v>0</v>
      </c>
      <c r="EY43" s="1091" t="str">
        <f t="shared" si="437"/>
        <v/>
      </c>
      <c r="EZ43" s="1089" t="str">
        <f t="shared" si="438"/>
        <v/>
      </c>
      <c r="FA43" s="1090">
        <f>IF(NOW()&gt;=DATE(YEAR(EU$2),MONTH(EU$2)+1,DAY(EU$2)),SUMIFS(AC_SOTIEN,AC_DA,$C43,AC_THANG,EU$2,AC_KM,$E43),SUMIFS(TF_SOTIEN,TF_DA,$C43,TF_THANG,EU$2,TF_KM,$E43))/ 1000</f>
        <v>0</v>
      </c>
      <c r="FB43" s="1091" t="str">
        <f t="shared" si="439"/>
        <v/>
      </c>
      <c r="FC43" s="1089" t="str">
        <f t="shared" si="440"/>
        <v/>
      </c>
      <c r="FD43" s="1090">
        <f t="shared" si="441"/>
        <v>0</v>
      </c>
      <c r="FE43" s="1091" t="str">
        <f t="shared" si="94"/>
        <v/>
      </c>
      <c r="FF43" s="1090">
        <f t="shared" si="442"/>
        <v>0</v>
      </c>
      <c r="FG43" s="1091" t="str">
        <f t="shared" si="96"/>
        <v/>
      </c>
      <c r="FH43" s="1088">
        <f t="shared" si="443"/>
        <v>0</v>
      </c>
      <c r="FI43" s="1091" t="str">
        <f t="shared" si="444"/>
        <v/>
      </c>
      <c r="FJ43" s="1089" t="str">
        <f t="shared" si="445"/>
        <v/>
      </c>
      <c r="FK43" s="1090">
        <f t="shared" si="446"/>
        <v>0</v>
      </c>
      <c r="FL43" s="1091" t="str">
        <f t="shared" si="447"/>
        <v/>
      </c>
      <c r="FM43" s="1089" t="str">
        <f t="shared" si="448"/>
        <v/>
      </c>
      <c r="FN43" s="1090">
        <f t="shared" si="449"/>
        <v>0</v>
      </c>
      <c r="FO43" s="1091" t="str">
        <f t="shared" si="450"/>
        <v/>
      </c>
      <c r="FP43" s="1089" t="str">
        <f t="shared" si="451"/>
        <v/>
      </c>
      <c r="FQ43" s="1090">
        <f t="shared" si="452"/>
        <v>0</v>
      </c>
      <c r="FR43" s="1091" t="str">
        <f t="shared" si="104"/>
        <v/>
      </c>
      <c r="FS43" s="1090">
        <f t="shared" si="453"/>
        <v>0</v>
      </c>
      <c r="FT43" s="1091" t="str">
        <f t="shared" si="106"/>
        <v/>
      </c>
      <c r="FU43" s="1088">
        <f>SUMIFS(BP_SOTIEN,BP_DA,$C43,BP_THANG,FU$2,BP_KM,$E43)/1000</f>
        <v>0</v>
      </c>
      <c r="FV43" s="1091" t="str">
        <f t="shared" si="454"/>
        <v/>
      </c>
      <c r="FW43" s="1089" t="str">
        <f t="shared" si="455"/>
        <v/>
      </c>
      <c r="FX43" s="1090">
        <f>IF(NOW()&gt;=DATE(YEAR(FU$2),MONTH(FU$2)+1,DAY(FU$2)),SUMIFS(TF_SOTIEN,TF_DA,$C43,TF_THANG,FU$2,TF_KM,$E43)/1000, GA43)</f>
        <v>0</v>
      </c>
      <c r="FY43" s="1091" t="str">
        <f t="shared" si="456"/>
        <v/>
      </c>
      <c r="FZ43" s="1089" t="str">
        <f t="shared" si="457"/>
        <v/>
      </c>
      <c r="GA43" s="1090">
        <f>IF(NOW()&gt;=DATE(YEAR(FU$2),MONTH(FU$2)+1,DAY(FU$2)),SUMIFS(AC_SOTIEN,AC_DA,$C43,AC_THANG,FU$2,AC_KM,$E43),SUMIFS(TF_SOTIEN,TF_DA,$C43,TF_THANG,FU$2,TF_KM,$E43))/ 1000</f>
        <v>0</v>
      </c>
      <c r="GB43" s="1091" t="str">
        <f t="shared" si="458"/>
        <v/>
      </c>
      <c r="GC43" s="1089" t="str">
        <f t="shared" si="459"/>
        <v/>
      </c>
      <c r="GD43" s="1090">
        <f t="shared" si="460"/>
        <v>0</v>
      </c>
      <c r="GE43" s="1091" t="str">
        <f t="shared" si="111"/>
        <v/>
      </c>
      <c r="GF43" s="1090">
        <f t="shared" si="461"/>
        <v>0</v>
      </c>
      <c r="GG43" s="1091" t="str">
        <f t="shared" si="113"/>
        <v/>
      </c>
      <c r="GH43" s="1088">
        <f>SUMIFS(BP_SOTIEN,BP_DA,$C43,BP_THANG,GH$2,BP_KM,$E43)/1000</f>
        <v>0</v>
      </c>
      <c r="GI43" s="1091" t="str">
        <f t="shared" si="462"/>
        <v/>
      </c>
      <c r="GJ43" s="1089" t="str">
        <f t="shared" si="463"/>
        <v/>
      </c>
      <c r="GK43" s="1090">
        <f>IF(NOW()&gt;=DATE(YEAR(GH$2),MONTH(GH$2)+1,DAY(GH$2)),SUMIFS(TF_SOTIEN,TF_DA,$C43,TF_THANG,GH$2,TF_KM,$E43)/1000, GN43)</f>
        <v>0</v>
      </c>
      <c r="GL43" s="1091" t="str">
        <f t="shared" si="464"/>
        <v/>
      </c>
      <c r="GM43" s="1089" t="str">
        <f t="shared" si="465"/>
        <v/>
      </c>
      <c r="GN43" s="1090">
        <f>IF(NOW()&gt;=DATE(YEAR(GH$2),MONTH(GH$2)+1,DAY(GH$2)),SUMIFS(AC_SOTIEN,AC_DA,$C43,AC_THANG,GH$2,AC_KM,$E43),SUMIFS(TF_SOTIEN,TF_DA,$C43,TF_THANG,GH$2,TF_KM,$E43))/ 1000</f>
        <v>0</v>
      </c>
      <c r="GO43" s="1091" t="str">
        <f t="shared" si="466"/>
        <v/>
      </c>
      <c r="GP43" s="1089" t="str">
        <f t="shared" si="467"/>
        <v/>
      </c>
      <c r="GQ43" s="1090">
        <f t="shared" si="468"/>
        <v>0</v>
      </c>
      <c r="GR43" s="1091" t="str">
        <f t="shared" si="118"/>
        <v/>
      </c>
      <c r="GS43" s="1090">
        <f t="shared" si="469"/>
        <v>0</v>
      </c>
      <c r="GT43" s="1091" t="str">
        <f t="shared" si="120"/>
        <v/>
      </c>
      <c r="GU43" s="1088">
        <f>SUMIFS(BP_SOTIEN,BP_DA,$C43,BP_THANG,GU$2,BP_KM,$E43)/1000</f>
        <v>0</v>
      </c>
      <c r="GV43" s="1091" t="str">
        <f t="shared" si="470"/>
        <v/>
      </c>
      <c r="GW43" s="1089" t="str">
        <f t="shared" si="471"/>
        <v/>
      </c>
      <c r="GX43" s="1090">
        <f>IF(NOW()&gt;=DATE(YEAR(GU$2),MONTH(GU$2)+1,DAY(GU$2)),SUMIFS(TF_SOTIEN,TF_DA,$C43,TF_THANG,GU$2,TF_KM,$E43)/1000, HA43)</f>
        <v>0</v>
      </c>
      <c r="GY43" s="1091" t="str">
        <f t="shared" si="472"/>
        <v/>
      </c>
      <c r="GZ43" s="1089" t="str">
        <f t="shared" si="473"/>
        <v/>
      </c>
      <c r="HA43" s="1090">
        <f>IF(NOW()&gt;=DATE(YEAR(GU$2),MONTH(GU$2)+1,DAY(GU$2)),SUMIFS(AC_SOTIEN,AC_DA,$C43,AC_THANG,GU$2,AC_KM,$E43),SUMIFS(TF_SOTIEN,TF_DA,$C43,TF_THANG,GU$2,TF_KM,$E43))/ 1000</f>
        <v>0</v>
      </c>
      <c r="HB43" s="1091" t="str">
        <f t="shared" si="474"/>
        <v/>
      </c>
      <c r="HC43" s="1089" t="str">
        <f t="shared" si="475"/>
        <v/>
      </c>
      <c r="HD43" s="1090">
        <f t="shared" si="476"/>
        <v>0</v>
      </c>
      <c r="HE43" s="1091" t="str">
        <f t="shared" si="125"/>
        <v/>
      </c>
      <c r="HF43" s="1090">
        <f t="shared" si="477"/>
        <v>0</v>
      </c>
      <c r="HG43" s="1091" t="str">
        <f t="shared" si="127"/>
        <v/>
      </c>
      <c r="HH43" s="1088">
        <f t="shared" si="478"/>
        <v>0</v>
      </c>
      <c r="HI43" s="1091" t="str">
        <f t="shared" si="479"/>
        <v/>
      </c>
      <c r="HJ43" s="1089" t="str">
        <f t="shared" si="480"/>
        <v/>
      </c>
      <c r="HK43" s="1090">
        <f t="shared" si="481"/>
        <v>0</v>
      </c>
      <c r="HL43" s="1091" t="str">
        <f t="shared" si="482"/>
        <v/>
      </c>
      <c r="HM43" s="1089" t="str">
        <f t="shared" si="483"/>
        <v/>
      </c>
      <c r="HN43" s="1090">
        <f t="shared" si="484"/>
        <v>0</v>
      </c>
      <c r="HO43" s="1091" t="str">
        <f t="shared" si="485"/>
        <v/>
      </c>
      <c r="HP43" s="1089" t="str">
        <f t="shared" si="486"/>
        <v/>
      </c>
      <c r="HQ43" s="1090">
        <f t="shared" si="487"/>
        <v>0</v>
      </c>
      <c r="HR43" s="1091" t="str">
        <f t="shared" si="135"/>
        <v/>
      </c>
      <c r="HS43" s="1090">
        <f t="shared" si="488"/>
        <v>0</v>
      </c>
      <c r="HT43" s="1091" t="str">
        <f t="shared" si="137"/>
        <v/>
      </c>
      <c r="HU43" s="1088">
        <f t="shared" si="489"/>
        <v>0</v>
      </c>
      <c r="HV43" s="1091" t="str">
        <f t="shared" si="490"/>
        <v/>
      </c>
      <c r="HW43" s="1089" t="str">
        <f t="shared" si="491"/>
        <v/>
      </c>
      <c r="HX43" s="1090">
        <f t="shared" si="492"/>
        <v>0</v>
      </c>
      <c r="HY43" s="1091" t="str">
        <f t="shared" si="493"/>
        <v/>
      </c>
      <c r="HZ43" s="1089" t="str">
        <f t="shared" si="494"/>
        <v/>
      </c>
      <c r="IA43" s="1090">
        <f t="shared" si="495"/>
        <v>0</v>
      </c>
      <c r="IB43" s="1091" t="str">
        <f t="shared" si="496"/>
        <v/>
      </c>
      <c r="IC43" s="1089" t="str">
        <f t="shared" si="497"/>
        <v/>
      </c>
      <c r="ID43" s="1090">
        <f t="shared" si="498"/>
        <v>0</v>
      </c>
      <c r="IE43" s="1091" t="str">
        <f t="shared" si="145"/>
        <v/>
      </c>
      <c r="IF43" s="1090">
        <f t="shared" si="499"/>
        <v>0</v>
      </c>
      <c r="IG43" s="1091" t="str">
        <f t="shared" si="147"/>
        <v/>
      </c>
      <c r="IH43" s="1088">
        <f t="shared" si="500"/>
        <v>0</v>
      </c>
      <c r="II43" s="1091" t="str">
        <f t="shared" si="501"/>
        <v/>
      </c>
      <c r="IJ43" s="1089" t="str">
        <f t="shared" si="502"/>
        <v/>
      </c>
      <c r="IK43" s="1090">
        <f t="shared" si="503"/>
        <v>0</v>
      </c>
      <c r="IL43" s="1091" t="str">
        <f t="shared" si="504"/>
        <v/>
      </c>
      <c r="IM43" s="1089" t="str">
        <f t="shared" si="505"/>
        <v/>
      </c>
      <c r="IN43" s="1090">
        <f t="shared" si="506"/>
        <v>0</v>
      </c>
      <c r="IO43" s="1091" t="str">
        <f t="shared" si="507"/>
        <v/>
      </c>
      <c r="IP43" s="1089" t="str">
        <f t="shared" si="508"/>
        <v/>
      </c>
      <c r="IQ43" s="1090">
        <f t="shared" si="509"/>
        <v>0</v>
      </c>
      <c r="IR43" s="1091" t="str">
        <f t="shared" si="1"/>
        <v/>
      </c>
      <c r="IS43" s="1090">
        <f t="shared" si="510"/>
        <v>0</v>
      </c>
      <c r="IT43" s="1091" t="str">
        <f t="shared" si="2"/>
        <v/>
      </c>
    </row>
    <row r="44" hidden="1" outlineLevel="1">
      <c r="A44" s="1086">
        <f t="shared" si="337"/>
        <v>7</v>
      </c>
      <c r="B44" s="1087" t="s">
        <v>2069</v>
      </c>
      <c r="C44" s="1087" t="s">
        <v>636</v>
      </c>
      <c r="D44" s="1087" t="str">
        <f>IF(C44&gt;0,VLOOKUP(C44,DM_DUAN ,2,"") ,IF(B44&gt;0,VLOOKUP(B44,DM_CDT,2,""),""))</f>
        <v>Sản phẩm Long Khánh 3</v>
      </c>
      <c r="E44" s="1087" t="s">
        <v>2239</v>
      </c>
      <c r="F44" s="1087"/>
      <c r="G44" s="1086">
        <v>2.0</v>
      </c>
      <c r="H44" s="1088">
        <f>SUMIFS(BP_SOTIEN,BP_DA,$C44,BP_THANG,H$2,BP_KM,$E44)/1000</f>
        <v>0</v>
      </c>
      <c r="I44" s="1091" t="str">
        <f t="shared" si="338"/>
        <v/>
      </c>
      <c r="J44" s="1089" t="str">
        <f t="shared" si="339"/>
        <v/>
      </c>
      <c r="K44" s="1090">
        <f>IF(NOW()&gt;=DATE(YEAR(H$2),MONTH(H$2)+1,DAY(H$2)),SUMIFS(TF_SOTIEN,TF_DA,$C44,TF_THANG,H$2,TF_KM,$E44)/1000, N44)</f>
        <v>0</v>
      </c>
      <c r="L44" s="1091" t="str">
        <f t="shared" si="340"/>
        <v/>
      </c>
      <c r="M44" s="1089" t="str">
        <f t="shared" si="341"/>
        <v/>
      </c>
      <c r="N44" s="1090">
        <f>IF(NOW()&gt;=DATE(YEAR(H$2),MONTH(H$2)+1,DAY(H$2)),SUMIFS(AC_SOTIEN,AC_DA,$C44,AC_THANG,H$2,AC_KM,$E44),SUMIFS(TF_SOTIEN,TF_DA,$C44,TF_THANG,H$2,TF_KM,$E44))/ 1000</f>
        <v>0</v>
      </c>
      <c r="O44" s="1091" t="str">
        <f t="shared" si="342"/>
        <v/>
      </c>
      <c r="P44" s="1089" t="str">
        <f t="shared" si="343"/>
        <v/>
      </c>
      <c r="Q44" s="1090">
        <f t="shared" si="344"/>
        <v>0</v>
      </c>
      <c r="R44" s="1091" t="str">
        <f t="shared" si="8"/>
        <v/>
      </c>
      <c r="S44" s="1090">
        <f t="shared" si="345"/>
        <v>0</v>
      </c>
      <c r="T44" s="1091" t="str">
        <f t="shared" si="10"/>
        <v/>
      </c>
      <c r="U44" s="1088">
        <f>SUMIFS(BP_SOTIEN,BP_DA,$C44,BP_THANG,U$2,BP_KM,$E44)/1000</f>
        <v>0</v>
      </c>
      <c r="V44" s="1091" t="str">
        <f t="shared" si="346"/>
        <v/>
      </c>
      <c r="W44" s="1089" t="str">
        <f t="shared" si="347"/>
        <v/>
      </c>
      <c r="X44" s="1090">
        <f>IF(NOW()&gt;=DATE(YEAR(U$2),MONTH(U$2)+1,DAY(U$2)),SUMIFS(TF_SOTIEN,TF_DA,$C44,TF_THANG,U$2,TF_KM,$E44)/1000, AA44)</f>
        <v>0</v>
      </c>
      <c r="Y44" s="1091" t="str">
        <f t="shared" si="348"/>
        <v/>
      </c>
      <c r="Z44" s="1089" t="str">
        <f t="shared" si="349"/>
        <v/>
      </c>
      <c r="AA44" s="1090">
        <f>IF(NOW()&gt;=DATE(YEAR(U$2),MONTH(U$2)+1,DAY(U$2)),SUMIFS(AC_SOTIEN,AC_DA,$C44,AC_THANG,U$2,AC_KM,$E44),SUMIFS(TF_SOTIEN,TF_DA,$C44,TF_THANG,U$2,TF_KM,$E44))/ 1000</f>
        <v>0</v>
      </c>
      <c r="AB44" s="1091" t="str">
        <f t="shared" si="350"/>
        <v/>
      </c>
      <c r="AC44" s="1089" t="str">
        <f t="shared" si="351"/>
        <v/>
      </c>
      <c r="AD44" s="1090">
        <f t="shared" si="352"/>
        <v>0</v>
      </c>
      <c r="AE44" s="1091" t="str">
        <f t="shared" si="15"/>
        <v/>
      </c>
      <c r="AF44" s="1090">
        <f t="shared" si="353"/>
        <v>0</v>
      </c>
      <c r="AG44" s="1091" t="str">
        <f t="shared" si="17"/>
        <v/>
      </c>
      <c r="AH44" s="1088">
        <f>SUMIFS(BP_SOTIEN,BP_DA,$C44,BP_THANG,AH$2,BP_KM,$E44)/1000</f>
        <v>0</v>
      </c>
      <c r="AI44" s="1091" t="str">
        <f t="shared" si="354"/>
        <v/>
      </c>
      <c r="AJ44" s="1089" t="str">
        <f t="shared" si="355"/>
        <v/>
      </c>
      <c r="AK44" s="1090">
        <f>IF(NOW()&gt;=DATE(YEAR(AH$2),MONTH(AH$2)+1,DAY(AH$2)),SUMIFS(TF_SOTIEN,TF_DA,$C44,TF_THANG,AH$2,TF_KM,$E44)/1000, AN44)</f>
        <v>0</v>
      </c>
      <c r="AL44" s="1091" t="str">
        <f t="shared" si="356"/>
        <v/>
      </c>
      <c r="AM44" s="1089" t="str">
        <f t="shared" si="357"/>
        <v/>
      </c>
      <c r="AN44" s="1090">
        <f>IF(NOW()&gt;=DATE(YEAR(AH$2),MONTH(AH$2)+1,DAY(AH$2)),SUMIFS(AC_SOTIEN,AC_DA,$C44,AC_THANG,AH$2,AC_KM,$E44),SUMIFS(TF_SOTIEN,TF_DA,$C44,TF_THANG,AH$2,TF_KM,$E44))/ 1000</f>
        <v>0</v>
      </c>
      <c r="AO44" s="1091" t="str">
        <f t="shared" si="358"/>
        <v/>
      </c>
      <c r="AP44" s="1089" t="str">
        <f t="shared" si="359"/>
        <v/>
      </c>
      <c r="AQ44" s="1090">
        <f t="shared" si="360"/>
        <v>0</v>
      </c>
      <c r="AR44" s="1091" t="str">
        <f t="shared" si="22"/>
        <v/>
      </c>
      <c r="AS44" s="1090">
        <f t="shared" si="361"/>
        <v>0</v>
      </c>
      <c r="AT44" s="1091" t="str">
        <f t="shared" si="24"/>
        <v/>
      </c>
      <c r="AU44" s="1088">
        <f t="shared" si="362"/>
        <v>0</v>
      </c>
      <c r="AV44" s="1091" t="str">
        <f t="shared" si="363"/>
        <v/>
      </c>
      <c r="AW44" s="1089" t="str">
        <f t="shared" si="364"/>
        <v/>
      </c>
      <c r="AX44" s="1090">
        <f t="shared" si="365"/>
        <v>0</v>
      </c>
      <c r="AY44" s="1091" t="str">
        <f t="shared" si="366"/>
        <v/>
      </c>
      <c r="AZ44" s="1089" t="str">
        <f t="shared" si="367"/>
        <v/>
      </c>
      <c r="BA44" s="1090">
        <f t="shared" si="368"/>
        <v>0</v>
      </c>
      <c r="BB44" s="1091" t="str">
        <f t="shared" si="369"/>
        <v/>
      </c>
      <c r="BC44" s="1089" t="str">
        <f t="shared" si="370"/>
        <v/>
      </c>
      <c r="BD44" s="1090">
        <f t="shared" si="371"/>
        <v>0</v>
      </c>
      <c r="BE44" s="1091" t="str">
        <f t="shared" si="32"/>
        <v/>
      </c>
      <c r="BF44" s="1090">
        <f t="shared" si="372"/>
        <v>0</v>
      </c>
      <c r="BG44" s="1091" t="str">
        <f t="shared" si="34"/>
        <v/>
      </c>
      <c r="BH44" s="1088">
        <f>SUMIFS(BP_SOTIEN,BP_DA,$C44,BP_THANG,BH$2,BP_KM,$E44)/1000</f>
        <v>0</v>
      </c>
      <c r="BI44" s="1091" t="str">
        <f t="shared" si="373"/>
        <v/>
      </c>
      <c r="BJ44" s="1089" t="str">
        <f t="shared" si="374"/>
        <v/>
      </c>
      <c r="BK44" s="1090">
        <f>IF(NOW()&gt;=DATE(YEAR(BH$2),MONTH(BH$2)+1,DAY(BH$2)),SUMIFS(TF_SOTIEN,TF_DA,$C44,TF_THANG,BH$2,TF_KM,$E44)/1000, BN44)</f>
        <v>0</v>
      </c>
      <c r="BL44" s="1091" t="str">
        <f t="shared" si="375"/>
        <v/>
      </c>
      <c r="BM44" s="1089" t="str">
        <f t="shared" si="376"/>
        <v/>
      </c>
      <c r="BN44" s="1090">
        <f>IF(NOW()&gt;=DATE(YEAR(BH$2),MONTH(BH$2)+1,DAY(BH$2)),SUMIFS(AC_SOTIEN,AC_DA,$C44,AC_THANG,BH$2,AC_KM,$E44),SUMIFS(TF_SOTIEN,TF_DA,$C44,TF_THANG,BH$2,TF_KM,$E44))/ 1000</f>
        <v>0</v>
      </c>
      <c r="BO44" s="1091">
        <f t="shared" si="377"/>
        <v>0</v>
      </c>
      <c r="BP44" s="1089" t="str">
        <f t="shared" si="378"/>
        <v/>
      </c>
      <c r="BQ44" s="1090">
        <f t="shared" si="379"/>
        <v>0</v>
      </c>
      <c r="BR44" s="1091" t="str">
        <f t="shared" si="39"/>
        <v/>
      </c>
      <c r="BS44" s="1090">
        <f t="shared" si="380"/>
        <v>0</v>
      </c>
      <c r="BT44" s="1091" t="str">
        <f t="shared" si="41"/>
        <v/>
      </c>
      <c r="BU44" s="1088">
        <f>SUMIFS(BP_SOTIEN,BP_DA,$C44,BP_THANG,BU$2,BP_KM,$E44)/1000</f>
        <v>0</v>
      </c>
      <c r="BV44" s="1091" t="str">
        <f t="shared" si="381"/>
        <v/>
      </c>
      <c r="BW44" s="1089" t="str">
        <f t="shared" si="382"/>
        <v/>
      </c>
      <c r="BX44" s="1090">
        <f>IF(NOW()&gt;=DATE(YEAR(BU$2),MONTH(BU$2)+1,DAY(BU$2)),SUMIFS(TF_SOTIEN,TF_DA,$C44,TF_THANG,BU$2,TF_KM,$E44)/1000, CA44)</f>
        <v>0</v>
      </c>
      <c r="BY44" s="1091" t="str">
        <f t="shared" si="383"/>
        <v/>
      </c>
      <c r="BZ44" s="1089" t="str">
        <f t="shared" si="384"/>
        <v/>
      </c>
      <c r="CA44" s="1090">
        <f>IF(NOW()&gt;=DATE(YEAR(BU$2),MONTH(BU$2)+1,DAY(BU$2)),SUMIFS(AC_SOTIEN,AC_DA,$C44,AC_THANG,BU$2,AC_KM,$E44),SUMIFS(TF_SOTIEN,TF_DA,$C44,TF_THANG,BU$2,TF_KM,$E44))/ 1000</f>
        <v>0</v>
      </c>
      <c r="CB44" s="1091" t="str">
        <f t="shared" si="385"/>
        <v/>
      </c>
      <c r="CC44" s="1089" t="str">
        <f t="shared" si="386"/>
        <v/>
      </c>
      <c r="CD44" s="1090">
        <f t="shared" si="387"/>
        <v>0</v>
      </c>
      <c r="CE44" s="1091" t="str">
        <f t="shared" si="46"/>
        <v/>
      </c>
      <c r="CF44" s="1090">
        <f t="shared" si="388"/>
        <v>0</v>
      </c>
      <c r="CG44" s="1091" t="str">
        <f t="shared" si="48"/>
        <v/>
      </c>
      <c r="CH44" s="1088">
        <f>SUMIFS(BP_SOTIEN,BP_DA,$C44,BP_THANG,CH$2,BP_KM,$E44)/1000</f>
        <v>0</v>
      </c>
      <c r="CI44" s="1091" t="str">
        <f t="shared" si="389"/>
        <v/>
      </c>
      <c r="CJ44" s="1089" t="str">
        <f t="shared" si="390"/>
        <v/>
      </c>
      <c r="CK44" s="1090">
        <f>IF(NOW()&gt;=DATE(YEAR(CH$2),MONTH(CH$2)+1,DAY(CH$2)),SUMIFS(TF_SOTIEN,TF_DA,$C44,TF_THANG,CH$2,TF_KM,$E44)/1000, CN44)</f>
        <v>0</v>
      </c>
      <c r="CL44" s="1091" t="str">
        <f t="shared" si="391"/>
        <v/>
      </c>
      <c r="CM44" s="1089" t="str">
        <f t="shared" si="392"/>
        <v/>
      </c>
      <c r="CN44" s="1090">
        <f>IF(NOW()&gt;=DATE(YEAR(CH$2),MONTH(CH$2)+1,DAY(CH$2)),SUMIFS(AC_SOTIEN,AC_DA,$C44,AC_THANG,CH$2,AC_KM,$E44),SUMIFS(TF_SOTIEN,TF_DA,$C44,TF_THANG,CH$2,TF_KM,$E44))/ 1000</f>
        <v>0</v>
      </c>
      <c r="CO44" s="1091" t="str">
        <f t="shared" si="393"/>
        <v/>
      </c>
      <c r="CP44" s="1089" t="str">
        <f t="shared" si="394"/>
        <v/>
      </c>
      <c r="CQ44" s="1090">
        <f t="shared" si="395"/>
        <v>0</v>
      </c>
      <c r="CR44" s="1091" t="str">
        <f t="shared" si="53"/>
        <v/>
      </c>
      <c r="CS44" s="1090">
        <f t="shared" si="396"/>
        <v>0</v>
      </c>
      <c r="CT44" s="1091" t="str">
        <f t="shared" si="55"/>
        <v/>
      </c>
      <c r="CU44" s="1088">
        <f t="shared" si="397"/>
        <v>0</v>
      </c>
      <c r="CV44" s="1091" t="str">
        <f t="shared" si="398"/>
        <v/>
      </c>
      <c r="CW44" s="1089" t="str">
        <f t="shared" si="399"/>
        <v/>
      </c>
      <c r="CX44" s="1090">
        <f t="shared" si="400"/>
        <v>0</v>
      </c>
      <c r="CY44" s="1091" t="str">
        <f t="shared" si="401"/>
        <v/>
      </c>
      <c r="CZ44" s="1089" t="str">
        <f t="shared" si="402"/>
        <v/>
      </c>
      <c r="DA44" s="1090">
        <f t="shared" si="403"/>
        <v>0</v>
      </c>
      <c r="DB44" s="1091">
        <f t="shared" si="404"/>
        <v>0</v>
      </c>
      <c r="DC44" s="1089" t="str">
        <f t="shared" si="405"/>
        <v/>
      </c>
      <c r="DD44" s="1090">
        <f t="shared" si="406"/>
        <v>0</v>
      </c>
      <c r="DE44" s="1091" t="str">
        <f t="shared" si="63"/>
        <v/>
      </c>
      <c r="DF44" s="1090">
        <f t="shared" si="407"/>
        <v>0</v>
      </c>
      <c r="DG44" s="1091" t="str">
        <f t="shared" si="65"/>
        <v/>
      </c>
      <c r="DH44" s="1088">
        <f t="shared" si="408"/>
        <v>0</v>
      </c>
      <c r="DI44" s="1091" t="str">
        <f t="shared" si="409"/>
        <v/>
      </c>
      <c r="DJ44" s="1089" t="str">
        <f t="shared" si="410"/>
        <v/>
      </c>
      <c r="DK44" s="1090">
        <f t="shared" si="411"/>
        <v>0</v>
      </c>
      <c r="DL44" s="1091" t="str">
        <f t="shared" si="412"/>
        <v/>
      </c>
      <c r="DM44" s="1089" t="str">
        <f t="shared" si="413"/>
        <v/>
      </c>
      <c r="DN44" s="1090">
        <f t="shared" si="414"/>
        <v>0</v>
      </c>
      <c r="DO44" s="1091">
        <f t="shared" si="415"/>
        <v>0</v>
      </c>
      <c r="DP44" s="1089" t="str">
        <f t="shared" si="416"/>
        <v/>
      </c>
      <c r="DQ44" s="1090">
        <f t="shared" si="417"/>
        <v>0</v>
      </c>
      <c r="DR44" s="1091" t="str">
        <f t="shared" si="73"/>
        <v/>
      </c>
      <c r="DS44" s="1090">
        <f t="shared" si="418"/>
        <v>0</v>
      </c>
      <c r="DT44" s="1091" t="str">
        <f t="shared" si="75"/>
        <v/>
      </c>
      <c r="DU44" s="1088">
        <f>SUMIFS(BP_SOTIEN,BP_DA,$C44,BP_THANG,DU$2,BP_KM,$E44)/1000</f>
        <v>0</v>
      </c>
      <c r="DV44" s="1091" t="str">
        <f t="shared" si="419"/>
        <v/>
      </c>
      <c r="DW44" s="1089" t="str">
        <f t="shared" si="420"/>
        <v/>
      </c>
      <c r="DX44" s="1090">
        <f>IF(NOW()&gt;=DATE(YEAR(DU$2),MONTH(DU$2)+1,DAY(DU$2)),SUMIFS(TF_SOTIEN,TF_DA,$C44,TF_THANG,DU$2,TF_KM,$E44)/1000, EA44)</f>
        <v>0</v>
      </c>
      <c r="DY44" s="1091" t="str">
        <f t="shared" si="421"/>
        <v/>
      </c>
      <c r="DZ44" s="1089" t="str">
        <f t="shared" si="422"/>
        <v/>
      </c>
      <c r="EA44" s="1090">
        <f>IF(NOW()&gt;=DATE(YEAR(DU$2),MONTH(DU$2)+1,DAY(DU$2)),SUMIFS(AC_SOTIEN,AC_DA,$C44,AC_THANG,DU$2,AC_KM,$E44),SUMIFS(TF_SOTIEN,TF_DA,$C44,TF_THANG,DU$2,TF_KM,$E44))/ 1000</f>
        <v>0</v>
      </c>
      <c r="EB44" s="1091" t="str">
        <f t="shared" si="423"/>
        <v/>
      </c>
      <c r="EC44" s="1089" t="str">
        <f t="shared" si="424"/>
        <v/>
      </c>
      <c r="ED44" s="1090">
        <f t="shared" si="425"/>
        <v>0</v>
      </c>
      <c r="EE44" s="1091" t="str">
        <f t="shared" si="80"/>
        <v/>
      </c>
      <c r="EF44" s="1090">
        <f t="shared" si="426"/>
        <v>0</v>
      </c>
      <c r="EG44" s="1091" t="str">
        <f t="shared" si="82"/>
        <v/>
      </c>
      <c r="EH44" s="1088">
        <f>SUMIFS(BP_SOTIEN,BP_DA,$C44,BP_THANG,EH$2,BP_KM,$E44)/1000</f>
        <v>0</v>
      </c>
      <c r="EI44" s="1091" t="str">
        <f t="shared" si="427"/>
        <v/>
      </c>
      <c r="EJ44" s="1089" t="str">
        <f t="shared" si="428"/>
        <v/>
      </c>
      <c r="EK44" s="1090">
        <f>IF(NOW()&gt;=DATE(YEAR(EH$2),MONTH(EH$2)+1,DAY(EH$2)),SUMIFS(TF_SOTIEN,TF_DA,$C44,TF_THANG,EH$2,TF_KM,$E44)/1000, EN44)</f>
        <v>0</v>
      </c>
      <c r="EL44" s="1091" t="str">
        <f t="shared" si="429"/>
        <v/>
      </c>
      <c r="EM44" s="1089" t="str">
        <f t="shared" si="430"/>
        <v/>
      </c>
      <c r="EN44" s="1090">
        <f>IF(NOW()&gt;=DATE(YEAR(EH$2),MONTH(EH$2)+1,DAY(EH$2)),SUMIFS(AC_SOTIEN,AC_DA,$C44,AC_THANG,EH$2,AC_KM,$E44),SUMIFS(TF_SOTIEN,TF_DA,$C44,TF_THANG,EH$2,TF_KM,$E44))/ 1000</f>
        <v>0</v>
      </c>
      <c r="EO44" s="1091" t="str">
        <f t="shared" si="431"/>
        <v/>
      </c>
      <c r="EP44" s="1089" t="str">
        <f t="shared" si="432"/>
        <v/>
      </c>
      <c r="EQ44" s="1090">
        <f t="shared" si="433"/>
        <v>0</v>
      </c>
      <c r="ER44" s="1091" t="str">
        <f t="shared" si="87"/>
        <v/>
      </c>
      <c r="ES44" s="1090">
        <f t="shared" si="434"/>
        <v>0</v>
      </c>
      <c r="ET44" s="1091" t="str">
        <f t="shared" si="89"/>
        <v/>
      </c>
      <c r="EU44" s="1088">
        <f>SUMIFS(BP_SOTIEN,BP_DA,$C44,BP_THANG,EU$2,BP_KM,$E44)/1000</f>
        <v>0</v>
      </c>
      <c r="EV44" s="1091" t="str">
        <f t="shared" si="435"/>
        <v/>
      </c>
      <c r="EW44" s="1089" t="str">
        <f t="shared" si="436"/>
        <v/>
      </c>
      <c r="EX44" s="1090">
        <f>IF(NOW()&gt;=DATE(YEAR(EU$2),MONTH(EU$2)+1,DAY(EU$2)),SUMIFS(TF_SOTIEN,TF_DA,$C44,TF_THANG,EU$2,TF_KM,$E44)/1000, FA44)</f>
        <v>0</v>
      </c>
      <c r="EY44" s="1091" t="str">
        <f t="shared" si="437"/>
        <v/>
      </c>
      <c r="EZ44" s="1089" t="str">
        <f t="shared" si="438"/>
        <v/>
      </c>
      <c r="FA44" s="1090">
        <f>IF(NOW()&gt;=DATE(YEAR(EU$2),MONTH(EU$2)+1,DAY(EU$2)),SUMIFS(AC_SOTIEN,AC_DA,$C44,AC_THANG,EU$2,AC_KM,$E44),SUMIFS(TF_SOTIEN,TF_DA,$C44,TF_THANG,EU$2,TF_KM,$E44))/ 1000</f>
        <v>0</v>
      </c>
      <c r="FB44" s="1091" t="str">
        <f t="shared" si="439"/>
        <v/>
      </c>
      <c r="FC44" s="1089" t="str">
        <f t="shared" si="440"/>
        <v/>
      </c>
      <c r="FD44" s="1090">
        <f t="shared" si="441"/>
        <v>0</v>
      </c>
      <c r="FE44" s="1091" t="str">
        <f t="shared" si="94"/>
        <v/>
      </c>
      <c r="FF44" s="1090">
        <f t="shared" si="442"/>
        <v>0</v>
      </c>
      <c r="FG44" s="1091" t="str">
        <f t="shared" si="96"/>
        <v/>
      </c>
      <c r="FH44" s="1088">
        <f t="shared" si="443"/>
        <v>0</v>
      </c>
      <c r="FI44" s="1091" t="str">
        <f t="shared" si="444"/>
        <v/>
      </c>
      <c r="FJ44" s="1089" t="str">
        <f t="shared" si="445"/>
        <v/>
      </c>
      <c r="FK44" s="1090">
        <f t="shared" si="446"/>
        <v>0</v>
      </c>
      <c r="FL44" s="1091" t="str">
        <f t="shared" si="447"/>
        <v/>
      </c>
      <c r="FM44" s="1089" t="str">
        <f t="shared" si="448"/>
        <v/>
      </c>
      <c r="FN44" s="1090">
        <f t="shared" si="449"/>
        <v>0</v>
      </c>
      <c r="FO44" s="1091" t="str">
        <f t="shared" si="450"/>
        <v/>
      </c>
      <c r="FP44" s="1089" t="str">
        <f t="shared" si="451"/>
        <v/>
      </c>
      <c r="FQ44" s="1090">
        <f t="shared" si="452"/>
        <v>0</v>
      </c>
      <c r="FR44" s="1091" t="str">
        <f t="shared" si="104"/>
        <v/>
      </c>
      <c r="FS44" s="1090">
        <f t="shared" si="453"/>
        <v>0</v>
      </c>
      <c r="FT44" s="1091" t="str">
        <f t="shared" si="106"/>
        <v/>
      </c>
      <c r="FU44" s="1088">
        <f>SUMIFS(BP_SOTIEN,BP_DA,$C44,BP_THANG,FU$2,BP_KM,$E44)/1000</f>
        <v>0</v>
      </c>
      <c r="FV44" s="1091" t="str">
        <f t="shared" si="454"/>
        <v/>
      </c>
      <c r="FW44" s="1089" t="str">
        <f t="shared" si="455"/>
        <v/>
      </c>
      <c r="FX44" s="1090">
        <f>IF(NOW()&gt;=DATE(YEAR(FU$2),MONTH(FU$2)+1,DAY(FU$2)),SUMIFS(TF_SOTIEN,TF_DA,$C44,TF_THANG,FU$2,TF_KM,$E44)/1000, GA44)</f>
        <v>0</v>
      </c>
      <c r="FY44" s="1091" t="str">
        <f t="shared" si="456"/>
        <v/>
      </c>
      <c r="FZ44" s="1089" t="str">
        <f t="shared" si="457"/>
        <v/>
      </c>
      <c r="GA44" s="1090">
        <f>IF(NOW()&gt;=DATE(YEAR(FU$2),MONTH(FU$2)+1,DAY(FU$2)),SUMIFS(AC_SOTIEN,AC_DA,$C44,AC_THANG,FU$2,AC_KM,$E44),SUMIFS(TF_SOTIEN,TF_DA,$C44,TF_THANG,FU$2,TF_KM,$E44))/ 1000</f>
        <v>0</v>
      </c>
      <c r="GB44" s="1091" t="str">
        <f t="shared" si="458"/>
        <v/>
      </c>
      <c r="GC44" s="1089" t="str">
        <f t="shared" si="459"/>
        <v/>
      </c>
      <c r="GD44" s="1090">
        <f t="shared" si="460"/>
        <v>0</v>
      </c>
      <c r="GE44" s="1091" t="str">
        <f t="shared" si="111"/>
        <v/>
      </c>
      <c r="GF44" s="1090">
        <f t="shared" si="461"/>
        <v>0</v>
      </c>
      <c r="GG44" s="1091" t="str">
        <f t="shared" si="113"/>
        <v/>
      </c>
      <c r="GH44" s="1088">
        <f>SUMIFS(BP_SOTIEN,BP_DA,$C44,BP_THANG,GH$2,BP_KM,$E44)/1000</f>
        <v>0</v>
      </c>
      <c r="GI44" s="1091" t="str">
        <f t="shared" si="462"/>
        <v/>
      </c>
      <c r="GJ44" s="1089" t="str">
        <f t="shared" si="463"/>
        <v/>
      </c>
      <c r="GK44" s="1090">
        <f>IF(NOW()&gt;=DATE(YEAR(GH$2),MONTH(GH$2)+1,DAY(GH$2)),SUMIFS(TF_SOTIEN,TF_DA,$C44,TF_THANG,GH$2,TF_KM,$E44)/1000, GN44)</f>
        <v>0</v>
      </c>
      <c r="GL44" s="1091" t="str">
        <f t="shared" si="464"/>
        <v/>
      </c>
      <c r="GM44" s="1089" t="str">
        <f t="shared" si="465"/>
        <v/>
      </c>
      <c r="GN44" s="1090">
        <f>IF(NOW()&gt;=DATE(YEAR(GH$2),MONTH(GH$2)+1,DAY(GH$2)),SUMIFS(AC_SOTIEN,AC_DA,$C44,AC_THANG,GH$2,AC_KM,$E44),SUMIFS(TF_SOTIEN,TF_DA,$C44,TF_THANG,GH$2,TF_KM,$E44))/ 1000</f>
        <v>0</v>
      </c>
      <c r="GO44" s="1091" t="str">
        <f t="shared" si="466"/>
        <v/>
      </c>
      <c r="GP44" s="1089" t="str">
        <f t="shared" si="467"/>
        <v/>
      </c>
      <c r="GQ44" s="1090">
        <f t="shared" si="468"/>
        <v>0</v>
      </c>
      <c r="GR44" s="1091" t="str">
        <f t="shared" si="118"/>
        <v/>
      </c>
      <c r="GS44" s="1090">
        <f t="shared" si="469"/>
        <v>0</v>
      </c>
      <c r="GT44" s="1091" t="str">
        <f t="shared" si="120"/>
        <v/>
      </c>
      <c r="GU44" s="1088">
        <f>SUMIFS(BP_SOTIEN,BP_DA,$C44,BP_THANG,GU$2,BP_KM,$E44)/1000</f>
        <v>0</v>
      </c>
      <c r="GV44" s="1091" t="str">
        <f t="shared" si="470"/>
        <v/>
      </c>
      <c r="GW44" s="1089" t="str">
        <f t="shared" si="471"/>
        <v/>
      </c>
      <c r="GX44" s="1090">
        <f>IF(NOW()&gt;=DATE(YEAR(GU$2),MONTH(GU$2)+1,DAY(GU$2)),SUMIFS(TF_SOTIEN,TF_DA,$C44,TF_THANG,GU$2,TF_KM,$E44)/1000, HA44)</f>
        <v>0</v>
      </c>
      <c r="GY44" s="1091" t="str">
        <f t="shared" si="472"/>
        <v/>
      </c>
      <c r="GZ44" s="1089" t="str">
        <f t="shared" si="473"/>
        <v/>
      </c>
      <c r="HA44" s="1090">
        <f>IF(NOW()&gt;=DATE(YEAR(GU$2),MONTH(GU$2)+1,DAY(GU$2)),SUMIFS(AC_SOTIEN,AC_DA,$C44,AC_THANG,GU$2,AC_KM,$E44),SUMIFS(TF_SOTIEN,TF_DA,$C44,TF_THANG,GU$2,TF_KM,$E44))/ 1000</f>
        <v>0</v>
      </c>
      <c r="HB44" s="1091" t="str">
        <f t="shared" si="474"/>
        <v/>
      </c>
      <c r="HC44" s="1089" t="str">
        <f t="shared" si="475"/>
        <v/>
      </c>
      <c r="HD44" s="1090">
        <f t="shared" si="476"/>
        <v>0</v>
      </c>
      <c r="HE44" s="1091" t="str">
        <f t="shared" si="125"/>
        <v/>
      </c>
      <c r="HF44" s="1090">
        <f t="shared" si="477"/>
        <v>0</v>
      </c>
      <c r="HG44" s="1091" t="str">
        <f t="shared" si="127"/>
        <v/>
      </c>
      <c r="HH44" s="1088">
        <f t="shared" si="478"/>
        <v>0</v>
      </c>
      <c r="HI44" s="1091" t="str">
        <f t="shared" si="479"/>
        <v/>
      </c>
      <c r="HJ44" s="1089" t="str">
        <f t="shared" si="480"/>
        <v/>
      </c>
      <c r="HK44" s="1090">
        <f t="shared" si="481"/>
        <v>0</v>
      </c>
      <c r="HL44" s="1091" t="str">
        <f t="shared" si="482"/>
        <v/>
      </c>
      <c r="HM44" s="1089" t="str">
        <f t="shared" si="483"/>
        <v/>
      </c>
      <c r="HN44" s="1090">
        <f t="shared" si="484"/>
        <v>0</v>
      </c>
      <c r="HO44" s="1091" t="str">
        <f t="shared" si="485"/>
        <v/>
      </c>
      <c r="HP44" s="1089" t="str">
        <f t="shared" si="486"/>
        <v/>
      </c>
      <c r="HQ44" s="1090">
        <f t="shared" si="487"/>
        <v>0</v>
      </c>
      <c r="HR44" s="1091" t="str">
        <f t="shared" si="135"/>
        <v/>
      </c>
      <c r="HS44" s="1090">
        <f t="shared" si="488"/>
        <v>0</v>
      </c>
      <c r="HT44" s="1091" t="str">
        <f t="shared" si="137"/>
        <v/>
      </c>
      <c r="HU44" s="1088">
        <f t="shared" si="489"/>
        <v>0</v>
      </c>
      <c r="HV44" s="1091" t="str">
        <f t="shared" si="490"/>
        <v/>
      </c>
      <c r="HW44" s="1089" t="str">
        <f t="shared" si="491"/>
        <v/>
      </c>
      <c r="HX44" s="1090">
        <f t="shared" si="492"/>
        <v>0</v>
      </c>
      <c r="HY44" s="1091" t="str">
        <f t="shared" si="493"/>
        <v/>
      </c>
      <c r="HZ44" s="1089" t="str">
        <f t="shared" si="494"/>
        <v/>
      </c>
      <c r="IA44" s="1090">
        <f t="shared" si="495"/>
        <v>0</v>
      </c>
      <c r="IB44" s="1091" t="str">
        <f t="shared" si="496"/>
        <v/>
      </c>
      <c r="IC44" s="1089" t="str">
        <f t="shared" si="497"/>
        <v/>
      </c>
      <c r="ID44" s="1090">
        <f t="shared" si="498"/>
        <v>0</v>
      </c>
      <c r="IE44" s="1091" t="str">
        <f t="shared" si="145"/>
        <v/>
      </c>
      <c r="IF44" s="1090">
        <f t="shared" si="499"/>
        <v>0</v>
      </c>
      <c r="IG44" s="1091" t="str">
        <f t="shared" si="147"/>
        <v/>
      </c>
      <c r="IH44" s="1088">
        <f t="shared" si="500"/>
        <v>0</v>
      </c>
      <c r="II44" s="1091" t="str">
        <f t="shared" si="501"/>
        <v/>
      </c>
      <c r="IJ44" s="1089" t="str">
        <f t="shared" si="502"/>
        <v/>
      </c>
      <c r="IK44" s="1090">
        <f t="shared" si="503"/>
        <v>0</v>
      </c>
      <c r="IL44" s="1091" t="str">
        <f t="shared" si="504"/>
        <v/>
      </c>
      <c r="IM44" s="1089" t="str">
        <f t="shared" si="505"/>
        <v/>
      </c>
      <c r="IN44" s="1090">
        <f t="shared" si="506"/>
        <v>0</v>
      </c>
      <c r="IO44" s="1091">
        <f t="shared" si="507"/>
        <v>0</v>
      </c>
      <c r="IP44" s="1089" t="str">
        <f t="shared" si="508"/>
        <v/>
      </c>
      <c r="IQ44" s="1090">
        <f t="shared" si="509"/>
        <v>0</v>
      </c>
      <c r="IR44" s="1091" t="str">
        <f t="shared" si="1"/>
        <v/>
      </c>
      <c r="IS44" s="1090">
        <f t="shared" si="510"/>
        <v>0</v>
      </c>
      <c r="IT44" s="1091" t="str">
        <f t="shared" si="2"/>
        <v/>
      </c>
    </row>
    <row r="45" collapsed="1">
      <c r="A45" s="1113" t="str">
        <f t="shared" si="337"/>
        <v/>
      </c>
      <c r="B45" s="1114" t="s">
        <v>2821</v>
      </c>
      <c r="C45" s="1114"/>
      <c r="D45" s="1114" t="str">
        <f>IF(C45&gt;0,VLOOKUP(C45,DM_DUAN ,2,"") ,IF(B45&gt;0,VLOOKUP(B45,DM_CDT,2,""),""))</f>
        <v>CLOUD LAND</v>
      </c>
      <c r="E45" s="1115" t="s">
        <v>2239</v>
      </c>
      <c r="F45" s="1115"/>
      <c r="G45" s="1116">
        <v>1.0</v>
      </c>
      <c r="H45" s="1083">
        <f>SUMIF($B46:$B$48,$B45,H46:H$48)</f>
        <v>0</v>
      </c>
      <c r="I45" s="1117" t="str">
        <f t="shared" si="338"/>
        <v/>
      </c>
      <c r="J45" s="1118" t="str">
        <f t="shared" si="339"/>
        <v/>
      </c>
      <c r="K45" s="1083">
        <f>SUMIF($B46:$B$48,$B45,K46:K$48)</f>
        <v>0</v>
      </c>
      <c r="L45" s="1117" t="str">
        <f t="shared" si="340"/>
        <v/>
      </c>
      <c r="M45" s="1118" t="str">
        <f t="shared" si="341"/>
        <v/>
      </c>
      <c r="N45" s="1083">
        <f>SUMIF($B46:$B$48,$B45,N46:N$48)</f>
        <v>0</v>
      </c>
      <c r="O45" s="1117" t="str">
        <f t="shared" si="342"/>
        <v/>
      </c>
      <c r="P45" s="1118" t="str">
        <f t="shared" si="343"/>
        <v/>
      </c>
      <c r="Q45" s="1119">
        <f t="shared" si="344"/>
        <v>0</v>
      </c>
      <c r="R45" s="1117" t="str">
        <f t="shared" si="8"/>
        <v/>
      </c>
      <c r="S45" s="1119">
        <f t="shared" si="345"/>
        <v>0</v>
      </c>
      <c r="T45" s="1117" t="str">
        <f t="shared" si="10"/>
        <v/>
      </c>
      <c r="U45" s="1083">
        <f>SUMIF($B46:$B$48,$B45,U46:U$48)</f>
        <v>0</v>
      </c>
      <c r="V45" s="1117" t="str">
        <f t="shared" si="346"/>
        <v/>
      </c>
      <c r="W45" s="1118" t="str">
        <f t="shared" si="347"/>
        <v/>
      </c>
      <c r="X45" s="1083">
        <f>SUMIF($B46:$B$48,$B45,X46:X$48)</f>
        <v>0</v>
      </c>
      <c r="Y45" s="1117" t="str">
        <f t="shared" si="348"/>
        <v/>
      </c>
      <c r="Z45" s="1118" t="str">
        <f t="shared" si="349"/>
        <v/>
      </c>
      <c r="AA45" s="1083">
        <f>SUMIF($B46:$B$48,$B45,AA46:AA$48)</f>
        <v>0</v>
      </c>
      <c r="AB45" s="1117" t="str">
        <f t="shared" si="350"/>
        <v/>
      </c>
      <c r="AC45" s="1118" t="str">
        <f t="shared" si="351"/>
        <v/>
      </c>
      <c r="AD45" s="1119">
        <f t="shared" si="352"/>
        <v>0</v>
      </c>
      <c r="AE45" s="1117" t="str">
        <f t="shared" si="15"/>
        <v/>
      </c>
      <c r="AF45" s="1119">
        <f t="shared" si="353"/>
        <v>0</v>
      </c>
      <c r="AG45" s="1117" t="str">
        <f t="shared" si="17"/>
        <v/>
      </c>
      <c r="AH45" s="1083">
        <f>SUMIF($B46:$B$48,$B45,AH46:AH$48)</f>
        <v>0</v>
      </c>
      <c r="AI45" s="1117" t="str">
        <f t="shared" si="354"/>
        <v/>
      </c>
      <c r="AJ45" s="1118" t="str">
        <f t="shared" si="355"/>
        <v/>
      </c>
      <c r="AK45" s="1083">
        <f>SUMIF($B46:$B$48,$B45,AK46:AK$48)</f>
        <v>0</v>
      </c>
      <c r="AL45" s="1117" t="str">
        <f t="shared" si="356"/>
        <v/>
      </c>
      <c r="AM45" s="1118" t="str">
        <f t="shared" si="357"/>
        <v/>
      </c>
      <c r="AN45" s="1083">
        <f>SUMIF($B46:$B$48,$B45,AN46:AN$48)</f>
        <v>0</v>
      </c>
      <c r="AO45" s="1117" t="str">
        <f t="shared" si="358"/>
        <v/>
      </c>
      <c r="AP45" s="1118" t="str">
        <f t="shared" si="359"/>
        <v/>
      </c>
      <c r="AQ45" s="1119">
        <f t="shared" si="360"/>
        <v>0</v>
      </c>
      <c r="AR45" s="1117" t="str">
        <f t="shared" si="22"/>
        <v/>
      </c>
      <c r="AS45" s="1119">
        <f t="shared" si="361"/>
        <v>0</v>
      </c>
      <c r="AT45" s="1117" t="str">
        <f t="shared" si="24"/>
        <v/>
      </c>
      <c r="AU45" s="1120">
        <f t="shared" si="362"/>
        <v>0</v>
      </c>
      <c r="AV45" s="1117" t="str">
        <f t="shared" si="363"/>
        <v/>
      </c>
      <c r="AW45" s="1118" t="str">
        <f t="shared" si="364"/>
        <v/>
      </c>
      <c r="AX45" s="1119">
        <f t="shared" si="365"/>
        <v>0</v>
      </c>
      <c r="AY45" s="1117" t="str">
        <f t="shared" si="366"/>
        <v/>
      </c>
      <c r="AZ45" s="1118" t="str">
        <f t="shared" si="367"/>
        <v/>
      </c>
      <c r="BA45" s="1119">
        <f t="shared" si="368"/>
        <v>0</v>
      </c>
      <c r="BB45" s="1117" t="str">
        <f t="shared" si="369"/>
        <v/>
      </c>
      <c r="BC45" s="1118" t="str">
        <f t="shared" si="370"/>
        <v/>
      </c>
      <c r="BD45" s="1119">
        <f t="shared" si="371"/>
        <v>0</v>
      </c>
      <c r="BE45" s="1117" t="str">
        <f t="shared" si="32"/>
        <v/>
      </c>
      <c r="BF45" s="1119">
        <f t="shared" si="372"/>
        <v>0</v>
      </c>
      <c r="BG45" s="1117" t="str">
        <f t="shared" si="34"/>
        <v/>
      </c>
      <c r="BH45" s="1083">
        <f>SUMIF($B46:$B$48,$B45,BH46:BH$48)</f>
        <v>0</v>
      </c>
      <c r="BI45" s="1117" t="str">
        <f t="shared" si="373"/>
        <v/>
      </c>
      <c r="BJ45" s="1118" t="str">
        <f t="shared" si="374"/>
        <v/>
      </c>
      <c r="BK45" s="1083">
        <f>SUMIF($B46:$B$48,$B45,BK46:BK$48)</f>
        <v>0</v>
      </c>
      <c r="BL45" s="1117" t="str">
        <f t="shared" si="375"/>
        <v/>
      </c>
      <c r="BM45" s="1118" t="str">
        <f t="shared" si="376"/>
        <v/>
      </c>
      <c r="BN45" s="1083">
        <f>SUMIF($B46:$B$48,$B45,BN46:BN$48)</f>
        <v>0</v>
      </c>
      <c r="BO45" s="1117" t="str">
        <f t="shared" si="377"/>
        <v/>
      </c>
      <c r="BP45" s="1118" t="str">
        <f t="shared" si="378"/>
        <v/>
      </c>
      <c r="BQ45" s="1119">
        <f t="shared" si="379"/>
        <v>0</v>
      </c>
      <c r="BR45" s="1117" t="str">
        <f t="shared" si="39"/>
        <v/>
      </c>
      <c r="BS45" s="1119">
        <f t="shared" si="380"/>
        <v>0</v>
      </c>
      <c r="BT45" s="1117" t="str">
        <f t="shared" si="41"/>
        <v/>
      </c>
      <c r="BU45" s="1083">
        <f>SUMIF($B46:$B$48,$B45,BU46:BU$48)</f>
        <v>0</v>
      </c>
      <c r="BV45" s="1117" t="str">
        <f t="shared" si="381"/>
        <v/>
      </c>
      <c r="BW45" s="1118" t="str">
        <f t="shared" si="382"/>
        <v/>
      </c>
      <c r="BX45" s="1083">
        <f>SUMIF($B46:$B$48,$B45,BX46:BX$48)</f>
        <v>0</v>
      </c>
      <c r="BY45" s="1117" t="str">
        <f t="shared" si="383"/>
        <v/>
      </c>
      <c r="BZ45" s="1118" t="str">
        <f t="shared" si="384"/>
        <v/>
      </c>
      <c r="CA45" s="1083">
        <f>SUMIF($B46:$B$48,$B45,CA46:CA$48)</f>
        <v>0</v>
      </c>
      <c r="CB45" s="1117" t="str">
        <f t="shared" si="385"/>
        <v/>
      </c>
      <c r="CC45" s="1118" t="str">
        <f t="shared" si="386"/>
        <v/>
      </c>
      <c r="CD45" s="1119">
        <f t="shared" si="387"/>
        <v>0</v>
      </c>
      <c r="CE45" s="1117" t="str">
        <f t="shared" si="46"/>
        <v/>
      </c>
      <c r="CF45" s="1119">
        <f t="shared" si="388"/>
        <v>0</v>
      </c>
      <c r="CG45" s="1117" t="str">
        <f t="shared" si="48"/>
        <v/>
      </c>
      <c r="CH45" s="1083">
        <f>SUMIF($B46:$B$48,$B45,CH46:CH$48)</f>
        <v>0</v>
      </c>
      <c r="CI45" s="1117" t="str">
        <f t="shared" si="389"/>
        <v/>
      </c>
      <c r="CJ45" s="1118" t="str">
        <f t="shared" si="390"/>
        <v/>
      </c>
      <c r="CK45" s="1083">
        <f>SUMIF($B46:$B$48,$B45,CK46:CK$48)</f>
        <v>0</v>
      </c>
      <c r="CL45" s="1117" t="str">
        <f t="shared" si="391"/>
        <v/>
      </c>
      <c r="CM45" s="1118" t="str">
        <f t="shared" si="392"/>
        <v/>
      </c>
      <c r="CN45" s="1083">
        <f>SUMIF($B46:$B$48,$B45,CN46:CN$48)</f>
        <v>0</v>
      </c>
      <c r="CO45" s="1117" t="str">
        <f t="shared" si="393"/>
        <v/>
      </c>
      <c r="CP45" s="1118" t="str">
        <f t="shared" si="394"/>
        <v/>
      </c>
      <c r="CQ45" s="1119">
        <f t="shared" si="395"/>
        <v>0</v>
      </c>
      <c r="CR45" s="1117" t="str">
        <f t="shared" si="53"/>
        <v/>
      </c>
      <c r="CS45" s="1119">
        <f t="shared" si="396"/>
        <v>0</v>
      </c>
      <c r="CT45" s="1117" t="str">
        <f t="shared" si="55"/>
        <v/>
      </c>
      <c r="CU45" s="1120">
        <f t="shared" si="397"/>
        <v>0</v>
      </c>
      <c r="CV45" s="1117" t="str">
        <f t="shared" si="398"/>
        <v/>
      </c>
      <c r="CW45" s="1118" t="str">
        <f t="shared" si="399"/>
        <v/>
      </c>
      <c r="CX45" s="1119">
        <f t="shared" si="400"/>
        <v>0</v>
      </c>
      <c r="CY45" s="1117" t="str">
        <f t="shared" si="401"/>
        <v/>
      </c>
      <c r="CZ45" s="1118" t="str">
        <f t="shared" si="402"/>
        <v/>
      </c>
      <c r="DA45" s="1119">
        <f t="shared" si="403"/>
        <v>0</v>
      </c>
      <c r="DB45" s="1117" t="str">
        <f t="shared" si="404"/>
        <v/>
      </c>
      <c r="DC45" s="1118" t="str">
        <f t="shared" si="405"/>
        <v/>
      </c>
      <c r="DD45" s="1119">
        <f t="shared" si="406"/>
        <v>0</v>
      </c>
      <c r="DE45" s="1117" t="str">
        <f t="shared" si="63"/>
        <v/>
      </c>
      <c r="DF45" s="1119">
        <f t="shared" si="407"/>
        <v>0</v>
      </c>
      <c r="DG45" s="1117" t="str">
        <f t="shared" si="65"/>
        <v/>
      </c>
      <c r="DH45" s="1120">
        <f t="shared" si="408"/>
        <v>0</v>
      </c>
      <c r="DI45" s="1117" t="str">
        <f t="shared" si="409"/>
        <v/>
      </c>
      <c r="DJ45" s="1118" t="str">
        <f t="shared" si="410"/>
        <v/>
      </c>
      <c r="DK45" s="1119">
        <f t="shared" si="411"/>
        <v>0</v>
      </c>
      <c r="DL45" s="1117" t="str">
        <f t="shared" si="412"/>
        <v/>
      </c>
      <c r="DM45" s="1118" t="str">
        <f t="shared" si="413"/>
        <v/>
      </c>
      <c r="DN45" s="1119">
        <f t="shared" si="414"/>
        <v>0</v>
      </c>
      <c r="DO45" s="1117" t="str">
        <f t="shared" si="415"/>
        <v/>
      </c>
      <c r="DP45" s="1118" t="str">
        <f t="shared" si="416"/>
        <v/>
      </c>
      <c r="DQ45" s="1119">
        <f t="shared" si="417"/>
        <v>0</v>
      </c>
      <c r="DR45" s="1117" t="str">
        <f t="shared" si="73"/>
        <v/>
      </c>
      <c r="DS45" s="1119">
        <f t="shared" si="418"/>
        <v>0</v>
      </c>
      <c r="DT45" s="1117" t="str">
        <f t="shared" si="75"/>
        <v/>
      </c>
      <c r="DU45" s="1083">
        <f>SUMIF($B46:$B$48,$B45,DU46:DU$48)</f>
        <v>0</v>
      </c>
      <c r="DV45" s="1117" t="str">
        <f t="shared" si="419"/>
        <v/>
      </c>
      <c r="DW45" s="1118" t="str">
        <f t="shared" si="420"/>
        <v/>
      </c>
      <c r="DX45" s="1083">
        <f>SUMIF($B46:$B$48,$B45,DX46:DX$48)</f>
        <v>0</v>
      </c>
      <c r="DY45" s="1117" t="str">
        <f t="shared" si="421"/>
        <v/>
      </c>
      <c r="DZ45" s="1118" t="str">
        <f t="shared" si="422"/>
        <v/>
      </c>
      <c r="EA45" s="1083">
        <f>SUMIF($B46:$B$48,$B45,EA46:EA$48)</f>
        <v>0</v>
      </c>
      <c r="EB45" s="1117" t="str">
        <f t="shared" si="423"/>
        <v/>
      </c>
      <c r="EC45" s="1118" t="str">
        <f t="shared" si="424"/>
        <v/>
      </c>
      <c r="ED45" s="1119">
        <f t="shared" si="425"/>
        <v>0</v>
      </c>
      <c r="EE45" s="1117" t="str">
        <f t="shared" si="80"/>
        <v/>
      </c>
      <c r="EF45" s="1119">
        <f t="shared" si="426"/>
        <v>0</v>
      </c>
      <c r="EG45" s="1117" t="str">
        <f t="shared" si="82"/>
        <v/>
      </c>
      <c r="EH45" s="1083">
        <f>SUMIF($B46:$B$48,$B45,EH46:EH$48)</f>
        <v>0</v>
      </c>
      <c r="EI45" s="1117" t="str">
        <f t="shared" si="427"/>
        <v/>
      </c>
      <c r="EJ45" s="1118" t="str">
        <f t="shared" si="428"/>
        <v/>
      </c>
      <c r="EK45" s="1083">
        <f>SUMIF($B46:$B$48,$B45,EK46:EK$48)</f>
        <v>0</v>
      </c>
      <c r="EL45" s="1117" t="str">
        <f t="shared" si="429"/>
        <v/>
      </c>
      <c r="EM45" s="1118" t="str">
        <f t="shared" si="430"/>
        <v/>
      </c>
      <c r="EN45" s="1083">
        <f>SUMIF($B46:$B$48,$B45,EN46:EN$48)</f>
        <v>0</v>
      </c>
      <c r="EO45" s="1117" t="str">
        <f t="shared" si="431"/>
        <v/>
      </c>
      <c r="EP45" s="1118" t="str">
        <f t="shared" si="432"/>
        <v/>
      </c>
      <c r="EQ45" s="1119">
        <f t="shared" si="433"/>
        <v>0</v>
      </c>
      <c r="ER45" s="1117" t="str">
        <f t="shared" si="87"/>
        <v/>
      </c>
      <c r="ES45" s="1119">
        <f t="shared" si="434"/>
        <v>0</v>
      </c>
      <c r="ET45" s="1117" t="str">
        <f t="shared" si="89"/>
        <v/>
      </c>
      <c r="EU45" s="1083">
        <f>SUMIF($B46:$B$48,$B45,EU46:EU$48)</f>
        <v>0</v>
      </c>
      <c r="EV45" s="1117" t="str">
        <f t="shared" si="435"/>
        <v/>
      </c>
      <c r="EW45" s="1118" t="str">
        <f t="shared" si="436"/>
        <v/>
      </c>
      <c r="EX45" s="1083">
        <f>SUMIF($B46:$B$48,$B45,EX46:EX$48)</f>
        <v>0</v>
      </c>
      <c r="EY45" s="1117" t="str">
        <f t="shared" si="437"/>
        <v/>
      </c>
      <c r="EZ45" s="1118" t="str">
        <f t="shared" si="438"/>
        <v/>
      </c>
      <c r="FA45" s="1083">
        <f>SUMIF($B46:$B$48,$B45,FA46:FA$48)</f>
        <v>0</v>
      </c>
      <c r="FB45" s="1117" t="str">
        <f t="shared" si="439"/>
        <v/>
      </c>
      <c r="FC45" s="1118" t="str">
        <f t="shared" si="440"/>
        <v/>
      </c>
      <c r="FD45" s="1119">
        <f t="shared" si="441"/>
        <v>0</v>
      </c>
      <c r="FE45" s="1117" t="str">
        <f t="shared" si="94"/>
        <v/>
      </c>
      <c r="FF45" s="1119">
        <f t="shared" si="442"/>
        <v>0</v>
      </c>
      <c r="FG45" s="1117" t="str">
        <f t="shared" si="96"/>
        <v/>
      </c>
      <c r="FH45" s="1120">
        <f t="shared" si="443"/>
        <v>0</v>
      </c>
      <c r="FI45" s="1117" t="str">
        <f t="shared" si="444"/>
        <v/>
      </c>
      <c r="FJ45" s="1118" t="str">
        <f t="shared" si="445"/>
        <v/>
      </c>
      <c r="FK45" s="1119">
        <f t="shared" si="446"/>
        <v>0</v>
      </c>
      <c r="FL45" s="1117" t="str">
        <f t="shared" si="447"/>
        <v/>
      </c>
      <c r="FM45" s="1118" t="str">
        <f t="shared" si="448"/>
        <v/>
      </c>
      <c r="FN45" s="1119">
        <f t="shared" si="449"/>
        <v>0</v>
      </c>
      <c r="FO45" s="1117" t="str">
        <f t="shared" si="450"/>
        <v/>
      </c>
      <c r="FP45" s="1118" t="str">
        <f t="shared" si="451"/>
        <v/>
      </c>
      <c r="FQ45" s="1119">
        <f t="shared" si="452"/>
        <v>0</v>
      </c>
      <c r="FR45" s="1117" t="str">
        <f t="shared" si="104"/>
        <v/>
      </c>
      <c r="FS45" s="1119">
        <f t="shared" si="453"/>
        <v>0</v>
      </c>
      <c r="FT45" s="1117" t="str">
        <f t="shared" si="106"/>
        <v/>
      </c>
      <c r="FU45" s="1083">
        <f>SUMIF($B46:$B$48,$B45,FU46:FU$48)</f>
        <v>0</v>
      </c>
      <c r="FV45" s="1117" t="str">
        <f t="shared" si="454"/>
        <v/>
      </c>
      <c r="FW45" s="1118" t="str">
        <f t="shared" si="455"/>
        <v/>
      </c>
      <c r="FX45" s="1083">
        <f>SUMIF($B46:$B$48,$B45,FX46:FX$48)</f>
        <v>0</v>
      </c>
      <c r="FY45" s="1117" t="str">
        <f t="shared" si="456"/>
        <v/>
      </c>
      <c r="FZ45" s="1118" t="str">
        <f t="shared" si="457"/>
        <v/>
      </c>
      <c r="GA45" s="1083">
        <f>SUMIF($B46:$B$48,$B45,GA46:GA$48)</f>
        <v>0</v>
      </c>
      <c r="GB45" s="1117" t="str">
        <f t="shared" si="458"/>
        <v/>
      </c>
      <c r="GC45" s="1118" t="str">
        <f t="shared" si="459"/>
        <v/>
      </c>
      <c r="GD45" s="1119">
        <f t="shared" si="460"/>
        <v>0</v>
      </c>
      <c r="GE45" s="1117" t="str">
        <f t="shared" si="111"/>
        <v/>
      </c>
      <c r="GF45" s="1119">
        <f t="shared" si="461"/>
        <v>0</v>
      </c>
      <c r="GG45" s="1117" t="str">
        <f t="shared" si="113"/>
        <v/>
      </c>
      <c r="GH45" s="1120">
        <f>SUMIFS(BP_SOTIEN,BP_DA,$C45,BP_THANG,GH$2,BP_KM,$E45)/1000</f>
        <v>0</v>
      </c>
      <c r="GI45" s="1117" t="str">
        <f t="shared" si="462"/>
        <v/>
      </c>
      <c r="GJ45" s="1118" t="str">
        <f t="shared" si="463"/>
        <v/>
      </c>
      <c r="GK45" s="1083">
        <f>SUMIF($B46:$B$48,$B45,GK46:GK$48)</f>
        <v>0</v>
      </c>
      <c r="GL45" s="1117" t="str">
        <f t="shared" si="464"/>
        <v/>
      </c>
      <c r="GM45" s="1118" t="str">
        <f t="shared" si="465"/>
        <v/>
      </c>
      <c r="GN45" s="1083">
        <f>SUMIF($B46:$B$48,$B45,GN46:GN$48)</f>
        <v>0</v>
      </c>
      <c r="GO45" s="1117" t="str">
        <f t="shared" si="466"/>
        <v/>
      </c>
      <c r="GP45" s="1118" t="str">
        <f t="shared" si="467"/>
        <v/>
      </c>
      <c r="GQ45" s="1119">
        <f t="shared" si="468"/>
        <v>0</v>
      </c>
      <c r="GR45" s="1117" t="str">
        <f t="shared" si="118"/>
        <v/>
      </c>
      <c r="GS45" s="1119">
        <f t="shared" si="469"/>
        <v>0</v>
      </c>
      <c r="GT45" s="1117" t="str">
        <f t="shared" si="120"/>
        <v/>
      </c>
      <c r="GU45" s="1083">
        <f>SUMIF($B46:$B$48,$B45,GU46:GU$48)</f>
        <v>0</v>
      </c>
      <c r="GV45" s="1117" t="str">
        <f t="shared" si="470"/>
        <v/>
      </c>
      <c r="GW45" s="1118" t="str">
        <f t="shared" si="471"/>
        <v/>
      </c>
      <c r="GX45" s="1083">
        <f>SUMIF($B46:$B$48,$B45,GX46:GX$48)</f>
        <v>0</v>
      </c>
      <c r="GY45" s="1117" t="str">
        <f t="shared" si="472"/>
        <v/>
      </c>
      <c r="GZ45" s="1118" t="str">
        <f t="shared" si="473"/>
        <v/>
      </c>
      <c r="HA45" s="1083">
        <f>SUMIF($B46:$B$48,$B45,HA46:HA$48)</f>
        <v>0</v>
      </c>
      <c r="HB45" s="1117" t="str">
        <f t="shared" si="474"/>
        <v/>
      </c>
      <c r="HC45" s="1118" t="str">
        <f t="shared" si="475"/>
        <v/>
      </c>
      <c r="HD45" s="1119">
        <f t="shared" si="476"/>
        <v>0</v>
      </c>
      <c r="HE45" s="1117" t="str">
        <f t="shared" si="125"/>
        <v/>
      </c>
      <c r="HF45" s="1119">
        <f t="shared" si="477"/>
        <v>0</v>
      </c>
      <c r="HG45" s="1117" t="str">
        <f t="shared" si="127"/>
        <v/>
      </c>
      <c r="HH45" s="1120">
        <f t="shared" si="478"/>
        <v>0</v>
      </c>
      <c r="HI45" s="1117" t="str">
        <f t="shared" si="479"/>
        <v/>
      </c>
      <c r="HJ45" s="1118" t="str">
        <f t="shared" si="480"/>
        <v/>
      </c>
      <c r="HK45" s="1119">
        <f t="shared" si="481"/>
        <v>0</v>
      </c>
      <c r="HL45" s="1117" t="str">
        <f t="shared" si="482"/>
        <v/>
      </c>
      <c r="HM45" s="1118" t="str">
        <f t="shared" si="483"/>
        <v/>
      </c>
      <c r="HN45" s="1119">
        <f t="shared" si="484"/>
        <v>0</v>
      </c>
      <c r="HO45" s="1117" t="str">
        <f t="shared" si="485"/>
        <v/>
      </c>
      <c r="HP45" s="1118" t="str">
        <f t="shared" si="486"/>
        <v/>
      </c>
      <c r="HQ45" s="1119">
        <f t="shared" si="487"/>
        <v>0</v>
      </c>
      <c r="HR45" s="1117" t="str">
        <f t="shared" si="135"/>
        <v/>
      </c>
      <c r="HS45" s="1119">
        <f t="shared" si="488"/>
        <v>0</v>
      </c>
      <c r="HT45" s="1117" t="str">
        <f t="shared" si="137"/>
        <v/>
      </c>
      <c r="HU45" s="1120">
        <f t="shared" si="489"/>
        <v>0</v>
      </c>
      <c r="HV45" s="1117" t="str">
        <f t="shared" si="490"/>
        <v/>
      </c>
      <c r="HW45" s="1118" t="str">
        <f t="shared" si="491"/>
        <v/>
      </c>
      <c r="HX45" s="1119">
        <f t="shared" si="492"/>
        <v>0</v>
      </c>
      <c r="HY45" s="1117" t="str">
        <f t="shared" si="493"/>
        <v/>
      </c>
      <c r="HZ45" s="1118" t="str">
        <f t="shared" si="494"/>
        <v/>
      </c>
      <c r="IA45" s="1119">
        <f t="shared" si="495"/>
        <v>0</v>
      </c>
      <c r="IB45" s="1117" t="str">
        <f t="shared" si="496"/>
        <v/>
      </c>
      <c r="IC45" s="1118" t="str">
        <f t="shared" si="497"/>
        <v/>
      </c>
      <c r="ID45" s="1119">
        <f t="shared" si="498"/>
        <v>0</v>
      </c>
      <c r="IE45" s="1117" t="str">
        <f t="shared" si="145"/>
        <v/>
      </c>
      <c r="IF45" s="1119">
        <f t="shared" si="499"/>
        <v>0</v>
      </c>
      <c r="IG45" s="1117" t="str">
        <f t="shared" si="147"/>
        <v/>
      </c>
      <c r="IH45" s="1120">
        <f t="shared" si="500"/>
        <v>0</v>
      </c>
      <c r="II45" s="1117" t="str">
        <f t="shared" si="501"/>
        <v/>
      </c>
      <c r="IJ45" s="1118" t="str">
        <f t="shared" si="502"/>
        <v/>
      </c>
      <c r="IK45" s="1119">
        <f t="shared" si="503"/>
        <v>0</v>
      </c>
      <c r="IL45" s="1117" t="str">
        <f t="shared" si="504"/>
        <v/>
      </c>
      <c r="IM45" s="1118" t="str">
        <f t="shared" si="505"/>
        <v/>
      </c>
      <c r="IN45" s="1119">
        <f t="shared" si="506"/>
        <v>0</v>
      </c>
      <c r="IO45" s="1117" t="str">
        <f t="shared" si="507"/>
        <v/>
      </c>
      <c r="IP45" s="1118" t="str">
        <f t="shared" si="508"/>
        <v/>
      </c>
      <c r="IQ45" s="1119">
        <f t="shared" si="509"/>
        <v>0</v>
      </c>
      <c r="IR45" s="1117" t="str">
        <f t="shared" si="1"/>
        <v/>
      </c>
      <c r="IS45" s="1119">
        <f t="shared" si="510"/>
        <v>0</v>
      </c>
      <c r="IT45" s="1117" t="str">
        <f t="shared" si="2"/>
        <v/>
      </c>
    </row>
    <row r="46" hidden="1" outlineLevel="1">
      <c r="A46" s="1086">
        <f t="shared" si="337"/>
        <v>8</v>
      </c>
      <c r="B46" s="1087" t="s">
        <v>2821</v>
      </c>
      <c r="C46" s="1087" t="s">
        <v>956</v>
      </c>
      <c r="D46" s="1087" t="str">
        <f>IF(C46&gt;0,VLOOKUP(C46,DM_DUAN ,2,"") ,IF(B46&gt;0,VLOOKUP(B46,DM_CDT,2,""),""))</f>
        <v>KDC Lộc Ngãi</v>
      </c>
      <c r="E46" s="1087" t="s">
        <v>2239</v>
      </c>
      <c r="F46" s="1087"/>
      <c r="G46" s="1086">
        <v>2.0</v>
      </c>
      <c r="H46" s="1088">
        <f>SUMIFS(BP_SOTIEN,BP_DA,$C46,BP_THANG,H$2,BP_KM,$E46)/1000</f>
        <v>0</v>
      </c>
      <c r="I46" s="1091" t="str">
        <f t="shared" si="338"/>
        <v/>
      </c>
      <c r="J46" s="1089" t="str">
        <f t="shared" si="339"/>
        <v/>
      </c>
      <c r="K46" s="1090">
        <f>IF(NOW()&gt;=DATE(YEAR(H$2),MONTH(H$2)+1,DAY(H$2)),SUMIFS(TF_SOTIEN,TF_DA,$C46,TF_THANG,H$2,TF_KM,$E46)/1000, N46)</f>
        <v>0</v>
      </c>
      <c r="L46" s="1091" t="str">
        <f t="shared" si="340"/>
        <v/>
      </c>
      <c r="M46" s="1089" t="str">
        <f t="shared" si="341"/>
        <v/>
      </c>
      <c r="N46" s="1090">
        <f>IF(NOW()&gt;=DATE(YEAR(H$2),MONTH(H$2)+1,DAY(H$2)),SUMIFS(AC_SOTIEN,AC_DA,$C46,AC_THANG,H$2,AC_KM,$E46),SUMIFS(TF_SOTIEN,TF_DA,$C46,TF_THANG,H$2,TF_KM,$E46))/ 1000</f>
        <v>0</v>
      </c>
      <c r="O46" s="1091" t="str">
        <f t="shared" si="342"/>
        <v/>
      </c>
      <c r="P46" s="1089" t="str">
        <f t="shared" si="343"/>
        <v/>
      </c>
      <c r="Q46" s="1090">
        <f t="shared" si="344"/>
        <v>0</v>
      </c>
      <c r="R46" s="1091" t="str">
        <f t="shared" si="8"/>
        <v/>
      </c>
      <c r="S46" s="1090">
        <f t="shared" si="345"/>
        <v>0</v>
      </c>
      <c r="T46" s="1091" t="str">
        <f t="shared" si="10"/>
        <v/>
      </c>
      <c r="U46" s="1088">
        <f>SUMIFS(BP_SOTIEN,BP_DA,$C46,BP_THANG,U$2,BP_KM,$E46)/1000</f>
        <v>0</v>
      </c>
      <c r="V46" s="1091" t="str">
        <f t="shared" si="346"/>
        <v/>
      </c>
      <c r="W46" s="1089" t="str">
        <f t="shared" si="347"/>
        <v/>
      </c>
      <c r="X46" s="1090">
        <f>IF(NOW()&gt;=DATE(YEAR(U$2),MONTH(U$2)+1,DAY(U$2)),SUMIFS(TF_SOTIEN,TF_DA,$C46,TF_THANG,U$2,TF_KM,$E46)/1000, AA46)</f>
        <v>0</v>
      </c>
      <c r="Y46" s="1091" t="str">
        <f t="shared" si="348"/>
        <v/>
      </c>
      <c r="Z46" s="1089" t="str">
        <f t="shared" si="349"/>
        <v/>
      </c>
      <c r="AA46" s="1090">
        <f>IF(NOW()&gt;=DATE(YEAR(U$2),MONTH(U$2)+1,DAY(U$2)),SUMIFS(AC_SOTIEN,AC_DA,$C46,AC_THANG,U$2,AC_KM,$E46),SUMIFS(TF_SOTIEN,TF_DA,$C46,TF_THANG,U$2,TF_KM,$E46))/ 1000</f>
        <v>0</v>
      </c>
      <c r="AB46" s="1091" t="str">
        <f t="shared" si="350"/>
        <v/>
      </c>
      <c r="AC46" s="1089" t="str">
        <f t="shared" si="351"/>
        <v/>
      </c>
      <c r="AD46" s="1090">
        <f t="shared" si="352"/>
        <v>0</v>
      </c>
      <c r="AE46" s="1091" t="str">
        <f t="shared" si="15"/>
        <v/>
      </c>
      <c r="AF46" s="1090">
        <f t="shared" si="353"/>
        <v>0</v>
      </c>
      <c r="AG46" s="1091" t="str">
        <f t="shared" si="17"/>
        <v/>
      </c>
      <c r="AH46" s="1088">
        <f>SUMIFS(BP_SOTIEN,BP_DA,$C46,BP_THANG,AH$2,BP_KM,$E46)/1000</f>
        <v>0</v>
      </c>
      <c r="AI46" s="1091" t="str">
        <f t="shared" si="354"/>
        <v/>
      </c>
      <c r="AJ46" s="1089" t="str">
        <f t="shared" si="355"/>
        <v/>
      </c>
      <c r="AK46" s="1090">
        <f>IF(NOW()&gt;=DATE(YEAR(AH$2),MONTH(AH$2)+1,DAY(AH$2)),SUMIFS(TF_SOTIEN,TF_DA,$C46,TF_THANG,AH$2,TF_KM,$E46)/1000, AN46)</f>
        <v>0</v>
      </c>
      <c r="AL46" s="1091" t="str">
        <f t="shared" si="356"/>
        <v/>
      </c>
      <c r="AM46" s="1089" t="str">
        <f t="shared" si="357"/>
        <v/>
      </c>
      <c r="AN46" s="1090">
        <f>IF(NOW()&gt;=DATE(YEAR(AH$2),MONTH(AH$2)+1,DAY(AH$2)),SUMIFS(AC_SOTIEN,AC_DA,$C46,AC_THANG,AH$2,AC_KM,$E46),SUMIFS(TF_SOTIEN,TF_DA,$C46,TF_THANG,AH$2,TF_KM,$E46))/ 1000</f>
        <v>0</v>
      </c>
      <c r="AO46" s="1091" t="str">
        <f t="shared" si="358"/>
        <v/>
      </c>
      <c r="AP46" s="1089" t="str">
        <f t="shared" si="359"/>
        <v/>
      </c>
      <c r="AQ46" s="1090">
        <f t="shared" si="360"/>
        <v>0</v>
      </c>
      <c r="AR46" s="1091" t="str">
        <f t="shared" si="22"/>
        <v/>
      </c>
      <c r="AS46" s="1090">
        <f t="shared" si="361"/>
        <v>0</v>
      </c>
      <c r="AT46" s="1091" t="str">
        <f t="shared" si="24"/>
        <v/>
      </c>
      <c r="AU46" s="1088">
        <f t="shared" si="362"/>
        <v>0</v>
      </c>
      <c r="AV46" s="1091" t="str">
        <f t="shared" si="363"/>
        <v/>
      </c>
      <c r="AW46" s="1089" t="str">
        <f t="shared" si="364"/>
        <v/>
      </c>
      <c r="AX46" s="1090">
        <f t="shared" si="365"/>
        <v>0</v>
      </c>
      <c r="AY46" s="1091" t="str">
        <f t="shared" si="366"/>
        <v/>
      </c>
      <c r="AZ46" s="1089" t="str">
        <f t="shared" si="367"/>
        <v/>
      </c>
      <c r="BA46" s="1090">
        <f t="shared" si="368"/>
        <v>0</v>
      </c>
      <c r="BB46" s="1091" t="str">
        <f t="shared" si="369"/>
        <v/>
      </c>
      <c r="BC46" s="1089" t="str">
        <f t="shared" si="370"/>
        <v/>
      </c>
      <c r="BD46" s="1090">
        <f t="shared" si="371"/>
        <v>0</v>
      </c>
      <c r="BE46" s="1091" t="str">
        <f t="shared" si="32"/>
        <v/>
      </c>
      <c r="BF46" s="1090">
        <f t="shared" si="372"/>
        <v>0</v>
      </c>
      <c r="BG46" s="1091" t="str">
        <f t="shared" si="34"/>
        <v/>
      </c>
      <c r="BH46" s="1088">
        <f>SUMIFS(BP_SOTIEN,BP_DA,$C46,BP_THANG,BH$2,BP_KM,$E46)/1000</f>
        <v>0</v>
      </c>
      <c r="BI46" s="1091" t="str">
        <f t="shared" si="373"/>
        <v/>
      </c>
      <c r="BJ46" s="1089" t="str">
        <f t="shared" si="374"/>
        <v/>
      </c>
      <c r="BK46" s="1090">
        <f>IF(NOW()&gt;=DATE(YEAR(BH$2),MONTH(BH$2)+1,DAY(BH$2)),SUMIFS(TF_SOTIEN,TF_DA,$C46,TF_THANG,BH$2,TF_KM,$E46)/1000, BN46)</f>
        <v>0</v>
      </c>
      <c r="BL46" s="1091" t="str">
        <f t="shared" si="375"/>
        <v/>
      </c>
      <c r="BM46" s="1089" t="str">
        <f t="shared" si="376"/>
        <v/>
      </c>
      <c r="BN46" s="1090">
        <f>IF(NOW()&gt;=DATE(YEAR(BH$2),MONTH(BH$2)+1,DAY(BH$2)),SUMIFS(AC_SOTIEN,AC_DA,$C46,AC_THANG,BH$2,AC_KM,$E46),SUMIFS(TF_SOTIEN,TF_DA,$C46,TF_THANG,BH$2,TF_KM,$E46))/ 1000</f>
        <v>0</v>
      </c>
      <c r="BO46" s="1091" t="str">
        <f t="shared" si="377"/>
        <v/>
      </c>
      <c r="BP46" s="1089" t="str">
        <f t="shared" si="378"/>
        <v/>
      </c>
      <c r="BQ46" s="1090">
        <f t="shared" si="379"/>
        <v>0</v>
      </c>
      <c r="BR46" s="1091" t="str">
        <f t="shared" si="39"/>
        <v/>
      </c>
      <c r="BS46" s="1090">
        <f t="shared" si="380"/>
        <v>0</v>
      </c>
      <c r="BT46" s="1091" t="str">
        <f t="shared" si="41"/>
        <v/>
      </c>
      <c r="BU46" s="1088">
        <f>SUMIFS(BP_SOTIEN,BP_DA,$C46,BP_THANG,BU$2,BP_KM,$E46)/1000</f>
        <v>0</v>
      </c>
      <c r="BV46" s="1091" t="str">
        <f t="shared" si="381"/>
        <v/>
      </c>
      <c r="BW46" s="1089" t="str">
        <f t="shared" si="382"/>
        <v/>
      </c>
      <c r="BX46" s="1090">
        <f>IF(NOW()&gt;=DATE(YEAR(BU$2),MONTH(BU$2)+1,DAY(BU$2)),SUMIFS(TF_SOTIEN,TF_DA,$C46,TF_THANG,BU$2,TF_KM,$E46)/1000, CA46)</f>
        <v>0</v>
      </c>
      <c r="BY46" s="1091">
        <f t="shared" si="383"/>
        <v>0</v>
      </c>
      <c r="BZ46" s="1089" t="str">
        <f t="shared" si="384"/>
        <v/>
      </c>
      <c r="CA46" s="1090">
        <f>IF(NOW()&gt;=DATE(YEAR(BU$2),MONTH(BU$2)+1,DAY(BU$2)),SUMIFS(AC_SOTIEN,AC_DA,$C46,AC_THANG,BU$2,AC_KM,$E46),SUMIFS(TF_SOTIEN,TF_DA,$C46,TF_THANG,BU$2,TF_KM,$E46))/ 1000</f>
        <v>0</v>
      </c>
      <c r="CB46" s="1091">
        <f t="shared" si="385"/>
        <v>0</v>
      </c>
      <c r="CC46" s="1089" t="str">
        <f t="shared" si="386"/>
        <v/>
      </c>
      <c r="CD46" s="1090">
        <f t="shared" si="387"/>
        <v>0</v>
      </c>
      <c r="CE46" s="1091" t="str">
        <f t="shared" si="46"/>
        <v/>
      </c>
      <c r="CF46" s="1090">
        <f t="shared" si="388"/>
        <v>0</v>
      </c>
      <c r="CG46" s="1091" t="str">
        <f t="shared" si="48"/>
        <v/>
      </c>
      <c r="CH46" s="1088">
        <f>SUMIFS(BP_SOTIEN,BP_DA,$C46,BP_THANG,CH$2,BP_KM,$E46)/1000</f>
        <v>0</v>
      </c>
      <c r="CI46" s="1091" t="str">
        <f t="shared" si="389"/>
        <v/>
      </c>
      <c r="CJ46" s="1089" t="str">
        <f t="shared" si="390"/>
        <v/>
      </c>
      <c r="CK46" s="1090">
        <f>IF(NOW()&gt;=DATE(YEAR(CH$2),MONTH(CH$2)+1,DAY(CH$2)),SUMIFS(TF_SOTIEN,TF_DA,$C46,TF_THANG,CH$2,TF_KM,$E46)/1000, CN46)</f>
        <v>0</v>
      </c>
      <c r="CL46" s="1091" t="str">
        <f t="shared" si="391"/>
        <v/>
      </c>
      <c r="CM46" s="1089" t="str">
        <f t="shared" si="392"/>
        <v/>
      </c>
      <c r="CN46" s="1090">
        <f>IF(NOW()&gt;=DATE(YEAR(CH$2),MONTH(CH$2)+1,DAY(CH$2)),SUMIFS(AC_SOTIEN,AC_DA,$C46,AC_THANG,CH$2,AC_KM,$E46),SUMIFS(TF_SOTIEN,TF_DA,$C46,TF_THANG,CH$2,TF_KM,$E46))/ 1000</f>
        <v>0</v>
      </c>
      <c r="CO46" s="1091" t="str">
        <f t="shared" si="393"/>
        <v/>
      </c>
      <c r="CP46" s="1089" t="str">
        <f t="shared" si="394"/>
        <v/>
      </c>
      <c r="CQ46" s="1090">
        <f t="shared" si="395"/>
        <v>0</v>
      </c>
      <c r="CR46" s="1091" t="str">
        <f t="shared" si="53"/>
        <v/>
      </c>
      <c r="CS46" s="1090">
        <f t="shared" si="396"/>
        <v>0</v>
      </c>
      <c r="CT46" s="1091" t="str">
        <f t="shared" si="55"/>
        <v/>
      </c>
      <c r="CU46" s="1088">
        <f t="shared" si="397"/>
        <v>0</v>
      </c>
      <c r="CV46" s="1091" t="str">
        <f t="shared" si="398"/>
        <v/>
      </c>
      <c r="CW46" s="1089" t="str">
        <f t="shared" si="399"/>
        <v/>
      </c>
      <c r="CX46" s="1090">
        <f t="shared" si="400"/>
        <v>0</v>
      </c>
      <c r="CY46" s="1091">
        <f t="shared" si="401"/>
        <v>0</v>
      </c>
      <c r="CZ46" s="1089" t="str">
        <f t="shared" si="402"/>
        <v/>
      </c>
      <c r="DA46" s="1090">
        <f t="shared" si="403"/>
        <v>0</v>
      </c>
      <c r="DB46" s="1091">
        <f t="shared" si="404"/>
        <v>0</v>
      </c>
      <c r="DC46" s="1089" t="str">
        <f t="shared" si="405"/>
        <v/>
      </c>
      <c r="DD46" s="1090">
        <f t="shared" si="406"/>
        <v>0</v>
      </c>
      <c r="DE46" s="1091" t="str">
        <f t="shared" si="63"/>
        <v/>
      </c>
      <c r="DF46" s="1090">
        <f t="shared" si="407"/>
        <v>0</v>
      </c>
      <c r="DG46" s="1091" t="str">
        <f t="shared" si="65"/>
        <v/>
      </c>
      <c r="DH46" s="1088">
        <f t="shared" si="408"/>
        <v>0</v>
      </c>
      <c r="DI46" s="1091" t="str">
        <f t="shared" si="409"/>
        <v/>
      </c>
      <c r="DJ46" s="1089" t="str">
        <f t="shared" si="410"/>
        <v/>
      </c>
      <c r="DK46" s="1090">
        <f t="shared" si="411"/>
        <v>0</v>
      </c>
      <c r="DL46" s="1091">
        <f t="shared" si="412"/>
        <v>0</v>
      </c>
      <c r="DM46" s="1089" t="str">
        <f t="shared" si="413"/>
        <v/>
      </c>
      <c r="DN46" s="1090">
        <f t="shared" si="414"/>
        <v>0</v>
      </c>
      <c r="DO46" s="1091">
        <f t="shared" si="415"/>
        <v>0</v>
      </c>
      <c r="DP46" s="1089" t="str">
        <f t="shared" si="416"/>
        <v/>
      </c>
      <c r="DQ46" s="1090">
        <f t="shared" si="417"/>
        <v>0</v>
      </c>
      <c r="DR46" s="1091" t="str">
        <f t="shared" si="73"/>
        <v/>
      </c>
      <c r="DS46" s="1090">
        <f t="shared" si="418"/>
        <v>0</v>
      </c>
      <c r="DT46" s="1091" t="str">
        <f t="shared" si="75"/>
        <v/>
      </c>
      <c r="DU46" s="1088">
        <f>SUMIFS(BP_SOTIEN,BP_DA,$C46,BP_THANG,DU$2,BP_KM,$E46)/1000</f>
        <v>0</v>
      </c>
      <c r="DV46" s="1091" t="str">
        <f t="shared" si="419"/>
        <v/>
      </c>
      <c r="DW46" s="1089" t="str">
        <f t="shared" si="420"/>
        <v/>
      </c>
      <c r="DX46" s="1090">
        <f>IF(NOW()&gt;=DATE(YEAR(DU$2),MONTH(DU$2)+1,DAY(DU$2)),SUMIFS(TF_SOTIEN,TF_DA,$C46,TF_THANG,DU$2,TF_KM,$E46)/1000, EA46)</f>
        <v>0</v>
      </c>
      <c r="DY46" s="1091" t="str">
        <f t="shared" si="421"/>
        <v/>
      </c>
      <c r="DZ46" s="1089" t="str">
        <f t="shared" si="422"/>
        <v/>
      </c>
      <c r="EA46" s="1090">
        <f>IF(NOW()&gt;=DATE(YEAR(DU$2),MONTH(DU$2)+1,DAY(DU$2)),SUMIFS(AC_SOTIEN,AC_DA,$C46,AC_THANG,DU$2,AC_KM,$E46),SUMIFS(TF_SOTIEN,TF_DA,$C46,TF_THANG,DU$2,TF_KM,$E46))/ 1000</f>
        <v>0</v>
      </c>
      <c r="EB46" s="1091" t="str">
        <f t="shared" si="423"/>
        <v/>
      </c>
      <c r="EC46" s="1089" t="str">
        <f t="shared" si="424"/>
        <v/>
      </c>
      <c r="ED46" s="1090">
        <f t="shared" si="425"/>
        <v>0</v>
      </c>
      <c r="EE46" s="1091" t="str">
        <f t="shared" si="80"/>
        <v/>
      </c>
      <c r="EF46" s="1090">
        <f t="shared" si="426"/>
        <v>0</v>
      </c>
      <c r="EG46" s="1091" t="str">
        <f t="shared" si="82"/>
        <v/>
      </c>
      <c r="EH46" s="1088">
        <f>SUMIFS(BP_SOTIEN,BP_DA,$C46,BP_THANG,EH$2,BP_KM,$E46)/1000</f>
        <v>0</v>
      </c>
      <c r="EI46" s="1091" t="str">
        <f t="shared" si="427"/>
        <v/>
      </c>
      <c r="EJ46" s="1089" t="str">
        <f t="shared" si="428"/>
        <v/>
      </c>
      <c r="EK46" s="1090">
        <f>IF(NOW()&gt;=DATE(YEAR(EH$2),MONTH(EH$2)+1,DAY(EH$2)),SUMIFS(TF_SOTIEN,TF_DA,$C46,TF_THANG,EH$2,TF_KM,$E46)/1000, EN46)</f>
        <v>0</v>
      </c>
      <c r="EL46" s="1091" t="str">
        <f t="shared" si="429"/>
        <v/>
      </c>
      <c r="EM46" s="1089" t="str">
        <f t="shared" si="430"/>
        <v/>
      </c>
      <c r="EN46" s="1090">
        <f>IF(NOW()&gt;=DATE(YEAR(EH$2),MONTH(EH$2)+1,DAY(EH$2)),SUMIFS(AC_SOTIEN,AC_DA,$C46,AC_THANG,EH$2,AC_KM,$E46),SUMIFS(TF_SOTIEN,TF_DA,$C46,TF_THANG,EH$2,TF_KM,$E46))/ 1000</f>
        <v>0</v>
      </c>
      <c r="EO46" s="1091" t="str">
        <f t="shared" si="431"/>
        <v/>
      </c>
      <c r="EP46" s="1089" t="str">
        <f t="shared" si="432"/>
        <v/>
      </c>
      <c r="EQ46" s="1090">
        <f t="shared" si="433"/>
        <v>0</v>
      </c>
      <c r="ER46" s="1091" t="str">
        <f t="shared" si="87"/>
        <v/>
      </c>
      <c r="ES46" s="1090">
        <f t="shared" si="434"/>
        <v>0</v>
      </c>
      <c r="ET46" s="1091" t="str">
        <f t="shared" si="89"/>
        <v/>
      </c>
      <c r="EU46" s="1088">
        <f>SUMIFS(BP_SOTIEN,BP_DA,$C46,BP_THANG,EU$2,BP_KM,$E46)/1000</f>
        <v>0</v>
      </c>
      <c r="EV46" s="1091" t="str">
        <f t="shared" si="435"/>
        <v/>
      </c>
      <c r="EW46" s="1089" t="str">
        <f t="shared" si="436"/>
        <v/>
      </c>
      <c r="EX46" s="1090">
        <f>IF(NOW()&gt;=DATE(YEAR(EU$2),MONTH(EU$2)+1,DAY(EU$2)),SUMIFS(TF_SOTIEN,TF_DA,$C46,TF_THANG,EU$2,TF_KM,$E46)/1000, FA46)</f>
        <v>0</v>
      </c>
      <c r="EY46" s="1091" t="str">
        <f t="shared" si="437"/>
        <v/>
      </c>
      <c r="EZ46" s="1089" t="str">
        <f t="shared" si="438"/>
        <v/>
      </c>
      <c r="FA46" s="1090">
        <f>IF(NOW()&gt;=DATE(YEAR(EU$2),MONTH(EU$2)+1,DAY(EU$2)),SUMIFS(AC_SOTIEN,AC_DA,$C46,AC_THANG,EU$2,AC_KM,$E46),SUMIFS(TF_SOTIEN,TF_DA,$C46,TF_THANG,EU$2,TF_KM,$E46))/ 1000</f>
        <v>0</v>
      </c>
      <c r="FB46" s="1091" t="str">
        <f t="shared" si="439"/>
        <v/>
      </c>
      <c r="FC46" s="1089" t="str">
        <f t="shared" si="440"/>
        <v/>
      </c>
      <c r="FD46" s="1090">
        <f t="shared" si="441"/>
        <v>0</v>
      </c>
      <c r="FE46" s="1091" t="str">
        <f t="shared" si="94"/>
        <v/>
      </c>
      <c r="FF46" s="1090">
        <f t="shared" si="442"/>
        <v>0</v>
      </c>
      <c r="FG46" s="1091" t="str">
        <f t="shared" si="96"/>
        <v/>
      </c>
      <c r="FH46" s="1088">
        <f t="shared" si="443"/>
        <v>0</v>
      </c>
      <c r="FI46" s="1091" t="str">
        <f t="shared" si="444"/>
        <v/>
      </c>
      <c r="FJ46" s="1089" t="str">
        <f t="shared" si="445"/>
        <v/>
      </c>
      <c r="FK46" s="1090">
        <f t="shared" si="446"/>
        <v>0</v>
      </c>
      <c r="FL46" s="1091" t="str">
        <f t="shared" si="447"/>
        <v/>
      </c>
      <c r="FM46" s="1089" t="str">
        <f t="shared" si="448"/>
        <v/>
      </c>
      <c r="FN46" s="1090">
        <f t="shared" si="449"/>
        <v>0</v>
      </c>
      <c r="FO46" s="1091" t="str">
        <f t="shared" si="450"/>
        <v/>
      </c>
      <c r="FP46" s="1089" t="str">
        <f t="shared" si="451"/>
        <v/>
      </c>
      <c r="FQ46" s="1090">
        <f t="shared" si="452"/>
        <v>0</v>
      </c>
      <c r="FR46" s="1091" t="str">
        <f t="shared" si="104"/>
        <v/>
      </c>
      <c r="FS46" s="1090">
        <f t="shared" si="453"/>
        <v>0</v>
      </c>
      <c r="FT46" s="1091" t="str">
        <f t="shared" si="106"/>
        <v/>
      </c>
      <c r="FU46" s="1088">
        <f>SUMIFS(BP_SOTIEN,BP_DA,$C46,BP_THANG,FU$2,BP_KM,$E46)/1000</f>
        <v>0</v>
      </c>
      <c r="FV46" s="1091" t="str">
        <f t="shared" si="454"/>
        <v/>
      </c>
      <c r="FW46" s="1089" t="str">
        <f t="shared" si="455"/>
        <v/>
      </c>
      <c r="FX46" s="1090">
        <f>IF(NOW()&gt;=DATE(YEAR(FU$2),MONTH(FU$2)+1,DAY(FU$2)),SUMIFS(TF_SOTIEN,TF_DA,$C46,TF_THANG,FU$2,TF_KM,$E46)/1000, GA46)</f>
        <v>0</v>
      </c>
      <c r="FY46" s="1091" t="str">
        <f t="shared" si="456"/>
        <v/>
      </c>
      <c r="FZ46" s="1089" t="str">
        <f t="shared" si="457"/>
        <v/>
      </c>
      <c r="GA46" s="1090">
        <f>IF(NOW()&gt;=DATE(YEAR(FU$2),MONTH(FU$2)+1,DAY(FU$2)),SUMIFS(AC_SOTIEN,AC_DA,$C46,AC_THANG,FU$2,AC_KM,$E46),SUMIFS(TF_SOTIEN,TF_DA,$C46,TF_THANG,FU$2,TF_KM,$E46))/ 1000</f>
        <v>0</v>
      </c>
      <c r="GB46" s="1091" t="str">
        <f t="shared" si="458"/>
        <v/>
      </c>
      <c r="GC46" s="1089" t="str">
        <f t="shared" si="459"/>
        <v/>
      </c>
      <c r="GD46" s="1090">
        <f t="shared" si="460"/>
        <v>0</v>
      </c>
      <c r="GE46" s="1091" t="str">
        <f t="shared" si="111"/>
        <v/>
      </c>
      <c r="GF46" s="1090">
        <f t="shared" si="461"/>
        <v>0</v>
      </c>
      <c r="GG46" s="1091" t="str">
        <f t="shared" si="113"/>
        <v/>
      </c>
      <c r="GH46" s="1088">
        <f>SUMIFS(BP_SOTIEN,BP_DA,$C46,BP_THANG,GH$2,BP_KM,$E46)/1000</f>
        <v>0</v>
      </c>
      <c r="GI46" s="1091" t="str">
        <f t="shared" si="462"/>
        <v/>
      </c>
      <c r="GJ46" s="1089" t="str">
        <f t="shared" si="463"/>
        <v/>
      </c>
      <c r="GK46" s="1090">
        <f>IF(NOW()&gt;=DATE(YEAR(GH$2),MONTH(GH$2)+1,DAY(GH$2)),SUMIFS(TF_SOTIEN,TF_DA,$C46,TF_THANG,GH$2,TF_KM,$E46)/1000, GN46)</f>
        <v>0</v>
      </c>
      <c r="GL46" s="1091" t="str">
        <f t="shared" si="464"/>
        <v/>
      </c>
      <c r="GM46" s="1089" t="str">
        <f t="shared" si="465"/>
        <v/>
      </c>
      <c r="GN46" s="1090">
        <f>IF(NOW()&gt;=DATE(YEAR(GH$2),MONTH(GH$2)+1,DAY(GH$2)),SUMIFS(AC_SOTIEN,AC_DA,$C46,AC_THANG,GH$2,AC_KM,$E46),SUMIFS(TF_SOTIEN,TF_DA,$C46,TF_THANG,GH$2,TF_KM,$E46))/ 1000</f>
        <v>0</v>
      </c>
      <c r="GO46" s="1091" t="str">
        <f t="shared" si="466"/>
        <v/>
      </c>
      <c r="GP46" s="1089" t="str">
        <f t="shared" si="467"/>
        <v/>
      </c>
      <c r="GQ46" s="1090">
        <f t="shared" si="468"/>
        <v>0</v>
      </c>
      <c r="GR46" s="1091" t="str">
        <f t="shared" si="118"/>
        <v/>
      </c>
      <c r="GS46" s="1090">
        <f t="shared" si="469"/>
        <v>0</v>
      </c>
      <c r="GT46" s="1091" t="str">
        <f t="shared" si="120"/>
        <v/>
      </c>
      <c r="GU46" s="1088">
        <f>SUMIFS(BP_SOTIEN,BP_DA,$C46,BP_THANG,GU$2,BP_KM,$E46)/1000</f>
        <v>0</v>
      </c>
      <c r="GV46" s="1091" t="str">
        <f t="shared" si="470"/>
        <v/>
      </c>
      <c r="GW46" s="1089" t="str">
        <f t="shared" si="471"/>
        <v/>
      </c>
      <c r="GX46" s="1090">
        <f>IF(NOW()&gt;=DATE(YEAR(GU$2),MONTH(GU$2)+1,DAY(GU$2)),SUMIFS(TF_SOTIEN,TF_DA,$C46,TF_THANG,GU$2,TF_KM,$E46)/1000, HA46)</f>
        <v>0</v>
      </c>
      <c r="GY46" s="1091" t="str">
        <f t="shared" si="472"/>
        <v/>
      </c>
      <c r="GZ46" s="1089" t="str">
        <f t="shared" si="473"/>
        <v/>
      </c>
      <c r="HA46" s="1090">
        <f>IF(NOW()&gt;=DATE(YEAR(GU$2),MONTH(GU$2)+1,DAY(GU$2)),SUMIFS(AC_SOTIEN,AC_DA,$C46,AC_THANG,GU$2,AC_KM,$E46),SUMIFS(TF_SOTIEN,TF_DA,$C46,TF_THANG,GU$2,TF_KM,$E46))/ 1000</f>
        <v>0</v>
      </c>
      <c r="HB46" s="1091" t="str">
        <f t="shared" si="474"/>
        <v/>
      </c>
      <c r="HC46" s="1089" t="str">
        <f t="shared" si="475"/>
        <v/>
      </c>
      <c r="HD46" s="1090">
        <f t="shared" si="476"/>
        <v>0</v>
      </c>
      <c r="HE46" s="1091" t="str">
        <f t="shared" si="125"/>
        <v/>
      </c>
      <c r="HF46" s="1090">
        <f t="shared" si="477"/>
        <v>0</v>
      </c>
      <c r="HG46" s="1091" t="str">
        <f t="shared" si="127"/>
        <v/>
      </c>
      <c r="HH46" s="1088">
        <f t="shared" si="478"/>
        <v>0</v>
      </c>
      <c r="HI46" s="1091" t="str">
        <f t="shared" si="479"/>
        <v/>
      </c>
      <c r="HJ46" s="1089" t="str">
        <f t="shared" si="480"/>
        <v/>
      </c>
      <c r="HK46" s="1090">
        <f t="shared" si="481"/>
        <v>0</v>
      </c>
      <c r="HL46" s="1091" t="str">
        <f t="shared" si="482"/>
        <v/>
      </c>
      <c r="HM46" s="1089" t="str">
        <f t="shared" si="483"/>
        <v/>
      </c>
      <c r="HN46" s="1090">
        <f t="shared" si="484"/>
        <v>0</v>
      </c>
      <c r="HO46" s="1091" t="str">
        <f t="shared" si="485"/>
        <v/>
      </c>
      <c r="HP46" s="1089" t="str">
        <f t="shared" si="486"/>
        <v/>
      </c>
      <c r="HQ46" s="1090">
        <f t="shared" si="487"/>
        <v>0</v>
      </c>
      <c r="HR46" s="1091" t="str">
        <f t="shared" si="135"/>
        <v/>
      </c>
      <c r="HS46" s="1090">
        <f t="shared" si="488"/>
        <v>0</v>
      </c>
      <c r="HT46" s="1091" t="str">
        <f t="shared" si="137"/>
        <v/>
      </c>
      <c r="HU46" s="1088">
        <f t="shared" si="489"/>
        <v>0</v>
      </c>
      <c r="HV46" s="1091" t="str">
        <f t="shared" si="490"/>
        <v/>
      </c>
      <c r="HW46" s="1089" t="str">
        <f t="shared" si="491"/>
        <v/>
      </c>
      <c r="HX46" s="1090">
        <f t="shared" si="492"/>
        <v>0</v>
      </c>
      <c r="HY46" s="1091" t="str">
        <f t="shared" si="493"/>
        <v/>
      </c>
      <c r="HZ46" s="1089" t="str">
        <f t="shared" si="494"/>
        <v/>
      </c>
      <c r="IA46" s="1090">
        <f t="shared" si="495"/>
        <v>0</v>
      </c>
      <c r="IB46" s="1091" t="str">
        <f t="shared" si="496"/>
        <v/>
      </c>
      <c r="IC46" s="1089" t="str">
        <f t="shared" si="497"/>
        <v/>
      </c>
      <c r="ID46" s="1090">
        <f t="shared" si="498"/>
        <v>0</v>
      </c>
      <c r="IE46" s="1091" t="str">
        <f t="shared" si="145"/>
        <v/>
      </c>
      <c r="IF46" s="1090">
        <f t="shared" si="499"/>
        <v>0</v>
      </c>
      <c r="IG46" s="1091" t="str">
        <f t="shared" si="147"/>
        <v/>
      </c>
      <c r="IH46" s="1088">
        <f t="shared" si="500"/>
        <v>0</v>
      </c>
      <c r="II46" s="1091" t="str">
        <f t="shared" si="501"/>
        <v/>
      </c>
      <c r="IJ46" s="1089" t="str">
        <f t="shared" si="502"/>
        <v/>
      </c>
      <c r="IK46" s="1090">
        <f t="shared" si="503"/>
        <v>0</v>
      </c>
      <c r="IL46" s="1091">
        <f t="shared" si="504"/>
        <v>0</v>
      </c>
      <c r="IM46" s="1089" t="str">
        <f t="shared" si="505"/>
        <v/>
      </c>
      <c r="IN46" s="1090">
        <f t="shared" si="506"/>
        <v>0</v>
      </c>
      <c r="IO46" s="1091">
        <f t="shared" si="507"/>
        <v>0</v>
      </c>
      <c r="IP46" s="1089" t="str">
        <f t="shared" si="508"/>
        <v/>
      </c>
      <c r="IQ46" s="1090">
        <f t="shared" si="509"/>
        <v>0</v>
      </c>
      <c r="IR46" s="1091" t="str">
        <f t="shared" si="1"/>
        <v/>
      </c>
      <c r="IS46" s="1090">
        <f t="shared" si="510"/>
        <v>0</v>
      </c>
      <c r="IT46" s="1091" t="str">
        <f t="shared" si="2"/>
        <v/>
      </c>
    </row>
    <row r="47" hidden="1" outlineLevel="1">
      <c r="A47" s="1086">
        <f t="shared" si="337"/>
        <v>9</v>
      </c>
      <c r="B47" s="1087" t="s">
        <v>2821</v>
      </c>
      <c r="C47" s="1099" t="s">
        <v>1304</v>
      </c>
      <c r="D47" s="1087" t="str">
        <f>IF(C47&gt;0,VLOOKUP(C47,DM_DUAN ,2,"") ,IF(B47&gt;0,VLOOKUP(B47,DM_CDT,2,""),""))</f>
        <v>KDC Kim Thịnh Phú</v>
      </c>
      <c r="E47" s="1087" t="s">
        <v>2239</v>
      </c>
      <c r="F47" s="1087"/>
      <c r="G47" s="1086">
        <v>2.0</v>
      </c>
      <c r="H47" s="1088">
        <f>SUMIFS(BP_SOTIEN,BP_DA,$C47,BP_THANG,H$2,BP_KM,$E47)/1000</f>
        <v>0</v>
      </c>
      <c r="I47" s="1091" t="str">
        <f t="shared" si="338"/>
        <v/>
      </c>
      <c r="J47" s="1089" t="str">
        <f t="shared" si="339"/>
        <v/>
      </c>
      <c r="K47" s="1090">
        <f>IF(NOW()&gt;=DATE(YEAR(H$2),MONTH(H$2)+1,DAY(H$2)),SUMIFS(TF_SOTIEN,TF_DA,$C47,TF_THANG,H$2,TF_KM,$E47)/1000, N47)</f>
        <v>0</v>
      </c>
      <c r="L47" s="1091" t="str">
        <f t="shared" si="340"/>
        <v/>
      </c>
      <c r="M47" s="1089" t="str">
        <f t="shared" si="341"/>
        <v/>
      </c>
      <c r="N47" s="1090">
        <f>IF(NOW()&gt;=DATE(YEAR(H$2),MONTH(H$2)+1,DAY(H$2)),SUMIFS(AC_SOTIEN,AC_DA,$C47,AC_THANG,H$2,AC_KM,$E47),SUMIFS(TF_SOTIEN,TF_DA,$C47,TF_THANG,H$2,TF_KM,$E47))/ 1000</f>
        <v>0</v>
      </c>
      <c r="O47" s="1091" t="str">
        <f t="shared" si="342"/>
        <v/>
      </c>
      <c r="P47" s="1089" t="str">
        <f t="shared" si="343"/>
        <v/>
      </c>
      <c r="Q47" s="1090">
        <f t="shared" si="344"/>
        <v>0</v>
      </c>
      <c r="R47" s="1091" t="str">
        <f t="shared" si="8"/>
        <v/>
      </c>
      <c r="S47" s="1090">
        <f t="shared" si="345"/>
        <v>0</v>
      </c>
      <c r="T47" s="1091" t="str">
        <f t="shared" si="10"/>
        <v/>
      </c>
      <c r="U47" s="1088">
        <f>SUMIFS(BP_SOTIEN,BP_DA,$C47,BP_THANG,U$2,BP_KM,$E47)/1000</f>
        <v>0</v>
      </c>
      <c r="V47" s="1091" t="str">
        <f t="shared" si="346"/>
        <v/>
      </c>
      <c r="W47" s="1089" t="str">
        <f t="shared" si="347"/>
        <v/>
      </c>
      <c r="X47" s="1090">
        <f>IF(NOW()&gt;=DATE(YEAR(U$2),MONTH(U$2)+1,DAY(U$2)),SUMIFS(TF_SOTIEN,TF_DA,$C47,TF_THANG,U$2,TF_KM,$E47)/1000, AA47)</f>
        <v>0</v>
      </c>
      <c r="Y47" s="1091" t="str">
        <f t="shared" si="348"/>
        <v/>
      </c>
      <c r="Z47" s="1089" t="str">
        <f t="shared" si="349"/>
        <v/>
      </c>
      <c r="AA47" s="1090">
        <f>IF(NOW()&gt;=DATE(YEAR(U$2),MONTH(U$2)+1,DAY(U$2)),SUMIFS(AC_SOTIEN,AC_DA,$C47,AC_THANG,U$2,AC_KM,$E47),SUMIFS(TF_SOTIEN,TF_DA,$C47,TF_THANG,U$2,TF_KM,$E47))/ 1000</f>
        <v>0</v>
      </c>
      <c r="AB47" s="1091" t="str">
        <f t="shared" si="350"/>
        <v/>
      </c>
      <c r="AC47" s="1089" t="str">
        <f t="shared" si="351"/>
        <v/>
      </c>
      <c r="AD47" s="1090">
        <f t="shared" si="352"/>
        <v>0</v>
      </c>
      <c r="AE47" s="1091" t="str">
        <f t="shared" si="15"/>
        <v/>
      </c>
      <c r="AF47" s="1090">
        <f t="shared" si="353"/>
        <v>0</v>
      </c>
      <c r="AG47" s="1091" t="str">
        <f t="shared" si="17"/>
        <v/>
      </c>
      <c r="AH47" s="1088">
        <f>SUMIFS(BP_SOTIEN,BP_DA,$C47,BP_THANG,AH$2,BP_KM,$E47)/1000</f>
        <v>0</v>
      </c>
      <c r="AI47" s="1091" t="str">
        <f t="shared" si="354"/>
        <v/>
      </c>
      <c r="AJ47" s="1089" t="str">
        <f t="shared" si="355"/>
        <v/>
      </c>
      <c r="AK47" s="1090">
        <f>IF(NOW()&gt;=DATE(YEAR(AH$2),MONTH(AH$2)+1,DAY(AH$2)),SUMIFS(TF_SOTIEN,TF_DA,$C47,TF_THANG,AH$2,TF_KM,$E47)/1000, AN47)</f>
        <v>0</v>
      </c>
      <c r="AL47" s="1091" t="str">
        <f t="shared" si="356"/>
        <v/>
      </c>
      <c r="AM47" s="1089" t="str">
        <f t="shared" si="357"/>
        <v/>
      </c>
      <c r="AN47" s="1090">
        <f>IF(NOW()&gt;=DATE(YEAR(AH$2),MONTH(AH$2)+1,DAY(AH$2)),SUMIFS(AC_SOTIEN,AC_DA,$C47,AC_THANG,AH$2,AC_KM,$E47),SUMIFS(TF_SOTIEN,TF_DA,$C47,TF_THANG,AH$2,TF_KM,$E47))/ 1000</f>
        <v>0</v>
      </c>
      <c r="AO47" s="1091" t="str">
        <f t="shared" si="358"/>
        <v/>
      </c>
      <c r="AP47" s="1089" t="str">
        <f t="shared" si="359"/>
        <v/>
      </c>
      <c r="AQ47" s="1090">
        <f t="shared" si="360"/>
        <v>0</v>
      </c>
      <c r="AR47" s="1091" t="str">
        <f t="shared" si="22"/>
        <v/>
      </c>
      <c r="AS47" s="1090">
        <f t="shared" si="361"/>
        <v>0</v>
      </c>
      <c r="AT47" s="1091" t="str">
        <f t="shared" si="24"/>
        <v/>
      </c>
      <c r="AU47" s="1088">
        <f t="shared" si="362"/>
        <v>0</v>
      </c>
      <c r="AV47" s="1091" t="str">
        <f t="shared" si="363"/>
        <v/>
      </c>
      <c r="AW47" s="1089" t="str">
        <f t="shared" si="364"/>
        <v/>
      </c>
      <c r="AX47" s="1090">
        <f t="shared" si="365"/>
        <v>0</v>
      </c>
      <c r="AY47" s="1091" t="str">
        <f t="shared" si="366"/>
        <v/>
      </c>
      <c r="AZ47" s="1089" t="str">
        <f t="shared" si="367"/>
        <v/>
      </c>
      <c r="BA47" s="1090">
        <f t="shared" si="368"/>
        <v>0</v>
      </c>
      <c r="BB47" s="1091" t="str">
        <f t="shared" si="369"/>
        <v/>
      </c>
      <c r="BC47" s="1089" t="str">
        <f t="shared" si="370"/>
        <v/>
      </c>
      <c r="BD47" s="1090">
        <f t="shared" si="371"/>
        <v>0</v>
      </c>
      <c r="BE47" s="1091" t="str">
        <f t="shared" si="32"/>
        <v/>
      </c>
      <c r="BF47" s="1090">
        <f t="shared" si="372"/>
        <v>0</v>
      </c>
      <c r="BG47" s="1091" t="str">
        <f t="shared" si="34"/>
        <v/>
      </c>
      <c r="BH47" s="1088">
        <f>SUMIFS(BP_SOTIEN,BP_DA,$C47,BP_THANG,BH$2,BP_KM,$E47)/1000</f>
        <v>0</v>
      </c>
      <c r="BI47" s="1091" t="str">
        <f t="shared" si="373"/>
        <v/>
      </c>
      <c r="BJ47" s="1089" t="str">
        <f t="shared" si="374"/>
        <v/>
      </c>
      <c r="BK47" s="1090">
        <f>IF(NOW()&gt;=DATE(YEAR(BH$2),MONTH(BH$2)+1,DAY(BH$2)),SUMIFS(TF_SOTIEN,TF_DA,$C47,TF_THANG,BH$2,TF_KM,$E47)/1000, BN47)</f>
        <v>0</v>
      </c>
      <c r="BL47" s="1091" t="str">
        <f t="shared" si="375"/>
        <v/>
      </c>
      <c r="BM47" s="1089" t="str">
        <f t="shared" si="376"/>
        <v/>
      </c>
      <c r="BN47" s="1090">
        <f>IF(NOW()&gt;=DATE(YEAR(BH$2),MONTH(BH$2)+1,DAY(BH$2)),SUMIFS(AC_SOTIEN,AC_DA,$C47,AC_THANG,BH$2,AC_KM,$E47),SUMIFS(TF_SOTIEN,TF_DA,$C47,TF_THANG,BH$2,TF_KM,$E47))/ 1000</f>
        <v>0</v>
      </c>
      <c r="BO47" s="1091" t="str">
        <f t="shared" si="377"/>
        <v/>
      </c>
      <c r="BP47" s="1089" t="str">
        <f t="shared" si="378"/>
        <v/>
      </c>
      <c r="BQ47" s="1090">
        <f t="shared" si="379"/>
        <v>0</v>
      </c>
      <c r="BR47" s="1091" t="str">
        <f t="shared" si="39"/>
        <v/>
      </c>
      <c r="BS47" s="1090">
        <f t="shared" si="380"/>
        <v>0</v>
      </c>
      <c r="BT47" s="1091" t="str">
        <f t="shared" si="41"/>
        <v/>
      </c>
      <c r="BU47" s="1088">
        <f>SUMIFS(BP_SOTIEN,BP_DA,$C47,BP_THANG,BU$2,BP_KM,$E47)/1000</f>
        <v>0</v>
      </c>
      <c r="BV47" s="1091" t="str">
        <f t="shared" si="381"/>
        <v/>
      </c>
      <c r="BW47" s="1089" t="str">
        <f t="shared" si="382"/>
        <v/>
      </c>
      <c r="BX47" s="1090">
        <f>IF(NOW()&gt;=DATE(YEAR(BU$2),MONTH(BU$2)+1,DAY(BU$2)),SUMIFS(TF_SOTIEN,TF_DA,$C47,TF_THANG,BU$2,TF_KM,$E47)/1000, CA47)</f>
        <v>0</v>
      </c>
      <c r="BY47" s="1091" t="str">
        <f t="shared" si="383"/>
        <v/>
      </c>
      <c r="BZ47" s="1089" t="str">
        <f t="shared" si="384"/>
        <v/>
      </c>
      <c r="CA47" s="1090">
        <f>IF(NOW()&gt;=DATE(YEAR(BU$2),MONTH(BU$2)+1,DAY(BU$2)),SUMIFS(AC_SOTIEN,AC_DA,$C47,AC_THANG,BU$2,AC_KM,$E47),SUMIFS(TF_SOTIEN,TF_DA,$C47,TF_THANG,BU$2,TF_KM,$E47))/ 1000</f>
        <v>0</v>
      </c>
      <c r="CB47" s="1091" t="str">
        <f t="shared" si="385"/>
        <v/>
      </c>
      <c r="CC47" s="1089" t="str">
        <f t="shared" si="386"/>
        <v/>
      </c>
      <c r="CD47" s="1090">
        <f t="shared" si="387"/>
        <v>0</v>
      </c>
      <c r="CE47" s="1091" t="str">
        <f t="shared" si="46"/>
        <v/>
      </c>
      <c r="CF47" s="1090">
        <f t="shared" si="388"/>
        <v>0</v>
      </c>
      <c r="CG47" s="1091" t="str">
        <f t="shared" si="48"/>
        <v/>
      </c>
      <c r="CH47" s="1088">
        <f>SUMIFS(BP_SOTIEN,BP_DA,$C47,BP_THANG,CH$2,BP_KM,$E47)/1000</f>
        <v>0</v>
      </c>
      <c r="CI47" s="1091" t="str">
        <f t="shared" si="389"/>
        <v/>
      </c>
      <c r="CJ47" s="1089" t="str">
        <f t="shared" si="390"/>
        <v/>
      </c>
      <c r="CK47" s="1090">
        <f>IF(NOW()&gt;=DATE(YEAR(CH$2),MONTH(CH$2)+1,DAY(CH$2)),SUMIFS(TF_SOTIEN,TF_DA,$C47,TF_THANG,CH$2,TF_KM,$E47)/1000, CN47)</f>
        <v>0</v>
      </c>
      <c r="CL47" s="1091" t="str">
        <f t="shared" si="391"/>
        <v/>
      </c>
      <c r="CM47" s="1089" t="str">
        <f t="shared" si="392"/>
        <v/>
      </c>
      <c r="CN47" s="1090">
        <f>IF(NOW()&gt;=DATE(YEAR(CH$2),MONTH(CH$2)+1,DAY(CH$2)),SUMIFS(AC_SOTIEN,AC_DA,$C47,AC_THANG,CH$2,AC_KM,$E47),SUMIFS(TF_SOTIEN,TF_DA,$C47,TF_THANG,CH$2,TF_KM,$E47))/ 1000</f>
        <v>0</v>
      </c>
      <c r="CO47" s="1091" t="str">
        <f t="shared" si="393"/>
        <v/>
      </c>
      <c r="CP47" s="1089" t="str">
        <f t="shared" si="394"/>
        <v/>
      </c>
      <c r="CQ47" s="1090">
        <f t="shared" si="395"/>
        <v>0</v>
      </c>
      <c r="CR47" s="1091" t="str">
        <f t="shared" si="53"/>
        <v/>
      </c>
      <c r="CS47" s="1090">
        <f t="shared" si="396"/>
        <v>0</v>
      </c>
      <c r="CT47" s="1091" t="str">
        <f t="shared" si="55"/>
        <v/>
      </c>
      <c r="CU47" s="1088">
        <f t="shared" si="397"/>
        <v>0</v>
      </c>
      <c r="CV47" s="1091" t="str">
        <f t="shared" si="398"/>
        <v/>
      </c>
      <c r="CW47" s="1089" t="str">
        <f t="shared" si="399"/>
        <v/>
      </c>
      <c r="CX47" s="1090">
        <f t="shared" si="400"/>
        <v>0</v>
      </c>
      <c r="CY47" s="1091" t="str">
        <f t="shared" si="401"/>
        <v/>
      </c>
      <c r="CZ47" s="1089" t="str">
        <f t="shared" si="402"/>
        <v/>
      </c>
      <c r="DA47" s="1090">
        <f t="shared" si="403"/>
        <v>0</v>
      </c>
      <c r="DB47" s="1091" t="str">
        <f t="shared" si="404"/>
        <v/>
      </c>
      <c r="DC47" s="1089" t="str">
        <f t="shared" si="405"/>
        <v/>
      </c>
      <c r="DD47" s="1090">
        <f t="shared" si="406"/>
        <v>0</v>
      </c>
      <c r="DE47" s="1091" t="str">
        <f t="shared" si="63"/>
        <v/>
      </c>
      <c r="DF47" s="1090">
        <f t="shared" si="407"/>
        <v>0</v>
      </c>
      <c r="DG47" s="1091" t="str">
        <f t="shared" si="65"/>
        <v/>
      </c>
      <c r="DH47" s="1088">
        <f t="shared" si="408"/>
        <v>0</v>
      </c>
      <c r="DI47" s="1091" t="str">
        <f t="shared" si="409"/>
        <v/>
      </c>
      <c r="DJ47" s="1089" t="str">
        <f t="shared" si="410"/>
        <v/>
      </c>
      <c r="DK47" s="1090">
        <f t="shared" si="411"/>
        <v>0</v>
      </c>
      <c r="DL47" s="1091" t="str">
        <f t="shared" si="412"/>
        <v/>
      </c>
      <c r="DM47" s="1089" t="str">
        <f t="shared" si="413"/>
        <v/>
      </c>
      <c r="DN47" s="1090">
        <f t="shared" si="414"/>
        <v>0</v>
      </c>
      <c r="DO47" s="1091" t="str">
        <f t="shared" si="415"/>
        <v/>
      </c>
      <c r="DP47" s="1089" t="str">
        <f t="shared" si="416"/>
        <v/>
      </c>
      <c r="DQ47" s="1090">
        <f t="shared" si="417"/>
        <v>0</v>
      </c>
      <c r="DR47" s="1091" t="str">
        <f t="shared" si="73"/>
        <v/>
      </c>
      <c r="DS47" s="1090">
        <f t="shared" si="418"/>
        <v>0</v>
      </c>
      <c r="DT47" s="1091" t="str">
        <f t="shared" si="75"/>
        <v/>
      </c>
      <c r="DU47" s="1088">
        <f>SUMIFS(BP_SOTIEN,BP_DA,$C47,BP_THANG,DU$2,BP_KM,$E47)/1000</f>
        <v>0</v>
      </c>
      <c r="DV47" s="1091" t="str">
        <f t="shared" si="419"/>
        <v/>
      </c>
      <c r="DW47" s="1089" t="str">
        <f t="shared" si="420"/>
        <v/>
      </c>
      <c r="DX47" s="1090">
        <f>IF(NOW()&gt;=DATE(YEAR(DU$2),MONTH(DU$2)+1,DAY(DU$2)),SUMIFS(TF_SOTIEN,TF_DA,$C47,TF_THANG,DU$2,TF_KM,$E47)/1000, EA47)</f>
        <v>0</v>
      </c>
      <c r="DY47" s="1091" t="str">
        <f t="shared" si="421"/>
        <v/>
      </c>
      <c r="DZ47" s="1089" t="str">
        <f t="shared" si="422"/>
        <v/>
      </c>
      <c r="EA47" s="1090">
        <f>IF(NOW()&gt;=DATE(YEAR(DU$2),MONTH(DU$2)+1,DAY(DU$2)),SUMIFS(AC_SOTIEN,AC_DA,$C47,AC_THANG,DU$2,AC_KM,$E47),SUMIFS(TF_SOTIEN,TF_DA,$C47,TF_THANG,DU$2,TF_KM,$E47))/ 1000</f>
        <v>0</v>
      </c>
      <c r="EB47" s="1091" t="str">
        <f t="shared" si="423"/>
        <v/>
      </c>
      <c r="EC47" s="1089" t="str">
        <f t="shared" si="424"/>
        <v/>
      </c>
      <c r="ED47" s="1090">
        <f t="shared" si="425"/>
        <v>0</v>
      </c>
      <c r="EE47" s="1091" t="str">
        <f t="shared" si="80"/>
        <v/>
      </c>
      <c r="EF47" s="1090">
        <f t="shared" si="426"/>
        <v>0</v>
      </c>
      <c r="EG47" s="1091" t="str">
        <f t="shared" si="82"/>
        <v/>
      </c>
      <c r="EH47" s="1088">
        <f>SUMIFS(BP_SOTIEN,BP_DA,$C47,BP_THANG,EH$2,BP_KM,$E47)/1000</f>
        <v>0</v>
      </c>
      <c r="EI47" s="1091" t="str">
        <f t="shared" si="427"/>
        <v/>
      </c>
      <c r="EJ47" s="1089" t="str">
        <f t="shared" si="428"/>
        <v/>
      </c>
      <c r="EK47" s="1090">
        <f>IF(NOW()&gt;=DATE(YEAR(EH$2),MONTH(EH$2)+1,DAY(EH$2)),SUMIFS(TF_SOTIEN,TF_DA,$C47,TF_THANG,EH$2,TF_KM,$E47)/1000, EN47)</f>
        <v>0</v>
      </c>
      <c r="EL47" s="1091" t="str">
        <f t="shared" si="429"/>
        <v/>
      </c>
      <c r="EM47" s="1089" t="str">
        <f t="shared" si="430"/>
        <v/>
      </c>
      <c r="EN47" s="1090">
        <f>IF(NOW()&gt;=DATE(YEAR(EH$2),MONTH(EH$2)+1,DAY(EH$2)),SUMIFS(AC_SOTIEN,AC_DA,$C47,AC_THANG,EH$2,AC_KM,$E47),SUMIFS(TF_SOTIEN,TF_DA,$C47,TF_THANG,EH$2,TF_KM,$E47))/ 1000</f>
        <v>0</v>
      </c>
      <c r="EO47" s="1091" t="str">
        <f t="shared" si="431"/>
        <v/>
      </c>
      <c r="EP47" s="1089" t="str">
        <f t="shared" si="432"/>
        <v/>
      </c>
      <c r="EQ47" s="1090">
        <f t="shared" si="433"/>
        <v>0</v>
      </c>
      <c r="ER47" s="1091" t="str">
        <f t="shared" si="87"/>
        <v/>
      </c>
      <c r="ES47" s="1090">
        <f t="shared" si="434"/>
        <v>0</v>
      </c>
      <c r="ET47" s="1091" t="str">
        <f t="shared" si="89"/>
        <v/>
      </c>
      <c r="EU47" s="1088">
        <f>SUMIFS(BP_SOTIEN,BP_DA,$C47,BP_THANG,EU$2,BP_KM,$E47)/1000</f>
        <v>0</v>
      </c>
      <c r="EV47" s="1091" t="str">
        <f t="shared" si="435"/>
        <v/>
      </c>
      <c r="EW47" s="1089" t="str">
        <f t="shared" si="436"/>
        <v/>
      </c>
      <c r="EX47" s="1090">
        <f>IF(NOW()&gt;=DATE(YEAR(EU$2),MONTH(EU$2)+1,DAY(EU$2)),SUMIFS(TF_SOTIEN,TF_DA,$C47,TF_THANG,EU$2,TF_KM,$E47)/1000, FA47)</f>
        <v>0</v>
      </c>
      <c r="EY47" s="1091" t="str">
        <f t="shared" si="437"/>
        <v/>
      </c>
      <c r="EZ47" s="1089" t="str">
        <f t="shared" si="438"/>
        <v/>
      </c>
      <c r="FA47" s="1090">
        <f>IF(NOW()&gt;=DATE(YEAR(EU$2),MONTH(EU$2)+1,DAY(EU$2)),SUMIFS(AC_SOTIEN,AC_DA,$C47,AC_THANG,EU$2,AC_KM,$E47),SUMIFS(TF_SOTIEN,TF_DA,$C47,TF_THANG,EU$2,TF_KM,$E47))/ 1000</f>
        <v>0</v>
      </c>
      <c r="FB47" s="1091" t="str">
        <f t="shared" si="439"/>
        <v/>
      </c>
      <c r="FC47" s="1089" t="str">
        <f t="shared" si="440"/>
        <v/>
      </c>
      <c r="FD47" s="1090">
        <f t="shared" si="441"/>
        <v>0</v>
      </c>
      <c r="FE47" s="1091" t="str">
        <f t="shared" si="94"/>
        <v/>
      </c>
      <c r="FF47" s="1090">
        <f t="shared" si="442"/>
        <v>0</v>
      </c>
      <c r="FG47" s="1091" t="str">
        <f t="shared" si="96"/>
        <v/>
      </c>
      <c r="FH47" s="1088">
        <f t="shared" si="443"/>
        <v>0</v>
      </c>
      <c r="FI47" s="1091" t="str">
        <f t="shared" si="444"/>
        <v/>
      </c>
      <c r="FJ47" s="1089" t="str">
        <f t="shared" si="445"/>
        <v/>
      </c>
      <c r="FK47" s="1090">
        <f t="shared" si="446"/>
        <v>0</v>
      </c>
      <c r="FL47" s="1091" t="str">
        <f t="shared" si="447"/>
        <v/>
      </c>
      <c r="FM47" s="1089" t="str">
        <f t="shared" si="448"/>
        <v/>
      </c>
      <c r="FN47" s="1090">
        <f t="shared" si="449"/>
        <v>0</v>
      </c>
      <c r="FO47" s="1091" t="str">
        <f t="shared" si="450"/>
        <v/>
      </c>
      <c r="FP47" s="1089" t="str">
        <f t="shared" si="451"/>
        <v/>
      </c>
      <c r="FQ47" s="1090">
        <f t="shared" si="452"/>
        <v>0</v>
      </c>
      <c r="FR47" s="1091" t="str">
        <f t="shared" si="104"/>
        <v/>
      </c>
      <c r="FS47" s="1090">
        <f t="shared" si="453"/>
        <v>0</v>
      </c>
      <c r="FT47" s="1091" t="str">
        <f t="shared" si="106"/>
        <v/>
      </c>
      <c r="FU47" s="1088">
        <f>SUMIFS(BP_SOTIEN,BP_DA,$C47,BP_THANG,FU$2,BP_KM,$E47)/1000</f>
        <v>0</v>
      </c>
      <c r="FV47" s="1091" t="str">
        <f t="shared" si="454"/>
        <v/>
      </c>
      <c r="FW47" s="1089" t="str">
        <f t="shared" si="455"/>
        <v/>
      </c>
      <c r="FX47" s="1090">
        <f>IF(NOW()&gt;=DATE(YEAR(FU$2),MONTH(FU$2)+1,DAY(FU$2)),SUMIFS(TF_SOTIEN,TF_DA,$C47,TF_THANG,FU$2,TF_KM,$E47)/1000, GA47)</f>
        <v>0</v>
      </c>
      <c r="FY47" s="1091" t="str">
        <f t="shared" si="456"/>
        <v/>
      </c>
      <c r="FZ47" s="1089" t="str">
        <f t="shared" si="457"/>
        <v/>
      </c>
      <c r="GA47" s="1090">
        <f>IF(NOW()&gt;=DATE(YEAR(FU$2),MONTH(FU$2)+1,DAY(FU$2)),SUMIFS(AC_SOTIEN,AC_DA,$C47,AC_THANG,FU$2,AC_KM,$E47),SUMIFS(TF_SOTIEN,TF_DA,$C47,TF_THANG,FU$2,TF_KM,$E47))/ 1000</f>
        <v>0</v>
      </c>
      <c r="GB47" s="1091" t="str">
        <f t="shared" si="458"/>
        <v/>
      </c>
      <c r="GC47" s="1089" t="str">
        <f t="shared" si="459"/>
        <v/>
      </c>
      <c r="GD47" s="1090">
        <f t="shared" si="460"/>
        <v>0</v>
      </c>
      <c r="GE47" s="1091" t="str">
        <f t="shared" si="111"/>
        <v/>
      </c>
      <c r="GF47" s="1090">
        <f t="shared" si="461"/>
        <v>0</v>
      </c>
      <c r="GG47" s="1091" t="str">
        <f t="shared" si="113"/>
        <v/>
      </c>
      <c r="GH47" s="1088">
        <f>SUMIFS(BP_SOTIEN,BP_DA,$C47,BP_THANG,GH$2,BP_KM,$E47)/1000</f>
        <v>0</v>
      </c>
      <c r="GI47" s="1091" t="str">
        <f t="shared" si="462"/>
        <v/>
      </c>
      <c r="GJ47" s="1089" t="str">
        <f t="shared" si="463"/>
        <v/>
      </c>
      <c r="GK47" s="1090">
        <f>IF(NOW()&gt;=DATE(YEAR(GH$2),MONTH(GH$2)+1,DAY(GH$2)),SUMIFS(TF_SOTIEN,TF_DA,$C47,TF_THANG,GH$2,TF_KM,$E47)/1000, GN47)</f>
        <v>0</v>
      </c>
      <c r="GL47" s="1091" t="str">
        <f t="shared" si="464"/>
        <v/>
      </c>
      <c r="GM47" s="1089" t="str">
        <f t="shared" si="465"/>
        <v/>
      </c>
      <c r="GN47" s="1090">
        <f>IF(NOW()&gt;=DATE(YEAR(GH$2),MONTH(GH$2)+1,DAY(GH$2)),SUMIFS(AC_SOTIEN,AC_DA,$C47,AC_THANG,GH$2,AC_KM,$E47),SUMIFS(TF_SOTIEN,TF_DA,$C47,TF_THANG,GH$2,TF_KM,$E47))/ 1000</f>
        <v>0</v>
      </c>
      <c r="GO47" s="1091" t="str">
        <f t="shared" si="466"/>
        <v/>
      </c>
      <c r="GP47" s="1089" t="str">
        <f t="shared" si="467"/>
        <v/>
      </c>
      <c r="GQ47" s="1090">
        <f t="shared" si="468"/>
        <v>0</v>
      </c>
      <c r="GR47" s="1091" t="str">
        <f t="shared" si="118"/>
        <v/>
      </c>
      <c r="GS47" s="1090">
        <f t="shared" si="469"/>
        <v>0</v>
      </c>
      <c r="GT47" s="1091" t="str">
        <f t="shared" si="120"/>
        <v/>
      </c>
      <c r="GU47" s="1088">
        <f>SUMIFS(BP_SOTIEN,BP_DA,$C47,BP_THANG,GU$2,BP_KM,$E47)/1000</f>
        <v>0</v>
      </c>
      <c r="GV47" s="1091" t="str">
        <f t="shared" si="470"/>
        <v/>
      </c>
      <c r="GW47" s="1089" t="str">
        <f t="shared" si="471"/>
        <v/>
      </c>
      <c r="GX47" s="1090">
        <f>IF(NOW()&gt;=DATE(YEAR(GU$2),MONTH(GU$2)+1,DAY(GU$2)),SUMIFS(TF_SOTIEN,TF_DA,$C47,TF_THANG,GU$2,TF_KM,$E47)/1000, HA47)</f>
        <v>0</v>
      </c>
      <c r="GY47" s="1091" t="str">
        <f t="shared" si="472"/>
        <v/>
      </c>
      <c r="GZ47" s="1089" t="str">
        <f t="shared" si="473"/>
        <v/>
      </c>
      <c r="HA47" s="1090">
        <f>IF(NOW()&gt;=DATE(YEAR(GU$2),MONTH(GU$2)+1,DAY(GU$2)),SUMIFS(AC_SOTIEN,AC_DA,$C47,AC_THANG,GU$2,AC_KM,$E47),SUMIFS(TF_SOTIEN,TF_DA,$C47,TF_THANG,GU$2,TF_KM,$E47))/ 1000</f>
        <v>0</v>
      </c>
      <c r="HB47" s="1091" t="str">
        <f t="shared" si="474"/>
        <v/>
      </c>
      <c r="HC47" s="1089" t="str">
        <f t="shared" si="475"/>
        <v/>
      </c>
      <c r="HD47" s="1090">
        <f t="shared" si="476"/>
        <v>0</v>
      </c>
      <c r="HE47" s="1091" t="str">
        <f t="shared" si="125"/>
        <v/>
      </c>
      <c r="HF47" s="1090">
        <f t="shared" si="477"/>
        <v>0</v>
      </c>
      <c r="HG47" s="1091" t="str">
        <f t="shared" si="127"/>
        <v/>
      </c>
      <c r="HH47" s="1088">
        <f t="shared" si="478"/>
        <v>0</v>
      </c>
      <c r="HI47" s="1091" t="str">
        <f t="shared" si="479"/>
        <v/>
      </c>
      <c r="HJ47" s="1089" t="str">
        <f t="shared" si="480"/>
        <v/>
      </c>
      <c r="HK47" s="1090">
        <f t="shared" si="481"/>
        <v>0</v>
      </c>
      <c r="HL47" s="1091" t="str">
        <f t="shared" si="482"/>
        <v/>
      </c>
      <c r="HM47" s="1089" t="str">
        <f t="shared" si="483"/>
        <v/>
      </c>
      <c r="HN47" s="1090">
        <f t="shared" si="484"/>
        <v>0</v>
      </c>
      <c r="HO47" s="1091" t="str">
        <f t="shared" si="485"/>
        <v/>
      </c>
      <c r="HP47" s="1089" t="str">
        <f t="shared" si="486"/>
        <v/>
      </c>
      <c r="HQ47" s="1090">
        <f t="shared" si="487"/>
        <v>0</v>
      </c>
      <c r="HR47" s="1091" t="str">
        <f t="shared" si="135"/>
        <v/>
      </c>
      <c r="HS47" s="1090">
        <f t="shared" si="488"/>
        <v>0</v>
      </c>
      <c r="HT47" s="1091" t="str">
        <f t="shared" si="137"/>
        <v/>
      </c>
      <c r="HU47" s="1088">
        <f t="shared" si="489"/>
        <v>0</v>
      </c>
      <c r="HV47" s="1091" t="str">
        <f t="shared" si="490"/>
        <v/>
      </c>
      <c r="HW47" s="1089" t="str">
        <f t="shared" si="491"/>
        <v/>
      </c>
      <c r="HX47" s="1090">
        <f t="shared" si="492"/>
        <v>0</v>
      </c>
      <c r="HY47" s="1091" t="str">
        <f t="shared" si="493"/>
        <v/>
      </c>
      <c r="HZ47" s="1089" t="str">
        <f t="shared" si="494"/>
        <v/>
      </c>
      <c r="IA47" s="1090">
        <f t="shared" si="495"/>
        <v>0</v>
      </c>
      <c r="IB47" s="1091" t="str">
        <f t="shared" si="496"/>
        <v/>
      </c>
      <c r="IC47" s="1089" t="str">
        <f t="shared" si="497"/>
        <v/>
      </c>
      <c r="ID47" s="1090">
        <f t="shared" si="498"/>
        <v>0</v>
      </c>
      <c r="IE47" s="1091" t="str">
        <f t="shared" si="145"/>
        <v/>
      </c>
      <c r="IF47" s="1090">
        <f t="shared" si="499"/>
        <v>0</v>
      </c>
      <c r="IG47" s="1091" t="str">
        <f t="shared" si="147"/>
        <v/>
      </c>
      <c r="IH47" s="1088">
        <f t="shared" si="500"/>
        <v>0</v>
      </c>
      <c r="II47" s="1091" t="str">
        <f t="shared" si="501"/>
        <v/>
      </c>
      <c r="IJ47" s="1089" t="str">
        <f t="shared" si="502"/>
        <v/>
      </c>
      <c r="IK47" s="1090">
        <f t="shared" si="503"/>
        <v>0</v>
      </c>
      <c r="IL47" s="1091" t="str">
        <f t="shared" si="504"/>
        <v/>
      </c>
      <c r="IM47" s="1089" t="str">
        <f t="shared" si="505"/>
        <v/>
      </c>
      <c r="IN47" s="1090">
        <f t="shared" si="506"/>
        <v>0</v>
      </c>
      <c r="IO47" s="1091" t="str">
        <f t="shared" si="507"/>
        <v/>
      </c>
      <c r="IP47" s="1089" t="str">
        <f t="shared" si="508"/>
        <v/>
      </c>
      <c r="IQ47" s="1090">
        <f t="shared" si="509"/>
        <v>0</v>
      </c>
      <c r="IR47" s="1091" t="str">
        <f t="shared" si="1"/>
        <v/>
      </c>
      <c r="IS47" s="1090">
        <f t="shared" si="510"/>
        <v>0</v>
      </c>
      <c r="IT47" s="1091" t="str">
        <f t="shared" si="2"/>
        <v/>
      </c>
    </row>
    <row r="48" hidden="1" outlineLevel="1">
      <c r="A48" s="1086" t="str">
        <f t="shared" si="337"/>
        <v/>
      </c>
      <c r="B48" s="1087"/>
      <c r="C48" s="656"/>
      <c r="D48" s="1087" t="str">
        <f>IF(C48="","",VLOOKUP(C48,DM_DUAN,2,0))</f>
        <v/>
      </c>
      <c r="E48" s="1087" t="s">
        <v>2239</v>
      </c>
      <c r="F48" s="1087"/>
      <c r="G48" s="1086">
        <v>2.0</v>
      </c>
      <c r="H48" s="1088">
        <f>SUMIFS(BP_SOTIEN,BP_DA,$C48,BP_THANG,H$2,BP_KM,$E48)/1000</f>
        <v>0</v>
      </c>
      <c r="I48" s="1091" t="str">
        <f t="shared" si="338"/>
        <v/>
      </c>
      <c r="J48" s="1089" t="str">
        <f t="shared" si="339"/>
        <v/>
      </c>
      <c r="K48" s="1090">
        <f>IF(NOW()&gt;=DATE(YEAR(H$2),MONTH(H$2)+1,DAY(H$2)),SUMIFS(TF_SOTIEN,TF_DA,$C48,TF_THANG,H$2,TF_KM,$E48)/1000, N48)</f>
        <v>0</v>
      </c>
      <c r="L48" s="1091" t="str">
        <f t="shared" si="340"/>
        <v/>
      </c>
      <c r="M48" s="1089" t="str">
        <f t="shared" si="341"/>
        <v/>
      </c>
      <c r="N48" s="1090">
        <f>IF(NOW()&gt;=DATE(YEAR(H$2),MONTH(H$2)+1,DAY(H$2)),SUMIFS(AC_SOTIEN,AC_DA,$C48,AC_THANG,H$2,AC_KM,$E48),SUMIFS(TF_SOTIEN,TF_DA,$C48,TF_THANG,H$2,TF_KM,$E48))/ 1000</f>
        <v>0</v>
      </c>
      <c r="O48" s="1091" t="str">
        <f t="shared" si="342"/>
        <v/>
      </c>
      <c r="P48" s="1089" t="str">
        <f t="shared" si="343"/>
        <v/>
      </c>
      <c r="Q48" s="1090">
        <f t="shared" si="344"/>
        <v>0</v>
      </c>
      <c r="R48" s="1091" t="str">
        <f t="shared" si="8"/>
        <v/>
      </c>
      <c r="S48" s="1090">
        <f t="shared" si="345"/>
        <v>0</v>
      </c>
      <c r="T48" s="1091" t="str">
        <f t="shared" si="10"/>
        <v/>
      </c>
      <c r="U48" s="1088">
        <f>SUMIFS(BP_SOTIEN,BP_DA,$C48,BP_THANG,U$2,BP_KM,$E48)/1000</f>
        <v>0</v>
      </c>
      <c r="V48" s="1091" t="str">
        <f t="shared" si="346"/>
        <v/>
      </c>
      <c r="W48" s="1089" t="str">
        <f t="shared" si="347"/>
        <v/>
      </c>
      <c r="X48" s="1090">
        <f>IF(NOW()&gt;=DATE(YEAR(U$2),MONTH(U$2)+1,DAY(U$2)),SUMIFS(TF_SOTIEN,TF_DA,$C48,TF_THANG,U$2,TF_KM,$E48)/1000, AA48)</f>
        <v>0</v>
      </c>
      <c r="Y48" s="1091" t="str">
        <f t="shared" si="348"/>
        <v/>
      </c>
      <c r="Z48" s="1089" t="str">
        <f t="shared" si="349"/>
        <v/>
      </c>
      <c r="AA48" s="1090">
        <f>IF(NOW()&gt;=DATE(YEAR(U$2),MONTH(U$2)+1,DAY(U$2)),SUMIFS(AC_SOTIEN,AC_DA,$C48,AC_THANG,U$2,AC_KM,$E48),SUMIFS(TF_SOTIEN,TF_DA,$C48,TF_THANG,U$2,TF_KM,$E48))/ 1000</f>
        <v>0</v>
      </c>
      <c r="AB48" s="1091" t="str">
        <f t="shared" si="350"/>
        <v/>
      </c>
      <c r="AC48" s="1089" t="str">
        <f t="shared" si="351"/>
        <v/>
      </c>
      <c r="AD48" s="1090">
        <f t="shared" si="352"/>
        <v>0</v>
      </c>
      <c r="AE48" s="1091" t="str">
        <f t="shared" si="15"/>
        <v/>
      </c>
      <c r="AF48" s="1090">
        <f t="shared" si="353"/>
        <v>0</v>
      </c>
      <c r="AG48" s="1091" t="str">
        <f t="shared" si="17"/>
        <v/>
      </c>
      <c r="AH48" s="1088">
        <f>SUMIFS(BP_SOTIEN,BP_DA,$C48,BP_THANG,AH$2,BP_KM,$E48)/1000</f>
        <v>0</v>
      </c>
      <c r="AI48" s="1091" t="str">
        <f t="shared" si="354"/>
        <v/>
      </c>
      <c r="AJ48" s="1089" t="str">
        <f t="shared" si="355"/>
        <v/>
      </c>
      <c r="AK48" s="1090">
        <f>IF(NOW()&gt;=DATE(YEAR(AH$2),MONTH(AH$2)+1,DAY(AH$2)),SUMIFS(TF_SOTIEN,TF_DA,$C48,TF_THANG,AH$2,TF_KM,$E48)/1000, AN48)</f>
        <v>0</v>
      </c>
      <c r="AL48" s="1091" t="str">
        <f t="shared" si="356"/>
        <v/>
      </c>
      <c r="AM48" s="1089" t="str">
        <f t="shared" si="357"/>
        <v/>
      </c>
      <c r="AN48" s="1090">
        <f>IF(NOW()&gt;=DATE(YEAR(AH$2),MONTH(AH$2)+1,DAY(AH$2)),SUMIFS(AC_SOTIEN,AC_DA,$C48,AC_THANG,AH$2,AC_KM,$E48),SUMIFS(TF_SOTIEN,TF_DA,$C48,TF_THANG,AH$2,TF_KM,$E48))/ 1000</f>
        <v>0</v>
      </c>
      <c r="AO48" s="1091" t="str">
        <f t="shared" si="358"/>
        <v/>
      </c>
      <c r="AP48" s="1089" t="str">
        <f t="shared" si="359"/>
        <v/>
      </c>
      <c r="AQ48" s="1090">
        <f t="shared" si="360"/>
        <v>0</v>
      </c>
      <c r="AR48" s="1091" t="str">
        <f t="shared" si="22"/>
        <v/>
      </c>
      <c r="AS48" s="1090">
        <f t="shared" si="361"/>
        <v>0</v>
      </c>
      <c r="AT48" s="1091" t="str">
        <f t="shared" si="24"/>
        <v/>
      </c>
      <c r="AU48" s="1088">
        <f t="shared" si="362"/>
        <v>0</v>
      </c>
      <c r="AV48" s="1091" t="str">
        <f t="shared" si="363"/>
        <v/>
      </c>
      <c r="AW48" s="1089" t="str">
        <f t="shared" si="364"/>
        <v/>
      </c>
      <c r="AX48" s="1090">
        <f t="shared" si="365"/>
        <v>0</v>
      </c>
      <c r="AY48" s="1091" t="str">
        <f t="shared" si="366"/>
        <v/>
      </c>
      <c r="AZ48" s="1089" t="str">
        <f t="shared" si="367"/>
        <v/>
      </c>
      <c r="BA48" s="1090">
        <f t="shared" si="368"/>
        <v>0</v>
      </c>
      <c r="BB48" s="1091" t="str">
        <f t="shared" si="369"/>
        <v/>
      </c>
      <c r="BC48" s="1089" t="str">
        <f t="shared" si="370"/>
        <v/>
      </c>
      <c r="BD48" s="1090">
        <f t="shared" si="371"/>
        <v>0</v>
      </c>
      <c r="BE48" s="1091" t="str">
        <f t="shared" si="32"/>
        <v/>
      </c>
      <c r="BF48" s="1090">
        <f t="shared" si="372"/>
        <v>0</v>
      </c>
      <c r="BG48" s="1091" t="str">
        <f t="shared" si="34"/>
        <v/>
      </c>
      <c r="BH48" s="1088">
        <f>SUMIFS(BP_SOTIEN,BP_DA,$C48,BP_THANG,BH$2,BP_KM,$E48)/1000</f>
        <v>0</v>
      </c>
      <c r="BI48" s="1091" t="str">
        <f t="shared" si="373"/>
        <v/>
      </c>
      <c r="BJ48" s="1089" t="str">
        <f t="shared" si="374"/>
        <v/>
      </c>
      <c r="BK48" s="1090">
        <f>IF(NOW()&gt;=DATE(YEAR(BH$2),MONTH(BH$2)+1,DAY(BH$2)),SUMIFS(TF_SOTIEN,TF_DA,$C48,TF_THANG,BH$2,TF_KM,$E48)/1000, BN48)</f>
        <v>0</v>
      </c>
      <c r="BL48" s="1091" t="str">
        <f t="shared" si="375"/>
        <v/>
      </c>
      <c r="BM48" s="1089" t="str">
        <f t="shared" si="376"/>
        <v/>
      </c>
      <c r="BN48" s="1090">
        <f>IF(NOW()&gt;=DATE(YEAR(BH$2),MONTH(BH$2)+1,DAY(BH$2)),SUMIFS(AC_SOTIEN,AC_DA,$C48,AC_THANG,BH$2,AC_KM,$E48),SUMIFS(TF_SOTIEN,TF_DA,$C48,TF_THANG,BH$2,TF_KM,$E48))/ 1000</f>
        <v>0</v>
      </c>
      <c r="BO48" s="1091" t="str">
        <f t="shared" si="377"/>
        <v/>
      </c>
      <c r="BP48" s="1089" t="str">
        <f t="shared" si="378"/>
        <v/>
      </c>
      <c r="BQ48" s="1090">
        <f t="shared" si="379"/>
        <v>0</v>
      </c>
      <c r="BR48" s="1091" t="str">
        <f t="shared" si="39"/>
        <v/>
      </c>
      <c r="BS48" s="1090">
        <f t="shared" si="380"/>
        <v>0</v>
      </c>
      <c r="BT48" s="1091" t="str">
        <f t="shared" si="41"/>
        <v/>
      </c>
      <c r="BU48" s="1088">
        <f>SUMIFS(BP_SOTIEN,BP_DA,$C48,BP_THANG,BU$2,BP_KM,$E48)/1000</f>
        <v>0</v>
      </c>
      <c r="BV48" s="1091" t="str">
        <f t="shared" si="381"/>
        <v/>
      </c>
      <c r="BW48" s="1089" t="str">
        <f t="shared" si="382"/>
        <v/>
      </c>
      <c r="BX48" s="1090">
        <f>IF(NOW()&gt;=DATE(YEAR(BU$2),MONTH(BU$2)+1,DAY(BU$2)),SUMIFS(TF_SOTIEN,TF_DA,$C48,TF_THANG,BU$2,TF_KM,$E48)/1000, CA48)</f>
        <v>0</v>
      </c>
      <c r="BY48" s="1091" t="str">
        <f t="shared" si="383"/>
        <v/>
      </c>
      <c r="BZ48" s="1089" t="str">
        <f t="shared" si="384"/>
        <v/>
      </c>
      <c r="CA48" s="1090">
        <f>IF(NOW()&gt;=DATE(YEAR(BU$2),MONTH(BU$2)+1,DAY(BU$2)),SUMIFS(AC_SOTIEN,AC_DA,$C48,AC_THANG,BU$2,AC_KM,$E48),SUMIFS(TF_SOTIEN,TF_DA,$C48,TF_THANG,BU$2,TF_KM,$E48))/ 1000</f>
        <v>0</v>
      </c>
      <c r="CB48" s="1091" t="str">
        <f t="shared" si="385"/>
        <v/>
      </c>
      <c r="CC48" s="1089" t="str">
        <f t="shared" si="386"/>
        <v/>
      </c>
      <c r="CD48" s="1090">
        <f t="shared" si="387"/>
        <v>0</v>
      </c>
      <c r="CE48" s="1091" t="str">
        <f t="shared" si="46"/>
        <v/>
      </c>
      <c r="CF48" s="1090">
        <f t="shared" si="388"/>
        <v>0</v>
      </c>
      <c r="CG48" s="1091" t="str">
        <f t="shared" si="48"/>
        <v/>
      </c>
      <c r="CH48" s="1088">
        <f>SUMIFS(BP_SOTIEN,BP_DA,$C48,BP_THANG,CH$2,BP_KM,$E48)/1000</f>
        <v>0</v>
      </c>
      <c r="CI48" s="1091" t="str">
        <f t="shared" si="389"/>
        <v/>
      </c>
      <c r="CJ48" s="1089" t="str">
        <f t="shared" si="390"/>
        <v/>
      </c>
      <c r="CK48" s="1090">
        <f>IF(NOW()&gt;=DATE(YEAR(CH$2),MONTH(CH$2)+1,DAY(CH$2)),SUMIFS(TF_SOTIEN,TF_DA,$C48,TF_THANG,CH$2,TF_KM,$E48)/1000, CN48)</f>
        <v>0</v>
      </c>
      <c r="CL48" s="1091" t="str">
        <f t="shared" si="391"/>
        <v/>
      </c>
      <c r="CM48" s="1089" t="str">
        <f t="shared" si="392"/>
        <v/>
      </c>
      <c r="CN48" s="1090">
        <f>IF(NOW()&gt;=DATE(YEAR(CH$2),MONTH(CH$2)+1,DAY(CH$2)),SUMIFS(AC_SOTIEN,AC_DA,$C48,AC_THANG,CH$2,AC_KM,$E48),SUMIFS(TF_SOTIEN,TF_DA,$C48,TF_THANG,CH$2,TF_KM,$E48))/ 1000</f>
        <v>0</v>
      </c>
      <c r="CO48" s="1091" t="str">
        <f t="shared" si="393"/>
        <v/>
      </c>
      <c r="CP48" s="1089" t="str">
        <f t="shared" si="394"/>
        <v/>
      </c>
      <c r="CQ48" s="1090">
        <f t="shared" si="395"/>
        <v>0</v>
      </c>
      <c r="CR48" s="1091" t="str">
        <f t="shared" si="53"/>
        <v/>
      </c>
      <c r="CS48" s="1090">
        <f t="shared" si="396"/>
        <v>0</v>
      </c>
      <c r="CT48" s="1091" t="str">
        <f t="shared" si="55"/>
        <v/>
      </c>
      <c r="CU48" s="1088">
        <f t="shared" si="397"/>
        <v>0</v>
      </c>
      <c r="CV48" s="1091" t="str">
        <f t="shared" si="398"/>
        <v/>
      </c>
      <c r="CW48" s="1089" t="str">
        <f t="shared" si="399"/>
        <v/>
      </c>
      <c r="CX48" s="1090">
        <f t="shared" si="400"/>
        <v>0</v>
      </c>
      <c r="CY48" s="1091" t="str">
        <f t="shared" si="401"/>
        <v/>
      </c>
      <c r="CZ48" s="1089" t="str">
        <f t="shared" si="402"/>
        <v/>
      </c>
      <c r="DA48" s="1090">
        <f t="shared" si="403"/>
        <v>0</v>
      </c>
      <c r="DB48" s="1091" t="str">
        <f t="shared" si="404"/>
        <v/>
      </c>
      <c r="DC48" s="1089" t="str">
        <f t="shared" si="405"/>
        <v/>
      </c>
      <c r="DD48" s="1090">
        <f t="shared" si="406"/>
        <v>0</v>
      </c>
      <c r="DE48" s="1091" t="str">
        <f t="shared" si="63"/>
        <v/>
      </c>
      <c r="DF48" s="1090">
        <f t="shared" si="407"/>
        <v>0</v>
      </c>
      <c r="DG48" s="1091" t="str">
        <f t="shared" si="65"/>
        <v/>
      </c>
      <c r="DH48" s="1088">
        <f t="shared" si="408"/>
        <v>0</v>
      </c>
      <c r="DI48" s="1091" t="str">
        <f t="shared" si="409"/>
        <v/>
      </c>
      <c r="DJ48" s="1089" t="str">
        <f t="shared" si="410"/>
        <v/>
      </c>
      <c r="DK48" s="1090">
        <f t="shared" si="411"/>
        <v>0</v>
      </c>
      <c r="DL48" s="1091" t="str">
        <f t="shared" si="412"/>
        <v/>
      </c>
      <c r="DM48" s="1089" t="str">
        <f t="shared" si="413"/>
        <v/>
      </c>
      <c r="DN48" s="1090">
        <f t="shared" si="414"/>
        <v>0</v>
      </c>
      <c r="DO48" s="1091" t="str">
        <f t="shared" si="415"/>
        <v/>
      </c>
      <c r="DP48" s="1089" t="str">
        <f t="shared" si="416"/>
        <v/>
      </c>
      <c r="DQ48" s="1090">
        <f t="shared" si="417"/>
        <v>0</v>
      </c>
      <c r="DR48" s="1091" t="str">
        <f t="shared" si="73"/>
        <v/>
      </c>
      <c r="DS48" s="1090">
        <f t="shared" si="418"/>
        <v>0</v>
      </c>
      <c r="DT48" s="1091" t="str">
        <f t="shared" si="75"/>
        <v/>
      </c>
      <c r="DU48" s="1088">
        <f>SUMIFS(BP_SOTIEN,BP_DA,$C48,BP_THANG,DU$2,BP_KM,$E48)/1000</f>
        <v>0</v>
      </c>
      <c r="DV48" s="1091" t="str">
        <f t="shared" si="419"/>
        <v/>
      </c>
      <c r="DW48" s="1089" t="str">
        <f t="shared" si="420"/>
        <v/>
      </c>
      <c r="DX48" s="1090">
        <f>IF(NOW()&gt;=DATE(YEAR(DU$2),MONTH(DU$2)+1,DAY(DU$2)),SUMIFS(TF_SOTIEN,TF_DA,$C48,TF_THANG,DU$2,TF_KM,$E48)/1000, EA48)</f>
        <v>0</v>
      </c>
      <c r="DY48" s="1091" t="str">
        <f t="shared" si="421"/>
        <v/>
      </c>
      <c r="DZ48" s="1089" t="str">
        <f t="shared" si="422"/>
        <v/>
      </c>
      <c r="EA48" s="1090">
        <f>IF(NOW()&gt;=DATE(YEAR(DU$2),MONTH(DU$2)+1,DAY(DU$2)),SUMIFS(AC_SOTIEN,AC_DA,$C48,AC_THANG,DU$2,AC_KM,$E48),SUMIFS(TF_SOTIEN,TF_DA,$C48,TF_THANG,DU$2,TF_KM,$E48))/ 1000</f>
        <v>0</v>
      </c>
      <c r="EB48" s="1091" t="str">
        <f t="shared" si="423"/>
        <v/>
      </c>
      <c r="EC48" s="1089" t="str">
        <f t="shared" si="424"/>
        <v/>
      </c>
      <c r="ED48" s="1090">
        <f t="shared" si="425"/>
        <v>0</v>
      </c>
      <c r="EE48" s="1091" t="str">
        <f t="shared" si="80"/>
        <v/>
      </c>
      <c r="EF48" s="1090">
        <f t="shared" si="426"/>
        <v>0</v>
      </c>
      <c r="EG48" s="1091" t="str">
        <f t="shared" si="82"/>
        <v/>
      </c>
      <c r="EH48" s="1088">
        <f>SUMIFS(BP_SOTIEN,BP_DA,$C48,BP_THANG,EH$2,BP_KM,$E48)/1000</f>
        <v>0</v>
      </c>
      <c r="EI48" s="1091" t="str">
        <f t="shared" si="427"/>
        <v/>
      </c>
      <c r="EJ48" s="1089" t="str">
        <f t="shared" si="428"/>
        <v/>
      </c>
      <c r="EK48" s="1090">
        <f>IF(NOW()&gt;=DATE(YEAR(EH$2),MONTH(EH$2)+1,DAY(EH$2)),SUMIFS(TF_SOTIEN,TF_DA,$C48,TF_THANG,EH$2,TF_KM,$E48)/1000, EN48)</f>
        <v>0</v>
      </c>
      <c r="EL48" s="1091" t="str">
        <f t="shared" si="429"/>
        <v/>
      </c>
      <c r="EM48" s="1089" t="str">
        <f t="shared" si="430"/>
        <v/>
      </c>
      <c r="EN48" s="1090">
        <f>IF(NOW()&gt;=DATE(YEAR(EH$2),MONTH(EH$2)+1,DAY(EH$2)),SUMIFS(AC_SOTIEN,AC_DA,$C48,AC_THANG,EH$2,AC_KM,$E48),SUMIFS(TF_SOTIEN,TF_DA,$C48,TF_THANG,EH$2,TF_KM,$E48))/ 1000</f>
        <v>0</v>
      </c>
      <c r="EO48" s="1091" t="str">
        <f t="shared" si="431"/>
        <v/>
      </c>
      <c r="EP48" s="1089" t="str">
        <f t="shared" si="432"/>
        <v/>
      </c>
      <c r="EQ48" s="1090">
        <f t="shared" si="433"/>
        <v>0</v>
      </c>
      <c r="ER48" s="1091" t="str">
        <f t="shared" si="87"/>
        <v/>
      </c>
      <c r="ES48" s="1090">
        <f t="shared" si="434"/>
        <v>0</v>
      </c>
      <c r="ET48" s="1091" t="str">
        <f t="shared" si="89"/>
        <v/>
      </c>
      <c r="EU48" s="1088">
        <f>SUMIFS(BP_SOTIEN,BP_DA,$C48,BP_THANG,EU$2,BP_KM,$E48)/1000</f>
        <v>0</v>
      </c>
      <c r="EV48" s="1091" t="str">
        <f t="shared" si="435"/>
        <v/>
      </c>
      <c r="EW48" s="1089" t="str">
        <f t="shared" si="436"/>
        <v/>
      </c>
      <c r="EX48" s="1090">
        <f>IF(NOW()&gt;=DATE(YEAR(EU$2),MONTH(EU$2)+1,DAY(EU$2)),SUMIFS(TF_SOTIEN,TF_DA,$C48,TF_THANG,EU$2,TF_KM,$E48)/1000, FA48)</f>
        <v>0</v>
      </c>
      <c r="EY48" s="1091" t="str">
        <f t="shared" si="437"/>
        <v/>
      </c>
      <c r="EZ48" s="1089" t="str">
        <f t="shared" si="438"/>
        <v/>
      </c>
      <c r="FA48" s="1090">
        <f>IF(NOW()&gt;=DATE(YEAR(EU$2),MONTH(EU$2)+1,DAY(EU$2)),SUMIFS(AC_SOTIEN,AC_DA,$C48,AC_THANG,EU$2,AC_KM,$E48),SUMIFS(TF_SOTIEN,TF_DA,$C48,TF_THANG,EU$2,TF_KM,$E48))/ 1000</f>
        <v>0</v>
      </c>
      <c r="FB48" s="1091" t="str">
        <f t="shared" si="439"/>
        <v/>
      </c>
      <c r="FC48" s="1089" t="str">
        <f t="shared" si="440"/>
        <v/>
      </c>
      <c r="FD48" s="1090">
        <f t="shared" si="441"/>
        <v>0</v>
      </c>
      <c r="FE48" s="1091" t="str">
        <f t="shared" si="94"/>
        <v/>
      </c>
      <c r="FF48" s="1090">
        <f t="shared" si="442"/>
        <v>0</v>
      </c>
      <c r="FG48" s="1091" t="str">
        <f t="shared" si="96"/>
        <v/>
      </c>
      <c r="FH48" s="1088">
        <f t="shared" si="443"/>
        <v>0</v>
      </c>
      <c r="FI48" s="1091" t="str">
        <f t="shared" si="444"/>
        <v/>
      </c>
      <c r="FJ48" s="1089" t="str">
        <f t="shared" si="445"/>
        <v/>
      </c>
      <c r="FK48" s="1090">
        <f t="shared" si="446"/>
        <v>0</v>
      </c>
      <c r="FL48" s="1091" t="str">
        <f t="shared" si="447"/>
        <v/>
      </c>
      <c r="FM48" s="1089" t="str">
        <f t="shared" si="448"/>
        <v/>
      </c>
      <c r="FN48" s="1090">
        <f t="shared" si="449"/>
        <v>0</v>
      </c>
      <c r="FO48" s="1091" t="str">
        <f t="shared" si="450"/>
        <v/>
      </c>
      <c r="FP48" s="1089" t="str">
        <f t="shared" si="451"/>
        <v/>
      </c>
      <c r="FQ48" s="1090">
        <f t="shared" si="452"/>
        <v>0</v>
      </c>
      <c r="FR48" s="1091" t="str">
        <f t="shared" si="104"/>
        <v/>
      </c>
      <c r="FS48" s="1090">
        <f t="shared" si="453"/>
        <v>0</v>
      </c>
      <c r="FT48" s="1091" t="str">
        <f t="shared" si="106"/>
        <v/>
      </c>
      <c r="FU48" s="1088">
        <f>SUMIFS(BP_SOTIEN,BP_DA,$C48,BP_THANG,FU$2,BP_KM,$E48)/1000</f>
        <v>0</v>
      </c>
      <c r="FV48" s="1091" t="str">
        <f t="shared" si="454"/>
        <v/>
      </c>
      <c r="FW48" s="1089" t="str">
        <f t="shared" si="455"/>
        <v/>
      </c>
      <c r="FX48" s="1090">
        <f>IF(NOW()&gt;=DATE(YEAR(FU$2),MONTH(FU$2)+1,DAY(FU$2)),SUMIFS(TF_SOTIEN,TF_DA,$C48,TF_THANG,FU$2,TF_KM,$E48)/1000, GA48)</f>
        <v>0</v>
      </c>
      <c r="FY48" s="1091" t="str">
        <f t="shared" si="456"/>
        <v/>
      </c>
      <c r="FZ48" s="1089" t="str">
        <f t="shared" si="457"/>
        <v/>
      </c>
      <c r="GA48" s="1090">
        <f>IF(NOW()&gt;=DATE(YEAR(FU$2),MONTH(FU$2)+1,DAY(FU$2)),SUMIFS(AC_SOTIEN,AC_DA,$C48,AC_THANG,FU$2,AC_KM,$E48),SUMIFS(TF_SOTIEN,TF_DA,$C48,TF_THANG,FU$2,TF_KM,$E48))/ 1000</f>
        <v>0</v>
      </c>
      <c r="GB48" s="1091" t="str">
        <f t="shared" si="458"/>
        <v/>
      </c>
      <c r="GC48" s="1089" t="str">
        <f t="shared" si="459"/>
        <v/>
      </c>
      <c r="GD48" s="1090">
        <f t="shared" si="460"/>
        <v>0</v>
      </c>
      <c r="GE48" s="1091" t="str">
        <f t="shared" si="111"/>
        <v/>
      </c>
      <c r="GF48" s="1090">
        <f t="shared" si="461"/>
        <v>0</v>
      </c>
      <c r="GG48" s="1091" t="str">
        <f t="shared" si="113"/>
        <v/>
      </c>
      <c r="GH48" s="1088">
        <f>SUMIFS(BP_SOTIEN,BP_DA,$C48,BP_THANG,GH$2,BP_KM,$E48)/1000</f>
        <v>0</v>
      </c>
      <c r="GI48" s="1091" t="str">
        <f t="shared" si="462"/>
        <v/>
      </c>
      <c r="GJ48" s="1089" t="str">
        <f t="shared" si="463"/>
        <v/>
      </c>
      <c r="GK48" s="1090">
        <f>IF(NOW()&gt;=DATE(YEAR(GH$2),MONTH(GH$2)+1,DAY(GH$2)),SUMIFS(TF_SOTIEN,TF_DA,$C48,TF_THANG,GH$2,TF_KM,$E48)/1000, GN48)</f>
        <v>0</v>
      </c>
      <c r="GL48" s="1091" t="str">
        <f t="shared" si="464"/>
        <v/>
      </c>
      <c r="GM48" s="1089" t="str">
        <f t="shared" si="465"/>
        <v/>
      </c>
      <c r="GN48" s="1090">
        <f>IF(NOW()&gt;=DATE(YEAR(GH$2),MONTH(GH$2)+1,DAY(GH$2)),SUMIFS(AC_SOTIEN,AC_DA,$C48,AC_THANG,GH$2,AC_KM,$E48),SUMIFS(TF_SOTIEN,TF_DA,$C48,TF_THANG,GH$2,TF_KM,$E48))/ 1000</f>
        <v>0</v>
      </c>
      <c r="GO48" s="1091" t="str">
        <f t="shared" si="466"/>
        <v/>
      </c>
      <c r="GP48" s="1089" t="str">
        <f t="shared" si="467"/>
        <v/>
      </c>
      <c r="GQ48" s="1090">
        <f t="shared" si="468"/>
        <v>0</v>
      </c>
      <c r="GR48" s="1091" t="str">
        <f t="shared" si="118"/>
        <v/>
      </c>
      <c r="GS48" s="1090">
        <f t="shared" si="469"/>
        <v>0</v>
      </c>
      <c r="GT48" s="1091" t="str">
        <f t="shared" si="120"/>
        <v/>
      </c>
      <c r="GU48" s="1088">
        <f>SUMIFS(BP_SOTIEN,BP_DA,$C48,BP_THANG,GU$2,BP_KM,$E48)/1000</f>
        <v>0</v>
      </c>
      <c r="GV48" s="1091" t="str">
        <f t="shared" si="470"/>
        <v/>
      </c>
      <c r="GW48" s="1089" t="str">
        <f t="shared" si="471"/>
        <v/>
      </c>
      <c r="GX48" s="1090">
        <f>IF(NOW()&gt;=DATE(YEAR(GU$2),MONTH(GU$2)+1,DAY(GU$2)),SUMIFS(TF_SOTIEN,TF_DA,$C48,TF_THANG,GU$2,TF_KM,$E48)/1000, HA48)</f>
        <v>0</v>
      </c>
      <c r="GY48" s="1091" t="str">
        <f t="shared" si="472"/>
        <v/>
      </c>
      <c r="GZ48" s="1089" t="str">
        <f t="shared" si="473"/>
        <v/>
      </c>
      <c r="HA48" s="1090">
        <f>IF(NOW()&gt;=DATE(YEAR(GU$2),MONTH(GU$2)+1,DAY(GU$2)),SUMIFS(AC_SOTIEN,AC_DA,$C48,AC_THANG,GU$2,AC_KM,$E48),SUMIFS(TF_SOTIEN,TF_DA,$C48,TF_THANG,GU$2,TF_KM,$E48))/ 1000</f>
        <v>0</v>
      </c>
      <c r="HB48" s="1091" t="str">
        <f t="shared" si="474"/>
        <v/>
      </c>
      <c r="HC48" s="1089" t="str">
        <f t="shared" si="475"/>
        <v/>
      </c>
      <c r="HD48" s="1090">
        <f t="shared" si="476"/>
        <v>0</v>
      </c>
      <c r="HE48" s="1091" t="str">
        <f t="shared" si="125"/>
        <v/>
      </c>
      <c r="HF48" s="1090">
        <f t="shared" si="477"/>
        <v>0</v>
      </c>
      <c r="HG48" s="1091" t="str">
        <f t="shared" si="127"/>
        <v/>
      </c>
      <c r="HH48" s="1088">
        <f t="shared" si="478"/>
        <v>0</v>
      </c>
      <c r="HI48" s="1091" t="str">
        <f t="shared" si="479"/>
        <v/>
      </c>
      <c r="HJ48" s="1089" t="str">
        <f t="shared" si="480"/>
        <v/>
      </c>
      <c r="HK48" s="1090">
        <f t="shared" si="481"/>
        <v>0</v>
      </c>
      <c r="HL48" s="1091" t="str">
        <f t="shared" si="482"/>
        <v/>
      </c>
      <c r="HM48" s="1089" t="str">
        <f t="shared" si="483"/>
        <v/>
      </c>
      <c r="HN48" s="1090">
        <f t="shared" si="484"/>
        <v>0</v>
      </c>
      <c r="HO48" s="1091" t="str">
        <f t="shared" si="485"/>
        <v/>
      </c>
      <c r="HP48" s="1089" t="str">
        <f t="shared" si="486"/>
        <v/>
      </c>
      <c r="HQ48" s="1090">
        <f t="shared" si="487"/>
        <v>0</v>
      </c>
      <c r="HR48" s="1091" t="str">
        <f t="shared" si="135"/>
        <v/>
      </c>
      <c r="HS48" s="1090">
        <f t="shared" si="488"/>
        <v>0</v>
      </c>
      <c r="HT48" s="1091" t="str">
        <f t="shared" si="137"/>
        <v/>
      </c>
      <c r="HU48" s="1088">
        <f t="shared" si="489"/>
        <v>0</v>
      </c>
      <c r="HV48" s="1091" t="str">
        <f t="shared" si="490"/>
        <v/>
      </c>
      <c r="HW48" s="1089" t="str">
        <f t="shared" si="491"/>
        <v/>
      </c>
      <c r="HX48" s="1090">
        <f t="shared" si="492"/>
        <v>0</v>
      </c>
      <c r="HY48" s="1091" t="str">
        <f t="shared" si="493"/>
        <v/>
      </c>
      <c r="HZ48" s="1089" t="str">
        <f t="shared" si="494"/>
        <v/>
      </c>
      <c r="IA48" s="1090">
        <f t="shared" si="495"/>
        <v>0</v>
      </c>
      <c r="IB48" s="1091" t="str">
        <f t="shared" si="496"/>
        <v/>
      </c>
      <c r="IC48" s="1089" t="str">
        <f t="shared" si="497"/>
        <v/>
      </c>
      <c r="ID48" s="1090">
        <f t="shared" si="498"/>
        <v>0</v>
      </c>
      <c r="IE48" s="1091" t="str">
        <f t="shared" si="145"/>
        <v/>
      </c>
      <c r="IF48" s="1090">
        <f t="shared" si="499"/>
        <v>0</v>
      </c>
      <c r="IG48" s="1091" t="str">
        <f t="shared" si="147"/>
        <v/>
      </c>
      <c r="IH48" s="1088">
        <f t="shared" si="500"/>
        <v>0</v>
      </c>
      <c r="II48" s="1091" t="str">
        <f t="shared" si="501"/>
        <v/>
      </c>
      <c r="IJ48" s="1089" t="str">
        <f t="shared" si="502"/>
        <v/>
      </c>
      <c r="IK48" s="1090">
        <f t="shared" si="503"/>
        <v>0</v>
      </c>
      <c r="IL48" s="1091" t="str">
        <f t="shared" si="504"/>
        <v/>
      </c>
      <c r="IM48" s="1089" t="str">
        <f t="shared" si="505"/>
        <v/>
      </c>
      <c r="IN48" s="1090">
        <f t="shared" si="506"/>
        <v>0</v>
      </c>
      <c r="IO48" s="1091" t="str">
        <f t="shared" si="507"/>
        <v/>
      </c>
      <c r="IP48" s="1089" t="str">
        <f t="shared" si="508"/>
        <v/>
      </c>
      <c r="IQ48" s="1090">
        <f t="shared" si="509"/>
        <v>0</v>
      </c>
      <c r="IR48" s="1091" t="str">
        <f t="shared" si="1"/>
        <v/>
      </c>
      <c r="IS48" s="1090">
        <f t="shared" si="510"/>
        <v>0</v>
      </c>
      <c r="IT48" s="1091" t="str">
        <f t="shared" si="2"/>
        <v/>
      </c>
    </row>
    <row r="49">
      <c r="A49" s="1121" t="s">
        <v>2824</v>
      </c>
      <c r="B49" s="1122"/>
      <c r="C49" s="1122"/>
      <c r="D49" s="1122"/>
      <c r="E49" s="1122"/>
      <c r="F49" s="1122"/>
      <c r="G49" s="1123">
        <v>1.0</v>
      </c>
      <c r="H49" s="1124">
        <f>SUMIF($G$50:$G$63,$G$49,H$50:H$63)</f>
        <v>0</v>
      </c>
      <c r="I49" s="1125" t="str">
        <f>IFERROR(H49/H$19,"")</f>
        <v/>
      </c>
      <c r="J49" s="3"/>
      <c r="K49" s="1124">
        <f>SUMIF($G$50:$G$63,$G$49,K$50:K$63)</f>
        <v>120000</v>
      </c>
      <c r="L49" s="1125">
        <f>IFERROR(K49/K$19,"")</f>
        <v>1</v>
      </c>
      <c r="M49" s="3"/>
      <c r="N49" s="1124">
        <f>SUMIF($G$50:$G$63,$G$49,N$50:N$63)</f>
        <v>340000</v>
      </c>
      <c r="O49" s="1125">
        <f>IFERROR(N49/N$19,"")</f>
        <v>1</v>
      </c>
      <c r="P49" s="3"/>
      <c r="Q49" s="1124">
        <f>SUMIF($G$50:$G$63,$G$49,Q$50:Q$63)</f>
        <v>340000</v>
      </c>
      <c r="R49" s="1126" t="str">
        <f t="shared" si="8"/>
        <v/>
      </c>
      <c r="S49" s="1124">
        <f>SUMIF($G$50:$G$63,$G$49,S$50:S$63)</f>
        <v>220000</v>
      </c>
      <c r="T49" s="1127">
        <f t="shared" si="10"/>
        <v>1.833333333</v>
      </c>
      <c r="U49" s="1124">
        <f>SUMIF($G$50:$G$63,$G$49,U$50:U$63)</f>
        <v>0</v>
      </c>
      <c r="V49" s="1125" t="str">
        <f>IFERROR(U49/U$19,"")</f>
        <v/>
      </c>
      <c r="W49" s="3"/>
      <c r="X49" s="1124">
        <f>SUMIF($G$50:$G$63,$G$49,X$50:X$63)</f>
        <v>0</v>
      </c>
      <c r="Y49" s="1125" t="str">
        <f>IFERROR(X49/X$19,"")</f>
        <v/>
      </c>
      <c r="Z49" s="3"/>
      <c r="AA49" s="1124">
        <f>SUMIF($G$50:$G$63,$G$49,AA$50:AA$63)</f>
        <v>180000</v>
      </c>
      <c r="AB49" s="1125">
        <f>IFERROR(AA49/AA$19,"")</f>
        <v>1</v>
      </c>
      <c r="AC49" s="3"/>
      <c r="AD49" s="1124">
        <f>SUMIF($G$50:$G$63,$G$49,AD$50:AD$63)</f>
        <v>180000</v>
      </c>
      <c r="AE49" s="1126" t="str">
        <f t="shared" si="15"/>
        <v/>
      </c>
      <c r="AF49" s="1124">
        <f>SUMIF($G$50:$G$63,$G$49,AF$50:AF$63)</f>
        <v>180000</v>
      </c>
      <c r="AG49" s="1127" t="str">
        <f t="shared" si="17"/>
        <v/>
      </c>
      <c r="AH49" s="1124">
        <f>SUMIF($G$50:$G$63,$G$49,AH$50:AH$63)</f>
        <v>0</v>
      </c>
      <c r="AI49" s="1125" t="str">
        <f>IFERROR(AH49/AH$19,"")</f>
        <v/>
      </c>
      <c r="AJ49" s="3"/>
      <c r="AK49" s="1124">
        <f>SUMIF($G$50:$G$63,$G$49,AK$50:AK$63)</f>
        <v>3600000</v>
      </c>
      <c r="AL49" s="1125">
        <f>IFERROR(AK49/AK$19,"")</f>
        <v>1</v>
      </c>
      <c r="AM49" s="3"/>
      <c r="AN49" s="1124">
        <f>SUMIF($G$50:$G$63,$G$49,AN$50:AN$63)</f>
        <v>668000</v>
      </c>
      <c r="AO49" s="1125">
        <f>IFERROR(AN49/AN$19,"")</f>
        <v>1</v>
      </c>
      <c r="AP49" s="3"/>
      <c r="AQ49" s="1124">
        <f>SUMIF($G$50:$G$63,$G$49,AQ$50:AQ$63)</f>
        <v>668000</v>
      </c>
      <c r="AR49" s="1126" t="str">
        <f t="shared" si="22"/>
        <v/>
      </c>
      <c r="AS49" s="1124">
        <f>SUMIF($G$50:$G$63,$G$49,AS$50:AS$63)</f>
        <v>-2932000</v>
      </c>
      <c r="AT49" s="1127">
        <f t="shared" si="24"/>
        <v>-0.8144444444</v>
      </c>
      <c r="AU49" s="1124">
        <f>SUMIF($G$50:$G$63,$G$49,AU$50:AU$63)</f>
        <v>0</v>
      </c>
      <c r="AV49" s="1125" t="str">
        <f>IFERROR(AU49/AU$19,"")</f>
        <v/>
      </c>
      <c r="AW49" s="3"/>
      <c r="AX49" s="1124">
        <f>SUMIF($G$50:$G$63,$G$49,AX$50:AX$63)</f>
        <v>3720000</v>
      </c>
      <c r="AY49" s="1125">
        <f>IFERROR(AX49/AX$19,"")</f>
        <v>1</v>
      </c>
      <c r="AZ49" s="3"/>
      <c r="BA49" s="1124">
        <f>SUMIF($G$50:$G$63,$G$49,BA$50:BA$63)</f>
        <v>1188000</v>
      </c>
      <c r="BB49" s="1125">
        <f>IFERROR(BA49/BA$19,"")</f>
        <v>1</v>
      </c>
      <c r="BC49" s="3"/>
      <c r="BD49" s="1124">
        <f>SUMIF($G$50:$G$63,$G$49,BD$50:BD$63)</f>
        <v>1188000</v>
      </c>
      <c r="BE49" s="1126" t="str">
        <f t="shared" si="32"/>
        <v/>
      </c>
      <c r="BF49" s="1124">
        <f>SUMIF($G$50:$G$63,$G$49,BF$50:BF$63)</f>
        <v>-2532000</v>
      </c>
      <c r="BG49" s="1127">
        <f t="shared" si="34"/>
        <v>-0.6806451613</v>
      </c>
      <c r="BH49" s="1124">
        <f>SUMIF($G$50:$G$63,$G$49,BH$50:BH$63)</f>
        <v>4000000</v>
      </c>
      <c r="BI49" s="1125">
        <f>IFERROR(BH49/BH$19,"")</f>
        <v>1</v>
      </c>
      <c r="BJ49" s="3"/>
      <c r="BK49" s="1124">
        <f>SUMIF($G$50:$G$63,$G$49,BK$50:BK$63)</f>
        <v>0</v>
      </c>
      <c r="BL49" s="1125" t="str">
        <f>IFERROR(BK49/BK$19,"")</f>
        <v/>
      </c>
      <c r="BM49" s="3"/>
      <c r="BN49" s="1124">
        <f>SUMIF($G$50:$G$63,$G$49,BN$50:BN$63)</f>
        <v>2601040</v>
      </c>
      <c r="BO49" s="1125">
        <f>IFERROR(BN49/BN$19,"")</f>
        <v>1</v>
      </c>
      <c r="BP49" s="3"/>
      <c r="BQ49" s="1124">
        <f>SUMIF($G$50:$G$63,$G$49,BQ$50:BQ$63)</f>
        <v>-1398960</v>
      </c>
      <c r="BR49" s="1126">
        <f t="shared" si="39"/>
        <v>-0.34974</v>
      </c>
      <c r="BS49" s="1124">
        <f>SUMIF($G$50:$G$63,$G$49,BS$50:BS$63)</f>
        <v>2601040</v>
      </c>
      <c r="BT49" s="1127" t="str">
        <f t="shared" si="41"/>
        <v/>
      </c>
      <c r="BU49" s="1124">
        <f>SUMIF($G$50:$G$63,$G$49,BU$50:BU$63)</f>
        <v>4000000</v>
      </c>
      <c r="BV49" s="1125">
        <f>IFERROR(BU49/BU$19,"")</f>
        <v>1</v>
      </c>
      <c r="BW49" s="3"/>
      <c r="BX49" s="1124">
        <f>SUMIF($G$50:$G$63,$G$49,BX$50:BX$63)</f>
        <v>1494456.48</v>
      </c>
      <c r="BY49" s="1125">
        <f>IFERROR(BX49/BX$19,"")</f>
        <v>1</v>
      </c>
      <c r="BZ49" s="3"/>
      <c r="CA49" s="1124">
        <f>SUMIF($G$50:$G$63,$G$49,CA$50:CA$63)</f>
        <v>555572</v>
      </c>
      <c r="CB49" s="1125">
        <f>IFERROR(CA49/CA$19,"")</f>
        <v>1</v>
      </c>
      <c r="CC49" s="3"/>
      <c r="CD49" s="1124">
        <f>SUMIF($G$50:$G$63,$G$49,CD$50:CD$63)</f>
        <v>-3444428</v>
      </c>
      <c r="CE49" s="1126">
        <f t="shared" si="46"/>
        <v>-0.861107</v>
      </c>
      <c r="CF49" s="1124">
        <f>SUMIF($G$50:$G$63,$G$49,CF$50:CF$63)</f>
        <v>-938884.48</v>
      </c>
      <c r="CG49" s="1127">
        <f t="shared" si="48"/>
        <v>-0.6282447783</v>
      </c>
      <c r="CH49" s="1124">
        <f>SUMIF($G$50:$G$63,$G$49,CH$50:CH$63)</f>
        <v>4000000</v>
      </c>
      <c r="CI49" s="1125">
        <f>IFERROR(CH49/CH$19,"")</f>
        <v>1</v>
      </c>
      <c r="CJ49" s="3"/>
      <c r="CK49" s="1124">
        <f>SUMIF($G$50:$G$63,$G$49,CK$50:CK$63)</f>
        <v>0</v>
      </c>
      <c r="CL49" s="1125" t="str">
        <f>IFERROR(CK49/CK$19,"")</f>
        <v/>
      </c>
      <c r="CM49" s="3"/>
      <c r="CN49" s="1124">
        <f>SUMIF($G$50:$G$63,$G$49,CN$50:CN$63)</f>
        <v>0</v>
      </c>
      <c r="CO49" s="1125" t="str">
        <f>IFERROR(CN49/CN$19,"")</f>
        <v/>
      </c>
      <c r="CP49" s="3"/>
      <c r="CQ49" s="1124">
        <f>SUMIF($G$50:$G$63,$G$49,CQ$50:CQ$63)</f>
        <v>-4000000</v>
      </c>
      <c r="CR49" s="1126">
        <f t="shared" si="53"/>
        <v>-1</v>
      </c>
      <c r="CS49" s="1124">
        <f>SUMIF($G$50:$G$63,$G$49,CS$50:CS$63)</f>
        <v>0</v>
      </c>
      <c r="CT49" s="1127" t="str">
        <f t="shared" si="55"/>
        <v/>
      </c>
      <c r="CU49" s="1124">
        <f>SUMIF($G$50:$G$63,$G$49,CU$50:CU$63)</f>
        <v>12000000</v>
      </c>
      <c r="CV49" s="1125">
        <f>IFERROR(CU49/CU$19,"")</f>
        <v>1</v>
      </c>
      <c r="CW49" s="3"/>
      <c r="CX49" s="1124">
        <f>SUMIF($G$50:$G$63,$G$49,CX$50:CX$63)</f>
        <v>0</v>
      </c>
      <c r="CY49" s="1125">
        <f>IFERROR(CX49/CX$19,"")</f>
        <v>0</v>
      </c>
      <c r="CZ49" s="3"/>
      <c r="DA49" s="1124">
        <f>SUMIF($G$50:$G$63,$G$49,DA$50:DA$63)</f>
        <v>0</v>
      </c>
      <c r="DB49" s="1125">
        <f>IFERROR(DA49/DA$19,"")</f>
        <v>0</v>
      </c>
      <c r="DC49" s="3"/>
      <c r="DD49" s="1124">
        <f>SUMIF($G$50:$G$63,$G$49,DD$50:DD$63)</f>
        <v>-12000000</v>
      </c>
      <c r="DE49" s="1126">
        <f t="shared" si="63"/>
        <v>-1</v>
      </c>
      <c r="DF49" s="1124">
        <f>SUMIF($G$50:$G$63,$G$49,DF$50:DF$63)</f>
        <v>0</v>
      </c>
      <c r="DG49" s="1127" t="str">
        <f t="shared" si="65"/>
        <v/>
      </c>
      <c r="DH49" s="1124">
        <f>SUMIF($G$50:$G$63,$G$49,DH$50:DH$63)</f>
        <v>12000000</v>
      </c>
      <c r="DI49" s="1125">
        <f>IFERROR(DH49/DH$19,"")</f>
        <v>1</v>
      </c>
      <c r="DJ49" s="3"/>
      <c r="DK49" s="1124">
        <f>SUMIF($G$50:$G$63,$G$49,DK$50:DK$63)</f>
        <v>3720000</v>
      </c>
      <c r="DL49" s="1125">
        <f>IFERROR(DK49/DK$19,"")</f>
        <v>0.7134012939</v>
      </c>
      <c r="DM49" s="3"/>
      <c r="DN49" s="1124">
        <f>SUMIF($G$50:$G$63,$G$49,DN$50:DN$63)</f>
        <v>1188000</v>
      </c>
      <c r="DO49" s="1125">
        <f>IFERROR(DN49/DN$19,"")</f>
        <v>0.2734421394</v>
      </c>
      <c r="DP49" s="3"/>
      <c r="DQ49" s="1124">
        <f>SUMIF($G$50:$G$63,$G$49,DQ$50:DQ$63)</f>
        <v>-10812000</v>
      </c>
      <c r="DR49" s="1126">
        <f t="shared" si="73"/>
        <v>-0.901</v>
      </c>
      <c r="DS49" s="1124">
        <f>SUMIF($G$50:$G$63,$G$49,DS$50:DS$63)</f>
        <v>-2532000</v>
      </c>
      <c r="DT49" s="1127">
        <f t="shared" si="75"/>
        <v>-0.6806451613</v>
      </c>
      <c r="DU49" s="1124">
        <f>SUMIF($G$50:$G$63,$G$49,DU$50:DU$63)</f>
        <v>4000000</v>
      </c>
      <c r="DV49" s="1125">
        <f>IFERROR(DU49/DU$19,"")</f>
        <v>1</v>
      </c>
      <c r="DW49" s="3"/>
      <c r="DX49" s="1124">
        <f>SUMIF($G$50:$G$63,$G$49,DX$50:DX$63)</f>
        <v>6039999.96</v>
      </c>
      <c r="DY49" s="1125">
        <f>IFERROR(DX49/DX$19,"")</f>
        <v>1</v>
      </c>
      <c r="DZ49" s="3"/>
      <c r="EA49" s="1124">
        <f>SUMIF($G$50:$G$63,$G$49,EA$50:EA$63)</f>
        <v>0</v>
      </c>
      <c r="EB49" s="1125" t="str">
        <f>IFERROR(EA49/EA$19,"")</f>
        <v/>
      </c>
      <c r="EC49" s="3"/>
      <c r="ED49" s="1124">
        <f>SUMIF($G$50:$G$63,$G$49,ED$50:ED$63)</f>
        <v>-4000000</v>
      </c>
      <c r="EE49" s="1126">
        <f t="shared" si="80"/>
        <v>-1</v>
      </c>
      <c r="EF49" s="1124">
        <f>SUMIF($G$50:$G$63,$G$49,EF$50:EF$63)</f>
        <v>-6039999.96</v>
      </c>
      <c r="EG49" s="1127">
        <f t="shared" si="82"/>
        <v>-1</v>
      </c>
      <c r="EH49" s="1124">
        <f>SUMIF($G$50:$G$63,$G$49,EH$50:EH$63)</f>
        <v>4000000</v>
      </c>
      <c r="EI49" s="1125">
        <f>IFERROR(EH49/EH$19,"")</f>
        <v>1</v>
      </c>
      <c r="EJ49" s="3"/>
      <c r="EK49" s="1124">
        <f>SUMIF($G$50:$G$63,$G$49,EK$50:EK$63)</f>
        <v>6039999.96</v>
      </c>
      <c r="EL49" s="1125">
        <f>IFERROR(EK49/EK$19,"")</f>
        <v>1</v>
      </c>
      <c r="EM49" s="3"/>
      <c r="EN49" s="1124">
        <f>SUMIF($G$50:$G$63,$G$49,EN$50:EN$63)</f>
        <v>0</v>
      </c>
      <c r="EO49" s="1125" t="str">
        <f>IFERROR(EN49/EN$19,"")</f>
        <v/>
      </c>
      <c r="EP49" s="3"/>
      <c r="EQ49" s="1124">
        <f>SUMIF($G$50:$G$63,$G$49,EQ$50:EQ$63)</f>
        <v>-4000000</v>
      </c>
      <c r="ER49" s="1126">
        <f t="shared" si="87"/>
        <v>-1</v>
      </c>
      <c r="ES49" s="1124">
        <f>SUMIF($G$50:$G$63,$G$49,ES$50:ES$63)</f>
        <v>-6039999.96</v>
      </c>
      <c r="ET49" s="1127">
        <f t="shared" si="89"/>
        <v>-1</v>
      </c>
      <c r="EU49" s="1124">
        <f>SUMIF($G$50:$G$63,$G$49,EU$50:EU$63)</f>
        <v>4000000</v>
      </c>
      <c r="EV49" s="1125">
        <f>IFERROR(EU49/EU$19,"")</f>
        <v>1</v>
      </c>
      <c r="EW49" s="3"/>
      <c r="EX49" s="1124">
        <f>SUMIF($G$50:$G$63,$G$49,EX$50:EX$63)</f>
        <v>6039999.96</v>
      </c>
      <c r="EY49" s="1125">
        <f>IFERROR(EX49/EX$19,"")</f>
        <v>1</v>
      </c>
      <c r="EZ49" s="3"/>
      <c r="FA49" s="1124">
        <f>SUMIF($G$50:$G$63,$G$49,FA$50:FA$63)</f>
        <v>0</v>
      </c>
      <c r="FB49" s="1125" t="str">
        <f>IFERROR(FA49/FA$19,"")</f>
        <v/>
      </c>
      <c r="FC49" s="3"/>
      <c r="FD49" s="1124">
        <f>SUMIF($G$50:$G$63,$G$49,FD$50:FD$63)</f>
        <v>-4000000</v>
      </c>
      <c r="FE49" s="1126">
        <f t="shared" si="94"/>
        <v>-1</v>
      </c>
      <c r="FF49" s="1124">
        <f>SUMIF($G$50:$G$63,$G$49,FF$50:FF$63)</f>
        <v>-6039999.96</v>
      </c>
      <c r="FG49" s="1127">
        <f t="shared" si="96"/>
        <v>-1</v>
      </c>
      <c r="FH49" s="1124">
        <f>SUMIF($G$50:$G$63,$G$49,FH$50:FH$63)</f>
        <v>12000000</v>
      </c>
      <c r="FI49" s="1125">
        <f>IFERROR(FH49/FH$19,"")</f>
        <v>1</v>
      </c>
      <c r="FJ49" s="3"/>
      <c r="FK49" s="1124">
        <f>SUMIF($G$50:$G$63,$G$49,FK$50:FK$63)</f>
        <v>18119999.88</v>
      </c>
      <c r="FL49" s="1125">
        <f>IFERROR(FK49/FK$19,"")</f>
        <v>1</v>
      </c>
      <c r="FM49" s="3"/>
      <c r="FN49" s="1124">
        <f>SUMIF($G$50:$G$63,$G$49,FN$50:FN$63)</f>
        <v>0</v>
      </c>
      <c r="FO49" s="1125" t="str">
        <f>IFERROR(FN49/FN$19,"")</f>
        <v/>
      </c>
      <c r="FP49" s="3"/>
      <c r="FQ49" s="1124">
        <f>SUMIF($G$50:$G$63,$G$49,FQ$50:FQ$63)</f>
        <v>-12000000</v>
      </c>
      <c r="FR49" s="1126">
        <f t="shared" si="104"/>
        <v>-1</v>
      </c>
      <c r="FS49" s="1124">
        <f>SUMIF($G$50:$G$63,$G$49,FS$50:FS$63)</f>
        <v>-18119999.88</v>
      </c>
      <c r="FT49" s="1127">
        <f t="shared" si="106"/>
        <v>-1</v>
      </c>
      <c r="FU49" s="1124">
        <f>SUMIF($G$50:$G$63,$G$49,FU$50:FU$63)</f>
        <v>4000000</v>
      </c>
      <c r="FV49" s="1125">
        <f>IFERROR(FU49/FU$19,"")</f>
        <v>1</v>
      </c>
      <c r="FW49" s="3"/>
      <c r="FX49" s="1124">
        <f>SUMIF($G$50:$G$63,$G$49,FX$50:FX$63)</f>
        <v>6039999.96</v>
      </c>
      <c r="FY49" s="1125">
        <f>IFERROR(FX49/FX$19,"")</f>
        <v>1</v>
      </c>
      <c r="FZ49" s="3"/>
      <c r="GA49" s="1124">
        <f>SUMIF($G$50:$G$63,$G$49,GA$50:GA$63)</f>
        <v>0</v>
      </c>
      <c r="GB49" s="1125" t="str">
        <f>IFERROR(GA49/GA$19,"")</f>
        <v/>
      </c>
      <c r="GC49" s="3"/>
      <c r="GD49" s="1124">
        <f>SUMIF($G$50:$G$63,$G$49,GD$50:GD$63)</f>
        <v>-4000000</v>
      </c>
      <c r="GE49" s="1126">
        <f t="shared" si="111"/>
        <v>-1</v>
      </c>
      <c r="GF49" s="1124">
        <f>SUMIF($G$50:$G$63,$G$49,GF$50:GF$63)</f>
        <v>-6039999.96</v>
      </c>
      <c r="GG49" s="1127">
        <f t="shared" si="113"/>
        <v>-1</v>
      </c>
      <c r="GH49" s="1124">
        <f>SUMIF($G$50:$G$63,$G$49,GH$50:GH$63)</f>
        <v>4000000</v>
      </c>
      <c r="GI49" s="1125">
        <f>IFERROR(GH49/GH$19,"")</f>
        <v>1</v>
      </c>
      <c r="GJ49" s="3"/>
      <c r="GK49" s="1124">
        <f>SUMIF($G$50:$G$63,$G$49,GK$50:GK$63)</f>
        <v>6039999.96</v>
      </c>
      <c r="GL49" s="1125">
        <f>IFERROR(GK49/GK$19,"")</f>
        <v>1</v>
      </c>
      <c r="GM49" s="3"/>
      <c r="GN49" s="1124">
        <f>SUMIF($G$50:$G$63,$G$49,GN$50:GN$63)</f>
        <v>0</v>
      </c>
      <c r="GO49" s="1125" t="str">
        <f>IFERROR(GN49/GN$19,"")</f>
        <v/>
      </c>
      <c r="GP49" s="3"/>
      <c r="GQ49" s="1124">
        <f>SUMIF($G$50:$G$63,$G$49,GQ$50:GQ$63)</f>
        <v>-4000000</v>
      </c>
      <c r="GR49" s="1126">
        <f t="shared" si="118"/>
        <v>-1</v>
      </c>
      <c r="GS49" s="1124">
        <f>SUMIF($G$50:$G$63,$G$49,GS$50:GS$63)</f>
        <v>-6039999.96</v>
      </c>
      <c r="GT49" s="1127">
        <f t="shared" si="120"/>
        <v>-1</v>
      </c>
      <c r="GU49" s="1124">
        <f>SUMIF($G$50:$G$63,$G$49,GU$50:GU$63)</f>
        <v>4000000</v>
      </c>
      <c r="GV49" s="1125">
        <f>IFERROR(GU49/GU$19,"")</f>
        <v>1</v>
      </c>
      <c r="GW49" s="3"/>
      <c r="GX49" s="1124">
        <f>SUMIF($G$50:$G$63,$G$49,GX$50:GX$63)</f>
        <v>6039999.96</v>
      </c>
      <c r="GY49" s="1125">
        <f>IFERROR(GX49/GX$19,"")</f>
        <v>1</v>
      </c>
      <c r="GZ49" s="3"/>
      <c r="HA49" s="1124">
        <f>SUMIF($G$50:$G$63,$G$49,HA$50:HA$63)</f>
        <v>0</v>
      </c>
      <c r="HB49" s="1125" t="str">
        <f>IFERROR(HA49/HA$19,"")</f>
        <v/>
      </c>
      <c r="HC49" s="3"/>
      <c r="HD49" s="1124">
        <f>SUMIF($G$50:$G$63,$G$49,HD$50:HD$63)</f>
        <v>-4000000</v>
      </c>
      <c r="HE49" s="1126">
        <f t="shared" si="125"/>
        <v>-1</v>
      </c>
      <c r="HF49" s="1124">
        <f>SUMIF($G$50:$G$63,$G$49,HF$50:HF$63)</f>
        <v>-6039999.96</v>
      </c>
      <c r="HG49" s="1127">
        <f t="shared" si="127"/>
        <v>-1</v>
      </c>
      <c r="HH49" s="1124">
        <f>SUMIF($G$50:$G$63,$G$49,HH$50:HH$63)</f>
        <v>12000000</v>
      </c>
      <c r="HI49" s="1125">
        <f>IFERROR(HH49/HH$19,"")</f>
        <v>1</v>
      </c>
      <c r="HJ49" s="3"/>
      <c r="HK49" s="1124">
        <f>SUMIF($G$50:$G$63,$G$49,HK$50:HK$63)</f>
        <v>18119999.88</v>
      </c>
      <c r="HL49" s="1125">
        <f>IFERROR(HK49/HK$19,"")</f>
        <v>1</v>
      </c>
      <c r="HM49" s="3"/>
      <c r="HN49" s="1124">
        <f>SUMIF($G$50:$G$63,$G$49,HN$50:HN$63)</f>
        <v>0</v>
      </c>
      <c r="HO49" s="1125" t="str">
        <f>IFERROR(HN49/HN$19,"")</f>
        <v/>
      </c>
      <c r="HP49" s="3"/>
      <c r="HQ49" s="1124">
        <f>SUMIF($G$50:$G$63,$G$49,HQ$50:HQ$63)</f>
        <v>-12000000</v>
      </c>
      <c r="HR49" s="1126">
        <f t="shared" si="135"/>
        <v>-1</v>
      </c>
      <c r="HS49" s="1124">
        <f>SUMIF($G$50:$G$63,$G$49,HS$50:HS$63)</f>
        <v>-18119999.88</v>
      </c>
      <c r="HT49" s="1127">
        <f t="shared" si="137"/>
        <v>-1</v>
      </c>
      <c r="HU49" s="1124">
        <f>SUMIF($G$50:$G$63,$G$49,HU$50:HU$63)</f>
        <v>24000000</v>
      </c>
      <c r="HV49" s="1125">
        <f>IFERROR(HU49/HU$19,"")</f>
        <v>1</v>
      </c>
      <c r="HW49" s="3"/>
      <c r="HX49" s="1124">
        <f>SUMIF($G$50:$G$63,$G$49,HX$50:HX$63)</f>
        <v>36239999.76</v>
      </c>
      <c r="HY49" s="1125">
        <f>IFERROR(HX49/HX$19,"")</f>
        <v>1</v>
      </c>
      <c r="HZ49" s="3"/>
      <c r="IA49" s="1124">
        <f>SUMIF($G$50:$G$63,$G$49,IA$50:IA$63)</f>
        <v>0</v>
      </c>
      <c r="IB49" s="1125" t="str">
        <f>IFERROR(IA49/IA$19,"")</f>
        <v/>
      </c>
      <c r="IC49" s="3"/>
      <c r="ID49" s="1124">
        <f>SUMIF($G$50:$G$63,$G$49,ID$50:ID$63)</f>
        <v>-24000000</v>
      </c>
      <c r="IE49" s="1126">
        <f t="shared" si="145"/>
        <v>-1</v>
      </c>
      <c r="IF49" s="1124">
        <f>SUMIF($G$50:$G$63,$G$49,IF$50:IF$63)</f>
        <v>-36239999.76</v>
      </c>
      <c r="IG49" s="1127">
        <f t="shared" si="147"/>
        <v>-1</v>
      </c>
      <c r="IH49" s="1124">
        <f>SUMIF($G$50:$G$63,$G$49,IH$50:IH$63)</f>
        <v>36000000</v>
      </c>
      <c r="II49" s="1125">
        <f>IFERROR(IH49/IH$19,"")</f>
        <v>1</v>
      </c>
      <c r="IJ49" s="3"/>
      <c r="IK49" s="1124">
        <f>SUMIF($G$50:$G$63,$G$49,IK$50:IK$63)</f>
        <v>39959999.76</v>
      </c>
      <c r="IL49" s="1125">
        <f>IFERROR(IK49/IK$19,"")</f>
        <v>0.9639494372</v>
      </c>
      <c r="IM49" s="3"/>
      <c r="IN49" s="1124">
        <f>SUMIF($G$50:$G$63,$G$49,IN$50:IN$63)</f>
        <v>1188000</v>
      </c>
      <c r="IO49" s="1125">
        <f>IFERROR(IN49/IN$19,"")</f>
        <v>0.2734421394</v>
      </c>
      <c r="IP49" s="3"/>
      <c r="IQ49" s="1124">
        <f>SUMIF($G$50:$G$63,$G$49,IQ$50:IQ$63)</f>
        <v>-34812000</v>
      </c>
      <c r="IR49" s="1126">
        <f t="shared" si="1"/>
        <v>-0.967</v>
      </c>
      <c r="IS49" s="1124">
        <f>SUMIF($G$50:$G$63,$G$49,IS$50:IS$63)</f>
        <v>-38771999.76</v>
      </c>
      <c r="IT49" s="1127">
        <f t="shared" si="2"/>
        <v>-0.9702702701</v>
      </c>
    </row>
    <row r="50">
      <c r="A50" s="1113" t="str">
        <f t="shared" ref="A50:A63" si="511">IF(C50="","",COUNTA(C$50:C50))</f>
        <v/>
      </c>
      <c r="B50" s="1114" t="s">
        <v>2066</v>
      </c>
      <c r="C50" s="1114"/>
      <c r="D50" s="1114" t="str">
        <f>IF(C50&gt;0,VLOOKUP(C50,DM_DUAN ,2,"") ,IF(B50&gt;0,VLOOKUP(B50,DM_CDT,2,""),""))</f>
        <v>THÀNH NAM</v>
      </c>
      <c r="E50" s="1115"/>
      <c r="F50" s="1115"/>
      <c r="G50" s="1116">
        <v>1.0</v>
      </c>
      <c r="H50" s="1120">
        <f>SUMIF($B51:$B$63,$B50,H51:H$63)</f>
        <v>0</v>
      </c>
      <c r="I50" s="1117" t="str">
        <f t="shared" ref="I50:I63" si="512">IFERROR(H50/SUMIF($C$20:$C$33,$C50,H$20:H$33),"")</f>
        <v/>
      </c>
      <c r="J50" s="1117" t="str">
        <f t="shared" ref="J50:J63" si="513">IFERROR(H50/H$49,"")</f>
        <v/>
      </c>
      <c r="K50" s="1120">
        <f>SUMIF($B51:$B$63,$B50,K51:K$63)</f>
        <v>120000</v>
      </c>
      <c r="L50" s="1117" t="str">
        <f t="shared" ref="L50:L63" si="514">IFERROR(K50/SUMIF($C$20:$C$33,$C50,K$20:K$33),"")</f>
        <v/>
      </c>
      <c r="M50" s="1117">
        <f t="shared" ref="M50:M63" si="515">IFERROR(K50/K$49,"")</f>
        <v>1</v>
      </c>
      <c r="N50" s="1120">
        <f>SUMIF($B51:$B$63,$B50,N51:N$63)</f>
        <v>340000</v>
      </c>
      <c r="O50" s="1117" t="str">
        <f t="shared" ref="O50:O63" si="516">IFERROR(N50/SUMIF($C$20:$C$33,$C50,N$20:N$33),"")</f>
        <v/>
      </c>
      <c r="P50" s="1117">
        <f t="shared" ref="P50:P63" si="517">IFERROR(N50/N$49,"")</f>
        <v>1</v>
      </c>
      <c r="Q50" s="1128">
        <f t="shared" ref="Q50:Q121" si="518">N50-H50</f>
        <v>340000</v>
      </c>
      <c r="R50" s="1117" t="str">
        <f t="shared" si="8"/>
        <v/>
      </c>
      <c r="S50" s="1128">
        <f t="shared" ref="S50:S121" si="519">N50-K50</f>
        <v>220000</v>
      </c>
      <c r="T50" s="1117">
        <f t="shared" si="10"/>
        <v>1.833333333</v>
      </c>
      <c r="U50" s="1120">
        <f>SUMIF($B51:$B$63,$B50,U51:U$63)</f>
        <v>0</v>
      </c>
      <c r="V50" s="1117" t="str">
        <f t="shared" ref="V50:V63" si="520">IFERROR(U50/SUMIF($C$20:$C$33,$C50,U$20:U$33),"")</f>
        <v/>
      </c>
      <c r="W50" s="1117" t="str">
        <f t="shared" ref="W50:W63" si="521">IFERROR(U50/U$49,"")</f>
        <v/>
      </c>
      <c r="X50" s="1120">
        <f>SUMIF($B51:$B$63,$B50,X51:X$63)</f>
        <v>0</v>
      </c>
      <c r="Y50" s="1117" t="str">
        <f t="shared" ref="Y50:Y63" si="522">IFERROR(X50/SUMIF($C$20:$C$33,$C50,X$20:X$33),"")</f>
        <v/>
      </c>
      <c r="Z50" s="1117" t="str">
        <f t="shared" ref="Z50:Z63" si="523">IFERROR(X50/X$49,"")</f>
        <v/>
      </c>
      <c r="AA50" s="1120">
        <f>SUMIF($B51:$B$63,$B50,AA51:AA$63)</f>
        <v>180000</v>
      </c>
      <c r="AB50" s="1117" t="str">
        <f t="shared" ref="AB50:AB63" si="524">IFERROR(AA50/SUMIF($C$20:$C$33,$C50,AA$20:AA$33),"")</f>
        <v/>
      </c>
      <c r="AC50" s="1117">
        <f t="shared" ref="AC50:AC63" si="525">IFERROR(AA50/AA$49,"")</f>
        <v>1</v>
      </c>
      <c r="AD50" s="1128">
        <f t="shared" ref="AD50:AD121" si="526">AA50-U50</f>
        <v>180000</v>
      </c>
      <c r="AE50" s="1117" t="str">
        <f t="shared" si="15"/>
        <v/>
      </c>
      <c r="AF50" s="1128">
        <f t="shared" ref="AF50:AF121" si="527">AA50-X50</f>
        <v>180000</v>
      </c>
      <c r="AG50" s="1117" t="str">
        <f t="shared" si="17"/>
        <v/>
      </c>
      <c r="AH50" s="1120">
        <f>SUMIF($B51:$B$63,$B50,AH51:AH$63)</f>
        <v>0</v>
      </c>
      <c r="AI50" s="1117" t="str">
        <f t="shared" ref="AI50:AI63" si="528">IFERROR(AH50/SUMIF($C$20:$C$33,$C50,AH$20:AH$33),"")</f>
        <v/>
      </c>
      <c r="AJ50" s="1117" t="str">
        <f t="shared" ref="AJ50:AJ63" si="529">IFERROR(AH50/AH$49,"")</f>
        <v/>
      </c>
      <c r="AK50" s="1120">
        <f>SUMIF($B51:$B$63,$B50,AK51:AK$63)</f>
        <v>3600000</v>
      </c>
      <c r="AL50" s="1117" t="str">
        <f t="shared" ref="AL50:AL63" si="530">IFERROR(AK50/SUMIF($C$20:$C$33,$C50,AK$20:AK$33),"")</f>
        <v/>
      </c>
      <c r="AM50" s="1117">
        <f t="shared" ref="AM50:AM63" si="531">IFERROR(AK50/AK$49,"")</f>
        <v>1</v>
      </c>
      <c r="AN50" s="1120">
        <f>SUMIF($B51:$B$63,$B50,AN51:AN$63)</f>
        <v>668000</v>
      </c>
      <c r="AO50" s="1117" t="str">
        <f t="shared" ref="AO50:AO63" si="532">IFERROR(AN50/SUMIF($C$20:$C$33,$C50,AN$20:AN$33),"")</f>
        <v/>
      </c>
      <c r="AP50" s="1117">
        <f t="shared" ref="AP50:AP63" si="533">IFERROR(AN50/AN$49,"")</f>
        <v>1</v>
      </c>
      <c r="AQ50" s="1128">
        <f t="shared" ref="AQ50:AQ121" si="534">AN50-AH50</f>
        <v>668000</v>
      </c>
      <c r="AR50" s="1117" t="str">
        <f t="shared" si="22"/>
        <v/>
      </c>
      <c r="AS50" s="1128">
        <f t="shared" ref="AS50:AS121" si="535">AN50-AK50</f>
        <v>-2932000</v>
      </c>
      <c r="AT50" s="1117">
        <f t="shared" si="24"/>
        <v>-0.8144444444</v>
      </c>
      <c r="AU50" s="1120">
        <f t="shared" ref="AU50:AU74" si="536">SUMIF(H$3:AT$3,AU$3,H50:AT50)</f>
        <v>0</v>
      </c>
      <c r="AV50" s="1117" t="str">
        <f t="shared" ref="AV50:AV63" si="537">IFERROR(AU50/SUMIF($C$20:$C$33,$C50,AU$20:AU$33),"")</f>
        <v/>
      </c>
      <c r="AW50" s="1117" t="str">
        <f t="shared" ref="AW50:AW63" si="538">IFERROR(AU50/AU$49,"")</f>
        <v/>
      </c>
      <c r="AX50" s="1119">
        <f t="shared" ref="AX50:AX74" si="539">SUMIF(H$3:AT$3,AX$3,H50:AT50)</f>
        <v>3720000</v>
      </c>
      <c r="AY50" s="1117" t="str">
        <f t="shared" ref="AY50:AY63" si="540">IFERROR(AX50/SUMIF($C$20:$C$33,$C50,AX$20:AX$33),"")</f>
        <v/>
      </c>
      <c r="AZ50" s="1117">
        <f t="shared" ref="AZ50:AZ63" si="541">IFERROR(AX50/AX$49,"")</f>
        <v>1</v>
      </c>
      <c r="BA50" s="1119">
        <f t="shared" ref="BA50:BA74" si="542">SUMIF(H$3:AT$3,"AC",H50:AT50)+SUMIF(H$3:AT$3,"TF",H50:AT50)</f>
        <v>1188000</v>
      </c>
      <c r="BB50" s="1117" t="str">
        <f t="shared" ref="BB50:BB63" si="543">IFERROR(BA50/SUMIF($C$20:$C$33,$C50,BA$20:BA$33),"")</f>
        <v/>
      </c>
      <c r="BC50" s="1117">
        <f t="shared" ref="BC50:BC63" si="544">IFERROR(BA50/BA$49,"")</f>
        <v>1</v>
      </c>
      <c r="BD50" s="1128">
        <f t="shared" ref="BD50:BD121" si="545">BA50-AU50</f>
        <v>1188000</v>
      </c>
      <c r="BE50" s="1117" t="str">
        <f t="shared" si="32"/>
        <v/>
      </c>
      <c r="BF50" s="1128">
        <f t="shared" ref="BF50:BF121" si="546">BA50-AX50</f>
        <v>-2532000</v>
      </c>
      <c r="BG50" s="1117">
        <f t="shared" si="34"/>
        <v>-0.6806451613</v>
      </c>
      <c r="BH50" s="1120">
        <f>SUMIF($B51:$B$63,$B50,BH51:BH$63)</f>
        <v>1600000</v>
      </c>
      <c r="BI50" s="1117" t="str">
        <f t="shared" ref="BI50:BI63" si="547">IFERROR(BH50/SUMIF($C$20:$C$33,$C50,BH$20:BH$33),"")</f>
        <v/>
      </c>
      <c r="BJ50" s="1117">
        <f t="shared" ref="BJ50:BJ63" si="548">IFERROR(BH50/BH$49,"")</f>
        <v>0.4</v>
      </c>
      <c r="BK50" s="1120">
        <f>SUMIF($B51:$B$63,$B50,BK51:BK$63)</f>
        <v>0</v>
      </c>
      <c r="BL50" s="1117" t="str">
        <f t="shared" ref="BL50:BL63" si="549">IFERROR(BK50/SUMIF($C$20:$C$33,$C50,BK$20:BK$33),"")</f>
        <v/>
      </c>
      <c r="BM50" s="1117" t="str">
        <f t="shared" ref="BM50:BM63" si="550">IFERROR(BK50/BK$49,"")</f>
        <v/>
      </c>
      <c r="BN50" s="1120">
        <f>SUMIF($B51:$B$63,$B50,BN51:BN$63)</f>
        <v>677000</v>
      </c>
      <c r="BO50" s="1117" t="str">
        <f t="shared" ref="BO50:BO63" si="551">IFERROR(BN50/SUMIF($C$20:$C$33,$C50,BN$20:BN$33),"")</f>
        <v/>
      </c>
      <c r="BP50" s="1117">
        <f t="shared" ref="BP50:BP63" si="552">IFERROR(BN50/BN$49,"")</f>
        <v>0.2602805032</v>
      </c>
      <c r="BQ50" s="1128">
        <f t="shared" ref="BQ50:BQ121" si="553">BN50-BH50</f>
        <v>-923000</v>
      </c>
      <c r="BR50" s="1117">
        <f t="shared" si="39"/>
        <v>-0.576875</v>
      </c>
      <c r="BS50" s="1128">
        <f t="shared" ref="BS50:BS121" si="554">BN50-BK50</f>
        <v>677000</v>
      </c>
      <c r="BT50" s="1117" t="str">
        <f t="shared" si="41"/>
        <v/>
      </c>
      <c r="BU50" s="1120">
        <f>SUMIF($B51:$B$63,$B50,BU51:BU$63)</f>
        <v>1600000</v>
      </c>
      <c r="BV50" s="1117" t="str">
        <f t="shared" ref="BV50:BV63" si="555">IFERROR(BU50/SUMIF($C$20:$C$33,$C50,BU$20:BU$33),"")</f>
        <v/>
      </c>
      <c r="BW50" s="1117">
        <f t="shared" ref="BW50:BW63" si="556">IFERROR(BU50/BU$49,"")</f>
        <v>0.4</v>
      </c>
      <c r="BX50" s="1120">
        <f>SUMIF($B51:$B$63,$B50,BX51:BX$63)</f>
        <v>0</v>
      </c>
      <c r="BY50" s="1117" t="str">
        <f t="shared" ref="BY50:BY63" si="557">IFERROR(BX50/SUMIF($C$20:$C$33,$C50,BX$20:BX$33),"")</f>
        <v/>
      </c>
      <c r="BZ50" s="1117">
        <f t="shared" ref="BZ50:BZ63" si="558">IFERROR(BX50/BX$49,"")</f>
        <v>0</v>
      </c>
      <c r="CA50" s="1120">
        <f>SUMIF($B51:$B$63,$B50,CA51:CA$63)</f>
        <v>0</v>
      </c>
      <c r="CB50" s="1117" t="str">
        <f t="shared" ref="CB50:CB63" si="559">IFERROR(CA50/SUMIF($C$20:$C$33,$C50,CA$20:CA$33),"")</f>
        <v/>
      </c>
      <c r="CC50" s="1117">
        <f t="shared" ref="CC50:CC63" si="560">IFERROR(CA50/CA$49,"")</f>
        <v>0</v>
      </c>
      <c r="CD50" s="1128">
        <f t="shared" ref="CD50:CD121" si="561">CA50-BU50</f>
        <v>-1600000</v>
      </c>
      <c r="CE50" s="1117">
        <f t="shared" si="46"/>
        <v>-1</v>
      </c>
      <c r="CF50" s="1128">
        <f t="shared" ref="CF50:CF121" si="562">CA50-BX50</f>
        <v>0</v>
      </c>
      <c r="CG50" s="1117" t="str">
        <f t="shared" si="48"/>
        <v/>
      </c>
      <c r="CH50" s="1120">
        <f>SUMIF($B51:$B$63,$B50,CH51:CH$63)</f>
        <v>1600000</v>
      </c>
      <c r="CI50" s="1117" t="str">
        <f t="shared" ref="CI50:CI63" si="563">IFERROR(CH50/SUMIF($C$20:$C$33,$C50,CH$20:CH$33),"")</f>
        <v/>
      </c>
      <c r="CJ50" s="1117">
        <f t="shared" ref="CJ50:CJ63" si="564">IFERROR(CH50/CH$49,"")</f>
        <v>0.4</v>
      </c>
      <c r="CK50" s="1120">
        <f>SUMIF($B51:$B$63,$B50,CK51:CK$63)</f>
        <v>0</v>
      </c>
      <c r="CL50" s="1117" t="str">
        <f t="shared" ref="CL50:CL63" si="565">IFERROR(CK50/SUMIF($C$20:$C$33,$C50,CK$20:CK$33),"")</f>
        <v/>
      </c>
      <c r="CM50" s="1117" t="str">
        <f t="shared" ref="CM50:CM63" si="566">IFERROR(CK50/CK$49,"")</f>
        <v/>
      </c>
      <c r="CN50" s="1120">
        <f>SUMIF($B51:$B$63,$B50,CN51:CN$63)</f>
        <v>0</v>
      </c>
      <c r="CO50" s="1117" t="str">
        <f t="shared" ref="CO50:CO63" si="567">IFERROR(CN50/SUMIF($C$20:$C$33,$C50,CN$20:CN$33),"")</f>
        <v/>
      </c>
      <c r="CP50" s="1117" t="str">
        <f t="shared" ref="CP50:CP63" si="568">IFERROR(CN50/CN$49,"")</f>
        <v/>
      </c>
      <c r="CQ50" s="1128">
        <f t="shared" ref="CQ50:CQ121" si="569">CN50-CH50</f>
        <v>-1600000</v>
      </c>
      <c r="CR50" s="1117">
        <f t="shared" si="53"/>
        <v>-1</v>
      </c>
      <c r="CS50" s="1128">
        <f t="shared" ref="CS50:CS121" si="570">CN50-CK50</f>
        <v>0</v>
      </c>
      <c r="CT50" s="1117" t="str">
        <f t="shared" si="55"/>
        <v/>
      </c>
      <c r="CU50" s="1120">
        <f t="shared" ref="CU50:CU74" si="571">SUMIF(BH$3:CT$3,CU$3,BH50:CT50)</f>
        <v>4800000</v>
      </c>
      <c r="CV50" s="1117" t="str">
        <f t="shared" ref="CV50:CV63" si="572">IFERROR(CU50/SUMIF($C$20:$C$33,$C50,CU$20:CU$33),"")</f>
        <v/>
      </c>
      <c r="CW50" s="1117">
        <f t="shared" ref="CW50:CW63" si="573">IFERROR(CU50/CU$49,"")</f>
        <v>0.4</v>
      </c>
      <c r="CX50" s="1129">
        <f t="shared" ref="CX50:CX63" si="574">SUMIF($C$20:$C$33,$C50,CX$20:CX$33)-SUMIF($C$35:$C$48,$C50,CX$35:CX$48)</f>
        <v>0</v>
      </c>
      <c r="CY50" s="1117" t="str">
        <f t="shared" ref="CY50:CY63" si="575">IFERROR(CX50/SUMIF($C$20:$C$33,$C50,CX$20:CX$33),"")</f>
        <v/>
      </c>
      <c r="CZ50" s="1117" t="str">
        <f t="shared" ref="CZ50:CZ63" si="576">IFERROR(CX50/CX$49,"")</f>
        <v/>
      </c>
      <c r="DA50" s="1129">
        <f t="shared" ref="DA50:DA63" si="577">SUMIF($C$20:$C$33,$C50,DA$20:DA$33)-SUMIF($C$35:$C$48,$C50,DA$35:DA$48)</f>
        <v>0</v>
      </c>
      <c r="DB50" s="1117" t="str">
        <f t="shared" ref="DB50:DB63" si="578">IFERROR(DA50/SUMIF($C$20:$C$33,$C50,DA$20:DA$33),"")</f>
        <v/>
      </c>
      <c r="DC50" s="1117" t="str">
        <f t="shared" ref="DC50:DC63" si="579">IFERROR(DA50/DA$49,"")</f>
        <v/>
      </c>
      <c r="DD50" s="1128">
        <f t="shared" ref="DD50:DD121" si="580">DA50-CU50</f>
        <v>-4800000</v>
      </c>
      <c r="DE50" s="1117">
        <f t="shared" si="63"/>
        <v>-1</v>
      </c>
      <c r="DF50" s="1128">
        <f t="shared" ref="DF50:DF121" si="581">DA50-CX50</f>
        <v>0</v>
      </c>
      <c r="DG50" s="1117" t="str">
        <f t="shared" si="65"/>
        <v/>
      </c>
      <c r="DH50" s="1120">
        <f t="shared" ref="DH50:DH74" si="582">AU50+CU50</f>
        <v>4800000</v>
      </c>
      <c r="DI50" s="1117" t="str">
        <f t="shared" ref="DI50:DI63" si="583">IFERROR(DH50/SUMIF($C$20:$C$33,$C50,DH$20:DH$33),"")</f>
        <v/>
      </c>
      <c r="DJ50" s="1117">
        <f t="shared" ref="DJ50:DJ63" si="584">IFERROR(DH50/DH$49,"")</f>
        <v>0.4</v>
      </c>
      <c r="DK50" s="1119">
        <f t="shared" ref="DK50:DK118" si="585">AX50+CX50</f>
        <v>3720000</v>
      </c>
      <c r="DL50" s="1117" t="str">
        <f t="shared" ref="DL50:DL63" si="586">IFERROR(DK50/SUMIF($C$20:$C$33,$C50,DK$20:DK$33),"")</f>
        <v/>
      </c>
      <c r="DM50" s="1117">
        <f t="shared" ref="DM50:DM63" si="587">IFERROR(DK50/DK$49,"")</f>
        <v>1</v>
      </c>
      <c r="DN50" s="1119">
        <f t="shared" ref="DN50:DN118" si="588">BA50+DA50</f>
        <v>1188000</v>
      </c>
      <c r="DO50" s="1117" t="str">
        <f t="shared" ref="DO50:DO63" si="589">IFERROR(DN50/SUMIF($C$20:$C$33,$C50,DN$20:DN$33),"")</f>
        <v/>
      </c>
      <c r="DP50" s="1117">
        <f t="shared" ref="DP50:DP63" si="590">IFERROR(DN50/DN$49,"")</f>
        <v>1</v>
      </c>
      <c r="DQ50" s="1128">
        <f t="shared" ref="DQ50:DQ121" si="591">DN50-DH50</f>
        <v>-3612000</v>
      </c>
      <c r="DR50" s="1117">
        <f t="shared" si="73"/>
        <v>-0.7525</v>
      </c>
      <c r="DS50" s="1128">
        <f t="shared" ref="DS50:DS121" si="592">DN50-DK50</f>
        <v>-2532000</v>
      </c>
      <c r="DT50" s="1117">
        <f t="shared" si="75"/>
        <v>-0.6806451613</v>
      </c>
      <c r="DU50" s="1120">
        <f>SUMIF($B51:$B$63,$B50,DU51:DU$63)</f>
        <v>1600000</v>
      </c>
      <c r="DV50" s="1117" t="str">
        <f t="shared" ref="DV50:DV63" si="593">IFERROR(DU50/SUMIF($C$20:$C$33,$C50,DU$20:DU$33),"")</f>
        <v/>
      </c>
      <c r="DW50" s="1117">
        <f t="shared" ref="DW50:DW63" si="594">IFERROR(DU50/DU$49,"")</f>
        <v>0.4</v>
      </c>
      <c r="DX50" s="1120">
        <f>SUMIF($B51:$B$63,$B50,DX51:DX$63)</f>
        <v>1239999.96</v>
      </c>
      <c r="DY50" s="1117" t="str">
        <f t="shared" ref="DY50:DY63" si="595">IFERROR(DX50/SUMIF($C$20:$C$33,$C50,DX$20:DX$33),"")</f>
        <v/>
      </c>
      <c r="DZ50" s="1117">
        <f t="shared" ref="DZ50:DZ63" si="596">IFERROR(DX50/DX$49,"")</f>
        <v>0.205298008</v>
      </c>
      <c r="EA50" s="1120">
        <f>SUMIF($B51:$B$63,$B50,EA51:EA$63)</f>
        <v>0</v>
      </c>
      <c r="EB50" s="1117" t="str">
        <f t="shared" ref="EB50:EB63" si="597">IFERROR(EA50/SUMIF($C$20:$C$33,$C50,EA$20:EA$33),"")</f>
        <v/>
      </c>
      <c r="EC50" s="1117" t="str">
        <f t="shared" ref="EC50:EC63" si="598">IFERROR(EA50/EA$49,"")</f>
        <v/>
      </c>
      <c r="ED50" s="1128">
        <f t="shared" ref="ED50:ED121" si="599">EA50-DU50</f>
        <v>-1600000</v>
      </c>
      <c r="EE50" s="1117">
        <f t="shared" si="80"/>
        <v>-1</v>
      </c>
      <c r="EF50" s="1128">
        <f t="shared" ref="EF50:EF121" si="600">EA50-DX50</f>
        <v>-1239999.96</v>
      </c>
      <c r="EG50" s="1117">
        <f t="shared" si="82"/>
        <v>-1</v>
      </c>
      <c r="EH50" s="1120">
        <f>SUMIF($B51:$B$63,$B50,EH51:EH$63)</f>
        <v>1600000</v>
      </c>
      <c r="EI50" s="1117" t="str">
        <f t="shared" ref="EI50:EI63" si="601">IFERROR(EH50/SUMIF($C$20:$C$33,$C50,EH$20:EH$33),"")</f>
        <v/>
      </c>
      <c r="EJ50" s="1117">
        <f t="shared" ref="EJ50:EJ63" si="602">IFERROR(EH50/EH$49,"")</f>
        <v>0.4</v>
      </c>
      <c r="EK50" s="1120">
        <f>SUMIF($B51:$B$63,$B50,EK51:EK$63)</f>
        <v>1239999.96</v>
      </c>
      <c r="EL50" s="1117" t="str">
        <f t="shared" ref="EL50:EL63" si="603">IFERROR(EK50/SUMIF($C$20:$C$33,$C50,EK$20:EK$33),"")</f>
        <v/>
      </c>
      <c r="EM50" s="1117">
        <f t="shared" ref="EM50:EM63" si="604">IFERROR(EK50/EK$49,"")</f>
        <v>0.205298008</v>
      </c>
      <c r="EN50" s="1120">
        <f>SUMIF($B51:$B$63,$B50,EN51:EN$63)</f>
        <v>0</v>
      </c>
      <c r="EO50" s="1117" t="str">
        <f t="shared" ref="EO50:EO63" si="605">IFERROR(EN50/SUMIF($C$20:$C$33,$C50,EN$20:EN$33),"")</f>
        <v/>
      </c>
      <c r="EP50" s="1117" t="str">
        <f t="shared" ref="EP50:EP63" si="606">IFERROR(EN50/EN$49,"")</f>
        <v/>
      </c>
      <c r="EQ50" s="1128">
        <f t="shared" ref="EQ50:EQ121" si="607">EN50-EH50</f>
        <v>-1600000</v>
      </c>
      <c r="ER50" s="1117">
        <f t="shared" si="87"/>
        <v>-1</v>
      </c>
      <c r="ES50" s="1128">
        <f t="shared" ref="ES50:ES121" si="608">EN50-EK50</f>
        <v>-1239999.96</v>
      </c>
      <c r="ET50" s="1117">
        <f t="shared" si="89"/>
        <v>-1</v>
      </c>
      <c r="EU50" s="1120">
        <f>SUMIF($B51:$B$63,$B50,EU51:EU$63)</f>
        <v>1600000</v>
      </c>
      <c r="EV50" s="1117" t="str">
        <f t="shared" ref="EV50:EV63" si="609">IFERROR(EU50/SUMIF($C$20:$C$33,$C50,EU$20:EU$33),"")</f>
        <v/>
      </c>
      <c r="EW50" s="1117">
        <f t="shared" ref="EW50:EW63" si="610">IFERROR(EU50/EU$49,"")</f>
        <v>0.4</v>
      </c>
      <c r="EX50" s="1120">
        <f>SUMIF($B51:$B$63,$B50,EX51:EX$63)</f>
        <v>1239999.96</v>
      </c>
      <c r="EY50" s="1117" t="str">
        <f t="shared" ref="EY50:EY63" si="611">IFERROR(EX50/SUMIF($C$20:$C$33,$C50,EX$20:EX$33),"")</f>
        <v/>
      </c>
      <c r="EZ50" s="1117">
        <f t="shared" ref="EZ50:EZ63" si="612">IFERROR(EX50/EX$49,"")</f>
        <v>0.205298008</v>
      </c>
      <c r="FA50" s="1129">
        <f t="shared" ref="FA50:FA63" si="613">SUMIF($C$20:$C$33,$C50,FA$20:FA$33)-SUMIF($C$35:$C$48,$C50,FA$35:FA$48)</f>
        <v>0</v>
      </c>
      <c r="FB50" s="1117" t="str">
        <f t="shared" ref="FB50:FB63" si="614">IFERROR(FA50/SUMIF($C$20:$C$33,$C50,FA$20:FA$33),"")</f>
        <v/>
      </c>
      <c r="FC50" s="1117" t="str">
        <f t="shared" ref="FC50:FC63" si="615">IFERROR(FA50/FA$49,"")</f>
        <v/>
      </c>
      <c r="FD50" s="1128">
        <f t="shared" ref="FD50:FD121" si="616">FA50-EU50</f>
        <v>-1600000</v>
      </c>
      <c r="FE50" s="1117">
        <f t="shared" si="94"/>
        <v>-1</v>
      </c>
      <c r="FF50" s="1128">
        <f t="shared" ref="FF50:FF121" si="617">FA50-EX50</f>
        <v>-1239999.96</v>
      </c>
      <c r="FG50" s="1117">
        <f t="shared" si="96"/>
        <v>-1</v>
      </c>
      <c r="FH50" s="1120">
        <f t="shared" ref="FH50:FH74" si="618">SUMIF(DU$3:FG$3,FH$3,DU50:FG50)</f>
        <v>4800000</v>
      </c>
      <c r="FI50" s="1117" t="str">
        <f t="shared" ref="FI50:FI63" si="619">IFERROR(FH50/SUMIF($C$20:$C$33,$C50,FH$20:FH$33),"")</f>
        <v/>
      </c>
      <c r="FJ50" s="1117">
        <f t="shared" ref="FJ50:FJ63" si="620">IFERROR(FH50/FH$49,"")</f>
        <v>0.4</v>
      </c>
      <c r="FK50" s="1119">
        <f t="shared" ref="FK50:FK121" si="621">SUMIF(DU$3:FG$3,FK$3,DU50:FG50)</f>
        <v>3719999.88</v>
      </c>
      <c r="FL50" s="1117" t="str">
        <f t="shared" ref="FL50:FL63" si="622">IFERROR(FK50/SUMIF($C$20:$C$33,$C50,FK$20:FK$33),"")</f>
        <v/>
      </c>
      <c r="FM50" s="1117">
        <f t="shared" ref="FM50:FM63" si="623">IFERROR(FK50/FK$49,"")</f>
        <v>0.205298008</v>
      </c>
      <c r="FN50" s="1119">
        <f t="shared" ref="FN50:FN121" si="624">SUMIF(DU$3:FG$3,"AC",DU50:FG50)+SUMIF(DU$3:FG$3,"TF",DU50:FG50)</f>
        <v>0</v>
      </c>
      <c r="FO50" s="1117" t="str">
        <f t="shared" ref="FO50:FO63" si="625">IFERROR(FN50/SUMIF($C$20:$C$33,$C50,FN$20:FN$33),"")</f>
        <v/>
      </c>
      <c r="FP50" s="1117" t="str">
        <f t="shared" ref="FP50:FP63" si="626">IFERROR(FN50/FN$49,"")</f>
        <v/>
      </c>
      <c r="FQ50" s="1128">
        <f t="shared" ref="FQ50:FQ121" si="627">FN50-FH50</f>
        <v>-4800000</v>
      </c>
      <c r="FR50" s="1117">
        <f t="shared" si="104"/>
        <v>-1</v>
      </c>
      <c r="FS50" s="1128">
        <f t="shared" ref="FS50:FS121" si="628">FN50-FK50</f>
        <v>-3719999.88</v>
      </c>
      <c r="FT50" s="1117">
        <f t="shared" si="106"/>
        <v>-1</v>
      </c>
      <c r="FU50" s="1120">
        <f>SUMIF($B51:$B$63,$B50,FU51:FU$63)</f>
        <v>1600000</v>
      </c>
      <c r="FV50" s="1117" t="str">
        <f t="shared" ref="FV50:FV63" si="629">IFERROR(FU50/SUMIF($C$20:$C$33,$C50,FU$20:FU$33),"")</f>
        <v/>
      </c>
      <c r="FW50" s="1117">
        <f t="shared" ref="FW50:FW63" si="630">IFERROR(FU50/FU$49,"")</f>
        <v>0.4</v>
      </c>
      <c r="FX50" s="1120">
        <f>SUMIF($B51:$B$63,$B50,FX51:FX$63)</f>
        <v>1239999.96</v>
      </c>
      <c r="FY50" s="1117" t="str">
        <f t="shared" ref="FY50:FY63" si="631">IFERROR(FX50/SUMIF($C$20:$C$33,$C50,FX$20:FX$33),"")</f>
        <v/>
      </c>
      <c r="FZ50" s="1117">
        <f t="shared" ref="FZ50:FZ63" si="632">IFERROR(FX50/FX$49,"")</f>
        <v>0.205298008</v>
      </c>
      <c r="GA50" s="1120">
        <f>SUMIF($B51:$B$63,$B50,GA51:GA$63)</f>
        <v>0</v>
      </c>
      <c r="GB50" s="1117" t="str">
        <f t="shared" ref="GB50:GB63" si="633">IFERROR(GA50/SUMIF($C$20:$C$33,$C50,GA$20:GA$33),"")</f>
        <v/>
      </c>
      <c r="GC50" s="1117" t="str">
        <f t="shared" ref="GC50:GC63" si="634">IFERROR(GA50/GA$49,"")</f>
        <v/>
      </c>
      <c r="GD50" s="1128">
        <f t="shared" ref="GD50:GD121" si="635">GA50-FU50</f>
        <v>-1600000</v>
      </c>
      <c r="GE50" s="1117">
        <f t="shared" si="111"/>
        <v>-1</v>
      </c>
      <c r="GF50" s="1128">
        <f t="shared" ref="GF50:GF121" si="636">GA50-FX50</f>
        <v>-1239999.96</v>
      </c>
      <c r="GG50" s="1117">
        <f t="shared" si="113"/>
        <v>-1</v>
      </c>
      <c r="GH50" s="1120">
        <f>SUMIF($B51:$B$63,$B50,GH51:GH$63)</f>
        <v>1600000</v>
      </c>
      <c r="GI50" s="1117" t="str">
        <f t="shared" ref="GI50:GI63" si="637">IFERROR(GH50/SUMIF($C$20:$C$33,$C50,GH$20:GH$33),"")</f>
        <v/>
      </c>
      <c r="GJ50" s="1117">
        <f t="shared" ref="GJ50:GJ63" si="638">IFERROR(GH50/GH$49,"")</f>
        <v>0.4</v>
      </c>
      <c r="GK50" s="1120">
        <f>SUMIF($B51:$B$63,$B50,GK51:GK$63)</f>
        <v>1239999.96</v>
      </c>
      <c r="GL50" s="1117" t="str">
        <f t="shared" ref="GL50:GL63" si="639">IFERROR(GK50/SUMIF($C$20:$C$33,$C50,GK$20:GK$33),"")</f>
        <v/>
      </c>
      <c r="GM50" s="1117">
        <f t="shared" ref="GM50:GM63" si="640">IFERROR(GK50/GK$49,"")</f>
        <v>0.205298008</v>
      </c>
      <c r="GN50" s="1120">
        <f>SUMIF($B51:$B$63,$B50,GN51:GN$63)</f>
        <v>0</v>
      </c>
      <c r="GO50" s="1117" t="str">
        <f t="shared" ref="GO50:GO63" si="641">IFERROR(GN50/SUMIF($C$20:$C$33,$C50,GN$20:GN$33),"")</f>
        <v/>
      </c>
      <c r="GP50" s="1117" t="str">
        <f t="shared" ref="GP50:GP63" si="642">IFERROR(GN50/GN$49,"")</f>
        <v/>
      </c>
      <c r="GQ50" s="1128">
        <f t="shared" ref="GQ50:GQ121" si="643">GN50-GH50</f>
        <v>-1600000</v>
      </c>
      <c r="GR50" s="1117">
        <f t="shared" si="118"/>
        <v>-1</v>
      </c>
      <c r="GS50" s="1128">
        <f t="shared" ref="GS50:GS121" si="644">GN50-GK50</f>
        <v>-1239999.96</v>
      </c>
      <c r="GT50" s="1117">
        <f t="shared" si="120"/>
        <v>-1</v>
      </c>
      <c r="GU50" s="1120">
        <f>SUMIF($B51:$B$63,$B50,GU51:GU$63)</f>
        <v>1600000</v>
      </c>
      <c r="GV50" s="1117" t="str">
        <f t="shared" ref="GV50:GV63" si="645">IFERROR(GU50/SUMIF($C$20:$C$33,$C50,GU$20:GU$33),"")</f>
        <v/>
      </c>
      <c r="GW50" s="1117">
        <f t="shared" ref="GW50:GW63" si="646">IFERROR(GU50/GU$49,"")</f>
        <v>0.4</v>
      </c>
      <c r="GX50" s="1120">
        <f>SUMIF($B51:$B$63,$B50,GX51:GX$63)</f>
        <v>1239999.96</v>
      </c>
      <c r="GY50" s="1117" t="str">
        <f t="shared" ref="GY50:GY63" si="647">IFERROR(GX50/SUMIF($C$20:$C$33,$C50,GX$20:GX$33),"")</f>
        <v/>
      </c>
      <c r="GZ50" s="1117">
        <f t="shared" ref="GZ50:GZ63" si="648">IFERROR(GX50/GX$49,"")</f>
        <v>0.205298008</v>
      </c>
      <c r="HA50" s="1120">
        <f>SUMIF($B51:$B$63,$B50,HA51:HA$63)</f>
        <v>0</v>
      </c>
      <c r="HB50" s="1117" t="str">
        <f t="shared" ref="HB50:HB63" si="649">IFERROR(HA50/SUMIF($C$20:$C$33,$C50,HA$20:HA$33),"")</f>
        <v/>
      </c>
      <c r="HC50" s="1117" t="str">
        <f t="shared" ref="HC50:HC63" si="650">IFERROR(HA50/HA$49,"")</f>
        <v/>
      </c>
      <c r="HD50" s="1128">
        <f t="shared" ref="HD50:HD121" si="651">HA50-GU50</f>
        <v>-1600000</v>
      </c>
      <c r="HE50" s="1117">
        <f t="shared" si="125"/>
        <v>-1</v>
      </c>
      <c r="HF50" s="1128">
        <f t="shared" ref="HF50:HF121" si="652">HA50-GX50</f>
        <v>-1239999.96</v>
      </c>
      <c r="HG50" s="1117">
        <f t="shared" si="127"/>
        <v>-1</v>
      </c>
      <c r="HH50" s="1120">
        <f t="shared" ref="HH50:HH74" si="653">SUMIF(FU$3:HG$3,HH$3,FU50:HG50)</f>
        <v>4800000</v>
      </c>
      <c r="HI50" s="1117" t="str">
        <f t="shared" ref="HI50:HI63" si="654">IFERROR(HH50/SUMIF($C$20:$C$33,$C50,HH$20:HH$33),"")</f>
        <v/>
      </c>
      <c r="HJ50" s="1117">
        <f t="shared" ref="HJ50:HJ63" si="655">IFERROR(HH50/HH$49,"")</f>
        <v>0.4</v>
      </c>
      <c r="HK50" s="1119">
        <f t="shared" ref="HK50:HK121" si="656">SUMIF(FU$3:HG$3,HK$3,FU50:HG50)</f>
        <v>3719999.88</v>
      </c>
      <c r="HL50" s="1117" t="str">
        <f t="shared" ref="HL50:HL63" si="657">IFERROR(HK50/SUMIF($C$20:$C$33,$C50,HK$20:HK$33),"")</f>
        <v/>
      </c>
      <c r="HM50" s="1117">
        <f t="shared" ref="HM50:HM63" si="658">IFERROR(HK50/HK$49,"")</f>
        <v>0.205298008</v>
      </c>
      <c r="HN50" s="1119">
        <f t="shared" ref="HN50:HN121" si="659">SUMIF(FU$3:HG$3,"AC",FU50:HG50)+SUMIF(FU$3:HG$3,"TF",FU50:HG50)</f>
        <v>0</v>
      </c>
      <c r="HO50" s="1117" t="str">
        <f t="shared" ref="HO50:HO63" si="660">IFERROR(HN50/SUMIF($C$20:$C$33,$C50,HN$20:HN$33),"")</f>
        <v/>
      </c>
      <c r="HP50" s="1117" t="str">
        <f t="shared" ref="HP50:HP63" si="661">IFERROR(HN50/HN$49,"")</f>
        <v/>
      </c>
      <c r="HQ50" s="1128">
        <f t="shared" ref="HQ50:HQ121" si="662">HN50-HH50</f>
        <v>-4800000</v>
      </c>
      <c r="HR50" s="1117">
        <f t="shared" si="135"/>
        <v>-1</v>
      </c>
      <c r="HS50" s="1128">
        <f t="shared" ref="HS50:HS121" si="663">HN50-HK50</f>
        <v>-3719999.88</v>
      </c>
      <c r="HT50" s="1117">
        <f t="shared" si="137"/>
        <v>-1</v>
      </c>
      <c r="HU50" s="1120">
        <f t="shared" ref="HU50:HU74" si="664">FH50+HH50</f>
        <v>9600000</v>
      </c>
      <c r="HV50" s="1117" t="str">
        <f t="shared" ref="HV50:HV63" si="665">IFERROR(HU50/SUMIF($C$20:$C$33,$C50,HU$20:HU$33),"")</f>
        <v/>
      </c>
      <c r="HW50" s="1117">
        <f t="shared" ref="HW50:HW63" si="666">IFERROR(HU50/HU$49,"")</f>
        <v>0.4</v>
      </c>
      <c r="HX50" s="1119">
        <f t="shared" ref="HX50:HX121" si="667">FK50+HK50</f>
        <v>7439999.76</v>
      </c>
      <c r="HY50" s="1117" t="str">
        <f t="shared" ref="HY50:HY63" si="668">IFERROR(HX50/SUMIF($C$20:$C$33,$C50,HX$20:HX$33),"")</f>
        <v/>
      </c>
      <c r="HZ50" s="1117">
        <f t="shared" ref="HZ50:HZ63" si="669">IFERROR(HX50/HX$49,"")</f>
        <v>0.205298008</v>
      </c>
      <c r="IA50" s="1119">
        <f t="shared" ref="IA50:IA121" si="670">FN50+HN50</f>
        <v>0</v>
      </c>
      <c r="IB50" s="1117" t="str">
        <f t="shared" ref="IB50:IB63" si="671">IFERROR(IA50/SUMIF($C$20:$C$33,$C50,IA$20:IA$33),"")</f>
        <v/>
      </c>
      <c r="IC50" s="1117" t="str">
        <f t="shared" ref="IC50:IC63" si="672">IFERROR(IA50/IA$49,"")</f>
        <v/>
      </c>
      <c r="ID50" s="1128">
        <f t="shared" ref="ID50:ID121" si="673">IA50-HU50</f>
        <v>-9600000</v>
      </c>
      <c r="IE50" s="1117">
        <f t="shared" si="145"/>
        <v>-1</v>
      </c>
      <c r="IF50" s="1128">
        <f t="shared" ref="IF50:IF121" si="674">IA50-HX50</f>
        <v>-7439999.76</v>
      </c>
      <c r="IG50" s="1117">
        <f t="shared" si="147"/>
        <v>-1</v>
      </c>
      <c r="IH50" s="1120">
        <f t="shared" ref="IH50:IH74" si="675">DH50+HU50</f>
        <v>14400000</v>
      </c>
      <c r="II50" s="1117" t="str">
        <f t="shared" ref="II50:II63" si="676">IFERROR(IH50/SUMIF($C$20:$C$33,$C50,IH$20:IH$33),"")</f>
        <v/>
      </c>
      <c r="IJ50" s="1117">
        <f t="shared" ref="IJ50:IJ63" si="677">IFERROR(IH50/IH$49,"")</f>
        <v>0.4</v>
      </c>
      <c r="IK50" s="1119">
        <f t="shared" ref="IK50:IK121" si="678">DK50+HX50</f>
        <v>11159999.76</v>
      </c>
      <c r="IL50" s="1117" t="str">
        <f t="shared" ref="IL50:IL63" si="679">IFERROR(IK50/SUMIF($C$20:$C$33,$C50,IK$20:IK$33),"")</f>
        <v/>
      </c>
      <c r="IM50" s="1117">
        <f t="shared" ref="IM50:IM63" si="680">IFERROR(IK50/IK$49,"")</f>
        <v>0.279279275</v>
      </c>
      <c r="IN50" s="1119">
        <f t="shared" ref="IN50:IN121" si="681">DN50+IA50</f>
        <v>1188000</v>
      </c>
      <c r="IO50" s="1117" t="str">
        <f t="shared" ref="IO50:IO63" si="682">IFERROR(IN50/SUMIF($C$20:$C$33,$C50,IN$20:IN$33),"")</f>
        <v/>
      </c>
      <c r="IP50" s="1117">
        <f t="shared" ref="IP50:IP63" si="683">IFERROR(IN50/IN$49,"")</f>
        <v>1</v>
      </c>
      <c r="IQ50" s="1128">
        <f t="shared" ref="IQ50:IQ121" si="684">IN50-IH50</f>
        <v>-13212000</v>
      </c>
      <c r="IR50" s="1117">
        <f t="shared" si="1"/>
        <v>-0.9175</v>
      </c>
      <c r="IS50" s="1128">
        <f t="shared" ref="IS50:IS121" si="685">IN50-IK50</f>
        <v>-9971999.76</v>
      </c>
      <c r="IT50" s="1117">
        <f t="shared" si="2"/>
        <v>-0.8935483848</v>
      </c>
    </row>
    <row r="51" outlineLevel="1">
      <c r="A51" s="1086">
        <f t="shared" si="511"/>
        <v>1</v>
      </c>
      <c r="B51" s="1087" t="s">
        <v>2066</v>
      </c>
      <c r="C51" s="1087" t="s">
        <v>175</v>
      </c>
      <c r="D51" s="1087" t="str">
        <f>IF(C51&gt;0,VLOOKUP(C51,DM_DUAN ,2,"") ,IF(B51&gt;0,VLOOKUP(B51,DM_CDT,2,""),""))</f>
        <v>Phước hội Hồ Tràm</v>
      </c>
      <c r="E51" s="1087"/>
      <c r="F51" s="1087"/>
      <c r="G51" s="1086">
        <v>2.0</v>
      </c>
      <c r="H51" s="1088">
        <f t="shared" ref="H51:H53" si="686">SUMIF($C$19:$C$33,$C51,H$19:H$33)-SUMIF($C$35:$C$48,$C51,H$35:H$48)</f>
        <v>0</v>
      </c>
      <c r="I51" s="1091" t="str">
        <f t="shared" si="512"/>
        <v/>
      </c>
      <c r="J51" s="1091" t="str">
        <f t="shared" si="513"/>
        <v/>
      </c>
      <c r="K51" s="1090">
        <f t="shared" ref="K51:K53" si="687">SUMIF($C$20:$C$33,$C51,K$20:K$33)-SUMIF($C$35:$C$48,$C51,K$35:K$48)</f>
        <v>120000</v>
      </c>
      <c r="L51" s="1091">
        <f t="shared" si="514"/>
        <v>1</v>
      </c>
      <c r="M51" s="1091">
        <f t="shared" si="515"/>
        <v>1</v>
      </c>
      <c r="N51" s="1090">
        <f t="shared" ref="N51:N53" si="688">SUMIF($C$20:$C$33,$C51,N$20:N$33)-SUMIF($C$35:$C$48,$C51,N$35:N$48)</f>
        <v>340000</v>
      </c>
      <c r="O51" s="1091">
        <f t="shared" si="516"/>
        <v>1</v>
      </c>
      <c r="P51" s="1091">
        <f t="shared" si="517"/>
        <v>1</v>
      </c>
      <c r="Q51" s="1130">
        <f t="shared" si="518"/>
        <v>340000</v>
      </c>
      <c r="R51" s="1091" t="str">
        <f t="shared" si="8"/>
        <v/>
      </c>
      <c r="S51" s="1130">
        <f t="shared" si="519"/>
        <v>220000</v>
      </c>
      <c r="T51" s="1091">
        <f t="shared" si="10"/>
        <v>1.833333333</v>
      </c>
      <c r="U51" s="1088">
        <f t="shared" ref="U51:U53" si="689">SUMIF($C$19:$C$33,$C51,U$19:U$33)-SUMIF($C$35:$C$48,$C51,U$35:U$48)</f>
        <v>0</v>
      </c>
      <c r="V51" s="1091" t="str">
        <f t="shared" si="520"/>
        <v/>
      </c>
      <c r="W51" s="1091" t="str">
        <f t="shared" si="521"/>
        <v/>
      </c>
      <c r="X51" s="1090">
        <f t="shared" ref="X51:X53" si="690">SUMIF($C$20:$C$33,$C51,X$20:X$33)-SUMIF($C$35:$C$48,$C51,X$35:X$48)</f>
        <v>0</v>
      </c>
      <c r="Y51" s="1091" t="str">
        <f t="shared" si="522"/>
        <v/>
      </c>
      <c r="Z51" s="1091" t="str">
        <f t="shared" si="523"/>
        <v/>
      </c>
      <c r="AA51" s="1090">
        <f t="shared" ref="AA51:AA53" si="691">SUMIF($C$20:$C$33,$C51,AA$20:AA$33)-SUMIF($C$35:$C$48,$C51,AA$35:AA$48)</f>
        <v>180000</v>
      </c>
      <c r="AB51" s="1091">
        <f t="shared" si="524"/>
        <v>1</v>
      </c>
      <c r="AC51" s="1091">
        <f t="shared" si="525"/>
        <v>1</v>
      </c>
      <c r="AD51" s="1130">
        <f t="shared" si="526"/>
        <v>180000</v>
      </c>
      <c r="AE51" s="1091" t="str">
        <f t="shared" si="15"/>
        <v/>
      </c>
      <c r="AF51" s="1130">
        <f t="shared" si="527"/>
        <v>180000</v>
      </c>
      <c r="AG51" s="1091" t="str">
        <f t="shared" si="17"/>
        <v/>
      </c>
      <c r="AH51" s="1088">
        <f t="shared" ref="AH51:AH53" si="692">SUMIF($C$19:$C$33,$C51,AH$19:AH$33)-SUMIF($C$35:$C$48,$C51,AH$35:AH$48)</f>
        <v>0</v>
      </c>
      <c r="AI51" s="1091" t="str">
        <f t="shared" si="528"/>
        <v/>
      </c>
      <c r="AJ51" s="1091" t="str">
        <f t="shared" si="529"/>
        <v/>
      </c>
      <c r="AK51" s="1090">
        <f t="shared" ref="AK51:AK53" si="693">SUMIF($C$20:$C$33,$C51,AK$20:AK$33)-SUMIF($C$35:$C$48,$C51,AK$35:AK$48)</f>
        <v>3600000</v>
      </c>
      <c r="AL51" s="1091">
        <f t="shared" si="530"/>
        <v>1</v>
      </c>
      <c r="AM51" s="1091">
        <f t="shared" si="531"/>
        <v>1</v>
      </c>
      <c r="AN51" s="1090">
        <f t="shared" ref="AN51:AN53" si="694">SUMIF($C$20:$C$33,$C51,AN$20:AN$33)-SUMIF($C$35:$C$48,$C51,AN$35:AN$48)</f>
        <v>150000</v>
      </c>
      <c r="AO51" s="1091">
        <f t="shared" si="532"/>
        <v>1</v>
      </c>
      <c r="AP51" s="1091">
        <f t="shared" si="533"/>
        <v>0.2245508982</v>
      </c>
      <c r="AQ51" s="1130">
        <f t="shared" si="534"/>
        <v>150000</v>
      </c>
      <c r="AR51" s="1091" t="str">
        <f t="shared" si="22"/>
        <v/>
      </c>
      <c r="AS51" s="1130">
        <f t="shared" si="535"/>
        <v>-3450000</v>
      </c>
      <c r="AT51" s="1091">
        <f t="shared" si="24"/>
        <v>-0.9583333333</v>
      </c>
      <c r="AU51" s="1088">
        <f t="shared" si="536"/>
        <v>0</v>
      </c>
      <c r="AV51" s="1091" t="str">
        <f t="shared" si="537"/>
        <v/>
      </c>
      <c r="AW51" s="1091" t="str">
        <f t="shared" si="538"/>
        <v/>
      </c>
      <c r="AX51" s="1090">
        <f t="shared" si="539"/>
        <v>3720000</v>
      </c>
      <c r="AY51" s="1091">
        <f t="shared" si="540"/>
        <v>1</v>
      </c>
      <c r="AZ51" s="1091">
        <f t="shared" si="541"/>
        <v>1</v>
      </c>
      <c r="BA51" s="1090">
        <f t="shared" si="542"/>
        <v>670000</v>
      </c>
      <c r="BB51" s="1091">
        <f t="shared" si="543"/>
        <v>1</v>
      </c>
      <c r="BC51" s="1091">
        <f t="shared" si="544"/>
        <v>0.563973064</v>
      </c>
      <c r="BD51" s="1130">
        <f t="shared" si="545"/>
        <v>670000</v>
      </c>
      <c r="BE51" s="1091" t="str">
        <f t="shared" si="32"/>
        <v/>
      </c>
      <c r="BF51" s="1130">
        <f t="shared" si="546"/>
        <v>-3050000</v>
      </c>
      <c r="BG51" s="1091">
        <f t="shared" si="34"/>
        <v>-0.8198924731</v>
      </c>
      <c r="BH51" s="1088">
        <f t="shared" ref="BH51:BH53" si="695">SUMIF($C$20:$C$33,$C51,BH$20:BH$33)-SUMIF($C$35:$C$48,$C51,BH$35:BH$48)</f>
        <v>1600000</v>
      </c>
      <c r="BI51" s="1091">
        <f t="shared" si="547"/>
        <v>1</v>
      </c>
      <c r="BJ51" s="1091">
        <f t="shared" si="548"/>
        <v>0.4</v>
      </c>
      <c r="BK51" s="1090">
        <f t="shared" ref="BK51:BK53" si="696">SUMIF($C$20:$C$33,$C51,BK$20:BK$33)-SUMIF($C$35:$C$48,$C51,BK$35:BK$48)</f>
        <v>0</v>
      </c>
      <c r="BL51" s="1091" t="str">
        <f t="shared" si="549"/>
        <v/>
      </c>
      <c r="BM51" s="1091" t="str">
        <f t="shared" si="550"/>
        <v/>
      </c>
      <c r="BN51" s="1090">
        <f t="shared" ref="BN51:BN53" si="697">SUMIF($C$20:$C$33,$C51,BN$20:BN$33)-SUMIF($C$35:$C$48,$C51,BN$35:BN$48)</f>
        <v>0</v>
      </c>
      <c r="BO51" s="1091" t="str">
        <f t="shared" si="551"/>
        <v/>
      </c>
      <c r="BP51" s="1091">
        <f t="shared" si="552"/>
        <v>0</v>
      </c>
      <c r="BQ51" s="1130">
        <f t="shared" si="553"/>
        <v>-1600000</v>
      </c>
      <c r="BR51" s="1091">
        <f t="shared" si="39"/>
        <v>-1</v>
      </c>
      <c r="BS51" s="1130">
        <f t="shared" si="554"/>
        <v>0</v>
      </c>
      <c r="BT51" s="1091" t="str">
        <f t="shared" si="41"/>
        <v/>
      </c>
      <c r="BU51" s="1088">
        <f t="shared" ref="BU51:BU53" si="698">SUMIF($C$19:$C$33,$C51,BU$19:BU$33)-SUMIF($C$35:$C$48,$C51,BU$35:BU$48)</f>
        <v>1600000</v>
      </c>
      <c r="BV51" s="1091">
        <f t="shared" si="555"/>
        <v>1</v>
      </c>
      <c r="BW51" s="1091">
        <f t="shared" si="556"/>
        <v>0.4</v>
      </c>
      <c r="BX51" s="1131">
        <f t="shared" ref="BX51:BX53" si="699">SUMIF($C$20:$C$33,$C51,BX$20:BX$33)-SUMIF($C$35:$C$48,$C51,BX$35:BX$48)</f>
        <v>0</v>
      </c>
      <c r="BY51" s="1091" t="str">
        <f t="shared" si="557"/>
        <v/>
      </c>
      <c r="BZ51" s="1091">
        <f t="shared" si="558"/>
        <v>0</v>
      </c>
      <c r="CA51" s="1131">
        <f t="shared" ref="CA51:CA53" si="700">SUMIF($C$20:$C$33,$C51,CA$20:CA$33)-SUMIF($C$35:$C$48,$C51,CA$35:CA$48)</f>
        <v>0</v>
      </c>
      <c r="CB51" s="1091" t="str">
        <f t="shared" si="559"/>
        <v/>
      </c>
      <c r="CC51" s="1091">
        <f t="shared" si="560"/>
        <v>0</v>
      </c>
      <c r="CD51" s="1130">
        <f t="shared" si="561"/>
        <v>-1600000</v>
      </c>
      <c r="CE51" s="1091">
        <f t="shared" si="46"/>
        <v>-1</v>
      </c>
      <c r="CF51" s="1130">
        <f t="shared" si="562"/>
        <v>0</v>
      </c>
      <c r="CG51" s="1091" t="str">
        <f t="shared" si="48"/>
        <v/>
      </c>
      <c r="CH51" s="1088">
        <f t="shared" ref="CH51:CH53" si="701">SUMIF($C$19:$C$33,$C51,CH$19:CH$33)-SUMIF($C$35:$C$48,$C51,CH$35:CH$48)</f>
        <v>1600000</v>
      </c>
      <c r="CI51" s="1091">
        <f t="shared" si="563"/>
        <v>1</v>
      </c>
      <c r="CJ51" s="1091">
        <f t="shared" si="564"/>
        <v>0.4</v>
      </c>
      <c r="CK51" s="1131">
        <f t="shared" ref="CK51:CK53" si="702">SUMIF($C$20:$C$33,$C51,CK$20:CK$33)-SUMIF($C$35:$C$48,$C51,CK$35:CK$48)</f>
        <v>0</v>
      </c>
      <c r="CL51" s="1091" t="str">
        <f t="shared" si="565"/>
        <v/>
      </c>
      <c r="CM51" s="1091" t="str">
        <f t="shared" si="566"/>
        <v/>
      </c>
      <c r="CN51" s="1131">
        <f t="shared" ref="CN51:CN53" si="703">SUMIF($C$20:$C$33,$C51,CN$20:CN$33)-SUMIF($C$35:$C$48,$C51,CN$35:CN$48)</f>
        <v>0</v>
      </c>
      <c r="CO51" s="1091" t="str">
        <f t="shared" si="567"/>
        <v/>
      </c>
      <c r="CP51" s="1091" t="str">
        <f t="shared" si="568"/>
        <v/>
      </c>
      <c r="CQ51" s="1130">
        <f t="shared" si="569"/>
        <v>-1600000</v>
      </c>
      <c r="CR51" s="1091">
        <f t="shared" si="53"/>
        <v>-1</v>
      </c>
      <c r="CS51" s="1130">
        <f t="shared" si="570"/>
        <v>0</v>
      </c>
      <c r="CT51" s="1091" t="str">
        <f t="shared" si="55"/>
        <v/>
      </c>
      <c r="CU51" s="1088">
        <f t="shared" si="571"/>
        <v>4800000</v>
      </c>
      <c r="CV51" s="1091">
        <f t="shared" si="572"/>
        <v>1</v>
      </c>
      <c r="CW51" s="1091">
        <f t="shared" si="573"/>
        <v>0.4</v>
      </c>
      <c r="CX51" s="1131">
        <f t="shared" si="574"/>
        <v>0</v>
      </c>
      <c r="CY51" s="1091" t="str">
        <f t="shared" si="575"/>
        <v/>
      </c>
      <c r="CZ51" s="1091" t="str">
        <f t="shared" si="576"/>
        <v/>
      </c>
      <c r="DA51" s="1131">
        <f t="shared" si="577"/>
        <v>0</v>
      </c>
      <c r="DB51" s="1091" t="str">
        <f t="shared" si="578"/>
        <v/>
      </c>
      <c r="DC51" s="1091" t="str">
        <f t="shared" si="579"/>
        <v/>
      </c>
      <c r="DD51" s="1130">
        <f t="shared" si="580"/>
        <v>-4800000</v>
      </c>
      <c r="DE51" s="1091">
        <f t="shared" si="63"/>
        <v>-1</v>
      </c>
      <c r="DF51" s="1130">
        <f t="shared" si="581"/>
        <v>0</v>
      </c>
      <c r="DG51" s="1091" t="str">
        <f t="shared" si="65"/>
        <v/>
      </c>
      <c r="DH51" s="1088">
        <f t="shared" si="582"/>
        <v>4800000</v>
      </c>
      <c r="DI51" s="1091">
        <f t="shared" si="583"/>
        <v>1</v>
      </c>
      <c r="DJ51" s="1091">
        <f t="shared" si="584"/>
        <v>0.4</v>
      </c>
      <c r="DK51" s="1090">
        <f t="shared" si="585"/>
        <v>3720000</v>
      </c>
      <c r="DL51" s="1091">
        <f t="shared" si="586"/>
        <v>1</v>
      </c>
      <c r="DM51" s="1091">
        <f t="shared" si="587"/>
        <v>1</v>
      </c>
      <c r="DN51" s="1090">
        <f t="shared" si="588"/>
        <v>670000</v>
      </c>
      <c r="DO51" s="1091">
        <f t="shared" si="589"/>
        <v>1</v>
      </c>
      <c r="DP51" s="1091">
        <f t="shared" si="590"/>
        <v>0.563973064</v>
      </c>
      <c r="DQ51" s="1130">
        <f t="shared" si="591"/>
        <v>-4130000</v>
      </c>
      <c r="DR51" s="1091">
        <f t="shared" si="73"/>
        <v>-0.8604166667</v>
      </c>
      <c r="DS51" s="1130">
        <f t="shared" si="592"/>
        <v>-3050000</v>
      </c>
      <c r="DT51" s="1091">
        <f t="shared" si="75"/>
        <v>-0.8198924731</v>
      </c>
      <c r="DU51" s="1088">
        <f t="shared" ref="DU51:DU53" si="704">SUMIF($C$19:$C$33,$C51,DU$19:DU$33)-SUMIF($C$35:$C$48,$C51,DU$35:DU$48)</f>
        <v>1600000</v>
      </c>
      <c r="DV51" s="1091">
        <f t="shared" si="593"/>
        <v>1</v>
      </c>
      <c r="DW51" s="1091">
        <f t="shared" si="594"/>
        <v>0.4</v>
      </c>
      <c r="DX51" s="1131">
        <f t="shared" ref="DX51:DX53" si="705">SUMIF($C$20:$C$33,$C51,DX$20:DX$33)-SUMIF($C$35:$C$48,$C51,DX$35:DX$48)</f>
        <v>1239999.96</v>
      </c>
      <c r="DY51" s="1091">
        <f t="shared" si="595"/>
        <v>1</v>
      </c>
      <c r="DZ51" s="1091">
        <f t="shared" si="596"/>
        <v>0.205298008</v>
      </c>
      <c r="EA51" s="1131">
        <f t="shared" ref="EA51:EA53" si="706">SUMIF($C$20:$C$33,$C51,EA$20:EA$33)-SUMIF($C$35:$C$48,$C51,EA$35:EA$48)</f>
        <v>0</v>
      </c>
      <c r="EB51" s="1091" t="str">
        <f t="shared" si="597"/>
        <v/>
      </c>
      <c r="EC51" s="1091" t="str">
        <f t="shared" si="598"/>
        <v/>
      </c>
      <c r="ED51" s="1130">
        <f t="shared" si="599"/>
        <v>-1600000</v>
      </c>
      <c r="EE51" s="1091">
        <f t="shared" si="80"/>
        <v>-1</v>
      </c>
      <c r="EF51" s="1130">
        <f t="shared" si="600"/>
        <v>-1239999.96</v>
      </c>
      <c r="EG51" s="1091">
        <f t="shared" si="82"/>
        <v>-1</v>
      </c>
      <c r="EH51" s="1088">
        <f t="shared" ref="EH51:EH53" si="707">SUMIF($C$19:$C$33,$C51,EH$19:EH$33)-SUMIF($C$35:$C$48,$C51,EH$35:EH$48)</f>
        <v>1600000</v>
      </c>
      <c r="EI51" s="1091">
        <f t="shared" si="601"/>
        <v>1</v>
      </c>
      <c r="EJ51" s="1091">
        <f t="shared" si="602"/>
        <v>0.4</v>
      </c>
      <c r="EK51" s="1131">
        <f t="shared" ref="EK51:EK53" si="708">SUMIF($C$20:$C$33,$C51,EK$20:EK$33)-SUMIF($C$35:$C$48,$C51,EK$35:EK$48)</f>
        <v>1239999.96</v>
      </c>
      <c r="EL51" s="1091">
        <f t="shared" si="603"/>
        <v>1</v>
      </c>
      <c r="EM51" s="1091">
        <f t="shared" si="604"/>
        <v>0.205298008</v>
      </c>
      <c r="EN51" s="1131">
        <f t="shared" ref="EN51:EN53" si="709">SUMIF($C$20:$C$33,$C51,EN$20:EN$33)-SUMIF($C$35:$C$48,$C51,EN$35:EN$48)</f>
        <v>0</v>
      </c>
      <c r="EO51" s="1091" t="str">
        <f t="shared" si="605"/>
        <v/>
      </c>
      <c r="EP51" s="1091" t="str">
        <f t="shared" si="606"/>
        <v/>
      </c>
      <c r="EQ51" s="1130">
        <f t="shared" si="607"/>
        <v>-1600000</v>
      </c>
      <c r="ER51" s="1091">
        <f t="shared" si="87"/>
        <v>-1</v>
      </c>
      <c r="ES51" s="1130">
        <f t="shared" si="608"/>
        <v>-1239999.96</v>
      </c>
      <c r="ET51" s="1091">
        <f t="shared" si="89"/>
        <v>-1</v>
      </c>
      <c r="EU51" s="1088">
        <f t="shared" ref="EU51:EU53" si="710">SUMIF($C$19:$C$33,$C51,EU$19:EU$33)-SUMIF($C$35:$C$48,$C51,EU$35:EU$48)</f>
        <v>1600000</v>
      </c>
      <c r="EV51" s="1091">
        <f t="shared" si="609"/>
        <v>1</v>
      </c>
      <c r="EW51" s="1091">
        <f t="shared" si="610"/>
        <v>0.4</v>
      </c>
      <c r="EX51" s="1131">
        <f t="shared" ref="EX51:EX53" si="711">SUMIF($C$20:$C$33,$C51,EX$20:EX$33)-SUMIF($C$35:$C$48,$C51,EX$35:EX$48)</f>
        <v>1239999.96</v>
      </c>
      <c r="EY51" s="1091">
        <f t="shared" si="611"/>
        <v>1</v>
      </c>
      <c r="EZ51" s="1091">
        <f t="shared" si="612"/>
        <v>0.205298008</v>
      </c>
      <c r="FA51" s="1131">
        <f t="shared" si="613"/>
        <v>0</v>
      </c>
      <c r="FB51" s="1091" t="str">
        <f t="shared" si="614"/>
        <v/>
      </c>
      <c r="FC51" s="1091" t="str">
        <f t="shared" si="615"/>
        <v/>
      </c>
      <c r="FD51" s="1130">
        <f t="shared" si="616"/>
        <v>-1600000</v>
      </c>
      <c r="FE51" s="1091">
        <f t="shared" si="94"/>
        <v>-1</v>
      </c>
      <c r="FF51" s="1130">
        <f t="shared" si="617"/>
        <v>-1239999.96</v>
      </c>
      <c r="FG51" s="1091">
        <f t="shared" si="96"/>
        <v>-1</v>
      </c>
      <c r="FH51" s="1088">
        <f t="shared" si="618"/>
        <v>4800000</v>
      </c>
      <c r="FI51" s="1091">
        <f t="shared" si="619"/>
        <v>1</v>
      </c>
      <c r="FJ51" s="1091">
        <f t="shared" si="620"/>
        <v>0.4</v>
      </c>
      <c r="FK51" s="1090">
        <f t="shared" si="621"/>
        <v>3719999.88</v>
      </c>
      <c r="FL51" s="1091">
        <f t="shared" si="622"/>
        <v>1</v>
      </c>
      <c r="FM51" s="1091">
        <f t="shared" si="623"/>
        <v>0.205298008</v>
      </c>
      <c r="FN51" s="1090">
        <f t="shared" si="624"/>
        <v>0</v>
      </c>
      <c r="FO51" s="1091" t="str">
        <f t="shared" si="625"/>
        <v/>
      </c>
      <c r="FP51" s="1091" t="str">
        <f t="shared" si="626"/>
        <v/>
      </c>
      <c r="FQ51" s="1130">
        <f t="shared" si="627"/>
        <v>-4800000</v>
      </c>
      <c r="FR51" s="1091">
        <f t="shared" si="104"/>
        <v>-1</v>
      </c>
      <c r="FS51" s="1130">
        <f t="shared" si="628"/>
        <v>-3719999.88</v>
      </c>
      <c r="FT51" s="1091">
        <f t="shared" si="106"/>
        <v>-1</v>
      </c>
      <c r="FU51" s="1088">
        <f t="shared" ref="FU51:FU53" si="712">SUMIF($C$19:$C$33,$C51,FU$19:FU$33)-SUMIF($C$35:$C$48,$C51,FU$35:FU$48)</f>
        <v>1600000</v>
      </c>
      <c r="FV51" s="1091">
        <f t="shared" si="629"/>
        <v>1</v>
      </c>
      <c r="FW51" s="1091">
        <f t="shared" si="630"/>
        <v>0.4</v>
      </c>
      <c r="FX51" s="1131">
        <f t="shared" ref="FX51:FX53" si="713">SUMIF($C$20:$C$33,$C51,FX$20:FX$33)-SUMIF($C$35:$C$48,$C51,FX$35:FX$48)</f>
        <v>1239999.96</v>
      </c>
      <c r="FY51" s="1091">
        <f t="shared" si="631"/>
        <v>1</v>
      </c>
      <c r="FZ51" s="1091">
        <f t="shared" si="632"/>
        <v>0.205298008</v>
      </c>
      <c r="GA51" s="1131">
        <f t="shared" ref="GA51:GA53" si="714">SUMIF($C$20:$C$33,$C51,GA$20:GA$33)-SUMIF($C$35:$C$48,$C51,GA$35:GA$48)</f>
        <v>0</v>
      </c>
      <c r="GB51" s="1091" t="str">
        <f t="shared" si="633"/>
        <v/>
      </c>
      <c r="GC51" s="1091" t="str">
        <f t="shared" si="634"/>
        <v/>
      </c>
      <c r="GD51" s="1130">
        <f t="shared" si="635"/>
        <v>-1600000</v>
      </c>
      <c r="GE51" s="1091">
        <f t="shared" si="111"/>
        <v>-1</v>
      </c>
      <c r="GF51" s="1130">
        <f t="shared" si="636"/>
        <v>-1239999.96</v>
      </c>
      <c r="GG51" s="1091">
        <f t="shared" si="113"/>
        <v>-1</v>
      </c>
      <c r="GH51" s="1088">
        <f t="shared" ref="GH51:GH53" si="715">SUMIF($C$19:$C$33,$C51,GH$19:GH$33)-SUMIF($C$35:$C$48,$C51,GH$35:GH$48)</f>
        <v>1600000</v>
      </c>
      <c r="GI51" s="1091">
        <f t="shared" si="637"/>
        <v>1</v>
      </c>
      <c r="GJ51" s="1091">
        <f t="shared" si="638"/>
        <v>0.4</v>
      </c>
      <c r="GK51" s="1131">
        <f t="shared" ref="GK51:GK53" si="716">SUMIF($C$20:$C$33,$C51,GK$20:GK$33)-SUMIF($C$35:$C$48,$C51,GK$35:GK$48)</f>
        <v>1239999.96</v>
      </c>
      <c r="GL51" s="1091">
        <f t="shared" si="639"/>
        <v>1</v>
      </c>
      <c r="GM51" s="1091">
        <f t="shared" si="640"/>
        <v>0.205298008</v>
      </c>
      <c r="GN51" s="1131">
        <f t="shared" ref="GN51:GN53" si="717">SUMIF($C$20:$C$33,$C51,GN$20:GN$33)-SUMIF($C$35:$C$48,$C51,GN$35:GN$48)</f>
        <v>0</v>
      </c>
      <c r="GO51" s="1091" t="str">
        <f t="shared" si="641"/>
        <v/>
      </c>
      <c r="GP51" s="1091" t="str">
        <f t="shared" si="642"/>
        <v/>
      </c>
      <c r="GQ51" s="1130">
        <f t="shared" si="643"/>
        <v>-1600000</v>
      </c>
      <c r="GR51" s="1091">
        <f t="shared" si="118"/>
        <v>-1</v>
      </c>
      <c r="GS51" s="1130">
        <f t="shared" si="644"/>
        <v>-1239999.96</v>
      </c>
      <c r="GT51" s="1091">
        <f t="shared" si="120"/>
        <v>-1</v>
      </c>
      <c r="GU51" s="1088">
        <f t="shared" ref="GU51:GU53" si="718">SUMIF($C$19:$C$33,$C51,GU$19:GU$33)-SUMIF($C$35:$C$48,$C51,GU$35:GU$48)</f>
        <v>1600000</v>
      </c>
      <c r="GV51" s="1091">
        <f t="shared" si="645"/>
        <v>1</v>
      </c>
      <c r="GW51" s="1091">
        <f t="shared" si="646"/>
        <v>0.4</v>
      </c>
      <c r="GX51" s="1131">
        <f t="shared" ref="GX51:GX53" si="719">SUMIF($C$20:$C$33,$C51,GX$20:GX$33)-SUMIF($C$35:$C$48,$C51,GX$35:GX$48)</f>
        <v>1239999.96</v>
      </c>
      <c r="GY51" s="1091">
        <f t="shared" si="647"/>
        <v>1</v>
      </c>
      <c r="GZ51" s="1091">
        <f t="shared" si="648"/>
        <v>0.205298008</v>
      </c>
      <c r="HA51" s="1131">
        <f t="shared" ref="HA51:HA53" si="720">SUMIF($C$20:$C$33,$C51,HA$20:HA$33)-SUMIF($C$35:$C$48,$C51,HA$35:HA$48)</f>
        <v>0</v>
      </c>
      <c r="HB51" s="1091" t="str">
        <f t="shared" si="649"/>
        <v/>
      </c>
      <c r="HC51" s="1091" t="str">
        <f t="shared" si="650"/>
        <v/>
      </c>
      <c r="HD51" s="1130">
        <f t="shared" si="651"/>
        <v>-1600000</v>
      </c>
      <c r="HE51" s="1091">
        <f t="shared" si="125"/>
        <v>-1</v>
      </c>
      <c r="HF51" s="1130">
        <f t="shared" si="652"/>
        <v>-1239999.96</v>
      </c>
      <c r="HG51" s="1091">
        <f t="shared" si="127"/>
        <v>-1</v>
      </c>
      <c r="HH51" s="1088">
        <f t="shared" si="653"/>
        <v>4800000</v>
      </c>
      <c r="HI51" s="1091">
        <f t="shared" si="654"/>
        <v>1</v>
      </c>
      <c r="HJ51" s="1091">
        <f t="shared" si="655"/>
        <v>0.4</v>
      </c>
      <c r="HK51" s="1090">
        <f t="shared" si="656"/>
        <v>3719999.88</v>
      </c>
      <c r="HL51" s="1091">
        <f t="shared" si="657"/>
        <v>1</v>
      </c>
      <c r="HM51" s="1091">
        <f t="shared" si="658"/>
        <v>0.205298008</v>
      </c>
      <c r="HN51" s="1090">
        <f t="shared" si="659"/>
        <v>0</v>
      </c>
      <c r="HO51" s="1091" t="str">
        <f t="shared" si="660"/>
        <v/>
      </c>
      <c r="HP51" s="1091" t="str">
        <f t="shared" si="661"/>
        <v/>
      </c>
      <c r="HQ51" s="1130">
        <f t="shared" si="662"/>
        <v>-4800000</v>
      </c>
      <c r="HR51" s="1091">
        <f t="shared" si="135"/>
        <v>-1</v>
      </c>
      <c r="HS51" s="1130">
        <f t="shared" si="663"/>
        <v>-3719999.88</v>
      </c>
      <c r="HT51" s="1091">
        <f t="shared" si="137"/>
        <v>-1</v>
      </c>
      <c r="HU51" s="1088">
        <f t="shared" si="664"/>
        <v>9600000</v>
      </c>
      <c r="HV51" s="1091">
        <f t="shared" si="665"/>
        <v>1</v>
      </c>
      <c r="HW51" s="1091">
        <f t="shared" si="666"/>
        <v>0.4</v>
      </c>
      <c r="HX51" s="1090">
        <f t="shared" si="667"/>
        <v>7439999.76</v>
      </c>
      <c r="HY51" s="1091">
        <f t="shared" si="668"/>
        <v>1</v>
      </c>
      <c r="HZ51" s="1091">
        <f t="shared" si="669"/>
        <v>0.205298008</v>
      </c>
      <c r="IA51" s="1090">
        <f t="shared" si="670"/>
        <v>0</v>
      </c>
      <c r="IB51" s="1091" t="str">
        <f t="shared" si="671"/>
        <v/>
      </c>
      <c r="IC51" s="1091" t="str">
        <f t="shared" si="672"/>
        <v/>
      </c>
      <c r="ID51" s="1130">
        <f t="shared" si="673"/>
        <v>-9600000</v>
      </c>
      <c r="IE51" s="1091">
        <f t="shared" si="145"/>
        <v>-1</v>
      </c>
      <c r="IF51" s="1130">
        <f t="shared" si="674"/>
        <v>-7439999.76</v>
      </c>
      <c r="IG51" s="1091">
        <f t="shared" si="147"/>
        <v>-1</v>
      </c>
      <c r="IH51" s="1088">
        <f t="shared" si="675"/>
        <v>14400000</v>
      </c>
      <c r="II51" s="1091">
        <f t="shared" si="676"/>
        <v>1</v>
      </c>
      <c r="IJ51" s="1091">
        <f t="shared" si="677"/>
        <v>0.4</v>
      </c>
      <c r="IK51" s="1090">
        <f t="shared" si="678"/>
        <v>11159999.76</v>
      </c>
      <c r="IL51" s="1091">
        <f t="shared" si="679"/>
        <v>1</v>
      </c>
      <c r="IM51" s="1091">
        <f t="shared" si="680"/>
        <v>0.279279275</v>
      </c>
      <c r="IN51" s="1090">
        <f t="shared" si="681"/>
        <v>670000</v>
      </c>
      <c r="IO51" s="1091">
        <f t="shared" si="682"/>
        <v>1</v>
      </c>
      <c r="IP51" s="1091">
        <f t="shared" si="683"/>
        <v>0.563973064</v>
      </c>
      <c r="IQ51" s="1130">
        <f t="shared" si="684"/>
        <v>-13730000</v>
      </c>
      <c r="IR51" s="1091">
        <f t="shared" si="1"/>
        <v>-0.9534722222</v>
      </c>
      <c r="IS51" s="1130">
        <f t="shared" si="685"/>
        <v>-10489999.76</v>
      </c>
      <c r="IT51" s="1091">
        <f t="shared" si="2"/>
        <v>-0.9399641564</v>
      </c>
    </row>
    <row r="52" outlineLevel="1">
      <c r="A52" s="1086">
        <f t="shared" si="511"/>
        <v>2</v>
      </c>
      <c r="B52" s="1087" t="s">
        <v>2066</v>
      </c>
      <c r="C52" s="1087" t="s">
        <v>530</v>
      </c>
      <c r="D52" s="1087" t="str">
        <f>IF(C52&gt;0,VLOOKUP(C52,DM_DUAN ,2,"") ,IF(B52&gt;0,VLOOKUP(B52,DM_CDT,2,""),""))</f>
        <v>Nhà vườn sinh thái</v>
      </c>
      <c r="E52" s="1087"/>
      <c r="F52" s="1087"/>
      <c r="G52" s="1086">
        <v>2.0</v>
      </c>
      <c r="H52" s="1088">
        <f t="shared" si="686"/>
        <v>0</v>
      </c>
      <c r="I52" s="1091" t="str">
        <f t="shared" si="512"/>
        <v/>
      </c>
      <c r="J52" s="1091" t="str">
        <f t="shared" si="513"/>
        <v/>
      </c>
      <c r="K52" s="1090">
        <f t="shared" si="687"/>
        <v>0</v>
      </c>
      <c r="L52" s="1091" t="str">
        <f t="shared" si="514"/>
        <v/>
      </c>
      <c r="M52" s="1091">
        <f t="shared" si="515"/>
        <v>0</v>
      </c>
      <c r="N52" s="1090">
        <f t="shared" si="688"/>
        <v>0</v>
      </c>
      <c r="O52" s="1091" t="str">
        <f t="shared" si="516"/>
        <v/>
      </c>
      <c r="P52" s="1091">
        <f t="shared" si="517"/>
        <v>0</v>
      </c>
      <c r="Q52" s="1130">
        <f t="shared" si="518"/>
        <v>0</v>
      </c>
      <c r="R52" s="1091" t="str">
        <f t="shared" si="8"/>
        <v/>
      </c>
      <c r="S52" s="1130">
        <f t="shared" si="519"/>
        <v>0</v>
      </c>
      <c r="T52" s="1091" t="str">
        <f t="shared" si="10"/>
        <v/>
      </c>
      <c r="U52" s="1088">
        <f t="shared" si="689"/>
        <v>0</v>
      </c>
      <c r="V52" s="1091" t="str">
        <f t="shared" si="520"/>
        <v/>
      </c>
      <c r="W52" s="1091" t="str">
        <f t="shared" si="521"/>
        <v/>
      </c>
      <c r="X52" s="1090">
        <f t="shared" si="690"/>
        <v>0</v>
      </c>
      <c r="Y52" s="1091" t="str">
        <f t="shared" si="522"/>
        <v/>
      </c>
      <c r="Z52" s="1091" t="str">
        <f t="shared" si="523"/>
        <v/>
      </c>
      <c r="AA52" s="1090">
        <f t="shared" si="691"/>
        <v>0</v>
      </c>
      <c r="AB52" s="1091" t="str">
        <f t="shared" si="524"/>
        <v/>
      </c>
      <c r="AC52" s="1091">
        <f t="shared" si="525"/>
        <v>0</v>
      </c>
      <c r="AD52" s="1130">
        <f t="shared" si="526"/>
        <v>0</v>
      </c>
      <c r="AE52" s="1091" t="str">
        <f t="shared" si="15"/>
        <v/>
      </c>
      <c r="AF52" s="1130">
        <f t="shared" si="527"/>
        <v>0</v>
      </c>
      <c r="AG52" s="1091" t="str">
        <f t="shared" si="17"/>
        <v/>
      </c>
      <c r="AH52" s="1088">
        <f t="shared" si="692"/>
        <v>0</v>
      </c>
      <c r="AI52" s="1091" t="str">
        <f t="shared" si="528"/>
        <v/>
      </c>
      <c r="AJ52" s="1091" t="str">
        <f t="shared" si="529"/>
        <v/>
      </c>
      <c r="AK52" s="1090">
        <f t="shared" si="693"/>
        <v>0</v>
      </c>
      <c r="AL52" s="1091" t="str">
        <f t="shared" si="530"/>
        <v/>
      </c>
      <c r="AM52" s="1091">
        <f t="shared" si="531"/>
        <v>0</v>
      </c>
      <c r="AN52" s="1090">
        <f t="shared" si="694"/>
        <v>518000</v>
      </c>
      <c r="AO52" s="1091">
        <f t="shared" si="532"/>
        <v>1</v>
      </c>
      <c r="AP52" s="1091">
        <f t="shared" si="533"/>
        <v>0.7754491018</v>
      </c>
      <c r="AQ52" s="1130">
        <f t="shared" si="534"/>
        <v>518000</v>
      </c>
      <c r="AR52" s="1091" t="str">
        <f t="shared" si="22"/>
        <v/>
      </c>
      <c r="AS52" s="1130">
        <f t="shared" si="535"/>
        <v>518000</v>
      </c>
      <c r="AT52" s="1091" t="str">
        <f t="shared" si="24"/>
        <v/>
      </c>
      <c r="AU52" s="1088">
        <f t="shared" si="536"/>
        <v>0</v>
      </c>
      <c r="AV52" s="1091" t="str">
        <f t="shared" si="537"/>
        <v/>
      </c>
      <c r="AW52" s="1091" t="str">
        <f t="shared" si="538"/>
        <v/>
      </c>
      <c r="AX52" s="1090">
        <f t="shared" si="539"/>
        <v>0</v>
      </c>
      <c r="AY52" s="1091" t="str">
        <f t="shared" si="540"/>
        <v/>
      </c>
      <c r="AZ52" s="1091">
        <f t="shared" si="541"/>
        <v>0</v>
      </c>
      <c r="BA52" s="1090">
        <f t="shared" si="542"/>
        <v>518000</v>
      </c>
      <c r="BB52" s="1091">
        <f t="shared" si="543"/>
        <v>1</v>
      </c>
      <c r="BC52" s="1091">
        <f t="shared" si="544"/>
        <v>0.436026936</v>
      </c>
      <c r="BD52" s="1130">
        <f t="shared" si="545"/>
        <v>518000</v>
      </c>
      <c r="BE52" s="1091" t="str">
        <f t="shared" si="32"/>
        <v/>
      </c>
      <c r="BF52" s="1130">
        <f t="shared" si="546"/>
        <v>518000</v>
      </c>
      <c r="BG52" s="1091" t="str">
        <f t="shared" si="34"/>
        <v/>
      </c>
      <c r="BH52" s="1088">
        <f t="shared" si="695"/>
        <v>0</v>
      </c>
      <c r="BI52" s="1091" t="str">
        <f t="shared" si="547"/>
        <v/>
      </c>
      <c r="BJ52" s="1091">
        <f t="shared" si="548"/>
        <v>0</v>
      </c>
      <c r="BK52" s="1090">
        <f t="shared" si="696"/>
        <v>0</v>
      </c>
      <c r="BL52" s="1091" t="str">
        <f t="shared" si="549"/>
        <v/>
      </c>
      <c r="BM52" s="1091" t="str">
        <f t="shared" si="550"/>
        <v/>
      </c>
      <c r="BN52" s="1090">
        <f t="shared" si="697"/>
        <v>677000</v>
      </c>
      <c r="BO52" s="1091">
        <f t="shared" si="551"/>
        <v>1</v>
      </c>
      <c r="BP52" s="1091">
        <f t="shared" si="552"/>
        <v>0.2602805032</v>
      </c>
      <c r="BQ52" s="1130">
        <f t="shared" si="553"/>
        <v>677000</v>
      </c>
      <c r="BR52" s="1091" t="str">
        <f t="shared" si="39"/>
        <v/>
      </c>
      <c r="BS52" s="1130">
        <f t="shared" si="554"/>
        <v>677000</v>
      </c>
      <c r="BT52" s="1091" t="str">
        <f t="shared" si="41"/>
        <v/>
      </c>
      <c r="BU52" s="1088">
        <f t="shared" si="698"/>
        <v>0</v>
      </c>
      <c r="BV52" s="1091" t="str">
        <f t="shared" si="555"/>
        <v/>
      </c>
      <c r="BW52" s="1091">
        <f t="shared" si="556"/>
        <v>0</v>
      </c>
      <c r="BX52" s="1131">
        <f t="shared" si="699"/>
        <v>0</v>
      </c>
      <c r="BY52" s="1091" t="str">
        <f t="shared" si="557"/>
        <v/>
      </c>
      <c r="BZ52" s="1091">
        <f t="shared" si="558"/>
        <v>0</v>
      </c>
      <c r="CA52" s="1131">
        <f t="shared" si="700"/>
        <v>0</v>
      </c>
      <c r="CB52" s="1091" t="str">
        <f t="shared" si="559"/>
        <v/>
      </c>
      <c r="CC52" s="1091">
        <f t="shared" si="560"/>
        <v>0</v>
      </c>
      <c r="CD52" s="1130">
        <f t="shared" si="561"/>
        <v>0</v>
      </c>
      <c r="CE52" s="1091" t="str">
        <f t="shared" si="46"/>
        <v/>
      </c>
      <c r="CF52" s="1130">
        <f t="shared" si="562"/>
        <v>0</v>
      </c>
      <c r="CG52" s="1091" t="str">
        <f t="shared" si="48"/>
        <v/>
      </c>
      <c r="CH52" s="1088">
        <f t="shared" si="701"/>
        <v>0</v>
      </c>
      <c r="CI52" s="1091" t="str">
        <f t="shared" si="563"/>
        <v/>
      </c>
      <c r="CJ52" s="1091">
        <f t="shared" si="564"/>
        <v>0</v>
      </c>
      <c r="CK52" s="1131">
        <f t="shared" si="702"/>
        <v>0</v>
      </c>
      <c r="CL52" s="1091" t="str">
        <f t="shared" si="565"/>
        <v/>
      </c>
      <c r="CM52" s="1091" t="str">
        <f t="shared" si="566"/>
        <v/>
      </c>
      <c r="CN52" s="1131">
        <f t="shared" si="703"/>
        <v>0</v>
      </c>
      <c r="CO52" s="1091" t="str">
        <f t="shared" si="567"/>
        <v/>
      </c>
      <c r="CP52" s="1091" t="str">
        <f t="shared" si="568"/>
        <v/>
      </c>
      <c r="CQ52" s="1130">
        <f t="shared" si="569"/>
        <v>0</v>
      </c>
      <c r="CR52" s="1091" t="str">
        <f t="shared" si="53"/>
        <v/>
      </c>
      <c r="CS52" s="1130">
        <f t="shared" si="570"/>
        <v>0</v>
      </c>
      <c r="CT52" s="1091" t="str">
        <f t="shared" si="55"/>
        <v/>
      </c>
      <c r="CU52" s="1088">
        <f t="shared" si="571"/>
        <v>0</v>
      </c>
      <c r="CV52" s="1091" t="str">
        <f t="shared" si="572"/>
        <v/>
      </c>
      <c r="CW52" s="1091">
        <f t="shared" si="573"/>
        <v>0</v>
      </c>
      <c r="CX52" s="1131">
        <f t="shared" si="574"/>
        <v>0</v>
      </c>
      <c r="CY52" s="1091" t="str">
        <f t="shared" si="575"/>
        <v/>
      </c>
      <c r="CZ52" s="1091" t="str">
        <f t="shared" si="576"/>
        <v/>
      </c>
      <c r="DA52" s="1131">
        <f t="shared" si="577"/>
        <v>677000</v>
      </c>
      <c r="DB52" s="1091">
        <f t="shared" si="578"/>
        <v>1</v>
      </c>
      <c r="DC52" s="1091" t="str">
        <f t="shared" si="579"/>
        <v/>
      </c>
      <c r="DD52" s="1130">
        <f t="shared" si="580"/>
        <v>677000</v>
      </c>
      <c r="DE52" s="1091" t="str">
        <f t="shared" si="63"/>
        <v/>
      </c>
      <c r="DF52" s="1130">
        <f t="shared" si="581"/>
        <v>677000</v>
      </c>
      <c r="DG52" s="1091" t="str">
        <f t="shared" si="65"/>
        <v/>
      </c>
      <c r="DH52" s="1088">
        <f t="shared" si="582"/>
        <v>0</v>
      </c>
      <c r="DI52" s="1091" t="str">
        <f t="shared" si="583"/>
        <v/>
      </c>
      <c r="DJ52" s="1091">
        <f t="shared" si="584"/>
        <v>0</v>
      </c>
      <c r="DK52" s="1090">
        <f t="shared" si="585"/>
        <v>0</v>
      </c>
      <c r="DL52" s="1091" t="str">
        <f t="shared" si="586"/>
        <v/>
      </c>
      <c r="DM52" s="1091">
        <f t="shared" si="587"/>
        <v>0</v>
      </c>
      <c r="DN52" s="1090">
        <f t="shared" si="588"/>
        <v>1195000</v>
      </c>
      <c r="DO52" s="1091">
        <f t="shared" si="589"/>
        <v>1</v>
      </c>
      <c r="DP52" s="1091">
        <f t="shared" si="590"/>
        <v>1.005892256</v>
      </c>
      <c r="DQ52" s="1130">
        <f t="shared" si="591"/>
        <v>1195000</v>
      </c>
      <c r="DR52" s="1091" t="str">
        <f t="shared" si="73"/>
        <v/>
      </c>
      <c r="DS52" s="1130">
        <f t="shared" si="592"/>
        <v>1195000</v>
      </c>
      <c r="DT52" s="1091" t="str">
        <f t="shared" si="75"/>
        <v/>
      </c>
      <c r="DU52" s="1088">
        <f t="shared" si="704"/>
        <v>0</v>
      </c>
      <c r="DV52" s="1091" t="str">
        <f t="shared" si="593"/>
        <v/>
      </c>
      <c r="DW52" s="1091">
        <f t="shared" si="594"/>
        <v>0</v>
      </c>
      <c r="DX52" s="1131">
        <f t="shared" si="705"/>
        <v>0</v>
      </c>
      <c r="DY52" s="1091" t="str">
        <f t="shared" si="595"/>
        <v/>
      </c>
      <c r="DZ52" s="1091">
        <f t="shared" si="596"/>
        <v>0</v>
      </c>
      <c r="EA52" s="1131">
        <f t="shared" si="706"/>
        <v>0</v>
      </c>
      <c r="EB52" s="1091" t="str">
        <f t="shared" si="597"/>
        <v/>
      </c>
      <c r="EC52" s="1091" t="str">
        <f t="shared" si="598"/>
        <v/>
      </c>
      <c r="ED52" s="1130">
        <f t="shared" si="599"/>
        <v>0</v>
      </c>
      <c r="EE52" s="1091" t="str">
        <f t="shared" si="80"/>
        <v/>
      </c>
      <c r="EF52" s="1130">
        <f t="shared" si="600"/>
        <v>0</v>
      </c>
      <c r="EG52" s="1091" t="str">
        <f t="shared" si="82"/>
        <v/>
      </c>
      <c r="EH52" s="1088">
        <f t="shared" si="707"/>
        <v>0</v>
      </c>
      <c r="EI52" s="1091" t="str">
        <f t="shared" si="601"/>
        <v/>
      </c>
      <c r="EJ52" s="1091">
        <f t="shared" si="602"/>
        <v>0</v>
      </c>
      <c r="EK52" s="1131">
        <f t="shared" si="708"/>
        <v>0</v>
      </c>
      <c r="EL52" s="1091" t="str">
        <f t="shared" si="603"/>
        <v/>
      </c>
      <c r="EM52" s="1091">
        <f t="shared" si="604"/>
        <v>0</v>
      </c>
      <c r="EN52" s="1131">
        <f t="shared" si="709"/>
        <v>0</v>
      </c>
      <c r="EO52" s="1091" t="str">
        <f t="shared" si="605"/>
        <v/>
      </c>
      <c r="EP52" s="1091" t="str">
        <f t="shared" si="606"/>
        <v/>
      </c>
      <c r="EQ52" s="1130">
        <f t="shared" si="607"/>
        <v>0</v>
      </c>
      <c r="ER52" s="1091" t="str">
        <f t="shared" si="87"/>
        <v/>
      </c>
      <c r="ES52" s="1130">
        <f t="shared" si="608"/>
        <v>0</v>
      </c>
      <c r="ET52" s="1091" t="str">
        <f t="shared" si="89"/>
        <v/>
      </c>
      <c r="EU52" s="1088">
        <f t="shared" si="710"/>
        <v>0</v>
      </c>
      <c r="EV52" s="1091" t="str">
        <f t="shared" si="609"/>
        <v/>
      </c>
      <c r="EW52" s="1091">
        <f t="shared" si="610"/>
        <v>0</v>
      </c>
      <c r="EX52" s="1131">
        <f t="shared" si="711"/>
        <v>0</v>
      </c>
      <c r="EY52" s="1091" t="str">
        <f t="shared" si="611"/>
        <v/>
      </c>
      <c r="EZ52" s="1091">
        <f t="shared" si="612"/>
        <v>0</v>
      </c>
      <c r="FA52" s="1131">
        <f t="shared" si="613"/>
        <v>0</v>
      </c>
      <c r="FB52" s="1091" t="str">
        <f t="shared" si="614"/>
        <v/>
      </c>
      <c r="FC52" s="1091" t="str">
        <f t="shared" si="615"/>
        <v/>
      </c>
      <c r="FD52" s="1130">
        <f t="shared" si="616"/>
        <v>0</v>
      </c>
      <c r="FE52" s="1091" t="str">
        <f t="shared" si="94"/>
        <v/>
      </c>
      <c r="FF52" s="1130">
        <f t="shared" si="617"/>
        <v>0</v>
      </c>
      <c r="FG52" s="1091" t="str">
        <f t="shared" si="96"/>
        <v/>
      </c>
      <c r="FH52" s="1088">
        <f t="shared" si="618"/>
        <v>0</v>
      </c>
      <c r="FI52" s="1091" t="str">
        <f t="shared" si="619"/>
        <v/>
      </c>
      <c r="FJ52" s="1091">
        <f t="shared" si="620"/>
        <v>0</v>
      </c>
      <c r="FK52" s="1090">
        <f t="shared" si="621"/>
        <v>0</v>
      </c>
      <c r="FL52" s="1091" t="str">
        <f t="shared" si="622"/>
        <v/>
      </c>
      <c r="FM52" s="1091">
        <f t="shared" si="623"/>
        <v>0</v>
      </c>
      <c r="FN52" s="1090">
        <f t="shared" si="624"/>
        <v>0</v>
      </c>
      <c r="FO52" s="1091" t="str">
        <f t="shared" si="625"/>
        <v/>
      </c>
      <c r="FP52" s="1091" t="str">
        <f t="shared" si="626"/>
        <v/>
      </c>
      <c r="FQ52" s="1130">
        <f t="shared" si="627"/>
        <v>0</v>
      </c>
      <c r="FR52" s="1091" t="str">
        <f t="shared" si="104"/>
        <v/>
      </c>
      <c r="FS52" s="1130">
        <f t="shared" si="628"/>
        <v>0</v>
      </c>
      <c r="FT52" s="1091" t="str">
        <f t="shared" si="106"/>
        <v/>
      </c>
      <c r="FU52" s="1088">
        <f t="shared" si="712"/>
        <v>0</v>
      </c>
      <c r="FV52" s="1091" t="str">
        <f t="shared" si="629"/>
        <v/>
      </c>
      <c r="FW52" s="1091">
        <f t="shared" si="630"/>
        <v>0</v>
      </c>
      <c r="FX52" s="1131">
        <f t="shared" si="713"/>
        <v>0</v>
      </c>
      <c r="FY52" s="1091" t="str">
        <f t="shared" si="631"/>
        <v/>
      </c>
      <c r="FZ52" s="1091">
        <f t="shared" si="632"/>
        <v>0</v>
      </c>
      <c r="GA52" s="1131">
        <f t="shared" si="714"/>
        <v>0</v>
      </c>
      <c r="GB52" s="1091" t="str">
        <f t="shared" si="633"/>
        <v/>
      </c>
      <c r="GC52" s="1091" t="str">
        <f t="shared" si="634"/>
        <v/>
      </c>
      <c r="GD52" s="1130">
        <f t="shared" si="635"/>
        <v>0</v>
      </c>
      <c r="GE52" s="1091" t="str">
        <f t="shared" si="111"/>
        <v/>
      </c>
      <c r="GF52" s="1130">
        <f t="shared" si="636"/>
        <v>0</v>
      </c>
      <c r="GG52" s="1091" t="str">
        <f t="shared" si="113"/>
        <v/>
      </c>
      <c r="GH52" s="1088">
        <f t="shared" si="715"/>
        <v>0</v>
      </c>
      <c r="GI52" s="1091" t="str">
        <f t="shared" si="637"/>
        <v/>
      </c>
      <c r="GJ52" s="1091">
        <f t="shared" si="638"/>
        <v>0</v>
      </c>
      <c r="GK52" s="1131">
        <f t="shared" si="716"/>
        <v>0</v>
      </c>
      <c r="GL52" s="1091" t="str">
        <f t="shared" si="639"/>
        <v/>
      </c>
      <c r="GM52" s="1091">
        <f t="shared" si="640"/>
        <v>0</v>
      </c>
      <c r="GN52" s="1131">
        <f t="shared" si="717"/>
        <v>0</v>
      </c>
      <c r="GO52" s="1091" t="str">
        <f t="shared" si="641"/>
        <v/>
      </c>
      <c r="GP52" s="1091" t="str">
        <f t="shared" si="642"/>
        <v/>
      </c>
      <c r="GQ52" s="1130">
        <f t="shared" si="643"/>
        <v>0</v>
      </c>
      <c r="GR52" s="1091" t="str">
        <f t="shared" si="118"/>
        <v/>
      </c>
      <c r="GS52" s="1130">
        <f t="shared" si="644"/>
        <v>0</v>
      </c>
      <c r="GT52" s="1091" t="str">
        <f t="shared" si="120"/>
        <v/>
      </c>
      <c r="GU52" s="1088">
        <f t="shared" si="718"/>
        <v>0</v>
      </c>
      <c r="GV52" s="1091" t="str">
        <f t="shared" si="645"/>
        <v/>
      </c>
      <c r="GW52" s="1091">
        <f t="shared" si="646"/>
        <v>0</v>
      </c>
      <c r="GX52" s="1131">
        <f t="shared" si="719"/>
        <v>0</v>
      </c>
      <c r="GY52" s="1091" t="str">
        <f t="shared" si="647"/>
        <v/>
      </c>
      <c r="GZ52" s="1091">
        <f t="shared" si="648"/>
        <v>0</v>
      </c>
      <c r="HA52" s="1131">
        <f t="shared" si="720"/>
        <v>0</v>
      </c>
      <c r="HB52" s="1091" t="str">
        <f t="shared" si="649"/>
        <v/>
      </c>
      <c r="HC52" s="1091" t="str">
        <f t="shared" si="650"/>
        <v/>
      </c>
      <c r="HD52" s="1130">
        <f t="shared" si="651"/>
        <v>0</v>
      </c>
      <c r="HE52" s="1091" t="str">
        <f t="shared" si="125"/>
        <v/>
      </c>
      <c r="HF52" s="1130">
        <f t="shared" si="652"/>
        <v>0</v>
      </c>
      <c r="HG52" s="1091" t="str">
        <f t="shared" si="127"/>
        <v/>
      </c>
      <c r="HH52" s="1088">
        <f t="shared" si="653"/>
        <v>0</v>
      </c>
      <c r="HI52" s="1091" t="str">
        <f t="shared" si="654"/>
        <v/>
      </c>
      <c r="HJ52" s="1091">
        <f t="shared" si="655"/>
        <v>0</v>
      </c>
      <c r="HK52" s="1090">
        <f t="shared" si="656"/>
        <v>0</v>
      </c>
      <c r="HL52" s="1091" t="str">
        <f t="shared" si="657"/>
        <v/>
      </c>
      <c r="HM52" s="1091">
        <f t="shared" si="658"/>
        <v>0</v>
      </c>
      <c r="HN52" s="1090">
        <f t="shared" si="659"/>
        <v>0</v>
      </c>
      <c r="HO52" s="1091" t="str">
        <f t="shared" si="660"/>
        <v/>
      </c>
      <c r="HP52" s="1091" t="str">
        <f t="shared" si="661"/>
        <v/>
      </c>
      <c r="HQ52" s="1130">
        <f t="shared" si="662"/>
        <v>0</v>
      </c>
      <c r="HR52" s="1091" t="str">
        <f t="shared" si="135"/>
        <v/>
      </c>
      <c r="HS52" s="1130">
        <f t="shared" si="663"/>
        <v>0</v>
      </c>
      <c r="HT52" s="1091" t="str">
        <f t="shared" si="137"/>
        <v/>
      </c>
      <c r="HU52" s="1088">
        <f t="shared" si="664"/>
        <v>0</v>
      </c>
      <c r="HV52" s="1091" t="str">
        <f t="shared" si="665"/>
        <v/>
      </c>
      <c r="HW52" s="1091">
        <f t="shared" si="666"/>
        <v>0</v>
      </c>
      <c r="HX52" s="1090">
        <f t="shared" si="667"/>
        <v>0</v>
      </c>
      <c r="HY52" s="1091" t="str">
        <f t="shared" si="668"/>
        <v/>
      </c>
      <c r="HZ52" s="1091">
        <f t="shared" si="669"/>
        <v>0</v>
      </c>
      <c r="IA52" s="1090">
        <f t="shared" si="670"/>
        <v>0</v>
      </c>
      <c r="IB52" s="1091" t="str">
        <f t="shared" si="671"/>
        <v/>
      </c>
      <c r="IC52" s="1091" t="str">
        <f t="shared" si="672"/>
        <v/>
      </c>
      <c r="ID52" s="1130">
        <f t="shared" si="673"/>
        <v>0</v>
      </c>
      <c r="IE52" s="1091" t="str">
        <f t="shared" si="145"/>
        <v/>
      </c>
      <c r="IF52" s="1130">
        <f t="shared" si="674"/>
        <v>0</v>
      </c>
      <c r="IG52" s="1091" t="str">
        <f t="shared" si="147"/>
        <v/>
      </c>
      <c r="IH52" s="1088">
        <f t="shared" si="675"/>
        <v>0</v>
      </c>
      <c r="II52" s="1091" t="str">
        <f t="shared" si="676"/>
        <v/>
      </c>
      <c r="IJ52" s="1091">
        <f t="shared" si="677"/>
        <v>0</v>
      </c>
      <c r="IK52" s="1090">
        <f t="shared" si="678"/>
        <v>0</v>
      </c>
      <c r="IL52" s="1091" t="str">
        <f t="shared" si="679"/>
        <v/>
      </c>
      <c r="IM52" s="1091">
        <f t="shared" si="680"/>
        <v>0</v>
      </c>
      <c r="IN52" s="1090">
        <f t="shared" si="681"/>
        <v>1195000</v>
      </c>
      <c r="IO52" s="1091">
        <f t="shared" si="682"/>
        <v>1</v>
      </c>
      <c r="IP52" s="1091">
        <f t="shared" si="683"/>
        <v>1.005892256</v>
      </c>
      <c r="IQ52" s="1130">
        <f t="shared" si="684"/>
        <v>1195000</v>
      </c>
      <c r="IR52" s="1091" t="str">
        <f t="shared" si="1"/>
        <v/>
      </c>
      <c r="IS52" s="1130">
        <f t="shared" si="685"/>
        <v>1195000</v>
      </c>
      <c r="IT52" s="1091" t="str">
        <f t="shared" si="2"/>
        <v/>
      </c>
    </row>
    <row r="53" outlineLevel="1">
      <c r="A53" s="1086">
        <f t="shared" si="511"/>
        <v>3</v>
      </c>
      <c r="B53" s="1087" t="s">
        <v>2066</v>
      </c>
      <c r="C53" s="656" t="s">
        <v>597</v>
      </c>
      <c r="D53" s="1087" t="str">
        <f>IF(C53&gt;0,VLOOKUP(C53,DM_DUAN ,2,"") ,IF(B53&gt;0,VLOOKUP(B53,DM_CDT,2,""),""))</f>
        <v>KDC Long Hải</v>
      </c>
      <c r="E53" s="1087"/>
      <c r="F53" s="1087"/>
      <c r="G53" s="1086">
        <v>2.0</v>
      </c>
      <c r="H53" s="1088">
        <f t="shared" si="686"/>
        <v>0</v>
      </c>
      <c r="I53" s="1091" t="str">
        <f t="shared" si="512"/>
        <v/>
      </c>
      <c r="J53" s="1091" t="str">
        <f t="shared" si="513"/>
        <v/>
      </c>
      <c r="K53" s="1090">
        <f t="shared" si="687"/>
        <v>0</v>
      </c>
      <c r="L53" s="1091" t="str">
        <f t="shared" si="514"/>
        <v/>
      </c>
      <c r="M53" s="1091">
        <f t="shared" si="515"/>
        <v>0</v>
      </c>
      <c r="N53" s="1090">
        <f t="shared" si="688"/>
        <v>0</v>
      </c>
      <c r="O53" s="1091" t="str">
        <f t="shared" si="516"/>
        <v/>
      </c>
      <c r="P53" s="1091">
        <f t="shared" si="517"/>
        <v>0</v>
      </c>
      <c r="Q53" s="1130">
        <f t="shared" si="518"/>
        <v>0</v>
      </c>
      <c r="R53" s="1132" t="str">
        <f t="shared" si="8"/>
        <v/>
      </c>
      <c r="S53" s="1130">
        <f t="shared" si="519"/>
        <v>0</v>
      </c>
      <c r="T53" s="1091" t="str">
        <f t="shared" si="10"/>
        <v/>
      </c>
      <c r="U53" s="1088">
        <f t="shared" si="689"/>
        <v>0</v>
      </c>
      <c r="V53" s="1091" t="str">
        <f t="shared" si="520"/>
        <v/>
      </c>
      <c r="W53" s="1091" t="str">
        <f t="shared" si="521"/>
        <v/>
      </c>
      <c r="X53" s="1090">
        <f t="shared" si="690"/>
        <v>0</v>
      </c>
      <c r="Y53" s="1091" t="str">
        <f t="shared" si="522"/>
        <v/>
      </c>
      <c r="Z53" s="1091" t="str">
        <f t="shared" si="523"/>
        <v/>
      </c>
      <c r="AA53" s="1090">
        <f t="shared" si="691"/>
        <v>0</v>
      </c>
      <c r="AB53" s="1091" t="str">
        <f t="shared" si="524"/>
        <v/>
      </c>
      <c r="AC53" s="1091">
        <f t="shared" si="525"/>
        <v>0</v>
      </c>
      <c r="AD53" s="1130">
        <f t="shared" si="526"/>
        <v>0</v>
      </c>
      <c r="AE53" s="1132" t="str">
        <f t="shared" si="15"/>
        <v/>
      </c>
      <c r="AF53" s="1130">
        <f t="shared" si="527"/>
        <v>0</v>
      </c>
      <c r="AG53" s="1091" t="str">
        <f t="shared" si="17"/>
        <v/>
      </c>
      <c r="AH53" s="1088">
        <f t="shared" si="692"/>
        <v>0</v>
      </c>
      <c r="AI53" s="1091" t="str">
        <f t="shared" si="528"/>
        <v/>
      </c>
      <c r="AJ53" s="1091" t="str">
        <f t="shared" si="529"/>
        <v/>
      </c>
      <c r="AK53" s="1090">
        <f t="shared" si="693"/>
        <v>0</v>
      </c>
      <c r="AL53" s="1091" t="str">
        <f t="shared" si="530"/>
        <v/>
      </c>
      <c r="AM53" s="1091">
        <f t="shared" si="531"/>
        <v>0</v>
      </c>
      <c r="AN53" s="1090">
        <f t="shared" si="694"/>
        <v>0</v>
      </c>
      <c r="AO53" s="1091" t="str">
        <f t="shared" si="532"/>
        <v/>
      </c>
      <c r="AP53" s="1091">
        <f t="shared" si="533"/>
        <v>0</v>
      </c>
      <c r="AQ53" s="1130">
        <f t="shared" si="534"/>
        <v>0</v>
      </c>
      <c r="AR53" s="1132" t="str">
        <f t="shared" si="22"/>
        <v/>
      </c>
      <c r="AS53" s="1130">
        <f t="shared" si="535"/>
        <v>0</v>
      </c>
      <c r="AT53" s="1091" t="str">
        <f t="shared" si="24"/>
        <v/>
      </c>
      <c r="AU53" s="1088">
        <f t="shared" si="536"/>
        <v>0</v>
      </c>
      <c r="AV53" s="1091" t="str">
        <f t="shared" si="537"/>
        <v/>
      </c>
      <c r="AW53" s="1091" t="str">
        <f t="shared" si="538"/>
        <v/>
      </c>
      <c r="AX53" s="1090">
        <f t="shared" si="539"/>
        <v>0</v>
      </c>
      <c r="AY53" s="1091" t="str">
        <f t="shared" si="540"/>
        <v/>
      </c>
      <c r="AZ53" s="1091">
        <f t="shared" si="541"/>
        <v>0</v>
      </c>
      <c r="BA53" s="1090">
        <f t="shared" si="542"/>
        <v>0</v>
      </c>
      <c r="BB53" s="1091" t="str">
        <f t="shared" si="543"/>
        <v/>
      </c>
      <c r="BC53" s="1091">
        <f t="shared" si="544"/>
        <v>0</v>
      </c>
      <c r="BD53" s="1130">
        <f t="shared" si="545"/>
        <v>0</v>
      </c>
      <c r="BE53" s="1132" t="str">
        <f t="shared" si="32"/>
        <v/>
      </c>
      <c r="BF53" s="1130">
        <f t="shared" si="546"/>
        <v>0</v>
      </c>
      <c r="BG53" s="1091" t="str">
        <f t="shared" si="34"/>
        <v/>
      </c>
      <c r="BH53" s="1088">
        <f t="shared" si="695"/>
        <v>0</v>
      </c>
      <c r="BI53" s="1091" t="str">
        <f t="shared" si="547"/>
        <v/>
      </c>
      <c r="BJ53" s="1091">
        <f t="shared" si="548"/>
        <v>0</v>
      </c>
      <c r="BK53" s="1090">
        <f t="shared" si="696"/>
        <v>0</v>
      </c>
      <c r="BL53" s="1091" t="str">
        <f t="shared" si="549"/>
        <v/>
      </c>
      <c r="BM53" s="1091" t="str">
        <f t="shared" si="550"/>
        <v/>
      </c>
      <c r="BN53" s="1090">
        <f t="shared" si="697"/>
        <v>0</v>
      </c>
      <c r="BO53" s="1091" t="str">
        <f t="shared" si="551"/>
        <v/>
      </c>
      <c r="BP53" s="1091">
        <f t="shared" si="552"/>
        <v>0</v>
      </c>
      <c r="BQ53" s="1130">
        <f t="shared" si="553"/>
        <v>0</v>
      </c>
      <c r="BR53" s="1132" t="str">
        <f t="shared" si="39"/>
        <v/>
      </c>
      <c r="BS53" s="1130">
        <f t="shared" si="554"/>
        <v>0</v>
      </c>
      <c r="BT53" s="1091" t="str">
        <f t="shared" si="41"/>
        <v/>
      </c>
      <c r="BU53" s="1088">
        <f t="shared" si="698"/>
        <v>0</v>
      </c>
      <c r="BV53" s="1091" t="str">
        <f t="shared" si="555"/>
        <v/>
      </c>
      <c r="BW53" s="1091">
        <f t="shared" si="556"/>
        <v>0</v>
      </c>
      <c r="BX53" s="1131">
        <f t="shared" si="699"/>
        <v>0</v>
      </c>
      <c r="BY53" s="1091" t="str">
        <f t="shared" si="557"/>
        <v/>
      </c>
      <c r="BZ53" s="1091">
        <f t="shared" si="558"/>
        <v>0</v>
      </c>
      <c r="CA53" s="1131">
        <f t="shared" si="700"/>
        <v>0</v>
      </c>
      <c r="CB53" s="1091" t="str">
        <f t="shared" si="559"/>
        <v/>
      </c>
      <c r="CC53" s="1091">
        <f t="shared" si="560"/>
        <v>0</v>
      </c>
      <c r="CD53" s="1130">
        <f t="shared" si="561"/>
        <v>0</v>
      </c>
      <c r="CE53" s="1132" t="str">
        <f t="shared" si="46"/>
        <v/>
      </c>
      <c r="CF53" s="1130">
        <f t="shared" si="562"/>
        <v>0</v>
      </c>
      <c r="CG53" s="1091" t="str">
        <f t="shared" si="48"/>
        <v/>
      </c>
      <c r="CH53" s="1088">
        <f t="shared" si="701"/>
        <v>0</v>
      </c>
      <c r="CI53" s="1091" t="str">
        <f t="shared" si="563"/>
        <v/>
      </c>
      <c r="CJ53" s="1091">
        <f t="shared" si="564"/>
        <v>0</v>
      </c>
      <c r="CK53" s="1131">
        <f t="shared" si="702"/>
        <v>0</v>
      </c>
      <c r="CL53" s="1091" t="str">
        <f t="shared" si="565"/>
        <v/>
      </c>
      <c r="CM53" s="1091" t="str">
        <f t="shared" si="566"/>
        <v/>
      </c>
      <c r="CN53" s="1131">
        <f t="shared" si="703"/>
        <v>0</v>
      </c>
      <c r="CO53" s="1091" t="str">
        <f t="shared" si="567"/>
        <v/>
      </c>
      <c r="CP53" s="1091" t="str">
        <f t="shared" si="568"/>
        <v/>
      </c>
      <c r="CQ53" s="1130">
        <f t="shared" si="569"/>
        <v>0</v>
      </c>
      <c r="CR53" s="1132" t="str">
        <f t="shared" si="53"/>
        <v/>
      </c>
      <c r="CS53" s="1130">
        <f t="shared" si="570"/>
        <v>0</v>
      </c>
      <c r="CT53" s="1091" t="str">
        <f t="shared" si="55"/>
        <v/>
      </c>
      <c r="CU53" s="1088">
        <f t="shared" si="571"/>
        <v>0</v>
      </c>
      <c r="CV53" s="1091" t="str">
        <f t="shared" si="572"/>
        <v/>
      </c>
      <c r="CW53" s="1091">
        <f t="shared" si="573"/>
        <v>0</v>
      </c>
      <c r="CX53" s="1131">
        <f t="shared" si="574"/>
        <v>0</v>
      </c>
      <c r="CY53" s="1091" t="str">
        <f t="shared" si="575"/>
        <v/>
      </c>
      <c r="CZ53" s="1091" t="str">
        <f t="shared" si="576"/>
        <v/>
      </c>
      <c r="DA53" s="1131">
        <f t="shared" si="577"/>
        <v>0</v>
      </c>
      <c r="DB53" s="1091" t="str">
        <f t="shared" si="578"/>
        <v/>
      </c>
      <c r="DC53" s="1091" t="str">
        <f t="shared" si="579"/>
        <v/>
      </c>
      <c r="DD53" s="1130">
        <f t="shared" si="580"/>
        <v>0</v>
      </c>
      <c r="DE53" s="1132" t="str">
        <f t="shared" si="63"/>
        <v/>
      </c>
      <c r="DF53" s="1130">
        <f t="shared" si="581"/>
        <v>0</v>
      </c>
      <c r="DG53" s="1091" t="str">
        <f t="shared" si="65"/>
        <v/>
      </c>
      <c r="DH53" s="1088">
        <f t="shared" si="582"/>
        <v>0</v>
      </c>
      <c r="DI53" s="1091" t="str">
        <f t="shared" si="583"/>
        <v/>
      </c>
      <c r="DJ53" s="1091">
        <f t="shared" si="584"/>
        <v>0</v>
      </c>
      <c r="DK53" s="1090">
        <f t="shared" si="585"/>
        <v>0</v>
      </c>
      <c r="DL53" s="1091" t="str">
        <f t="shared" si="586"/>
        <v/>
      </c>
      <c r="DM53" s="1091">
        <f t="shared" si="587"/>
        <v>0</v>
      </c>
      <c r="DN53" s="1090">
        <f t="shared" si="588"/>
        <v>0</v>
      </c>
      <c r="DO53" s="1091" t="str">
        <f t="shared" si="589"/>
        <v/>
      </c>
      <c r="DP53" s="1091">
        <f t="shared" si="590"/>
        <v>0</v>
      </c>
      <c r="DQ53" s="1130">
        <f t="shared" si="591"/>
        <v>0</v>
      </c>
      <c r="DR53" s="1132" t="str">
        <f t="shared" si="73"/>
        <v/>
      </c>
      <c r="DS53" s="1130">
        <f t="shared" si="592"/>
        <v>0</v>
      </c>
      <c r="DT53" s="1091" t="str">
        <f t="shared" si="75"/>
        <v/>
      </c>
      <c r="DU53" s="1088">
        <f t="shared" si="704"/>
        <v>0</v>
      </c>
      <c r="DV53" s="1091" t="str">
        <f t="shared" si="593"/>
        <v/>
      </c>
      <c r="DW53" s="1091">
        <f t="shared" si="594"/>
        <v>0</v>
      </c>
      <c r="DX53" s="1131">
        <f t="shared" si="705"/>
        <v>0</v>
      </c>
      <c r="DY53" s="1091" t="str">
        <f t="shared" si="595"/>
        <v/>
      </c>
      <c r="DZ53" s="1091">
        <f t="shared" si="596"/>
        <v>0</v>
      </c>
      <c r="EA53" s="1131">
        <f t="shared" si="706"/>
        <v>0</v>
      </c>
      <c r="EB53" s="1091" t="str">
        <f t="shared" si="597"/>
        <v/>
      </c>
      <c r="EC53" s="1091" t="str">
        <f t="shared" si="598"/>
        <v/>
      </c>
      <c r="ED53" s="1130">
        <f t="shared" si="599"/>
        <v>0</v>
      </c>
      <c r="EE53" s="1132" t="str">
        <f t="shared" si="80"/>
        <v/>
      </c>
      <c r="EF53" s="1130">
        <f t="shared" si="600"/>
        <v>0</v>
      </c>
      <c r="EG53" s="1091" t="str">
        <f t="shared" si="82"/>
        <v/>
      </c>
      <c r="EH53" s="1088">
        <f t="shared" si="707"/>
        <v>0</v>
      </c>
      <c r="EI53" s="1091" t="str">
        <f t="shared" si="601"/>
        <v/>
      </c>
      <c r="EJ53" s="1091">
        <f t="shared" si="602"/>
        <v>0</v>
      </c>
      <c r="EK53" s="1131">
        <f t="shared" si="708"/>
        <v>0</v>
      </c>
      <c r="EL53" s="1091" t="str">
        <f t="shared" si="603"/>
        <v/>
      </c>
      <c r="EM53" s="1091">
        <f t="shared" si="604"/>
        <v>0</v>
      </c>
      <c r="EN53" s="1131">
        <f t="shared" si="709"/>
        <v>0</v>
      </c>
      <c r="EO53" s="1091" t="str">
        <f t="shared" si="605"/>
        <v/>
      </c>
      <c r="EP53" s="1091" t="str">
        <f t="shared" si="606"/>
        <v/>
      </c>
      <c r="EQ53" s="1130">
        <f t="shared" si="607"/>
        <v>0</v>
      </c>
      <c r="ER53" s="1132" t="str">
        <f t="shared" si="87"/>
        <v/>
      </c>
      <c r="ES53" s="1130">
        <f t="shared" si="608"/>
        <v>0</v>
      </c>
      <c r="ET53" s="1091" t="str">
        <f t="shared" si="89"/>
        <v/>
      </c>
      <c r="EU53" s="1088">
        <f t="shared" si="710"/>
        <v>0</v>
      </c>
      <c r="EV53" s="1091" t="str">
        <f t="shared" si="609"/>
        <v/>
      </c>
      <c r="EW53" s="1091">
        <f t="shared" si="610"/>
        <v>0</v>
      </c>
      <c r="EX53" s="1131">
        <f t="shared" si="711"/>
        <v>0</v>
      </c>
      <c r="EY53" s="1091" t="str">
        <f t="shared" si="611"/>
        <v/>
      </c>
      <c r="EZ53" s="1091">
        <f t="shared" si="612"/>
        <v>0</v>
      </c>
      <c r="FA53" s="1131">
        <f t="shared" si="613"/>
        <v>0</v>
      </c>
      <c r="FB53" s="1091" t="str">
        <f t="shared" si="614"/>
        <v/>
      </c>
      <c r="FC53" s="1091" t="str">
        <f t="shared" si="615"/>
        <v/>
      </c>
      <c r="FD53" s="1130">
        <f t="shared" si="616"/>
        <v>0</v>
      </c>
      <c r="FE53" s="1132" t="str">
        <f t="shared" si="94"/>
        <v/>
      </c>
      <c r="FF53" s="1130">
        <f t="shared" si="617"/>
        <v>0</v>
      </c>
      <c r="FG53" s="1091" t="str">
        <f t="shared" si="96"/>
        <v/>
      </c>
      <c r="FH53" s="1088">
        <f t="shared" si="618"/>
        <v>0</v>
      </c>
      <c r="FI53" s="1091" t="str">
        <f t="shared" si="619"/>
        <v/>
      </c>
      <c r="FJ53" s="1091">
        <f t="shared" si="620"/>
        <v>0</v>
      </c>
      <c r="FK53" s="1090">
        <f t="shared" si="621"/>
        <v>0</v>
      </c>
      <c r="FL53" s="1091" t="str">
        <f t="shared" si="622"/>
        <v/>
      </c>
      <c r="FM53" s="1091">
        <f t="shared" si="623"/>
        <v>0</v>
      </c>
      <c r="FN53" s="1090">
        <f t="shared" si="624"/>
        <v>0</v>
      </c>
      <c r="FO53" s="1091" t="str">
        <f t="shared" si="625"/>
        <v/>
      </c>
      <c r="FP53" s="1091" t="str">
        <f t="shared" si="626"/>
        <v/>
      </c>
      <c r="FQ53" s="1130">
        <f t="shared" si="627"/>
        <v>0</v>
      </c>
      <c r="FR53" s="1132" t="str">
        <f t="shared" si="104"/>
        <v/>
      </c>
      <c r="FS53" s="1130">
        <f t="shared" si="628"/>
        <v>0</v>
      </c>
      <c r="FT53" s="1091" t="str">
        <f t="shared" si="106"/>
        <v/>
      </c>
      <c r="FU53" s="1088">
        <f t="shared" si="712"/>
        <v>0</v>
      </c>
      <c r="FV53" s="1091" t="str">
        <f t="shared" si="629"/>
        <v/>
      </c>
      <c r="FW53" s="1091">
        <f t="shared" si="630"/>
        <v>0</v>
      </c>
      <c r="FX53" s="1131">
        <f t="shared" si="713"/>
        <v>0</v>
      </c>
      <c r="FY53" s="1091" t="str">
        <f t="shared" si="631"/>
        <v/>
      </c>
      <c r="FZ53" s="1091">
        <f t="shared" si="632"/>
        <v>0</v>
      </c>
      <c r="GA53" s="1131">
        <f t="shared" si="714"/>
        <v>0</v>
      </c>
      <c r="GB53" s="1091" t="str">
        <f t="shared" si="633"/>
        <v/>
      </c>
      <c r="GC53" s="1091" t="str">
        <f t="shared" si="634"/>
        <v/>
      </c>
      <c r="GD53" s="1130">
        <f t="shared" si="635"/>
        <v>0</v>
      </c>
      <c r="GE53" s="1132" t="str">
        <f t="shared" si="111"/>
        <v/>
      </c>
      <c r="GF53" s="1130">
        <f t="shared" si="636"/>
        <v>0</v>
      </c>
      <c r="GG53" s="1091" t="str">
        <f t="shared" si="113"/>
        <v/>
      </c>
      <c r="GH53" s="1088">
        <f t="shared" si="715"/>
        <v>0</v>
      </c>
      <c r="GI53" s="1091" t="str">
        <f t="shared" si="637"/>
        <v/>
      </c>
      <c r="GJ53" s="1091">
        <f t="shared" si="638"/>
        <v>0</v>
      </c>
      <c r="GK53" s="1131">
        <f t="shared" si="716"/>
        <v>0</v>
      </c>
      <c r="GL53" s="1091" t="str">
        <f t="shared" si="639"/>
        <v/>
      </c>
      <c r="GM53" s="1091">
        <f t="shared" si="640"/>
        <v>0</v>
      </c>
      <c r="GN53" s="1131">
        <f t="shared" si="717"/>
        <v>0</v>
      </c>
      <c r="GO53" s="1091" t="str">
        <f t="shared" si="641"/>
        <v/>
      </c>
      <c r="GP53" s="1091" t="str">
        <f t="shared" si="642"/>
        <v/>
      </c>
      <c r="GQ53" s="1130">
        <f t="shared" si="643"/>
        <v>0</v>
      </c>
      <c r="GR53" s="1132" t="str">
        <f t="shared" si="118"/>
        <v/>
      </c>
      <c r="GS53" s="1130">
        <f t="shared" si="644"/>
        <v>0</v>
      </c>
      <c r="GT53" s="1091" t="str">
        <f t="shared" si="120"/>
        <v/>
      </c>
      <c r="GU53" s="1088">
        <f t="shared" si="718"/>
        <v>0</v>
      </c>
      <c r="GV53" s="1091" t="str">
        <f t="shared" si="645"/>
        <v/>
      </c>
      <c r="GW53" s="1091">
        <f t="shared" si="646"/>
        <v>0</v>
      </c>
      <c r="GX53" s="1131">
        <f t="shared" si="719"/>
        <v>0</v>
      </c>
      <c r="GY53" s="1091" t="str">
        <f t="shared" si="647"/>
        <v/>
      </c>
      <c r="GZ53" s="1091">
        <f t="shared" si="648"/>
        <v>0</v>
      </c>
      <c r="HA53" s="1131">
        <f t="shared" si="720"/>
        <v>0</v>
      </c>
      <c r="HB53" s="1091" t="str">
        <f t="shared" si="649"/>
        <v/>
      </c>
      <c r="HC53" s="1091" t="str">
        <f t="shared" si="650"/>
        <v/>
      </c>
      <c r="HD53" s="1130">
        <f t="shared" si="651"/>
        <v>0</v>
      </c>
      <c r="HE53" s="1132" t="str">
        <f t="shared" si="125"/>
        <v/>
      </c>
      <c r="HF53" s="1130">
        <f t="shared" si="652"/>
        <v>0</v>
      </c>
      <c r="HG53" s="1091" t="str">
        <f t="shared" si="127"/>
        <v/>
      </c>
      <c r="HH53" s="1088">
        <f t="shared" si="653"/>
        <v>0</v>
      </c>
      <c r="HI53" s="1091" t="str">
        <f t="shared" si="654"/>
        <v/>
      </c>
      <c r="HJ53" s="1091">
        <f t="shared" si="655"/>
        <v>0</v>
      </c>
      <c r="HK53" s="1090">
        <f t="shared" si="656"/>
        <v>0</v>
      </c>
      <c r="HL53" s="1091" t="str">
        <f t="shared" si="657"/>
        <v/>
      </c>
      <c r="HM53" s="1091">
        <f t="shared" si="658"/>
        <v>0</v>
      </c>
      <c r="HN53" s="1090">
        <f t="shared" si="659"/>
        <v>0</v>
      </c>
      <c r="HO53" s="1091" t="str">
        <f t="shared" si="660"/>
        <v/>
      </c>
      <c r="HP53" s="1091" t="str">
        <f t="shared" si="661"/>
        <v/>
      </c>
      <c r="HQ53" s="1130">
        <f t="shared" si="662"/>
        <v>0</v>
      </c>
      <c r="HR53" s="1132" t="str">
        <f t="shared" si="135"/>
        <v/>
      </c>
      <c r="HS53" s="1130">
        <f t="shared" si="663"/>
        <v>0</v>
      </c>
      <c r="HT53" s="1091" t="str">
        <f t="shared" si="137"/>
        <v/>
      </c>
      <c r="HU53" s="1088">
        <f t="shared" si="664"/>
        <v>0</v>
      </c>
      <c r="HV53" s="1091" t="str">
        <f t="shared" si="665"/>
        <v/>
      </c>
      <c r="HW53" s="1091">
        <f t="shared" si="666"/>
        <v>0</v>
      </c>
      <c r="HX53" s="1090">
        <f t="shared" si="667"/>
        <v>0</v>
      </c>
      <c r="HY53" s="1091" t="str">
        <f t="shared" si="668"/>
        <v/>
      </c>
      <c r="HZ53" s="1091">
        <f t="shared" si="669"/>
        <v>0</v>
      </c>
      <c r="IA53" s="1090">
        <f t="shared" si="670"/>
        <v>0</v>
      </c>
      <c r="IB53" s="1091" t="str">
        <f t="shared" si="671"/>
        <v/>
      </c>
      <c r="IC53" s="1091" t="str">
        <f t="shared" si="672"/>
        <v/>
      </c>
      <c r="ID53" s="1130">
        <f t="shared" si="673"/>
        <v>0</v>
      </c>
      <c r="IE53" s="1132" t="str">
        <f t="shared" si="145"/>
        <v/>
      </c>
      <c r="IF53" s="1130">
        <f t="shared" si="674"/>
        <v>0</v>
      </c>
      <c r="IG53" s="1091" t="str">
        <f t="shared" si="147"/>
        <v/>
      </c>
      <c r="IH53" s="1088">
        <f t="shared" si="675"/>
        <v>0</v>
      </c>
      <c r="II53" s="1091" t="str">
        <f t="shared" si="676"/>
        <v/>
      </c>
      <c r="IJ53" s="1091">
        <f t="shared" si="677"/>
        <v>0</v>
      </c>
      <c r="IK53" s="1090">
        <f t="shared" si="678"/>
        <v>0</v>
      </c>
      <c r="IL53" s="1091" t="str">
        <f t="shared" si="679"/>
        <v/>
      </c>
      <c r="IM53" s="1091">
        <f t="shared" si="680"/>
        <v>0</v>
      </c>
      <c r="IN53" s="1090">
        <f t="shared" si="681"/>
        <v>0</v>
      </c>
      <c r="IO53" s="1091" t="str">
        <f t="shared" si="682"/>
        <v/>
      </c>
      <c r="IP53" s="1091">
        <f t="shared" si="683"/>
        <v>0</v>
      </c>
      <c r="IQ53" s="1130">
        <f t="shared" si="684"/>
        <v>0</v>
      </c>
      <c r="IR53" s="1132" t="str">
        <f t="shared" si="1"/>
        <v/>
      </c>
      <c r="IS53" s="1130">
        <f t="shared" si="685"/>
        <v>0</v>
      </c>
      <c r="IT53" s="1091" t="str">
        <f t="shared" si="2"/>
        <v/>
      </c>
    </row>
    <row r="54" collapsed="1">
      <c r="A54" s="1113" t="str">
        <f t="shared" si="511"/>
        <v/>
      </c>
      <c r="B54" s="1114" t="s">
        <v>2067</v>
      </c>
      <c r="C54" s="1114"/>
      <c r="D54" s="1114" t="str">
        <f>IF(C54&gt;0,VLOOKUP(C54,DM_DUAN ,2,"") ,IF(B54&gt;0,VLOOKUP(B54,DM_CDT,2,""),""))</f>
        <v>NAM PHONG</v>
      </c>
      <c r="E54" s="1115"/>
      <c r="F54" s="1115"/>
      <c r="G54" s="1116">
        <v>1.0</v>
      </c>
      <c r="H54" s="1120">
        <f>SUMIF($B55:$B$63,$B54,H55:H$63)</f>
        <v>0</v>
      </c>
      <c r="I54" s="1117" t="str">
        <f t="shared" si="512"/>
        <v/>
      </c>
      <c r="J54" s="1117" t="str">
        <f t="shared" si="513"/>
        <v/>
      </c>
      <c r="K54" s="1120">
        <f>SUMIF($B55:$B$63,$B54,K55:K$63)</f>
        <v>0</v>
      </c>
      <c r="L54" s="1117" t="str">
        <f t="shared" si="514"/>
        <v/>
      </c>
      <c r="M54" s="1117">
        <f t="shared" si="515"/>
        <v>0</v>
      </c>
      <c r="N54" s="1120">
        <f>SUMIF($B55:$B$63,$B54,N55:N$63)</f>
        <v>0</v>
      </c>
      <c r="O54" s="1117" t="str">
        <f t="shared" si="516"/>
        <v/>
      </c>
      <c r="P54" s="1117">
        <f t="shared" si="517"/>
        <v>0</v>
      </c>
      <c r="Q54" s="1128">
        <f t="shared" si="518"/>
        <v>0</v>
      </c>
      <c r="R54" s="1117" t="str">
        <f t="shared" si="8"/>
        <v/>
      </c>
      <c r="S54" s="1128">
        <f t="shared" si="519"/>
        <v>0</v>
      </c>
      <c r="T54" s="1117" t="str">
        <f t="shared" si="10"/>
        <v/>
      </c>
      <c r="U54" s="1120">
        <f>SUMIF($B55:$B$63,$B54,U55:U$63)</f>
        <v>0</v>
      </c>
      <c r="V54" s="1117" t="str">
        <f t="shared" si="520"/>
        <v/>
      </c>
      <c r="W54" s="1117" t="str">
        <f t="shared" si="521"/>
        <v/>
      </c>
      <c r="X54" s="1120">
        <f>SUMIF($B55:$B$63,$B54,X55:X$63)</f>
        <v>0</v>
      </c>
      <c r="Y54" s="1117" t="str">
        <f t="shared" si="522"/>
        <v/>
      </c>
      <c r="Z54" s="1117" t="str">
        <f t="shared" si="523"/>
        <v/>
      </c>
      <c r="AA54" s="1120">
        <f>SUMIF($B55:$B$63,$B54,AA55:AA$63)</f>
        <v>0</v>
      </c>
      <c r="AB54" s="1117" t="str">
        <f t="shared" si="524"/>
        <v/>
      </c>
      <c r="AC54" s="1117">
        <f t="shared" si="525"/>
        <v>0</v>
      </c>
      <c r="AD54" s="1128">
        <f t="shared" si="526"/>
        <v>0</v>
      </c>
      <c r="AE54" s="1117" t="str">
        <f t="shared" si="15"/>
        <v/>
      </c>
      <c r="AF54" s="1128">
        <f t="shared" si="527"/>
        <v>0</v>
      </c>
      <c r="AG54" s="1117" t="str">
        <f t="shared" si="17"/>
        <v/>
      </c>
      <c r="AH54" s="1120">
        <f>SUMIF($B55:$B$63,$B54,AH55:AH$63)</f>
        <v>0</v>
      </c>
      <c r="AI54" s="1117" t="str">
        <f t="shared" si="528"/>
        <v/>
      </c>
      <c r="AJ54" s="1117" t="str">
        <f t="shared" si="529"/>
        <v/>
      </c>
      <c r="AK54" s="1120">
        <f>SUMIF($B55:$B$63,$B54,AK55:AK$63)</f>
        <v>0</v>
      </c>
      <c r="AL54" s="1117" t="str">
        <f t="shared" si="530"/>
        <v/>
      </c>
      <c r="AM54" s="1117">
        <f t="shared" si="531"/>
        <v>0</v>
      </c>
      <c r="AN54" s="1120">
        <f>SUMIF($B55:$B$63,$B54,AN55:AN$63)</f>
        <v>0</v>
      </c>
      <c r="AO54" s="1117" t="str">
        <f t="shared" si="532"/>
        <v/>
      </c>
      <c r="AP54" s="1117">
        <f t="shared" si="533"/>
        <v>0</v>
      </c>
      <c r="AQ54" s="1128">
        <f t="shared" si="534"/>
        <v>0</v>
      </c>
      <c r="AR54" s="1117" t="str">
        <f t="shared" si="22"/>
        <v/>
      </c>
      <c r="AS54" s="1128">
        <f t="shared" si="535"/>
        <v>0</v>
      </c>
      <c r="AT54" s="1117" t="str">
        <f t="shared" si="24"/>
        <v/>
      </c>
      <c r="AU54" s="1120">
        <f t="shared" si="536"/>
        <v>0</v>
      </c>
      <c r="AV54" s="1117" t="str">
        <f t="shared" si="537"/>
        <v/>
      </c>
      <c r="AW54" s="1117" t="str">
        <f t="shared" si="538"/>
        <v/>
      </c>
      <c r="AX54" s="1119">
        <f t="shared" si="539"/>
        <v>0</v>
      </c>
      <c r="AY54" s="1117" t="str">
        <f t="shared" si="540"/>
        <v/>
      </c>
      <c r="AZ54" s="1117">
        <f t="shared" si="541"/>
        <v>0</v>
      </c>
      <c r="BA54" s="1119">
        <f t="shared" si="542"/>
        <v>0</v>
      </c>
      <c r="BB54" s="1117" t="str">
        <f t="shared" si="543"/>
        <v/>
      </c>
      <c r="BC54" s="1117">
        <f t="shared" si="544"/>
        <v>0</v>
      </c>
      <c r="BD54" s="1128">
        <f t="shared" si="545"/>
        <v>0</v>
      </c>
      <c r="BE54" s="1117" t="str">
        <f t="shared" si="32"/>
        <v/>
      </c>
      <c r="BF54" s="1128">
        <f t="shared" si="546"/>
        <v>0</v>
      </c>
      <c r="BG54" s="1117" t="str">
        <f t="shared" si="34"/>
        <v/>
      </c>
      <c r="BH54" s="1120">
        <f>SUMIF($B55:$B$63,$B54,BH55:BH$63)</f>
        <v>2400000</v>
      </c>
      <c r="BI54" s="1117" t="str">
        <f t="shared" si="547"/>
        <v/>
      </c>
      <c r="BJ54" s="1117">
        <f t="shared" si="548"/>
        <v>0.6</v>
      </c>
      <c r="BK54" s="1120">
        <f>SUMIF($B55:$B$63,$B54,BK55:BK$63)</f>
        <v>0</v>
      </c>
      <c r="BL54" s="1117" t="str">
        <f t="shared" si="549"/>
        <v/>
      </c>
      <c r="BM54" s="1117" t="str">
        <f t="shared" si="550"/>
        <v/>
      </c>
      <c r="BN54" s="1120">
        <f>SUMIF($B55:$B$63,$B54,BN55:BN$63)</f>
        <v>0</v>
      </c>
      <c r="BO54" s="1117" t="str">
        <f t="shared" si="551"/>
        <v/>
      </c>
      <c r="BP54" s="1117">
        <f t="shared" si="552"/>
        <v>0</v>
      </c>
      <c r="BQ54" s="1128">
        <f t="shared" si="553"/>
        <v>-2400000</v>
      </c>
      <c r="BR54" s="1117">
        <f t="shared" si="39"/>
        <v>-1</v>
      </c>
      <c r="BS54" s="1128">
        <f t="shared" si="554"/>
        <v>0</v>
      </c>
      <c r="BT54" s="1117" t="str">
        <f t="shared" si="41"/>
        <v/>
      </c>
      <c r="BU54" s="1120">
        <f>SUMIF($B55:$B$63,$B54,BU55:BU$63)</f>
        <v>2400000</v>
      </c>
      <c r="BV54" s="1117" t="str">
        <f t="shared" si="555"/>
        <v/>
      </c>
      <c r="BW54" s="1117">
        <f t="shared" si="556"/>
        <v>0.6</v>
      </c>
      <c r="BX54" s="1120">
        <f>SUMIF($B55:$B$63,$B54,BX55:BX$63)</f>
        <v>0</v>
      </c>
      <c r="BY54" s="1117" t="str">
        <f t="shared" si="557"/>
        <v/>
      </c>
      <c r="BZ54" s="1117">
        <f t="shared" si="558"/>
        <v>0</v>
      </c>
      <c r="CA54" s="1120">
        <f>SUMIF($B55:$B$63,$B54,CA55:CA$63)</f>
        <v>0</v>
      </c>
      <c r="CB54" s="1117" t="str">
        <f t="shared" si="559"/>
        <v/>
      </c>
      <c r="CC54" s="1117">
        <f t="shared" si="560"/>
        <v>0</v>
      </c>
      <c r="CD54" s="1128">
        <f t="shared" si="561"/>
        <v>-2400000</v>
      </c>
      <c r="CE54" s="1117">
        <f t="shared" si="46"/>
        <v>-1</v>
      </c>
      <c r="CF54" s="1128">
        <f t="shared" si="562"/>
        <v>0</v>
      </c>
      <c r="CG54" s="1117" t="str">
        <f t="shared" si="48"/>
        <v/>
      </c>
      <c r="CH54" s="1120">
        <f>SUMIF($B55:$B$63,$B54,CH55:CH$63)</f>
        <v>2400000</v>
      </c>
      <c r="CI54" s="1117" t="str">
        <f t="shared" si="563"/>
        <v/>
      </c>
      <c r="CJ54" s="1117">
        <f t="shared" si="564"/>
        <v>0.6</v>
      </c>
      <c r="CK54" s="1120">
        <f>SUMIF($B55:$B$63,$B54,CK55:CK$63)</f>
        <v>0</v>
      </c>
      <c r="CL54" s="1117" t="str">
        <f t="shared" si="565"/>
        <v/>
      </c>
      <c r="CM54" s="1117" t="str">
        <f t="shared" si="566"/>
        <v/>
      </c>
      <c r="CN54" s="1120">
        <f>SUMIF($B55:$B$63,$B54,CN55:CN$63)</f>
        <v>0</v>
      </c>
      <c r="CO54" s="1117" t="str">
        <f t="shared" si="567"/>
        <v/>
      </c>
      <c r="CP54" s="1117" t="str">
        <f t="shared" si="568"/>
        <v/>
      </c>
      <c r="CQ54" s="1128">
        <f t="shared" si="569"/>
        <v>-2400000</v>
      </c>
      <c r="CR54" s="1117">
        <f t="shared" si="53"/>
        <v>-1</v>
      </c>
      <c r="CS54" s="1128">
        <f t="shared" si="570"/>
        <v>0</v>
      </c>
      <c r="CT54" s="1117" t="str">
        <f t="shared" si="55"/>
        <v/>
      </c>
      <c r="CU54" s="1120">
        <f t="shared" si="571"/>
        <v>7200000</v>
      </c>
      <c r="CV54" s="1117" t="str">
        <f t="shared" si="572"/>
        <v/>
      </c>
      <c r="CW54" s="1117">
        <f t="shared" si="573"/>
        <v>0.6</v>
      </c>
      <c r="CX54" s="1133">
        <f t="shared" si="574"/>
        <v>0</v>
      </c>
      <c r="CY54" s="1117" t="str">
        <f t="shared" si="575"/>
        <v/>
      </c>
      <c r="CZ54" s="1117" t="str">
        <f t="shared" si="576"/>
        <v/>
      </c>
      <c r="DA54" s="1133">
        <f t="shared" si="577"/>
        <v>0</v>
      </c>
      <c r="DB54" s="1117" t="str">
        <f t="shared" si="578"/>
        <v/>
      </c>
      <c r="DC54" s="1117" t="str">
        <f t="shared" si="579"/>
        <v/>
      </c>
      <c r="DD54" s="1128">
        <f t="shared" si="580"/>
        <v>-7200000</v>
      </c>
      <c r="DE54" s="1117">
        <f t="shared" si="63"/>
        <v>-1</v>
      </c>
      <c r="DF54" s="1128">
        <f t="shared" si="581"/>
        <v>0</v>
      </c>
      <c r="DG54" s="1117" t="str">
        <f t="shared" si="65"/>
        <v/>
      </c>
      <c r="DH54" s="1120">
        <f t="shared" si="582"/>
        <v>7200000</v>
      </c>
      <c r="DI54" s="1117" t="str">
        <f t="shared" si="583"/>
        <v/>
      </c>
      <c r="DJ54" s="1117">
        <f t="shared" si="584"/>
        <v>0.6</v>
      </c>
      <c r="DK54" s="1119">
        <f t="shared" si="585"/>
        <v>0</v>
      </c>
      <c r="DL54" s="1117" t="str">
        <f t="shared" si="586"/>
        <v/>
      </c>
      <c r="DM54" s="1117">
        <f t="shared" si="587"/>
        <v>0</v>
      </c>
      <c r="DN54" s="1119">
        <f t="shared" si="588"/>
        <v>0</v>
      </c>
      <c r="DO54" s="1117" t="str">
        <f t="shared" si="589"/>
        <v/>
      </c>
      <c r="DP54" s="1117">
        <f t="shared" si="590"/>
        <v>0</v>
      </c>
      <c r="DQ54" s="1128">
        <f t="shared" si="591"/>
        <v>-7200000</v>
      </c>
      <c r="DR54" s="1117">
        <f t="shared" si="73"/>
        <v>-1</v>
      </c>
      <c r="DS54" s="1128">
        <f t="shared" si="592"/>
        <v>0</v>
      </c>
      <c r="DT54" s="1117" t="str">
        <f t="shared" si="75"/>
        <v/>
      </c>
      <c r="DU54" s="1120">
        <f>SUMIF($B55:$B$63,$B54,DU55:DU$63)</f>
        <v>2400000</v>
      </c>
      <c r="DV54" s="1117" t="str">
        <f t="shared" si="593"/>
        <v/>
      </c>
      <c r="DW54" s="1117">
        <f t="shared" si="594"/>
        <v>0.6</v>
      </c>
      <c r="DX54" s="1120">
        <f>SUMIF($B55:$B$63,$B54,DX55:DX$63)</f>
        <v>4800000</v>
      </c>
      <c r="DY54" s="1117" t="str">
        <f t="shared" si="595"/>
        <v/>
      </c>
      <c r="DZ54" s="1117">
        <f t="shared" si="596"/>
        <v>0.794701992</v>
      </c>
      <c r="EA54" s="1120">
        <f>SUMIF($B55:$B$63,$B54,EA55:EA$63)</f>
        <v>0</v>
      </c>
      <c r="EB54" s="1117" t="str">
        <f t="shared" si="597"/>
        <v/>
      </c>
      <c r="EC54" s="1117" t="str">
        <f t="shared" si="598"/>
        <v/>
      </c>
      <c r="ED54" s="1128">
        <f t="shared" si="599"/>
        <v>-2400000</v>
      </c>
      <c r="EE54" s="1117">
        <f t="shared" si="80"/>
        <v>-1</v>
      </c>
      <c r="EF54" s="1128">
        <f t="shared" si="600"/>
        <v>-4800000</v>
      </c>
      <c r="EG54" s="1117">
        <f t="shared" si="82"/>
        <v>-1</v>
      </c>
      <c r="EH54" s="1120">
        <f>SUMIF($B55:$B$63,$B54,EH55:EH$63)</f>
        <v>2400000</v>
      </c>
      <c r="EI54" s="1117" t="str">
        <f t="shared" si="601"/>
        <v/>
      </c>
      <c r="EJ54" s="1117">
        <f t="shared" si="602"/>
        <v>0.6</v>
      </c>
      <c r="EK54" s="1120">
        <f>SUMIF($B55:$B$63,$B54,EK55:EK$63)</f>
        <v>4800000</v>
      </c>
      <c r="EL54" s="1117" t="str">
        <f t="shared" si="603"/>
        <v/>
      </c>
      <c r="EM54" s="1117">
        <f t="shared" si="604"/>
        <v>0.794701992</v>
      </c>
      <c r="EN54" s="1120">
        <f>SUMIF($B55:$B$63,$B54,EN55:EN$63)</f>
        <v>0</v>
      </c>
      <c r="EO54" s="1117" t="str">
        <f t="shared" si="605"/>
        <v/>
      </c>
      <c r="EP54" s="1117" t="str">
        <f t="shared" si="606"/>
        <v/>
      </c>
      <c r="EQ54" s="1128">
        <f t="shared" si="607"/>
        <v>-2400000</v>
      </c>
      <c r="ER54" s="1117">
        <f t="shared" si="87"/>
        <v>-1</v>
      </c>
      <c r="ES54" s="1128">
        <f t="shared" si="608"/>
        <v>-4800000</v>
      </c>
      <c r="ET54" s="1117">
        <f t="shared" si="89"/>
        <v>-1</v>
      </c>
      <c r="EU54" s="1120">
        <f>SUMIF($B55:$B$63,$B54,EU55:EU$63)</f>
        <v>2400000</v>
      </c>
      <c r="EV54" s="1117" t="str">
        <f t="shared" si="609"/>
        <v/>
      </c>
      <c r="EW54" s="1117">
        <f t="shared" si="610"/>
        <v>0.6</v>
      </c>
      <c r="EX54" s="1120">
        <f>SUMIF($B55:$B$63,$B54,EX55:EX$63)</f>
        <v>4800000</v>
      </c>
      <c r="EY54" s="1117" t="str">
        <f t="shared" si="611"/>
        <v/>
      </c>
      <c r="EZ54" s="1117">
        <f t="shared" si="612"/>
        <v>0.794701992</v>
      </c>
      <c r="FA54" s="1133">
        <f t="shared" si="613"/>
        <v>0</v>
      </c>
      <c r="FB54" s="1117" t="str">
        <f t="shared" si="614"/>
        <v/>
      </c>
      <c r="FC54" s="1117" t="str">
        <f t="shared" si="615"/>
        <v/>
      </c>
      <c r="FD54" s="1128">
        <f t="shared" si="616"/>
        <v>-2400000</v>
      </c>
      <c r="FE54" s="1117">
        <f t="shared" si="94"/>
        <v>-1</v>
      </c>
      <c r="FF54" s="1128">
        <f t="shared" si="617"/>
        <v>-4800000</v>
      </c>
      <c r="FG54" s="1117">
        <f t="shared" si="96"/>
        <v>-1</v>
      </c>
      <c r="FH54" s="1120">
        <f t="shared" si="618"/>
        <v>7200000</v>
      </c>
      <c r="FI54" s="1117" t="str">
        <f t="shared" si="619"/>
        <v/>
      </c>
      <c r="FJ54" s="1117">
        <f t="shared" si="620"/>
        <v>0.6</v>
      </c>
      <c r="FK54" s="1119">
        <f t="shared" si="621"/>
        <v>14400000</v>
      </c>
      <c r="FL54" s="1117" t="str">
        <f t="shared" si="622"/>
        <v/>
      </c>
      <c r="FM54" s="1117">
        <f t="shared" si="623"/>
        <v>0.794701992</v>
      </c>
      <c r="FN54" s="1119">
        <f t="shared" si="624"/>
        <v>0</v>
      </c>
      <c r="FO54" s="1117" t="str">
        <f t="shared" si="625"/>
        <v/>
      </c>
      <c r="FP54" s="1117" t="str">
        <f t="shared" si="626"/>
        <v/>
      </c>
      <c r="FQ54" s="1128">
        <f t="shared" si="627"/>
        <v>-7200000</v>
      </c>
      <c r="FR54" s="1117">
        <f t="shared" si="104"/>
        <v>-1</v>
      </c>
      <c r="FS54" s="1128">
        <f t="shared" si="628"/>
        <v>-14400000</v>
      </c>
      <c r="FT54" s="1117">
        <f t="shared" si="106"/>
        <v>-1</v>
      </c>
      <c r="FU54" s="1120">
        <f>SUMIF($B55:$B$63,$B54,FU55:FU$63)</f>
        <v>2400000</v>
      </c>
      <c r="FV54" s="1117" t="str">
        <f t="shared" si="629"/>
        <v/>
      </c>
      <c r="FW54" s="1117">
        <f t="shared" si="630"/>
        <v>0.6</v>
      </c>
      <c r="FX54" s="1120">
        <f>SUMIF($B55:$B$63,$B54,FX55:FX$63)</f>
        <v>4800000</v>
      </c>
      <c r="FY54" s="1117" t="str">
        <f t="shared" si="631"/>
        <v/>
      </c>
      <c r="FZ54" s="1117">
        <f t="shared" si="632"/>
        <v>0.794701992</v>
      </c>
      <c r="GA54" s="1120">
        <f>SUMIF($B55:$B$63,$B54,GA55:GA$63)</f>
        <v>0</v>
      </c>
      <c r="GB54" s="1117" t="str">
        <f t="shared" si="633"/>
        <v/>
      </c>
      <c r="GC54" s="1117" t="str">
        <f t="shared" si="634"/>
        <v/>
      </c>
      <c r="GD54" s="1128">
        <f t="shared" si="635"/>
        <v>-2400000</v>
      </c>
      <c r="GE54" s="1117">
        <f t="shared" si="111"/>
        <v>-1</v>
      </c>
      <c r="GF54" s="1128">
        <f t="shared" si="636"/>
        <v>-4800000</v>
      </c>
      <c r="GG54" s="1117">
        <f t="shared" si="113"/>
        <v>-1</v>
      </c>
      <c r="GH54" s="1120">
        <f>SUMIF($B55:$B$63,$B54,GH55:GH$63)</f>
        <v>2400000</v>
      </c>
      <c r="GI54" s="1117" t="str">
        <f t="shared" si="637"/>
        <v/>
      </c>
      <c r="GJ54" s="1117">
        <f t="shared" si="638"/>
        <v>0.6</v>
      </c>
      <c r="GK54" s="1120">
        <f>SUMIF($B55:$B$63,$B54,GK55:GK$63)</f>
        <v>4800000</v>
      </c>
      <c r="GL54" s="1117" t="str">
        <f t="shared" si="639"/>
        <v/>
      </c>
      <c r="GM54" s="1117">
        <f t="shared" si="640"/>
        <v>0.794701992</v>
      </c>
      <c r="GN54" s="1120">
        <f>SUMIF($B55:$B$63,$B54,GN55:GN$63)</f>
        <v>0</v>
      </c>
      <c r="GO54" s="1117" t="str">
        <f t="shared" si="641"/>
        <v/>
      </c>
      <c r="GP54" s="1117" t="str">
        <f t="shared" si="642"/>
        <v/>
      </c>
      <c r="GQ54" s="1128">
        <f t="shared" si="643"/>
        <v>-2400000</v>
      </c>
      <c r="GR54" s="1117">
        <f t="shared" si="118"/>
        <v>-1</v>
      </c>
      <c r="GS54" s="1128">
        <f t="shared" si="644"/>
        <v>-4800000</v>
      </c>
      <c r="GT54" s="1117">
        <f t="shared" si="120"/>
        <v>-1</v>
      </c>
      <c r="GU54" s="1120">
        <f>SUMIF($B55:$B$63,$B54,GU55:GU$63)</f>
        <v>2400000</v>
      </c>
      <c r="GV54" s="1117" t="str">
        <f t="shared" si="645"/>
        <v/>
      </c>
      <c r="GW54" s="1117">
        <f t="shared" si="646"/>
        <v>0.6</v>
      </c>
      <c r="GX54" s="1120">
        <f>SUMIF($B55:$B$63,$B54,GX55:GX$63)</f>
        <v>4800000</v>
      </c>
      <c r="GY54" s="1117" t="str">
        <f t="shared" si="647"/>
        <v/>
      </c>
      <c r="GZ54" s="1117">
        <f t="shared" si="648"/>
        <v>0.794701992</v>
      </c>
      <c r="HA54" s="1120">
        <f>SUMIF($B55:$B$63,$B54,HA55:HA$63)</f>
        <v>0</v>
      </c>
      <c r="HB54" s="1117" t="str">
        <f t="shared" si="649"/>
        <v/>
      </c>
      <c r="HC54" s="1117" t="str">
        <f t="shared" si="650"/>
        <v/>
      </c>
      <c r="HD54" s="1128">
        <f t="shared" si="651"/>
        <v>-2400000</v>
      </c>
      <c r="HE54" s="1117">
        <f t="shared" si="125"/>
        <v>-1</v>
      </c>
      <c r="HF54" s="1128">
        <f t="shared" si="652"/>
        <v>-4800000</v>
      </c>
      <c r="HG54" s="1117">
        <f t="shared" si="127"/>
        <v>-1</v>
      </c>
      <c r="HH54" s="1120">
        <f t="shared" si="653"/>
        <v>7200000</v>
      </c>
      <c r="HI54" s="1117" t="str">
        <f t="shared" si="654"/>
        <v/>
      </c>
      <c r="HJ54" s="1117">
        <f t="shared" si="655"/>
        <v>0.6</v>
      </c>
      <c r="HK54" s="1119">
        <f t="shared" si="656"/>
        <v>14400000</v>
      </c>
      <c r="HL54" s="1117" t="str">
        <f t="shared" si="657"/>
        <v/>
      </c>
      <c r="HM54" s="1117">
        <f t="shared" si="658"/>
        <v>0.794701992</v>
      </c>
      <c r="HN54" s="1119">
        <f t="shared" si="659"/>
        <v>0</v>
      </c>
      <c r="HO54" s="1117" t="str">
        <f t="shared" si="660"/>
        <v/>
      </c>
      <c r="HP54" s="1117" t="str">
        <f t="shared" si="661"/>
        <v/>
      </c>
      <c r="HQ54" s="1128">
        <f t="shared" si="662"/>
        <v>-7200000</v>
      </c>
      <c r="HR54" s="1117">
        <f t="shared" si="135"/>
        <v>-1</v>
      </c>
      <c r="HS54" s="1128">
        <f t="shared" si="663"/>
        <v>-14400000</v>
      </c>
      <c r="HT54" s="1117">
        <f t="shared" si="137"/>
        <v>-1</v>
      </c>
      <c r="HU54" s="1120">
        <f t="shared" si="664"/>
        <v>14400000</v>
      </c>
      <c r="HV54" s="1117" t="str">
        <f t="shared" si="665"/>
        <v/>
      </c>
      <c r="HW54" s="1117">
        <f t="shared" si="666"/>
        <v>0.6</v>
      </c>
      <c r="HX54" s="1119">
        <f t="shared" si="667"/>
        <v>28800000</v>
      </c>
      <c r="HY54" s="1117" t="str">
        <f t="shared" si="668"/>
        <v/>
      </c>
      <c r="HZ54" s="1117">
        <f t="shared" si="669"/>
        <v>0.794701992</v>
      </c>
      <c r="IA54" s="1119">
        <f t="shared" si="670"/>
        <v>0</v>
      </c>
      <c r="IB54" s="1117" t="str">
        <f t="shared" si="671"/>
        <v/>
      </c>
      <c r="IC54" s="1117" t="str">
        <f t="shared" si="672"/>
        <v/>
      </c>
      <c r="ID54" s="1128">
        <f t="shared" si="673"/>
        <v>-14400000</v>
      </c>
      <c r="IE54" s="1117">
        <f t="shared" si="145"/>
        <v>-1</v>
      </c>
      <c r="IF54" s="1128">
        <f t="shared" si="674"/>
        <v>-28800000</v>
      </c>
      <c r="IG54" s="1117">
        <f t="shared" si="147"/>
        <v>-1</v>
      </c>
      <c r="IH54" s="1120">
        <f t="shared" si="675"/>
        <v>21600000</v>
      </c>
      <c r="II54" s="1117" t="str">
        <f t="shared" si="676"/>
        <v/>
      </c>
      <c r="IJ54" s="1117">
        <f t="shared" si="677"/>
        <v>0.6</v>
      </c>
      <c r="IK54" s="1119">
        <f t="shared" si="678"/>
        <v>28800000</v>
      </c>
      <c r="IL54" s="1117" t="str">
        <f t="shared" si="679"/>
        <v/>
      </c>
      <c r="IM54" s="1117">
        <f t="shared" si="680"/>
        <v>0.720720725</v>
      </c>
      <c r="IN54" s="1119">
        <f t="shared" si="681"/>
        <v>0</v>
      </c>
      <c r="IO54" s="1117" t="str">
        <f t="shared" si="682"/>
        <v/>
      </c>
      <c r="IP54" s="1117">
        <f t="shared" si="683"/>
        <v>0</v>
      </c>
      <c r="IQ54" s="1128">
        <f t="shared" si="684"/>
        <v>-21600000</v>
      </c>
      <c r="IR54" s="1117">
        <f t="shared" si="1"/>
        <v>-1</v>
      </c>
      <c r="IS54" s="1128">
        <f t="shared" si="685"/>
        <v>-28800000</v>
      </c>
      <c r="IT54" s="1117">
        <f t="shared" si="2"/>
        <v>-1</v>
      </c>
    </row>
    <row r="55" hidden="1" outlineLevel="1">
      <c r="A55" s="1086">
        <f t="shared" si="511"/>
        <v>4</v>
      </c>
      <c r="B55" s="1087" t="s">
        <v>2067</v>
      </c>
      <c r="C55" s="1087" t="s">
        <v>2067</v>
      </c>
      <c r="D55" s="1087" t="str">
        <f>IF(C55&gt;0,VLOOKUP(C55,DM_DUAN ,2,"") ,IF(B55&gt;0,VLOOKUP(B55,DM_CDT,2,""),""))</f>
        <v>NAM PHONG</v>
      </c>
      <c r="E55" s="1087"/>
      <c r="F55" s="1087"/>
      <c r="G55" s="1086">
        <v>2.0</v>
      </c>
      <c r="H55" s="1088">
        <f>SUMIF($C$19:$C$33,$C55,H$19:H$33)-SUMIF($C$35:$C$48,$C55,H$35:H$48)</f>
        <v>0</v>
      </c>
      <c r="I55" s="1091" t="str">
        <f t="shared" si="512"/>
        <v/>
      </c>
      <c r="J55" s="1091" t="str">
        <f t="shared" si="513"/>
        <v/>
      </c>
      <c r="K55" s="1090">
        <f>SUMIF($C$20:$C$33,$C55,K$20:K$33)-SUMIF($C$35:$C$48,$C55,K$35:K$48)</f>
        <v>0</v>
      </c>
      <c r="L55" s="1091" t="str">
        <f t="shared" si="514"/>
        <v/>
      </c>
      <c r="M55" s="1091">
        <f t="shared" si="515"/>
        <v>0</v>
      </c>
      <c r="N55" s="1090">
        <f>SUMIF($C$20:$C$33,$C55,N$20:N$33)-SUMIF($C$35:$C$48,$C55,N$35:N$48)</f>
        <v>0</v>
      </c>
      <c r="O55" s="1091" t="str">
        <f t="shared" si="516"/>
        <v/>
      </c>
      <c r="P55" s="1091">
        <f t="shared" si="517"/>
        <v>0</v>
      </c>
      <c r="Q55" s="1130">
        <f t="shared" si="518"/>
        <v>0</v>
      </c>
      <c r="R55" s="1091" t="str">
        <f t="shared" si="8"/>
        <v/>
      </c>
      <c r="S55" s="1130">
        <f t="shared" si="519"/>
        <v>0</v>
      </c>
      <c r="T55" s="1091" t="str">
        <f t="shared" si="10"/>
        <v/>
      </c>
      <c r="U55" s="1088">
        <f>SUMIF($C$19:$C$33,$C55,U$19:U$33)-SUMIF($C$35:$C$48,$C55,U$35:U$48)</f>
        <v>0</v>
      </c>
      <c r="V55" s="1091" t="str">
        <f t="shared" si="520"/>
        <v/>
      </c>
      <c r="W55" s="1091" t="str">
        <f t="shared" si="521"/>
        <v/>
      </c>
      <c r="X55" s="1090">
        <f>SUMIF($C$20:$C$33,$C55,X$20:X$33)-SUMIF($C$35:$C$48,$C55,X$35:X$48)</f>
        <v>0</v>
      </c>
      <c r="Y55" s="1091" t="str">
        <f t="shared" si="522"/>
        <v/>
      </c>
      <c r="Z55" s="1091" t="str">
        <f t="shared" si="523"/>
        <v/>
      </c>
      <c r="AA55" s="1090">
        <f>SUMIF($C$20:$C$33,$C55,AA$20:AA$33)-SUMIF($C$35:$C$48,$C55,AA$35:AA$48)</f>
        <v>0</v>
      </c>
      <c r="AB55" s="1091" t="str">
        <f t="shared" si="524"/>
        <v/>
      </c>
      <c r="AC55" s="1091">
        <f t="shared" si="525"/>
        <v>0</v>
      </c>
      <c r="AD55" s="1130">
        <f t="shared" si="526"/>
        <v>0</v>
      </c>
      <c r="AE55" s="1091" t="str">
        <f t="shared" si="15"/>
        <v/>
      </c>
      <c r="AF55" s="1130">
        <f t="shared" si="527"/>
        <v>0</v>
      </c>
      <c r="AG55" s="1091" t="str">
        <f t="shared" si="17"/>
        <v/>
      </c>
      <c r="AH55" s="1088">
        <f>SUMIF($C$19:$C$33,$C55,AH$19:AH$33)-SUMIF($C$35:$C$48,$C55,AH$35:AH$48)</f>
        <v>0</v>
      </c>
      <c r="AI55" s="1091" t="str">
        <f t="shared" si="528"/>
        <v/>
      </c>
      <c r="AJ55" s="1091" t="str">
        <f t="shared" si="529"/>
        <v/>
      </c>
      <c r="AK55" s="1090">
        <f>SUMIF($C$20:$C$33,$C55,AK$20:AK$33)-SUMIF($C$35:$C$48,$C55,AK$35:AK$48)</f>
        <v>0</v>
      </c>
      <c r="AL55" s="1091" t="str">
        <f t="shared" si="530"/>
        <v/>
      </c>
      <c r="AM55" s="1091">
        <f t="shared" si="531"/>
        <v>0</v>
      </c>
      <c r="AN55" s="1090">
        <f>SUMIF($C$20:$C$33,$C55,AN$20:AN$33)-SUMIF($C$35:$C$48,$C55,AN$35:AN$48)</f>
        <v>0</v>
      </c>
      <c r="AO55" s="1091" t="str">
        <f t="shared" si="532"/>
        <v/>
      </c>
      <c r="AP55" s="1091">
        <f t="shared" si="533"/>
        <v>0</v>
      </c>
      <c r="AQ55" s="1130">
        <f t="shared" si="534"/>
        <v>0</v>
      </c>
      <c r="AR55" s="1091" t="str">
        <f t="shared" si="22"/>
        <v/>
      </c>
      <c r="AS55" s="1130">
        <f t="shared" si="535"/>
        <v>0</v>
      </c>
      <c r="AT55" s="1091" t="str">
        <f t="shared" si="24"/>
        <v/>
      </c>
      <c r="AU55" s="1088">
        <f t="shared" si="536"/>
        <v>0</v>
      </c>
      <c r="AV55" s="1091" t="str">
        <f t="shared" si="537"/>
        <v/>
      </c>
      <c r="AW55" s="1091" t="str">
        <f t="shared" si="538"/>
        <v/>
      </c>
      <c r="AX55" s="1090">
        <f t="shared" si="539"/>
        <v>0</v>
      </c>
      <c r="AY55" s="1091" t="str">
        <f t="shared" si="540"/>
        <v/>
      </c>
      <c r="AZ55" s="1091">
        <f t="shared" si="541"/>
        <v>0</v>
      </c>
      <c r="BA55" s="1090">
        <f t="shared" si="542"/>
        <v>0</v>
      </c>
      <c r="BB55" s="1091" t="str">
        <f t="shared" si="543"/>
        <v/>
      </c>
      <c r="BC55" s="1091">
        <f t="shared" si="544"/>
        <v>0</v>
      </c>
      <c r="BD55" s="1130">
        <f t="shared" si="545"/>
        <v>0</v>
      </c>
      <c r="BE55" s="1091" t="str">
        <f t="shared" si="32"/>
        <v/>
      </c>
      <c r="BF55" s="1130">
        <f t="shared" si="546"/>
        <v>0</v>
      </c>
      <c r="BG55" s="1091" t="str">
        <f t="shared" si="34"/>
        <v/>
      </c>
      <c r="BH55" s="1088">
        <f>SUMIF($C$20:$C$33,$C55,BH$20:BH$33)-SUMIF($C$35:$C$48,$C55,BH$35:BH$48)</f>
        <v>2400000</v>
      </c>
      <c r="BI55" s="1091">
        <f t="shared" si="547"/>
        <v>1</v>
      </c>
      <c r="BJ55" s="1091">
        <f t="shared" si="548"/>
        <v>0.6</v>
      </c>
      <c r="BK55" s="1090">
        <f>SUMIF($C$20:$C$33,$C55,BK$20:BK$33)-SUMIF($C$35:$C$48,$C55,BK$35:BK$48)</f>
        <v>0</v>
      </c>
      <c r="BL55" s="1091" t="str">
        <f t="shared" si="549"/>
        <v/>
      </c>
      <c r="BM55" s="1091" t="str">
        <f t="shared" si="550"/>
        <v/>
      </c>
      <c r="BN55" s="1090">
        <f>SUMIF($C$20:$C$33,$C55,BN$20:BN$33)-SUMIF($C$35:$C$48,$C55,BN$35:BN$48)</f>
        <v>0</v>
      </c>
      <c r="BO55" s="1091" t="str">
        <f t="shared" si="551"/>
        <v/>
      </c>
      <c r="BP55" s="1091">
        <f t="shared" si="552"/>
        <v>0</v>
      </c>
      <c r="BQ55" s="1130">
        <f t="shared" si="553"/>
        <v>-2400000</v>
      </c>
      <c r="BR55" s="1091">
        <f t="shared" si="39"/>
        <v>-1</v>
      </c>
      <c r="BS55" s="1130">
        <f t="shared" si="554"/>
        <v>0</v>
      </c>
      <c r="BT55" s="1091" t="str">
        <f t="shared" si="41"/>
        <v/>
      </c>
      <c r="BU55" s="1088">
        <f>SUMIF($C$19:$C$33,$C55,BU$19:BU$33)-SUMIF($C$35:$C$48,$C55,BU$35:BU$48)</f>
        <v>2400000</v>
      </c>
      <c r="BV55" s="1091">
        <f t="shared" si="555"/>
        <v>1</v>
      </c>
      <c r="BW55" s="1091">
        <f t="shared" si="556"/>
        <v>0.6</v>
      </c>
      <c r="BX55" s="1131">
        <f>SUMIF($C$20:$C$33,$C55,BX$20:BX$33)-SUMIF($C$35:$C$48,$C55,BX$35:BX$48)</f>
        <v>0</v>
      </c>
      <c r="BY55" s="1091" t="str">
        <f t="shared" si="557"/>
        <v/>
      </c>
      <c r="BZ55" s="1091">
        <f t="shared" si="558"/>
        <v>0</v>
      </c>
      <c r="CA55" s="1131">
        <f>SUMIF($C$20:$C$33,$C55,CA$20:CA$33)-SUMIF($C$35:$C$48,$C55,CA$35:CA$48)</f>
        <v>0</v>
      </c>
      <c r="CB55" s="1091" t="str">
        <f t="shared" si="559"/>
        <v/>
      </c>
      <c r="CC55" s="1091">
        <f t="shared" si="560"/>
        <v>0</v>
      </c>
      <c r="CD55" s="1130">
        <f t="shared" si="561"/>
        <v>-2400000</v>
      </c>
      <c r="CE55" s="1091">
        <f t="shared" si="46"/>
        <v>-1</v>
      </c>
      <c r="CF55" s="1130">
        <f t="shared" si="562"/>
        <v>0</v>
      </c>
      <c r="CG55" s="1091" t="str">
        <f t="shared" si="48"/>
        <v/>
      </c>
      <c r="CH55" s="1088">
        <f>SUMIF($C$19:$C$33,$C55,CH$19:CH$33)-SUMIF($C$35:$C$48,$C55,CH$35:CH$48)</f>
        <v>2400000</v>
      </c>
      <c r="CI55" s="1091">
        <f t="shared" si="563"/>
        <v>1</v>
      </c>
      <c r="CJ55" s="1091">
        <f t="shared" si="564"/>
        <v>0.6</v>
      </c>
      <c r="CK55" s="1131">
        <f>SUMIF($C$20:$C$33,$C55,CK$20:CK$33)-SUMIF($C$35:$C$48,$C55,CK$35:CK$48)</f>
        <v>0</v>
      </c>
      <c r="CL55" s="1091" t="str">
        <f t="shared" si="565"/>
        <v/>
      </c>
      <c r="CM55" s="1091" t="str">
        <f t="shared" si="566"/>
        <v/>
      </c>
      <c r="CN55" s="1131">
        <f>SUMIF($C$20:$C$33,$C55,CN$20:CN$33)-SUMIF($C$35:$C$48,$C55,CN$35:CN$48)</f>
        <v>0</v>
      </c>
      <c r="CO55" s="1091" t="str">
        <f t="shared" si="567"/>
        <v/>
      </c>
      <c r="CP55" s="1091" t="str">
        <f t="shared" si="568"/>
        <v/>
      </c>
      <c r="CQ55" s="1130">
        <f t="shared" si="569"/>
        <v>-2400000</v>
      </c>
      <c r="CR55" s="1091">
        <f t="shared" si="53"/>
        <v>-1</v>
      </c>
      <c r="CS55" s="1130">
        <f t="shared" si="570"/>
        <v>0</v>
      </c>
      <c r="CT55" s="1091" t="str">
        <f t="shared" si="55"/>
        <v/>
      </c>
      <c r="CU55" s="1088">
        <f t="shared" si="571"/>
        <v>7200000</v>
      </c>
      <c r="CV55" s="1091">
        <f t="shared" si="572"/>
        <v>1</v>
      </c>
      <c r="CW55" s="1091">
        <f t="shared" si="573"/>
        <v>0.6</v>
      </c>
      <c r="CX55" s="1131">
        <f t="shared" si="574"/>
        <v>0</v>
      </c>
      <c r="CY55" s="1091" t="str">
        <f t="shared" si="575"/>
        <v/>
      </c>
      <c r="CZ55" s="1091" t="str">
        <f t="shared" si="576"/>
        <v/>
      </c>
      <c r="DA55" s="1131">
        <f t="shared" si="577"/>
        <v>0</v>
      </c>
      <c r="DB55" s="1091" t="str">
        <f t="shared" si="578"/>
        <v/>
      </c>
      <c r="DC55" s="1091" t="str">
        <f t="shared" si="579"/>
        <v/>
      </c>
      <c r="DD55" s="1130">
        <f t="shared" si="580"/>
        <v>-7200000</v>
      </c>
      <c r="DE55" s="1091">
        <f t="shared" si="63"/>
        <v>-1</v>
      </c>
      <c r="DF55" s="1130">
        <f t="shared" si="581"/>
        <v>0</v>
      </c>
      <c r="DG55" s="1091" t="str">
        <f t="shared" si="65"/>
        <v/>
      </c>
      <c r="DH55" s="1088">
        <f t="shared" si="582"/>
        <v>7200000</v>
      </c>
      <c r="DI55" s="1091">
        <f t="shared" si="583"/>
        <v>1</v>
      </c>
      <c r="DJ55" s="1091">
        <f t="shared" si="584"/>
        <v>0.6</v>
      </c>
      <c r="DK55" s="1090">
        <f t="shared" si="585"/>
        <v>0</v>
      </c>
      <c r="DL55" s="1091" t="str">
        <f t="shared" si="586"/>
        <v/>
      </c>
      <c r="DM55" s="1091">
        <f t="shared" si="587"/>
        <v>0</v>
      </c>
      <c r="DN55" s="1090">
        <f t="shared" si="588"/>
        <v>0</v>
      </c>
      <c r="DO55" s="1091" t="str">
        <f t="shared" si="589"/>
        <v/>
      </c>
      <c r="DP55" s="1091">
        <f t="shared" si="590"/>
        <v>0</v>
      </c>
      <c r="DQ55" s="1130">
        <f t="shared" si="591"/>
        <v>-7200000</v>
      </c>
      <c r="DR55" s="1091">
        <f t="shared" si="73"/>
        <v>-1</v>
      </c>
      <c r="DS55" s="1130">
        <f t="shared" si="592"/>
        <v>0</v>
      </c>
      <c r="DT55" s="1091" t="str">
        <f t="shared" si="75"/>
        <v/>
      </c>
      <c r="DU55" s="1088">
        <f>SUMIF($C$19:$C$33,$C55,DU$19:DU$33)-SUMIF($C$35:$C$48,$C55,DU$35:DU$48)</f>
        <v>2400000</v>
      </c>
      <c r="DV55" s="1091">
        <f t="shared" si="593"/>
        <v>1</v>
      </c>
      <c r="DW55" s="1091">
        <f t="shared" si="594"/>
        <v>0.6</v>
      </c>
      <c r="DX55" s="1131">
        <f>SUMIF($C$20:$C$33,$C55,DX$20:DX$33)-SUMIF($C$35:$C$48,$C55,DX$35:DX$48)</f>
        <v>4800000</v>
      </c>
      <c r="DY55" s="1091">
        <f t="shared" si="595"/>
        <v>1</v>
      </c>
      <c r="DZ55" s="1091">
        <f t="shared" si="596"/>
        <v>0.794701992</v>
      </c>
      <c r="EA55" s="1131">
        <f>SUMIF($C$20:$C$33,$C55,EA$20:EA$33)-SUMIF($C$35:$C$48,$C55,EA$35:EA$48)</f>
        <v>0</v>
      </c>
      <c r="EB55" s="1091" t="str">
        <f t="shared" si="597"/>
        <v/>
      </c>
      <c r="EC55" s="1091" t="str">
        <f t="shared" si="598"/>
        <v/>
      </c>
      <c r="ED55" s="1130">
        <f t="shared" si="599"/>
        <v>-2400000</v>
      </c>
      <c r="EE55" s="1091">
        <f t="shared" si="80"/>
        <v>-1</v>
      </c>
      <c r="EF55" s="1130">
        <f t="shared" si="600"/>
        <v>-4800000</v>
      </c>
      <c r="EG55" s="1091">
        <f t="shared" si="82"/>
        <v>-1</v>
      </c>
      <c r="EH55" s="1088">
        <f>SUMIF($C$19:$C$33,$C55,EH$19:EH$33)-SUMIF($C$35:$C$48,$C55,EH$35:EH$48)</f>
        <v>2400000</v>
      </c>
      <c r="EI55" s="1091">
        <f t="shared" si="601"/>
        <v>1</v>
      </c>
      <c r="EJ55" s="1091">
        <f t="shared" si="602"/>
        <v>0.6</v>
      </c>
      <c r="EK55" s="1131">
        <f>SUMIF($C$20:$C$33,$C55,EK$20:EK$33)-SUMIF($C$35:$C$48,$C55,EK$35:EK$48)</f>
        <v>4800000</v>
      </c>
      <c r="EL55" s="1091">
        <f t="shared" si="603"/>
        <v>1</v>
      </c>
      <c r="EM55" s="1091">
        <f t="shared" si="604"/>
        <v>0.794701992</v>
      </c>
      <c r="EN55" s="1131">
        <f>SUMIF($C$20:$C$33,$C55,EN$20:EN$33)-SUMIF($C$35:$C$48,$C55,EN$35:EN$48)</f>
        <v>0</v>
      </c>
      <c r="EO55" s="1091" t="str">
        <f t="shared" si="605"/>
        <v/>
      </c>
      <c r="EP55" s="1091" t="str">
        <f t="shared" si="606"/>
        <v/>
      </c>
      <c r="EQ55" s="1130">
        <f t="shared" si="607"/>
        <v>-2400000</v>
      </c>
      <c r="ER55" s="1091">
        <f t="shared" si="87"/>
        <v>-1</v>
      </c>
      <c r="ES55" s="1130">
        <f t="shared" si="608"/>
        <v>-4800000</v>
      </c>
      <c r="ET55" s="1091">
        <f t="shared" si="89"/>
        <v>-1</v>
      </c>
      <c r="EU55" s="1088">
        <f>SUMIF($C$19:$C$33,$C55,EU$19:EU$33)-SUMIF($C$35:$C$48,$C55,EU$35:EU$48)</f>
        <v>2400000</v>
      </c>
      <c r="EV55" s="1091">
        <f t="shared" si="609"/>
        <v>1</v>
      </c>
      <c r="EW55" s="1091">
        <f t="shared" si="610"/>
        <v>0.6</v>
      </c>
      <c r="EX55" s="1131">
        <f>SUMIF($C$20:$C$33,$C55,EX$20:EX$33)-SUMIF($C$35:$C$48,$C55,EX$35:EX$48)</f>
        <v>4800000</v>
      </c>
      <c r="EY55" s="1091">
        <f t="shared" si="611"/>
        <v>1</v>
      </c>
      <c r="EZ55" s="1091">
        <f t="shared" si="612"/>
        <v>0.794701992</v>
      </c>
      <c r="FA55" s="1131">
        <f t="shared" si="613"/>
        <v>0</v>
      </c>
      <c r="FB55" s="1091" t="str">
        <f t="shared" si="614"/>
        <v/>
      </c>
      <c r="FC55" s="1091" t="str">
        <f t="shared" si="615"/>
        <v/>
      </c>
      <c r="FD55" s="1130">
        <f t="shared" si="616"/>
        <v>-2400000</v>
      </c>
      <c r="FE55" s="1091">
        <f t="shared" si="94"/>
        <v>-1</v>
      </c>
      <c r="FF55" s="1130">
        <f t="shared" si="617"/>
        <v>-4800000</v>
      </c>
      <c r="FG55" s="1091">
        <f t="shared" si="96"/>
        <v>-1</v>
      </c>
      <c r="FH55" s="1088">
        <f t="shared" si="618"/>
        <v>7200000</v>
      </c>
      <c r="FI55" s="1091">
        <f t="shared" si="619"/>
        <v>1</v>
      </c>
      <c r="FJ55" s="1091">
        <f t="shared" si="620"/>
        <v>0.6</v>
      </c>
      <c r="FK55" s="1090">
        <f t="shared" si="621"/>
        <v>14400000</v>
      </c>
      <c r="FL55" s="1091">
        <f t="shared" si="622"/>
        <v>1</v>
      </c>
      <c r="FM55" s="1091">
        <f t="shared" si="623"/>
        <v>0.794701992</v>
      </c>
      <c r="FN55" s="1090">
        <f t="shared" si="624"/>
        <v>0</v>
      </c>
      <c r="FO55" s="1091" t="str">
        <f t="shared" si="625"/>
        <v/>
      </c>
      <c r="FP55" s="1091" t="str">
        <f t="shared" si="626"/>
        <v/>
      </c>
      <c r="FQ55" s="1130">
        <f t="shared" si="627"/>
        <v>-7200000</v>
      </c>
      <c r="FR55" s="1091">
        <f t="shared" si="104"/>
        <v>-1</v>
      </c>
      <c r="FS55" s="1130">
        <f t="shared" si="628"/>
        <v>-14400000</v>
      </c>
      <c r="FT55" s="1091">
        <f t="shared" si="106"/>
        <v>-1</v>
      </c>
      <c r="FU55" s="1088">
        <f>SUMIF($C$19:$C$33,$C55,FU$19:FU$33)-SUMIF($C$35:$C$48,$C55,FU$35:FU$48)</f>
        <v>2400000</v>
      </c>
      <c r="FV55" s="1091">
        <f t="shared" si="629"/>
        <v>1</v>
      </c>
      <c r="FW55" s="1091">
        <f t="shared" si="630"/>
        <v>0.6</v>
      </c>
      <c r="FX55" s="1131">
        <f>SUMIF($C$20:$C$33,$C55,FX$20:FX$33)-SUMIF($C$35:$C$48,$C55,FX$35:FX$48)</f>
        <v>4800000</v>
      </c>
      <c r="FY55" s="1091">
        <f t="shared" si="631"/>
        <v>1</v>
      </c>
      <c r="FZ55" s="1091">
        <f t="shared" si="632"/>
        <v>0.794701992</v>
      </c>
      <c r="GA55" s="1131">
        <f>SUMIF($C$20:$C$33,$C55,GA$20:GA$33)-SUMIF($C$35:$C$48,$C55,GA$35:GA$48)</f>
        <v>0</v>
      </c>
      <c r="GB55" s="1091" t="str">
        <f t="shared" si="633"/>
        <v/>
      </c>
      <c r="GC55" s="1091" t="str">
        <f t="shared" si="634"/>
        <v/>
      </c>
      <c r="GD55" s="1130">
        <f t="shared" si="635"/>
        <v>-2400000</v>
      </c>
      <c r="GE55" s="1091">
        <f t="shared" si="111"/>
        <v>-1</v>
      </c>
      <c r="GF55" s="1130">
        <f t="shared" si="636"/>
        <v>-4800000</v>
      </c>
      <c r="GG55" s="1091">
        <f t="shared" si="113"/>
        <v>-1</v>
      </c>
      <c r="GH55" s="1088">
        <f>SUMIF($C$19:$C$33,$C55,GH$19:GH$33)-SUMIF($C$35:$C$48,$C55,GH$35:GH$48)</f>
        <v>2400000</v>
      </c>
      <c r="GI55" s="1091">
        <f t="shared" si="637"/>
        <v>1</v>
      </c>
      <c r="GJ55" s="1091">
        <f t="shared" si="638"/>
        <v>0.6</v>
      </c>
      <c r="GK55" s="1131">
        <f>SUMIF($C$20:$C$33,$C55,GK$20:GK$33)-SUMIF($C$35:$C$48,$C55,GK$35:GK$48)</f>
        <v>4800000</v>
      </c>
      <c r="GL55" s="1091">
        <f t="shared" si="639"/>
        <v>1</v>
      </c>
      <c r="GM55" s="1091">
        <f t="shared" si="640"/>
        <v>0.794701992</v>
      </c>
      <c r="GN55" s="1131">
        <f>SUMIF($C$20:$C$33,$C55,GN$20:GN$33)-SUMIF($C$35:$C$48,$C55,GN$35:GN$48)</f>
        <v>0</v>
      </c>
      <c r="GO55" s="1091" t="str">
        <f t="shared" si="641"/>
        <v/>
      </c>
      <c r="GP55" s="1091" t="str">
        <f t="shared" si="642"/>
        <v/>
      </c>
      <c r="GQ55" s="1130">
        <f t="shared" si="643"/>
        <v>-2400000</v>
      </c>
      <c r="GR55" s="1091">
        <f t="shared" si="118"/>
        <v>-1</v>
      </c>
      <c r="GS55" s="1130">
        <f t="shared" si="644"/>
        <v>-4800000</v>
      </c>
      <c r="GT55" s="1091">
        <f t="shared" si="120"/>
        <v>-1</v>
      </c>
      <c r="GU55" s="1088">
        <f>SUMIF($C$19:$C$33,$C55,GU$19:GU$33)-SUMIF($C$35:$C$48,$C55,GU$35:GU$48)</f>
        <v>2400000</v>
      </c>
      <c r="GV55" s="1091">
        <f t="shared" si="645"/>
        <v>1</v>
      </c>
      <c r="GW55" s="1091">
        <f t="shared" si="646"/>
        <v>0.6</v>
      </c>
      <c r="GX55" s="1131">
        <f>SUMIF($C$20:$C$33,$C55,GX$20:GX$33)-SUMIF($C$35:$C$48,$C55,GX$35:GX$48)</f>
        <v>4800000</v>
      </c>
      <c r="GY55" s="1091">
        <f t="shared" si="647"/>
        <v>1</v>
      </c>
      <c r="GZ55" s="1091">
        <f t="shared" si="648"/>
        <v>0.794701992</v>
      </c>
      <c r="HA55" s="1131">
        <f>SUMIF($C$20:$C$33,$C55,HA$20:HA$33)-SUMIF($C$35:$C$48,$C55,HA$35:HA$48)</f>
        <v>0</v>
      </c>
      <c r="HB55" s="1091" t="str">
        <f t="shared" si="649"/>
        <v/>
      </c>
      <c r="HC55" s="1091" t="str">
        <f t="shared" si="650"/>
        <v/>
      </c>
      <c r="HD55" s="1130">
        <f t="shared" si="651"/>
        <v>-2400000</v>
      </c>
      <c r="HE55" s="1091">
        <f t="shared" si="125"/>
        <v>-1</v>
      </c>
      <c r="HF55" s="1130">
        <f t="shared" si="652"/>
        <v>-4800000</v>
      </c>
      <c r="HG55" s="1091">
        <f t="shared" si="127"/>
        <v>-1</v>
      </c>
      <c r="HH55" s="1088">
        <f t="shared" si="653"/>
        <v>7200000</v>
      </c>
      <c r="HI55" s="1091">
        <f t="shared" si="654"/>
        <v>1</v>
      </c>
      <c r="HJ55" s="1091">
        <f t="shared" si="655"/>
        <v>0.6</v>
      </c>
      <c r="HK55" s="1090">
        <f t="shared" si="656"/>
        <v>14400000</v>
      </c>
      <c r="HL55" s="1091">
        <f t="shared" si="657"/>
        <v>1</v>
      </c>
      <c r="HM55" s="1091">
        <f t="shared" si="658"/>
        <v>0.794701992</v>
      </c>
      <c r="HN55" s="1090">
        <f t="shared" si="659"/>
        <v>0</v>
      </c>
      <c r="HO55" s="1091" t="str">
        <f t="shared" si="660"/>
        <v/>
      </c>
      <c r="HP55" s="1091" t="str">
        <f t="shared" si="661"/>
        <v/>
      </c>
      <c r="HQ55" s="1130">
        <f t="shared" si="662"/>
        <v>-7200000</v>
      </c>
      <c r="HR55" s="1091">
        <f t="shared" si="135"/>
        <v>-1</v>
      </c>
      <c r="HS55" s="1130">
        <f t="shared" si="663"/>
        <v>-14400000</v>
      </c>
      <c r="HT55" s="1091">
        <f t="shared" si="137"/>
        <v>-1</v>
      </c>
      <c r="HU55" s="1088">
        <f t="shared" si="664"/>
        <v>14400000</v>
      </c>
      <c r="HV55" s="1091">
        <f t="shared" si="665"/>
        <v>1</v>
      </c>
      <c r="HW55" s="1091">
        <f t="shared" si="666"/>
        <v>0.6</v>
      </c>
      <c r="HX55" s="1090">
        <f t="shared" si="667"/>
        <v>28800000</v>
      </c>
      <c r="HY55" s="1091">
        <f t="shared" si="668"/>
        <v>1</v>
      </c>
      <c r="HZ55" s="1091">
        <f t="shared" si="669"/>
        <v>0.794701992</v>
      </c>
      <c r="IA55" s="1090">
        <f t="shared" si="670"/>
        <v>0</v>
      </c>
      <c r="IB55" s="1091" t="str">
        <f t="shared" si="671"/>
        <v/>
      </c>
      <c r="IC55" s="1091" t="str">
        <f t="shared" si="672"/>
        <v/>
      </c>
      <c r="ID55" s="1130">
        <f t="shared" si="673"/>
        <v>-14400000</v>
      </c>
      <c r="IE55" s="1091">
        <f t="shared" si="145"/>
        <v>-1</v>
      </c>
      <c r="IF55" s="1130">
        <f t="shared" si="674"/>
        <v>-28800000</v>
      </c>
      <c r="IG55" s="1091">
        <f t="shared" si="147"/>
        <v>-1</v>
      </c>
      <c r="IH55" s="1088">
        <f t="shared" si="675"/>
        <v>21600000</v>
      </c>
      <c r="II55" s="1091">
        <f t="shared" si="676"/>
        <v>1</v>
      </c>
      <c r="IJ55" s="1091">
        <f t="shared" si="677"/>
        <v>0.6</v>
      </c>
      <c r="IK55" s="1090">
        <f t="shared" si="678"/>
        <v>28800000</v>
      </c>
      <c r="IL55" s="1091">
        <f t="shared" si="679"/>
        <v>1</v>
      </c>
      <c r="IM55" s="1091">
        <f t="shared" si="680"/>
        <v>0.720720725</v>
      </c>
      <c r="IN55" s="1090">
        <f t="shared" si="681"/>
        <v>0</v>
      </c>
      <c r="IO55" s="1091" t="str">
        <f t="shared" si="682"/>
        <v/>
      </c>
      <c r="IP55" s="1091">
        <f t="shared" si="683"/>
        <v>0</v>
      </c>
      <c r="IQ55" s="1130">
        <f t="shared" si="684"/>
        <v>-21600000</v>
      </c>
      <c r="IR55" s="1091">
        <f t="shared" si="1"/>
        <v>-1</v>
      </c>
      <c r="IS55" s="1130">
        <f t="shared" si="685"/>
        <v>-28800000</v>
      </c>
      <c r="IT55" s="1091">
        <f t="shared" si="2"/>
        <v>-1</v>
      </c>
    </row>
    <row r="56" collapsed="1">
      <c r="A56" s="1113" t="str">
        <f t="shared" si="511"/>
        <v/>
      </c>
      <c r="B56" s="1114" t="s">
        <v>2069</v>
      </c>
      <c r="C56" s="1114"/>
      <c r="D56" s="1114" t="str">
        <f>IF(C56&gt;0,VLOOKUP(C56,DM_DUAN ,2,"") ,IF(B56&gt;0,VLOOKUP(B56,DM_CDT,2,""),""))</f>
        <v>KIMCUONGLAND</v>
      </c>
      <c r="E56" s="1115"/>
      <c r="F56" s="1115"/>
      <c r="G56" s="1116">
        <v>1.0</v>
      </c>
      <c r="H56" s="1120">
        <f>SUMIF($B57:$B$63,$B56,H57:H$63)</f>
        <v>0</v>
      </c>
      <c r="I56" s="1117" t="str">
        <f t="shared" si="512"/>
        <v/>
      </c>
      <c r="J56" s="1117" t="str">
        <f t="shared" si="513"/>
        <v/>
      </c>
      <c r="K56" s="1120">
        <f>SUMIF($B57:$B$63,$B56,K57:K$63)</f>
        <v>0</v>
      </c>
      <c r="L56" s="1117" t="str">
        <f t="shared" si="514"/>
        <v/>
      </c>
      <c r="M56" s="1117">
        <f t="shared" si="515"/>
        <v>0</v>
      </c>
      <c r="N56" s="1120">
        <f>SUMIF($B57:$B$63,$B56,N57:N$63)</f>
        <v>0</v>
      </c>
      <c r="O56" s="1117" t="str">
        <f t="shared" si="516"/>
        <v/>
      </c>
      <c r="P56" s="1117">
        <f t="shared" si="517"/>
        <v>0</v>
      </c>
      <c r="Q56" s="1128">
        <f t="shared" si="518"/>
        <v>0</v>
      </c>
      <c r="R56" s="1117" t="str">
        <f t="shared" si="8"/>
        <v/>
      </c>
      <c r="S56" s="1128">
        <f t="shared" si="519"/>
        <v>0</v>
      </c>
      <c r="T56" s="1117" t="str">
        <f t="shared" si="10"/>
        <v/>
      </c>
      <c r="U56" s="1120">
        <f>SUMIF($B57:$B$63,$B56,U57:U$63)</f>
        <v>0</v>
      </c>
      <c r="V56" s="1117" t="str">
        <f t="shared" si="520"/>
        <v/>
      </c>
      <c r="W56" s="1117" t="str">
        <f t="shared" si="521"/>
        <v/>
      </c>
      <c r="X56" s="1120">
        <f>SUMIF($B57:$B$63,$B56,X57:X$63)</f>
        <v>0</v>
      </c>
      <c r="Y56" s="1117" t="str">
        <f t="shared" si="522"/>
        <v/>
      </c>
      <c r="Z56" s="1117" t="str">
        <f t="shared" si="523"/>
        <v/>
      </c>
      <c r="AA56" s="1120">
        <f>SUMIF($B57:$B$63,$B56,AA57:AA$63)</f>
        <v>0</v>
      </c>
      <c r="AB56" s="1117" t="str">
        <f t="shared" si="524"/>
        <v/>
      </c>
      <c r="AC56" s="1117">
        <f t="shared" si="525"/>
        <v>0</v>
      </c>
      <c r="AD56" s="1128">
        <f t="shared" si="526"/>
        <v>0</v>
      </c>
      <c r="AE56" s="1117" t="str">
        <f t="shared" si="15"/>
        <v/>
      </c>
      <c r="AF56" s="1128">
        <f t="shared" si="527"/>
        <v>0</v>
      </c>
      <c r="AG56" s="1117" t="str">
        <f t="shared" si="17"/>
        <v/>
      </c>
      <c r="AH56" s="1120">
        <f>SUMIF($B57:$B$63,$B56,AH57:AH$63)</f>
        <v>0</v>
      </c>
      <c r="AI56" s="1117" t="str">
        <f t="shared" si="528"/>
        <v/>
      </c>
      <c r="AJ56" s="1117" t="str">
        <f t="shared" si="529"/>
        <v/>
      </c>
      <c r="AK56" s="1120">
        <f>SUMIF($B57:$B$63,$B56,AK57:AK$63)</f>
        <v>0</v>
      </c>
      <c r="AL56" s="1117" t="str">
        <f t="shared" si="530"/>
        <v/>
      </c>
      <c r="AM56" s="1117">
        <f t="shared" si="531"/>
        <v>0</v>
      </c>
      <c r="AN56" s="1120">
        <f>SUMIF($B57:$B$63,$B56,AN57:AN$63)</f>
        <v>0</v>
      </c>
      <c r="AO56" s="1117" t="str">
        <f t="shared" si="532"/>
        <v/>
      </c>
      <c r="AP56" s="1117">
        <f t="shared" si="533"/>
        <v>0</v>
      </c>
      <c r="AQ56" s="1128">
        <f t="shared" si="534"/>
        <v>0</v>
      </c>
      <c r="AR56" s="1117" t="str">
        <f t="shared" si="22"/>
        <v/>
      </c>
      <c r="AS56" s="1128">
        <f t="shared" si="535"/>
        <v>0</v>
      </c>
      <c r="AT56" s="1117" t="str">
        <f t="shared" si="24"/>
        <v/>
      </c>
      <c r="AU56" s="1120">
        <f t="shared" si="536"/>
        <v>0</v>
      </c>
      <c r="AV56" s="1117" t="str">
        <f t="shared" si="537"/>
        <v/>
      </c>
      <c r="AW56" s="1117" t="str">
        <f t="shared" si="538"/>
        <v/>
      </c>
      <c r="AX56" s="1119">
        <f t="shared" si="539"/>
        <v>0</v>
      </c>
      <c r="AY56" s="1117" t="str">
        <f t="shared" si="540"/>
        <v/>
      </c>
      <c r="AZ56" s="1117">
        <f t="shared" si="541"/>
        <v>0</v>
      </c>
      <c r="BA56" s="1119">
        <f t="shared" si="542"/>
        <v>0</v>
      </c>
      <c r="BB56" s="1117" t="str">
        <f t="shared" si="543"/>
        <v/>
      </c>
      <c r="BC56" s="1117">
        <f t="shared" si="544"/>
        <v>0</v>
      </c>
      <c r="BD56" s="1128">
        <f t="shared" si="545"/>
        <v>0</v>
      </c>
      <c r="BE56" s="1117" t="str">
        <f t="shared" si="32"/>
        <v/>
      </c>
      <c r="BF56" s="1128">
        <f t="shared" si="546"/>
        <v>0</v>
      </c>
      <c r="BG56" s="1117" t="str">
        <f t="shared" si="34"/>
        <v/>
      </c>
      <c r="BH56" s="1120">
        <f>SUMIF($B57:$B$63,$B56,BH57:BH$63)</f>
        <v>0</v>
      </c>
      <c r="BI56" s="1117" t="str">
        <f t="shared" si="547"/>
        <v/>
      </c>
      <c r="BJ56" s="1117">
        <f t="shared" si="548"/>
        <v>0</v>
      </c>
      <c r="BK56" s="1120">
        <f>SUMIF($B57:$B$63,$B56,BK57:BK$63)</f>
        <v>0</v>
      </c>
      <c r="BL56" s="1117" t="str">
        <f t="shared" si="549"/>
        <v/>
      </c>
      <c r="BM56" s="1117" t="str">
        <f t="shared" si="550"/>
        <v/>
      </c>
      <c r="BN56" s="1120">
        <f>SUMIF($B57:$B$63,$B56,BN57:BN$63)</f>
        <v>1924040</v>
      </c>
      <c r="BO56" s="1117" t="str">
        <f t="shared" si="551"/>
        <v/>
      </c>
      <c r="BP56" s="1117">
        <f t="shared" si="552"/>
        <v>0.7397194968</v>
      </c>
      <c r="BQ56" s="1128">
        <f t="shared" si="553"/>
        <v>1924040</v>
      </c>
      <c r="BR56" s="1117" t="str">
        <f t="shared" si="39"/>
        <v/>
      </c>
      <c r="BS56" s="1128">
        <f t="shared" si="554"/>
        <v>1924040</v>
      </c>
      <c r="BT56" s="1117" t="str">
        <f t="shared" si="41"/>
        <v/>
      </c>
      <c r="BU56" s="1120">
        <f>SUMIF($B57:$B$63,$B56,BU57:BU$63)</f>
        <v>0</v>
      </c>
      <c r="BV56" s="1117" t="str">
        <f t="shared" si="555"/>
        <v/>
      </c>
      <c r="BW56" s="1117">
        <f t="shared" si="556"/>
        <v>0</v>
      </c>
      <c r="BX56" s="1120">
        <f>SUMIF($B57:$B$63,$B56,BX57:BX$63)</f>
        <v>0</v>
      </c>
      <c r="BY56" s="1117" t="str">
        <f t="shared" si="557"/>
        <v/>
      </c>
      <c r="BZ56" s="1117">
        <f t="shared" si="558"/>
        <v>0</v>
      </c>
      <c r="CA56" s="1120">
        <f>SUMIF($B57:$B$63,$B56,CA57:CA$63)</f>
        <v>0</v>
      </c>
      <c r="CB56" s="1117" t="str">
        <f t="shared" si="559"/>
        <v/>
      </c>
      <c r="CC56" s="1117">
        <f t="shared" si="560"/>
        <v>0</v>
      </c>
      <c r="CD56" s="1128">
        <f t="shared" si="561"/>
        <v>0</v>
      </c>
      <c r="CE56" s="1117" t="str">
        <f t="shared" si="46"/>
        <v/>
      </c>
      <c r="CF56" s="1128">
        <f t="shared" si="562"/>
        <v>0</v>
      </c>
      <c r="CG56" s="1117" t="str">
        <f t="shared" si="48"/>
        <v/>
      </c>
      <c r="CH56" s="1120">
        <f>SUMIF($B57:$B$63,$B56,CH57:CH$63)</f>
        <v>0</v>
      </c>
      <c r="CI56" s="1117" t="str">
        <f t="shared" si="563"/>
        <v/>
      </c>
      <c r="CJ56" s="1117">
        <f t="shared" si="564"/>
        <v>0</v>
      </c>
      <c r="CK56" s="1120">
        <f>SUMIF($B57:$B$63,$B56,CK57:CK$63)</f>
        <v>0</v>
      </c>
      <c r="CL56" s="1117" t="str">
        <f t="shared" si="565"/>
        <v/>
      </c>
      <c r="CM56" s="1117" t="str">
        <f t="shared" si="566"/>
        <v/>
      </c>
      <c r="CN56" s="1120">
        <f>SUMIF($B57:$B$63,$B56,CN57:CN$63)</f>
        <v>0</v>
      </c>
      <c r="CO56" s="1117" t="str">
        <f t="shared" si="567"/>
        <v/>
      </c>
      <c r="CP56" s="1117" t="str">
        <f t="shared" si="568"/>
        <v/>
      </c>
      <c r="CQ56" s="1128">
        <f t="shared" si="569"/>
        <v>0</v>
      </c>
      <c r="CR56" s="1117" t="str">
        <f t="shared" si="53"/>
        <v/>
      </c>
      <c r="CS56" s="1128">
        <f t="shared" si="570"/>
        <v>0</v>
      </c>
      <c r="CT56" s="1117" t="str">
        <f t="shared" si="55"/>
        <v/>
      </c>
      <c r="CU56" s="1120">
        <f t="shared" si="571"/>
        <v>0</v>
      </c>
      <c r="CV56" s="1117" t="str">
        <f t="shared" si="572"/>
        <v/>
      </c>
      <c r="CW56" s="1117">
        <f t="shared" si="573"/>
        <v>0</v>
      </c>
      <c r="CX56" s="1133">
        <f t="shared" si="574"/>
        <v>0</v>
      </c>
      <c r="CY56" s="1117" t="str">
        <f t="shared" si="575"/>
        <v/>
      </c>
      <c r="CZ56" s="1117" t="str">
        <f t="shared" si="576"/>
        <v/>
      </c>
      <c r="DA56" s="1133">
        <f t="shared" si="577"/>
        <v>0</v>
      </c>
      <c r="DB56" s="1117" t="str">
        <f t="shared" si="578"/>
        <v/>
      </c>
      <c r="DC56" s="1117" t="str">
        <f t="shared" si="579"/>
        <v/>
      </c>
      <c r="DD56" s="1128">
        <f t="shared" si="580"/>
        <v>0</v>
      </c>
      <c r="DE56" s="1117" t="str">
        <f t="shared" si="63"/>
        <v/>
      </c>
      <c r="DF56" s="1128">
        <f t="shared" si="581"/>
        <v>0</v>
      </c>
      <c r="DG56" s="1117" t="str">
        <f t="shared" si="65"/>
        <v/>
      </c>
      <c r="DH56" s="1120">
        <f t="shared" si="582"/>
        <v>0</v>
      </c>
      <c r="DI56" s="1117" t="str">
        <f t="shared" si="583"/>
        <v/>
      </c>
      <c r="DJ56" s="1117">
        <f t="shared" si="584"/>
        <v>0</v>
      </c>
      <c r="DK56" s="1119">
        <f t="shared" si="585"/>
        <v>0</v>
      </c>
      <c r="DL56" s="1117" t="str">
        <f t="shared" si="586"/>
        <v/>
      </c>
      <c r="DM56" s="1117">
        <f t="shared" si="587"/>
        <v>0</v>
      </c>
      <c r="DN56" s="1119">
        <f t="shared" si="588"/>
        <v>0</v>
      </c>
      <c r="DO56" s="1117" t="str">
        <f t="shared" si="589"/>
        <v/>
      </c>
      <c r="DP56" s="1117">
        <f t="shared" si="590"/>
        <v>0</v>
      </c>
      <c r="DQ56" s="1128">
        <f t="shared" si="591"/>
        <v>0</v>
      </c>
      <c r="DR56" s="1117" t="str">
        <f t="shared" si="73"/>
        <v/>
      </c>
      <c r="DS56" s="1128">
        <f t="shared" si="592"/>
        <v>0</v>
      </c>
      <c r="DT56" s="1117" t="str">
        <f t="shared" si="75"/>
        <v/>
      </c>
      <c r="DU56" s="1120">
        <f>SUMIF($B57:$B$63,$B56,DU57:DU$63)</f>
        <v>0</v>
      </c>
      <c r="DV56" s="1117" t="str">
        <f t="shared" si="593"/>
        <v/>
      </c>
      <c r="DW56" s="1117">
        <f t="shared" si="594"/>
        <v>0</v>
      </c>
      <c r="DX56" s="1120">
        <f>SUMIF($B57:$B$63,$B56,DX57:DX$63)</f>
        <v>0</v>
      </c>
      <c r="DY56" s="1117" t="str">
        <f t="shared" si="595"/>
        <v/>
      </c>
      <c r="DZ56" s="1117">
        <f t="shared" si="596"/>
        <v>0</v>
      </c>
      <c r="EA56" s="1120">
        <f>SUMIF($B57:$B$63,$B56,EA57:EA$63)</f>
        <v>0</v>
      </c>
      <c r="EB56" s="1117" t="str">
        <f t="shared" si="597"/>
        <v/>
      </c>
      <c r="EC56" s="1117" t="str">
        <f t="shared" si="598"/>
        <v/>
      </c>
      <c r="ED56" s="1128">
        <f t="shared" si="599"/>
        <v>0</v>
      </c>
      <c r="EE56" s="1117" t="str">
        <f t="shared" si="80"/>
        <v/>
      </c>
      <c r="EF56" s="1128">
        <f t="shared" si="600"/>
        <v>0</v>
      </c>
      <c r="EG56" s="1117" t="str">
        <f t="shared" si="82"/>
        <v/>
      </c>
      <c r="EH56" s="1120">
        <f>SUMIF($B57:$B$63,$B56,EH57:EH$63)</f>
        <v>0</v>
      </c>
      <c r="EI56" s="1117" t="str">
        <f t="shared" si="601"/>
        <v/>
      </c>
      <c r="EJ56" s="1117">
        <f t="shared" si="602"/>
        <v>0</v>
      </c>
      <c r="EK56" s="1120">
        <f>SUMIF($B57:$B$63,$B56,EK57:EK$63)</f>
        <v>0</v>
      </c>
      <c r="EL56" s="1117" t="str">
        <f t="shared" si="603"/>
        <v/>
      </c>
      <c r="EM56" s="1117">
        <f t="shared" si="604"/>
        <v>0</v>
      </c>
      <c r="EN56" s="1120">
        <f>SUMIF($B57:$B$63,$B56,EN57:EN$63)</f>
        <v>0</v>
      </c>
      <c r="EO56" s="1117" t="str">
        <f t="shared" si="605"/>
        <v/>
      </c>
      <c r="EP56" s="1117" t="str">
        <f t="shared" si="606"/>
        <v/>
      </c>
      <c r="EQ56" s="1128">
        <f t="shared" si="607"/>
        <v>0</v>
      </c>
      <c r="ER56" s="1117" t="str">
        <f t="shared" si="87"/>
        <v/>
      </c>
      <c r="ES56" s="1128">
        <f t="shared" si="608"/>
        <v>0</v>
      </c>
      <c r="ET56" s="1117" t="str">
        <f t="shared" si="89"/>
        <v/>
      </c>
      <c r="EU56" s="1120">
        <f>SUMIF($B57:$B$63,$B56,EU57:EU$63)</f>
        <v>0</v>
      </c>
      <c r="EV56" s="1117" t="str">
        <f t="shared" si="609"/>
        <v/>
      </c>
      <c r="EW56" s="1117">
        <f t="shared" si="610"/>
        <v>0</v>
      </c>
      <c r="EX56" s="1120">
        <f>SUMIF($B57:$B$63,$B56,EX57:EX$63)</f>
        <v>0</v>
      </c>
      <c r="EY56" s="1117" t="str">
        <f t="shared" si="611"/>
        <v/>
      </c>
      <c r="EZ56" s="1117">
        <f t="shared" si="612"/>
        <v>0</v>
      </c>
      <c r="FA56" s="1133">
        <f t="shared" si="613"/>
        <v>0</v>
      </c>
      <c r="FB56" s="1117" t="str">
        <f t="shared" si="614"/>
        <v/>
      </c>
      <c r="FC56" s="1117" t="str">
        <f t="shared" si="615"/>
        <v/>
      </c>
      <c r="FD56" s="1128">
        <f t="shared" si="616"/>
        <v>0</v>
      </c>
      <c r="FE56" s="1117" t="str">
        <f t="shared" si="94"/>
        <v/>
      </c>
      <c r="FF56" s="1128">
        <f t="shared" si="617"/>
        <v>0</v>
      </c>
      <c r="FG56" s="1117" t="str">
        <f t="shared" si="96"/>
        <v/>
      </c>
      <c r="FH56" s="1120">
        <f t="shared" si="618"/>
        <v>0</v>
      </c>
      <c r="FI56" s="1117" t="str">
        <f t="shared" si="619"/>
        <v/>
      </c>
      <c r="FJ56" s="1117">
        <f t="shared" si="620"/>
        <v>0</v>
      </c>
      <c r="FK56" s="1119">
        <f t="shared" si="621"/>
        <v>0</v>
      </c>
      <c r="FL56" s="1117" t="str">
        <f t="shared" si="622"/>
        <v/>
      </c>
      <c r="FM56" s="1117">
        <f t="shared" si="623"/>
        <v>0</v>
      </c>
      <c r="FN56" s="1119">
        <f t="shared" si="624"/>
        <v>0</v>
      </c>
      <c r="FO56" s="1117" t="str">
        <f t="shared" si="625"/>
        <v/>
      </c>
      <c r="FP56" s="1117" t="str">
        <f t="shared" si="626"/>
        <v/>
      </c>
      <c r="FQ56" s="1128">
        <f t="shared" si="627"/>
        <v>0</v>
      </c>
      <c r="FR56" s="1117" t="str">
        <f t="shared" si="104"/>
        <v/>
      </c>
      <c r="FS56" s="1128">
        <f t="shared" si="628"/>
        <v>0</v>
      </c>
      <c r="FT56" s="1117" t="str">
        <f t="shared" si="106"/>
        <v/>
      </c>
      <c r="FU56" s="1120">
        <f>SUMIF($B57:$B$63,$B56,FU57:FU$63)</f>
        <v>0</v>
      </c>
      <c r="FV56" s="1117" t="str">
        <f t="shared" si="629"/>
        <v/>
      </c>
      <c r="FW56" s="1117">
        <f t="shared" si="630"/>
        <v>0</v>
      </c>
      <c r="FX56" s="1120">
        <f>SUMIF($B57:$B$63,$B56,FX57:FX$63)</f>
        <v>0</v>
      </c>
      <c r="FY56" s="1117" t="str">
        <f t="shared" si="631"/>
        <v/>
      </c>
      <c r="FZ56" s="1117">
        <f t="shared" si="632"/>
        <v>0</v>
      </c>
      <c r="GA56" s="1120">
        <f>SUMIF($B57:$B$63,$B56,GA57:GA$63)</f>
        <v>0</v>
      </c>
      <c r="GB56" s="1117" t="str">
        <f t="shared" si="633"/>
        <v/>
      </c>
      <c r="GC56" s="1117" t="str">
        <f t="shared" si="634"/>
        <v/>
      </c>
      <c r="GD56" s="1128">
        <f t="shared" si="635"/>
        <v>0</v>
      </c>
      <c r="GE56" s="1117" t="str">
        <f t="shared" si="111"/>
        <v/>
      </c>
      <c r="GF56" s="1128">
        <f t="shared" si="636"/>
        <v>0</v>
      </c>
      <c r="GG56" s="1117" t="str">
        <f t="shared" si="113"/>
        <v/>
      </c>
      <c r="GH56" s="1120">
        <f>SUMIF($B57:$B$63,$B56,GH57:GH$63)</f>
        <v>0</v>
      </c>
      <c r="GI56" s="1117" t="str">
        <f t="shared" si="637"/>
        <v/>
      </c>
      <c r="GJ56" s="1117">
        <f t="shared" si="638"/>
        <v>0</v>
      </c>
      <c r="GK56" s="1120">
        <f>SUMIF($B57:$B$63,$B56,GK57:GK$63)</f>
        <v>0</v>
      </c>
      <c r="GL56" s="1117" t="str">
        <f t="shared" si="639"/>
        <v/>
      </c>
      <c r="GM56" s="1117">
        <f t="shared" si="640"/>
        <v>0</v>
      </c>
      <c r="GN56" s="1120">
        <f>SUMIF($B57:$B$63,$B56,GN57:GN$63)</f>
        <v>0</v>
      </c>
      <c r="GO56" s="1117" t="str">
        <f t="shared" si="641"/>
        <v/>
      </c>
      <c r="GP56" s="1117" t="str">
        <f t="shared" si="642"/>
        <v/>
      </c>
      <c r="GQ56" s="1128">
        <f t="shared" si="643"/>
        <v>0</v>
      </c>
      <c r="GR56" s="1117" t="str">
        <f t="shared" si="118"/>
        <v/>
      </c>
      <c r="GS56" s="1128">
        <f t="shared" si="644"/>
        <v>0</v>
      </c>
      <c r="GT56" s="1117" t="str">
        <f t="shared" si="120"/>
        <v/>
      </c>
      <c r="GU56" s="1120">
        <f>SUMIF($B57:$B$63,$B56,GU57:GU$63)</f>
        <v>0</v>
      </c>
      <c r="GV56" s="1117" t="str">
        <f t="shared" si="645"/>
        <v/>
      </c>
      <c r="GW56" s="1117">
        <f t="shared" si="646"/>
        <v>0</v>
      </c>
      <c r="GX56" s="1120">
        <f>SUMIF($B57:$B$63,$B56,GX57:GX$63)</f>
        <v>0</v>
      </c>
      <c r="GY56" s="1117" t="str">
        <f t="shared" si="647"/>
        <v/>
      </c>
      <c r="GZ56" s="1117">
        <f t="shared" si="648"/>
        <v>0</v>
      </c>
      <c r="HA56" s="1120">
        <f>SUMIF($B57:$B$63,$B56,HA57:HA$63)</f>
        <v>0</v>
      </c>
      <c r="HB56" s="1117" t="str">
        <f t="shared" si="649"/>
        <v/>
      </c>
      <c r="HC56" s="1117" t="str">
        <f t="shared" si="650"/>
        <v/>
      </c>
      <c r="HD56" s="1128">
        <f t="shared" si="651"/>
        <v>0</v>
      </c>
      <c r="HE56" s="1117" t="str">
        <f t="shared" si="125"/>
        <v/>
      </c>
      <c r="HF56" s="1128">
        <f t="shared" si="652"/>
        <v>0</v>
      </c>
      <c r="HG56" s="1117" t="str">
        <f t="shared" si="127"/>
        <v/>
      </c>
      <c r="HH56" s="1120">
        <f t="shared" si="653"/>
        <v>0</v>
      </c>
      <c r="HI56" s="1117" t="str">
        <f t="shared" si="654"/>
        <v/>
      </c>
      <c r="HJ56" s="1117">
        <f t="shared" si="655"/>
        <v>0</v>
      </c>
      <c r="HK56" s="1119">
        <f t="shared" si="656"/>
        <v>0</v>
      </c>
      <c r="HL56" s="1117" t="str">
        <f t="shared" si="657"/>
        <v/>
      </c>
      <c r="HM56" s="1117">
        <f t="shared" si="658"/>
        <v>0</v>
      </c>
      <c r="HN56" s="1119">
        <f t="shared" si="659"/>
        <v>0</v>
      </c>
      <c r="HO56" s="1117" t="str">
        <f t="shared" si="660"/>
        <v/>
      </c>
      <c r="HP56" s="1117" t="str">
        <f t="shared" si="661"/>
        <v/>
      </c>
      <c r="HQ56" s="1128">
        <f t="shared" si="662"/>
        <v>0</v>
      </c>
      <c r="HR56" s="1117" t="str">
        <f t="shared" si="135"/>
        <v/>
      </c>
      <c r="HS56" s="1128">
        <f t="shared" si="663"/>
        <v>0</v>
      </c>
      <c r="HT56" s="1117" t="str">
        <f t="shared" si="137"/>
        <v/>
      </c>
      <c r="HU56" s="1120">
        <f t="shared" si="664"/>
        <v>0</v>
      </c>
      <c r="HV56" s="1117" t="str">
        <f t="shared" si="665"/>
        <v/>
      </c>
      <c r="HW56" s="1117">
        <f t="shared" si="666"/>
        <v>0</v>
      </c>
      <c r="HX56" s="1119">
        <f t="shared" si="667"/>
        <v>0</v>
      </c>
      <c r="HY56" s="1117" t="str">
        <f t="shared" si="668"/>
        <v/>
      </c>
      <c r="HZ56" s="1117">
        <f t="shared" si="669"/>
        <v>0</v>
      </c>
      <c r="IA56" s="1119">
        <f t="shared" si="670"/>
        <v>0</v>
      </c>
      <c r="IB56" s="1117" t="str">
        <f t="shared" si="671"/>
        <v/>
      </c>
      <c r="IC56" s="1117" t="str">
        <f t="shared" si="672"/>
        <v/>
      </c>
      <c r="ID56" s="1128">
        <f t="shared" si="673"/>
        <v>0</v>
      </c>
      <c r="IE56" s="1117" t="str">
        <f t="shared" si="145"/>
        <v/>
      </c>
      <c r="IF56" s="1128">
        <f t="shared" si="674"/>
        <v>0</v>
      </c>
      <c r="IG56" s="1117" t="str">
        <f t="shared" si="147"/>
        <v/>
      </c>
      <c r="IH56" s="1120">
        <f t="shared" si="675"/>
        <v>0</v>
      </c>
      <c r="II56" s="1117" t="str">
        <f t="shared" si="676"/>
        <v/>
      </c>
      <c r="IJ56" s="1117">
        <f t="shared" si="677"/>
        <v>0</v>
      </c>
      <c r="IK56" s="1119">
        <f t="shared" si="678"/>
        <v>0</v>
      </c>
      <c r="IL56" s="1117" t="str">
        <f t="shared" si="679"/>
        <v/>
      </c>
      <c r="IM56" s="1117">
        <f t="shared" si="680"/>
        <v>0</v>
      </c>
      <c r="IN56" s="1119">
        <f t="shared" si="681"/>
        <v>0</v>
      </c>
      <c r="IO56" s="1117" t="str">
        <f t="shared" si="682"/>
        <v/>
      </c>
      <c r="IP56" s="1117">
        <f t="shared" si="683"/>
        <v>0</v>
      </c>
      <c r="IQ56" s="1128">
        <f t="shared" si="684"/>
        <v>0</v>
      </c>
      <c r="IR56" s="1117" t="str">
        <f t="shared" si="1"/>
        <v/>
      </c>
      <c r="IS56" s="1128">
        <f t="shared" si="685"/>
        <v>0</v>
      </c>
      <c r="IT56" s="1117" t="str">
        <f t="shared" si="2"/>
        <v/>
      </c>
    </row>
    <row r="57" hidden="1" outlineLevel="1">
      <c r="A57" s="1086">
        <f t="shared" si="511"/>
        <v>5</v>
      </c>
      <c r="B57" s="1087" t="s">
        <v>2069</v>
      </c>
      <c r="C57" s="656" t="s">
        <v>638</v>
      </c>
      <c r="D57" s="1087" t="str">
        <f>IF(C57&gt;0,VLOOKUP(C57,DM_DUAN ,2,"") ,IF(B57&gt;0,VLOOKUP(B57,DM_CDT,2,""),""))</f>
        <v>Sản phẩm Phước Vinh</v>
      </c>
      <c r="E57" s="1087"/>
      <c r="F57" s="1087"/>
      <c r="G57" s="1086">
        <v>2.0</v>
      </c>
      <c r="H57" s="1088">
        <f t="shared" ref="H57:H59" si="721">SUMIF($C$19:$C$33,$C57,H$19:H$33)-SUMIF($C$35:$C$48,$C57,H$35:H$48)</f>
        <v>0</v>
      </c>
      <c r="I57" s="1091" t="str">
        <f t="shared" si="512"/>
        <v/>
      </c>
      <c r="J57" s="1091" t="str">
        <f t="shared" si="513"/>
        <v/>
      </c>
      <c r="K57" s="1090">
        <f t="shared" ref="K57:K59" si="722">SUMIF($C$20:$C$33,$C57,K$20:K$33)-SUMIF($C$35:$C$48,$C57,K$35:K$48)</f>
        <v>0</v>
      </c>
      <c r="L57" s="1091" t="str">
        <f t="shared" si="514"/>
        <v/>
      </c>
      <c r="M57" s="1091">
        <f t="shared" si="515"/>
        <v>0</v>
      </c>
      <c r="N57" s="1090">
        <f t="shared" ref="N57:N59" si="723">SUMIF($C$20:$C$33,$C57,N$20:N$33)-SUMIF($C$35:$C$48,$C57,N$35:N$48)</f>
        <v>0</v>
      </c>
      <c r="O57" s="1091" t="str">
        <f t="shared" si="516"/>
        <v/>
      </c>
      <c r="P57" s="1091">
        <f t="shared" si="517"/>
        <v>0</v>
      </c>
      <c r="Q57" s="1130">
        <f t="shared" si="518"/>
        <v>0</v>
      </c>
      <c r="R57" s="1091" t="str">
        <f t="shared" si="8"/>
        <v/>
      </c>
      <c r="S57" s="1130">
        <f t="shared" si="519"/>
        <v>0</v>
      </c>
      <c r="T57" s="1091" t="str">
        <f t="shared" si="10"/>
        <v/>
      </c>
      <c r="U57" s="1088">
        <f t="shared" ref="U57:U59" si="724">SUMIF($C$19:$C$33,$C57,U$19:U$33)-SUMIF($C$35:$C$48,$C57,U$35:U$48)</f>
        <v>0</v>
      </c>
      <c r="V57" s="1091" t="str">
        <f t="shared" si="520"/>
        <v/>
      </c>
      <c r="W57" s="1091" t="str">
        <f t="shared" si="521"/>
        <v/>
      </c>
      <c r="X57" s="1090">
        <f t="shared" ref="X57:X59" si="725">SUMIF($C$20:$C$33,$C57,X$20:X$33)-SUMIF($C$35:$C$48,$C57,X$35:X$48)</f>
        <v>0</v>
      </c>
      <c r="Y57" s="1091" t="str">
        <f t="shared" si="522"/>
        <v/>
      </c>
      <c r="Z57" s="1091" t="str">
        <f t="shared" si="523"/>
        <v/>
      </c>
      <c r="AA57" s="1090">
        <f t="shared" ref="AA57:AA59" si="726">SUMIF($C$20:$C$33,$C57,AA$20:AA$33)-SUMIF($C$35:$C$48,$C57,AA$35:AA$48)</f>
        <v>0</v>
      </c>
      <c r="AB57" s="1091" t="str">
        <f t="shared" si="524"/>
        <v/>
      </c>
      <c r="AC57" s="1091">
        <f t="shared" si="525"/>
        <v>0</v>
      </c>
      <c r="AD57" s="1130">
        <f t="shared" si="526"/>
        <v>0</v>
      </c>
      <c r="AE57" s="1091" t="str">
        <f t="shared" si="15"/>
        <v/>
      </c>
      <c r="AF57" s="1130">
        <f t="shared" si="527"/>
        <v>0</v>
      </c>
      <c r="AG57" s="1091" t="str">
        <f t="shared" si="17"/>
        <v/>
      </c>
      <c r="AH57" s="1088">
        <f t="shared" ref="AH57:AH59" si="727">SUMIF($C$19:$C$33,$C57,AH$19:AH$33)-SUMIF($C$35:$C$48,$C57,AH$35:AH$48)</f>
        <v>0</v>
      </c>
      <c r="AI57" s="1091" t="str">
        <f t="shared" si="528"/>
        <v/>
      </c>
      <c r="AJ57" s="1091" t="str">
        <f t="shared" si="529"/>
        <v/>
      </c>
      <c r="AK57" s="1090">
        <f t="shared" ref="AK57:AK59" si="728">SUMIF($C$20:$C$33,$C57,AK$20:AK$33)-SUMIF($C$35:$C$48,$C57,AK$35:AK$48)</f>
        <v>0</v>
      </c>
      <c r="AL57" s="1091" t="str">
        <f t="shared" si="530"/>
        <v/>
      </c>
      <c r="AM57" s="1091">
        <f t="shared" si="531"/>
        <v>0</v>
      </c>
      <c r="AN57" s="1090">
        <f t="shared" ref="AN57:AN59" si="729">SUMIF($C$20:$C$33,$C57,AN$20:AN$33)-SUMIF($C$35:$C$48,$C57,AN$35:AN$48)</f>
        <v>0</v>
      </c>
      <c r="AO57" s="1091" t="str">
        <f t="shared" si="532"/>
        <v/>
      </c>
      <c r="AP57" s="1091">
        <f t="shared" si="533"/>
        <v>0</v>
      </c>
      <c r="AQ57" s="1130">
        <f t="shared" si="534"/>
        <v>0</v>
      </c>
      <c r="AR57" s="1091" t="str">
        <f t="shared" si="22"/>
        <v/>
      </c>
      <c r="AS57" s="1130">
        <f t="shared" si="535"/>
        <v>0</v>
      </c>
      <c r="AT57" s="1091" t="str">
        <f t="shared" si="24"/>
        <v/>
      </c>
      <c r="AU57" s="1088">
        <f t="shared" si="536"/>
        <v>0</v>
      </c>
      <c r="AV57" s="1091" t="str">
        <f t="shared" si="537"/>
        <v/>
      </c>
      <c r="AW57" s="1091" t="str">
        <f t="shared" si="538"/>
        <v/>
      </c>
      <c r="AX57" s="1090">
        <f t="shared" si="539"/>
        <v>0</v>
      </c>
      <c r="AY57" s="1091" t="str">
        <f t="shared" si="540"/>
        <v/>
      </c>
      <c r="AZ57" s="1091">
        <f t="shared" si="541"/>
        <v>0</v>
      </c>
      <c r="BA57" s="1090">
        <f t="shared" si="542"/>
        <v>0</v>
      </c>
      <c r="BB57" s="1091" t="str">
        <f t="shared" si="543"/>
        <v/>
      </c>
      <c r="BC57" s="1091">
        <f t="shared" si="544"/>
        <v>0</v>
      </c>
      <c r="BD57" s="1130">
        <f t="shared" si="545"/>
        <v>0</v>
      </c>
      <c r="BE57" s="1091" t="str">
        <f t="shared" si="32"/>
        <v/>
      </c>
      <c r="BF57" s="1130">
        <f t="shared" si="546"/>
        <v>0</v>
      </c>
      <c r="BG57" s="1091" t="str">
        <f t="shared" si="34"/>
        <v/>
      </c>
      <c r="BH57" s="1088">
        <f t="shared" ref="BH57:BH59" si="730">SUMIF($C$20:$C$33,$C57,BH$20:BH$33)-SUMIF($C$35:$C$48,$C57,BH$35:BH$48)</f>
        <v>0</v>
      </c>
      <c r="BI57" s="1091" t="str">
        <f t="shared" si="547"/>
        <v/>
      </c>
      <c r="BJ57" s="1091">
        <f t="shared" si="548"/>
        <v>0</v>
      </c>
      <c r="BK57" s="1090">
        <f t="shared" ref="BK57:BK59" si="731">SUMIF($C$20:$C$33,$C57,BK$20:BK$33)-SUMIF($C$35:$C$48,$C57,BK$35:BK$48)</f>
        <v>0</v>
      </c>
      <c r="BL57" s="1091" t="str">
        <f t="shared" si="549"/>
        <v/>
      </c>
      <c r="BM57" s="1091" t="str">
        <f t="shared" si="550"/>
        <v/>
      </c>
      <c r="BN57" s="1090">
        <f t="shared" ref="BN57:BN59" si="732">SUMIF($C$20:$C$33,$C57,BN$20:BN$33)-SUMIF($C$35:$C$48,$C57,BN$35:BN$48)</f>
        <v>1559000</v>
      </c>
      <c r="BO57" s="1091">
        <f t="shared" si="551"/>
        <v>1</v>
      </c>
      <c r="BP57" s="1091">
        <f t="shared" si="552"/>
        <v>0.5993756344</v>
      </c>
      <c r="BQ57" s="1130">
        <f t="shared" si="553"/>
        <v>1559000</v>
      </c>
      <c r="BR57" s="1091" t="str">
        <f t="shared" si="39"/>
        <v/>
      </c>
      <c r="BS57" s="1130">
        <f t="shared" si="554"/>
        <v>1559000</v>
      </c>
      <c r="BT57" s="1091" t="str">
        <f t="shared" si="41"/>
        <v/>
      </c>
      <c r="BU57" s="1088">
        <f t="shared" ref="BU57:BU59" si="733">SUMIF($C$19:$C$33,$C57,BU$19:BU$33)-SUMIF($C$35:$C$48,$C57,BU$35:BU$48)</f>
        <v>0</v>
      </c>
      <c r="BV57" s="1091" t="str">
        <f t="shared" si="555"/>
        <v/>
      </c>
      <c r="BW57" s="1091">
        <f t="shared" si="556"/>
        <v>0</v>
      </c>
      <c r="BX57" s="1131">
        <f t="shared" ref="BX57:BX59" si="734">SUMIF($C$20:$C$33,$C57,BX$20:BX$33)-SUMIF($C$35:$C$48,$C57,BX$35:BX$48)</f>
        <v>0</v>
      </c>
      <c r="BY57" s="1091" t="str">
        <f t="shared" si="557"/>
        <v/>
      </c>
      <c r="BZ57" s="1091">
        <f t="shared" si="558"/>
        <v>0</v>
      </c>
      <c r="CA57" s="1131">
        <f t="shared" ref="CA57:CA59" si="735">SUMIF($C$20:$C$33,$C57,CA$20:CA$33)-SUMIF($C$35:$C$48,$C57,CA$35:CA$48)</f>
        <v>0</v>
      </c>
      <c r="CB57" s="1091" t="str">
        <f t="shared" si="559"/>
        <v/>
      </c>
      <c r="CC57" s="1091">
        <f t="shared" si="560"/>
        <v>0</v>
      </c>
      <c r="CD57" s="1130">
        <f t="shared" si="561"/>
        <v>0</v>
      </c>
      <c r="CE57" s="1091" t="str">
        <f t="shared" si="46"/>
        <v/>
      </c>
      <c r="CF57" s="1130">
        <f t="shared" si="562"/>
        <v>0</v>
      </c>
      <c r="CG57" s="1091" t="str">
        <f t="shared" si="48"/>
        <v/>
      </c>
      <c r="CH57" s="1088">
        <f t="shared" ref="CH57:CH59" si="736">SUMIF($C$19:$C$33,$C57,CH$19:CH$33)-SUMIF($C$35:$C$48,$C57,CH$35:CH$48)</f>
        <v>0</v>
      </c>
      <c r="CI57" s="1091" t="str">
        <f t="shared" si="563"/>
        <v/>
      </c>
      <c r="CJ57" s="1091">
        <f t="shared" si="564"/>
        <v>0</v>
      </c>
      <c r="CK57" s="1131">
        <f t="shared" ref="CK57:CK59" si="737">SUMIF($C$20:$C$33,$C57,CK$20:CK$33)-SUMIF($C$35:$C$48,$C57,CK$35:CK$48)</f>
        <v>0</v>
      </c>
      <c r="CL57" s="1091" t="str">
        <f t="shared" si="565"/>
        <v/>
      </c>
      <c r="CM57" s="1091" t="str">
        <f t="shared" si="566"/>
        <v/>
      </c>
      <c r="CN57" s="1131">
        <f t="shared" ref="CN57:CN59" si="738">SUMIF($C$20:$C$33,$C57,CN$20:CN$33)-SUMIF($C$35:$C$48,$C57,CN$35:CN$48)</f>
        <v>0</v>
      </c>
      <c r="CO57" s="1091" t="str">
        <f t="shared" si="567"/>
        <v/>
      </c>
      <c r="CP57" s="1091" t="str">
        <f t="shared" si="568"/>
        <v/>
      </c>
      <c r="CQ57" s="1130">
        <f t="shared" si="569"/>
        <v>0</v>
      </c>
      <c r="CR57" s="1091" t="str">
        <f t="shared" si="53"/>
        <v/>
      </c>
      <c r="CS57" s="1130">
        <f t="shared" si="570"/>
        <v>0</v>
      </c>
      <c r="CT57" s="1091" t="str">
        <f t="shared" si="55"/>
        <v/>
      </c>
      <c r="CU57" s="1088">
        <f t="shared" si="571"/>
        <v>0</v>
      </c>
      <c r="CV57" s="1091" t="str">
        <f t="shared" si="572"/>
        <v/>
      </c>
      <c r="CW57" s="1091">
        <f t="shared" si="573"/>
        <v>0</v>
      </c>
      <c r="CX57" s="1131">
        <f t="shared" si="574"/>
        <v>0</v>
      </c>
      <c r="CY57" s="1091" t="str">
        <f t="shared" si="575"/>
        <v/>
      </c>
      <c r="CZ57" s="1091" t="str">
        <f t="shared" si="576"/>
        <v/>
      </c>
      <c r="DA57" s="1131">
        <f t="shared" si="577"/>
        <v>1559000</v>
      </c>
      <c r="DB57" s="1091">
        <f t="shared" si="578"/>
        <v>1</v>
      </c>
      <c r="DC57" s="1091" t="str">
        <f t="shared" si="579"/>
        <v/>
      </c>
      <c r="DD57" s="1130">
        <f t="shared" si="580"/>
        <v>1559000</v>
      </c>
      <c r="DE57" s="1091" t="str">
        <f t="shared" si="63"/>
        <v/>
      </c>
      <c r="DF57" s="1130">
        <f t="shared" si="581"/>
        <v>1559000</v>
      </c>
      <c r="DG57" s="1091" t="str">
        <f t="shared" si="65"/>
        <v/>
      </c>
      <c r="DH57" s="1088">
        <f t="shared" si="582"/>
        <v>0</v>
      </c>
      <c r="DI57" s="1091" t="str">
        <f t="shared" si="583"/>
        <v/>
      </c>
      <c r="DJ57" s="1091">
        <f t="shared" si="584"/>
        <v>0</v>
      </c>
      <c r="DK57" s="1090">
        <f t="shared" si="585"/>
        <v>0</v>
      </c>
      <c r="DL57" s="1091" t="str">
        <f t="shared" si="586"/>
        <v/>
      </c>
      <c r="DM57" s="1091">
        <f t="shared" si="587"/>
        <v>0</v>
      </c>
      <c r="DN57" s="1090">
        <f t="shared" si="588"/>
        <v>1559000</v>
      </c>
      <c r="DO57" s="1091">
        <f t="shared" si="589"/>
        <v>1</v>
      </c>
      <c r="DP57" s="1091">
        <f t="shared" si="590"/>
        <v>1.312289562</v>
      </c>
      <c r="DQ57" s="1130">
        <f t="shared" si="591"/>
        <v>1559000</v>
      </c>
      <c r="DR57" s="1091" t="str">
        <f t="shared" si="73"/>
        <v/>
      </c>
      <c r="DS57" s="1130">
        <f t="shared" si="592"/>
        <v>1559000</v>
      </c>
      <c r="DT57" s="1091" t="str">
        <f t="shared" si="75"/>
        <v/>
      </c>
      <c r="DU57" s="1088">
        <f t="shared" ref="DU57:DU59" si="739">SUMIF($C$19:$C$33,$C57,DU$19:DU$33)-SUMIF($C$35:$C$48,$C57,DU$35:DU$48)</f>
        <v>0</v>
      </c>
      <c r="DV57" s="1091" t="str">
        <f t="shared" si="593"/>
        <v/>
      </c>
      <c r="DW57" s="1091">
        <f t="shared" si="594"/>
        <v>0</v>
      </c>
      <c r="DX57" s="1131">
        <f t="shared" ref="DX57:DX59" si="740">SUMIF($C$20:$C$33,$C57,DX$20:DX$33)-SUMIF($C$35:$C$48,$C57,DX$35:DX$48)</f>
        <v>0</v>
      </c>
      <c r="DY57" s="1091" t="str">
        <f t="shared" si="595"/>
        <v/>
      </c>
      <c r="DZ57" s="1091">
        <f t="shared" si="596"/>
        <v>0</v>
      </c>
      <c r="EA57" s="1131">
        <f t="shared" ref="EA57:EA59" si="741">SUMIF($C$20:$C$33,$C57,EA$20:EA$33)-SUMIF($C$35:$C$48,$C57,EA$35:EA$48)</f>
        <v>0</v>
      </c>
      <c r="EB57" s="1091" t="str">
        <f t="shared" si="597"/>
        <v/>
      </c>
      <c r="EC57" s="1091" t="str">
        <f t="shared" si="598"/>
        <v/>
      </c>
      <c r="ED57" s="1130">
        <f t="shared" si="599"/>
        <v>0</v>
      </c>
      <c r="EE57" s="1091" t="str">
        <f t="shared" si="80"/>
        <v/>
      </c>
      <c r="EF57" s="1130">
        <f t="shared" si="600"/>
        <v>0</v>
      </c>
      <c r="EG57" s="1091" t="str">
        <f t="shared" si="82"/>
        <v/>
      </c>
      <c r="EH57" s="1088">
        <f t="shared" ref="EH57:EH59" si="742">SUMIF($C$19:$C$33,$C57,EH$19:EH$33)-SUMIF($C$35:$C$48,$C57,EH$35:EH$48)</f>
        <v>0</v>
      </c>
      <c r="EI57" s="1091" t="str">
        <f t="shared" si="601"/>
        <v/>
      </c>
      <c r="EJ57" s="1091">
        <f t="shared" si="602"/>
        <v>0</v>
      </c>
      <c r="EK57" s="1131">
        <f t="shared" ref="EK57:EK59" si="743">SUMIF($C$20:$C$33,$C57,EK$20:EK$33)-SUMIF($C$35:$C$48,$C57,EK$35:EK$48)</f>
        <v>0</v>
      </c>
      <c r="EL57" s="1091" t="str">
        <f t="shared" si="603"/>
        <v/>
      </c>
      <c r="EM57" s="1091">
        <f t="shared" si="604"/>
        <v>0</v>
      </c>
      <c r="EN57" s="1131">
        <f t="shared" ref="EN57:EN59" si="744">SUMIF($C$20:$C$33,$C57,EN$20:EN$33)-SUMIF($C$35:$C$48,$C57,EN$35:EN$48)</f>
        <v>0</v>
      </c>
      <c r="EO57" s="1091" t="str">
        <f t="shared" si="605"/>
        <v/>
      </c>
      <c r="EP57" s="1091" t="str">
        <f t="shared" si="606"/>
        <v/>
      </c>
      <c r="EQ57" s="1130">
        <f t="shared" si="607"/>
        <v>0</v>
      </c>
      <c r="ER57" s="1091" t="str">
        <f t="shared" si="87"/>
        <v/>
      </c>
      <c r="ES57" s="1130">
        <f t="shared" si="608"/>
        <v>0</v>
      </c>
      <c r="ET57" s="1091" t="str">
        <f t="shared" si="89"/>
        <v/>
      </c>
      <c r="EU57" s="1088">
        <f t="shared" ref="EU57:EU59" si="745">SUMIF($C$19:$C$33,$C57,EU$19:EU$33)-SUMIF($C$35:$C$48,$C57,EU$35:EU$48)</f>
        <v>0</v>
      </c>
      <c r="EV57" s="1091" t="str">
        <f t="shared" si="609"/>
        <v/>
      </c>
      <c r="EW57" s="1091">
        <f t="shared" si="610"/>
        <v>0</v>
      </c>
      <c r="EX57" s="1131">
        <f t="shared" ref="EX57:EX59" si="746">SUMIF($C$20:$C$33,$C57,EX$20:EX$33)-SUMIF($C$35:$C$48,$C57,EX$35:EX$48)</f>
        <v>0</v>
      </c>
      <c r="EY57" s="1091" t="str">
        <f t="shared" si="611"/>
        <v/>
      </c>
      <c r="EZ57" s="1091">
        <f t="shared" si="612"/>
        <v>0</v>
      </c>
      <c r="FA57" s="1131">
        <f t="shared" si="613"/>
        <v>0</v>
      </c>
      <c r="FB57" s="1091" t="str">
        <f t="shared" si="614"/>
        <v/>
      </c>
      <c r="FC57" s="1091" t="str">
        <f t="shared" si="615"/>
        <v/>
      </c>
      <c r="FD57" s="1130">
        <f t="shared" si="616"/>
        <v>0</v>
      </c>
      <c r="FE57" s="1091" t="str">
        <f t="shared" si="94"/>
        <v/>
      </c>
      <c r="FF57" s="1130">
        <f t="shared" si="617"/>
        <v>0</v>
      </c>
      <c r="FG57" s="1091" t="str">
        <f t="shared" si="96"/>
        <v/>
      </c>
      <c r="FH57" s="1088">
        <f t="shared" si="618"/>
        <v>0</v>
      </c>
      <c r="FI57" s="1091" t="str">
        <f t="shared" si="619"/>
        <v/>
      </c>
      <c r="FJ57" s="1091">
        <f t="shared" si="620"/>
        <v>0</v>
      </c>
      <c r="FK57" s="1090">
        <f t="shared" si="621"/>
        <v>0</v>
      </c>
      <c r="FL57" s="1091" t="str">
        <f t="shared" si="622"/>
        <v/>
      </c>
      <c r="FM57" s="1091">
        <f t="shared" si="623"/>
        <v>0</v>
      </c>
      <c r="FN57" s="1090">
        <f t="shared" si="624"/>
        <v>0</v>
      </c>
      <c r="FO57" s="1091" t="str">
        <f t="shared" si="625"/>
        <v/>
      </c>
      <c r="FP57" s="1091" t="str">
        <f t="shared" si="626"/>
        <v/>
      </c>
      <c r="FQ57" s="1130">
        <f t="shared" si="627"/>
        <v>0</v>
      </c>
      <c r="FR57" s="1091" t="str">
        <f t="shared" si="104"/>
        <v/>
      </c>
      <c r="FS57" s="1130">
        <f t="shared" si="628"/>
        <v>0</v>
      </c>
      <c r="FT57" s="1091" t="str">
        <f t="shared" si="106"/>
        <v/>
      </c>
      <c r="FU57" s="1088">
        <f t="shared" ref="FU57:FU59" si="747">SUMIF($C$19:$C$33,$C57,FU$19:FU$33)-SUMIF($C$35:$C$48,$C57,FU$35:FU$48)</f>
        <v>0</v>
      </c>
      <c r="FV57" s="1091" t="str">
        <f t="shared" si="629"/>
        <v/>
      </c>
      <c r="FW57" s="1091">
        <f t="shared" si="630"/>
        <v>0</v>
      </c>
      <c r="FX57" s="1131">
        <f t="shared" ref="FX57:FX59" si="748">SUMIF($C$20:$C$33,$C57,FX$20:FX$33)-SUMIF($C$35:$C$48,$C57,FX$35:FX$48)</f>
        <v>0</v>
      </c>
      <c r="FY57" s="1091" t="str">
        <f t="shared" si="631"/>
        <v/>
      </c>
      <c r="FZ57" s="1091">
        <f t="shared" si="632"/>
        <v>0</v>
      </c>
      <c r="GA57" s="1131">
        <f t="shared" ref="GA57:GA59" si="749">SUMIF($C$20:$C$33,$C57,GA$20:GA$33)-SUMIF($C$35:$C$48,$C57,GA$35:GA$48)</f>
        <v>0</v>
      </c>
      <c r="GB57" s="1091" t="str">
        <f t="shared" si="633"/>
        <v/>
      </c>
      <c r="GC57" s="1091" t="str">
        <f t="shared" si="634"/>
        <v/>
      </c>
      <c r="GD57" s="1130">
        <f t="shared" si="635"/>
        <v>0</v>
      </c>
      <c r="GE57" s="1091" t="str">
        <f t="shared" si="111"/>
        <v/>
      </c>
      <c r="GF57" s="1130">
        <f t="shared" si="636"/>
        <v>0</v>
      </c>
      <c r="GG57" s="1091" t="str">
        <f t="shared" si="113"/>
        <v/>
      </c>
      <c r="GH57" s="1088">
        <f t="shared" ref="GH57:GH59" si="750">SUMIF($C$19:$C$33,$C57,GH$19:GH$33)-SUMIF($C$35:$C$48,$C57,GH$35:GH$48)</f>
        <v>0</v>
      </c>
      <c r="GI57" s="1091" t="str">
        <f t="shared" si="637"/>
        <v/>
      </c>
      <c r="GJ57" s="1091">
        <f t="shared" si="638"/>
        <v>0</v>
      </c>
      <c r="GK57" s="1131">
        <f t="shared" ref="GK57:GK59" si="751">SUMIF($C$20:$C$33,$C57,GK$20:GK$33)-SUMIF($C$35:$C$48,$C57,GK$35:GK$48)</f>
        <v>0</v>
      </c>
      <c r="GL57" s="1091" t="str">
        <f t="shared" si="639"/>
        <v/>
      </c>
      <c r="GM57" s="1091">
        <f t="shared" si="640"/>
        <v>0</v>
      </c>
      <c r="GN57" s="1131">
        <f t="shared" ref="GN57:GN59" si="752">SUMIF($C$20:$C$33,$C57,GN$20:GN$33)-SUMIF($C$35:$C$48,$C57,GN$35:GN$48)</f>
        <v>0</v>
      </c>
      <c r="GO57" s="1091" t="str">
        <f t="shared" si="641"/>
        <v/>
      </c>
      <c r="GP57" s="1091" t="str">
        <f t="shared" si="642"/>
        <v/>
      </c>
      <c r="GQ57" s="1130">
        <f t="shared" si="643"/>
        <v>0</v>
      </c>
      <c r="GR57" s="1091" t="str">
        <f t="shared" si="118"/>
        <v/>
      </c>
      <c r="GS57" s="1130">
        <f t="shared" si="644"/>
        <v>0</v>
      </c>
      <c r="GT57" s="1091" t="str">
        <f t="shared" si="120"/>
        <v/>
      </c>
      <c r="GU57" s="1088">
        <f t="shared" ref="GU57:GU59" si="753">SUMIF($C$19:$C$33,$C57,GU$19:GU$33)-SUMIF($C$35:$C$48,$C57,GU$35:GU$48)</f>
        <v>0</v>
      </c>
      <c r="GV57" s="1091" t="str">
        <f t="shared" si="645"/>
        <v/>
      </c>
      <c r="GW57" s="1091">
        <f t="shared" si="646"/>
        <v>0</v>
      </c>
      <c r="GX57" s="1131">
        <f t="shared" ref="GX57:GX59" si="754">SUMIF($C$20:$C$33,$C57,GX$20:GX$33)-SUMIF($C$35:$C$48,$C57,GX$35:GX$48)</f>
        <v>0</v>
      </c>
      <c r="GY57" s="1091" t="str">
        <f t="shared" si="647"/>
        <v/>
      </c>
      <c r="GZ57" s="1091">
        <f t="shared" si="648"/>
        <v>0</v>
      </c>
      <c r="HA57" s="1131">
        <f t="shared" ref="HA57:HA59" si="755">SUMIF($C$20:$C$33,$C57,HA$20:HA$33)-SUMIF($C$35:$C$48,$C57,HA$35:HA$48)</f>
        <v>0</v>
      </c>
      <c r="HB57" s="1091" t="str">
        <f t="shared" si="649"/>
        <v/>
      </c>
      <c r="HC57" s="1091" t="str">
        <f t="shared" si="650"/>
        <v/>
      </c>
      <c r="HD57" s="1130">
        <f t="shared" si="651"/>
        <v>0</v>
      </c>
      <c r="HE57" s="1091" t="str">
        <f t="shared" si="125"/>
        <v/>
      </c>
      <c r="HF57" s="1130">
        <f t="shared" si="652"/>
        <v>0</v>
      </c>
      <c r="HG57" s="1091" t="str">
        <f t="shared" si="127"/>
        <v/>
      </c>
      <c r="HH57" s="1088">
        <f t="shared" si="653"/>
        <v>0</v>
      </c>
      <c r="HI57" s="1091" t="str">
        <f t="shared" si="654"/>
        <v/>
      </c>
      <c r="HJ57" s="1091">
        <f t="shared" si="655"/>
        <v>0</v>
      </c>
      <c r="HK57" s="1090">
        <f t="shared" si="656"/>
        <v>0</v>
      </c>
      <c r="HL57" s="1091" t="str">
        <f t="shared" si="657"/>
        <v/>
      </c>
      <c r="HM57" s="1091">
        <f t="shared" si="658"/>
        <v>0</v>
      </c>
      <c r="HN57" s="1090">
        <f t="shared" si="659"/>
        <v>0</v>
      </c>
      <c r="HO57" s="1091" t="str">
        <f t="shared" si="660"/>
        <v/>
      </c>
      <c r="HP57" s="1091" t="str">
        <f t="shared" si="661"/>
        <v/>
      </c>
      <c r="HQ57" s="1130">
        <f t="shared" si="662"/>
        <v>0</v>
      </c>
      <c r="HR57" s="1091" t="str">
        <f t="shared" si="135"/>
        <v/>
      </c>
      <c r="HS57" s="1130">
        <f t="shared" si="663"/>
        <v>0</v>
      </c>
      <c r="HT57" s="1091" t="str">
        <f t="shared" si="137"/>
        <v/>
      </c>
      <c r="HU57" s="1088">
        <f t="shared" si="664"/>
        <v>0</v>
      </c>
      <c r="HV57" s="1091" t="str">
        <f t="shared" si="665"/>
        <v/>
      </c>
      <c r="HW57" s="1091">
        <f t="shared" si="666"/>
        <v>0</v>
      </c>
      <c r="HX57" s="1090">
        <f t="shared" si="667"/>
        <v>0</v>
      </c>
      <c r="HY57" s="1091" t="str">
        <f t="shared" si="668"/>
        <v/>
      </c>
      <c r="HZ57" s="1091">
        <f t="shared" si="669"/>
        <v>0</v>
      </c>
      <c r="IA57" s="1090">
        <f t="shared" si="670"/>
        <v>0</v>
      </c>
      <c r="IB57" s="1091" t="str">
        <f t="shared" si="671"/>
        <v/>
      </c>
      <c r="IC57" s="1091" t="str">
        <f t="shared" si="672"/>
        <v/>
      </c>
      <c r="ID57" s="1130">
        <f t="shared" si="673"/>
        <v>0</v>
      </c>
      <c r="IE57" s="1091" t="str">
        <f t="shared" si="145"/>
        <v/>
      </c>
      <c r="IF57" s="1130">
        <f t="shared" si="674"/>
        <v>0</v>
      </c>
      <c r="IG57" s="1091" t="str">
        <f t="shared" si="147"/>
        <v/>
      </c>
      <c r="IH57" s="1088">
        <f t="shared" si="675"/>
        <v>0</v>
      </c>
      <c r="II57" s="1091" t="str">
        <f t="shared" si="676"/>
        <v/>
      </c>
      <c r="IJ57" s="1091">
        <f t="shared" si="677"/>
        <v>0</v>
      </c>
      <c r="IK57" s="1090">
        <f t="shared" si="678"/>
        <v>0</v>
      </c>
      <c r="IL57" s="1091" t="str">
        <f t="shared" si="679"/>
        <v/>
      </c>
      <c r="IM57" s="1091">
        <f t="shared" si="680"/>
        <v>0</v>
      </c>
      <c r="IN57" s="1090">
        <f t="shared" si="681"/>
        <v>1559000</v>
      </c>
      <c r="IO57" s="1091">
        <f t="shared" si="682"/>
        <v>1</v>
      </c>
      <c r="IP57" s="1091">
        <f t="shared" si="683"/>
        <v>1.312289562</v>
      </c>
      <c r="IQ57" s="1130">
        <f t="shared" si="684"/>
        <v>1559000</v>
      </c>
      <c r="IR57" s="1091" t="str">
        <f t="shared" si="1"/>
        <v/>
      </c>
      <c r="IS57" s="1130">
        <f t="shared" si="685"/>
        <v>1559000</v>
      </c>
      <c r="IT57" s="1091" t="str">
        <f t="shared" si="2"/>
        <v/>
      </c>
    </row>
    <row r="58" hidden="1" outlineLevel="1">
      <c r="A58" s="1086">
        <f t="shared" si="511"/>
        <v>6</v>
      </c>
      <c r="B58" s="1087" t="s">
        <v>2069</v>
      </c>
      <c r="C58" s="1087" t="s">
        <v>875</v>
      </c>
      <c r="D58" s="1087" t="str">
        <f>IF(C58&gt;0,VLOOKUP(C58,DM_DUAN ,2,"") ,IF(B58&gt;0,VLOOKUP(B58,DM_CDT,2,""),""))</f>
        <v>Sản phẩm Long Khánh 2</v>
      </c>
      <c r="E58" s="1087"/>
      <c r="F58" s="1087"/>
      <c r="G58" s="1086">
        <v>2.0</v>
      </c>
      <c r="H58" s="1088">
        <f t="shared" si="721"/>
        <v>0</v>
      </c>
      <c r="I58" s="1091" t="str">
        <f t="shared" si="512"/>
        <v/>
      </c>
      <c r="J58" s="1091" t="str">
        <f t="shared" si="513"/>
        <v/>
      </c>
      <c r="K58" s="1090">
        <f t="shared" si="722"/>
        <v>0</v>
      </c>
      <c r="L58" s="1091" t="str">
        <f t="shared" si="514"/>
        <v/>
      </c>
      <c r="M58" s="1091">
        <f t="shared" si="515"/>
        <v>0</v>
      </c>
      <c r="N58" s="1090">
        <f t="shared" si="723"/>
        <v>0</v>
      </c>
      <c r="O58" s="1091" t="str">
        <f t="shared" si="516"/>
        <v/>
      </c>
      <c r="P58" s="1091">
        <f t="shared" si="517"/>
        <v>0</v>
      </c>
      <c r="Q58" s="1130">
        <f t="shared" si="518"/>
        <v>0</v>
      </c>
      <c r="R58" s="1091" t="str">
        <f t="shared" si="8"/>
        <v/>
      </c>
      <c r="S58" s="1130">
        <f t="shared" si="519"/>
        <v>0</v>
      </c>
      <c r="T58" s="1091" t="str">
        <f t="shared" si="10"/>
        <v/>
      </c>
      <c r="U58" s="1088">
        <f t="shared" si="724"/>
        <v>0</v>
      </c>
      <c r="V58" s="1091" t="str">
        <f t="shared" si="520"/>
        <v/>
      </c>
      <c r="W58" s="1091" t="str">
        <f t="shared" si="521"/>
        <v/>
      </c>
      <c r="X58" s="1090">
        <f t="shared" si="725"/>
        <v>0</v>
      </c>
      <c r="Y58" s="1091" t="str">
        <f t="shared" si="522"/>
        <v/>
      </c>
      <c r="Z58" s="1091" t="str">
        <f t="shared" si="523"/>
        <v/>
      </c>
      <c r="AA58" s="1090">
        <f t="shared" si="726"/>
        <v>0</v>
      </c>
      <c r="AB58" s="1091" t="str">
        <f t="shared" si="524"/>
        <v/>
      </c>
      <c r="AC58" s="1091">
        <f t="shared" si="525"/>
        <v>0</v>
      </c>
      <c r="AD58" s="1130">
        <f t="shared" si="526"/>
        <v>0</v>
      </c>
      <c r="AE58" s="1091" t="str">
        <f t="shared" si="15"/>
        <v/>
      </c>
      <c r="AF58" s="1130">
        <f t="shared" si="527"/>
        <v>0</v>
      </c>
      <c r="AG58" s="1091" t="str">
        <f t="shared" si="17"/>
        <v/>
      </c>
      <c r="AH58" s="1088">
        <f t="shared" si="727"/>
        <v>0</v>
      </c>
      <c r="AI58" s="1091" t="str">
        <f t="shared" si="528"/>
        <v/>
      </c>
      <c r="AJ58" s="1091" t="str">
        <f t="shared" si="529"/>
        <v/>
      </c>
      <c r="AK58" s="1090">
        <f t="shared" si="728"/>
        <v>0</v>
      </c>
      <c r="AL58" s="1091" t="str">
        <f t="shared" si="530"/>
        <v/>
      </c>
      <c r="AM58" s="1091">
        <f t="shared" si="531"/>
        <v>0</v>
      </c>
      <c r="AN58" s="1090">
        <f t="shared" si="729"/>
        <v>0</v>
      </c>
      <c r="AO58" s="1091" t="str">
        <f t="shared" si="532"/>
        <v/>
      </c>
      <c r="AP58" s="1091">
        <f t="shared" si="533"/>
        <v>0</v>
      </c>
      <c r="AQ58" s="1130">
        <f t="shared" si="534"/>
        <v>0</v>
      </c>
      <c r="AR58" s="1091" t="str">
        <f t="shared" si="22"/>
        <v/>
      </c>
      <c r="AS58" s="1130">
        <f t="shared" si="535"/>
        <v>0</v>
      </c>
      <c r="AT58" s="1091" t="str">
        <f t="shared" si="24"/>
        <v/>
      </c>
      <c r="AU58" s="1088">
        <f t="shared" si="536"/>
        <v>0</v>
      </c>
      <c r="AV58" s="1091" t="str">
        <f t="shared" si="537"/>
        <v/>
      </c>
      <c r="AW58" s="1091" t="str">
        <f t="shared" si="538"/>
        <v/>
      </c>
      <c r="AX58" s="1090">
        <f t="shared" si="539"/>
        <v>0</v>
      </c>
      <c r="AY58" s="1091" t="str">
        <f t="shared" si="540"/>
        <v/>
      </c>
      <c r="AZ58" s="1091">
        <f t="shared" si="541"/>
        <v>0</v>
      </c>
      <c r="BA58" s="1090">
        <f t="shared" si="542"/>
        <v>0</v>
      </c>
      <c r="BB58" s="1091" t="str">
        <f t="shared" si="543"/>
        <v/>
      </c>
      <c r="BC58" s="1091">
        <f t="shared" si="544"/>
        <v>0</v>
      </c>
      <c r="BD58" s="1130">
        <f t="shared" si="545"/>
        <v>0</v>
      </c>
      <c r="BE58" s="1091" t="str">
        <f t="shared" si="32"/>
        <v/>
      </c>
      <c r="BF58" s="1130">
        <f t="shared" si="546"/>
        <v>0</v>
      </c>
      <c r="BG58" s="1091" t="str">
        <f t="shared" si="34"/>
        <v/>
      </c>
      <c r="BH58" s="1088">
        <f t="shared" si="730"/>
        <v>0</v>
      </c>
      <c r="BI58" s="1091" t="str">
        <f t="shared" si="547"/>
        <v/>
      </c>
      <c r="BJ58" s="1091">
        <f t="shared" si="548"/>
        <v>0</v>
      </c>
      <c r="BK58" s="1090">
        <f t="shared" si="731"/>
        <v>0</v>
      </c>
      <c r="BL58" s="1091" t="str">
        <f t="shared" si="549"/>
        <v/>
      </c>
      <c r="BM58" s="1091" t="str">
        <f t="shared" si="550"/>
        <v/>
      </c>
      <c r="BN58" s="1090">
        <f t="shared" si="732"/>
        <v>0</v>
      </c>
      <c r="BO58" s="1091" t="str">
        <f t="shared" si="551"/>
        <v/>
      </c>
      <c r="BP58" s="1091">
        <f t="shared" si="552"/>
        <v>0</v>
      </c>
      <c r="BQ58" s="1130">
        <f t="shared" si="553"/>
        <v>0</v>
      </c>
      <c r="BR58" s="1091" t="str">
        <f t="shared" si="39"/>
        <v/>
      </c>
      <c r="BS58" s="1130">
        <f t="shared" si="554"/>
        <v>0</v>
      </c>
      <c r="BT58" s="1091" t="str">
        <f t="shared" si="41"/>
        <v/>
      </c>
      <c r="BU58" s="1088">
        <f t="shared" si="733"/>
        <v>0</v>
      </c>
      <c r="BV58" s="1091" t="str">
        <f t="shared" si="555"/>
        <v/>
      </c>
      <c r="BW58" s="1091">
        <f t="shared" si="556"/>
        <v>0</v>
      </c>
      <c r="BX58" s="1131">
        <f t="shared" si="734"/>
        <v>0</v>
      </c>
      <c r="BY58" s="1091" t="str">
        <f t="shared" si="557"/>
        <v/>
      </c>
      <c r="BZ58" s="1091">
        <f t="shared" si="558"/>
        <v>0</v>
      </c>
      <c r="CA58" s="1131">
        <f t="shared" si="735"/>
        <v>0</v>
      </c>
      <c r="CB58" s="1091" t="str">
        <f t="shared" si="559"/>
        <v/>
      </c>
      <c r="CC58" s="1091">
        <f t="shared" si="560"/>
        <v>0</v>
      </c>
      <c r="CD58" s="1130">
        <f t="shared" si="561"/>
        <v>0</v>
      </c>
      <c r="CE58" s="1091" t="str">
        <f t="shared" si="46"/>
        <v/>
      </c>
      <c r="CF58" s="1130">
        <f t="shared" si="562"/>
        <v>0</v>
      </c>
      <c r="CG58" s="1091" t="str">
        <f t="shared" si="48"/>
        <v/>
      </c>
      <c r="CH58" s="1088">
        <f t="shared" si="736"/>
        <v>0</v>
      </c>
      <c r="CI58" s="1091" t="str">
        <f t="shared" si="563"/>
        <v/>
      </c>
      <c r="CJ58" s="1091">
        <f t="shared" si="564"/>
        <v>0</v>
      </c>
      <c r="CK58" s="1131">
        <f t="shared" si="737"/>
        <v>0</v>
      </c>
      <c r="CL58" s="1091" t="str">
        <f t="shared" si="565"/>
        <v/>
      </c>
      <c r="CM58" s="1091" t="str">
        <f t="shared" si="566"/>
        <v/>
      </c>
      <c r="CN58" s="1131">
        <f t="shared" si="738"/>
        <v>0</v>
      </c>
      <c r="CO58" s="1091" t="str">
        <f t="shared" si="567"/>
        <v/>
      </c>
      <c r="CP58" s="1091" t="str">
        <f t="shared" si="568"/>
        <v/>
      </c>
      <c r="CQ58" s="1130">
        <f t="shared" si="569"/>
        <v>0</v>
      </c>
      <c r="CR58" s="1091" t="str">
        <f t="shared" si="53"/>
        <v/>
      </c>
      <c r="CS58" s="1130">
        <f t="shared" si="570"/>
        <v>0</v>
      </c>
      <c r="CT58" s="1091" t="str">
        <f t="shared" si="55"/>
        <v/>
      </c>
      <c r="CU58" s="1088">
        <f t="shared" si="571"/>
        <v>0</v>
      </c>
      <c r="CV58" s="1091" t="str">
        <f t="shared" si="572"/>
        <v/>
      </c>
      <c r="CW58" s="1091">
        <f t="shared" si="573"/>
        <v>0</v>
      </c>
      <c r="CX58" s="1131">
        <f t="shared" si="574"/>
        <v>0</v>
      </c>
      <c r="CY58" s="1091" t="str">
        <f t="shared" si="575"/>
        <v/>
      </c>
      <c r="CZ58" s="1091" t="str">
        <f t="shared" si="576"/>
        <v/>
      </c>
      <c r="DA58" s="1131">
        <f t="shared" si="577"/>
        <v>0</v>
      </c>
      <c r="DB58" s="1091" t="str">
        <f t="shared" si="578"/>
        <v/>
      </c>
      <c r="DC58" s="1091" t="str">
        <f t="shared" si="579"/>
        <v/>
      </c>
      <c r="DD58" s="1130">
        <f t="shared" si="580"/>
        <v>0</v>
      </c>
      <c r="DE58" s="1091" t="str">
        <f t="shared" si="63"/>
        <v/>
      </c>
      <c r="DF58" s="1130">
        <f t="shared" si="581"/>
        <v>0</v>
      </c>
      <c r="DG58" s="1091" t="str">
        <f t="shared" si="65"/>
        <v/>
      </c>
      <c r="DH58" s="1088">
        <f t="shared" si="582"/>
        <v>0</v>
      </c>
      <c r="DI58" s="1091" t="str">
        <f t="shared" si="583"/>
        <v/>
      </c>
      <c r="DJ58" s="1091">
        <f t="shared" si="584"/>
        <v>0</v>
      </c>
      <c r="DK58" s="1090">
        <f t="shared" si="585"/>
        <v>0</v>
      </c>
      <c r="DL58" s="1091" t="str">
        <f t="shared" si="586"/>
        <v/>
      </c>
      <c r="DM58" s="1091">
        <f t="shared" si="587"/>
        <v>0</v>
      </c>
      <c r="DN58" s="1090">
        <f t="shared" si="588"/>
        <v>0</v>
      </c>
      <c r="DO58" s="1091" t="str">
        <f t="shared" si="589"/>
        <v/>
      </c>
      <c r="DP58" s="1091">
        <f t="shared" si="590"/>
        <v>0</v>
      </c>
      <c r="DQ58" s="1130">
        <f t="shared" si="591"/>
        <v>0</v>
      </c>
      <c r="DR58" s="1091" t="str">
        <f t="shared" si="73"/>
        <v/>
      </c>
      <c r="DS58" s="1130">
        <f t="shared" si="592"/>
        <v>0</v>
      </c>
      <c r="DT58" s="1091" t="str">
        <f t="shared" si="75"/>
        <v/>
      </c>
      <c r="DU58" s="1088">
        <f t="shared" si="739"/>
        <v>0</v>
      </c>
      <c r="DV58" s="1091" t="str">
        <f t="shared" si="593"/>
        <v/>
      </c>
      <c r="DW58" s="1091">
        <f t="shared" si="594"/>
        <v>0</v>
      </c>
      <c r="DX58" s="1131">
        <f t="shared" si="740"/>
        <v>0</v>
      </c>
      <c r="DY58" s="1091" t="str">
        <f t="shared" si="595"/>
        <v/>
      </c>
      <c r="DZ58" s="1091">
        <f t="shared" si="596"/>
        <v>0</v>
      </c>
      <c r="EA58" s="1131">
        <f t="shared" si="741"/>
        <v>0</v>
      </c>
      <c r="EB58" s="1091" t="str">
        <f t="shared" si="597"/>
        <v/>
      </c>
      <c r="EC58" s="1091" t="str">
        <f t="shared" si="598"/>
        <v/>
      </c>
      <c r="ED58" s="1130">
        <f t="shared" si="599"/>
        <v>0</v>
      </c>
      <c r="EE58" s="1091" t="str">
        <f t="shared" si="80"/>
        <v/>
      </c>
      <c r="EF58" s="1130">
        <f t="shared" si="600"/>
        <v>0</v>
      </c>
      <c r="EG58" s="1091" t="str">
        <f t="shared" si="82"/>
        <v/>
      </c>
      <c r="EH58" s="1088">
        <f t="shared" si="742"/>
        <v>0</v>
      </c>
      <c r="EI58" s="1091" t="str">
        <f t="shared" si="601"/>
        <v/>
      </c>
      <c r="EJ58" s="1091">
        <f t="shared" si="602"/>
        <v>0</v>
      </c>
      <c r="EK58" s="1131">
        <f t="shared" si="743"/>
        <v>0</v>
      </c>
      <c r="EL58" s="1091" t="str">
        <f t="shared" si="603"/>
        <v/>
      </c>
      <c r="EM58" s="1091">
        <f t="shared" si="604"/>
        <v>0</v>
      </c>
      <c r="EN58" s="1131">
        <f t="shared" si="744"/>
        <v>0</v>
      </c>
      <c r="EO58" s="1091" t="str">
        <f t="shared" si="605"/>
        <v/>
      </c>
      <c r="EP58" s="1091" t="str">
        <f t="shared" si="606"/>
        <v/>
      </c>
      <c r="EQ58" s="1130">
        <f t="shared" si="607"/>
        <v>0</v>
      </c>
      <c r="ER58" s="1091" t="str">
        <f t="shared" si="87"/>
        <v/>
      </c>
      <c r="ES58" s="1130">
        <f t="shared" si="608"/>
        <v>0</v>
      </c>
      <c r="ET58" s="1091" t="str">
        <f t="shared" si="89"/>
        <v/>
      </c>
      <c r="EU58" s="1088">
        <f t="shared" si="745"/>
        <v>0</v>
      </c>
      <c r="EV58" s="1091" t="str">
        <f t="shared" si="609"/>
        <v/>
      </c>
      <c r="EW58" s="1091">
        <f t="shared" si="610"/>
        <v>0</v>
      </c>
      <c r="EX58" s="1131">
        <f t="shared" si="746"/>
        <v>0</v>
      </c>
      <c r="EY58" s="1091" t="str">
        <f t="shared" si="611"/>
        <v/>
      </c>
      <c r="EZ58" s="1091">
        <f t="shared" si="612"/>
        <v>0</v>
      </c>
      <c r="FA58" s="1131">
        <f t="shared" si="613"/>
        <v>0</v>
      </c>
      <c r="FB58" s="1091" t="str">
        <f t="shared" si="614"/>
        <v/>
      </c>
      <c r="FC58" s="1091" t="str">
        <f t="shared" si="615"/>
        <v/>
      </c>
      <c r="FD58" s="1130">
        <f t="shared" si="616"/>
        <v>0</v>
      </c>
      <c r="FE58" s="1091" t="str">
        <f t="shared" si="94"/>
        <v/>
      </c>
      <c r="FF58" s="1130">
        <f t="shared" si="617"/>
        <v>0</v>
      </c>
      <c r="FG58" s="1091" t="str">
        <f t="shared" si="96"/>
        <v/>
      </c>
      <c r="FH58" s="1088">
        <f t="shared" si="618"/>
        <v>0</v>
      </c>
      <c r="FI58" s="1091" t="str">
        <f t="shared" si="619"/>
        <v/>
      </c>
      <c r="FJ58" s="1091">
        <f t="shared" si="620"/>
        <v>0</v>
      </c>
      <c r="FK58" s="1090">
        <f t="shared" si="621"/>
        <v>0</v>
      </c>
      <c r="FL58" s="1091" t="str">
        <f t="shared" si="622"/>
        <v/>
      </c>
      <c r="FM58" s="1091">
        <f t="shared" si="623"/>
        <v>0</v>
      </c>
      <c r="FN58" s="1090">
        <f t="shared" si="624"/>
        <v>0</v>
      </c>
      <c r="FO58" s="1091" t="str">
        <f t="shared" si="625"/>
        <v/>
      </c>
      <c r="FP58" s="1091" t="str">
        <f t="shared" si="626"/>
        <v/>
      </c>
      <c r="FQ58" s="1130">
        <f t="shared" si="627"/>
        <v>0</v>
      </c>
      <c r="FR58" s="1091" t="str">
        <f t="shared" si="104"/>
        <v/>
      </c>
      <c r="FS58" s="1130">
        <f t="shared" si="628"/>
        <v>0</v>
      </c>
      <c r="FT58" s="1091" t="str">
        <f t="shared" si="106"/>
        <v/>
      </c>
      <c r="FU58" s="1088">
        <f t="shared" si="747"/>
        <v>0</v>
      </c>
      <c r="FV58" s="1091" t="str">
        <f t="shared" si="629"/>
        <v/>
      </c>
      <c r="FW58" s="1091">
        <f t="shared" si="630"/>
        <v>0</v>
      </c>
      <c r="FX58" s="1131">
        <f t="shared" si="748"/>
        <v>0</v>
      </c>
      <c r="FY58" s="1091" t="str">
        <f t="shared" si="631"/>
        <v/>
      </c>
      <c r="FZ58" s="1091">
        <f t="shared" si="632"/>
        <v>0</v>
      </c>
      <c r="GA58" s="1131">
        <f t="shared" si="749"/>
        <v>0</v>
      </c>
      <c r="GB58" s="1091" t="str">
        <f t="shared" si="633"/>
        <v/>
      </c>
      <c r="GC58" s="1091" t="str">
        <f t="shared" si="634"/>
        <v/>
      </c>
      <c r="GD58" s="1130">
        <f t="shared" si="635"/>
        <v>0</v>
      </c>
      <c r="GE58" s="1091" t="str">
        <f t="shared" si="111"/>
        <v/>
      </c>
      <c r="GF58" s="1130">
        <f t="shared" si="636"/>
        <v>0</v>
      </c>
      <c r="GG58" s="1091" t="str">
        <f t="shared" si="113"/>
        <v/>
      </c>
      <c r="GH58" s="1088">
        <f t="shared" si="750"/>
        <v>0</v>
      </c>
      <c r="GI58" s="1091" t="str">
        <f t="shared" si="637"/>
        <v/>
      </c>
      <c r="GJ58" s="1091">
        <f t="shared" si="638"/>
        <v>0</v>
      </c>
      <c r="GK58" s="1131">
        <f t="shared" si="751"/>
        <v>0</v>
      </c>
      <c r="GL58" s="1091" t="str">
        <f t="shared" si="639"/>
        <v/>
      </c>
      <c r="GM58" s="1091">
        <f t="shared" si="640"/>
        <v>0</v>
      </c>
      <c r="GN58" s="1131">
        <f t="shared" si="752"/>
        <v>0</v>
      </c>
      <c r="GO58" s="1091" t="str">
        <f t="shared" si="641"/>
        <v/>
      </c>
      <c r="GP58" s="1091" t="str">
        <f t="shared" si="642"/>
        <v/>
      </c>
      <c r="GQ58" s="1130">
        <f t="shared" si="643"/>
        <v>0</v>
      </c>
      <c r="GR58" s="1091" t="str">
        <f t="shared" si="118"/>
        <v/>
      </c>
      <c r="GS58" s="1130">
        <f t="shared" si="644"/>
        <v>0</v>
      </c>
      <c r="GT58" s="1091" t="str">
        <f t="shared" si="120"/>
        <v/>
      </c>
      <c r="GU58" s="1088">
        <f t="shared" si="753"/>
        <v>0</v>
      </c>
      <c r="GV58" s="1091" t="str">
        <f t="shared" si="645"/>
        <v/>
      </c>
      <c r="GW58" s="1091">
        <f t="shared" si="646"/>
        <v>0</v>
      </c>
      <c r="GX58" s="1131">
        <f t="shared" si="754"/>
        <v>0</v>
      </c>
      <c r="GY58" s="1091" t="str">
        <f t="shared" si="647"/>
        <v/>
      </c>
      <c r="GZ58" s="1091">
        <f t="shared" si="648"/>
        <v>0</v>
      </c>
      <c r="HA58" s="1131">
        <f t="shared" si="755"/>
        <v>0</v>
      </c>
      <c r="HB58" s="1091" t="str">
        <f t="shared" si="649"/>
        <v/>
      </c>
      <c r="HC58" s="1091" t="str">
        <f t="shared" si="650"/>
        <v/>
      </c>
      <c r="HD58" s="1130">
        <f t="shared" si="651"/>
        <v>0</v>
      </c>
      <c r="HE58" s="1091" t="str">
        <f t="shared" si="125"/>
        <v/>
      </c>
      <c r="HF58" s="1130">
        <f t="shared" si="652"/>
        <v>0</v>
      </c>
      <c r="HG58" s="1091" t="str">
        <f t="shared" si="127"/>
        <v/>
      </c>
      <c r="HH58" s="1088">
        <f t="shared" si="653"/>
        <v>0</v>
      </c>
      <c r="HI58" s="1091" t="str">
        <f t="shared" si="654"/>
        <v/>
      </c>
      <c r="HJ58" s="1091">
        <f t="shared" si="655"/>
        <v>0</v>
      </c>
      <c r="HK58" s="1090">
        <f t="shared" si="656"/>
        <v>0</v>
      </c>
      <c r="HL58" s="1091" t="str">
        <f t="shared" si="657"/>
        <v/>
      </c>
      <c r="HM58" s="1091">
        <f t="shared" si="658"/>
        <v>0</v>
      </c>
      <c r="HN58" s="1090">
        <f t="shared" si="659"/>
        <v>0</v>
      </c>
      <c r="HO58" s="1091" t="str">
        <f t="shared" si="660"/>
        <v/>
      </c>
      <c r="HP58" s="1091" t="str">
        <f t="shared" si="661"/>
        <v/>
      </c>
      <c r="HQ58" s="1130">
        <f t="shared" si="662"/>
        <v>0</v>
      </c>
      <c r="HR58" s="1091" t="str">
        <f t="shared" si="135"/>
        <v/>
      </c>
      <c r="HS58" s="1130">
        <f t="shared" si="663"/>
        <v>0</v>
      </c>
      <c r="HT58" s="1091" t="str">
        <f t="shared" si="137"/>
        <v/>
      </c>
      <c r="HU58" s="1088">
        <f t="shared" si="664"/>
        <v>0</v>
      </c>
      <c r="HV58" s="1091" t="str">
        <f t="shared" si="665"/>
        <v/>
      </c>
      <c r="HW58" s="1091">
        <f t="shared" si="666"/>
        <v>0</v>
      </c>
      <c r="HX58" s="1090">
        <f t="shared" si="667"/>
        <v>0</v>
      </c>
      <c r="HY58" s="1091" t="str">
        <f t="shared" si="668"/>
        <v/>
      </c>
      <c r="HZ58" s="1091">
        <f t="shared" si="669"/>
        <v>0</v>
      </c>
      <c r="IA58" s="1090">
        <f t="shared" si="670"/>
        <v>0</v>
      </c>
      <c r="IB58" s="1091" t="str">
        <f t="shared" si="671"/>
        <v/>
      </c>
      <c r="IC58" s="1091" t="str">
        <f t="shared" si="672"/>
        <v/>
      </c>
      <c r="ID58" s="1130">
        <f t="shared" si="673"/>
        <v>0</v>
      </c>
      <c r="IE58" s="1091" t="str">
        <f t="shared" si="145"/>
        <v/>
      </c>
      <c r="IF58" s="1130">
        <f t="shared" si="674"/>
        <v>0</v>
      </c>
      <c r="IG58" s="1091" t="str">
        <f t="shared" si="147"/>
        <v/>
      </c>
      <c r="IH58" s="1088">
        <f t="shared" si="675"/>
        <v>0</v>
      </c>
      <c r="II58" s="1091" t="str">
        <f t="shared" si="676"/>
        <v/>
      </c>
      <c r="IJ58" s="1091">
        <f t="shared" si="677"/>
        <v>0</v>
      </c>
      <c r="IK58" s="1090">
        <f t="shared" si="678"/>
        <v>0</v>
      </c>
      <c r="IL58" s="1091" t="str">
        <f t="shared" si="679"/>
        <v/>
      </c>
      <c r="IM58" s="1091">
        <f t="shared" si="680"/>
        <v>0</v>
      </c>
      <c r="IN58" s="1090">
        <f t="shared" si="681"/>
        <v>0</v>
      </c>
      <c r="IO58" s="1091" t="str">
        <f t="shared" si="682"/>
        <v/>
      </c>
      <c r="IP58" s="1091">
        <f t="shared" si="683"/>
        <v>0</v>
      </c>
      <c r="IQ58" s="1130">
        <f t="shared" si="684"/>
        <v>0</v>
      </c>
      <c r="IR58" s="1091" t="str">
        <f t="shared" si="1"/>
        <v/>
      </c>
      <c r="IS58" s="1130">
        <f t="shared" si="685"/>
        <v>0</v>
      </c>
      <c r="IT58" s="1091" t="str">
        <f t="shared" si="2"/>
        <v/>
      </c>
    </row>
    <row r="59" hidden="1" outlineLevel="1">
      <c r="A59" s="1086">
        <f t="shared" si="511"/>
        <v>7</v>
      </c>
      <c r="B59" s="1087" t="s">
        <v>2069</v>
      </c>
      <c r="C59" s="1087" t="s">
        <v>636</v>
      </c>
      <c r="D59" s="1087" t="str">
        <f>IF(C59&gt;0,VLOOKUP(C59,DM_DUAN ,2,"") ,IF(B59&gt;0,VLOOKUP(B59,DM_CDT,2,""),""))</f>
        <v>Sản phẩm Long Khánh 3</v>
      </c>
      <c r="E59" s="1087"/>
      <c r="F59" s="1087"/>
      <c r="G59" s="1086">
        <v>2.0</v>
      </c>
      <c r="H59" s="1088">
        <f t="shared" si="721"/>
        <v>0</v>
      </c>
      <c r="I59" s="1091" t="str">
        <f t="shared" si="512"/>
        <v/>
      </c>
      <c r="J59" s="1091" t="str">
        <f t="shared" si="513"/>
        <v/>
      </c>
      <c r="K59" s="1090">
        <f t="shared" si="722"/>
        <v>0</v>
      </c>
      <c r="L59" s="1091" t="str">
        <f t="shared" si="514"/>
        <v/>
      </c>
      <c r="M59" s="1091">
        <f t="shared" si="515"/>
        <v>0</v>
      </c>
      <c r="N59" s="1090">
        <f t="shared" si="723"/>
        <v>0</v>
      </c>
      <c r="O59" s="1091" t="str">
        <f t="shared" si="516"/>
        <v/>
      </c>
      <c r="P59" s="1091">
        <f t="shared" si="517"/>
        <v>0</v>
      </c>
      <c r="Q59" s="1130">
        <f t="shared" si="518"/>
        <v>0</v>
      </c>
      <c r="R59" s="1091" t="str">
        <f t="shared" si="8"/>
        <v/>
      </c>
      <c r="S59" s="1130">
        <f t="shared" si="519"/>
        <v>0</v>
      </c>
      <c r="T59" s="1091" t="str">
        <f t="shared" si="10"/>
        <v/>
      </c>
      <c r="U59" s="1088">
        <f t="shared" si="724"/>
        <v>0</v>
      </c>
      <c r="V59" s="1091" t="str">
        <f t="shared" si="520"/>
        <v/>
      </c>
      <c r="W59" s="1091" t="str">
        <f t="shared" si="521"/>
        <v/>
      </c>
      <c r="X59" s="1090">
        <f t="shared" si="725"/>
        <v>0</v>
      </c>
      <c r="Y59" s="1091" t="str">
        <f t="shared" si="522"/>
        <v/>
      </c>
      <c r="Z59" s="1091" t="str">
        <f t="shared" si="523"/>
        <v/>
      </c>
      <c r="AA59" s="1090">
        <f t="shared" si="726"/>
        <v>0</v>
      </c>
      <c r="AB59" s="1091" t="str">
        <f t="shared" si="524"/>
        <v/>
      </c>
      <c r="AC59" s="1091">
        <f t="shared" si="525"/>
        <v>0</v>
      </c>
      <c r="AD59" s="1130">
        <f t="shared" si="526"/>
        <v>0</v>
      </c>
      <c r="AE59" s="1091" t="str">
        <f t="shared" si="15"/>
        <v/>
      </c>
      <c r="AF59" s="1130">
        <f t="shared" si="527"/>
        <v>0</v>
      </c>
      <c r="AG59" s="1091" t="str">
        <f t="shared" si="17"/>
        <v/>
      </c>
      <c r="AH59" s="1088">
        <f t="shared" si="727"/>
        <v>0</v>
      </c>
      <c r="AI59" s="1091" t="str">
        <f t="shared" si="528"/>
        <v/>
      </c>
      <c r="AJ59" s="1091" t="str">
        <f t="shared" si="529"/>
        <v/>
      </c>
      <c r="AK59" s="1090">
        <f t="shared" si="728"/>
        <v>0</v>
      </c>
      <c r="AL59" s="1091" t="str">
        <f t="shared" si="530"/>
        <v/>
      </c>
      <c r="AM59" s="1091">
        <f t="shared" si="531"/>
        <v>0</v>
      </c>
      <c r="AN59" s="1090">
        <f t="shared" si="729"/>
        <v>0</v>
      </c>
      <c r="AO59" s="1091" t="str">
        <f t="shared" si="532"/>
        <v/>
      </c>
      <c r="AP59" s="1091">
        <f t="shared" si="533"/>
        <v>0</v>
      </c>
      <c r="AQ59" s="1130">
        <f t="shared" si="534"/>
        <v>0</v>
      </c>
      <c r="AR59" s="1091" t="str">
        <f t="shared" si="22"/>
        <v/>
      </c>
      <c r="AS59" s="1130">
        <f t="shared" si="535"/>
        <v>0</v>
      </c>
      <c r="AT59" s="1091" t="str">
        <f t="shared" si="24"/>
        <v/>
      </c>
      <c r="AU59" s="1088">
        <f t="shared" si="536"/>
        <v>0</v>
      </c>
      <c r="AV59" s="1091" t="str">
        <f t="shared" si="537"/>
        <v/>
      </c>
      <c r="AW59" s="1091" t="str">
        <f t="shared" si="538"/>
        <v/>
      </c>
      <c r="AX59" s="1090">
        <f t="shared" si="539"/>
        <v>0</v>
      </c>
      <c r="AY59" s="1091" t="str">
        <f t="shared" si="540"/>
        <v/>
      </c>
      <c r="AZ59" s="1091">
        <f t="shared" si="541"/>
        <v>0</v>
      </c>
      <c r="BA59" s="1090">
        <f t="shared" si="542"/>
        <v>0</v>
      </c>
      <c r="BB59" s="1091" t="str">
        <f t="shared" si="543"/>
        <v/>
      </c>
      <c r="BC59" s="1091">
        <f t="shared" si="544"/>
        <v>0</v>
      </c>
      <c r="BD59" s="1130">
        <f t="shared" si="545"/>
        <v>0</v>
      </c>
      <c r="BE59" s="1091" t="str">
        <f t="shared" si="32"/>
        <v/>
      </c>
      <c r="BF59" s="1130">
        <f t="shared" si="546"/>
        <v>0</v>
      </c>
      <c r="BG59" s="1091" t="str">
        <f t="shared" si="34"/>
        <v/>
      </c>
      <c r="BH59" s="1088">
        <f t="shared" si="730"/>
        <v>0</v>
      </c>
      <c r="BI59" s="1091" t="str">
        <f t="shared" si="547"/>
        <v/>
      </c>
      <c r="BJ59" s="1091">
        <f t="shared" si="548"/>
        <v>0</v>
      </c>
      <c r="BK59" s="1090">
        <f t="shared" si="731"/>
        <v>0</v>
      </c>
      <c r="BL59" s="1091" t="str">
        <f t="shared" si="549"/>
        <v/>
      </c>
      <c r="BM59" s="1091" t="str">
        <f t="shared" si="550"/>
        <v/>
      </c>
      <c r="BN59" s="1090">
        <f t="shared" si="732"/>
        <v>365040</v>
      </c>
      <c r="BO59" s="1091">
        <f t="shared" si="551"/>
        <v>1</v>
      </c>
      <c r="BP59" s="1091">
        <f t="shared" si="552"/>
        <v>0.1403438625</v>
      </c>
      <c r="BQ59" s="1130">
        <f t="shared" si="553"/>
        <v>365040</v>
      </c>
      <c r="BR59" s="1091" t="str">
        <f t="shared" si="39"/>
        <v/>
      </c>
      <c r="BS59" s="1130">
        <f t="shared" si="554"/>
        <v>365040</v>
      </c>
      <c r="BT59" s="1091" t="str">
        <f t="shared" si="41"/>
        <v/>
      </c>
      <c r="BU59" s="1088">
        <f t="shared" si="733"/>
        <v>0</v>
      </c>
      <c r="BV59" s="1091" t="str">
        <f t="shared" si="555"/>
        <v/>
      </c>
      <c r="BW59" s="1091">
        <f t="shared" si="556"/>
        <v>0</v>
      </c>
      <c r="BX59" s="1131">
        <f t="shared" si="734"/>
        <v>0</v>
      </c>
      <c r="BY59" s="1091" t="str">
        <f t="shared" si="557"/>
        <v/>
      </c>
      <c r="BZ59" s="1091">
        <f t="shared" si="558"/>
        <v>0</v>
      </c>
      <c r="CA59" s="1131">
        <f t="shared" si="735"/>
        <v>0</v>
      </c>
      <c r="CB59" s="1091" t="str">
        <f t="shared" si="559"/>
        <v/>
      </c>
      <c r="CC59" s="1091">
        <f t="shared" si="560"/>
        <v>0</v>
      </c>
      <c r="CD59" s="1130">
        <f t="shared" si="561"/>
        <v>0</v>
      </c>
      <c r="CE59" s="1091" t="str">
        <f t="shared" si="46"/>
        <v/>
      </c>
      <c r="CF59" s="1130">
        <f t="shared" si="562"/>
        <v>0</v>
      </c>
      <c r="CG59" s="1091" t="str">
        <f t="shared" si="48"/>
        <v/>
      </c>
      <c r="CH59" s="1088">
        <f t="shared" si="736"/>
        <v>0</v>
      </c>
      <c r="CI59" s="1091" t="str">
        <f t="shared" si="563"/>
        <v/>
      </c>
      <c r="CJ59" s="1091">
        <f t="shared" si="564"/>
        <v>0</v>
      </c>
      <c r="CK59" s="1131">
        <f t="shared" si="737"/>
        <v>0</v>
      </c>
      <c r="CL59" s="1091" t="str">
        <f t="shared" si="565"/>
        <v/>
      </c>
      <c r="CM59" s="1091" t="str">
        <f t="shared" si="566"/>
        <v/>
      </c>
      <c r="CN59" s="1131">
        <f t="shared" si="738"/>
        <v>0</v>
      </c>
      <c r="CO59" s="1091" t="str">
        <f t="shared" si="567"/>
        <v/>
      </c>
      <c r="CP59" s="1091" t="str">
        <f t="shared" si="568"/>
        <v/>
      </c>
      <c r="CQ59" s="1130">
        <f t="shared" si="569"/>
        <v>0</v>
      </c>
      <c r="CR59" s="1091" t="str">
        <f t="shared" si="53"/>
        <v/>
      </c>
      <c r="CS59" s="1130">
        <f t="shared" si="570"/>
        <v>0</v>
      </c>
      <c r="CT59" s="1091" t="str">
        <f t="shared" si="55"/>
        <v/>
      </c>
      <c r="CU59" s="1088">
        <f t="shared" si="571"/>
        <v>0</v>
      </c>
      <c r="CV59" s="1091" t="str">
        <f t="shared" si="572"/>
        <v/>
      </c>
      <c r="CW59" s="1091">
        <f t="shared" si="573"/>
        <v>0</v>
      </c>
      <c r="CX59" s="1131">
        <f t="shared" si="574"/>
        <v>0</v>
      </c>
      <c r="CY59" s="1091" t="str">
        <f t="shared" si="575"/>
        <v/>
      </c>
      <c r="CZ59" s="1091" t="str">
        <f t="shared" si="576"/>
        <v/>
      </c>
      <c r="DA59" s="1131">
        <f t="shared" si="577"/>
        <v>365040</v>
      </c>
      <c r="DB59" s="1091">
        <f t="shared" si="578"/>
        <v>1</v>
      </c>
      <c r="DC59" s="1091" t="str">
        <f t="shared" si="579"/>
        <v/>
      </c>
      <c r="DD59" s="1130">
        <f t="shared" si="580"/>
        <v>365040</v>
      </c>
      <c r="DE59" s="1091" t="str">
        <f t="shared" si="63"/>
        <v/>
      </c>
      <c r="DF59" s="1130">
        <f t="shared" si="581"/>
        <v>365040</v>
      </c>
      <c r="DG59" s="1091" t="str">
        <f t="shared" si="65"/>
        <v/>
      </c>
      <c r="DH59" s="1088">
        <f t="shared" si="582"/>
        <v>0</v>
      </c>
      <c r="DI59" s="1091" t="str">
        <f t="shared" si="583"/>
        <v/>
      </c>
      <c r="DJ59" s="1091">
        <f t="shared" si="584"/>
        <v>0</v>
      </c>
      <c r="DK59" s="1090">
        <f t="shared" si="585"/>
        <v>0</v>
      </c>
      <c r="DL59" s="1091" t="str">
        <f t="shared" si="586"/>
        <v/>
      </c>
      <c r="DM59" s="1091">
        <f t="shared" si="587"/>
        <v>0</v>
      </c>
      <c r="DN59" s="1090">
        <f t="shared" si="588"/>
        <v>365040</v>
      </c>
      <c r="DO59" s="1091">
        <f t="shared" si="589"/>
        <v>1</v>
      </c>
      <c r="DP59" s="1091">
        <f t="shared" si="590"/>
        <v>0.3072727273</v>
      </c>
      <c r="DQ59" s="1130">
        <f t="shared" si="591"/>
        <v>365040</v>
      </c>
      <c r="DR59" s="1091" t="str">
        <f t="shared" si="73"/>
        <v/>
      </c>
      <c r="DS59" s="1130">
        <f t="shared" si="592"/>
        <v>365040</v>
      </c>
      <c r="DT59" s="1091" t="str">
        <f t="shared" si="75"/>
        <v/>
      </c>
      <c r="DU59" s="1088">
        <f t="shared" si="739"/>
        <v>0</v>
      </c>
      <c r="DV59" s="1091" t="str">
        <f t="shared" si="593"/>
        <v/>
      </c>
      <c r="DW59" s="1091">
        <f t="shared" si="594"/>
        <v>0</v>
      </c>
      <c r="DX59" s="1131">
        <f t="shared" si="740"/>
        <v>0</v>
      </c>
      <c r="DY59" s="1091" t="str">
        <f t="shared" si="595"/>
        <v/>
      </c>
      <c r="DZ59" s="1091">
        <f t="shared" si="596"/>
        <v>0</v>
      </c>
      <c r="EA59" s="1131">
        <f t="shared" si="741"/>
        <v>0</v>
      </c>
      <c r="EB59" s="1091" t="str">
        <f t="shared" si="597"/>
        <v/>
      </c>
      <c r="EC59" s="1091" t="str">
        <f t="shared" si="598"/>
        <v/>
      </c>
      <c r="ED59" s="1130">
        <f t="shared" si="599"/>
        <v>0</v>
      </c>
      <c r="EE59" s="1091" t="str">
        <f t="shared" si="80"/>
        <v/>
      </c>
      <c r="EF59" s="1130">
        <f t="shared" si="600"/>
        <v>0</v>
      </c>
      <c r="EG59" s="1091" t="str">
        <f t="shared" si="82"/>
        <v/>
      </c>
      <c r="EH59" s="1088">
        <f t="shared" si="742"/>
        <v>0</v>
      </c>
      <c r="EI59" s="1091" t="str">
        <f t="shared" si="601"/>
        <v/>
      </c>
      <c r="EJ59" s="1091">
        <f t="shared" si="602"/>
        <v>0</v>
      </c>
      <c r="EK59" s="1131">
        <f t="shared" si="743"/>
        <v>0</v>
      </c>
      <c r="EL59" s="1091" t="str">
        <f t="shared" si="603"/>
        <v/>
      </c>
      <c r="EM59" s="1091">
        <f t="shared" si="604"/>
        <v>0</v>
      </c>
      <c r="EN59" s="1131">
        <f t="shared" si="744"/>
        <v>0</v>
      </c>
      <c r="EO59" s="1091" t="str">
        <f t="shared" si="605"/>
        <v/>
      </c>
      <c r="EP59" s="1091" t="str">
        <f t="shared" si="606"/>
        <v/>
      </c>
      <c r="EQ59" s="1130">
        <f t="shared" si="607"/>
        <v>0</v>
      </c>
      <c r="ER59" s="1091" t="str">
        <f t="shared" si="87"/>
        <v/>
      </c>
      <c r="ES59" s="1130">
        <f t="shared" si="608"/>
        <v>0</v>
      </c>
      <c r="ET59" s="1091" t="str">
        <f t="shared" si="89"/>
        <v/>
      </c>
      <c r="EU59" s="1088">
        <f t="shared" si="745"/>
        <v>0</v>
      </c>
      <c r="EV59" s="1091" t="str">
        <f t="shared" si="609"/>
        <v/>
      </c>
      <c r="EW59" s="1091">
        <f t="shared" si="610"/>
        <v>0</v>
      </c>
      <c r="EX59" s="1131">
        <f t="shared" si="746"/>
        <v>0</v>
      </c>
      <c r="EY59" s="1091" t="str">
        <f t="shared" si="611"/>
        <v/>
      </c>
      <c r="EZ59" s="1091">
        <f t="shared" si="612"/>
        <v>0</v>
      </c>
      <c r="FA59" s="1131">
        <f t="shared" si="613"/>
        <v>0</v>
      </c>
      <c r="FB59" s="1091" t="str">
        <f t="shared" si="614"/>
        <v/>
      </c>
      <c r="FC59" s="1091" t="str">
        <f t="shared" si="615"/>
        <v/>
      </c>
      <c r="FD59" s="1130">
        <f t="shared" si="616"/>
        <v>0</v>
      </c>
      <c r="FE59" s="1091" t="str">
        <f t="shared" si="94"/>
        <v/>
      </c>
      <c r="FF59" s="1130">
        <f t="shared" si="617"/>
        <v>0</v>
      </c>
      <c r="FG59" s="1091" t="str">
        <f t="shared" si="96"/>
        <v/>
      </c>
      <c r="FH59" s="1088">
        <f t="shared" si="618"/>
        <v>0</v>
      </c>
      <c r="FI59" s="1091" t="str">
        <f t="shared" si="619"/>
        <v/>
      </c>
      <c r="FJ59" s="1091">
        <f t="shared" si="620"/>
        <v>0</v>
      </c>
      <c r="FK59" s="1090">
        <f t="shared" si="621"/>
        <v>0</v>
      </c>
      <c r="FL59" s="1091" t="str">
        <f t="shared" si="622"/>
        <v/>
      </c>
      <c r="FM59" s="1091">
        <f t="shared" si="623"/>
        <v>0</v>
      </c>
      <c r="FN59" s="1090">
        <f t="shared" si="624"/>
        <v>0</v>
      </c>
      <c r="FO59" s="1091" t="str">
        <f t="shared" si="625"/>
        <v/>
      </c>
      <c r="FP59" s="1091" t="str">
        <f t="shared" si="626"/>
        <v/>
      </c>
      <c r="FQ59" s="1130">
        <f t="shared" si="627"/>
        <v>0</v>
      </c>
      <c r="FR59" s="1091" t="str">
        <f t="shared" si="104"/>
        <v/>
      </c>
      <c r="FS59" s="1130">
        <f t="shared" si="628"/>
        <v>0</v>
      </c>
      <c r="FT59" s="1091" t="str">
        <f t="shared" si="106"/>
        <v/>
      </c>
      <c r="FU59" s="1088">
        <f t="shared" si="747"/>
        <v>0</v>
      </c>
      <c r="FV59" s="1091" t="str">
        <f t="shared" si="629"/>
        <v/>
      </c>
      <c r="FW59" s="1091">
        <f t="shared" si="630"/>
        <v>0</v>
      </c>
      <c r="FX59" s="1131">
        <f t="shared" si="748"/>
        <v>0</v>
      </c>
      <c r="FY59" s="1091" t="str">
        <f t="shared" si="631"/>
        <v/>
      </c>
      <c r="FZ59" s="1091">
        <f t="shared" si="632"/>
        <v>0</v>
      </c>
      <c r="GA59" s="1131">
        <f t="shared" si="749"/>
        <v>0</v>
      </c>
      <c r="GB59" s="1091" t="str">
        <f t="shared" si="633"/>
        <v/>
      </c>
      <c r="GC59" s="1091" t="str">
        <f t="shared" si="634"/>
        <v/>
      </c>
      <c r="GD59" s="1130">
        <f t="shared" si="635"/>
        <v>0</v>
      </c>
      <c r="GE59" s="1091" t="str">
        <f t="shared" si="111"/>
        <v/>
      </c>
      <c r="GF59" s="1130">
        <f t="shared" si="636"/>
        <v>0</v>
      </c>
      <c r="GG59" s="1091" t="str">
        <f t="shared" si="113"/>
        <v/>
      </c>
      <c r="GH59" s="1088">
        <f t="shared" si="750"/>
        <v>0</v>
      </c>
      <c r="GI59" s="1091" t="str">
        <f t="shared" si="637"/>
        <v/>
      </c>
      <c r="GJ59" s="1091">
        <f t="shared" si="638"/>
        <v>0</v>
      </c>
      <c r="GK59" s="1131">
        <f t="shared" si="751"/>
        <v>0</v>
      </c>
      <c r="GL59" s="1091" t="str">
        <f t="shared" si="639"/>
        <v/>
      </c>
      <c r="GM59" s="1091">
        <f t="shared" si="640"/>
        <v>0</v>
      </c>
      <c r="GN59" s="1131">
        <f t="shared" si="752"/>
        <v>0</v>
      </c>
      <c r="GO59" s="1091" t="str">
        <f t="shared" si="641"/>
        <v/>
      </c>
      <c r="GP59" s="1091" t="str">
        <f t="shared" si="642"/>
        <v/>
      </c>
      <c r="GQ59" s="1130">
        <f t="shared" si="643"/>
        <v>0</v>
      </c>
      <c r="GR59" s="1091" t="str">
        <f t="shared" si="118"/>
        <v/>
      </c>
      <c r="GS59" s="1130">
        <f t="shared" si="644"/>
        <v>0</v>
      </c>
      <c r="GT59" s="1091" t="str">
        <f t="shared" si="120"/>
        <v/>
      </c>
      <c r="GU59" s="1088">
        <f t="shared" si="753"/>
        <v>0</v>
      </c>
      <c r="GV59" s="1091" t="str">
        <f t="shared" si="645"/>
        <v/>
      </c>
      <c r="GW59" s="1091">
        <f t="shared" si="646"/>
        <v>0</v>
      </c>
      <c r="GX59" s="1131">
        <f t="shared" si="754"/>
        <v>0</v>
      </c>
      <c r="GY59" s="1091" t="str">
        <f t="shared" si="647"/>
        <v/>
      </c>
      <c r="GZ59" s="1091">
        <f t="shared" si="648"/>
        <v>0</v>
      </c>
      <c r="HA59" s="1131">
        <f t="shared" si="755"/>
        <v>0</v>
      </c>
      <c r="HB59" s="1091" t="str">
        <f t="shared" si="649"/>
        <v/>
      </c>
      <c r="HC59" s="1091" t="str">
        <f t="shared" si="650"/>
        <v/>
      </c>
      <c r="HD59" s="1130">
        <f t="shared" si="651"/>
        <v>0</v>
      </c>
      <c r="HE59" s="1091" t="str">
        <f t="shared" si="125"/>
        <v/>
      </c>
      <c r="HF59" s="1130">
        <f t="shared" si="652"/>
        <v>0</v>
      </c>
      <c r="HG59" s="1091" t="str">
        <f t="shared" si="127"/>
        <v/>
      </c>
      <c r="HH59" s="1088">
        <f t="shared" si="653"/>
        <v>0</v>
      </c>
      <c r="HI59" s="1091" t="str">
        <f t="shared" si="654"/>
        <v/>
      </c>
      <c r="HJ59" s="1091">
        <f t="shared" si="655"/>
        <v>0</v>
      </c>
      <c r="HK59" s="1090">
        <f t="shared" si="656"/>
        <v>0</v>
      </c>
      <c r="HL59" s="1091" t="str">
        <f t="shared" si="657"/>
        <v/>
      </c>
      <c r="HM59" s="1091">
        <f t="shared" si="658"/>
        <v>0</v>
      </c>
      <c r="HN59" s="1090">
        <f t="shared" si="659"/>
        <v>0</v>
      </c>
      <c r="HO59" s="1091" t="str">
        <f t="shared" si="660"/>
        <v/>
      </c>
      <c r="HP59" s="1091" t="str">
        <f t="shared" si="661"/>
        <v/>
      </c>
      <c r="HQ59" s="1130">
        <f t="shared" si="662"/>
        <v>0</v>
      </c>
      <c r="HR59" s="1091" t="str">
        <f t="shared" si="135"/>
        <v/>
      </c>
      <c r="HS59" s="1130">
        <f t="shared" si="663"/>
        <v>0</v>
      </c>
      <c r="HT59" s="1091" t="str">
        <f t="shared" si="137"/>
        <v/>
      </c>
      <c r="HU59" s="1088">
        <f t="shared" si="664"/>
        <v>0</v>
      </c>
      <c r="HV59" s="1091" t="str">
        <f t="shared" si="665"/>
        <v/>
      </c>
      <c r="HW59" s="1091">
        <f t="shared" si="666"/>
        <v>0</v>
      </c>
      <c r="HX59" s="1090">
        <f t="shared" si="667"/>
        <v>0</v>
      </c>
      <c r="HY59" s="1091" t="str">
        <f t="shared" si="668"/>
        <v/>
      </c>
      <c r="HZ59" s="1091">
        <f t="shared" si="669"/>
        <v>0</v>
      </c>
      <c r="IA59" s="1090">
        <f t="shared" si="670"/>
        <v>0</v>
      </c>
      <c r="IB59" s="1091" t="str">
        <f t="shared" si="671"/>
        <v/>
      </c>
      <c r="IC59" s="1091" t="str">
        <f t="shared" si="672"/>
        <v/>
      </c>
      <c r="ID59" s="1130">
        <f t="shared" si="673"/>
        <v>0</v>
      </c>
      <c r="IE59" s="1091" t="str">
        <f t="shared" si="145"/>
        <v/>
      </c>
      <c r="IF59" s="1130">
        <f t="shared" si="674"/>
        <v>0</v>
      </c>
      <c r="IG59" s="1091" t="str">
        <f t="shared" si="147"/>
        <v/>
      </c>
      <c r="IH59" s="1088">
        <f t="shared" si="675"/>
        <v>0</v>
      </c>
      <c r="II59" s="1091" t="str">
        <f t="shared" si="676"/>
        <v/>
      </c>
      <c r="IJ59" s="1091">
        <f t="shared" si="677"/>
        <v>0</v>
      </c>
      <c r="IK59" s="1090">
        <f t="shared" si="678"/>
        <v>0</v>
      </c>
      <c r="IL59" s="1091" t="str">
        <f t="shared" si="679"/>
        <v/>
      </c>
      <c r="IM59" s="1091">
        <f t="shared" si="680"/>
        <v>0</v>
      </c>
      <c r="IN59" s="1090">
        <f t="shared" si="681"/>
        <v>365040</v>
      </c>
      <c r="IO59" s="1091">
        <f t="shared" si="682"/>
        <v>1</v>
      </c>
      <c r="IP59" s="1091">
        <f t="shared" si="683"/>
        <v>0.3072727273</v>
      </c>
      <c r="IQ59" s="1130">
        <f t="shared" si="684"/>
        <v>365040</v>
      </c>
      <c r="IR59" s="1091" t="str">
        <f t="shared" si="1"/>
        <v/>
      </c>
      <c r="IS59" s="1130">
        <f t="shared" si="685"/>
        <v>365040</v>
      </c>
      <c r="IT59" s="1091" t="str">
        <f t="shared" si="2"/>
        <v/>
      </c>
    </row>
    <row r="60" collapsed="1">
      <c r="A60" s="1113" t="str">
        <f t="shared" si="511"/>
        <v/>
      </c>
      <c r="B60" s="1114" t="s">
        <v>2821</v>
      </c>
      <c r="C60" s="1114"/>
      <c r="D60" s="1114" t="str">
        <f>IF(C60&gt;0,VLOOKUP(C60,DM_DUAN ,2,"") ,IF(B60&gt;0,VLOOKUP(B60,DM_CDT,2,""),""))</f>
        <v>CLOUD LAND</v>
      </c>
      <c r="E60" s="1115"/>
      <c r="F60" s="1115"/>
      <c r="G60" s="1116">
        <v>1.0</v>
      </c>
      <c r="H60" s="1120">
        <f>SUMIF($B61:$B$63,$B60,H61:H$63)</f>
        <v>0</v>
      </c>
      <c r="I60" s="1117" t="str">
        <f t="shared" si="512"/>
        <v/>
      </c>
      <c r="J60" s="1117" t="str">
        <f t="shared" si="513"/>
        <v/>
      </c>
      <c r="K60" s="1120">
        <f>SUMIF($B61:$B$63,$B60,K61:K$63)</f>
        <v>0</v>
      </c>
      <c r="L60" s="1117" t="str">
        <f t="shared" si="514"/>
        <v/>
      </c>
      <c r="M60" s="1117">
        <f t="shared" si="515"/>
        <v>0</v>
      </c>
      <c r="N60" s="1120">
        <f>SUMIF($B61:$B$63,$B60,N61:N$63)</f>
        <v>0</v>
      </c>
      <c r="O60" s="1117" t="str">
        <f t="shared" si="516"/>
        <v/>
      </c>
      <c r="P60" s="1117">
        <f t="shared" si="517"/>
        <v>0</v>
      </c>
      <c r="Q60" s="1128">
        <f t="shared" si="518"/>
        <v>0</v>
      </c>
      <c r="R60" s="1117" t="str">
        <f t="shared" si="8"/>
        <v/>
      </c>
      <c r="S60" s="1128">
        <f t="shared" si="519"/>
        <v>0</v>
      </c>
      <c r="T60" s="1117" t="str">
        <f t="shared" si="10"/>
        <v/>
      </c>
      <c r="U60" s="1120">
        <f>SUMIF($B61:$B$63,$B60,U61:U$63)</f>
        <v>0</v>
      </c>
      <c r="V60" s="1117" t="str">
        <f t="shared" si="520"/>
        <v/>
      </c>
      <c r="W60" s="1117" t="str">
        <f t="shared" si="521"/>
        <v/>
      </c>
      <c r="X60" s="1120">
        <f>SUMIF($B61:$B$63,$B60,X61:X$63)</f>
        <v>0</v>
      </c>
      <c r="Y60" s="1117" t="str">
        <f t="shared" si="522"/>
        <v/>
      </c>
      <c r="Z60" s="1117" t="str">
        <f t="shared" si="523"/>
        <v/>
      </c>
      <c r="AA60" s="1120">
        <f>SUMIF($B61:$B$63,$B60,AA61:AA$63)</f>
        <v>0</v>
      </c>
      <c r="AB60" s="1117" t="str">
        <f t="shared" si="524"/>
        <v/>
      </c>
      <c r="AC60" s="1117">
        <f t="shared" si="525"/>
        <v>0</v>
      </c>
      <c r="AD60" s="1128">
        <f t="shared" si="526"/>
        <v>0</v>
      </c>
      <c r="AE60" s="1117" t="str">
        <f t="shared" si="15"/>
        <v/>
      </c>
      <c r="AF60" s="1128">
        <f t="shared" si="527"/>
        <v>0</v>
      </c>
      <c r="AG60" s="1117" t="str">
        <f t="shared" si="17"/>
        <v/>
      </c>
      <c r="AH60" s="1120">
        <f>SUMIF($B61:$B$63,$B60,AH61:AH$63)</f>
        <v>0</v>
      </c>
      <c r="AI60" s="1117" t="str">
        <f t="shared" si="528"/>
        <v/>
      </c>
      <c r="AJ60" s="1117" t="str">
        <f t="shared" si="529"/>
        <v/>
      </c>
      <c r="AK60" s="1120">
        <f>SUMIF($B61:$B$63,$B60,AK61:AK$63)</f>
        <v>0</v>
      </c>
      <c r="AL60" s="1117" t="str">
        <f t="shared" si="530"/>
        <v/>
      </c>
      <c r="AM60" s="1117">
        <f t="shared" si="531"/>
        <v>0</v>
      </c>
      <c r="AN60" s="1120">
        <f>SUMIF($B61:$B$63,$B60,AN61:AN$63)</f>
        <v>0</v>
      </c>
      <c r="AO60" s="1117" t="str">
        <f t="shared" si="532"/>
        <v/>
      </c>
      <c r="AP60" s="1117">
        <f t="shared" si="533"/>
        <v>0</v>
      </c>
      <c r="AQ60" s="1128">
        <f t="shared" si="534"/>
        <v>0</v>
      </c>
      <c r="AR60" s="1117" t="str">
        <f t="shared" si="22"/>
        <v/>
      </c>
      <c r="AS60" s="1128">
        <f t="shared" si="535"/>
        <v>0</v>
      </c>
      <c r="AT60" s="1117" t="str">
        <f t="shared" si="24"/>
        <v/>
      </c>
      <c r="AU60" s="1120">
        <f t="shared" si="536"/>
        <v>0</v>
      </c>
      <c r="AV60" s="1117" t="str">
        <f t="shared" si="537"/>
        <v/>
      </c>
      <c r="AW60" s="1117" t="str">
        <f t="shared" si="538"/>
        <v/>
      </c>
      <c r="AX60" s="1119">
        <f t="shared" si="539"/>
        <v>0</v>
      </c>
      <c r="AY60" s="1117" t="str">
        <f t="shared" si="540"/>
        <v/>
      </c>
      <c r="AZ60" s="1117">
        <f t="shared" si="541"/>
        <v>0</v>
      </c>
      <c r="BA60" s="1119">
        <f t="shared" si="542"/>
        <v>0</v>
      </c>
      <c r="BB60" s="1117" t="str">
        <f t="shared" si="543"/>
        <v/>
      </c>
      <c r="BC60" s="1117">
        <f t="shared" si="544"/>
        <v>0</v>
      </c>
      <c r="BD60" s="1128">
        <f t="shared" si="545"/>
        <v>0</v>
      </c>
      <c r="BE60" s="1117" t="str">
        <f t="shared" si="32"/>
        <v/>
      </c>
      <c r="BF60" s="1128">
        <f t="shared" si="546"/>
        <v>0</v>
      </c>
      <c r="BG60" s="1117" t="str">
        <f t="shared" si="34"/>
        <v/>
      </c>
      <c r="BH60" s="1120">
        <f>SUMIF($B61:$B$63,$B60,BH61:BH$63)</f>
        <v>0</v>
      </c>
      <c r="BI60" s="1117" t="str">
        <f t="shared" si="547"/>
        <v/>
      </c>
      <c r="BJ60" s="1117">
        <f t="shared" si="548"/>
        <v>0</v>
      </c>
      <c r="BK60" s="1120">
        <f>SUMIF($B61:$B$63,$B60,BK61:BK$63)</f>
        <v>0</v>
      </c>
      <c r="BL60" s="1117" t="str">
        <f t="shared" si="549"/>
        <v/>
      </c>
      <c r="BM60" s="1117" t="str">
        <f t="shared" si="550"/>
        <v/>
      </c>
      <c r="BN60" s="1120">
        <f>SUMIF($B61:$B$63,$B60,BN61:BN$63)</f>
        <v>0</v>
      </c>
      <c r="BO60" s="1117" t="str">
        <f t="shared" si="551"/>
        <v/>
      </c>
      <c r="BP60" s="1117">
        <f t="shared" si="552"/>
        <v>0</v>
      </c>
      <c r="BQ60" s="1128">
        <f t="shared" si="553"/>
        <v>0</v>
      </c>
      <c r="BR60" s="1117" t="str">
        <f t="shared" si="39"/>
        <v/>
      </c>
      <c r="BS60" s="1128">
        <f t="shared" si="554"/>
        <v>0</v>
      </c>
      <c r="BT60" s="1117" t="str">
        <f t="shared" si="41"/>
        <v/>
      </c>
      <c r="BU60" s="1120">
        <f>SUMIF($B61:$B$63,$B60,BU61:BU$63)</f>
        <v>0</v>
      </c>
      <c r="BV60" s="1117" t="str">
        <f t="shared" si="555"/>
        <v/>
      </c>
      <c r="BW60" s="1117">
        <f t="shared" si="556"/>
        <v>0</v>
      </c>
      <c r="BX60" s="1120">
        <f>SUMIF($B61:$B$63,$B60,BX61:BX$63)</f>
        <v>1494456.48</v>
      </c>
      <c r="BY60" s="1117" t="str">
        <f t="shared" si="557"/>
        <v/>
      </c>
      <c r="BZ60" s="1117">
        <f t="shared" si="558"/>
        <v>1</v>
      </c>
      <c r="CA60" s="1120">
        <f>SUMIF($B61:$B$63,$B60,CA61:CA$63)</f>
        <v>555572</v>
      </c>
      <c r="CB60" s="1117" t="str">
        <f t="shared" si="559"/>
        <v/>
      </c>
      <c r="CC60" s="1117">
        <f t="shared" si="560"/>
        <v>1</v>
      </c>
      <c r="CD60" s="1128">
        <f t="shared" si="561"/>
        <v>555572</v>
      </c>
      <c r="CE60" s="1117" t="str">
        <f t="shared" si="46"/>
        <v/>
      </c>
      <c r="CF60" s="1128">
        <f t="shared" si="562"/>
        <v>-938884.48</v>
      </c>
      <c r="CG60" s="1117">
        <f t="shared" si="48"/>
        <v>-0.6282447783</v>
      </c>
      <c r="CH60" s="1120">
        <f>SUMIF($B61:$B$63,$B60,CH61:CH$63)</f>
        <v>0</v>
      </c>
      <c r="CI60" s="1117" t="str">
        <f t="shared" si="563"/>
        <v/>
      </c>
      <c r="CJ60" s="1117">
        <f t="shared" si="564"/>
        <v>0</v>
      </c>
      <c r="CK60" s="1120">
        <f>SUMIF($B61:$B$63,$B60,CK61:CK$63)</f>
        <v>0</v>
      </c>
      <c r="CL60" s="1117" t="str">
        <f t="shared" si="565"/>
        <v/>
      </c>
      <c r="CM60" s="1117" t="str">
        <f t="shared" si="566"/>
        <v/>
      </c>
      <c r="CN60" s="1120">
        <f>SUMIF($B61:$B$63,$B60,CN61:CN$63)</f>
        <v>0</v>
      </c>
      <c r="CO60" s="1117" t="str">
        <f t="shared" si="567"/>
        <v/>
      </c>
      <c r="CP60" s="1117" t="str">
        <f t="shared" si="568"/>
        <v/>
      </c>
      <c r="CQ60" s="1128">
        <f t="shared" si="569"/>
        <v>0</v>
      </c>
      <c r="CR60" s="1117" t="str">
        <f t="shared" si="53"/>
        <v/>
      </c>
      <c r="CS60" s="1128">
        <f t="shared" si="570"/>
        <v>0</v>
      </c>
      <c r="CT60" s="1117" t="str">
        <f t="shared" si="55"/>
        <v/>
      </c>
      <c r="CU60" s="1120">
        <f t="shared" si="571"/>
        <v>0</v>
      </c>
      <c r="CV60" s="1117" t="str">
        <f t="shared" si="572"/>
        <v/>
      </c>
      <c r="CW60" s="1117">
        <f t="shared" si="573"/>
        <v>0</v>
      </c>
      <c r="CX60" s="1133">
        <f t="shared" si="574"/>
        <v>0</v>
      </c>
      <c r="CY60" s="1117" t="str">
        <f t="shared" si="575"/>
        <v/>
      </c>
      <c r="CZ60" s="1117" t="str">
        <f t="shared" si="576"/>
        <v/>
      </c>
      <c r="DA60" s="1133">
        <f t="shared" si="577"/>
        <v>0</v>
      </c>
      <c r="DB60" s="1117" t="str">
        <f t="shared" si="578"/>
        <v/>
      </c>
      <c r="DC60" s="1117" t="str">
        <f t="shared" si="579"/>
        <v/>
      </c>
      <c r="DD60" s="1128">
        <f t="shared" si="580"/>
        <v>0</v>
      </c>
      <c r="DE60" s="1117" t="str">
        <f t="shared" si="63"/>
        <v/>
      </c>
      <c r="DF60" s="1128">
        <f t="shared" si="581"/>
        <v>0</v>
      </c>
      <c r="DG60" s="1117" t="str">
        <f t="shared" si="65"/>
        <v/>
      </c>
      <c r="DH60" s="1120">
        <f t="shared" si="582"/>
        <v>0</v>
      </c>
      <c r="DI60" s="1117" t="str">
        <f t="shared" si="583"/>
        <v/>
      </c>
      <c r="DJ60" s="1117">
        <f t="shared" si="584"/>
        <v>0</v>
      </c>
      <c r="DK60" s="1119">
        <f t="shared" si="585"/>
        <v>0</v>
      </c>
      <c r="DL60" s="1117" t="str">
        <f t="shared" si="586"/>
        <v/>
      </c>
      <c r="DM60" s="1117">
        <f t="shared" si="587"/>
        <v>0</v>
      </c>
      <c r="DN60" s="1119">
        <f t="shared" si="588"/>
        <v>0</v>
      </c>
      <c r="DO60" s="1117" t="str">
        <f t="shared" si="589"/>
        <v/>
      </c>
      <c r="DP60" s="1117">
        <f t="shared" si="590"/>
        <v>0</v>
      </c>
      <c r="DQ60" s="1128">
        <f t="shared" si="591"/>
        <v>0</v>
      </c>
      <c r="DR60" s="1117" t="str">
        <f t="shared" si="73"/>
        <v/>
      </c>
      <c r="DS60" s="1128">
        <f t="shared" si="592"/>
        <v>0</v>
      </c>
      <c r="DT60" s="1117" t="str">
        <f t="shared" si="75"/>
        <v/>
      </c>
      <c r="DU60" s="1120">
        <f>SUMIF($B61:$B$63,$B60,DU61:DU$63)</f>
        <v>0</v>
      </c>
      <c r="DV60" s="1117" t="str">
        <f t="shared" si="593"/>
        <v/>
      </c>
      <c r="DW60" s="1117">
        <f t="shared" si="594"/>
        <v>0</v>
      </c>
      <c r="DX60" s="1120">
        <f>SUMIF($B61:$B$63,$B60,DX61:DX$63)</f>
        <v>0</v>
      </c>
      <c r="DY60" s="1117" t="str">
        <f t="shared" si="595"/>
        <v/>
      </c>
      <c r="DZ60" s="1117">
        <f t="shared" si="596"/>
        <v>0</v>
      </c>
      <c r="EA60" s="1120">
        <f>SUMIF($B61:$B$63,$B60,EA61:EA$63)</f>
        <v>0</v>
      </c>
      <c r="EB60" s="1117" t="str">
        <f t="shared" si="597"/>
        <v/>
      </c>
      <c r="EC60" s="1117" t="str">
        <f t="shared" si="598"/>
        <v/>
      </c>
      <c r="ED60" s="1128">
        <f t="shared" si="599"/>
        <v>0</v>
      </c>
      <c r="EE60" s="1117" t="str">
        <f t="shared" si="80"/>
        <v/>
      </c>
      <c r="EF60" s="1128">
        <f t="shared" si="600"/>
        <v>0</v>
      </c>
      <c r="EG60" s="1117" t="str">
        <f t="shared" si="82"/>
        <v/>
      </c>
      <c r="EH60" s="1120">
        <f>SUMIF($B61:$B$63,$B60,EH61:EH$63)</f>
        <v>0</v>
      </c>
      <c r="EI60" s="1117" t="str">
        <f t="shared" si="601"/>
        <v/>
      </c>
      <c r="EJ60" s="1117">
        <f t="shared" si="602"/>
        <v>0</v>
      </c>
      <c r="EK60" s="1120">
        <f>SUMIF($B61:$B$63,$B60,EK61:EK$63)</f>
        <v>0</v>
      </c>
      <c r="EL60" s="1117" t="str">
        <f t="shared" si="603"/>
        <v/>
      </c>
      <c r="EM60" s="1117">
        <f t="shared" si="604"/>
        <v>0</v>
      </c>
      <c r="EN60" s="1120">
        <f>SUMIF($B61:$B$63,$B60,EN61:EN$63)</f>
        <v>0</v>
      </c>
      <c r="EO60" s="1117" t="str">
        <f t="shared" si="605"/>
        <v/>
      </c>
      <c r="EP60" s="1117" t="str">
        <f t="shared" si="606"/>
        <v/>
      </c>
      <c r="EQ60" s="1128">
        <f t="shared" si="607"/>
        <v>0</v>
      </c>
      <c r="ER60" s="1117" t="str">
        <f t="shared" si="87"/>
        <v/>
      </c>
      <c r="ES60" s="1128">
        <f t="shared" si="608"/>
        <v>0</v>
      </c>
      <c r="ET60" s="1117" t="str">
        <f t="shared" si="89"/>
        <v/>
      </c>
      <c r="EU60" s="1120">
        <f>SUMIF($B61:$B$63,$B60,EU61:EU$63)</f>
        <v>0</v>
      </c>
      <c r="EV60" s="1117" t="str">
        <f t="shared" si="609"/>
        <v/>
      </c>
      <c r="EW60" s="1117">
        <f t="shared" si="610"/>
        <v>0</v>
      </c>
      <c r="EX60" s="1120">
        <f>SUMIF($B61:$B$63,$B60,EX61:EX$63)</f>
        <v>0</v>
      </c>
      <c r="EY60" s="1117" t="str">
        <f t="shared" si="611"/>
        <v/>
      </c>
      <c r="EZ60" s="1117">
        <f t="shared" si="612"/>
        <v>0</v>
      </c>
      <c r="FA60" s="1133">
        <f t="shared" si="613"/>
        <v>0</v>
      </c>
      <c r="FB60" s="1117" t="str">
        <f t="shared" si="614"/>
        <v/>
      </c>
      <c r="FC60" s="1117" t="str">
        <f t="shared" si="615"/>
        <v/>
      </c>
      <c r="FD60" s="1128">
        <f t="shared" si="616"/>
        <v>0</v>
      </c>
      <c r="FE60" s="1117" t="str">
        <f t="shared" si="94"/>
        <v/>
      </c>
      <c r="FF60" s="1128">
        <f t="shared" si="617"/>
        <v>0</v>
      </c>
      <c r="FG60" s="1117" t="str">
        <f t="shared" si="96"/>
        <v/>
      </c>
      <c r="FH60" s="1120">
        <f t="shared" si="618"/>
        <v>0</v>
      </c>
      <c r="FI60" s="1117" t="str">
        <f t="shared" si="619"/>
        <v/>
      </c>
      <c r="FJ60" s="1117">
        <f t="shared" si="620"/>
        <v>0</v>
      </c>
      <c r="FK60" s="1119">
        <f t="shared" si="621"/>
        <v>0</v>
      </c>
      <c r="FL60" s="1117" t="str">
        <f t="shared" si="622"/>
        <v/>
      </c>
      <c r="FM60" s="1117">
        <f t="shared" si="623"/>
        <v>0</v>
      </c>
      <c r="FN60" s="1119">
        <f t="shared" si="624"/>
        <v>0</v>
      </c>
      <c r="FO60" s="1117" t="str">
        <f t="shared" si="625"/>
        <v/>
      </c>
      <c r="FP60" s="1117" t="str">
        <f t="shared" si="626"/>
        <v/>
      </c>
      <c r="FQ60" s="1128">
        <f t="shared" si="627"/>
        <v>0</v>
      </c>
      <c r="FR60" s="1117" t="str">
        <f t="shared" si="104"/>
        <v/>
      </c>
      <c r="FS60" s="1128">
        <f t="shared" si="628"/>
        <v>0</v>
      </c>
      <c r="FT60" s="1117" t="str">
        <f t="shared" si="106"/>
        <v/>
      </c>
      <c r="FU60" s="1120">
        <f>SUMIF($B61:$B$63,$B60,FU61:FU$63)</f>
        <v>0</v>
      </c>
      <c r="FV60" s="1117" t="str">
        <f t="shared" si="629"/>
        <v/>
      </c>
      <c r="FW60" s="1117">
        <f t="shared" si="630"/>
        <v>0</v>
      </c>
      <c r="FX60" s="1120">
        <f>SUMIF($B61:$B$63,$B60,FX61:FX$63)</f>
        <v>0</v>
      </c>
      <c r="FY60" s="1117" t="str">
        <f t="shared" si="631"/>
        <v/>
      </c>
      <c r="FZ60" s="1117">
        <f t="shared" si="632"/>
        <v>0</v>
      </c>
      <c r="GA60" s="1120">
        <f>SUMIF($B61:$B$63,$B60,GA61:GA$63)</f>
        <v>0</v>
      </c>
      <c r="GB60" s="1117" t="str">
        <f t="shared" si="633"/>
        <v/>
      </c>
      <c r="GC60" s="1117" t="str">
        <f t="shared" si="634"/>
        <v/>
      </c>
      <c r="GD60" s="1128">
        <f t="shared" si="635"/>
        <v>0</v>
      </c>
      <c r="GE60" s="1117" t="str">
        <f t="shared" si="111"/>
        <v/>
      </c>
      <c r="GF60" s="1128">
        <f t="shared" si="636"/>
        <v>0</v>
      </c>
      <c r="GG60" s="1117" t="str">
        <f t="shared" si="113"/>
        <v/>
      </c>
      <c r="GH60" s="1120">
        <f>SUMIF($B61:$B$63,$B60,GH61:GH$63)</f>
        <v>0</v>
      </c>
      <c r="GI60" s="1117" t="str">
        <f t="shared" si="637"/>
        <v/>
      </c>
      <c r="GJ60" s="1117">
        <f t="shared" si="638"/>
        <v>0</v>
      </c>
      <c r="GK60" s="1120">
        <f>SUMIF($B61:$B$63,$B60,GK61:GK$63)</f>
        <v>0</v>
      </c>
      <c r="GL60" s="1117" t="str">
        <f t="shared" si="639"/>
        <v/>
      </c>
      <c r="GM60" s="1117">
        <f t="shared" si="640"/>
        <v>0</v>
      </c>
      <c r="GN60" s="1120">
        <f>SUMIF($B61:$B$63,$B60,GN61:GN$63)</f>
        <v>0</v>
      </c>
      <c r="GO60" s="1117" t="str">
        <f t="shared" si="641"/>
        <v/>
      </c>
      <c r="GP60" s="1117" t="str">
        <f t="shared" si="642"/>
        <v/>
      </c>
      <c r="GQ60" s="1128">
        <f t="shared" si="643"/>
        <v>0</v>
      </c>
      <c r="GR60" s="1117" t="str">
        <f t="shared" si="118"/>
        <v/>
      </c>
      <c r="GS60" s="1128">
        <f t="shared" si="644"/>
        <v>0</v>
      </c>
      <c r="GT60" s="1117" t="str">
        <f t="shared" si="120"/>
        <v/>
      </c>
      <c r="GU60" s="1120">
        <f>SUMIF($B61:$B$63,$B60,GU61:GU$63)</f>
        <v>0</v>
      </c>
      <c r="GV60" s="1117" t="str">
        <f t="shared" si="645"/>
        <v/>
      </c>
      <c r="GW60" s="1117">
        <f t="shared" si="646"/>
        <v>0</v>
      </c>
      <c r="GX60" s="1120">
        <f>SUMIF($B61:$B$63,$B60,GX61:GX$63)</f>
        <v>0</v>
      </c>
      <c r="GY60" s="1117" t="str">
        <f t="shared" si="647"/>
        <v/>
      </c>
      <c r="GZ60" s="1117">
        <f t="shared" si="648"/>
        <v>0</v>
      </c>
      <c r="HA60" s="1120">
        <f>SUMIF($B61:$B$63,$B60,HA61:HA$63)</f>
        <v>0</v>
      </c>
      <c r="HB60" s="1117" t="str">
        <f t="shared" si="649"/>
        <v/>
      </c>
      <c r="HC60" s="1117" t="str">
        <f t="shared" si="650"/>
        <v/>
      </c>
      <c r="HD60" s="1128">
        <f t="shared" si="651"/>
        <v>0</v>
      </c>
      <c r="HE60" s="1117" t="str">
        <f t="shared" si="125"/>
        <v/>
      </c>
      <c r="HF60" s="1128">
        <f t="shared" si="652"/>
        <v>0</v>
      </c>
      <c r="HG60" s="1117" t="str">
        <f t="shared" si="127"/>
        <v/>
      </c>
      <c r="HH60" s="1120">
        <f t="shared" si="653"/>
        <v>0</v>
      </c>
      <c r="HI60" s="1117" t="str">
        <f t="shared" si="654"/>
        <v/>
      </c>
      <c r="HJ60" s="1117">
        <f t="shared" si="655"/>
        <v>0</v>
      </c>
      <c r="HK60" s="1119">
        <f t="shared" si="656"/>
        <v>0</v>
      </c>
      <c r="HL60" s="1117" t="str">
        <f t="shared" si="657"/>
        <v/>
      </c>
      <c r="HM60" s="1117">
        <f t="shared" si="658"/>
        <v>0</v>
      </c>
      <c r="HN60" s="1119">
        <f t="shared" si="659"/>
        <v>0</v>
      </c>
      <c r="HO60" s="1117" t="str">
        <f t="shared" si="660"/>
        <v/>
      </c>
      <c r="HP60" s="1117" t="str">
        <f t="shared" si="661"/>
        <v/>
      </c>
      <c r="HQ60" s="1128">
        <f t="shared" si="662"/>
        <v>0</v>
      </c>
      <c r="HR60" s="1117" t="str">
        <f t="shared" si="135"/>
        <v/>
      </c>
      <c r="HS60" s="1128">
        <f t="shared" si="663"/>
        <v>0</v>
      </c>
      <c r="HT60" s="1117" t="str">
        <f t="shared" si="137"/>
        <v/>
      </c>
      <c r="HU60" s="1120">
        <f t="shared" si="664"/>
        <v>0</v>
      </c>
      <c r="HV60" s="1117" t="str">
        <f t="shared" si="665"/>
        <v/>
      </c>
      <c r="HW60" s="1117">
        <f t="shared" si="666"/>
        <v>0</v>
      </c>
      <c r="HX60" s="1119">
        <f t="shared" si="667"/>
        <v>0</v>
      </c>
      <c r="HY60" s="1117" t="str">
        <f t="shared" si="668"/>
        <v/>
      </c>
      <c r="HZ60" s="1117">
        <f t="shared" si="669"/>
        <v>0</v>
      </c>
      <c r="IA60" s="1119">
        <f t="shared" si="670"/>
        <v>0</v>
      </c>
      <c r="IB60" s="1117" t="str">
        <f t="shared" si="671"/>
        <v/>
      </c>
      <c r="IC60" s="1117" t="str">
        <f t="shared" si="672"/>
        <v/>
      </c>
      <c r="ID60" s="1128">
        <f t="shared" si="673"/>
        <v>0</v>
      </c>
      <c r="IE60" s="1117" t="str">
        <f t="shared" si="145"/>
        <v/>
      </c>
      <c r="IF60" s="1128">
        <f t="shared" si="674"/>
        <v>0</v>
      </c>
      <c r="IG60" s="1117" t="str">
        <f t="shared" si="147"/>
        <v/>
      </c>
      <c r="IH60" s="1120">
        <f t="shared" si="675"/>
        <v>0</v>
      </c>
      <c r="II60" s="1117" t="str">
        <f t="shared" si="676"/>
        <v/>
      </c>
      <c r="IJ60" s="1117">
        <f t="shared" si="677"/>
        <v>0</v>
      </c>
      <c r="IK60" s="1119">
        <f t="shared" si="678"/>
        <v>0</v>
      </c>
      <c r="IL60" s="1117" t="str">
        <f t="shared" si="679"/>
        <v/>
      </c>
      <c r="IM60" s="1117">
        <f t="shared" si="680"/>
        <v>0</v>
      </c>
      <c r="IN60" s="1119">
        <f t="shared" si="681"/>
        <v>0</v>
      </c>
      <c r="IO60" s="1117" t="str">
        <f t="shared" si="682"/>
        <v/>
      </c>
      <c r="IP60" s="1117">
        <f t="shared" si="683"/>
        <v>0</v>
      </c>
      <c r="IQ60" s="1128">
        <f t="shared" si="684"/>
        <v>0</v>
      </c>
      <c r="IR60" s="1117" t="str">
        <f t="shared" si="1"/>
        <v/>
      </c>
      <c r="IS60" s="1128">
        <f t="shared" si="685"/>
        <v>0</v>
      </c>
      <c r="IT60" s="1117" t="str">
        <f t="shared" si="2"/>
        <v/>
      </c>
    </row>
    <row r="61" hidden="1" outlineLevel="1">
      <c r="A61" s="1086">
        <f t="shared" si="511"/>
        <v>8</v>
      </c>
      <c r="B61" s="1087" t="s">
        <v>2821</v>
      </c>
      <c r="C61" s="1087" t="s">
        <v>956</v>
      </c>
      <c r="D61" s="1087" t="str">
        <f>IF(C61&gt;0,VLOOKUP(C61,DM_DUAN ,2,"") ,IF(B61&gt;0,VLOOKUP(B61,DM_CDT,2,""),""))</f>
        <v>KDC Lộc Ngãi</v>
      </c>
      <c r="E61" s="1087"/>
      <c r="F61" s="1087"/>
      <c r="G61" s="1086">
        <v>2.0</v>
      </c>
      <c r="H61" s="1088">
        <f t="shared" ref="H61:H63" si="756">SUMIF($C$19:$C$33,$C61,H$19:H$33)-SUMIF($C$35:$C$48,$C61,H$35:H$48)</f>
        <v>0</v>
      </c>
      <c r="I61" s="1091" t="str">
        <f t="shared" si="512"/>
        <v/>
      </c>
      <c r="J61" s="1091" t="str">
        <f t="shared" si="513"/>
        <v/>
      </c>
      <c r="K61" s="1090">
        <f t="shared" ref="K61:K63" si="757">SUMIF($C$20:$C$33,$C61,K$20:K$33)-SUMIF($C$35:$C$48,$C61,K$35:K$48)</f>
        <v>0</v>
      </c>
      <c r="L61" s="1091" t="str">
        <f t="shared" si="514"/>
        <v/>
      </c>
      <c r="M61" s="1091">
        <f t="shared" si="515"/>
        <v>0</v>
      </c>
      <c r="N61" s="1090">
        <f t="shared" ref="N61:N63" si="758">SUMIF($C$20:$C$33,$C61,N$20:N$33)-SUMIF($C$35:$C$48,$C61,N$35:N$48)</f>
        <v>0</v>
      </c>
      <c r="O61" s="1091" t="str">
        <f t="shared" si="516"/>
        <v/>
      </c>
      <c r="P61" s="1091">
        <f t="shared" si="517"/>
        <v>0</v>
      </c>
      <c r="Q61" s="1130">
        <f t="shared" si="518"/>
        <v>0</v>
      </c>
      <c r="R61" s="1091" t="str">
        <f t="shared" si="8"/>
        <v/>
      </c>
      <c r="S61" s="1130">
        <f t="shared" si="519"/>
        <v>0</v>
      </c>
      <c r="T61" s="1091" t="str">
        <f t="shared" si="10"/>
        <v/>
      </c>
      <c r="U61" s="1088">
        <f t="shared" ref="U61:U63" si="759">SUMIF($C$19:$C$33,$C61,U$19:U$33)-SUMIF($C$35:$C$48,$C61,U$35:U$48)</f>
        <v>0</v>
      </c>
      <c r="V61" s="1091" t="str">
        <f t="shared" si="520"/>
        <v/>
      </c>
      <c r="W61" s="1091" t="str">
        <f t="shared" si="521"/>
        <v/>
      </c>
      <c r="X61" s="1090">
        <f t="shared" ref="X61:X63" si="760">SUMIF($C$20:$C$33,$C61,X$20:X$33)-SUMIF($C$35:$C$48,$C61,X$35:X$48)</f>
        <v>0</v>
      </c>
      <c r="Y61" s="1091" t="str">
        <f t="shared" si="522"/>
        <v/>
      </c>
      <c r="Z61" s="1091" t="str">
        <f t="shared" si="523"/>
        <v/>
      </c>
      <c r="AA61" s="1090">
        <f t="shared" ref="AA61:AA63" si="761">SUMIF($C$20:$C$33,$C61,AA$20:AA$33)-SUMIF($C$35:$C$48,$C61,AA$35:AA$48)</f>
        <v>0</v>
      </c>
      <c r="AB61" s="1091" t="str">
        <f t="shared" si="524"/>
        <v/>
      </c>
      <c r="AC61" s="1091">
        <f t="shared" si="525"/>
        <v>0</v>
      </c>
      <c r="AD61" s="1130">
        <f t="shared" si="526"/>
        <v>0</v>
      </c>
      <c r="AE61" s="1091" t="str">
        <f t="shared" si="15"/>
        <v/>
      </c>
      <c r="AF61" s="1130">
        <f t="shared" si="527"/>
        <v>0</v>
      </c>
      <c r="AG61" s="1091" t="str">
        <f t="shared" si="17"/>
        <v/>
      </c>
      <c r="AH61" s="1088">
        <f t="shared" ref="AH61:AH63" si="762">SUMIF($C$19:$C$33,$C61,AH$19:AH$33)-SUMIF($C$35:$C$48,$C61,AH$35:AH$48)</f>
        <v>0</v>
      </c>
      <c r="AI61" s="1091" t="str">
        <f t="shared" si="528"/>
        <v/>
      </c>
      <c r="AJ61" s="1091" t="str">
        <f t="shared" si="529"/>
        <v/>
      </c>
      <c r="AK61" s="1090">
        <f t="shared" ref="AK61:AK63" si="763">SUMIF($C$20:$C$33,$C61,AK$20:AK$33)-SUMIF($C$35:$C$48,$C61,AK$35:AK$48)</f>
        <v>0</v>
      </c>
      <c r="AL61" s="1091" t="str">
        <f t="shared" si="530"/>
        <v/>
      </c>
      <c r="AM61" s="1091">
        <f t="shared" si="531"/>
        <v>0</v>
      </c>
      <c r="AN61" s="1090">
        <f t="shared" ref="AN61:AN63" si="764">SUMIF($C$20:$C$33,$C61,AN$20:AN$33)-SUMIF($C$35:$C$48,$C61,AN$35:AN$48)</f>
        <v>0</v>
      </c>
      <c r="AO61" s="1091" t="str">
        <f t="shared" si="532"/>
        <v/>
      </c>
      <c r="AP61" s="1091">
        <f t="shared" si="533"/>
        <v>0</v>
      </c>
      <c r="AQ61" s="1130">
        <f t="shared" si="534"/>
        <v>0</v>
      </c>
      <c r="AR61" s="1091" t="str">
        <f t="shared" si="22"/>
        <v/>
      </c>
      <c r="AS61" s="1130">
        <f t="shared" si="535"/>
        <v>0</v>
      </c>
      <c r="AT61" s="1091" t="str">
        <f t="shared" si="24"/>
        <v/>
      </c>
      <c r="AU61" s="1088">
        <f t="shared" si="536"/>
        <v>0</v>
      </c>
      <c r="AV61" s="1091" t="str">
        <f t="shared" si="537"/>
        <v/>
      </c>
      <c r="AW61" s="1091" t="str">
        <f t="shared" si="538"/>
        <v/>
      </c>
      <c r="AX61" s="1090">
        <f t="shared" si="539"/>
        <v>0</v>
      </c>
      <c r="AY61" s="1091" t="str">
        <f t="shared" si="540"/>
        <v/>
      </c>
      <c r="AZ61" s="1091">
        <f t="shared" si="541"/>
        <v>0</v>
      </c>
      <c r="BA61" s="1090">
        <f t="shared" si="542"/>
        <v>0</v>
      </c>
      <c r="BB61" s="1091" t="str">
        <f t="shared" si="543"/>
        <v/>
      </c>
      <c r="BC61" s="1091">
        <f t="shared" si="544"/>
        <v>0</v>
      </c>
      <c r="BD61" s="1130">
        <f t="shared" si="545"/>
        <v>0</v>
      </c>
      <c r="BE61" s="1091" t="str">
        <f t="shared" si="32"/>
        <v/>
      </c>
      <c r="BF61" s="1130">
        <f t="shared" si="546"/>
        <v>0</v>
      </c>
      <c r="BG61" s="1091" t="str">
        <f t="shared" si="34"/>
        <v/>
      </c>
      <c r="BH61" s="1088">
        <f t="shared" ref="BH61:BH63" si="765">SUMIF($C$20:$C$33,$C61,BH$20:BH$33)-SUMIF($C$35:$C$48,$C61,BH$35:BH$48)</f>
        <v>0</v>
      </c>
      <c r="BI61" s="1091" t="str">
        <f t="shared" si="547"/>
        <v/>
      </c>
      <c r="BJ61" s="1091">
        <f t="shared" si="548"/>
        <v>0</v>
      </c>
      <c r="BK61" s="1090">
        <f t="shared" ref="BK61:BK63" si="766">SUMIF($C$20:$C$33,$C61,BK$20:BK$33)-SUMIF($C$35:$C$48,$C61,BK$35:BK$48)</f>
        <v>0</v>
      </c>
      <c r="BL61" s="1091" t="str">
        <f t="shared" si="549"/>
        <v/>
      </c>
      <c r="BM61" s="1091" t="str">
        <f t="shared" si="550"/>
        <v/>
      </c>
      <c r="BN61" s="1090">
        <f t="shared" ref="BN61:BN63" si="767">SUMIF($C$20:$C$33,$C61,BN$20:BN$33)-SUMIF($C$35:$C$48,$C61,BN$35:BN$48)</f>
        <v>0</v>
      </c>
      <c r="BO61" s="1091" t="str">
        <f t="shared" si="551"/>
        <v/>
      </c>
      <c r="BP61" s="1091">
        <f t="shared" si="552"/>
        <v>0</v>
      </c>
      <c r="BQ61" s="1130">
        <f t="shared" si="553"/>
        <v>0</v>
      </c>
      <c r="BR61" s="1091" t="str">
        <f t="shared" si="39"/>
        <v/>
      </c>
      <c r="BS61" s="1130">
        <f t="shared" si="554"/>
        <v>0</v>
      </c>
      <c r="BT61" s="1091" t="str">
        <f t="shared" si="41"/>
        <v/>
      </c>
      <c r="BU61" s="1088">
        <f t="shared" ref="BU61:BU63" si="768">SUMIF($C$19:$C$33,$C61,BU$19:BU$33)-SUMIF($C$35:$C$48,$C61,BU$35:BU$48)</f>
        <v>0</v>
      </c>
      <c r="BV61" s="1091" t="str">
        <f t="shared" si="555"/>
        <v/>
      </c>
      <c r="BW61" s="1091">
        <f t="shared" si="556"/>
        <v>0</v>
      </c>
      <c r="BX61" s="1131">
        <f t="shared" ref="BX61:BX63" si="769">SUMIF($C$20:$C$33,$C61,BX$20:BX$33)-SUMIF($C$35:$C$48,$C61,BX$35:BX$48)</f>
        <v>1494456.48</v>
      </c>
      <c r="BY61" s="1091">
        <f t="shared" si="557"/>
        <v>1</v>
      </c>
      <c r="BZ61" s="1091">
        <f t="shared" si="558"/>
        <v>1</v>
      </c>
      <c r="CA61" s="1131">
        <f t="shared" ref="CA61:CA63" si="770">SUMIF($C$20:$C$33,$C61,CA$20:CA$33)-SUMIF($C$35:$C$48,$C61,CA$35:CA$48)</f>
        <v>555572</v>
      </c>
      <c r="CB61" s="1091">
        <f t="shared" si="559"/>
        <v>1</v>
      </c>
      <c r="CC61" s="1091">
        <f t="shared" si="560"/>
        <v>1</v>
      </c>
      <c r="CD61" s="1130">
        <f t="shared" si="561"/>
        <v>555572</v>
      </c>
      <c r="CE61" s="1091" t="str">
        <f t="shared" si="46"/>
        <v/>
      </c>
      <c r="CF61" s="1130">
        <f t="shared" si="562"/>
        <v>-938884.48</v>
      </c>
      <c r="CG61" s="1091">
        <f t="shared" si="48"/>
        <v>-0.6282447783</v>
      </c>
      <c r="CH61" s="1088">
        <f t="shared" ref="CH61:CH63" si="771">SUMIF($C$19:$C$33,$C61,CH$19:CH$33)-SUMIF($C$35:$C$48,$C61,CH$35:CH$48)</f>
        <v>0</v>
      </c>
      <c r="CI61" s="1091" t="str">
        <f t="shared" si="563"/>
        <v/>
      </c>
      <c r="CJ61" s="1091">
        <f t="shared" si="564"/>
        <v>0</v>
      </c>
      <c r="CK61" s="1131">
        <f t="shared" ref="CK61:CK63" si="772">SUMIF($C$20:$C$33,$C61,CK$20:CK$33)-SUMIF($C$35:$C$48,$C61,CK$35:CK$48)</f>
        <v>0</v>
      </c>
      <c r="CL61" s="1091" t="str">
        <f t="shared" si="565"/>
        <v/>
      </c>
      <c r="CM61" s="1091" t="str">
        <f t="shared" si="566"/>
        <v/>
      </c>
      <c r="CN61" s="1131">
        <f t="shared" ref="CN61:CN63" si="773">SUMIF($C$20:$C$33,$C61,CN$20:CN$33)-SUMIF($C$35:$C$48,$C61,CN$35:CN$48)</f>
        <v>0</v>
      </c>
      <c r="CO61" s="1091" t="str">
        <f t="shared" si="567"/>
        <v/>
      </c>
      <c r="CP61" s="1091" t="str">
        <f t="shared" si="568"/>
        <v/>
      </c>
      <c r="CQ61" s="1130">
        <f t="shared" si="569"/>
        <v>0</v>
      </c>
      <c r="CR61" s="1091" t="str">
        <f t="shared" si="53"/>
        <v/>
      </c>
      <c r="CS61" s="1130">
        <f t="shared" si="570"/>
        <v>0</v>
      </c>
      <c r="CT61" s="1091" t="str">
        <f t="shared" si="55"/>
        <v/>
      </c>
      <c r="CU61" s="1088">
        <f t="shared" si="571"/>
        <v>0</v>
      </c>
      <c r="CV61" s="1091" t="str">
        <f t="shared" si="572"/>
        <v/>
      </c>
      <c r="CW61" s="1091">
        <f t="shared" si="573"/>
        <v>0</v>
      </c>
      <c r="CX61" s="1131">
        <f t="shared" si="574"/>
        <v>1494456.48</v>
      </c>
      <c r="CY61" s="1091">
        <f t="shared" si="575"/>
        <v>1</v>
      </c>
      <c r="CZ61" s="1091" t="str">
        <f t="shared" si="576"/>
        <v/>
      </c>
      <c r="DA61" s="1131">
        <f t="shared" si="577"/>
        <v>555572</v>
      </c>
      <c r="DB61" s="1091">
        <f t="shared" si="578"/>
        <v>1</v>
      </c>
      <c r="DC61" s="1091" t="str">
        <f t="shared" si="579"/>
        <v/>
      </c>
      <c r="DD61" s="1130">
        <f t="shared" si="580"/>
        <v>555572</v>
      </c>
      <c r="DE61" s="1091" t="str">
        <f t="shared" si="63"/>
        <v/>
      </c>
      <c r="DF61" s="1130">
        <f t="shared" si="581"/>
        <v>-938884.48</v>
      </c>
      <c r="DG61" s="1091">
        <f t="shared" si="65"/>
        <v>-0.6282447783</v>
      </c>
      <c r="DH61" s="1088">
        <f t="shared" si="582"/>
        <v>0</v>
      </c>
      <c r="DI61" s="1091" t="str">
        <f t="shared" si="583"/>
        <v/>
      </c>
      <c r="DJ61" s="1091">
        <f t="shared" si="584"/>
        <v>0</v>
      </c>
      <c r="DK61" s="1090">
        <f t="shared" si="585"/>
        <v>1494456.48</v>
      </c>
      <c r="DL61" s="1091">
        <f t="shared" si="586"/>
        <v>1</v>
      </c>
      <c r="DM61" s="1091">
        <f t="shared" si="587"/>
        <v>0.4017356129</v>
      </c>
      <c r="DN61" s="1090">
        <f t="shared" si="588"/>
        <v>555572</v>
      </c>
      <c r="DO61" s="1091">
        <f t="shared" si="589"/>
        <v>1</v>
      </c>
      <c r="DP61" s="1091">
        <f t="shared" si="590"/>
        <v>0.4676531987</v>
      </c>
      <c r="DQ61" s="1130">
        <f t="shared" si="591"/>
        <v>555572</v>
      </c>
      <c r="DR61" s="1091" t="str">
        <f t="shared" si="73"/>
        <v/>
      </c>
      <c r="DS61" s="1130">
        <f t="shared" si="592"/>
        <v>-938884.48</v>
      </c>
      <c r="DT61" s="1091">
        <f t="shared" si="75"/>
        <v>-0.6282447783</v>
      </c>
      <c r="DU61" s="1088">
        <f t="shared" ref="DU61:DU63" si="774">SUMIF($C$19:$C$33,$C61,DU$19:DU$33)-SUMIF($C$35:$C$48,$C61,DU$35:DU$48)</f>
        <v>0</v>
      </c>
      <c r="DV61" s="1091" t="str">
        <f t="shared" si="593"/>
        <v/>
      </c>
      <c r="DW61" s="1091">
        <f t="shared" si="594"/>
        <v>0</v>
      </c>
      <c r="DX61" s="1131">
        <f t="shared" ref="DX61:DX63" si="775">SUMIF($C$20:$C$33,$C61,DX$20:DX$33)-SUMIF($C$35:$C$48,$C61,DX$35:DX$48)</f>
        <v>0</v>
      </c>
      <c r="DY61" s="1091" t="str">
        <f t="shared" si="595"/>
        <v/>
      </c>
      <c r="DZ61" s="1091">
        <f t="shared" si="596"/>
        <v>0</v>
      </c>
      <c r="EA61" s="1131">
        <f t="shared" ref="EA61:EA63" si="776">SUMIF($C$20:$C$33,$C61,EA$20:EA$33)-SUMIF($C$35:$C$48,$C61,EA$35:EA$48)</f>
        <v>0</v>
      </c>
      <c r="EB61" s="1091" t="str">
        <f t="shared" si="597"/>
        <v/>
      </c>
      <c r="EC61" s="1091" t="str">
        <f t="shared" si="598"/>
        <v/>
      </c>
      <c r="ED61" s="1130">
        <f t="shared" si="599"/>
        <v>0</v>
      </c>
      <c r="EE61" s="1091" t="str">
        <f t="shared" si="80"/>
        <v/>
      </c>
      <c r="EF61" s="1130">
        <f t="shared" si="600"/>
        <v>0</v>
      </c>
      <c r="EG61" s="1091" t="str">
        <f t="shared" si="82"/>
        <v/>
      </c>
      <c r="EH61" s="1088">
        <f t="shared" ref="EH61:EH63" si="777">SUMIF($C$19:$C$33,$C61,EH$19:EH$33)-SUMIF($C$35:$C$48,$C61,EH$35:EH$48)</f>
        <v>0</v>
      </c>
      <c r="EI61" s="1091" t="str">
        <f t="shared" si="601"/>
        <v/>
      </c>
      <c r="EJ61" s="1091">
        <f t="shared" si="602"/>
        <v>0</v>
      </c>
      <c r="EK61" s="1131">
        <f t="shared" ref="EK61:EK63" si="778">SUMIF($C$20:$C$33,$C61,EK$20:EK$33)-SUMIF($C$35:$C$48,$C61,EK$35:EK$48)</f>
        <v>0</v>
      </c>
      <c r="EL61" s="1091" t="str">
        <f t="shared" si="603"/>
        <v/>
      </c>
      <c r="EM61" s="1091">
        <f t="shared" si="604"/>
        <v>0</v>
      </c>
      <c r="EN61" s="1131">
        <f t="shared" ref="EN61:EN63" si="779">SUMIF($C$20:$C$33,$C61,EN$20:EN$33)-SUMIF($C$35:$C$48,$C61,EN$35:EN$48)</f>
        <v>0</v>
      </c>
      <c r="EO61" s="1091" t="str">
        <f t="shared" si="605"/>
        <v/>
      </c>
      <c r="EP61" s="1091" t="str">
        <f t="shared" si="606"/>
        <v/>
      </c>
      <c r="EQ61" s="1130">
        <f t="shared" si="607"/>
        <v>0</v>
      </c>
      <c r="ER61" s="1091" t="str">
        <f t="shared" si="87"/>
        <v/>
      </c>
      <c r="ES61" s="1130">
        <f t="shared" si="608"/>
        <v>0</v>
      </c>
      <c r="ET61" s="1091" t="str">
        <f t="shared" si="89"/>
        <v/>
      </c>
      <c r="EU61" s="1088">
        <f t="shared" ref="EU61:EU63" si="780">SUMIF($C$19:$C$33,$C61,EU$19:EU$33)-SUMIF($C$35:$C$48,$C61,EU$35:EU$48)</f>
        <v>0</v>
      </c>
      <c r="EV61" s="1091" t="str">
        <f t="shared" si="609"/>
        <v/>
      </c>
      <c r="EW61" s="1091">
        <f t="shared" si="610"/>
        <v>0</v>
      </c>
      <c r="EX61" s="1131">
        <f t="shared" ref="EX61:EX63" si="781">SUMIF($C$20:$C$33,$C61,EX$20:EX$33)-SUMIF($C$35:$C$48,$C61,EX$35:EX$48)</f>
        <v>0</v>
      </c>
      <c r="EY61" s="1091" t="str">
        <f t="shared" si="611"/>
        <v/>
      </c>
      <c r="EZ61" s="1091">
        <f t="shared" si="612"/>
        <v>0</v>
      </c>
      <c r="FA61" s="1131">
        <f t="shared" si="613"/>
        <v>0</v>
      </c>
      <c r="FB61" s="1091" t="str">
        <f t="shared" si="614"/>
        <v/>
      </c>
      <c r="FC61" s="1091" t="str">
        <f t="shared" si="615"/>
        <v/>
      </c>
      <c r="FD61" s="1130">
        <f t="shared" si="616"/>
        <v>0</v>
      </c>
      <c r="FE61" s="1091" t="str">
        <f t="shared" si="94"/>
        <v/>
      </c>
      <c r="FF61" s="1130">
        <f t="shared" si="617"/>
        <v>0</v>
      </c>
      <c r="FG61" s="1091" t="str">
        <f t="shared" si="96"/>
        <v/>
      </c>
      <c r="FH61" s="1088">
        <f t="shared" si="618"/>
        <v>0</v>
      </c>
      <c r="FI61" s="1091" t="str">
        <f t="shared" si="619"/>
        <v/>
      </c>
      <c r="FJ61" s="1091">
        <f t="shared" si="620"/>
        <v>0</v>
      </c>
      <c r="FK61" s="1090">
        <f t="shared" si="621"/>
        <v>0</v>
      </c>
      <c r="FL61" s="1091" t="str">
        <f t="shared" si="622"/>
        <v/>
      </c>
      <c r="FM61" s="1091">
        <f t="shared" si="623"/>
        <v>0</v>
      </c>
      <c r="FN61" s="1090">
        <f t="shared" si="624"/>
        <v>0</v>
      </c>
      <c r="FO61" s="1091" t="str">
        <f t="shared" si="625"/>
        <v/>
      </c>
      <c r="FP61" s="1091" t="str">
        <f t="shared" si="626"/>
        <v/>
      </c>
      <c r="FQ61" s="1130">
        <f t="shared" si="627"/>
        <v>0</v>
      </c>
      <c r="FR61" s="1091" t="str">
        <f t="shared" si="104"/>
        <v/>
      </c>
      <c r="FS61" s="1130">
        <f t="shared" si="628"/>
        <v>0</v>
      </c>
      <c r="FT61" s="1091" t="str">
        <f t="shared" si="106"/>
        <v/>
      </c>
      <c r="FU61" s="1088">
        <f t="shared" ref="FU61:FU63" si="782">SUMIF($C$19:$C$33,$C61,FU$19:FU$33)-SUMIF($C$35:$C$48,$C61,FU$35:FU$48)</f>
        <v>0</v>
      </c>
      <c r="FV61" s="1091" t="str">
        <f t="shared" si="629"/>
        <v/>
      </c>
      <c r="FW61" s="1091">
        <f t="shared" si="630"/>
        <v>0</v>
      </c>
      <c r="FX61" s="1131">
        <f t="shared" ref="FX61:FX63" si="783">SUMIF($C$20:$C$33,$C61,FX$20:FX$33)-SUMIF($C$35:$C$48,$C61,FX$35:FX$48)</f>
        <v>0</v>
      </c>
      <c r="FY61" s="1091" t="str">
        <f t="shared" si="631"/>
        <v/>
      </c>
      <c r="FZ61" s="1091">
        <f t="shared" si="632"/>
        <v>0</v>
      </c>
      <c r="GA61" s="1131">
        <f t="shared" ref="GA61:GA63" si="784">SUMIF($C$20:$C$33,$C61,GA$20:GA$33)-SUMIF($C$35:$C$48,$C61,GA$35:GA$48)</f>
        <v>0</v>
      </c>
      <c r="GB61" s="1091" t="str">
        <f t="shared" si="633"/>
        <v/>
      </c>
      <c r="GC61" s="1091" t="str">
        <f t="shared" si="634"/>
        <v/>
      </c>
      <c r="GD61" s="1130">
        <f t="shared" si="635"/>
        <v>0</v>
      </c>
      <c r="GE61" s="1091" t="str">
        <f t="shared" si="111"/>
        <v/>
      </c>
      <c r="GF61" s="1130">
        <f t="shared" si="636"/>
        <v>0</v>
      </c>
      <c r="GG61" s="1091" t="str">
        <f t="shared" si="113"/>
        <v/>
      </c>
      <c r="GH61" s="1088">
        <f t="shared" ref="GH61:GH63" si="785">SUMIF($C$19:$C$33,$C61,GH$19:GH$33)-SUMIF($C$35:$C$48,$C61,GH$35:GH$48)</f>
        <v>0</v>
      </c>
      <c r="GI61" s="1091" t="str">
        <f t="shared" si="637"/>
        <v/>
      </c>
      <c r="GJ61" s="1091">
        <f t="shared" si="638"/>
        <v>0</v>
      </c>
      <c r="GK61" s="1131">
        <f t="shared" ref="GK61:GK63" si="786">SUMIF($C$20:$C$33,$C61,GK$20:GK$33)-SUMIF($C$35:$C$48,$C61,GK$35:GK$48)</f>
        <v>0</v>
      </c>
      <c r="GL61" s="1091" t="str">
        <f t="shared" si="639"/>
        <v/>
      </c>
      <c r="GM61" s="1091">
        <f t="shared" si="640"/>
        <v>0</v>
      </c>
      <c r="GN61" s="1131">
        <f t="shared" ref="GN61:GN63" si="787">SUMIF($C$20:$C$33,$C61,GN$20:GN$33)-SUMIF($C$35:$C$48,$C61,GN$35:GN$48)</f>
        <v>0</v>
      </c>
      <c r="GO61" s="1091" t="str">
        <f t="shared" si="641"/>
        <v/>
      </c>
      <c r="GP61" s="1091" t="str">
        <f t="shared" si="642"/>
        <v/>
      </c>
      <c r="GQ61" s="1130">
        <f t="shared" si="643"/>
        <v>0</v>
      </c>
      <c r="GR61" s="1091" t="str">
        <f t="shared" si="118"/>
        <v/>
      </c>
      <c r="GS61" s="1130">
        <f t="shared" si="644"/>
        <v>0</v>
      </c>
      <c r="GT61" s="1091" t="str">
        <f t="shared" si="120"/>
        <v/>
      </c>
      <c r="GU61" s="1088">
        <f t="shared" ref="GU61:GU63" si="788">SUMIF($C$19:$C$33,$C61,GU$19:GU$33)-SUMIF($C$35:$C$48,$C61,GU$35:GU$48)</f>
        <v>0</v>
      </c>
      <c r="GV61" s="1091" t="str">
        <f t="shared" si="645"/>
        <v/>
      </c>
      <c r="GW61" s="1091">
        <f t="shared" si="646"/>
        <v>0</v>
      </c>
      <c r="GX61" s="1131">
        <f t="shared" ref="GX61:GX63" si="789">SUMIF($C$20:$C$33,$C61,GX$20:GX$33)-SUMIF($C$35:$C$48,$C61,GX$35:GX$48)</f>
        <v>0</v>
      </c>
      <c r="GY61" s="1091" t="str">
        <f t="shared" si="647"/>
        <v/>
      </c>
      <c r="GZ61" s="1091">
        <f t="shared" si="648"/>
        <v>0</v>
      </c>
      <c r="HA61" s="1131">
        <f t="shared" ref="HA61:HA63" si="790">SUMIF($C$20:$C$33,$C61,HA$20:HA$33)-SUMIF($C$35:$C$48,$C61,HA$35:HA$48)</f>
        <v>0</v>
      </c>
      <c r="HB61" s="1091" t="str">
        <f t="shared" si="649"/>
        <v/>
      </c>
      <c r="HC61" s="1091" t="str">
        <f t="shared" si="650"/>
        <v/>
      </c>
      <c r="HD61" s="1130">
        <f t="shared" si="651"/>
        <v>0</v>
      </c>
      <c r="HE61" s="1091" t="str">
        <f t="shared" si="125"/>
        <v/>
      </c>
      <c r="HF61" s="1130">
        <f t="shared" si="652"/>
        <v>0</v>
      </c>
      <c r="HG61" s="1091" t="str">
        <f t="shared" si="127"/>
        <v/>
      </c>
      <c r="HH61" s="1088">
        <f t="shared" si="653"/>
        <v>0</v>
      </c>
      <c r="HI61" s="1091" t="str">
        <f t="shared" si="654"/>
        <v/>
      </c>
      <c r="HJ61" s="1091">
        <f t="shared" si="655"/>
        <v>0</v>
      </c>
      <c r="HK61" s="1090">
        <f t="shared" si="656"/>
        <v>0</v>
      </c>
      <c r="HL61" s="1091" t="str">
        <f t="shared" si="657"/>
        <v/>
      </c>
      <c r="HM61" s="1091">
        <f t="shared" si="658"/>
        <v>0</v>
      </c>
      <c r="HN61" s="1090">
        <f t="shared" si="659"/>
        <v>0</v>
      </c>
      <c r="HO61" s="1091" t="str">
        <f t="shared" si="660"/>
        <v/>
      </c>
      <c r="HP61" s="1091" t="str">
        <f t="shared" si="661"/>
        <v/>
      </c>
      <c r="HQ61" s="1130">
        <f t="shared" si="662"/>
        <v>0</v>
      </c>
      <c r="HR61" s="1091" t="str">
        <f t="shared" si="135"/>
        <v/>
      </c>
      <c r="HS61" s="1130">
        <f t="shared" si="663"/>
        <v>0</v>
      </c>
      <c r="HT61" s="1091" t="str">
        <f t="shared" si="137"/>
        <v/>
      </c>
      <c r="HU61" s="1088">
        <f t="shared" si="664"/>
        <v>0</v>
      </c>
      <c r="HV61" s="1091" t="str">
        <f t="shared" si="665"/>
        <v/>
      </c>
      <c r="HW61" s="1091">
        <f t="shared" si="666"/>
        <v>0</v>
      </c>
      <c r="HX61" s="1090">
        <f t="shared" si="667"/>
        <v>0</v>
      </c>
      <c r="HY61" s="1091" t="str">
        <f t="shared" si="668"/>
        <v/>
      </c>
      <c r="HZ61" s="1091">
        <f t="shared" si="669"/>
        <v>0</v>
      </c>
      <c r="IA61" s="1090">
        <f t="shared" si="670"/>
        <v>0</v>
      </c>
      <c r="IB61" s="1091" t="str">
        <f t="shared" si="671"/>
        <v/>
      </c>
      <c r="IC61" s="1091" t="str">
        <f t="shared" si="672"/>
        <v/>
      </c>
      <c r="ID61" s="1130">
        <f t="shared" si="673"/>
        <v>0</v>
      </c>
      <c r="IE61" s="1091" t="str">
        <f t="shared" si="145"/>
        <v/>
      </c>
      <c r="IF61" s="1130">
        <f t="shared" si="674"/>
        <v>0</v>
      </c>
      <c r="IG61" s="1091" t="str">
        <f t="shared" si="147"/>
        <v/>
      </c>
      <c r="IH61" s="1088">
        <f t="shared" si="675"/>
        <v>0</v>
      </c>
      <c r="II61" s="1091" t="str">
        <f t="shared" si="676"/>
        <v/>
      </c>
      <c r="IJ61" s="1091">
        <f t="shared" si="677"/>
        <v>0</v>
      </c>
      <c r="IK61" s="1090">
        <f t="shared" si="678"/>
        <v>1494456.48</v>
      </c>
      <c r="IL61" s="1091">
        <f t="shared" si="679"/>
        <v>1</v>
      </c>
      <c r="IM61" s="1091">
        <f t="shared" si="680"/>
        <v>0.03739881104</v>
      </c>
      <c r="IN61" s="1090">
        <f t="shared" si="681"/>
        <v>555572</v>
      </c>
      <c r="IO61" s="1091">
        <f t="shared" si="682"/>
        <v>1</v>
      </c>
      <c r="IP61" s="1091">
        <f t="shared" si="683"/>
        <v>0.4676531987</v>
      </c>
      <c r="IQ61" s="1130">
        <f t="shared" si="684"/>
        <v>555572</v>
      </c>
      <c r="IR61" s="1091" t="str">
        <f t="shared" si="1"/>
        <v/>
      </c>
      <c r="IS61" s="1130">
        <f t="shared" si="685"/>
        <v>-938884.48</v>
      </c>
      <c r="IT61" s="1091">
        <f t="shared" si="2"/>
        <v>-0.6282447783</v>
      </c>
    </row>
    <row r="62" hidden="1" outlineLevel="1">
      <c r="A62" s="1086">
        <f t="shared" si="511"/>
        <v>9</v>
      </c>
      <c r="B62" s="1087" t="s">
        <v>2821</v>
      </c>
      <c r="C62" s="1099" t="s">
        <v>1304</v>
      </c>
      <c r="D62" s="1087" t="str">
        <f>IF(C62&gt;0,VLOOKUP(C62,DM_DUAN ,2,"") ,IF(B62&gt;0,VLOOKUP(B62,DM_CDT,2,""),""))</f>
        <v>KDC Kim Thịnh Phú</v>
      </c>
      <c r="E62" s="1087"/>
      <c r="F62" s="1087"/>
      <c r="G62" s="1086">
        <v>2.0</v>
      </c>
      <c r="H62" s="1088">
        <f t="shared" si="756"/>
        <v>0</v>
      </c>
      <c r="I62" s="1091" t="str">
        <f t="shared" si="512"/>
        <v/>
      </c>
      <c r="J62" s="1091" t="str">
        <f t="shared" si="513"/>
        <v/>
      </c>
      <c r="K62" s="1090">
        <f t="shared" si="757"/>
        <v>0</v>
      </c>
      <c r="L62" s="1091" t="str">
        <f t="shared" si="514"/>
        <v/>
      </c>
      <c r="M62" s="1091">
        <f t="shared" si="515"/>
        <v>0</v>
      </c>
      <c r="N62" s="1090">
        <f t="shared" si="758"/>
        <v>0</v>
      </c>
      <c r="O62" s="1091" t="str">
        <f t="shared" si="516"/>
        <v/>
      </c>
      <c r="P62" s="1091">
        <f t="shared" si="517"/>
        <v>0</v>
      </c>
      <c r="Q62" s="1130">
        <f t="shared" si="518"/>
        <v>0</v>
      </c>
      <c r="R62" s="1091" t="str">
        <f t="shared" si="8"/>
        <v/>
      </c>
      <c r="S62" s="1130">
        <f t="shared" si="519"/>
        <v>0</v>
      </c>
      <c r="T62" s="1091" t="str">
        <f t="shared" si="10"/>
        <v/>
      </c>
      <c r="U62" s="1088">
        <f t="shared" si="759"/>
        <v>0</v>
      </c>
      <c r="V62" s="1091" t="str">
        <f t="shared" si="520"/>
        <v/>
      </c>
      <c r="W62" s="1091" t="str">
        <f t="shared" si="521"/>
        <v/>
      </c>
      <c r="X62" s="1090">
        <f t="shared" si="760"/>
        <v>0</v>
      </c>
      <c r="Y62" s="1091" t="str">
        <f t="shared" si="522"/>
        <v/>
      </c>
      <c r="Z62" s="1091" t="str">
        <f t="shared" si="523"/>
        <v/>
      </c>
      <c r="AA62" s="1090">
        <f t="shared" si="761"/>
        <v>0</v>
      </c>
      <c r="AB62" s="1091" t="str">
        <f t="shared" si="524"/>
        <v/>
      </c>
      <c r="AC62" s="1091">
        <f t="shared" si="525"/>
        <v>0</v>
      </c>
      <c r="AD62" s="1130">
        <f t="shared" si="526"/>
        <v>0</v>
      </c>
      <c r="AE62" s="1091" t="str">
        <f t="shared" si="15"/>
        <v/>
      </c>
      <c r="AF62" s="1130">
        <f t="shared" si="527"/>
        <v>0</v>
      </c>
      <c r="AG62" s="1091" t="str">
        <f t="shared" si="17"/>
        <v/>
      </c>
      <c r="AH62" s="1088">
        <f t="shared" si="762"/>
        <v>0</v>
      </c>
      <c r="AI62" s="1091" t="str">
        <f t="shared" si="528"/>
        <v/>
      </c>
      <c r="AJ62" s="1091" t="str">
        <f t="shared" si="529"/>
        <v/>
      </c>
      <c r="AK62" s="1090">
        <f t="shared" si="763"/>
        <v>0</v>
      </c>
      <c r="AL62" s="1091" t="str">
        <f t="shared" si="530"/>
        <v/>
      </c>
      <c r="AM62" s="1091">
        <f t="shared" si="531"/>
        <v>0</v>
      </c>
      <c r="AN62" s="1090">
        <f t="shared" si="764"/>
        <v>0</v>
      </c>
      <c r="AO62" s="1091" t="str">
        <f t="shared" si="532"/>
        <v/>
      </c>
      <c r="AP62" s="1091">
        <f t="shared" si="533"/>
        <v>0</v>
      </c>
      <c r="AQ62" s="1130">
        <f t="shared" si="534"/>
        <v>0</v>
      </c>
      <c r="AR62" s="1091" t="str">
        <f t="shared" si="22"/>
        <v/>
      </c>
      <c r="AS62" s="1130">
        <f t="shared" si="535"/>
        <v>0</v>
      </c>
      <c r="AT62" s="1091" t="str">
        <f t="shared" si="24"/>
        <v/>
      </c>
      <c r="AU62" s="1088">
        <f t="shared" si="536"/>
        <v>0</v>
      </c>
      <c r="AV62" s="1091" t="str">
        <f t="shared" si="537"/>
        <v/>
      </c>
      <c r="AW62" s="1091" t="str">
        <f t="shared" si="538"/>
        <v/>
      </c>
      <c r="AX62" s="1090">
        <f t="shared" si="539"/>
        <v>0</v>
      </c>
      <c r="AY62" s="1091" t="str">
        <f t="shared" si="540"/>
        <v/>
      </c>
      <c r="AZ62" s="1091">
        <f t="shared" si="541"/>
        <v>0</v>
      </c>
      <c r="BA62" s="1090">
        <f t="shared" si="542"/>
        <v>0</v>
      </c>
      <c r="BB62" s="1091" t="str">
        <f t="shared" si="543"/>
        <v/>
      </c>
      <c r="BC62" s="1091">
        <f t="shared" si="544"/>
        <v>0</v>
      </c>
      <c r="BD62" s="1130">
        <f t="shared" si="545"/>
        <v>0</v>
      </c>
      <c r="BE62" s="1091" t="str">
        <f t="shared" si="32"/>
        <v/>
      </c>
      <c r="BF62" s="1130">
        <f t="shared" si="546"/>
        <v>0</v>
      </c>
      <c r="BG62" s="1091" t="str">
        <f t="shared" si="34"/>
        <v/>
      </c>
      <c r="BH62" s="1088">
        <f t="shared" si="765"/>
        <v>0</v>
      </c>
      <c r="BI62" s="1091" t="str">
        <f t="shared" si="547"/>
        <v/>
      </c>
      <c r="BJ62" s="1091">
        <f t="shared" si="548"/>
        <v>0</v>
      </c>
      <c r="BK62" s="1090">
        <f t="shared" si="766"/>
        <v>0</v>
      </c>
      <c r="BL62" s="1091" t="str">
        <f t="shared" si="549"/>
        <v/>
      </c>
      <c r="BM62" s="1091" t="str">
        <f t="shared" si="550"/>
        <v/>
      </c>
      <c r="BN62" s="1090">
        <f t="shared" si="767"/>
        <v>0</v>
      </c>
      <c r="BO62" s="1091" t="str">
        <f t="shared" si="551"/>
        <v/>
      </c>
      <c r="BP62" s="1091">
        <f t="shared" si="552"/>
        <v>0</v>
      </c>
      <c r="BQ62" s="1130">
        <f t="shared" si="553"/>
        <v>0</v>
      </c>
      <c r="BR62" s="1091" t="str">
        <f t="shared" si="39"/>
        <v/>
      </c>
      <c r="BS62" s="1130">
        <f t="shared" si="554"/>
        <v>0</v>
      </c>
      <c r="BT62" s="1091" t="str">
        <f t="shared" si="41"/>
        <v/>
      </c>
      <c r="BU62" s="1088">
        <f t="shared" si="768"/>
        <v>0</v>
      </c>
      <c r="BV62" s="1091" t="str">
        <f t="shared" si="555"/>
        <v/>
      </c>
      <c r="BW62" s="1091">
        <f t="shared" si="556"/>
        <v>0</v>
      </c>
      <c r="BX62" s="1131">
        <f t="shared" si="769"/>
        <v>0</v>
      </c>
      <c r="BY62" s="1091" t="str">
        <f t="shared" si="557"/>
        <v/>
      </c>
      <c r="BZ62" s="1091">
        <f t="shared" si="558"/>
        <v>0</v>
      </c>
      <c r="CA62" s="1131">
        <f t="shared" si="770"/>
        <v>0</v>
      </c>
      <c r="CB62" s="1091" t="str">
        <f t="shared" si="559"/>
        <v/>
      </c>
      <c r="CC62" s="1091">
        <f t="shared" si="560"/>
        <v>0</v>
      </c>
      <c r="CD62" s="1130">
        <f t="shared" si="561"/>
        <v>0</v>
      </c>
      <c r="CE62" s="1091" t="str">
        <f t="shared" si="46"/>
        <v/>
      </c>
      <c r="CF62" s="1130">
        <f t="shared" si="562"/>
        <v>0</v>
      </c>
      <c r="CG62" s="1091" t="str">
        <f t="shared" si="48"/>
        <v/>
      </c>
      <c r="CH62" s="1088">
        <f t="shared" si="771"/>
        <v>0</v>
      </c>
      <c r="CI62" s="1091" t="str">
        <f t="shared" si="563"/>
        <v/>
      </c>
      <c r="CJ62" s="1091">
        <f t="shared" si="564"/>
        <v>0</v>
      </c>
      <c r="CK62" s="1131">
        <f t="shared" si="772"/>
        <v>0</v>
      </c>
      <c r="CL62" s="1091" t="str">
        <f t="shared" si="565"/>
        <v/>
      </c>
      <c r="CM62" s="1091" t="str">
        <f t="shared" si="566"/>
        <v/>
      </c>
      <c r="CN62" s="1131">
        <f t="shared" si="773"/>
        <v>0</v>
      </c>
      <c r="CO62" s="1091" t="str">
        <f t="shared" si="567"/>
        <v/>
      </c>
      <c r="CP62" s="1091" t="str">
        <f t="shared" si="568"/>
        <v/>
      </c>
      <c r="CQ62" s="1130">
        <f t="shared" si="569"/>
        <v>0</v>
      </c>
      <c r="CR62" s="1091" t="str">
        <f t="shared" si="53"/>
        <v/>
      </c>
      <c r="CS62" s="1130">
        <f t="shared" si="570"/>
        <v>0</v>
      </c>
      <c r="CT62" s="1091" t="str">
        <f t="shared" si="55"/>
        <v/>
      </c>
      <c r="CU62" s="1088">
        <f t="shared" si="571"/>
        <v>0</v>
      </c>
      <c r="CV62" s="1091" t="str">
        <f t="shared" si="572"/>
        <v/>
      </c>
      <c r="CW62" s="1091">
        <f t="shared" si="573"/>
        <v>0</v>
      </c>
      <c r="CX62" s="1131">
        <f t="shared" si="574"/>
        <v>0</v>
      </c>
      <c r="CY62" s="1091" t="str">
        <f t="shared" si="575"/>
        <v/>
      </c>
      <c r="CZ62" s="1091" t="str">
        <f t="shared" si="576"/>
        <v/>
      </c>
      <c r="DA62" s="1131">
        <f t="shared" si="577"/>
        <v>0</v>
      </c>
      <c r="DB62" s="1091" t="str">
        <f t="shared" si="578"/>
        <v/>
      </c>
      <c r="DC62" s="1091" t="str">
        <f t="shared" si="579"/>
        <v/>
      </c>
      <c r="DD62" s="1130">
        <f t="shared" si="580"/>
        <v>0</v>
      </c>
      <c r="DE62" s="1091" t="str">
        <f t="shared" si="63"/>
        <v/>
      </c>
      <c r="DF62" s="1130">
        <f t="shared" si="581"/>
        <v>0</v>
      </c>
      <c r="DG62" s="1091" t="str">
        <f t="shared" si="65"/>
        <v/>
      </c>
      <c r="DH62" s="1088">
        <f t="shared" si="582"/>
        <v>0</v>
      </c>
      <c r="DI62" s="1091" t="str">
        <f t="shared" si="583"/>
        <v/>
      </c>
      <c r="DJ62" s="1091">
        <f t="shared" si="584"/>
        <v>0</v>
      </c>
      <c r="DK62" s="1090">
        <f t="shared" si="585"/>
        <v>0</v>
      </c>
      <c r="DL62" s="1091" t="str">
        <f t="shared" si="586"/>
        <v/>
      </c>
      <c r="DM62" s="1091">
        <f t="shared" si="587"/>
        <v>0</v>
      </c>
      <c r="DN62" s="1090">
        <f t="shared" si="588"/>
        <v>0</v>
      </c>
      <c r="DO62" s="1091" t="str">
        <f t="shared" si="589"/>
        <v/>
      </c>
      <c r="DP62" s="1091">
        <f t="shared" si="590"/>
        <v>0</v>
      </c>
      <c r="DQ62" s="1130">
        <f t="shared" si="591"/>
        <v>0</v>
      </c>
      <c r="DR62" s="1091" t="str">
        <f t="shared" si="73"/>
        <v/>
      </c>
      <c r="DS62" s="1130">
        <f t="shared" si="592"/>
        <v>0</v>
      </c>
      <c r="DT62" s="1091" t="str">
        <f t="shared" si="75"/>
        <v/>
      </c>
      <c r="DU62" s="1088">
        <f t="shared" si="774"/>
        <v>0</v>
      </c>
      <c r="DV62" s="1091" t="str">
        <f t="shared" si="593"/>
        <v/>
      </c>
      <c r="DW62" s="1091">
        <f t="shared" si="594"/>
        <v>0</v>
      </c>
      <c r="DX62" s="1131">
        <f t="shared" si="775"/>
        <v>0</v>
      </c>
      <c r="DY62" s="1091" t="str">
        <f t="shared" si="595"/>
        <v/>
      </c>
      <c r="DZ62" s="1091">
        <f t="shared" si="596"/>
        <v>0</v>
      </c>
      <c r="EA62" s="1131">
        <f t="shared" si="776"/>
        <v>0</v>
      </c>
      <c r="EB62" s="1091" t="str">
        <f t="shared" si="597"/>
        <v/>
      </c>
      <c r="EC62" s="1091" t="str">
        <f t="shared" si="598"/>
        <v/>
      </c>
      <c r="ED62" s="1130">
        <f t="shared" si="599"/>
        <v>0</v>
      </c>
      <c r="EE62" s="1091" t="str">
        <f t="shared" si="80"/>
        <v/>
      </c>
      <c r="EF62" s="1130">
        <f t="shared" si="600"/>
        <v>0</v>
      </c>
      <c r="EG62" s="1091" t="str">
        <f t="shared" si="82"/>
        <v/>
      </c>
      <c r="EH62" s="1088">
        <f t="shared" si="777"/>
        <v>0</v>
      </c>
      <c r="EI62" s="1091" t="str">
        <f t="shared" si="601"/>
        <v/>
      </c>
      <c r="EJ62" s="1091">
        <f t="shared" si="602"/>
        <v>0</v>
      </c>
      <c r="EK62" s="1131">
        <f t="shared" si="778"/>
        <v>0</v>
      </c>
      <c r="EL62" s="1091" t="str">
        <f t="shared" si="603"/>
        <v/>
      </c>
      <c r="EM62" s="1091">
        <f t="shared" si="604"/>
        <v>0</v>
      </c>
      <c r="EN62" s="1131">
        <f t="shared" si="779"/>
        <v>0</v>
      </c>
      <c r="EO62" s="1091" t="str">
        <f t="shared" si="605"/>
        <v/>
      </c>
      <c r="EP62" s="1091" t="str">
        <f t="shared" si="606"/>
        <v/>
      </c>
      <c r="EQ62" s="1130">
        <f t="shared" si="607"/>
        <v>0</v>
      </c>
      <c r="ER62" s="1091" t="str">
        <f t="shared" si="87"/>
        <v/>
      </c>
      <c r="ES62" s="1130">
        <f t="shared" si="608"/>
        <v>0</v>
      </c>
      <c r="ET62" s="1091" t="str">
        <f t="shared" si="89"/>
        <v/>
      </c>
      <c r="EU62" s="1088">
        <f t="shared" si="780"/>
        <v>0</v>
      </c>
      <c r="EV62" s="1091" t="str">
        <f t="shared" si="609"/>
        <v/>
      </c>
      <c r="EW62" s="1091">
        <f t="shared" si="610"/>
        <v>0</v>
      </c>
      <c r="EX62" s="1131">
        <f t="shared" si="781"/>
        <v>0</v>
      </c>
      <c r="EY62" s="1091" t="str">
        <f t="shared" si="611"/>
        <v/>
      </c>
      <c r="EZ62" s="1091">
        <f t="shared" si="612"/>
        <v>0</v>
      </c>
      <c r="FA62" s="1131">
        <f t="shared" si="613"/>
        <v>0</v>
      </c>
      <c r="FB62" s="1091" t="str">
        <f t="shared" si="614"/>
        <v/>
      </c>
      <c r="FC62" s="1091" t="str">
        <f t="shared" si="615"/>
        <v/>
      </c>
      <c r="FD62" s="1130">
        <f t="shared" si="616"/>
        <v>0</v>
      </c>
      <c r="FE62" s="1091" t="str">
        <f t="shared" si="94"/>
        <v/>
      </c>
      <c r="FF62" s="1130">
        <f t="shared" si="617"/>
        <v>0</v>
      </c>
      <c r="FG62" s="1091" t="str">
        <f t="shared" si="96"/>
        <v/>
      </c>
      <c r="FH62" s="1088">
        <f t="shared" si="618"/>
        <v>0</v>
      </c>
      <c r="FI62" s="1091" t="str">
        <f t="shared" si="619"/>
        <v/>
      </c>
      <c r="FJ62" s="1091">
        <f t="shared" si="620"/>
        <v>0</v>
      </c>
      <c r="FK62" s="1090">
        <f t="shared" si="621"/>
        <v>0</v>
      </c>
      <c r="FL62" s="1091" t="str">
        <f t="shared" si="622"/>
        <v/>
      </c>
      <c r="FM62" s="1091">
        <f t="shared" si="623"/>
        <v>0</v>
      </c>
      <c r="FN62" s="1090">
        <f t="shared" si="624"/>
        <v>0</v>
      </c>
      <c r="FO62" s="1091" t="str">
        <f t="shared" si="625"/>
        <v/>
      </c>
      <c r="FP62" s="1091" t="str">
        <f t="shared" si="626"/>
        <v/>
      </c>
      <c r="FQ62" s="1130">
        <f t="shared" si="627"/>
        <v>0</v>
      </c>
      <c r="FR62" s="1091" t="str">
        <f t="shared" si="104"/>
        <v/>
      </c>
      <c r="FS62" s="1130">
        <f t="shared" si="628"/>
        <v>0</v>
      </c>
      <c r="FT62" s="1091" t="str">
        <f t="shared" si="106"/>
        <v/>
      </c>
      <c r="FU62" s="1088">
        <f t="shared" si="782"/>
        <v>0</v>
      </c>
      <c r="FV62" s="1091" t="str">
        <f t="shared" si="629"/>
        <v/>
      </c>
      <c r="FW62" s="1091">
        <f t="shared" si="630"/>
        <v>0</v>
      </c>
      <c r="FX62" s="1131">
        <f t="shared" si="783"/>
        <v>0</v>
      </c>
      <c r="FY62" s="1091" t="str">
        <f t="shared" si="631"/>
        <v/>
      </c>
      <c r="FZ62" s="1091">
        <f t="shared" si="632"/>
        <v>0</v>
      </c>
      <c r="GA62" s="1131">
        <f t="shared" si="784"/>
        <v>0</v>
      </c>
      <c r="GB62" s="1091" t="str">
        <f t="shared" si="633"/>
        <v/>
      </c>
      <c r="GC62" s="1091" t="str">
        <f t="shared" si="634"/>
        <v/>
      </c>
      <c r="GD62" s="1130">
        <f t="shared" si="635"/>
        <v>0</v>
      </c>
      <c r="GE62" s="1091" t="str">
        <f t="shared" si="111"/>
        <v/>
      </c>
      <c r="GF62" s="1130">
        <f t="shared" si="636"/>
        <v>0</v>
      </c>
      <c r="GG62" s="1091" t="str">
        <f t="shared" si="113"/>
        <v/>
      </c>
      <c r="GH62" s="1088">
        <f t="shared" si="785"/>
        <v>0</v>
      </c>
      <c r="GI62" s="1091" t="str">
        <f t="shared" si="637"/>
        <v/>
      </c>
      <c r="GJ62" s="1091">
        <f t="shared" si="638"/>
        <v>0</v>
      </c>
      <c r="GK62" s="1131">
        <f t="shared" si="786"/>
        <v>0</v>
      </c>
      <c r="GL62" s="1091" t="str">
        <f t="shared" si="639"/>
        <v/>
      </c>
      <c r="GM62" s="1091">
        <f t="shared" si="640"/>
        <v>0</v>
      </c>
      <c r="GN62" s="1131">
        <f t="shared" si="787"/>
        <v>0</v>
      </c>
      <c r="GO62" s="1091" t="str">
        <f t="shared" si="641"/>
        <v/>
      </c>
      <c r="GP62" s="1091" t="str">
        <f t="shared" si="642"/>
        <v/>
      </c>
      <c r="GQ62" s="1130">
        <f t="shared" si="643"/>
        <v>0</v>
      </c>
      <c r="GR62" s="1091" t="str">
        <f t="shared" si="118"/>
        <v/>
      </c>
      <c r="GS62" s="1130">
        <f t="shared" si="644"/>
        <v>0</v>
      </c>
      <c r="GT62" s="1091" t="str">
        <f t="shared" si="120"/>
        <v/>
      </c>
      <c r="GU62" s="1088">
        <f t="shared" si="788"/>
        <v>0</v>
      </c>
      <c r="GV62" s="1091" t="str">
        <f t="shared" si="645"/>
        <v/>
      </c>
      <c r="GW62" s="1091">
        <f t="shared" si="646"/>
        <v>0</v>
      </c>
      <c r="GX62" s="1131">
        <f t="shared" si="789"/>
        <v>0</v>
      </c>
      <c r="GY62" s="1091" t="str">
        <f t="shared" si="647"/>
        <v/>
      </c>
      <c r="GZ62" s="1091">
        <f t="shared" si="648"/>
        <v>0</v>
      </c>
      <c r="HA62" s="1131">
        <f t="shared" si="790"/>
        <v>0</v>
      </c>
      <c r="HB62" s="1091" t="str">
        <f t="shared" si="649"/>
        <v/>
      </c>
      <c r="HC62" s="1091" t="str">
        <f t="shared" si="650"/>
        <v/>
      </c>
      <c r="HD62" s="1130">
        <f t="shared" si="651"/>
        <v>0</v>
      </c>
      <c r="HE62" s="1091" t="str">
        <f t="shared" si="125"/>
        <v/>
      </c>
      <c r="HF62" s="1130">
        <f t="shared" si="652"/>
        <v>0</v>
      </c>
      <c r="HG62" s="1091" t="str">
        <f t="shared" si="127"/>
        <v/>
      </c>
      <c r="HH62" s="1088">
        <f t="shared" si="653"/>
        <v>0</v>
      </c>
      <c r="HI62" s="1091" t="str">
        <f t="shared" si="654"/>
        <v/>
      </c>
      <c r="HJ62" s="1091">
        <f t="shared" si="655"/>
        <v>0</v>
      </c>
      <c r="HK62" s="1090">
        <f t="shared" si="656"/>
        <v>0</v>
      </c>
      <c r="HL62" s="1091" t="str">
        <f t="shared" si="657"/>
        <v/>
      </c>
      <c r="HM62" s="1091">
        <f t="shared" si="658"/>
        <v>0</v>
      </c>
      <c r="HN62" s="1090">
        <f t="shared" si="659"/>
        <v>0</v>
      </c>
      <c r="HO62" s="1091" t="str">
        <f t="shared" si="660"/>
        <v/>
      </c>
      <c r="HP62" s="1091" t="str">
        <f t="shared" si="661"/>
        <v/>
      </c>
      <c r="HQ62" s="1130">
        <f t="shared" si="662"/>
        <v>0</v>
      </c>
      <c r="HR62" s="1091" t="str">
        <f t="shared" si="135"/>
        <v/>
      </c>
      <c r="HS62" s="1130">
        <f t="shared" si="663"/>
        <v>0</v>
      </c>
      <c r="HT62" s="1091" t="str">
        <f t="shared" si="137"/>
        <v/>
      </c>
      <c r="HU62" s="1088">
        <f t="shared" si="664"/>
        <v>0</v>
      </c>
      <c r="HV62" s="1091" t="str">
        <f t="shared" si="665"/>
        <v/>
      </c>
      <c r="HW62" s="1091">
        <f t="shared" si="666"/>
        <v>0</v>
      </c>
      <c r="HX62" s="1090">
        <f t="shared" si="667"/>
        <v>0</v>
      </c>
      <c r="HY62" s="1091" t="str">
        <f t="shared" si="668"/>
        <v/>
      </c>
      <c r="HZ62" s="1091">
        <f t="shared" si="669"/>
        <v>0</v>
      </c>
      <c r="IA62" s="1090">
        <f t="shared" si="670"/>
        <v>0</v>
      </c>
      <c r="IB62" s="1091" t="str">
        <f t="shared" si="671"/>
        <v/>
      </c>
      <c r="IC62" s="1091" t="str">
        <f t="shared" si="672"/>
        <v/>
      </c>
      <c r="ID62" s="1130">
        <f t="shared" si="673"/>
        <v>0</v>
      </c>
      <c r="IE62" s="1091" t="str">
        <f t="shared" si="145"/>
        <v/>
      </c>
      <c r="IF62" s="1130">
        <f t="shared" si="674"/>
        <v>0</v>
      </c>
      <c r="IG62" s="1091" t="str">
        <f t="shared" si="147"/>
        <v/>
      </c>
      <c r="IH62" s="1088">
        <f t="shared" si="675"/>
        <v>0</v>
      </c>
      <c r="II62" s="1091" t="str">
        <f t="shared" si="676"/>
        <v/>
      </c>
      <c r="IJ62" s="1091">
        <f t="shared" si="677"/>
        <v>0</v>
      </c>
      <c r="IK62" s="1090">
        <f t="shared" si="678"/>
        <v>0</v>
      </c>
      <c r="IL62" s="1091" t="str">
        <f t="shared" si="679"/>
        <v/>
      </c>
      <c r="IM62" s="1091">
        <f t="shared" si="680"/>
        <v>0</v>
      </c>
      <c r="IN62" s="1090">
        <f t="shared" si="681"/>
        <v>0</v>
      </c>
      <c r="IO62" s="1091" t="str">
        <f t="shared" si="682"/>
        <v/>
      </c>
      <c r="IP62" s="1091">
        <f t="shared" si="683"/>
        <v>0</v>
      </c>
      <c r="IQ62" s="1130">
        <f t="shared" si="684"/>
        <v>0</v>
      </c>
      <c r="IR62" s="1091" t="str">
        <f t="shared" si="1"/>
        <v/>
      </c>
      <c r="IS62" s="1130">
        <f t="shared" si="685"/>
        <v>0</v>
      </c>
      <c r="IT62" s="1091" t="str">
        <f t="shared" si="2"/>
        <v/>
      </c>
    </row>
    <row r="63" hidden="1" outlineLevel="1">
      <c r="A63" s="1086" t="str">
        <f t="shared" si="511"/>
        <v/>
      </c>
      <c r="B63" s="1087"/>
      <c r="C63" s="656"/>
      <c r="D63" s="1087" t="str">
        <f>IF(C63="","",VLOOKUP(C63,DM_DUAN,2,0))</f>
        <v/>
      </c>
      <c r="E63" s="1087"/>
      <c r="F63" s="1087"/>
      <c r="G63" s="1086">
        <v>2.0</v>
      </c>
      <c r="H63" s="1088">
        <f t="shared" si="756"/>
        <v>0</v>
      </c>
      <c r="I63" s="1091" t="str">
        <f t="shared" si="512"/>
        <v/>
      </c>
      <c r="J63" s="1091" t="str">
        <f t="shared" si="513"/>
        <v/>
      </c>
      <c r="K63" s="1090">
        <f t="shared" si="757"/>
        <v>0</v>
      </c>
      <c r="L63" s="1091" t="str">
        <f t="shared" si="514"/>
        <v/>
      </c>
      <c r="M63" s="1091">
        <f t="shared" si="515"/>
        <v>0</v>
      </c>
      <c r="N63" s="1090">
        <f t="shared" si="758"/>
        <v>0</v>
      </c>
      <c r="O63" s="1091" t="str">
        <f t="shared" si="516"/>
        <v/>
      </c>
      <c r="P63" s="1091">
        <f t="shared" si="517"/>
        <v>0</v>
      </c>
      <c r="Q63" s="1130">
        <f t="shared" si="518"/>
        <v>0</v>
      </c>
      <c r="R63" s="1091" t="str">
        <f t="shared" si="8"/>
        <v/>
      </c>
      <c r="S63" s="1130">
        <f t="shared" si="519"/>
        <v>0</v>
      </c>
      <c r="T63" s="1091" t="str">
        <f t="shared" si="10"/>
        <v/>
      </c>
      <c r="U63" s="1088">
        <f t="shared" si="759"/>
        <v>0</v>
      </c>
      <c r="V63" s="1091" t="str">
        <f t="shared" si="520"/>
        <v/>
      </c>
      <c r="W63" s="1091" t="str">
        <f t="shared" si="521"/>
        <v/>
      </c>
      <c r="X63" s="1090">
        <f t="shared" si="760"/>
        <v>0</v>
      </c>
      <c r="Y63" s="1091" t="str">
        <f t="shared" si="522"/>
        <v/>
      </c>
      <c r="Z63" s="1091" t="str">
        <f t="shared" si="523"/>
        <v/>
      </c>
      <c r="AA63" s="1090">
        <f t="shared" si="761"/>
        <v>0</v>
      </c>
      <c r="AB63" s="1091" t="str">
        <f t="shared" si="524"/>
        <v/>
      </c>
      <c r="AC63" s="1091">
        <f t="shared" si="525"/>
        <v>0</v>
      </c>
      <c r="AD63" s="1130">
        <f t="shared" si="526"/>
        <v>0</v>
      </c>
      <c r="AE63" s="1091" t="str">
        <f t="shared" si="15"/>
        <v/>
      </c>
      <c r="AF63" s="1130">
        <f t="shared" si="527"/>
        <v>0</v>
      </c>
      <c r="AG63" s="1091" t="str">
        <f t="shared" si="17"/>
        <v/>
      </c>
      <c r="AH63" s="1088">
        <f t="shared" si="762"/>
        <v>0</v>
      </c>
      <c r="AI63" s="1091" t="str">
        <f t="shared" si="528"/>
        <v/>
      </c>
      <c r="AJ63" s="1091" t="str">
        <f t="shared" si="529"/>
        <v/>
      </c>
      <c r="AK63" s="1090">
        <f t="shared" si="763"/>
        <v>0</v>
      </c>
      <c r="AL63" s="1091" t="str">
        <f t="shared" si="530"/>
        <v/>
      </c>
      <c r="AM63" s="1091">
        <f t="shared" si="531"/>
        <v>0</v>
      </c>
      <c r="AN63" s="1090">
        <f t="shared" si="764"/>
        <v>0</v>
      </c>
      <c r="AO63" s="1091" t="str">
        <f t="shared" si="532"/>
        <v/>
      </c>
      <c r="AP63" s="1091">
        <f t="shared" si="533"/>
        <v>0</v>
      </c>
      <c r="AQ63" s="1130">
        <f t="shared" si="534"/>
        <v>0</v>
      </c>
      <c r="AR63" s="1091" t="str">
        <f t="shared" si="22"/>
        <v/>
      </c>
      <c r="AS63" s="1130">
        <f t="shared" si="535"/>
        <v>0</v>
      </c>
      <c r="AT63" s="1091" t="str">
        <f t="shared" si="24"/>
        <v/>
      </c>
      <c r="AU63" s="1088">
        <f t="shared" si="536"/>
        <v>0</v>
      </c>
      <c r="AV63" s="1091" t="str">
        <f t="shared" si="537"/>
        <v/>
      </c>
      <c r="AW63" s="1091" t="str">
        <f t="shared" si="538"/>
        <v/>
      </c>
      <c r="AX63" s="1090">
        <f t="shared" si="539"/>
        <v>0</v>
      </c>
      <c r="AY63" s="1091" t="str">
        <f t="shared" si="540"/>
        <v/>
      </c>
      <c r="AZ63" s="1091">
        <f t="shared" si="541"/>
        <v>0</v>
      </c>
      <c r="BA63" s="1090">
        <f t="shared" si="542"/>
        <v>0</v>
      </c>
      <c r="BB63" s="1091" t="str">
        <f t="shared" si="543"/>
        <v/>
      </c>
      <c r="BC63" s="1091">
        <f t="shared" si="544"/>
        <v>0</v>
      </c>
      <c r="BD63" s="1130">
        <f t="shared" si="545"/>
        <v>0</v>
      </c>
      <c r="BE63" s="1091" t="str">
        <f t="shared" si="32"/>
        <v/>
      </c>
      <c r="BF63" s="1130">
        <f t="shared" si="546"/>
        <v>0</v>
      </c>
      <c r="BG63" s="1091" t="str">
        <f t="shared" si="34"/>
        <v/>
      </c>
      <c r="BH63" s="1088">
        <f t="shared" si="765"/>
        <v>0</v>
      </c>
      <c r="BI63" s="1091" t="str">
        <f t="shared" si="547"/>
        <v/>
      </c>
      <c r="BJ63" s="1091">
        <f t="shared" si="548"/>
        <v>0</v>
      </c>
      <c r="BK63" s="1090">
        <f t="shared" si="766"/>
        <v>0</v>
      </c>
      <c r="BL63" s="1091" t="str">
        <f t="shared" si="549"/>
        <v/>
      </c>
      <c r="BM63" s="1091" t="str">
        <f t="shared" si="550"/>
        <v/>
      </c>
      <c r="BN63" s="1090">
        <f t="shared" si="767"/>
        <v>0</v>
      </c>
      <c r="BO63" s="1091" t="str">
        <f t="shared" si="551"/>
        <v/>
      </c>
      <c r="BP63" s="1091">
        <f t="shared" si="552"/>
        <v>0</v>
      </c>
      <c r="BQ63" s="1130">
        <f t="shared" si="553"/>
        <v>0</v>
      </c>
      <c r="BR63" s="1091" t="str">
        <f t="shared" si="39"/>
        <v/>
      </c>
      <c r="BS63" s="1130">
        <f t="shared" si="554"/>
        <v>0</v>
      </c>
      <c r="BT63" s="1091" t="str">
        <f t="shared" si="41"/>
        <v/>
      </c>
      <c r="BU63" s="1088">
        <f t="shared" si="768"/>
        <v>0</v>
      </c>
      <c r="BV63" s="1091" t="str">
        <f t="shared" si="555"/>
        <v/>
      </c>
      <c r="BW63" s="1091">
        <f t="shared" si="556"/>
        <v>0</v>
      </c>
      <c r="BX63" s="1131">
        <f t="shared" si="769"/>
        <v>0</v>
      </c>
      <c r="BY63" s="1091" t="str">
        <f t="shared" si="557"/>
        <v/>
      </c>
      <c r="BZ63" s="1091">
        <f t="shared" si="558"/>
        <v>0</v>
      </c>
      <c r="CA63" s="1131">
        <f t="shared" si="770"/>
        <v>0</v>
      </c>
      <c r="CB63" s="1091" t="str">
        <f t="shared" si="559"/>
        <v/>
      </c>
      <c r="CC63" s="1091">
        <f t="shared" si="560"/>
        <v>0</v>
      </c>
      <c r="CD63" s="1130">
        <f t="shared" si="561"/>
        <v>0</v>
      </c>
      <c r="CE63" s="1091" t="str">
        <f t="shared" si="46"/>
        <v/>
      </c>
      <c r="CF63" s="1130">
        <f t="shared" si="562"/>
        <v>0</v>
      </c>
      <c r="CG63" s="1091" t="str">
        <f t="shared" si="48"/>
        <v/>
      </c>
      <c r="CH63" s="1088">
        <f t="shared" si="771"/>
        <v>0</v>
      </c>
      <c r="CI63" s="1091" t="str">
        <f t="shared" si="563"/>
        <v/>
      </c>
      <c r="CJ63" s="1091">
        <f t="shared" si="564"/>
        <v>0</v>
      </c>
      <c r="CK63" s="1131">
        <f t="shared" si="772"/>
        <v>0</v>
      </c>
      <c r="CL63" s="1091" t="str">
        <f t="shared" si="565"/>
        <v/>
      </c>
      <c r="CM63" s="1091" t="str">
        <f t="shared" si="566"/>
        <v/>
      </c>
      <c r="CN63" s="1131">
        <f t="shared" si="773"/>
        <v>0</v>
      </c>
      <c r="CO63" s="1091" t="str">
        <f t="shared" si="567"/>
        <v/>
      </c>
      <c r="CP63" s="1091" t="str">
        <f t="shared" si="568"/>
        <v/>
      </c>
      <c r="CQ63" s="1130">
        <f t="shared" si="569"/>
        <v>0</v>
      </c>
      <c r="CR63" s="1091" t="str">
        <f t="shared" si="53"/>
        <v/>
      </c>
      <c r="CS63" s="1130">
        <f t="shared" si="570"/>
        <v>0</v>
      </c>
      <c r="CT63" s="1091" t="str">
        <f t="shared" si="55"/>
        <v/>
      </c>
      <c r="CU63" s="1088">
        <f t="shared" si="571"/>
        <v>0</v>
      </c>
      <c r="CV63" s="1091" t="str">
        <f t="shared" si="572"/>
        <v/>
      </c>
      <c r="CW63" s="1091">
        <f t="shared" si="573"/>
        <v>0</v>
      </c>
      <c r="CX63" s="1131">
        <f t="shared" si="574"/>
        <v>0</v>
      </c>
      <c r="CY63" s="1091" t="str">
        <f t="shared" si="575"/>
        <v/>
      </c>
      <c r="CZ63" s="1091" t="str">
        <f t="shared" si="576"/>
        <v/>
      </c>
      <c r="DA63" s="1131">
        <f t="shared" si="577"/>
        <v>0</v>
      </c>
      <c r="DB63" s="1091" t="str">
        <f t="shared" si="578"/>
        <v/>
      </c>
      <c r="DC63" s="1091" t="str">
        <f t="shared" si="579"/>
        <v/>
      </c>
      <c r="DD63" s="1130">
        <f t="shared" si="580"/>
        <v>0</v>
      </c>
      <c r="DE63" s="1091" t="str">
        <f t="shared" si="63"/>
        <v/>
      </c>
      <c r="DF63" s="1130">
        <f t="shared" si="581"/>
        <v>0</v>
      </c>
      <c r="DG63" s="1091" t="str">
        <f t="shared" si="65"/>
        <v/>
      </c>
      <c r="DH63" s="1088">
        <f t="shared" si="582"/>
        <v>0</v>
      </c>
      <c r="DI63" s="1091" t="str">
        <f t="shared" si="583"/>
        <v/>
      </c>
      <c r="DJ63" s="1091">
        <f t="shared" si="584"/>
        <v>0</v>
      </c>
      <c r="DK63" s="1090">
        <f t="shared" si="585"/>
        <v>0</v>
      </c>
      <c r="DL63" s="1091" t="str">
        <f t="shared" si="586"/>
        <v/>
      </c>
      <c r="DM63" s="1091">
        <f t="shared" si="587"/>
        <v>0</v>
      </c>
      <c r="DN63" s="1090">
        <f t="shared" si="588"/>
        <v>0</v>
      </c>
      <c r="DO63" s="1091" t="str">
        <f t="shared" si="589"/>
        <v/>
      </c>
      <c r="DP63" s="1091">
        <f t="shared" si="590"/>
        <v>0</v>
      </c>
      <c r="DQ63" s="1130">
        <f t="shared" si="591"/>
        <v>0</v>
      </c>
      <c r="DR63" s="1091" t="str">
        <f t="shared" si="73"/>
        <v/>
      </c>
      <c r="DS63" s="1130">
        <f t="shared" si="592"/>
        <v>0</v>
      </c>
      <c r="DT63" s="1091" t="str">
        <f t="shared" si="75"/>
        <v/>
      </c>
      <c r="DU63" s="1088">
        <f t="shared" si="774"/>
        <v>0</v>
      </c>
      <c r="DV63" s="1091" t="str">
        <f t="shared" si="593"/>
        <v/>
      </c>
      <c r="DW63" s="1091">
        <f t="shared" si="594"/>
        <v>0</v>
      </c>
      <c r="DX63" s="1131">
        <f t="shared" si="775"/>
        <v>0</v>
      </c>
      <c r="DY63" s="1091" t="str">
        <f t="shared" si="595"/>
        <v/>
      </c>
      <c r="DZ63" s="1091">
        <f t="shared" si="596"/>
        <v>0</v>
      </c>
      <c r="EA63" s="1131">
        <f t="shared" si="776"/>
        <v>0</v>
      </c>
      <c r="EB63" s="1091" t="str">
        <f t="shared" si="597"/>
        <v/>
      </c>
      <c r="EC63" s="1091" t="str">
        <f t="shared" si="598"/>
        <v/>
      </c>
      <c r="ED63" s="1130">
        <f t="shared" si="599"/>
        <v>0</v>
      </c>
      <c r="EE63" s="1091" t="str">
        <f t="shared" si="80"/>
        <v/>
      </c>
      <c r="EF63" s="1130">
        <f t="shared" si="600"/>
        <v>0</v>
      </c>
      <c r="EG63" s="1091" t="str">
        <f t="shared" si="82"/>
        <v/>
      </c>
      <c r="EH63" s="1088">
        <f t="shared" si="777"/>
        <v>0</v>
      </c>
      <c r="EI63" s="1091" t="str">
        <f t="shared" si="601"/>
        <v/>
      </c>
      <c r="EJ63" s="1091">
        <f t="shared" si="602"/>
        <v>0</v>
      </c>
      <c r="EK63" s="1131">
        <f t="shared" si="778"/>
        <v>0</v>
      </c>
      <c r="EL63" s="1091" t="str">
        <f t="shared" si="603"/>
        <v/>
      </c>
      <c r="EM63" s="1091">
        <f t="shared" si="604"/>
        <v>0</v>
      </c>
      <c r="EN63" s="1131">
        <f t="shared" si="779"/>
        <v>0</v>
      </c>
      <c r="EO63" s="1091" t="str">
        <f t="shared" si="605"/>
        <v/>
      </c>
      <c r="EP63" s="1091" t="str">
        <f t="shared" si="606"/>
        <v/>
      </c>
      <c r="EQ63" s="1130">
        <f t="shared" si="607"/>
        <v>0</v>
      </c>
      <c r="ER63" s="1091" t="str">
        <f t="shared" si="87"/>
        <v/>
      </c>
      <c r="ES63" s="1130">
        <f t="shared" si="608"/>
        <v>0</v>
      </c>
      <c r="ET63" s="1091" t="str">
        <f t="shared" si="89"/>
        <v/>
      </c>
      <c r="EU63" s="1088">
        <f t="shared" si="780"/>
        <v>0</v>
      </c>
      <c r="EV63" s="1091" t="str">
        <f t="shared" si="609"/>
        <v/>
      </c>
      <c r="EW63" s="1091">
        <f t="shared" si="610"/>
        <v>0</v>
      </c>
      <c r="EX63" s="1131">
        <f t="shared" si="781"/>
        <v>0</v>
      </c>
      <c r="EY63" s="1091" t="str">
        <f t="shared" si="611"/>
        <v/>
      </c>
      <c r="EZ63" s="1091">
        <f t="shared" si="612"/>
        <v>0</v>
      </c>
      <c r="FA63" s="1131">
        <f t="shared" si="613"/>
        <v>0</v>
      </c>
      <c r="FB63" s="1091" t="str">
        <f t="shared" si="614"/>
        <v/>
      </c>
      <c r="FC63" s="1091" t="str">
        <f t="shared" si="615"/>
        <v/>
      </c>
      <c r="FD63" s="1130">
        <f t="shared" si="616"/>
        <v>0</v>
      </c>
      <c r="FE63" s="1091" t="str">
        <f t="shared" si="94"/>
        <v/>
      </c>
      <c r="FF63" s="1130">
        <f t="shared" si="617"/>
        <v>0</v>
      </c>
      <c r="FG63" s="1091" t="str">
        <f t="shared" si="96"/>
        <v/>
      </c>
      <c r="FH63" s="1088">
        <f t="shared" si="618"/>
        <v>0</v>
      </c>
      <c r="FI63" s="1091" t="str">
        <f t="shared" si="619"/>
        <v/>
      </c>
      <c r="FJ63" s="1091">
        <f t="shared" si="620"/>
        <v>0</v>
      </c>
      <c r="FK63" s="1090">
        <f t="shared" si="621"/>
        <v>0</v>
      </c>
      <c r="FL63" s="1091" t="str">
        <f t="shared" si="622"/>
        <v/>
      </c>
      <c r="FM63" s="1091">
        <f t="shared" si="623"/>
        <v>0</v>
      </c>
      <c r="FN63" s="1090">
        <f t="shared" si="624"/>
        <v>0</v>
      </c>
      <c r="FO63" s="1091" t="str">
        <f t="shared" si="625"/>
        <v/>
      </c>
      <c r="FP63" s="1091" t="str">
        <f t="shared" si="626"/>
        <v/>
      </c>
      <c r="FQ63" s="1130">
        <f t="shared" si="627"/>
        <v>0</v>
      </c>
      <c r="FR63" s="1091" t="str">
        <f t="shared" si="104"/>
        <v/>
      </c>
      <c r="FS63" s="1130">
        <f t="shared" si="628"/>
        <v>0</v>
      </c>
      <c r="FT63" s="1091" t="str">
        <f t="shared" si="106"/>
        <v/>
      </c>
      <c r="FU63" s="1088">
        <f t="shared" si="782"/>
        <v>0</v>
      </c>
      <c r="FV63" s="1091" t="str">
        <f t="shared" si="629"/>
        <v/>
      </c>
      <c r="FW63" s="1091">
        <f t="shared" si="630"/>
        <v>0</v>
      </c>
      <c r="FX63" s="1131">
        <f t="shared" si="783"/>
        <v>0</v>
      </c>
      <c r="FY63" s="1091" t="str">
        <f t="shared" si="631"/>
        <v/>
      </c>
      <c r="FZ63" s="1091">
        <f t="shared" si="632"/>
        <v>0</v>
      </c>
      <c r="GA63" s="1131">
        <f t="shared" si="784"/>
        <v>0</v>
      </c>
      <c r="GB63" s="1091" t="str">
        <f t="shared" si="633"/>
        <v/>
      </c>
      <c r="GC63" s="1091" t="str">
        <f t="shared" si="634"/>
        <v/>
      </c>
      <c r="GD63" s="1130">
        <f t="shared" si="635"/>
        <v>0</v>
      </c>
      <c r="GE63" s="1091" t="str">
        <f t="shared" si="111"/>
        <v/>
      </c>
      <c r="GF63" s="1130">
        <f t="shared" si="636"/>
        <v>0</v>
      </c>
      <c r="GG63" s="1091" t="str">
        <f t="shared" si="113"/>
        <v/>
      </c>
      <c r="GH63" s="1088">
        <f t="shared" si="785"/>
        <v>0</v>
      </c>
      <c r="GI63" s="1091" t="str">
        <f t="shared" si="637"/>
        <v/>
      </c>
      <c r="GJ63" s="1091">
        <f t="shared" si="638"/>
        <v>0</v>
      </c>
      <c r="GK63" s="1131">
        <f t="shared" si="786"/>
        <v>0</v>
      </c>
      <c r="GL63" s="1091" t="str">
        <f t="shared" si="639"/>
        <v/>
      </c>
      <c r="GM63" s="1091">
        <f t="shared" si="640"/>
        <v>0</v>
      </c>
      <c r="GN63" s="1131">
        <f t="shared" si="787"/>
        <v>0</v>
      </c>
      <c r="GO63" s="1091" t="str">
        <f t="shared" si="641"/>
        <v/>
      </c>
      <c r="GP63" s="1091" t="str">
        <f t="shared" si="642"/>
        <v/>
      </c>
      <c r="GQ63" s="1130">
        <f t="shared" si="643"/>
        <v>0</v>
      </c>
      <c r="GR63" s="1091" t="str">
        <f t="shared" si="118"/>
        <v/>
      </c>
      <c r="GS63" s="1130">
        <f t="shared" si="644"/>
        <v>0</v>
      </c>
      <c r="GT63" s="1091" t="str">
        <f t="shared" si="120"/>
        <v/>
      </c>
      <c r="GU63" s="1088">
        <f t="shared" si="788"/>
        <v>0</v>
      </c>
      <c r="GV63" s="1091" t="str">
        <f t="shared" si="645"/>
        <v/>
      </c>
      <c r="GW63" s="1091">
        <f t="shared" si="646"/>
        <v>0</v>
      </c>
      <c r="GX63" s="1131">
        <f t="shared" si="789"/>
        <v>0</v>
      </c>
      <c r="GY63" s="1091" t="str">
        <f t="shared" si="647"/>
        <v/>
      </c>
      <c r="GZ63" s="1091">
        <f t="shared" si="648"/>
        <v>0</v>
      </c>
      <c r="HA63" s="1131">
        <f t="shared" si="790"/>
        <v>0</v>
      </c>
      <c r="HB63" s="1091" t="str">
        <f t="shared" si="649"/>
        <v/>
      </c>
      <c r="HC63" s="1091" t="str">
        <f t="shared" si="650"/>
        <v/>
      </c>
      <c r="HD63" s="1130">
        <f t="shared" si="651"/>
        <v>0</v>
      </c>
      <c r="HE63" s="1091" t="str">
        <f t="shared" si="125"/>
        <v/>
      </c>
      <c r="HF63" s="1130">
        <f t="shared" si="652"/>
        <v>0</v>
      </c>
      <c r="HG63" s="1091" t="str">
        <f t="shared" si="127"/>
        <v/>
      </c>
      <c r="HH63" s="1088">
        <f t="shared" si="653"/>
        <v>0</v>
      </c>
      <c r="HI63" s="1091" t="str">
        <f t="shared" si="654"/>
        <v/>
      </c>
      <c r="HJ63" s="1091">
        <f t="shared" si="655"/>
        <v>0</v>
      </c>
      <c r="HK63" s="1090">
        <f t="shared" si="656"/>
        <v>0</v>
      </c>
      <c r="HL63" s="1091" t="str">
        <f t="shared" si="657"/>
        <v/>
      </c>
      <c r="HM63" s="1091">
        <f t="shared" si="658"/>
        <v>0</v>
      </c>
      <c r="HN63" s="1090">
        <f t="shared" si="659"/>
        <v>0</v>
      </c>
      <c r="HO63" s="1091" t="str">
        <f t="shared" si="660"/>
        <v/>
      </c>
      <c r="HP63" s="1091" t="str">
        <f t="shared" si="661"/>
        <v/>
      </c>
      <c r="HQ63" s="1130">
        <f t="shared" si="662"/>
        <v>0</v>
      </c>
      <c r="HR63" s="1091" t="str">
        <f t="shared" si="135"/>
        <v/>
      </c>
      <c r="HS63" s="1130">
        <f t="shared" si="663"/>
        <v>0</v>
      </c>
      <c r="HT63" s="1091" t="str">
        <f t="shared" si="137"/>
        <v/>
      </c>
      <c r="HU63" s="1088">
        <f t="shared" si="664"/>
        <v>0</v>
      </c>
      <c r="HV63" s="1091" t="str">
        <f t="shared" si="665"/>
        <v/>
      </c>
      <c r="HW63" s="1091">
        <f t="shared" si="666"/>
        <v>0</v>
      </c>
      <c r="HX63" s="1090">
        <f t="shared" si="667"/>
        <v>0</v>
      </c>
      <c r="HY63" s="1091" t="str">
        <f t="shared" si="668"/>
        <v/>
      </c>
      <c r="HZ63" s="1091">
        <f t="shared" si="669"/>
        <v>0</v>
      </c>
      <c r="IA63" s="1090">
        <f t="shared" si="670"/>
        <v>0</v>
      </c>
      <c r="IB63" s="1091" t="str">
        <f t="shared" si="671"/>
        <v/>
      </c>
      <c r="IC63" s="1091" t="str">
        <f t="shared" si="672"/>
        <v/>
      </c>
      <c r="ID63" s="1130">
        <f t="shared" si="673"/>
        <v>0</v>
      </c>
      <c r="IE63" s="1091" t="str">
        <f t="shared" si="145"/>
        <v/>
      </c>
      <c r="IF63" s="1130">
        <f t="shared" si="674"/>
        <v>0</v>
      </c>
      <c r="IG63" s="1091" t="str">
        <f t="shared" si="147"/>
        <v/>
      </c>
      <c r="IH63" s="1088">
        <f t="shared" si="675"/>
        <v>0</v>
      </c>
      <c r="II63" s="1091" t="str">
        <f t="shared" si="676"/>
        <v/>
      </c>
      <c r="IJ63" s="1091">
        <f t="shared" si="677"/>
        <v>0</v>
      </c>
      <c r="IK63" s="1090">
        <f t="shared" si="678"/>
        <v>0</v>
      </c>
      <c r="IL63" s="1091" t="str">
        <f t="shared" si="679"/>
        <v/>
      </c>
      <c r="IM63" s="1091">
        <f t="shared" si="680"/>
        <v>0</v>
      </c>
      <c r="IN63" s="1090">
        <f t="shared" si="681"/>
        <v>0</v>
      </c>
      <c r="IO63" s="1091" t="str">
        <f t="shared" si="682"/>
        <v/>
      </c>
      <c r="IP63" s="1091">
        <f t="shared" si="683"/>
        <v>0</v>
      </c>
      <c r="IQ63" s="1130">
        <f t="shared" si="684"/>
        <v>0</v>
      </c>
      <c r="IR63" s="1091" t="str">
        <f t="shared" si="1"/>
        <v/>
      </c>
      <c r="IS63" s="1130">
        <f t="shared" si="685"/>
        <v>0</v>
      </c>
      <c r="IT63" s="1091" t="str">
        <f t="shared" si="2"/>
        <v/>
      </c>
    </row>
    <row r="64">
      <c r="A64" s="1134" t="s">
        <v>2825</v>
      </c>
      <c r="B64" s="1135"/>
      <c r="C64" s="1135"/>
      <c r="D64" s="1135"/>
      <c r="E64" s="1135" t="s">
        <v>2076</v>
      </c>
      <c r="F64" s="1135"/>
      <c r="G64" s="1136">
        <v>1.0</v>
      </c>
      <c r="H64" s="1137">
        <f>SUMIFS(BP_SOTIEN,BP_THANG,H$2,BP_KM,$E64)/1000</f>
        <v>0</v>
      </c>
      <c r="I64" s="1138" t="str">
        <f t="shared" ref="I64:I121" si="791">IFERROR(H64/H$19,"")</f>
        <v/>
      </c>
      <c r="J64" s="3"/>
      <c r="K64" s="1139">
        <f>IF(NOW()&gt;=DATE(YEAR(H$2),MONTH(H$2)+1,DAY(H$2)),SUMIFS(TF_SOTIEN,TF_THANG,H$2,TF_KM,$E64)/1000, N64)</f>
        <v>0</v>
      </c>
      <c r="L64" s="1138">
        <f t="shared" ref="L64:L121" si="792">IFERROR(K64/K$19,"")</f>
        <v>0</v>
      </c>
      <c r="M64" s="3"/>
      <c r="N64" s="1139">
        <f>IF(NOW()&gt;=DATE(YEAR(H$2),MONTH(H$2)+1,DAY(H$2)),SUMIFS(AC_SOTIEN,AC_THANG,H$2,AC_KM,$E64),SUMIFS(TF_SOTIEN,TF_THANG,H$2,TF_KM,$E64))/ 1000</f>
        <v>0</v>
      </c>
      <c r="O64" s="1138">
        <f t="shared" ref="O64:O121" si="793">IFERROR(N64/N$19,"")</f>
        <v>0</v>
      </c>
      <c r="P64" s="3"/>
      <c r="Q64" s="1139">
        <f t="shared" si="518"/>
        <v>0</v>
      </c>
      <c r="R64" s="1140" t="str">
        <f t="shared" si="8"/>
        <v/>
      </c>
      <c r="S64" s="1139">
        <f t="shared" si="519"/>
        <v>0</v>
      </c>
      <c r="T64" s="1140" t="str">
        <f t="shared" si="10"/>
        <v/>
      </c>
      <c r="U64" s="1137">
        <f>SUMIFS(BP_SOTIEN,BP_THANG,U$2,BP_KM,$E64)/1000</f>
        <v>0</v>
      </c>
      <c r="V64" s="1138" t="str">
        <f t="shared" ref="V64:V121" si="794">IFERROR(U64/U$19,"")</f>
        <v/>
      </c>
      <c r="W64" s="3"/>
      <c r="X64" s="1139">
        <f>IF(NOW()&gt;=DATE(YEAR(U$2),MONTH(U$2)+1,DAY(U$2)),SUMIFS(TF_SOTIEN,TF_THANG,U$2,TF_KM,$E64)/1000, AA64)</f>
        <v>0</v>
      </c>
      <c r="Y64" s="1138" t="str">
        <f t="shared" ref="Y64:Y121" si="795">IFERROR(X64/X$19,"")</f>
        <v/>
      </c>
      <c r="Z64" s="3"/>
      <c r="AA64" s="1139">
        <f>IF(NOW()&gt;=DATE(YEAR(U$2),MONTH(U$2)+1,DAY(U$2)),SUMIFS(AC_SOTIEN,AC_THANG,U$2,AC_KM,$E64),SUMIFS(TF_SOTIEN,TF_THANG,U$2,TF_KM,$E64))/ 1000</f>
        <v>0</v>
      </c>
      <c r="AB64" s="1138">
        <f t="shared" ref="AB64:AB121" si="796">IFERROR(AA64/AA$19,"")</f>
        <v>0</v>
      </c>
      <c r="AC64" s="3"/>
      <c r="AD64" s="1139">
        <f t="shared" si="526"/>
        <v>0</v>
      </c>
      <c r="AE64" s="1140" t="str">
        <f t="shared" si="15"/>
        <v/>
      </c>
      <c r="AF64" s="1139">
        <f t="shared" si="527"/>
        <v>0</v>
      </c>
      <c r="AG64" s="1140" t="str">
        <f t="shared" si="17"/>
        <v/>
      </c>
      <c r="AH64" s="1137">
        <f>SUMIFS(BP_SOTIEN,BP_THANG,AH$2,BP_KM,$E64)/1000</f>
        <v>0</v>
      </c>
      <c r="AI64" s="1138" t="str">
        <f t="shared" ref="AI64:AI121" si="797">IFERROR(AH64/AH$19,"")</f>
        <v/>
      </c>
      <c r="AJ64" s="3"/>
      <c r="AK64" s="1139">
        <f>IF(NOW()&gt;=DATE(YEAR(AH$2),MONTH(AH$2)+1,DAY(AH$2)),SUMIFS(TF_SOTIEN,TF_THANG,AH$2,TF_KM,$E64)/1000, AN64)</f>
        <v>0</v>
      </c>
      <c r="AL64" s="1138">
        <f t="shared" ref="AL64:AL121" si="798">IFERROR(AK64/AK$19,"")</f>
        <v>0</v>
      </c>
      <c r="AM64" s="3"/>
      <c r="AN64" s="1139">
        <f>IF(NOW()&gt;=DATE(YEAR(AH$2),MONTH(AH$2)+1,DAY(AH$2)),SUMIFS(AC_SOTIEN,AC_THANG,AH$2,AC_KM,$E64),SUMIFS(TF_SOTIEN,TF_THANG,AH$2,TF_KM,$E64))/ 1000</f>
        <v>0</v>
      </c>
      <c r="AO64" s="1138">
        <f t="shared" ref="AO64:AO121" si="799">IFERROR(AN64/AN$19,"")</f>
        <v>0</v>
      </c>
      <c r="AP64" s="3"/>
      <c r="AQ64" s="1139">
        <f t="shared" si="534"/>
        <v>0</v>
      </c>
      <c r="AR64" s="1140" t="str">
        <f t="shared" si="22"/>
        <v/>
      </c>
      <c r="AS64" s="1139">
        <f t="shared" si="535"/>
        <v>0</v>
      </c>
      <c r="AT64" s="1140" t="str">
        <f t="shared" si="24"/>
        <v/>
      </c>
      <c r="AU64" s="1137">
        <f t="shared" si="536"/>
        <v>0</v>
      </c>
      <c r="AV64" s="1138" t="str">
        <f t="shared" ref="AV64:AV121" si="800">IFERROR(AU64/AU$19,"")</f>
        <v/>
      </c>
      <c r="AW64" s="3"/>
      <c r="AX64" s="1139">
        <f t="shared" si="539"/>
        <v>0</v>
      </c>
      <c r="AY64" s="1138">
        <f t="shared" ref="AY64:AY121" si="801">IFERROR(AX64/AX$19,"")</f>
        <v>0</v>
      </c>
      <c r="AZ64" s="3"/>
      <c r="BA64" s="1139">
        <f t="shared" si="542"/>
        <v>0</v>
      </c>
      <c r="BB64" s="1138">
        <f t="shared" ref="BB64:BB121" si="802">IFERROR(BA64/BA$19,"")</f>
        <v>0</v>
      </c>
      <c r="BC64" s="3"/>
      <c r="BD64" s="1139">
        <f t="shared" si="545"/>
        <v>0</v>
      </c>
      <c r="BE64" s="1140" t="str">
        <f t="shared" si="32"/>
        <v/>
      </c>
      <c r="BF64" s="1139">
        <f t="shared" si="546"/>
        <v>0</v>
      </c>
      <c r="BG64" s="1140" t="str">
        <f t="shared" si="34"/>
        <v/>
      </c>
      <c r="BH64" s="1137">
        <f>SUMIFS(BP_SOTIEN,BP_THANG,BH$2,BP_KM,$E64)/1000</f>
        <v>0</v>
      </c>
      <c r="BI64" s="1138">
        <f t="shared" ref="BI64:BI121" si="803">IFERROR(BH64/BH$19,"")</f>
        <v>0</v>
      </c>
      <c r="BJ64" s="3"/>
      <c r="BK64" s="1139">
        <f>IF(NOW()&gt;=DATE(YEAR(BH$2),MONTH(BH$2)+1,DAY(BH$2)),SUMIFS(TF_SOTIEN,TF_THANG,BH$2,TF_KM,$E64)/1000, BN64)</f>
        <v>0</v>
      </c>
      <c r="BL64" s="1138" t="str">
        <f t="shared" ref="BL64:BL121" si="804">IFERROR(BK64/BK$19,"")</f>
        <v/>
      </c>
      <c r="BM64" s="3"/>
      <c r="BN64" s="1139">
        <f>IF(NOW()&gt;=DATE(YEAR(BH$2),MONTH(BH$2)+1,DAY(BH$2)),SUMIFS(AC_SOTIEN,AC_THANG,BH$2,AC_KM,$E64),SUMIFS(TF_SOTIEN,TF_THANG,BH$2,TF_KM,$E64))/ 1000</f>
        <v>0</v>
      </c>
      <c r="BO64" s="1138">
        <f t="shared" ref="BO64:BO121" si="805">IFERROR(BN64/BN$19,"")</f>
        <v>0</v>
      </c>
      <c r="BP64" s="3"/>
      <c r="BQ64" s="1139">
        <f t="shared" si="553"/>
        <v>0</v>
      </c>
      <c r="BR64" s="1140" t="str">
        <f t="shared" si="39"/>
        <v/>
      </c>
      <c r="BS64" s="1139">
        <f t="shared" si="554"/>
        <v>0</v>
      </c>
      <c r="BT64" s="1140" t="str">
        <f t="shared" si="41"/>
        <v/>
      </c>
      <c r="BU64" s="1137">
        <f>SUMIFS(BP_SOTIEN,BP_THANG,BU$2,BP_KM,$E64)/1000</f>
        <v>0</v>
      </c>
      <c r="BV64" s="1138">
        <f t="shared" ref="BV64:BV121" si="806">IFERROR(BU64/BU$19,"")</f>
        <v>0</v>
      </c>
      <c r="BW64" s="3"/>
      <c r="BX64" s="1139">
        <f>IF(NOW()&gt;=DATE(YEAR(BU$2),MONTH(BU$2)+1,DAY(BU$2)),SUMIFS(TF_SOTIEN,TF_THANG,BU$2,TF_KM,$E64)/1000, CA64)</f>
        <v>0</v>
      </c>
      <c r="BY64" s="1138">
        <f t="shared" ref="BY64:BY121" si="807">IFERROR(BX64/BX$19,"")</f>
        <v>0</v>
      </c>
      <c r="BZ64" s="3"/>
      <c r="CA64" s="1139">
        <f>IF(NOW()&gt;=DATE(YEAR(BU$2),MONTH(BU$2)+1,DAY(BU$2)),SUMIFS(AC_SOTIEN,AC_THANG,BU$2,AC_KM,$E64),SUMIFS(TF_SOTIEN,TF_THANG,BU$2,TF_KM,$E64))/ 1000</f>
        <v>0</v>
      </c>
      <c r="CB64" s="1138">
        <f t="shared" ref="CB64:CB121" si="808">IFERROR(CA64/CA$19,"")</f>
        <v>0</v>
      </c>
      <c r="CC64" s="3"/>
      <c r="CD64" s="1139">
        <f t="shared" si="561"/>
        <v>0</v>
      </c>
      <c r="CE64" s="1140" t="str">
        <f t="shared" si="46"/>
        <v/>
      </c>
      <c r="CF64" s="1139">
        <f t="shared" si="562"/>
        <v>0</v>
      </c>
      <c r="CG64" s="1140" t="str">
        <f t="shared" si="48"/>
        <v/>
      </c>
      <c r="CH64" s="1137">
        <f>SUMIFS(BP_SOTIEN,BP_THANG,CH$2,BP_KM,$E64)/1000</f>
        <v>0</v>
      </c>
      <c r="CI64" s="1138">
        <f t="shared" ref="CI64:CI121" si="809">IFERROR(CH64/CH$19,"")</f>
        <v>0</v>
      </c>
      <c r="CJ64" s="3"/>
      <c r="CK64" s="1139">
        <f>IF(NOW()&gt;=DATE(YEAR(CH$2),MONTH(CH$2)+1,DAY(CH$2)),SUMIFS(TF_SOTIEN,TF_THANG,CH$2,TF_KM,$E64)/1000, CN64)</f>
        <v>0</v>
      </c>
      <c r="CL64" s="1138" t="str">
        <f t="shared" ref="CL64:CL121" si="810">IFERROR(CK64/CK$19,"")</f>
        <v/>
      </c>
      <c r="CM64" s="3"/>
      <c r="CN64" s="1139">
        <f>IF(NOW()&gt;=DATE(YEAR(CH$2),MONTH(CH$2)+1,DAY(CH$2)),SUMIFS(AC_SOTIEN,AC_THANG,CH$2,AC_KM,$E64),SUMIFS(TF_SOTIEN,TF_THANG,CH$2,TF_KM,$E64))/ 1000</f>
        <v>0</v>
      </c>
      <c r="CO64" s="1138" t="str">
        <f t="shared" ref="CO64:CO121" si="811">IFERROR(CN64/CN$19,"")</f>
        <v/>
      </c>
      <c r="CP64" s="3"/>
      <c r="CQ64" s="1139">
        <f t="shared" si="569"/>
        <v>0</v>
      </c>
      <c r="CR64" s="1140" t="str">
        <f t="shared" si="53"/>
        <v/>
      </c>
      <c r="CS64" s="1139">
        <f t="shared" si="570"/>
        <v>0</v>
      </c>
      <c r="CT64" s="1140" t="str">
        <f t="shared" si="55"/>
        <v/>
      </c>
      <c r="CU64" s="1137">
        <f t="shared" si="571"/>
        <v>0</v>
      </c>
      <c r="CV64" s="1138">
        <f t="shared" ref="CV64:CV121" si="812">IFERROR(CU64/CU$19,"")</f>
        <v>0</v>
      </c>
      <c r="CW64" s="3"/>
      <c r="CX64" s="1139">
        <f t="shared" ref="CX64:CX74" si="813">SUMIF(BH$3:CT$3,CX$3,BH64:CT64)</f>
        <v>0</v>
      </c>
      <c r="CY64" s="1138">
        <f t="shared" ref="CY64:CY121" si="814">IFERROR(CX64/CX$19,"")</f>
        <v>0</v>
      </c>
      <c r="CZ64" s="3"/>
      <c r="DA64" s="1139">
        <f t="shared" ref="DA64:DA74" si="815">SUMIF(BH$3:CT$3,"AC",BH64:CT64)+SUMIF(BH$3:CT$3,"TF",BH64:CT64)</f>
        <v>0</v>
      </c>
      <c r="DB64" s="1138">
        <f t="shared" ref="DB64:DB121" si="816">IFERROR(DA64/DA$19,"")</f>
        <v>0</v>
      </c>
      <c r="DC64" s="3"/>
      <c r="DD64" s="1139">
        <f t="shared" si="580"/>
        <v>0</v>
      </c>
      <c r="DE64" s="1140" t="str">
        <f t="shared" si="63"/>
        <v/>
      </c>
      <c r="DF64" s="1139">
        <f t="shared" si="581"/>
        <v>0</v>
      </c>
      <c r="DG64" s="1140" t="str">
        <f t="shared" si="65"/>
        <v/>
      </c>
      <c r="DH64" s="1137">
        <f t="shared" si="582"/>
        <v>0</v>
      </c>
      <c r="DI64" s="1138">
        <f t="shared" ref="DI64:DI121" si="817">IFERROR(DH64/DH$19,"")</f>
        <v>0</v>
      </c>
      <c r="DJ64" s="3"/>
      <c r="DK64" s="1139">
        <f t="shared" si="585"/>
        <v>0</v>
      </c>
      <c r="DL64" s="1138">
        <f t="shared" ref="DL64:DL121" si="818">IFERROR(DK64/DK$19,"")</f>
        <v>0</v>
      </c>
      <c r="DM64" s="3"/>
      <c r="DN64" s="1139">
        <f t="shared" si="588"/>
        <v>0</v>
      </c>
      <c r="DO64" s="1138">
        <f t="shared" ref="DO64:DO121" si="819">IFERROR(DN64/DN$19,"")</f>
        <v>0</v>
      </c>
      <c r="DP64" s="3"/>
      <c r="DQ64" s="1139">
        <f t="shared" si="591"/>
        <v>0</v>
      </c>
      <c r="DR64" s="1140" t="str">
        <f t="shared" si="73"/>
        <v/>
      </c>
      <c r="DS64" s="1139">
        <f t="shared" si="592"/>
        <v>0</v>
      </c>
      <c r="DT64" s="1140" t="str">
        <f t="shared" si="75"/>
        <v/>
      </c>
      <c r="DU64" s="1137">
        <f>SUMIFS(BP_SOTIEN,BP_THANG,DU$2,BP_KM,$E64)/1000</f>
        <v>0</v>
      </c>
      <c r="DV64" s="1138">
        <f t="shared" ref="DV64:DV121" si="820">IFERROR(DU64/DU$19,"")</f>
        <v>0</v>
      </c>
      <c r="DW64" s="3"/>
      <c r="DX64" s="1139">
        <f>IF(NOW()&gt;=DATE(YEAR(DU$2),MONTH(DU$2)+1,DAY(DU$2)),SUMIFS(TF_SOTIEN,TF_THANG,DU$2,TF_KM,$E64)/1000, EA64)</f>
        <v>0</v>
      </c>
      <c r="DY64" s="1138">
        <f t="shared" ref="DY64:DY121" si="821">IFERROR(DX64/DX$19,"")</f>
        <v>0</v>
      </c>
      <c r="DZ64" s="3"/>
      <c r="EA64" s="1139">
        <f>IF(NOW()&gt;=DATE(YEAR(DU$2),MONTH(DU$2)+1,DAY(DU$2)),SUMIFS(AC_SOTIEN,AC_THANG,DU$2,AC_KM,$E64),SUMIFS(TF_SOTIEN,TF_THANG,DU$2,TF_KM,$E64))/ 1000</f>
        <v>0</v>
      </c>
      <c r="EB64" s="1138" t="str">
        <f t="shared" ref="EB64:EB121" si="822">IFERROR(EA64/EA$19,"")</f>
        <v/>
      </c>
      <c r="EC64" s="3"/>
      <c r="ED64" s="1139">
        <f t="shared" si="599"/>
        <v>0</v>
      </c>
      <c r="EE64" s="1140" t="str">
        <f t="shared" si="80"/>
        <v/>
      </c>
      <c r="EF64" s="1139">
        <f t="shared" si="600"/>
        <v>0</v>
      </c>
      <c r="EG64" s="1140" t="str">
        <f t="shared" si="82"/>
        <v/>
      </c>
      <c r="EH64" s="1137">
        <f>SUMIFS(BP_SOTIEN,BP_THANG,EH$2,BP_KM,$E64)/1000</f>
        <v>0</v>
      </c>
      <c r="EI64" s="1138">
        <f t="shared" ref="EI64:EI121" si="823">IFERROR(EH64/EH$19,"")</f>
        <v>0</v>
      </c>
      <c r="EJ64" s="3"/>
      <c r="EK64" s="1139">
        <f>IF(NOW()&gt;=DATE(YEAR(EH$2),MONTH(EH$2)+1,DAY(EH$2)),SUMIFS(TF_SOTIEN,TF_THANG,EH$2,TF_KM,$E64)/1000, EN64)</f>
        <v>0</v>
      </c>
      <c r="EL64" s="1138">
        <f t="shared" ref="EL64:EL121" si="824">IFERROR(EK64/EK$19,"")</f>
        <v>0</v>
      </c>
      <c r="EM64" s="3"/>
      <c r="EN64" s="1139">
        <f>IF(NOW()&gt;=DATE(YEAR(EH$2),MONTH(EH$2)+1,DAY(EH$2)),SUMIFS(AC_SOTIEN,AC_THANG,EH$2,AC_KM,$E64),SUMIFS(TF_SOTIEN,TF_THANG,EH$2,TF_KM,$E64))/ 1000</f>
        <v>0</v>
      </c>
      <c r="EO64" s="1138" t="str">
        <f t="shared" ref="EO64:EO121" si="825">IFERROR(EN64/EN$19,"")</f>
        <v/>
      </c>
      <c r="EP64" s="3"/>
      <c r="EQ64" s="1139">
        <f t="shared" si="607"/>
        <v>0</v>
      </c>
      <c r="ER64" s="1140" t="str">
        <f t="shared" si="87"/>
        <v/>
      </c>
      <c r="ES64" s="1139">
        <f t="shared" si="608"/>
        <v>0</v>
      </c>
      <c r="ET64" s="1140" t="str">
        <f t="shared" si="89"/>
        <v/>
      </c>
      <c r="EU64" s="1137">
        <f>SUMIFS(BP_SOTIEN,BP_THANG,EU$2,BP_KM,$E64)/1000</f>
        <v>0</v>
      </c>
      <c r="EV64" s="1138">
        <f t="shared" ref="EV64:EV121" si="826">IFERROR(EU64/EU$19,"")</f>
        <v>0</v>
      </c>
      <c r="EW64" s="3"/>
      <c r="EX64" s="1139">
        <f>IF(NOW()&gt;=DATE(YEAR(EU$2),MONTH(EU$2)+1,DAY(EU$2)),SUMIFS(TF_SOTIEN,TF_THANG,EU$2,TF_KM,$E64)/1000, FA64)</f>
        <v>0</v>
      </c>
      <c r="EY64" s="1138">
        <f t="shared" ref="EY64:EY121" si="827">IFERROR(EX64/EX$19,"")</f>
        <v>0</v>
      </c>
      <c r="EZ64" s="3"/>
      <c r="FA64" s="1139">
        <f>IF(NOW()&gt;=DATE(YEAR(EU$2),MONTH(EU$2)+1,DAY(EU$2)),SUMIFS(AC_SOTIEN,AC_THANG,EU$2,AC_KM,$E64),SUMIFS(TF_SOTIEN,TF_THANG,EU$2,TF_KM,$E64))/ 1000</f>
        <v>0</v>
      </c>
      <c r="FB64" s="1138" t="str">
        <f t="shared" ref="FB64:FB121" si="828">IFERROR(FA64/FA$19,"")</f>
        <v/>
      </c>
      <c r="FC64" s="3"/>
      <c r="FD64" s="1139">
        <f t="shared" si="616"/>
        <v>0</v>
      </c>
      <c r="FE64" s="1140" t="str">
        <f t="shared" si="94"/>
        <v/>
      </c>
      <c r="FF64" s="1139">
        <f t="shared" si="617"/>
        <v>0</v>
      </c>
      <c r="FG64" s="1140" t="str">
        <f t="shared" si="96"/>
        <v/>
      </c>
      <c r="FH64" s="1137">
        <f t="shared" si="618"/>
        <v>0</v>
      </c>
      <c r="FI64" s="1138">
        <f t="shared" ref="FI64:FI121" si="829">IFERROR(FH64/FH$19,"")</f>
        <v>0</v>
      </c>
      <c r="FJ64" s="3"/>
      <c r="FK64" s="1139">
        <f t="shared" si="621"/>
        <v>0</v>
      </c>
      <c r="FL64" s="1138">
        <f t="shared" ref="FL64:FL121" si="830">IFERROR(FK64/FK$19,"")</f>
        <v>0</v>
      </c>
      <c r="FM64" s="3"/>
      <c r="FN64" s="1139">
        <f t="shared" si="624"/>
        <v>0</v>
      </c>
      <c r="FO64" s="1138" t="str">
        <f t="shared" ref="FO64:FO121" si="831">IFERROR(FN64/FN$19,"")</f>
        <v/>
      </c>
      <c r="FP64" s="3"/>
      <c r="FQ64" s="1139">
        <f t="shared" si="627"/>
        <v>0</v>
      </c>
      <c r="FR64" s="1140" t="str">
        <f t="shared" si="104"/>
        <v/>
      </c>
      <c r="FS64" s="1139">
        <f t="shared" si="628"/>
        <v>0</v>
      </c>
      <c r="FT64" s="1140" t="str">
        <f t="shared" si="106"/>
        <v/>
      </c>
      <c r="FU64" s="1137">
        <f>SUMIFS(BP_SOTIEN,BP_THANG,FU$2,BP_KM,$E64)/1000</f>
        <v>0</v>
      </c>
      <c r="FV64" s="1138">
        <f t="shared" ref="FV64:FV121" si="832">IFERROR(FU64/FU$19,"")</f>
        <v>0</v>
      </c>
      <c r="FW64" s="3"/>
      <c r="FX64" s="1139">
        <f>IF(NOW()&gt;=DATE(YEAR(FU$2),MONTH(FU$2)+1,DAY(FU$2)),SUMIFS(TF_SOTIEN,TF_THANG,FU$2,TF_KM,$E64)/1000, GA64)</f>
        <v>0</v>
      </c>
      <c r="FY64" s="1138">
        <f t="shared" ref="FY64:FY121" si="833">IFERROR(FX64/FX$19,"")</f>
        <v>0</v>
      </c>
      <c r="FZ64" s="3"/>
      <c r="GA64" s="1139">
        <f>IF(NOW()&gt;=DATE(YEAR(FU$2),MONTH(FU$2)+1,DAY(FU$2)),SUMIFS(AC_SOTIEN,AC_THANG,FU$2,AC_KM,$E64),SUMIFS(TF_SOTIEN,TF_THANG,FU$2,TF_KM,$E64))/ 1000</f>
        <v>0</v>
      </c>
      <c r="GB64" s="1138" t="str">
        <f t="shared" ref="GB64:GB121" si="834">IFERROR(GA64/GA$19,"")</f>
        <v/>
      </c>
      <c r="GC64" s="3"/>
      <c r="GD64" s="1139">
        <f t="shared" si="635"/>
        <v>0</v>
      </c>
      <c r="GE64" s="1140" t="str">
        <f t="shared" si="111"/>
        <v/>
      </c>
      <c r="GF64" s="1139">
        <f t="shared" si="636"/>
        <v>0</v>
      </c>
      <c r="GG64" s="1140" t="str">
        <f t="shared" si="113"/>
        <v/>
      </c>
      <c r="GH64" s="1137">
        <f>SUMIFS(BP_SOTIEN,BP_THANG,GH$2,BP_KM,$E64)/1000</f>
        <v>0</v>
      </c>
      <c r="GI64" s="1138">
        <f t="shared" ref="GI64:GI121" si="835">IFERROR(GH64/GH$19,"")</f>
        <v>0</v>
      </c>
      <c r="GJ64" s="3"/>
      <c r="GK64" s="1139">
        <f>IF(NOW()&gt;=DATE(YEAR(GH$2),MONTH(GH$2)+1,DAY(GH$2)),SUMIFS(TF_SOTIEN,TF_THANG,GH$2,TF_KM,$E64)/1000, GN64)</f>
        <v>0</v>
      </c>
      <c r="GL64" s="1138">
        <f t="shared" ref="GL64:GL121" si="836">IFERROR(GK64/GK$19,"")</f>
        <v>0</v>
      </c>
      <c r="GM64" s="3"/>
      <c r="GN64" s="1139">
        <f>IF(NOW()&gt;=DATE(YEAR(GH$2),MONTH(GH$2)+1,DAY(GH$2)),SUMIFS(AC_SOTIEN,AC_THANG,GH$2,AC_KM,$E64),SUMIFS(TF_SOTIEN,TF_THANG,GH$2,TF_KM,$E64))/ 1000</f>
        <v>0</v>
      </c>
      <c r="GO64" s="1138" t="str">
        <f t="shared" ref="GO64:GO121" si="837">IFERROR(GN64/GN$19,"")</f>
        <v/>
      </c>
      <c r="GP64" s="3"/>
      <c r="GQ64" s="1139">
        <f t="shared" si="643"/>
        <v>0</v>
      </c>
      <c r="GR64" s="1140" t="str">
        <f t="shared" si="118"/>
        <v/>
      </c>
      <c r="GS64" s="1139">
        <f t="shared" si="644"/>
        <v>0</v>
      </c>
      <c r="GT64" s="1140" t="str">
        <f t="shared" si="120"/>
        <v/>
      </c>
      <c r="GU64" s="1137">
        <f>SUMIFS(BP_SOTIEN,BP_THANG,GU$2,BP_KM,$E64)/1000</f>
        <v>0</v>
      </c>
      <c r="GV64" s="1138">
        <f t="shared" ref="GV64:GV121" si="838">IFERROR(GU64/GU$19,"")</f>
        <v>0</v>
      </c>
      <c r="GW64" s="3"/>
      <c r="GX64" s="1139">
        <f>IF(NOW()&gt;=DATE(YEAR(GU$2),MONTH(GU$2)+1,DAY(GU$2)),SUMIFS(TF_SOTIEN,TF_THANG,GU$2,TF_KM,$E64)/1000, HA64)</f>
        <v>0</v>
      </c>
      <c r="GY64" s="1138">
        <f t="shared" ref="GY64:GY121" si="839">IFERROR(GX64/GX$19,"")</f>
        <v>0</v>
      </c>
      <c r="GZ64" s="3"/>
      <c r="HA64" s="1139">
        <f>IF(NOW()&gt;=DATE(YEAR(GU$2),MONTH(GU$2)+1,DAY(GU$2)),SUMIFS(AC_SOTIEN,AC_THANG,GU$2,AC_KM,$E64),SUMIFS(TF_SOTIEN,TF_THANG,GU$2,TF_KM,$E64))/ 1000</f>
        <v>0</v>
      </c>
      <c r="HB64" s="1138" t="str">
        <f t="shared" ref="HB64:HB121" si="840">IFERROR(HA64/HA$19,"")</f>
        <v/>
      </c>
      <c r="HC64" s="3"/>
      <c r="HD64" s="1139">
        <f t="shared" si="651"/>
        <v>0</v>
      </c>
      <c r="HE64" s="1140" t="str">
        <f t="shared" si="125"/>
        <v/>
      </c>
      <c r="HF64" s="1139">
        <f t="shared" si="652"/>
        <v>0</v>
      </c>
      <c r="HG64" s="1140" t="str">
        <f t="shared" si="127"/>
        <v/>
      </c>
      <c r="HH64" s="1137">
        <f t="shared" si="653"/>
        <v>0</v>
      </c>
      <c r="HI64" s="1138">
        <f t="shared" ref="HI64:HI121" si="841">IFERROR(HH64/HH$19,"")</f>
        <v>0</v>
      </c>
      <c r="HJ64" s="3"/>
      <c r="HK64" s="1139">
        <f t="shared" si="656"/>
        <v>0</v>
      </c>
      <c r="HL64" s="1138">
        <f t="shared" ref="HL64:HL121" si="842">IFERROR(HK64/HK$19,"")</f>
        <v>0</v>
      </c>
      <c r="HM64" s="3"/>
      <c r="HN64" s="1139">
        <f t="shared" si="659"/>
        <v>0</v>
      </c>
      <c r="HO64" s="1138" t="str">
        <f t="shared" ref="HO64:HO121" si="843">IFERROR(HN64/HN$19,"")</f>
        <v/>
      </c>
      <c r="HP64" s="3"/>
      <c r="HQ64" s="1139">
        <f t="shared" si="662"/>
        <v>0</v>
      </c>
      <c r="HR64" s="1140" t="str">
        <f t="shared" si="135"/>
        <v/>
      </c>
      <c r="HS64" s="1139">
        <f t="shared" si="663"/>
        <v>0</v>
      </c>
      <c r="HT64" s="1140" t="str">
        <f t="shared" si="137"/>
        <v/>
      </c>
      <c r="HU64" s="1137">
        <f t="shared" si="664"/>
        <v>0</v>
      </c>
      <c r="HV64" s="1138">
        <f t="shared" ref="HV64:HV121" si="844">IFERROR(HU64/HU$19,"")</f>
        <v>0</v>
      </c>
      <c r="HW64" s="3"/>
      <c r="HX64" s="1139">
        <f t="shared" si="667"/>
        <v>0</v>
      </c>
      <c r="HY64" s="1138">
        <f t="shared" ref="HY64:HY121" si="845">IFERROR(HX64/HX$19,"")</f>
        <v>0</v>
      </c>
      <c r="HZ64" s="3"/>
      <c r="IA64" s="1139">
        <f t="shared" si="670"/>
        <v>0</v>
      </c>
      <c r="IB64" s="1138" t="str">
        <f t="shared" ref="IB64:IB121" si="846">IFERROR(IA64/IA$19,"")</f>
        <v/>
      </c>
      <c r="IC64" s="3"/>
      <c r="ID64" s="1139">
        <f t="shared" si="673"/>
        <v>0</v>
      </c>
      <c r="IE64" s="1140" t="str">
        <f t="shared" si="145"/>
        <v/>
      </c>
      <c r="IF64" s="1139">
        <f t="shared" si="674"/>
        <v>0</v>
      </c>
      <c r="IG64" s="1140" t="str">
        <f t="shared" si="147"/>
        <v/>
      </c>
      <c r="IH64" s="1137">
        <f t="shared" si="675"/>
        <v>0</v>
      </c>
      <c r="II64" s="1138">
        <f t="shared" ref="II64:II121" si="847">IFERROR(IH64/IH$19,"")</f>
        <v>0</v>
      </c>
      <c r="IJ64" s="3"/>
      <c r="IK64" s="1139">
        <f t="shared" si="678"/>
        <v>0</v>
      </c>
      <c r="IL64" s="1138">
        <f t="shared" ref="IL64:IL121" si="848">IFERROR(IK64/IK$19,"")</f>
        <v>0</v>
      </c>
      <c r="IM64" s="3"/>
      <c r="IN64" s="1139">
        <f t="shared" si="681"/>
        <v>0</v>
      </c>
      <c r="IO64" s="1138">
        <f t="shared" ref="IO64:IO121" si="849">IFERROR(IN64/IN$19,"")</f>
        <v>0</v>
      </c>
      <c r="IP64" s="3"/>
      <c r="IQ64" s="1139">
        <f t="shared" si="684"/>
        <v>0</v>
      </c>
      <c r="IR64" s="1140" t="str">
        <f t="shared" si="1"/>
        <v/>
      </c>
      <c r="IS64" s="1139">
        <f t="shared" si="685"/>
        <v>0</v>
      </c>
      <c r="IT64" s="1140" t="str">
        <f t="shared" si="2"/>
        <v/>
      </c>
    </row>
    <row r="65">
      <c r="A65" s="1107" t="s">
        <v>2826</v>
      </c>
      <c r="B65" s="1108"/>
      <c r="C65" s="1108"/>
      <c r="D65" s="1108"/>
      <c r="E65" s="1108" t="s">
        <v>2083</v>
      </c>
      <c r="F65" s="1108"/>
      <c r="G65" s="1141">
        <v>1.0</v>
      </c>
      <c r="H65" s="1110">
        <f>SUMIFS(BP_SOTIEN,BP_THANG,H$2,BP_KM,$E65)/1000</f>
        <v>0</v>
      </c>
      <c r="I65" s="1112" t="str">
        <f t="shared" si="791"/>
        <v/>
      </c>
      <c r="J65" s="1112"/>
      <c r="K65" s="1142">
        <f>IF(NOW()&gt;=DATE(YEAR(H$2),MONTH(H$2)+1,DAY(H$2)),SUMIFS(TF_SOTIEN,TF_THANG,H$2,TF_KM,$E65)/1000, N65)</f>
        <v>0</v>
      </c>
      <c r="L65" s="1112">
        <f t="shared" si="792"/>
        <v>0</v>
      </c>
      <c r="M65" s="1112"/>
      <c r="N65" s="1142">
        <f>IF(NOW()&gt;=DATE(YEAR(H$2),MONTH(H$2)+1,DAY(H$2)),SUMIFS(AC_SOTIEN,AC_THANG,H$2,AC_KM,$E65),SUMIFS(TF_SOTIEN,TF_THANG,H$2,TF_KM,$E65))/ 1000</f>
        <v>0</v>
      </c>
      <c r="O65" s="1112">
        <f t="shared" si="793"/>
        <v>0</v>
      </c>
      <c r="P65" s="1112">
        <f t="shared" ref="P65:P66" si="850">IFERROR(N65/N$113,"")</f>
        <v>0</v>
      </c>
      <c r="Q65" s="1142">
        <f t="shared" si="518"/>
        <v>0</v>
      </c>
      <c r="R65" s="1112" t="str">
        <f t="shared" si="8"/>
        <v/>
      </c>
      <c r="S65" s="1142">
        <f t="shared" si="519"/>
        <v>0</v>
      </c>
      <c r="T65" s="1112" t="str">
        <f t="shared" si="10"/>
        <v/>
      </c>
      <c r="U65" s="1110">
        <f>SUMIFS(BP_SOTIEN,BP_THANG,U$2,BP_KM,$E65)/1000</f>
        <v>0</v>
      </c>
      <c r="V65" s="1112" t="str">
        <f t="shared" si="794"/>
        <v/>
      </c>
      <c r="W65" s="1112"/>
      <c r="X65" s="1142">
        <f>IF(NOW()&gt;=DATE(YEAR(U$2),MONTH(U$2)+1,DAY(U$2)),SUMIFS(TF_SOTIEN,TF_THANG,U$2,TF_KM,$E65)/1000, AA65)</f>
        <v>0</v>
      </c>
      <c r="Y65" s="1112" t="str">
        <f t="shared" si="795"/>
        <v/>
      </c>
      <c r="Z65" s="1112"/>
      <c r="AA65" s="1142">
        <f>IF(NOW()&gt;=DATE(YEAR(U$2),MONTH(U$2)+1,DAY(U$2)),SUMIFS(AC_SOTIEN,AC_THANG,U$2,AC_KM,$E65),SUMIFS(TF_SOTIEN,TF_THANG,U$2,TF_KM,$E65))/ 1000</f>
        <v>0</v>
      </c>
      <c r="AB65" s="1112">
        <f t="shared" si="796"/>
        <v>0</v>
      </c>
      <c r="AC65" s="1112">
        <f t="shared" ref="AC65:AC66" si="851">IFERROR(AA65/AA$113,"")</f>
        <v>0</v>
      </c>
      <c r="AD65" s="1142">
        <f t="shared" si="526"/>
        <v>0</v>
      </c>
      <c r="AE65" s="1112" t="str">
        <f t="shared" si="15"/>
        <v/>
      </c>
      <c r="AF65" s="1142">
        <f t="shared" si="527"/>
        <v>0</v>
      </c>
      <c r="AG65" s="1112" t="str">
        <f t="shared" si="17"/>
        <v/>
      </c>
      <c r="AH65" s="1110">
        <f>SUMIFS(BP_SOTIEN,BP_THANG,AH$2,BP_KM,$E65)/1000</f>
        <v>0</v>
      </c>
      <c r="AI65" s="1112" t="str">
        <f t="shared" si="797"/>
        <v/>
      </c>
      <c r="AJ65" s="1112"/>
      <c r="AK65" s="1142">
        <f>IF(NOW()&gt;=DATE(YEAR(AH$2),MONTH(AH$2)+1,DAY(AH$2)),SUMIFS(TF_SOTIEN,TF_THANG,AH$2,TF_KM,$E65)/1000, AN65)</f>
        <v>0</v>
      </c>
      <c r="AL65" s="1112">
        <f t="shared" si="798"/>
        <v>0</v>
      </c>
      <c r="AM65" s="1112"/>
      <c r="AN65" s="1142">
        <f>IF(NOW()&gt;=DATE(YEAR(AH$2),MONTH(AH$2)+1,DAY(AH$2)),SUMIFS(AC_SOTIEN,AC_THANG,AH$2,AC_KM,$E65),SUMIFS(TF_SOTIEN,TF_THANG,AH$2,TF_KM,$E65))/ 1000</f>
        <v>0</v>
      </c>
      <c r="AO65" s="1112">
        <f t="shared" si="799"/>
        <v>0</v>
      </c>
      <c r="AP65" s="1112">
        <f t="shared" ref="AP65:AP66" si="852">IFERROR(AN65/AN$113,"")</f>
        <v>0</v>
      </c>
      <c r="AQ65" s="1142">
        <f t="shared" si="534"/>
        <v>0</v>
      </c>
      <c r="AR65" s="1112" t="str">
        <f t="shared" si="22"/>
        <v/>
      </c>
      <c r="AS65" s="1142">
        <f t="shared" si="535"/>
        <v>0</v>
      </c>
      <c r="AT65" s="1112" t="str">
        <f t="shared" si="24"/>
        <v/>
      </c>
      <c r="AU65" s="1110">
        <f t="shared" si="536"/>
        <v>0</v>
      </c>
      <c r="AV65" s="1112" t="str">
        <f t="shared" si="800"/>
        <v/>
      </c>
      <c r="AW65" s="1112">
        <f t="shared" ref="AW65:AW66" si="853">IFERROR(AU65/AU$113,"")</f>
        <v>0</v>
      </c>
      <c r="AX65" s="1142">
        <f t="shared" si="539"/>
        <v>0</v>
      </c>
      <c r="AY65" s="1112">
        <f t="shared" si="801"/>
        <v>0</v>
      </c>
      <c r="AZ65" s="1112">
        <f t="shared" ref="AZ65:AZ66" si="854">IFERROR(AX65/AX$113,"")</f>
        <v>0</v>
      </c>
      <c r="BA65" s="1142">
        <f t="shared" si="542"/>
        <v>0</v>
      </c>
      <c r="BB65" s="1112">
        <f t="shared" si="802"/>
        <v>0</v>
      </c>
      <c r="BC65" s="1112">
        <f t="shared" ref="BC65:BC66" si="855">IFERROR(BA65/BA$113,"")</f>
        <v>0</v>
      </c>
      <c r="BD65" s="1142">
        <f t="shared" si="545"/>
        <v>0</v>
      </c>
      <c r="BE65" s="1112" t="str">
        <f t="shared" si="32"/>
        <v/>
      </c>
      <c r="BF65" s="1142">
        <f t="shared" si="546"/>
        <v>0</v>
      </c>
      <c r="BG65" s="1112" t="str">
        <f t="shared" si="34"/>
        <v/>
      </c>
      <c r="BH65" s="1110">
        <f>SUMIFS(BP_SOTIEN,BP_THANG,BH$2,BP_KM,$E65)/1000</f>
        <v>0</v>
      </c>
      <c r="BI65" s="1112">
        <f t="shared" si="803"/>
        <v>0</v>
      </c>
      <c r="BJ65" s="1112"/>
      <c r="BK65" s="1142">
        <f>IF(NOW()&gt;=DATE(YEAR(BH$2),MONTH(BH$2)+1,DAY(BH$2)),SUMIFS(TF_SOTIEN,TF_THANG,BH$2,TF_KM,$E65)/1000, BN65)</f>
        <v>0</v>
      </c>
      <c r="BL65" s="1112" t="str">
        <f t="shared" si="804"/>
        <v/>
      </c>
      <c r="BM65" s="1112"/>
      <c r="BN65" s="1142">
        <f>IF(NOW()&gt;=DATE(YEAR(BH$2),MONTH(BH$2)+1,DAY(BH$2)),SUMIFS(AC_SOTIEN,AC_THANG,BH$2,AC_KM,$E65),SUMIFS(TF_SOTIEN,TF_THANG,BH$2,TF_KM,$E65))/ 1000</f>
        <v>0</v>
      </c>
      <c r="BO65" s="1112">
        <f t="shared" si="805"/>
        <v>0</v>
      </c>
      <c r="BP65" s="1112">
        <f t="shared" ref="BP65:BP66" si="856">IFERROR(BN65/BN$113,"")</f>
        <v>0</v>
      </c>
      <c r="BQ65" s="1142">
        <f t="shared" si="553"/>
        <v>0</v>
      </c>
      <c r="BR65" s="1112" t="str">
        <f t="shared" si="39"/>
        <v/>
      </c>
      <c r="BS65" s="1142">
        <f t="shared" si="554"/>
        <v>0</v>
      </c>
      <c r="BT65" s="1112" t="str">
        <f t="shared" si="41"/>
        <v/>
      </c>
      <c r="BU65" s="1110">
        <f>SUMIFS(BP_SOTIEN,BP_THANG,BU$2,BP_KM,$E65)/1000</f>
        <v>0</v>
      </c>
      <c r="BV65" s="1112">
        <f t="shared" si="806"/>
        <v>0</v>
      </c>
      <c r="BW65" s="1112"/>
      <c r="BX65" s="1142">
        <f>IF(NOW()&gt;=DATE(YEAR(BU$2),MONTH(BU$2)+1,DAY(BU$2)),SUMIFS(TF_SOTIEN,TF_THANG,BU$2,TF_KM,$E65)/1000, CA65)</f>
        <v>0</v>
      </c>
      <c r="BY65" s="1112">
        <f t="shared" si="807"/>
        <v>0</v>
      </c>
      <c r="BZ65" s="1112"/>
      <c r="CA65" s="1142">
        <f>IF(NOW()&gt;=DATE(YEAR(BU$2),MONTH(BU$2)+1,DAY(BU$2)),SUMIFS(AC_SOTIEN,AC_THANG,BU$2,AC_KM,$E65),SUMIFS(TF_SOTIEN,TF_THANG,BU$2,TF_KM,$E65))/ 1000</f>
        <v>0</v>
      </c>
      <c r="CB65" s="1112">
        <f t="shared" si="808"/>
        <v>0</v>
      </c>
      <c r="CC65" s="1112">
        <f t="shared" ref="CC65:CC66" si="857">IFERROR(CA65/CA$113,"")</f>
        <v>0</v>
      </c>
      <c r="CD65" s="1142">
        <f t="shared" si="561"/>
        <v>0</v>
      </c>
      <c r="CE65" s="1112" t="str">
        <f t="shared" si="46"/>
        <v/>
      </c>
      <c r="CF65" s="1142">
        <f t="shared" si="562"/>
        <v>0</v>
      </c>
      <c r="CG65" s="1112" t="str">
        <f t="shared" si="48"/>
        <v/>
      </c>
      <c r="CH65" s="1110">
        <f>SUMIFS(BP_SOTIEN,BP_THANG,CH$2,BP_KM,$E65)/1000</f>
        <v>0</v>
      </c>
      <c r="CI65" s="1112">
        <f t="shared" si="809"/>
        <v>0</v>
      </c>
      <c r="CJ65" s="1112"/>
      <c r="CK65" s="1142">
        <f>IF(NOW()&gt;=DATE(YEAR(CH$2),MONTH(CH$2)+1,DAY(CH$2)),SUMIFS(TF_SOTIEN,TF_THANG,CH$2,TF_KM,$E65)/1000, CN65)</f>
        <v>0</v>
      </c>
      <c r="CL65" s="1112" t="str">
        <f t="shared" si="810"/>
        <v/>
      </c>
      <c r="CM65" s="1112"/>
      <c r="CN65" s="1142">
        <f>IF(NOW()&gt;=DATE(YEAR(CH$2),MONTH(CH$2)+1,DAY(CH$2)),SUMIFS(AC_SOTIEN,AC_THANG,CH$2,AC_KM,$E65),SUMIFS(TF_SOTIEN,TF_THANG,CH$2,TF_KM,$E65))/ 1000</f>
        <v>0</v>
      </c>
      <c r="CO65" s="1112" t="str">
        <f t="shared" si="811"/>
        <v/>
      </c>
      <c r="CP65" s="1112" t="str">
        <f t="shared" ref="CP65:CP66" si="858">IFERROR(CN65/CN$113,"")</f>
        <v/>
      </c>
      <c r="CQ65" s="1142">
        <f t="shared" si="569"/>
        <v>0</v>
      </c>
      <c r="CR65" s="1112" t="str">
        <f t="shared" si="53"/>
        <v/>
      </c>
      <c r="CS65" s="1142">
        <f t="shared" si="570"/>
        <v>0</v>
      </c>
      <c r="CT65" s="1112" t="str">
        <f t="shared" si="55"/>
        <v/>
      </c>
      <c r="CU65" s="1110">
        <f t="shared" si="571"/>
        <v>0</v>
      </c>
      <c r="CV65" s="1112">
        <f t="shared" si="812"/>
        <v>0</v>
      </c>
      <c r="CW65" s="1112">
        <f t="shared" ref="CW65:CW66" si="859">IFERROR(CU65/CU$113,"")</f>
        <v>0</v>
      </c>
      <c r="CX65" s="1142">
        <f t="shared" si="813"/>
        <v>0</v>
      </c>
      <c r="CY65" s="1112">
        <f t="shared" si="814"/>
        <v>0</v>
      </c>
      <c r="CZ65" s="1112">
        <f t="shared" ref="CZ65:CZ66" si="860">IFERROR(CX65/CX$113,"")</f>
        <v>0</v>
      </c>
      <c r="DA65" s="1142">
        <f t="shared" si="815"/>
        <v>0</v>
      </c>
      <c r="DB65" s="1112">
        <f t="shared" si="816"/>
        <v>0</v>
      </c>
      <c r="DC65" s="1112">
        <f t="shared" ref="DC65:DC66" si="861">IFERROR(DA65/DA$113,"")</f>
        <v>0</v>
      </c>
      <c r="DD65" s="1142">
        <f t="shared" si="580"/>
        <v>0</v>
      </c>
      <c r="DE65" s="1112" t="str">
        <f t="shared" si="63"/>
        <v/>
      </c>
      <c r="DF65" s="1142">
        <f t="shared" si="581"/>
        <v>0</v>
      </c>
      <c r="DG65" s="1112" t="str">
        <f t="shared" si="65"/>
        <v/>
      </c>
      <c r="DH65" s="1110">
        <f t="shared" si="582"/>
        <v>0</v>
      </c>
      <c r="DI65" s="1112">
        <f t="shared" si="817"/>
        <v>0</v>
      </c>
      <c r="DJ65" s="1112">
        <f t="shared" ref="DJ65:DJ66" si="862">IFERROR(DH65/DH$113,"")</f>
        <v>0</v>
      </c>
      <c r="DK65" s="1142">
        <f t="shared" si="585"/>
        <v>0</v>
      </c>
      <c r="DL65" s="1112">
        <f t="shared" si="818"/>
        <v>0</v>
      </c>
      <c r="DM65" s="1112">
        <f t="shared" ref="DM65:DM66" si="863">IFERROR(DK65/DK$113,"")</f>
        <v>0</v>
      </c>
      <c r="DN65" s="1142">
        <f t="shared" si="588"/>
        <v>0</v>
      </c>
      <c r="DO65" s="1112">
        <f t="shared" si="819"/>
        <v>0</v>
      </c>
      <c r="DP65" s="1112">
        <f t="shared" ref="DP65:DP66" si="864">IFERROR(DN65/DN$113,"")</f>
        <v>0</v>
      </c>
      <c r="DQ65" s="1142">
        <f t="shared" si="591"/>
        <v>0</v>
      </c>
      <c r="DR65" s="1112" t="str">
        <f t="shared" si="73"/>
        <v/>
      </c>
      <c r="DS65" s="1142">
        <f t="shared" si="592"/>
        <v>0</v>
      </c>
      <c r="DT65" s="1112" t="str">
        <f t="shared" si="75"/>
        <v/>
      </c>
      <c r="DU65" s="1110">
        <f>SUMIFS(BP_SOTIEN,BP_THANG,DU$2,BP_KM,$E65)/1000</f>
        <v>0</v>
      </c>
      <c r="DV65" s="1112">
        <f t="shared" si="820"/>
        <v>0</v>
      </c>
      <c r="DW65" s="1112"/>
      <c r="DX65" s="1142">
        <f>IF(NOW()&gt;=DATE(YEAR(DU$2),MONTH(DU$2)+1,DAY(DU$2)),SUMIFS(TF_SOTIEN,TF_THANG,DU$2,TF_KM,$E65)/1000, EA65)</f>
        <v>0</v>
      </c>
      <c r="DY65" s="1112">
        <f t="shared" si="821"/>
        <v>0</v>
      </c>
      <c r="DZ65" s="1112"/>
      <c r="EA65" s="1142">
        <f>IF(NOW()&gt;=DATE(YEAR(DU$2),MONTH(DU$2)+1,DAY(DU$2)),SUMIFS(AC_SOTIEN,AC_THANG,DU$2,AC_KM,$E65),SUMIFS(TF_SOTIEN,TF_THANG,DU$2,TF_KM,$E65))/ 1000</f>
        <v>0</v>
      </c>
      <c r="EB65" s="1112" t="str">
        <f t="shared" si="822"/>
        <v/>
      </c>
      <c r="EC65" s="1112" t="str">
        <f t="shared" ref="EC65:EC66" si="865">IFERROR(EA65/EA$113,"")</f>
        <v/>
      </c>
      <c r="ED65" s="1142">
        <f t="shared" si="599"/>
        <v>0</v>
      </c>
      <c r="EE65" s="1112" t="str">
        <f t="shared" si="80"/>
        <v/>
      </c>
      <c r="EF65" s="1142">
        <f t="shared" si="600"/>
        <v>0</v>
      </c>
      <c r="EG65" s="1112" t="str">
        <f t="shared" si="82"/>
        <v/>
      </c>
      <c r="EH65" s="1110">
        <f>SUMIFS(BP_SOTIEN,BP_THANG,EH$2,BP_KM,$E65)/1000</f>
        <v>0</v>
      </c>
      <c r="EI65" s="1112">
        <f t="shared" si="823"/>
        <v>0</v>
      </c>
      <c r="EJ65" s="1112"/>
      <c r="EK65" s="1142">
        <f>IF(NOW()&gt;=DATE(YEAR(EH$2),MONTH(EH$2)+1,DAY(EH$2)),SUMIFS(TF_SOTIEN,TF_THANG,EH$2,TF_KM,$E65)/1000, EN65)</f>
        <v>0</v>
      </c>
      <c r="EL65" s="1112">
        <f t="shared" si="824"/>
        <v>0</v>
      </c>
      <c r="EM65" s="1112"/>
      <c r="EN65" s="1142">
        <f>IF(NOW()&gt;=DATE(YEAR(EH$2),MONTH(EH$2)+1,DAY(EH$2)),SUMIFS(AC_SOTIEN,AC_THANG,EH$2,AC_KM,$E65),SUMIFS(TF_SOTIEN,TF_THANG,EH$2,TF_KM,$E65))/ 1000</f>
        <v>0</v>
      </c>
      <c r="EO65" s="1112" t="str">
        <f t="shared" si="825"/>
        <v/>
      </c>
      <c r="EP65" s="1112" t="str">
        <f t="shared" ref="EP65:EP66" si="866">IFERROR(EN65/EN$113,"")</f>
        <v/>
      </c>
      <c r="EQ65" s="1142">
        <f t="shared" si="607"/>
        <v>0</v>
      </c>
      <c r="ER65" s="1112" t="str">
        <f t="shared" si="87"/>
        <v/>
      </c>
      <c r="ES65" s="1142">
        <f t="shared" si="608"/>
        <v>0</v>
      </c>
      <c r="ET65" s="1112" t="str">
        <f t="shared" si="89"/>
        <v/>
      </c>
      <c r="EU65" s="1110">
        <f>SUMIFS(BP_SOTIEN,BP_THANG,EU$2,BP_KM,$E65)/1000</f>
        <v>0</v>
      </c>
      <c r="EV65" s="1112">
        <f t="shared" si="826"/>
        <v>0</v>
      </c>
      <c r="EW65" s="1112"/>
      <c r="EX65" s="1142">
        <f>IF(NOW()&gt;=DATE(YEAR(EU$2),MONTH(EU$2)+1,DAY(EU$2)),SUMIFS(TF_SOTIEN,TF_THANG,EU$2,TF_KM,$E65)/1000, FA65)</f>
        <v>0</v>
      </c>
      <c r="EY65" s="1112">
        <f t="shared" si="827"/>
        <v>0</v>
      </c>
      <c r="EZ65" s="1112"/>
      <c r="FA65" s="1142">
        <f>IF(NOW()&gt;=DATE(YEAR(EU$2),MONTH(EU$2)+1,DAY(EU$2)),SUMIFS(AC_SOTIEN,AC_THANG,EU$2,AC_KM,$E65),SUMIFS(TF_SOTIEN,TF_THANG,EU$2,TF_KM,$E65))/ 1000</f>
        <v>0</v>
      </c>
      <c r="FB65" s="1112" t="str">
        <f t="shared" si="828"/>
        <v/>
      </c>
      <c r="FC65" s="1112" t="str">
        <f t="shared" ref="FC65:FC66" si="867">IFERROR(FA65/FA$113,"")</f>
        <v/>
      </c>
      <c r="FD65" s="1142">
        <f t="shared" si="616"/>
        <v>0</v>
      </c>
      <c r="FE65" s="1112" t="str">
        <f t="shared" si="94"/>
        <v/>
      </c>
      <c r="FF65" s="1142">
        <f t="shared" si="617"/>
        <v>0</v>
      </c>
      <c r="FG65" s="1112" t="str">
        <f t="shared" si="96"/>
        <v/>
      </c>
      <c r="FH65" s="1110">
        <f t="shared" si="618"/>
        <v>0</v>
      </c>
      <c r="FI65" s="1112">
        <f t="shared" si="829"/>
        <v>0</v>
      </c>
      <c r="FJ65" s="1112">
        <f t="shared" ref="FJ65:FJ66" si="868">IFERROR(FH65/FH$113,"")</f>
        <v>0</v>
      </c>
      <c r="FK65" s="1142">
        <f t="shared" si="621"/>
        <v>0</v>
      </c>
      <c r="FL65" s="1112">
        <f t="shared" si="830"/>
        <v>0</v>
      </c>
      <c r="FM65" s="1112">
        <f t="shared" ref="FM65:FM66" si="869">IFERROR(FK65/FK$113,"")</f>
        <v>0</v>
      </c>
      <c r="FN65" s="1142">
        <f t="shared" si="624"/>
        <v>0</v>
      </c>
      <c r="FO65" s="1112" t="str">
        <f t="shared" si="831"/>
        <v/>
      </c>
      <c r="FP65" s="1112" t="str">
        <f t="shared" ref="FP65:FP66" si="870">IFERROR(FN65/FN$113,"")</f>
        <v/>
      </c>
      <c r="FQ65" s="1142">
        <f t="shared" si="627"/>
        <v>0</v>
      </c>
      <c r="FR65" s="1112" t="str">
        <f t="shared" si="104"/>
        <v/>
      </c>
      <c r="FS65" s="1142">
        <f t="shared" si="628"/>
        <v>0</v>
      </c>
      <c r="FT65" s="1112" t="str">
        <f t="shared" si="106"/>
        <v/>
      </c>
      <c r="FU65" s="1110">
        <f>SUMIFS(BP_SOTIEN,BP_THANG,FU$2,BP_KM,$E65)/1000</f>
        <v>0</v>
      </c>
      <c r="FV65" s="1112">
        <f t="shared" si="832"/>
        <v>0</v>
      </c>
      <c r="FW65" s="1112"/>
      <c r="FX65" s="1142">
        <f>IF(NOW()&gt;=DATE(YEAR(FU$2),MONTH(FU$2)+1,DAY(FU$2)),SUMIFS(TF_SOTIEN,TF_THANG,FU$2,TF_KM,$E65)/1000, GA65)</f>
        <v>0</v>
      </c>
      <c r="FY65" s="1112">
        <f t="shared" si="833"/>
        <v>0</v>
      </c>
      <c r="FZ65" s="1112"/>
      <c r="GA65" s="1142">
        <f>IF(NOW()&gt;=DATE(YEAR(FU$2),MONTH(FU$2)+1,DAY(FU$2)),SUMIFS(AC_SOTIEN,AC_THANG,FU$2,AC_KM,$E65),SUMIFS(TF_SOTIEN,TF_THANG,FU$2,TF_KM,$E65))/ 1000</f>
        <v>0</v>
      </c>
      <c r="GB65" s="1112" t="str">
        <f t="shared" si="834"/>
        <v/>
      </c>
      <c r="GC65" s="1112" t="str">
        <f t="shared" ref="GC65:GC66" si="871">IFERROR(GA65/GA$113,"")</f>
        <v/>
      </c>
      <c r="GD65" s="1142">
        <f t="shared" si="635"/>
        <v>0</v>
      </c>
      <c r="GE65" s="1112" t="str">
        <f t="shared" si="111"/>
        <v/>
      </c>
      <c r="GF65" s="1142">
        <f t="shared" si="636"/>
        <v>0</v>
      </c>
      <c r="GG65" s="1112" t="str">
        <f t="shared" si="113"/>
        <v/>
      </c>
      <c r="GH65" s="1110">
        <f>SUMIFS(BP_SOTIEN,BP_THANG,GH$2,BP_KM,$E65)/1000</f>
        <v>0</v>
      </c>
      <c r="GI65" s="1112">
        <f t="shared" si="835"/>
        <v>0</v>
      </c>
      <c r="GJ65" s="1112"/>
      <c r="GK65" s="1142">
        <f>IF(NOW()&gt;=DATE(YEAR(GH$2),MONTH(GH$2)+1,DAY(GH$2)),SUMIFS(TF_SOTIEN,TF_THANG,GH$2,TF_KM,$E65)/1000, GN65)</f>
        <v>0</v>
      </c>
      <c r="GL65" s="1112">
        <f t="shared" si="836"/>
        <v>0</v>
      </c>
      <c r="GM65" s="1112"/>
      <c r="GN65" s="1142">
        <f>IF(NOW()&gt;=DATE(YEAR(GH$2),MONTH(GH$2)+1,DAY(GH$2)),SUMIFS(AC_SOTIEN,AC_THANG,GH$2,AC_KM,$E65),SUMIFS(TF_SOTIEN,TF_THANG,GH$2,TF_KM,$E65))/ 1000</f>
        <v>0</v>
      </c>
      <c r="GO65" s="1112" t="str">
        <f t="shared" si="837"/>
        <v/>
      </c>
      <c r="GP65" s="1112" t="str">
        <f t="shared" ref="GP65:GP66" si="872">IFERROR(GN65/GN$113,"")</f>
        <v/>
      </c>
      <c r="GQ65" s="1142">
        <f t="shared" si="643"/>
        <v>0</v>
      </c>
      <c r="GR65" s="1112" t="str">
        <f t="shared" si="118"/>
        <v/>
      </c>
      <c r="GS65" s="1142">
        <f t="shared" si="644"/>
        <v>0</v>
      </c>
      <c r="GT65" s="1112" t="str">
        <f t="shared" si="120"/>
        <v/>
      </c>
      <c r="GU65" s="1110">
        <f>SUMIFS(BP_SOTIEN,BP_THANG,GU$2,BP_KM,$E65)/1000</f>
        <v>0</v>
      </c>
      <c r="GV65" s="1112">
        <f t="shared" si="838"/>
        <v>0</v>
      </c>
      <c r="GW65" s="1112"/>
      <c r="GX65" s="1142">
        <f>IF(NOW()&gt;=DATE(YEAR(GU$2),MONTH(GU$2)+1,DAY(GU$2)),SUMIFS(TF_SOTIEN,TF_THANG,GU$2,TF_KM,$E65)/1000, HA65)</f>
        <v>0</v>
      </c>
      <c r="GY65" s="1112">
        <f t="shared" si="839"/>
        <v>0</v>
      </c>
      <c r="GZ65" s="1112"/>
      <c r="HA65" s="1142">
        <f>IF(NOW()&gt;=DATE(YEAR(GU$2),MONTH(GU$2)+1,DAY(GU$2)),SUMIFS(AC_SOTIEN,AC_THANG,GU$2,AC_KM,$E65),SUMIFS(TF_SOTIEN,TF_THANG,GU$2,TF_KM,$E65))/ 1000</f>
        <v>0</v>
      </c>
      <c r="HB65" s="1112" t="str">
        <f t="shared" si="840"/>
        <v/>
      </c>
      <c r="HC65" s="1112" t="str">
        <f t="shared" ref="HC65:HC66" si="873">IFERROR(HA65/HA$113,"")</f>
        <v/>
      </c>
      <c r="HD65" s="1142">
        <f t="shared" si="651"/>
        <v>0</v>
      </c>
      <c r="HE65" s="1112" t="str">
        <f t="shared" si="125"/>
        <v/>
      </c>
      <c r="HF65" s="1142">
        <f t="shared" si="652"/>
        <v>0</v>
      </c>
      <c r="HG65" s="1112" t="str">
        <f t="shared" si="127"/>
        <v/>
      </c>
      <c r="HH65" s="1110">
        <f t="shared" si="653"/>
        <v>0</v>
      </c>
      <c r="HI65" s="1112">
        <f t="shared" si="841"/>
        <v>0</v>
      </c>
      <c r="HJ65" s="1112">
        <f t="shared" ref="HJ65:HJ66" si="874">IFERROR(HH65/HH$113,"")</f>
        <v>0</v>
      </c>
      <c r="HK65" s="1142">
        <f t="shared" si="656"/>
        <v>0</v>
      </c>
      <c r="HL65" s="1112">
        <f t="shared" si="842"/>
        <v>0</v>
      </c>
      <c r="HM65" s="1112">
        <f t="shared" ref="HM65:HM66" si="875">IFERROR(HK65/HK$113,"")</f>
        <v>0</v>
      </c>
      <c r="HN65" s="1142">
        <f t="shared" si="659"/>
        <v>0</v>
      </c>
      <c r="HO65" s="1112" t="str">
        <f t="shared" si="843"/>
        <v/>
      </c>
      <c r="HP65" s="1112" t="str">
        <f t="shared" ref="HP65:HP66" si="876">IFERROR(HN65/HN$113,"")</f>
        <v/>
      </c>
      <c r="HQ65" s="1142">
        <f t="shared" si="662"/>
        <v>0</v>
      </c>
      <c r="HR65" s="1112" t="str">
        <f t="shared" si="135"/>
        <v/>
      </c>
      <c r="HS65" s="1142">
        <f t="shared" si="663"/>
        <v>0</v>
      </c>
      <c r="HT65" s="1112" t="str">
        <f t="shared" si="137"/>
        <v/>
      </c>
      <c r="HU65" s="1110">
        <f t="shared" si="664"/>
        <v>0</v>
      </c>
      <c r="HV65" s="1112">
        <f t="shared" si="844"/>
        <v>0</v>
      </c>
      <c r="HW65" s="1112">
        <f t="shared" ref="HW65:HW66" si="877">IFERROR(HU65/HU$113,"")</f>
        <v>0</v>
      </c>
      <c r="HX65" s="1142">
        <f t="shared" si="667"/>
        <v>0</v>
      </c>
      <c r="HY65" s="1112">
        <f t="shared" si="845"/>
        <v>0</v>
      </c>
      <c r="HZ65" s="1112">
        <f t="shared" ref="HZ65:HZ66" si="878">IFERROR(HX65/HX$113,"")</f>
        <v>0</v>
      </c>
      <c r="IA65" s="1142">
        <f t="shared" si="670"/>
        <v>0</v>
      </c>
      <c r="IB65" s="1112" t="str">
        <f t="shared" si="846"/>
        <v/>
      </c>
      <c r="IC65" s="1112" t="str">
        <f t="shared" ref="IC65:IC66" si="879">IFERROR(IA65/IA$113,"")</f>
        <v/>
      </c>
      <c r="ID65" s="1142">
        <f t="shared" si="673"/>
        <v>0</v>
      </c>
      <c r="IE65" s="1112" t="str">
        <f t="shared" si="145"/>
        <v/>
      </c>
      <c r="IF65" s="1142">
        <f t="shared" si="674"/>
        <v>0</v>
      </c>
      <c r="IG65" s="1112" t="str">
        <f t="shared" si="147"/>
        <v/>
      </c>
      <c r="IH65" s="1110">
        <f t="shared" si="675"/>
        <v>0</v>
      </c>
      <c r="II65" s="1112">
        <f t="shared" si="847"/>
        <v>0</v>
      </c>
      <c r="IJ65" s="1112">
        <f t="shared" ref="IJ65:IJ66" si="880">IFERROR(IH65/IH$113,"")</f>
        <v>0</v>
      </c>
      <c r="IK65" s="1142">
        <f t="shared" si="678"/>
        <v>0</v>
      </c>
      <c r="IL65" s="1112">
        <f t="shared" si="848"/>
        <v>0</v>
      </c>
      <c r="IM65" s="1112">
        <f t="shared" ref="IM65:IM66" si="881">IFERROR(IK65/IK$113,"")</f>
        <v>0</v>
      </c>
      <c r="IN65" s="1142">
        <f t="shared" si="681"/>
        <v>0</v>
      </c>
      <c r="IO65" s="1112">
        <f t="shared" si="849"/>
        <v>0</v>
      </c>
      <c r="IP65" s="1112">
        <f t="shared" ref="IP65:IP66" si="882">IFERROR(IN65/IN$113,"")</f>
        <v>0</v>
      </c>
      <c r="IQ65" s="1142">
        <f t="shared" si="684"/>
        <v>0</v>
      </c>
      <c r="IR65" s="1112" t="str">
        <f t="shared" si="1"/>
        <v/>
      </c>
      <c r="IS65" s="1142">
        <f t="shared" si="685"/>
        <v>0</v>
      </c>
      <c r="IT65" s="1112" t="str">
        <f t="shared" si="2"/>
        <v/>
      </c>
    </row>
    <row r="66">
      <c r="A66" s="1107" t="s">
        <v>2827</v>
      </c>
      <c r="B66" s="1108"/>
      <c r="C66" s="1108"/>
      <c r="D66" s="1108"/>
      <c r="E66" s="1108"/>
      <c r="F66" s="1108"/>
      <c r="G66" s="1141">
        <v>1.0</v>
      </c>
      <c r="H66" s="1110">
        <f>SUMIF($G$67:$G$83,2,H$67:H$83)</f>
        <v>53170</v>
      </c>
      <c r="I66" s="1112" t="str">
        <f t="shared" si="791"/>
        <v/>
      </c>
      <c r="J66" s="1112">
        <f>IFERROR(H66/H$113,"")</f>
        <v>0.1177984952</v>
      </c>
      <c r="K66" s="1142">
        <f>SUMIF($G$67:$G$83,2,K$67:K$83)</f>
        <v>53170</v>
      </c>
      <c r="L66" s="1112">
        <f t="shared" si="792"/>
        <v>0.4430833333</v>
      </c>
      <c r="M66" s="1112">
        <f>IFERROR(K66/K$113,"")</f>
        <v>0.1177984952</v>
      </c>
      <c r="N66" s="1142">
        <f>SUMIF($G$67:$G$83,2,N$67:N$83)</f>
        <v>716325.608</v>
      </c>
      <c r="O66" s="1112">
        <f t="shared" si="793"/>
        <v>2.106840024</v>
      </c>
      <c r="P66" s="1112">
        <f t="shared" si="850"/>
        <v>0.8639963472</v>
      </c>
      <c r="Q66" s="1143">
        <f t="shared" si="518"/>
        <v>663155.608</v>
      </c>
      <c r="R66" s="1144">
        <f t="shared" si="8"/>
        <v>12.47236427</v>
      </c>
      <c r="S66" s="1143">
        <f t="shared" si="519"/>
        <v>663155.608</v>
      </c>
      <c r="T66" s="1144">
        <f t="shared" si="10"/>
        <v>12.47236427</v>
      </c>
      <c r="U66" s="1110">
        <f>SUMIF($G$67:$G$83,2,U$67:U$83)</f>
        <v>53170</v>
      </c>
      <c r="V66" s="1112" t="str">
        <f t="shared" si="794"/>
        <v/>
      </c>
      <c r="W66" s="1112">
        <f>IFERROR(U66/U$113,"")</f>
        <v>0.118586684</v>
      </c>
      <c r="X66" s="1142">
        <f>SUMIF($G$67:$G$83,2,X$67:X$83)</f>
        <v>89732.467</v>
      </c>
      <c r="Y66" s="1112" t="str">
        <f t="shared" si="795"/>
        <v/>
      </c>
      <c r="Z66" s="1112">
        <f>IFERROR(X66/X$113,"")</f>
        <v>0.3727701187</v>
      </c>
      <c r="AA66" s="1142">
        <f>SUMIF($G$67:$G$83,2,AA$67:AA$83)</f>
        <v>167388.567</v>
      </c>
      <c r="AB66" s="1112">
        <f t="shared" si="796"/>
        <v>0.9299364833</v>
      </c>
      <c r="AC66" s="1112">
        <f t="shared" si="851"/>
        <v>0.5373933546</v>
      </c>
      <c r="AD66" s="1143">
        <f t="shared" si="526"/>
        <v>114218.567</v>
      </c>
      <c r="AE66" s="1144">
        <f t="shared" si="15"/>
        <v>2.148176923</v>
      </c>
      <c r="AF66" s="1143">
        <f t="shared" si="527"/>
        <v>77656.1</v>
      </c>
      <c r="AG66" s="1144">
        <f t="shared" si="17"/>
        <v>0.8654180877</v>
      </c>
      <c r="AH66" s="1110">
        <f>SUMIF($G$67:$G$83,2,AH$67:AH$83)</f>
        <v>53170</v>
      </c>
      <c r="AI66" s="1112" t="str">
        <f t="shared" si="797"/>
        <v/>
      </c>
      <c r="AJ66" s="1112">
        <f>IFERROR(AH66/AH$113,"")</f>
        <v>0.118586684</v>
      </c>
      <c r="AK66" s="1142">
        <f>SUMIF($G$67:$G$83,2,AK$67:AK$83)</f>
        <v>229092.467</v>
      </c>
      <c r="AL66" s="1112">
        <f t="shared" si="798"/>
        <v>0.06363679639</v>
      </c>
      <c r="AM66" s="1112">
        <f>IFERROR(AK66/AK$113,"")</f>
        <v>0.6027512349</v>
      </c>
      <c r="AN66" s="1142">
        <f>SUMIF($G$67:$G$83,2,AN$67:AN$83)</f>
        <v>609298.794</v>
      </c>
      <c r="AO66" s="1112">
        <f t="shared" si="799"/>
        <v>0.9121239431</v>
      </c>
      <c r="AP66" s="1112">
        <f t="shared" si="852"/>
        <v>0.7471396982</v>
      </c>
      <c r="AQ66" s="1143">
        <f t="shared" si="534"/>
        <v>556128.794</v>
      </c>
      <c r="AR66" s="1144">
        <f t="shared" si="22"/>
        <v>10.45944694</v>
      </c>
      <c r="AS66" s="1143">
        <f t="shared" si="535"/>
        <v>380206.327</v>
      </c>
      <c r="AT66" s="1144">
        <f t="shared" si="24"/>
        <v>1.659619506</v>
      </c>
      <c r="AU66" s="1110">
        <f t="shared" si="536"/>
        <v>159510</v>
      </c>
      <c r="AV66" s="1112" t="str">
        <f t="shared" si="800"/>
        <v/>
      </c>
      <c r="AW66" s="1112">
        <f t="shared" si="853"/>
        <v>0.1183227851</v>
      </c>
      <c r="AX66" s="1142">
        <f t="shared" si="539"/>
        <v>371994.934</v>
      </c>
      <c r="AY66" s="1112">
        <f t="shared" si="801"/>
        <v>0.09999863817</v>
      </c>
      <c r="AZ66" s="1112">
        <f t="shared" si="854"/>
        <v>0.3469584329</v>
      </c>
      <c r="BA66" s="1142">
        <f t="shared" si="542"/>
        <v>1493012.969</v>
      </c>
      <c r="BB66" s="1112">
        <f t="shared" si="802"/>
        <v>1.256744923</v>
      </c>
      <c r="BC66" s="1112">
        <f t="shared" si="855"/>
        <v>0.7632698025</v>
      </c>
      <c r="BD66" s="1143">
        <f t="shared" si="545"/>
        <v>1333502.969</v>
      </c>
      <c r="BE66" s="1144">
        <f t="shared" si="32"/>
        <v>8.359996044</v>
      </c>
      <c r="BF66" s="1143">
        <f t="shared" si="546"/>
        <v>1121018.035</v>
      </c>
      <c r="BG66" s="1144">
        <f t="shared" si="34"/>
        <v>3.01353038</v>
      </c>
      <c r="BH66" s="1110">
        <f>SUMIF($G$67:$G$83,2,BH$67:BH$83)</f>
        <v>7710170</v>
      </c>
      <c r="BI66" s="1112">
        <f t="shared" si="803"/>
        <v>1.9275425</v>
      </c>
      <c r="BJ66" s="1112">
        <f>IFERROR(BH66/BH$113,"")</f>
        <v>0.9512429053</v>
      </c>
      <c r="BK66" s="1142">
        <f>SUMIF($G$67:$G$83,2,BK$67:BK$83)</f>
        <v>330930.667</v>
      </c>
      <c r="BL66" s="1112" t="str">
        <f t="shared" si="804"/>
        <v/>
      </c>
      <c r="BM66" s="1112">
        <f>IFERROR(BK66/BK$113,"")</f>
        <v>0.5609750189</v>
      </c>
      <c r="BN66" s="1142">
        <f>SUMIF($G$67:$G$83,2,BN$67:BN$83)</f>
        <v>1185113.083</v>
      </c>
      <c r="BO66" s="1112">
        <f t="shared" si="805"/>
        <v>0.455630472</v>
      </c>
      <c r="BP66" s="1112">
        <f t="shared" si="856"/>
        <v>0.848265806</v>
      </c>
      <c r="BQ66" s="1143">
        <f t="shared" si="553"/>
        <v>-6525056.917</v>
      </c>
      <c r="BR66" s="1144">
        <f t="shared" si="39"/>
        <v>-0.846292224</v>
      </c>
      <c r="BS66" s="1143">
        <f t="shared" si="554"/>
        <v>854182.416</v>
      </c>
      <c r="BT66" s="1144">
        <f t="shared" si="41"/>
        <v>2.58115219</v>
      </c>
      <c r="BU66" s="1110">
        <f>SUMIF($G$67:$G$83,2,BU$67:BU$83)</f>
        <v>7710170</v>
      </c>
      <c r="BV66" s="1112">
        <f t="shared" si="806"/>
        <v>1.9275425</v>
      </c>
      <c r="BW66" s="1112">
        <f>IFERROR(BU66/BU$113,"")</f>
        <v>0.9517319597</v>
      </c>
      <c r="BX66" s="1142">
        <f>SUMIF($G$67:$G$83,2,BX$67:BX$83)</f>
        <v>789356.936</v>
      </c>
      <c r="BY66" s="1112">
        <f t="shared" si="807"/>
        <v>0.5281899785</v>
      </c>
      <c r="BZ66" s="1112">
        <f>IFERROR(BX66/BX$113,"")</f>
        <v>0.7476030004</v>
      </c>
      <c r="CA66" s="1142">
        <f>SUMIF($G$67:$G$83,2,CA$67:CA$83)</f>
        <v>537626.524</v>
      </c>
      <c r="CB66" s="1112">
        <f t="shared" si="808"/>
        <v>0.9676990993</v>
      </c>
      <c r="CC66" s="1112">
        <f t="shared" si="857"/>
        <v>0.6819980701</v>
      </c>
      <c r="CD66" s="1143">
        <f t="shared" si="561"/>
        <v>-7172543.476</v>
      </c>
      <c r="CE66" s="1144">
        <f t="shared" si="46"/>
        <v>-0.9302704708</v>
      </c>
      <c r="CF66" s="1143">
        <f t="shared" si="562"/>
        <v>-251730.412</v>
      </c>
      <c r="CG66" s="1144">
        <f t="shared" si="48"/>
        <v>-0.318905682</v>
      </c>
      <c r="CH66" s="1110">
        <f>SUMIF($G$67:$G$83,2,CH$67:CH$83)</f>
        <v>7710170</v>
      </c>
      <c r="CI66" s="1112">
        <f t="shared" si="809"/>
        <v>1.9275425</v>
      </c>
      <c r="CJ66" s="1112">
        <f>IFERROR(CH66/CH$113,"")</f>
        <v>0.9517319597</v>
      </c>
      <c r="CK66" s="1142">
        <f>SUMIF($G$67:$G$83,2,CK$67:CK$83)</f>
        <v>6462170</v>
      </c>
      <c r="CL66" s="1112" t="str">
        <f t="shared" si="810"/>
        <v/>
      </c>
      <c r="CM66" s="1112">
        <f>IFERROR(CK66/CK$113,"")</f>
        <v>0.9596212343</v>
      </c>
      <c r="CN66" s="1142">
        <f>SUMIF($G$67:$G$83,2,CN$67:CN$83)</f>
        <v>0</v>
      </c>
      <c r="CO66" s="1112" t="str">
        <f t="shared" si="811"/>
        <v/>
      </c>
      <c r="CP66" s="1112" t="str">
        <f t="shared" si="858"/>
        <v/>
      </c>
      <c r="CQ66" s="1143">
        <f t="shared" si="569"/>
        <v>-7710170</v>
      </c>
      <c r="CR66" s="1144">
        <f t="shared" si="53"/>
        <v>-1</v>
      </c>
      <c r="CS66" s="1143">
        <f t="shared" si="570"/>
        <v>-6462170</v>
      </c>
      <c r="CT66" s="1144">
        <f t="shared" si="55"/>
        <v>-1</v>
      </c>
      <c r="CU66" s="1110">
        <f t="shared" si="571"/>
        <v>23130510</v>
      </c>
      <c r="CV66" s="1112">
        <f t="shared" si="812"/>
        <v>1.9275425</v>
      </c>
      <c r="CW66" s="1112">
        <f t="shared" si="859"/>
        <v>0.9515688857</v>
      </c>
      <c r="CX66" s="1142">
        <f t="shared" si="813"/>
        <v>7582457.603</v>
      </c>
      <c r="CY66" s="1112">
        <f t="shared" si="814"/>
        <v>5.07372259</v>
      </c>
      <c r="CZ66" s="1112">
        <f t="shared" si="860"/>
        <v>0.9048435417</v>
      </c>
      <c r="DA66" s="1142">
        <f t="shared" si="815"/>
        <v>1722739.607</v>
      </c>
      <c r="DB66" s="1112">
        <f t="shared" si="816"/>
        <v>0.5457558949</v>
      </c>
      <c r="DC66" s="1112">
        <f t="shared" si="861"/>
        <v>0.7882905378</v>
      </c>
      <c r="DD66" s="1143">
        <f t="shared" si="580"/>
        <v>-21407770.39</v>
      </c>
      <c r="DE66" s="1144">
        <f t="shared" si="63"/>
        <v>-0.9255208983</v>
      </c>
      <c r="DF66" s="1143">
        <f t="shared" si="581"/>
        <v>-5859717.996</v>
      </c>
      <c r="DG66" s="1144">
        <f t="shared" si="65"/>
        <v>-0.772799309</v>
      </c>
      <c r="DH66" s="1110">
        <f t="shared" si="582"/>
        <v>23290020</v>
      </c>
      <c r="DI66" s="1112">
        <f t="shared" si="817"/>
        <v>1.940835</v>
      </c>
      <c r="DJ66" s="1112">
        <f t="shared" si="862"/>
        <v>0.907785802</v>
      </c>
      <c r="DK66" s="1142">
        <f t="shared" si="585"/>
        <v>7954452.537</v>
      </c>
      <c r="DL66" s="1112">
        <f t="shared" si="818"/>
        <v>1.525461487</v>
      </c>
      <c r="DM66" s="1112">
        <f t="shared" si="863"/>
        <v>0.8415615774</v>
      </c>
      <c r="DN66" s="1142">
        <f t="shared" si="588"/>
        <v>3215752.576</v>
      </c>
      <c r="DO66" s="1112">
        <f t="shared" si="819"/>
        <v>0.7401702559</v>
      </c>
      <c r="DP66" s="1112">
        <f t="shared" si="864"/>
        <v>0.7764729383</v>
      </c>
      <c r="DQ66" s="1143">
        <f t="shared" si="591"/>
        <v>-20074267.42</v>
      </c>
      <c r="DR66" s="1144">
        <f t="shared" si="73"/>
        <v>-0.8619257272</v>
      </c>
      <c r="DS66" s="1143">
        <f t="shared" si="592"/>
        <v>-4738699.961</v>
      </c>
      <c r="DT66" s="1144">
        <f t="shared" si="75"/>
        <v>-0.5957292396</v>
      </c>
      <c r="DU66" s="1110">
        <f>SUMIF($G$67:$G$83,2,DU$67:DU$83)</f>
        <v>7710170</v>
      </c>
      <c r="DV66" s="1112">
        <f t="shared" si="820"/>
        <v>1.9275425</v>
      </c>
      <c r="DW66" s="1112">
        <f>IFERROR(DU66/DU$113,"")</f>
        <v>0.9517319597</v>
      </c>
      <c r="DX66" s="1142">
        <f>SUMIF($G$67:$G$83,2,DX$67:DX$83)</f>
        <v>7710170</v>
      </c>
      <c r="DY66" s="1112">
        <f t="shared" si="821"/>
        <v>1.27651822</v>
      </c>
      <c r="DZ66" s="1112">
        <f>IFERROR(DX66/DX$113,"")</f>
        <v>0.9517319597</v>
      </c>
      <c r="EA66" s="1142">
        <f>SUMIF($G$67:$G$83,2,EA$67:EA$83)</f>
        <v>0</v>
      </c>
      <c r="EB66" s="1112" t="str">
        <f t="shared" si="822"/>
        <v/>
      </c>
      <c r="EC66" s="1112" t="str">
        <f t="shared" si="865"/>
        <v/>
      </c>
      <c r="ED66" s="1143">
        <f t="shared" si="599"/>
        <v>-7710170</v>
      </c>
      <c r="EE66" s="1144">
        <f t="shared" si="80"/>
        <v>-1</v>
      </c>
      <c r="EF66" s="1143">
        <f t="shared" si="600"/>
        <v>-7710170</v>
      </c>
      <c r="EG66" s="1144">
        <f t="shared" si="82"/>
        <v>-1</v>
      </c>
      <c r="EH66" s="1110">
        <f>SUMIF($G$67:$G$83,2,EH$67:EH$83)</f>
        <v>7710170</v>
      </c>
      <c r="EI66" s="1112">
        <f t="shared" si="823"/>
        <v>1.9275425</v>
      </c>
      <c r="EJ66" s="1112">
        <f>IFERROR(EH66/EH$113,"")</f>
        <v>0.9517319597</v>
      </c>
      <c r="EK66" s="1142">
        <f>SUMIF($G$67:$G$83,2,EK$67:EK$83)</f>
        <v>7710170</v>
      </c>
      <c r="EL66" s="1112">
        <f t="shared" si="824"/>
        <v>1.27651822</v>
      </c>
      <c r="EM66" s="1112">
        <f>IFERROR(EK66/EK$113,"")</f>
        <v>0.9517319597</v>
      </c>
      <c r="EN66" s="1142">
        <f>SUMIF($G$67:$G$83,2,EN$67:EN$83)</f>
        <v>0</v>
      </c>
      <c r="EO66" s="1112" t="str">
        <f t="shared" si="825"/>
        <v/>
      </c>
      <c r="EP66" s="1112" t="str">
        <f t="shared" si="866"/>
        <v/>
      </c>
      <c r="EQ66" s="1143">
        <f t="shared" si="607"/>
        <v>-7710170</v>
      </c>
      <c r="ER66" s="1144">
        <f t="shared" si="87"/>
        <v>-1</v>
      </c>
      <c r="ES66" s="1143">
        <f t="shared" si="608"/>
        <v>-7710170</v>
      </c>
      <c r="ET66" s="1144">
        <f t="shared" si="89"/>
        <v>-1</v>
      </c>
      <c r="EU66" s="1110">
        <f>SUMIF($G$67:$G$83,2,EU$67:EU$83)</f>
        <v>7710170</v>
      </c>
      <c r="EV66" s="1112">
        <f t="shared" si="826"/>
        <v>1.9275425</v>
      </c>
      <c r="EW66" s="1112">
        <f>IFERROR(EU66/EU$113,"")</f>
        <v>0.9517319597</v>
      </c>
      <c r="EX66" s="1142">
        <f>SUMIF($G$67:$G$83,2,EX$67:EX$83)</f>
        <v>7710170</v>
      </c>
      <c r="EY66" s="1112">
        <f t="shared" si="827"/>
        <v>1.27651822</v>
      </c>
      <c r="EZ66" s="1112">
        <f>IFERROR(EX66/EX$113,"")</f>
        <v>0.9517319597</v>
      </c>
      <c r="FA66" s="1142">
        <f>SUMIF($G$67:$G$83,2,FA$67:FA$83)</f>
        <v>0</v>
      </c>
      <c r="FB66" s="1112" t="str">
        <f t="shared" si="828"/>
        <v/>
      </c>
      <c r="FC66" s="1112" t="str">
        <f t="shared" si="867"/>
        <v/>
      </c>
      <c r="FD66" s="1143">
        <f t="shared" si="616"/>
        <v>-7710170</v>
      </c>
      <c r="FE66" s="1144">
        <f t="shared" si="94"/>
        <v>-1</v>
      </c>
      <c r="FF66" s="1143">
        <f t="shared" si="617"/>
        <v>-7710170</v>
      </c>
      <c r="FG66" s="1144">
        <f t="shared" si="96"/>
        <v>-1</v>
      </c>
      <c r="FH66" s="1110">
        <f t="shared" si="618"/>
        <v>23130510</v>
      </c>
      <c r="FI66" s="1112">
        <f t="shared" si="829"/>
        <v>1.9275425</v>
      </c>
      <c r="FJ66" s="1112">
        <f t="shared" si="868"/>
        <v>0.9517319597</v>
      </c>
      <c r="FK66" s="1142">
        <f t="shared" si="621"/>
        <v>23130510</v>
      </c>
      <c r="FL66" s="1112">
        <f t="shared" si="830"/>
        <v>1.27651822</v>
      </c>
      <c r="FM66" s="1112">
        <f t="shared" si="869"/>
        <v>0.9517319597</v>
      </c>
      <c r="FN66" s="1142">
        <f t="shared" si="624"/>
        <v>0</v>
      </c>
      <c r="FO66" s="1112" t="str">
        <f t="shared" si="831"/>
        <v/>
      </c>
      <c r="FP66" s="1112" t="str">
        <f t="shared" si="870"/>
        <v/>
      </c>
      <c r="FQ66" s="1143">
        <f t="shared" si="627"/>
        <v>-23130510</v>
      </c>
      <c r="FR66" s="1144">
        <f t="shared" si="104"/>
        <v>-1</v>
      </c>
      <c r="FS66" s="1143">
        <f t="shared" si="628"/>
        <v>-23130510</v>
      </c>
      <c r="FT66" s="1144">
        <f t="shared" si="106"/>
        <v>-1</v>
      </c>
      <c r="FU66" s="1110">
        <f>SUMIF($G$67:$G$83,2,FU$67:FU$83)</f>
        <v>7710170</v>
      </c>
      <c r="FV66" s="1112">
        <f t="shared" si="832"/>
        <v>1.9275425</v>
      </c>
      <c r="FW66" s="1112">
        <f>IFERROR(FU66/FU$113,"")</f>
        <v>0.9517319597</v>
      </c>
      <c r="FX66" s="1142">
        <f>SUMIF($G$67:$G$83,2,FX$67:FX$83)</f>
        <v>7710170</v>
      </c>
      <c r="FY66" s="1112">
        <f t="shared" si="833"/>
        <v>1.27651822</v>
      </c>
      <c r="FZ66" s="1112">
        <f>IFERROR(FX66/FX$113,"")</f>
        <v>0.9517319597</v>
      </c>
      <c r="GA66" s="1142">
        <f>SUMIF($G$67:$G$83,2,GA$67:GA$83)</f>
        <v>0</v>
      </c>
      <c r="GB66" s="1112" t="str">
        <f t="shared" si="834"/>
        <v/>
      </c>
      <c r="GC66" s="1112" t="str">
        <f t="shared" si="871"/>
        <v/>
      </c>
      <c r="GD66" s="1143">
        <f t="shared" si="635"/>
        <v>-7710170</v>
      </c>
      <c r="GE66" s="1144">
        <f t="shared" si="111"/>
        <v>-1</v>
      </c>
      <c r="GF66" s="1143">
        <f t="shared" si="636"/>
        <v>-7710170</v>
      </c>
      <c r="GG66" s="1144">
        <f t="shared" si="113"/>
        <v>-1</v>
      </c>
      <c r="GH66" s="1110">
        <f>SUMIF($G$67:$G$83,2,GH$67:GH$83)</f>
        <v>7710170</v>
      </c>
      <c r="GI66" s="1112">
        <f t="shared" si="835"/>
        <v>1.9275425</v>
      </c>
      <c r="GJ66" s="1112">
        <f>IFERROR(GH66/GH$113,"")</f>
        <v>0.9517319597</v>
      </c>
      <c r="GK66" s="1142">
        <f>SUMIF($G$67:$G$83,2,GK$67:GK$83)</f>
        <v>7710170</v>
      </c>
      <c r="GL66" s="1112">
        <f t="shared" si="836"/>
        <v>1.27651822</v>
      </c>
      <c r="GM66" s="1112">
        <f>IFERROR(GK66/GK$113,"")</f>
        <v>0.9517319597</v>
      </c>
      <c r="GN66" s="1142">
        <f>SUMIF($G$67:$G$83,2,GN$67:GN$83)</f>
        <v>0</v>
      </c>
      <c r="GO66" s="1112" t="str">
        <f t="shared" si="837"/>
        <v/>
      </c>
      <c r="GP66" s="1112" t="str">
        <f t="shared" si="872"/>
        <v/>
      </c>
      <c r="GQ66" s="1143">
        <f t="shared" si="643"/>
        <v>-7710170</v>
      </c>
      <c r="GR66" s="1144">
        <f t="shared" si="118"/>
        <v>-1</v>
      </c>
      <c r="GS66" s="1143">
        <f t="shared" si="644"/>
        <v>-7710170</v>
      </c>
      <c r="GT66" s="1144">
        <f t="shared" si="120"/>
        <v>-1</v>
      </c>
      <c r="GU66" s="1110">
        <f>SUMIF($G$67:$G$83,2,GU$67:GU$83)</f>
        <v>7710170</v>
      </c>
      <c r="GV66" s="1112">
        <f t="shared" si="838"/>
        <v>1.9275425</v>
      </c>
      <c r="GW66" s="1112">
        <f>IFERROR(GU66/GU$113,"")</f>
        <v>0.9517319597</v>
      </c>
      <c r="GX66" s="1142">
        <f>SUMIF($G$67:$G$83,2,GX$67:GX$83)</f>
        <v>7710170</v>
      </c>
      <c r="GY66" s="1112">
        <f t="shared" si="839"/>
        <v>1.27651822</v>
      </c>
      <c r="GZ66" s="1112">
        <f>IFERROR(GX66/GX$113,"")</f>
        <v>0.9517319597</v>
      </c>
      <c r="HA66" s="1142">
        <f>SUMIF($G$67:$G$83,2,HA$67:HA$83)</f>
        <v>0</v>
      </c>
      <c r="HB66" s="1112" t="str">
        <f t="shared" si="840"/>
        <v/>
      </c>
      <c r="HC66" s="1112" t="str">
        <f t="shared" si="873"/>
        <v/>
      </c>
      <c r="HD66" s="1143">
        <f t="shared" si="651"/>
        <v>-7710170</v>
      </c>
      <c r="HE66" s="1144">
        <f t="shared" si="125"/>
        <v>-1</v>
      </c>
      <c r="HF66" s="1143">
        <f t="shared" si="652"/>
        <v>-7710170</v>
      </c>
      <c r="HG66" s="1144">
        <f t="shared" si="127"/>
        <v>-1</v>
      </c>
      <c r="HH66" s="1110">
        <f t="shared" si="653"/>
        <v>23130510</v>
      </c>
      <c r="HI66" s="1112">
        <f t="shared" si="841"/>
        <v>1.9275425</v>
      </c>
      <c r="HJ66" s="1112">
        <f t="shared" si="874"/>
        <v>0.9517319597</v>
      </c>
      <c r="HK66" s="1142">
        <f t="shared" si="656"/>
        <v>23130510</v>
      </c>
      <c r="HL66" s="1112">
        <f t="shared" si="842"/>
        <v>1.27651822</v>
      </c>
      <c r="HM66" s="1112">
        <f t="shared" si="875"/>
        <v>0.9517319597</v>
      </c>
      <c r="HN66" s="1142">
        <f t="shared" si="659"/>
        <v>0</v>
      </c>
      <c r="HO66" s="1112" t="str">
        <f t="shared" si="843"/>
        <v/>
      </c>
      <c r="HP66" s="1112" t="str">
        <f t="shared" si="876"/>
        <v/>
      </c>
      <c r="HQ66" s="1143">
        <f t="shared" si="662"/>
        <v>-23130510</v>
      </c>
      <c r="HR66" s="1144">
        <f t="shared" si="135"/>
        <v>-1</v>
      </c>
      <c r="HS66" s="1143">
        <f t="shared" si="663"/>
        <v>-23130510</v>
      </c>
      <c r="HT66" s="1144">
        <f t="shared" si="137"/>
        <v>-1</v>
      </c>
      <c r="HU66" s="1110">
        <f t="shared" si="664"/>
        <v>46261020</v>
      </c>
      <c r="HV66" s="1112">
        <f t="shared" si="844"/>
        <v>1.9275425</v>
      </c>
      <c r="HW66" s="1112">
        <f t="shared" si="877"/>
        <v>0.9517319597</v>
      </c>
      <c r="HX66" s="1142">
        <f t="shared" si="667"/>
        <v>46261020</v>
      </c>
      <c r="HY66" s="1112">
        <f t="shared" si="845"/>
        <v>1.27651822</v>
      </c>
      <c r="HZ66" s="1112">
        <f t="shared" si="878"/>
        <v>0.9517319597</v>
      </c>
      <c r="IA66" s="1142">
        <f t="shared" si="670"/>
        <v>0</v>
      </c>
      <c r="IB66" s="1112" t="str">
        <f t="shared" si="846"/>
        <v/>
      </c>
      <c r="IC66" s="1112" t="str">
        <f t="shared" si="879"/>
        <v/>
      </c>
      <c r="ID66" s="1143">
        <f t="shared" si="673"/>
        <v>-46261020</v>
      </c>
      <c r="IE66" s="1144">
        <f t="shared" si="145"/>
        <v>-1</v>
      </c>
      <c r="IF66" s="1143">
        <f t="shared" si="674"/>
        <v>-46261020</v>
      </c>
      <c r="IG66" s="1144">
        <f t="shared" si="147"/>
        <v>-1</v>
      </c>
      <c r="IH66" s="1110">
        <f t="shared" si="675"/>
        <v>69551040</v>
      </c>
      <c r="II66" s="1112">
        <f t="shared" si="847"/>
        <v>1.931973333</v>
      </c>
      <c r="IJ66" s="1112">
        <f t="shared" si="880"/>
        <v>0.9365497629</v>
      </c>
      <c r="IK66" s="1142">
        <f t="shared" si="678"/>
        <v>54215472.54</v>
      </c>
      <c r="IL66" s="1112">
        <f t="shared" si="848"/>
        <v>1.307832196</v>
      </c>
      <c r="IM66" s="1112">
        <f t="shared" si="881"/>
        <v>0.9337962676</v>
      </c>
      <c r="IN66" s="1142">
        <f t="shared" si="681"/>
        <v>3215752.576</v>
      </c>
      <c r="IO66" s="1112">
        <f t="shared" si="849"/>
        <v>0.7401702559</v>
      </c>
      <c r="IP66" s="1112">
        <f t="shared" si="882"/>
        <v>0.7764729383</v>
      </c>
      <c r="IQ66" s="1143">
        <f t="shared" si="684"/>
        <v>-66335287.42</v>
      </c>
      <c r="IR66" s="1144">
        <f t="shared" si="1"/>
        <v>-0.9537641339</v>
      </c>
      <c r="IS66" s="1143">
        <f t="shared" si="685"/>
        <v>-50999719.96</v>
      </c>
      <c r="IT66" s="1144">
        <f t="shared" si="2"/>
        <v>-0.9406857042</v>
      </c>
    </row>
    <row r="67" outlineLevel="1">
      <c r="A67" s="1087"/>
      <c r="B67" s="1087"/>
      <c r="C67" s="1087"/>
      <c r="D67" s="1087" t="s">
        <v>2828</v>
      </c>
      <c r="E67" s="1087"/>
      <c r="F67" s="1086">
        <v>641.0</v>
      </c>
      <c r="G67" s="1086">
        <v>2.0</v>
      </c>
      <c r="H67" s="1088">
        <f>SUM(H68:H71)</f>
        <v>1666</v>
      </c>
      <c r="I67" s="1145" t="str">
        <f t="shared" si="791"/>
        <v/>
      </c>
      <c r="J67" s="1145">
        <f>IFERROR(H67/H$66,"")</f>
        <v>0.03133345872</v>
      </c>
      <c r="K67" s="1090">
        <f>SUM(K68:K71)</f>
        <v>1666</v>
      </c>
      <c r="L67" s="1145">
        <f t="shared" si="792"/>
        <v>0.01388333333</v>
      </c>
      <c r="M67" s="1145">
        <f>IFERROR(K67/K$66,"")</f>
        <v>0.03133345872</v>
      </c>
      <c r="N67" s="1090">
        <f>SUM(N68:N71)</f>
        <v>159949.385</v>
      </c>
      <c r="O67" s="1145">
        <f t="shared" si="793"/>
        <v>0.4704393676</v>
      </c>
      <c r="P67" s="1145">
        <f>IFERROR(N67/N$66,"")</f>
        <v>0.2232914518</v>
      </c>
      <c r="Q67" s="1130">
        <f t="shared" si="518"/>
        <v>158283.385</v>
      </c>
      <c r="R67" s="1132">
        <f t="shared" si="8"/>
        <v>95.00803421</v>
      </c>
      <c r="S67" s="1130">
        <f t="shared" si="519"/>
        <v>158283.385</v>
      </c>
      <c r="T67" s="1132">
        <f t="shared" si="10"/>
        <v>95.00803421</v>
      </c>
      <c r="U67" s="1088">
        <f>SUM(U68:U71)</f>
        <v>1666</v>
      </c>
      <c r="V67" s="1145" t="str">
        <f t="shared" si="794"/>
        <v/>
      </c>
      <c r="W67" s="1145">
        <f>IFERROR(U67/U$66,"")</f>
        <v>0.03133345872</v>
      </c>
      <c r="X67" s="1090">
        <f>SUM(X68:X71)</f>
        <v>58570.667</v>
      </c>
      <c r="Y67" s="1145" t="str">
        <f t="shared" si="795"/>
        <v/>
      </c>
      <c r="Z67" s="1145">
        <f>IFERROR(X67/X$66,"")</f>
        <v>0.6527254734</v>
      </c>
      <c r="AA67" s="1090">
        <f>SUM(AA68:AA71)</f>
        <v>135280.667</v>
      </c>
      <c r="AB67" s="1145">
        <f t="shared" si="796"/>
        <v>0.7515592611</v>
      </c>
      <c r="AC67" s="1145">
        <f>IFERROR(AA67/AA$66,"")</f>
        <v>0.8081834347</v>
      </c>
      <c r="AD67" s="1130">
        <f t="shared" si="526"/>
        <v>133614.667</v>
      </c>
      <c r="AE67" s="1132">
        <f t="shared" si="15"/>
        <v>80.20088055</v>
      </c>
      <c r="AF67" s="1130">
        <f t="shared" si="527"/>
        <v>76710</v>
      </c>
      <c r="AG67" s="1132">
        <f t="shared" si="17"/>
        <v>1.309699956</v>
      </c>
      <c r="AH67" s="1088">
        <f>SUM(AH68:AH71)</f>
        <v>1666</v>
      </c>
      <c r="AI67" s="1145" t="str">
        <f t="shared" si="797"/>
        <v/>
      </c>
      <c r="AJ67" s="1145">
        <f>IFERROR(AH67/AH$66,"")</f>
        <v>0.03133345872</v>
      </c>
      <c r="AK67" s="1090">
        <f>SUM(AK68:AK71)</f>
        <v>104170.667</v>
      </c>
      <c r="AL67" s="1145">
        <f t="shared" si="798"/>
        <v>0.02893629639</v>
      </c>
      <c r="AM67" s="1145">
        <f>IFERROR(AK67/AK$66,"")</f>
        <v>0.4547101368</v>
      </c>
      <c r="AN67" s="1090">
        <f>SUM(AN68:AN71)</f>
        <v>338236.944</v>
      </c>
      <c r="AO67" s="1145">
        <f t="shared" si="799"/>
        <v>0.5063427305</v>
      </c>
      <c r="AP67" s="1145">
        <f>IFERROR(AN67/AN$66,"")</f>
        <v>0.5551249195</v>
      </c>
      <c r="AQ67" s="1130">
        <f t="shared" si="534"/>
        <v>336570.944</v>
      </c>
      <c r="AR67" s="1132">
        <f t="shared" si="22"/>
        <v>202.0233758</v>
      </c>
      <c r="AS67" s="1130">
        <f t="shared" si="535"/>
        <v>234066.277</v>
      </c>
      <c r="AT67" s="1132">
        <f t="shared" si="24"/>
        <v>2.246949969</v>
      </c>
      <c r="AU67" s="1088">
        <f t="shared" si="536"/>
        <v>4998</v>
      </c>
      <c r="AV67" s="1145" t="str">
        <f t="shared" si="800"/>
        <v/>
      </c>
      <c r="AW67" s="1145">
        <f>IFERROR(AU67/AU$66,"")</f>
        <v>0.03133345872</v>
      </c>
      <c r="AX67" s="1090">
        <f t="shared" si="539"/>
        <v>164407.334</v>
      </c>
      <c r="AY67" s="1145">
        <f t="shared" si="801"/>
        <v>0.04419551989</v>
      </c>
      <c r="AZ67" s="1145">
        <f>IFERROR(AX67/AX$66,"")</f>
        <v>0.4419612177</v>
      </c>
      <c r="BA67" s="1090">
        <f t="shared" si="542"/>
        <v>633466.996</v>
      </c>
      <c r="BB67" s="1145">
        <f t="shared" si="802"/>
        <v>0.5332213771</v>
      </c>
      <c r="BC67" s="1145">
        <f>IFERROR(BA67/BA$66,"")</f>
        <v>0.4242876714</v>
      </c>
      <c r="BD67" s="1130">
        <f t="shared" si="545"/>
        <v>628468.996</v>
      </c>
      <c r="BE67" s="1132">
        <f t="shared" si="32"/>
        <v>125.7440968</v>
      </c>
      <c r="BF67" s="1130">
        <f t="shared" si="546"/>
        <v>469059.662</v>
      </c>
      <c r="BG67" s="1132">
        <f t="shared" si="34"/>
        <v>2.853033685</v>
      </c>
      <c r="BH67" s="1088">
        <f>SUM(BH68:BH71)</f>
        <v>4941666</v>
      </c>
      <c r="BI67" s="1145">
        <f t="shared" si="803"/>
        <v>1.2354165</v>
      </c>
      <c r="BJ67" s="1145">
        <f>IFERROR(BH67/BH$66,"")</f>
        <v>0.6409282804</v>
      </c>
      <c r="BK67" s="1090">
        <f>SUM(BK68:BK71)</f>
        <v>104170.667</v>
      </c>
      <c r="BL67" s="1145" t="str">
        <f t="shared" si="804"/>
        <v/>
      </c>
      <c r="BM67" s="1145">
        <f>IFERROR(BK67/BK$66,"")</f>
        <v>0.3147809417</v>
      </c>
      <c r="BN67" s="1090">
        <f>SUM(BN68:BN71)</f>
        <v>865978.385</v>
      </c>
      <c r="BO67" s="1145">
        <f t="shared" si="805"/>
        <v>0.3329354354</v>
      </c>
      <c r="BP67" s="1145">
        <f>IFERROR(BN67/BN$66,"")</f>
        <v>0.7307137162</v>
      </c>
      <c r="BQ67" s="1130">
        <f t="shared" si="553"/>
        <v>-4075687.615</v>
      </c>
      <c r="BR67" s="1132">
        <f t="shared" si="39"/>
        <v>-0.824759831</v>
      </c>
      <c r="BS67" s="1130">
        <f t="shared" si="554"/>
        <v>761807.718</v>
      </c>
      <c r="BT67" s="1132">
        <f t="shared" si="41"/>
        <v>7.313073247</v>
      </c>
      <c r="BU67" s="1088">
        <f>SUM(BU68:BU71)</f>
        <v>4941666</v>
      </c>
      <c r="BV67" s="1145">
        <f t="shared" si="806"/>
        <v>1.2354165</v>
      </c>
      <c r="BW67" s="1145">
        <f>IFERROR(BU67/BU$66,"")</f>
        <v>0.6409282804</v>
      </c>
      <c r="BX67" s="1090">
        <f>SUM(BX68:BX71)</f>
        <v>577596.936</v>
      </c>
      <c r="BY67" s="1145">
        <f t="shared" si="807"/>
        <v>0.3864929784</v>
      </c>
      <c r="BZ67" s="1145">
        <f>IFERROR(BX67/BX$66,"")</f>
        <v>0.7317309948</v>
      </c>
      <c r="CA67" s="1090">
        <f>SUM(CA68:CA71)</f>
        <v>375961.524</v>
      </c>
      <c r="CB67" s="1145">
        <f t="shared" si="808"/>
        <v>0.6767107126</v>
      </c>
      <c r="CC67" s="1145">
        <f>IFERROR(CA67/CA$66,"")</f>
        <v>0.6992986901</v>
      </c>
      <c r="CD67" s="1130">
        <f t="shared" si="561"/>
        <v>-4565704.476</v>
      </c>
      <c r="CE67" s="1132">
        <f t="shared" si="46"/>
        <v>-0.9239200861</v>
      </c>
      <c r="CF67" s="1130">
        <f t="shared" si="562"/>
        <v>-201635.412</v>
      </c>
      <c r="CG67" s="1132">
        <f t="shared" si="48"/>
        <v>-0.3490936316</v>
      </c>
      <c r="CH67" s="1088">
        <f>SUM(CH68:CH71)</f>
        <v>4941666</v>
      </c>
      <c r="CI67" s="1145">
        <f t="shared" si="809"/>
        <v>1.2354165</v>
      </c>
      <c r="CJ67" s="1145">
        <f>IFERROR(CH67/CH$66,"")</f>
        <v>0.6409282804</v>
      </c>
      <c r="CK67" s="1090">
        <f>SUM(CK68:CK71)</f>
        <v>4941666</v>
      </c>
      <c r="CL67" s="1145" t="str">
        <f t="shared" si="810"/>
        <v/>
      </c>
      <c r="CM67" s="1145">
        <f>IFERROR(CK67/CK$66,"")</f>
        <v>0.7647069019</v>
      </c>
      <c r="CN67" s="1090">
        <f>SUM(CN68:CN71)</f>
        <v>0</v>
      </c>
      <c r="CO67" s="1145" t="str">
        <f t="shared" si="811"/>
        <v/>
      </c>
      <c r="CP67" s="1145" t="str">
        <f>IFERROR(CN67/CN$66,"")</f>
        <v/>
      </c>
      <c r="CQ67" s="1130">
        <f t="shared" si="569"/>
        <v>-4941666</v>
      </c>
      <c r="CR67" s="1132">
        <f t="shared" si="53"/>
        <v>-1</v>
      </c>
      <c r="CS67" s="1130">
        <f t="shared" si="570"/>
        <v>-4941666</v>
      </c>
      <c r="CT67" s="1132">
        <f t="shared" si="55"/>
        <v>-1</v>
      </c>
      <c r="CU67" s="1088">
        <f t="shared" si="571"/>
        <v>14824998</v>
      </c>
      <c r="CV67" s="1145">
        <f t="shared" si="812"/>
        <v>1.2354165</v>
      </c>
      <c r="CW67" s="1145">
        <f>IFERROR(CU67/CU$66,"")</f>
        <v>0.6409282804</v>
      </c>
      <c r="CX67" s="1090">
        <f t="shared" si="813"/>
        <v>5623433.603</v>
      </c>
      <c r="CY67" s="1145">
        <f t="shared" si="814"/>
        <v>3.762862069</v>
      </c>
      <c r="CZ67" s="1145">
        <f>IFERROR(CX67/CX$66,"")</f>
        <v>0.7416373289</v>
      </c>
      <c r="DA67" s="1090">
        <f t="shared" si="815"/>
        <v>1241939.909</v>
      </c>
      <c r="DB67" s="1145">
        <f t="shared" si="816"/>
        <v>0.3934407868</v>
      </c>
      <c r="DC67" s="1145">
        <f>IFERROR(DA67/DA$66,"")</f>
        <v>0.7209098252</v>
      </c>
      <c r="DD67" s="1130">
        <f t="shared" si="580"/>
        <v>-13583058.09</v>
      </c>
      <c r="DE67" s="1132">
        <f t="shared" si="63"/>
        <v>-0.916226639</v>
      </c>
      <c r="DF67" s="1130">
        <f t="shared" si="581"/>
        <v>-4381493.694</v>
      </c>
      <c r="DG67" s="1132">
        <f t="shared" si="65"/>
        <v>-0.7791491824</v>
      </c>
      <c r="DH67" s="1088">
        <f t="shared" si="582"/>
        <v>14829996</v>
      </c>
      <c r="DI67" s="1145">
        <f t="shared" si="817"/>
        <v>1.235833</v>
      </c>
      <c r="DJ67" s="1145">
        <f>IFERROR(DH67/DH$66,"")</f>
        <v>0.6367532531</v>
      </c>
      <c r="DK67" s="1090">
        <f t="shared" si="585"/>
        <v>5787840.937</v>
      </c>
      <c r="DL67" s="1145">
        <f t="shared" si="818"/>
        <v>1.109960541</v>
      </c>
      <c r="DM67" s="1145">
        <f>IFERROR(DK67/DK$66,"")</f>
        <v>0.7276227886</v>
      </c>
      <c r="DN67" s="1090">
        <f t="shared" si="588"/>
        <v>1875406.905</v>
      </c>
      <c r="DO67" s="1145">
        <f t="shared" si="819"/>
        <v>0.4316626905</v>
      </c>
      <c r="DP67" s="1145">
        <f>IFERROR(DN67/DN$66,"")</f>
        <v>0.5831937814</v>
      </c>
      <c r="DQ67" s="1130">
        <f t="shared" si="591"/>
        <v>-12954589.1</v>
      </c>
      <c r="DR67" s="1132">
        <f t="shared" si="73"/>
        <v>-0.8735396217</v>
      </c>
      <c r="DS67" s="1130">
        <f t="shared" si="592"/>
        <v>-3912434.032</v>
      </c>
      <c r="DT67" s="1132">
        <f t="shared" si="75"/>
        <v>-0.6759746984</v>
      </c>
      <c r="DU67" s="1088">
        <f>SUM(DU68:DU71)</f>
        <v>4941666</v>
      </c>
      <c r="DV67" s="1145">
        <f t="shared" si="820"/>
        <v>1.2354165</v>
      </c>
      <c r="DW67" s="1145">
        <f>IFERROR(DU67/DU$66,"")</f>
        <v>0.6409282804</v>
      </c>
      <c r="DX67" s="1090">
        <f>SUM(DX68:DX71)</f>
        <v>4941666</v>
      </c>
      <c r="DY67" s="1145">
        <f t="shared" si="821"/>
        <v>0.8181566279</v>
      </c>
      <c r="DZ67" s="1145">
        <f>IFERROR(DX67/DX$66,"")</f>
        <v>0.6409282804</v>
      </c>
      <c r="EA67" s="1090">
        <f>SUM(EA68:EA71)</f>
        <v>0</v>
      </c>
      <c r="EB67" s="1145" t="str">
        <f t="shared" si="822"/>
        <v/>
      </c>
      <c r="EC67" s="1145" t="str">
        <f>IFERROR(EA67/EA$66,"")</f>
        <v/>
      </c>
      <c r="ED67" s="1130">
        <f t="shared" si="599"/>
        <v>-4941666</v>
      </c>
      <c r="EE67" s="1132">
        <f t="shared" si="80"/>
        <v>-1</v>
      </c>
      <c r="EF67" s="1130">
        <f t="shared" si="600"/>
        <v>-4941666</v>
      </c>
      <c r="EG67" s="1132">
        <f t="shared" si="82"/>
        <v>-1</v>
      </c>
      <c r="EH67" s="1088">
        <f>SUM(EH68:EH71)</f>
        <v>4941666</v>
      </c>
      <c r="EI67" s="1145">
        <f t="shared" si="823"/>
        <v>1.2354165</v>
      </c>
      <c r="EJ67" s="1145">
        <f>IFERROR(EH67/EH$66,"")</f>
        <v>0.6409282804</v>
      </c>
      <c r="EK67" s="1090">
        <f>SUM(EK68:EK71)</f>
        <v>4941666</v>
      </c>
      <c r="EL67" s="1145">
        <f t="shared" si="824"/>
        <v>0.8181566279</v>
      </c>
      <c r="EM67" s="1145">
        <f>IFERROR(EK67/EK$66,"")</f>
        <v>0.6409282804</v>
      </c>
      <c r="EN67" s="1090">
        <f>SUM(EN68:EN71)</f>
        <v>0</v>
      </c>
      <c r="EO67" s="1145" t="str">
        <f t="shared" si="825"/>
        <v/>
      </c>
      <c r="EP67" s="1145" t="str">
        <f>IFERROR(EN67/EN$66,"")</f>
        <v/>
      </c>
      <c r="EQ67" s="1130">
        <f t="shared" si="607"/>
        <v>-4941666</v>
      </c>
      <c r="ER67" s="1132">
        <f t="shared" si="87"/>
        <v>-1</v>
      </c>
      <c r="ES67" s="1130">
        <f t="shared" si="608"/>
        <v>-4941666</v>
      </c>
      <c r="ET67" s="1132">
        <f t="shared" si="89"/>
        <v>-1</v>
      </c>
      <c r="EU67" s="1088">
        <f>SUM(EU68:EU71)</f>
        <v>4941666</v>
      </c>
      <c r="EV67" s="1145">
        <f t="shared" si="826"/>
        <v>1.2354165</v>
      </c>
      <c r="EW67" s="1145">
        <f>IFERROR(EU67/EU$66,"")</f>
        <v>0.6409282804</v>
      </c>
      <c r="EX67" s="1090">
        <f>SUM(EX68:EX71)</f>
        <v>4941666</v>
      </c>
      <c r="EY67" s="1145">
        <f t="shared" si="827"/>
        <v>0.8181566279</v>
      </c>
      <c r="EZ67" s="1145">
        <f>IFERROR(EX67/EX$66,"")</f>
        <v>0.6409282804</v>
      </c>
      <c r="FA67" s="1090">
        <f>SUM(FA68:FA71)</f>
        <v>0</v>
      </c>
      <c r="FB67" s="1145" t="str">
        <f t="shared" si="828"/>
        <v/>
      </c>
      <c r="FC67" s="1145" t="str">
        <f>IFERROR(FA67/FA$66,"")</f>
        <v/>
      </c>
      <c r="FD67" s="1130">
        <f t="shared" si="616"/>
        <v>-4941666</v>
      </c>
      <c r="FE67" s="1132">
        <f t="shared" si="94"/>
        <v>-1</v>
      </c>
      <c r="FF67" s="1130">
        <f t="shared" si="617"/>
        <v>-4941666</v>
      </c>
      <c r="FG67" s="1132">
        <f t="shared" si="96"/>
        <v>-1</v>
      </c>
      <c r="FH67" s="1088">
        <f t="shared" si="618"/>
        <v>14824998</v>
      </c>
      <c r="FI67" s="1145">
        <f t="shared" si="829"/>
        <v>1.2354165</v>
      </c>
      <c r="FJ67" s="1145">
        <f>IFERROR(FH67/FH$66,"")</f>
        <v>0.6409282804</v>
      </c>
      <c r="FK67" s="1090">
        <f t="shared" si="621"/>
        <v>14824998</v>
      </c>
      <c r="FL67" s="1145">
        <f t="shared" si="830"/>
        <v>0.8181566279</v>
      </c>
      <c r="FM67" s="1145">
        <f>IFERROR(FK67/FK$66,"")</f>
        <v>0.6409282804</v>
      </c>
      <c r="FN67" s="1090">
        <f t="shared" si="624"/>
        <v>0</v>
      </c>
      <c r="FO67" s="1145" t="str">
        <f t="shared" si="831"/>
        <v/>
      </c>
      <c r="FP67" s="1145" t="str">
        <f>IFERROR(FN67/FN$66,"")</f>
        <v/>
      </c>
      <c r="FQ67" s="1130">
        <f t="shared" si="627"/>
        <v>-14824998</v>
      </c>
      <c r="FR67" s="1132">
        <f t="shared" si="104"/>
        <v>-1</v>
      </c>
      <c r="FS67" s="1130">
        <f t="shared" si="628"/>
        <v>-14824998</v>
      </c>
      <c r="FT67" s="1132">
        <f t="shared" si="106"/>
        <v>-1</v>
      </c>
      <c r="FU67" s="1088">
        <f>SUM(FU68:FU71)</f>
        <v>4941666</v>
      </c>
      <c r="FV67" s="1145">
        <f t="shared" si="832"/>
        <v>1.2354165</v>
      </c>
      <c r="FW67" s="1145">
        <f>IFERROR(FU67/FU$66,"")</f>
        <v>0.6409282804</v>
      </c>
      <c r="FX67" s="1090">
        <f>SUM(FX68:FX71)</f>
        <v>4941666</v>
      </c>
      <c r="FY67" s="1145">
        <f t="shared" si="833"/>
        <v>0.8181566279</v>
      </c>
      <c r="FZ67" s="1145">
        <f>IFERROR(FX67/FX$66,"")</f>
        <v>0.6409282804</v>
      </c>
      <c r="GA67" s="1090">
        <f>SUM(GA68:GA71)</f>
        <v>0</v>
      </c>
      <c r="GB67" s="1145" t="str">
        <f t="shared" si="834"/>
        <v/>
      </c>
      <c r="GC67" s="1145" t="str">
        <f>IFERROR(GA67/GA$66,"")</f>
        <v/>
      </c>
      <c r="GD67" s="1130">
        <f t="shared" si="635"/>
        <v>-4941666</v>
      </c>
      <c r="GE67" s="1132">
        <f t="shared" si="111"/>
        <v>-1</v>
      </c>
      <c r="GF67" s="1130">
        <f t="shared" si="636"/>
        <v>-4941666</v>
      </c>
      <c r="GG67" s="1132">
        <f t="shared" si="113"/>
        <v>-1</v>
      </c>
      <c r="GH67" s="1088">
        <f>SUM(GH68:GH71)</f>
        <v>4941666</v>
      </c>
      <c r="GI67" s="1145">
        <f t="shared" si="835"/>
        <v>1.2354165</v>
      </c>
      <c r="GJ67" s="1145">
        <f>IFERROR(GH67/GH$66,"")</f>
        <v>0.6409282804</v>
      </c>
      <c r="GK67" s="1090">
        <f>SUM(GK68:GK71)</f>
        <v>4941666</v>
      </c>
      <c r="GL67" s="1145">
        <f t="shared" si="836"/>
        <v>0.8181566279</v>
      </c>
      <c r="GM67" s="1145">
        <f>IFERROR(GK67/GK$66,"")</f>
        <v>0.6409282804</v>
      </c>
      <c r="GN67" s="1090">
        <f>SUM(GN68:GN71)</f>
        <v>0</v>
      </c>
      <c r="GO67" s="1145" t="str">
        <f t="shared" si="837"/>
        <v/>
      </c>
      <c r="GP67" s="1145" t="str">
        <f>IFERROR(GN67/GN$66,"")</f>
        <v/>
      </c>
      <c r="GQ67" s="1130">
        <f t="shared" si="643"/>
        <v>-4941666</v>
      </c>
      <c r="GR67" s="1132">
        <f t="shared" si="118"/>
        <v>-1</v>
      </c>
      <c r="GS67" s="1130">
        <f t="shared" si="644"/>
        <v>-4941666</v>
      </c>
      <c r="GT67" s="1132">
        <f t="shared" si="120"/>
        <v>-1</v>
      </c>
      <c r="GU67" s="1088">
        <f>SUM(GU68:GU71)</f>
        <v>4941666</v>
      </c>
      <c r="GV67" s="1145">
        <f t="shared" si="838"/>
        <v>1.2354165</v>
      </c>
      <c r="GW67" s="1145">
        <f>IFERROR(GU67/GU$66,"")</f>
        <v>0.6409282804</v>
      </c>
      <c r="GX67" s="1090">
        <f>SUM(GX68:GX71)</f>
        <v>4941666</v>
      </c>
      <c r="GY67" s="1145">
        <f t="shared" si="839"/>
        <v>0.8181566279</v>
      </c>
      <c r="GZ67" s="1145">
        <f>IFERROR(GX67/GX$66,"")</f>
        <v>0.6409282804</v>
      </c>
      <c r="HA67" s="1090">
        <f>SUM(HA68:HA71)</f>
        <v>0</v>
      </c>
      <c r="HB67" s="1145" t="str">
        <f t="shared" si="840"/>
        <v/>
      </c>
      <c r="HC67" s="1145" t="str">
        <f>IFERROR(HA67/HA$66,"")</f>
        <v/>
      </c>
      <c r="HD67" s="1130">
        <f t="shared" si="651"/>
        <v>-4941666</v>
      </c>
      <c r="HE67" s="1132">
        <f t="shared" si="125"/>
        <v>-1</v>
      </c>
      <c r="HF67" s="1130">
        <f t="shared" si="652"/>
        <v>-4941666</v>
      </c>
      <c r="HG67" s="1132">
        <f t="shared" si="127"/>
        <v>-1</v>
      </c>
      <c r="HH67" s="1088">
        <f t="shared" si="653"/>
        <v>14824998</v>
      </c>
      <c r="HI67" s="1145">
        <f t="shared" si="841"/>
        <v>1.2354165</v>
      </c>
      <c r="HJ67" s="1145">
        <f>IFERROR(HH67/HH$66,"")</f>
        <v>0.6409282804</v>
      </c>
      <c r="HK67" s="1090">
        <f t="shared" si="656"/>
        <v>14824998</v>
      </c>
      <c r="HL67" s="1145">
        <f t="shared" si="842"/>
        <v>0.8181566279</v>
      </c>
      <c r="HM67" s="1145">
        <f>IFERROR(HK67/HK$66,"")</f>
        <v>0.6409282804</v>
      </c>
      <c r="HN67" s="1090">
        <f t="shared" si="659"/>
        <v>0</v>
      </c>
      <c r="HO67" s="1145" t="str">
        <f t="shared" si="843"/>
        <v/>
      </c>
      <c r="HP67" s="1145" t="str">
        <f>IFERROR(HN67/HN$66,"")</f>
        <v/>
      </c>
      <c r="HQ67" s="1130">
        <f t="shared" si="662"/>
        <v>-14824998</v>
      </c>
      <c r="HR67" s="1132">
        <f t="shared" si="135"/>
        <v>-1</v>
      </c>
      <c r="HS67" s="1130">
        <f t="shared" si="663"/>
        <v>-14824998</v>
      </c>
      <c r="HT67" s="1132">
        <f t="shared" si="137"/>
        <v>-1</v>
      </c>
      <c r="HU67" s="1088">
        <f t="shared" si="664"/>
        <v>29649996</v>
      </c>
      <c r="HV67" s="1145">
        <f t="shared" si="844"/>
        <v>1.2354165</v>
      </c>
      <c r="HW67" s="1145">
        <f>IFERROR(HU67/HU$66,"")</f>
        <v>0.6409282804</v>
      </c>
      <c r="HX67" s="1090">
        <f t="shared" si="667"/>
        <v>29649996</v>
      </c>
      <c r="HY67" s="1145">
        <f t="shared" si="845"/>
        <v>0.8181566279</v>
      </c>
      <c r="HZ67" s="1145">
        <f>IFERROR(HX67/HX$66,"")</f>
        <v>0.6409282804</v>
      </c>
      <c r="IA67" s="1090">
        <f t="shared" si="670"/>
        <v>0</v>
      </c>
      <c r="IB67" s="1145" t="str">
        <f t="shared" si="846"/>
        <v/>
      </c>
      <c r="IC67" s="1145" t="str">
        <f>IFERROR(IA67/IA$66,"")</f>
        <v/>
      </c>
      <c r="ID67" s="1130">
        <f t="shared" si="673"/>
        <v>-29649996</v>
      </c>
      <c r="IE67" s="1132">
        <f t="shared" si="145"/>
        <v>-1</v>
      </c>
      <c r="IF67" s="1130">
        <f t="shared" si="674"/>
        <v>-29649996</v>
      </c>
      <c r="IG67" s="1132">
        <f t="shared" si="147"/>
        <v>-1</v>
      </c>
      <c r="IH67" s="1088">
        <f t="shared" si="675"/>
        <v>44479992</v>
      </c>
      <c r="II67" s="1145">
        <f t="shared" si="847"/>
        <v>1.235555333</v>
      </c>
      <c r="IJ67" s="1145">
        <f>IFERROR(IH67/IH$66,"")</f>
        <v>0.6395302213</v>
      </c>
      <c r="IK67" s="1090">
        <f t="shared" si="678"/>
        <v>35437836.94</v>
      </c>
      <c r="IL67" s="1145">
        <f t="shared" si="848"/>
        <v>0.8548619413</v>
      </c>
      <c r="IM67" s="1145">
        <f>IFERROR(IK67/IK$66,"")</f>
        <v>0.6536480322</v>
      </c>
      <c r="IN67" s="1090">
        <f t="shared" si="681"/>
        <v>1875406.905</v>
      </c>
      <c r="IO67" s="1145">
        <f t="shared" si="849"/>
        <v>0.4316626905</v>
      </c>
      <c r="IP67" s="1145">
        <f>IFERROR(IN67/IN$66,"")</f>
        <v>0.5831937814</v>
      </c>
      <c r="IQ67" s="1130">
        <f t="shared" si="684"/>
        <v>-42604585.1</v>
      </c>
      <c r="IR67" s="1132">
        <f t="shared" si="1"/>
        <v>-0.9578370674</v>
      </c>
      <c r="IS67" s="1130">
        <f t="shared" si="685"/>
        <v>-33562430.03</v>
      </c>
      <c r="IT67" s="1132">
        <f t="shared" si="2"/>
        <v>-0.9470789679</v>
      </c>
    </row>
    <row r="68" outlineLevel="1">
      <c r="A68" s="737"/>
      <c r="B68" s="737"/>
      <c r="C68" s="737"/>
      <c r="D68" s="737" t="s">
        <v>2829</v>
      </c>
      <c r="E68" s="737" t="s">
        <v>255</v>
      </c>
      <c r="F68" s="737"/>
      <c r="G68" s="748">
        <v>3.0</v>
      </c>
      <c r="H68" s="1146">
        <f>SUMIFS(BP_SOTIEN,BP_THANG,H$2,BP_KM,$E68)/1000</f>
        <v>0</v>
      </c>
      <c r="I68" s="1091" t="str">
        <f t="shared" si="791"/>
        <v/>
      </c>
      <c r="J68" s="1091"/>
      <c r="K68" s="1147">
        <f>IF(NOW()&gt;=DATE(YEAR(H$2),MONTH(H$2)+1,DAY(H$2)),SUMIFS(TF_SOTIEN,TF_THANG,H$2,TF_KM,$E68)/1000, N68)</f>
        <v>0</v>
      </c>
      <c r="L68" s="1091">
        <f t="shared" si="792"/>
        <v>0</v>
      </c>
      <c r="M68" s="1091"/>
      <c r="N68" s="1147">
        <f>IF(NOW()&gt;=DATE(YEAR(H$2),MONTH(H$2)+1,DAY(H$2)),SUMIFS(AC_SOTIEN,AC_THANG,H$2,AC_KM,$E68),SUMIFS(TF_SOTIEN,TF_THANG,H$2,TF_KM,$E68))/ 1000</f>
        <v>47889.385</v>
      </c>
      <c r="O68" s="1091">
        <f t="shared" si="793"/>
        <v>0.1408511324</v>
      </c>
      <c r="P68" s="1091"/>
      <c r="Q68" s="1147">
        <f t="shared" si="518"/>
        <v>47889.385</v>
      </c>
      <c r="R68" s="1091" t="str">
        <f t="shared" si="8"/>
        <v/>
      </c>
      <c r="S68" s="1147">
        <f t="shared" si="519"/>
        <v>47889.385</v>
      </c>
      <c r="T68" s="1091" t="str">
        <f t="shared" si="10"/>
        <v/>
      </c>
      <c r="U68" s="1146">
        <f>SUMIFS(BP_SOTIEN,BP_THANG,U$2,BP_KM,$E68)/1000</f>
        <v>0</v>
      </c>
      <c r="V68" s="1091" t="str">
        <f t="shared" si="794"/>
        <v/>
      </c>
      <c r="W68" s="1091"/>
      <c r="X68" s="1147">
        <f>IF(NOW()&gt;=DATE(YEAR(U$2),MONTH(U$2)+1,DAY(U$2)),SUMIFS(TF_SOTIEN,TF_THANG,U$2,TF_KM,$E68)/1000, AA68)</f>
        <v>58570.667</v>
      </c>
      <c r="Y68" s="1091" t="str">
        <f t="shared" si="795"/>
        <v/>
      </c>
      <c r="Z68" s="1091"/>
      <c r="AA68" s="1147">
        <f>IF(NOW()&gt;=DATE(YEAR(U$2),MONTH(U$2)+1,DAY(U$2)),SUMIFS(AC_SOTIEN,AC_THANG,U$2,AC_KM,$E68),SUMIFS(TF_SOTIEN,TF_THANG,U$2,TF_KM,$E68))/ 1000</f>
        <v>67320.667</v>
      </c>
      <c r="AB68" s="1091">
        <f t="shared" si="796"/>
        <v>0.3740037056</v>
      </c>
      <c r="AC68" s="1091"/>
      <c r="AD68" s="1147">
        <f t="shared" si="526"/>
        <v>67320.667</v>
      </c>
      <c r="AE68" s="1091" t="str">
        <f t="shared" si="15"/>
        <v/>
      </c>
      <c r="AF68" s="1147">
        <f t="shared" si="527"/>
        <v>8750</v>
      </c>
      <c r="AG68" s="1091">
        <f t="shared" si="17"/>
        <v>0.1493921864</v>
      </c>
      <c r="AH68" s="1146">
        <f>SUMIFS(BP_SOTIEN,BP_THANG,AH$2,BP_KM,$E68)/1000</f>
        <v>0</v>
      </c>
      <c r="AI68" s="1091" t="str">
        <f t="shared" si="797"/>
        <v/>
      </c>
      <c r="AJ68" s="1091"/>
      <c r="AK68" s="1147">
        <f>IF(NOW()&gt;=DATE(YEAR(AH$2),MONTH(AH$2)+1,DAY(AH$2)),SUMIFS(TF_SOTIEN,TF_THANG,AH$2,TF_KM,$E68)/1000, AN68)</f>
        <v>58570.667</v>
      </c>
      <c r="AL68" s="1091">
        <f t="shared" si="798"/>
        <v>0.01626962972</v>
      </c>
      <c r="AM68" s="1091"/>
      <c r="AN68" s="1147">
        <f>IF(NOW()&gt;=DATE(YEAR(AH$2),MONTH(AH$2)+1,DAY(AH$2)),SUMIFS(AC_SOTIEN,AC_THANG,AH$2,AC_KM,$E68),SUMIFS(TF_SOTIEN,TF_THANG,AH$2,TF_KM,$E68))/ 1000</f>
        <v>112944.444</v>
      </c>
      <c r="AO68" s="1091">
        <f t="shared" si="799"/>
        <v>0.169078509</v>
      </c>
      <c r="AP68" s="1091"/>
      <c r="AQ68" s="1147">
        <f t="shared" si="534"/>
        <v>112944.444</v>
      </c>
      <c r="AR68" s="1091" t="str">
        <f t="shared" si="22"/>
        <v/>
      </c>
      <c r="AS68" s="1147">
        <f t="shared" si="535"/>
        <v>54373.777</v>
      </c>
      <c r="AT68" s="1091">
        <f t="shared" si="24"/>
        <v>0.9283448488</v>
      </c>
      <c r="AU68" s="1146">
        <f t="shared" si="536"/>
        <v>0</v>
      </c>
      <c r="AV68" s="1091" t="str">
        <f t="shared" si="800"/>
        <v/>
      </c>
      <c r="AW68" s="1091"/>
      <c r="AX68" s="1147">
        <f t="shared" si="539"/>
        <v>117141.334</v>
      </c>
      <c r="AY68" s="1091">
        <f t="shared" si="801"/>
        <v>0.03148960591</v>
      </c>
      <c r="AZ68" s="1091"/>
      <c r="BA68" s="1147">
        <f t="shared" si="542"/>
        <v>228154.496</v>
      </c>
      <c r="BB68" s="1091">
        <f t="shared" si="802"/>
        <v>0.1920492391</v>
      </c>
      <c r="BC68" s="1091"/>
      <c r="BD68" s="1147">
        <f t="shared" si="545"/>
        <v>228154.496</v>
      </c>
      <c r="BE68" s="1091" t="str">
        <f t="shared" si="32"/>
        <v/>
      </c>
      <c r="BF68" s="1147">
        <f t="shared" si="546"/>
        <v>111013.162</v>
      </c>
      <c r="BG68" s="1091">
        <f t="shared" si="34"/>
        <v>0.9476856564</v>
      </c>
      <c r="BH68" s="1146">
        <f>SUMIFS(BP_SOTIEN,BP_THANG,BH$2,BP_KM,$E68)/1000</f>
        <v>0</v>
      </c>
      <c r="BI68" s="1091">
        <f t="shared" si="803"/>
        <v>0</v>
      </c>
      <c r="BJ68" s="1091"/>
      <c r="BK68" s="1147">
        <f>IF(NOW()&gt;=DATE(YEAR(BH$2),MONTH(BH$2)+1,DAY(BH$2)),SUMIFS(TF_SOTIEN,TF_THANG,BH$2,TF_KM,$E68)/1000, BN68)</f>
        <v>58570.667</v>
      </c>
      <c r="BL68" s="1091" t="str">
        <f t="shared" si="804"/>
        <v/>
      </c>
      <c r="BM68" s="1091"/>
      <c r="BN68" s="1147">
        <f>IF(NOW()&gt;=DATE(YEAR(BH$2),MONTH(BH$2)+1,DAY(BH$2)),SUMIFS(AC_SOTIEN,AC_THANG,BH$2,AC_KM,$E68),SUMIFS(TF_SOTIEN,TF_THANG,BH$2,TF_KM,$E68))/ 1000</f>
        <v>210235.385</v>
      </c>
      <c r="BO68" s="1091">
        <f t="shared" si="805"/>
        <v>0.08082743249</v>
      </c>
      <c r="BP68" s="1091"/>
      <c r="BQ68" s="1147">
        <f t="shared" si="553"/>
        <v>210235.385</v>
      </c>
      <c r="BR68" s="1091" t="str">
        <f t="shared" si="39"/>
        <v/>
      </c>
      <c r="BS68" s="1147">
        <f t="shared" si="554"/>
        <v>151664.718</v>
      </c>
      <c r="BT68" s="1091">
        <f t="shared" si="41"/>
        <v>2.589431293</v>
      </c>
      <c r="BU68" s="1146">
        <f>SUMIFS(BP_SOTIEN,BP_THANG,BU$2,BP_KM,$E68)/1000</f>
        <v>0</v>
      </c>
      <c r="BV68" s="1091">
        <f t="shared" si="806"/>
        <v>0</v>
      </c>
      <c r="BW68" s="1091"/>
      <c r="BX68" s="1147">
        <f>IF(NOW()&gt;=DATE(YEAR(BU$2),MONTH(BU$2)+1,DAY(BU$2)),SUMIFS(TF_SOTIEN,TF_THANG,BU$2,TF_KM,$E68)/1000, CA68)</f>
        <v>0</v>
      </c>
      <c r="BY68" s="1091">
        <f t="shared" si="807"/>
        <v>0</v>
      </c>
      <c r="BZ68" s="1091"/>
      <c r="CA68" s="1147">
        <f>IF(NOW()&gt;=DATE(YEAR(BU$2),MONTH(BU$2)+1,DAY(BU$2)),SUMIFS(AC_SOTIEN,AC_THANG,BU$2,AC_KM,$E68),SUMIFS(TF_SOTIEN,TF_THANG,BU$2,TF_KM,$E68))/ 1000</f>
        <v>179446.524</v>
      </c>
      <c r="CB68" s="1091">
        <f t="shared" si="808"/>
        <v>0.3229941826</v>
      </c>
      <c r="CC68" s="1091"/>
      <c r="CD68" s="1147">
        <f t="shared" si="561"/>
        <v>179446.524</v>
      </c>
      <c r="CE68" s="1091" t="str">
        <f t="shared" si="46"/>
        <v/>
      </c>
      <c r="CF68" s="1147">
        <f t="shared" si="562"/>
        <v>179446.524</v>
      </c>
      <c r="CG68" s="1091" t="str">
        <f t="shared" si="48"/>
        <v/>
      </c>
      <c r="CH68" s="1146">
        <f>SUMIFS(BP_SOTIEN,BP_THANG,CH$2,BP_KM,$E68)/1000</f>
        <v>0</v>
      </c>
      <c r="CI68" s="1091">
        <f t="shared" si="809"/>
        <v>0</v>
      </c>
      <c r="CJ68" s="1091"/>
      <c r="CK68" s="1147">
        <f>IF(NOW()&gt;=DATE(YEAR(CH$2),MONTH(CH$2)+1,DAY(CH$2)),SUMIFS(TF_SOTIEN,TF_THANG,CH$2,TF_KM,$E68)/1000, CN68)</f>
        <v>0</v>
      </c>
      <c r="CL68" s="1091" t="str">
        <f t="shared" si="810"/>
        <v/>
      </c>
      <c r="CM68" s="1091"/>
      <c r="CN68" s="1147">
        <f>IF(NOW()&gt;=DATE(YEAR(CH$2),MONTH(CH$2)+1,DAY(CH$2)),SUMIFS(AC_SOTIEN,AC_THANG,CH$2,AC_KM,$E68),SUMIFS(TF_SOTIEN,TF_THANG,CH$2,TF_KM,$E68))/ 1000</f>
        <v>0</v>
      </c>
      <c r="CO68" s="1091" t="str">
        <f t="shared" si="811"/>
        <v/>
      </c>
      <c r="CP68" s="1091"/>
      <c r="CQ68" s="1147">
        <f t="shared" si="569"/>
        <v>0</v>
      </c>
      <c r="CR68" s="1091" t="str">
        <f t="shared" si="53"/>
        <v/>
      </c>
      <c r="CS68" s="1147">
        <f t="shared" si="570"/>
        <v>0</v>
      </c>
      <c r="CT68" s="1091" t="str">
        <f t="shared" si="55"/>
        <v/>
      </c>
      <c r="CU68" s="1146">
        <f t="shared" si="571"/>
        <v>0</v>
      </c>
      <c r="CV68" s="1091">
        <f t="shared" si="812"/>
        <v>0</v>
      </c>
      <c r="CW68" s="1091"/>
      <c r="CX68" s="1147">
        <f t="shared" si="813"/>
        <v>58570.667</v>
      </c>
      <c r="CY68" s="1091">
        <f t="shared" si="814"/>
        <v>0.03919195225</v>
      </c>
      <c r="CZ68" s="1091"/>
      <c r="DA68" s="1147">
        <f t="shared" si="815"/>
        <v>389681.909</v>
      </c>
      <c r="DB68" s="1091">
        <f t="shared" si="816"/>
        <v>0.1234494163</v>
      </c>
      <c r="DC68" s="1091"/>
      <c r="DD68" s="1147">
        <f t="shared" si="580"/>
        <v>389681.909</v>
      </c>
      <c r="DE68" s="1091" t="str">
        <f t="shared" si="63"/>
        <v/>
      </c>
      <c r="DF68" s="1147">
        <f t="shared" si="581"/>
        <v>331111.242</v>
      </c>
      <c r="DG68" s="1091">
        <f t="shared" si="65"/>
        <v>5.653192271</v>
      </c>
      <c r="DH68" s="1146">
        <f t="shared" si="582"/>
        <v>0</v>
      </c>
      <c r="DI68" s="1091">
        <f t="shared" si="817"/>
        <v>0</v>
      </c>
      <c r="DJ68" s="1091"/>
      <c r="DK68" s="1147">
        <f t="shared" si="585"/>
        <v>175712.001</v>
      </c>
      <c r="DL68" s="1091">
        <f t="shared" si="818"/>
        <v>0.03369708841</v>
      </c>
      <c r="DM68" s="1091"/>
      <c r="DN68" s="1147">
        <f t="shared" si="588"/>
        <v>617836.405</v>
      </c>
      <c r="DO68" s="1091">
        <f t="shared" si="819"/>
        <v>0.1422074986</v>
      </c>
      <c r="DP68" s="1091"/>
      <c r="DQ68" s="1147">
        <f t="shared" si="591"/>
        <v>617836.405</v>
      </c>
      <c r="DR68" s="1091" t="str">
        <f t="shared" si="73"/>
        <v/>
      </c>
      <c r="DS68" s="1147">
        <f t="shared" si="592"/>
        <v>442124.404</v>
      </c>
      <c r="DT68" s="1091">
        <f t="shared" si="75"/>
        <v>2.516187861</v>
      </c>
      <c r="DU68" s="1146">
        <f>SUMIFS(BP_SOTIEN,BP_THANG,DU$2,BP_KM,$E68)/1000</f>
        <v>0</v>
      </c>
      <c r="DV68" s="1091">
        <f t="shared" si="820"/>
        <v>0</v>
      </c>
      <c r="DW68" s="1091"/>
      <c r="DX68" s="1147">
        <f>IF(NOW()&gt;=DATE(YEAR(DU$2),MONTH(DU$2)+1,DAY(DU$2)),SUMIFS(TF_SOTIEN,TF_THANG,DU$2,TF_KM,$E68)/1000, EA68)</f>
        <v>0</v>
      </c>
      <c r="DY68" s="1091">
        <f t="shared" si="821"/>
        <v>0</v>
      </c>
      <c r="DZ68" s="1091"/>
      <c r="EA68" s="1147">
        <f>IF(NOW()&gt;=DATE(YEAR(DU$2),MONTH(DU$2)+1,DAY(DU$2)),SUMIFS(AC_SOTIEN,AC_THANG,DU$2,AC_KM,$E68),SUMIFS(TF_SOTIEN,TF_THANG,DU$2,TF_KM,$E68))/ 1000</f>
        <v>0</v>
      </c>
      <c r="EB68" s="1091" t="str">
        <f t="shared" si="822"/>
        <v/>
      </c>
      <c r="EC68" s="1091"/>
      <c r="ED68" s="1147">
        <f t="shared" si="599"/>
        <v>0</v>
      </c>
      <c r="EE68" s="1091" t="str">
        <f t="shared" si="80"/>
        <v/>
      </c>
      <c r="EF68" s="1147">
        <f t="shared" si="600"/>
        <v>0</v>
      </c>
      <c r="EG68" s="1091" t="str">
        <f t="shared" si="82"/>
        <v/>
      </c>
      <c r="EH68" s="1146">
        <f>SUMIFS(BP_SOTIEN,BP_THANG,EH$2,BP_KM,$E68)/1000</f>
        <v>0</v>
      </c>
      <c r="EI68" s="1091">
        <f t="shared" si="823"/>
        <v>0</v>
      </c>
      <c r="EJ68" s="1091"/>
      <c r="EK68" s="1147">
        <f>IF(NOW()&gt;=DATE(YEAR(EH$2),MONTH(EH$2)+1,DAY(EH$2)),SUMIFS(TF_SOTIEN,TF_THANG,EH$2,TF_KM,$E68)/1000, EN68)</f>
        <v>0</v>
      </c>
      <c r="EL68" s="1091">
        <f t="shared" si="824"/>
        <v>0</v>
      </c>
      <c r="EM68" s="1091"/>
      <c r="EN68" s="1147">
        <f>IF(NOW()&gt;=DATE(YEAR(EH$2),MONTH(EH$2)+1,DAY(EH$2)),SUMIFS(AC_SOTIEN,AC_THANG,EH$2,AC_KM,$E68),SUMIFS(TF_SOTIEN,TF_THANG,EH$2,TF_KM,$E68))/ 1000</f>
        <v>0</v>
      </c>
      <c r="EO68" s="1091" t="str">
        <f t="shared" si="825"/>
        <v/>
      </c>
      <c r="EP68" s="1091"/>
      <c r="EQ68" s="1147">
        <f t="shared" si="607"/>
        <v>0</v>
      </c>
      <c r="ER68" s="1091" t="str">
        <f t="shared" si="87"/>
        <v/>
      </c>
      <c r="ES68" s="1147">
        <f t="shared" si="608"/>
        <v>0</v>
      </c>
      <c r="ET68" s="1091" t="str">
        <f t="shared" si="89"/>
        <v/>
      </c>
      <c r="EU68" s="1146">
        <f>SUMIFS(BP_SOTIEN,BP_THANG,EU$2,BP_KM,$E68)/1000</f>
        <v>0</v>
      </c>
      <c r="EV68" s="1091">
        <f t="shared" si="826"/>
        <v>0</v>
      </c>
      <c r="EW68" s="1091"/>
      <c r="EX68" s="1147">
        <f>IF(NOW()&gt;=DATE(YEAR(EU$2),MONTH(EU$2)+1,DAY(EU$2)),SUMIFS(TF_SOTIEN,TF_THANG,EU$2,TF_KM,$E68)/1000, FA68)</f>
        <v>0</v>
      </c>
      <c r="EY68" s="1091">
        <f t="shared" si="827"/>
        <v>0</v>
      </c>
      <c r="EZ68" s="1091"/>
      <c r="FA68" s="1147">
        <f>IF(NOW()&gt;=DATE(YEAR(EU$2),MONTH(EU$2)+1,DAY(EU$2)),SUMIFS(AC_SOTIEN,AC_THANG,EU$2,AC_KM,$E68),SUMIFS(TF_SOTIEN,TF_THANG,EU$2,TF_KM,$E68))/ 1000</f>
        <v>0</v>
      </c>
      <c r="FB68" s="1091" t="str">
        <f t="shared" si="828"/>
        <v/>
      </c>
      <c r="FC68" s="1091"/>
      <c r="FD68" s="1147">
        <f t="shared" si="616"/>
        <v>0</v>
      </c>
      <c r="FE68" s="1091" t="str">
        <f t="shared" si="94"/>
        <v/>
      </c>
      <c r="FF68" s="1147">
        <f t="shared" si="617"/>
        <v>0</v>
      </c>
      <c r="FG68" s="1091" t="str">
        <f t="shared" si="96"/>
        <v/>
      </c>
      <c r="FH68" s="1146">
        <f t="shared" si="618"/>
        <v>0</v>
      </c>
      <c r="FI68" s="1091">
        <f t="shared" si="829"/>
        <v>0</v>
      </c>
      <c r="FJ68" s="1091"/>
      <c r="FK68" s="1147">
        <f t="shared" si="621"/>
        <v>0</v>
      </c>
      <c r="FL68" s="1091">
        <f t="shared" si="830"/>
        <v>0</v>
      </c>
      <c r="FM68" s="1091"/>
      <c r="FN68" s="1147">
        <f t="shared" si="624"/>
        <v>0</v>
      </c>
      <c r="FO68" s="1091" t="str">
        <f t="shared" si="831"/>
        <v/>
      </c>
      <c r="FP68" s="1091"/>
      <c r="FQ68" s="1147">
        <f t="shared" si="627"/>
        <v>0</v>
      </c>
      <c r="FR68" s="1091" t="str">
        <f t="shared" si="104"/>
        <v/>
      </c>
      <c r="FS68" s="1147">
        <f t="shared" si="628"/>
        <v>0</v>
      </c>
      <c r="FT68" s="1091" t="str">
        <f t="shared" si="106"/>
        <v/>
      </c>
      <c r="FU68" s="1146">
        <f>SUMIFS(BP_SOTIEN,BP_THANG,FU$2,BP_KM,$E68)/1000</f>
        <v>0</v>
      </c>
      <c r="FV68" s="1091">
        <f t="shared" si="832"/>
        <v>0</v>
      </c>
      <c r="FW68" s="1091"/>
      <c r="FX68" s="1147">
        <f>IF(NOW()&gt;=DATE(YEAR(FU$2),MONTH(FU$2)+1,DAY(FU$2)),SUMIFS(TF_SOTIEN,TF_THANG,FU$2,TF_KM,$E68)/1000, GA68)</f>
        <v>0</v>
      </c>
      <c r="FY68" s="1091">
        <f t="shared" si="833"/>
        <v>0</v>
      </c>
      <c r="FZ68" s="1091"/>
      <c r="GA68" s="1147">
        <f>IF(NOW()&gt;=DATE(YEAR(FU$2),MONTH(FU$2)+1,DAY(FU$2)),SUMIFS(AC_SOTIEN,AC_THANG,FU$2,AC_KM,$E68),SUMIFS(TF_SOTIEN,TF_THANG,FU$2,TF_KM,$E68))/ 1000</f>
        <v>0</v>
      </c>
      <c r="GB68" s="1091" t="str">
        <f t="shared" si="834"/>
        <v/>
      </c>
      <c r="GC68" s="1091"/>
      <c r="GD68" s="1147">
        <f t="shared" si="635"/>
        <v>0</v>
      </c>
      <c r="GE68" s="1091" t="str">
        <f t="shared" si="111"/>
        <v/>
      </c>
      <c r="GF68" s="1147">
        <f t="shared" si="636"/>
        <v>0</v>
      </c>
      <c r="GG68" s="1091" t="str">
        <f t="shared" si="113"/>
        <v/>
      </c>
      <c r="GH68" s="1146">
        <f>SUMIFS(BP_SOTIEN,BP_THANG,GH$2,BP_KM,$E68)/1000</f>
        <v>0</v>
      </c>
      <c r="GI68" s="1091">
        <f t="shared" si="835"/>
        <v>0</v>
      </c>
      <c r="GJ68" s="1091"/>
      <c r="GK68" s="1147">
        <f>IF(NOW()&gt;=DATE(YEAR(GH$2),MONTH(GH$2)+1,DAY(GH$2)),SUMIFS(TF_SOTIEN,TF_THANG,GH$2,TF_KM,$E68)/1000, GN68)</f>
        <v>0</v>
      </c>
      <c r="GL68" s="1091">
        <f t="shared" si="836"/>
        <v>0</v>
      </c>
      <c r="GM68" s="1091"/>
      <c r="GN68" s="1147">
        <f>IF(NOW()&gt;=DATE(YEAR(GH$2),MONTH(GH$2)+1,DAY(GH$2)),SUMIFS(AC_SOTIEN,AC_THANG,GH$2,AC_KM,$E68),SUMIFS(TF_SOTIEN,TF_THANG,GH$2,TF_KM,$E68))/ 1000</f>
        <v>0</v>
      </c>
      <c r="GO68" s="1091" t="str">
        <f t="shared" si="837"/>
        <v/>
      </c>
      <c r="GP68" s="1091"/>
      <c r="GQ68" s="1147">
        <f t="shared" si="643"/>
        <v>0</v>
      </c>
      <c r="GR68" s="1091" t="str">
        <f t="shared" si="118"/>
        <v/>
      </c>
      <c r="GS68" s="1147">
        <f t="shared" si="644"/>
        <v>0</v>
      </c>
      <c r="GT68" s="1091" t="str">
        <f t="shared" si="120"/>
        <v/>
      </c>
      <c r="GU68" s="1146">
        <f>SUMIFS(BP_SOTIEN,BP_THANG,GU$2,BP_KM,$E68)/1000</f>
        <v>0</v>
      </c>
      <c r="GV68" s="1091">
        <f t="shared" si="838"/>
        <v>0</v>
      </c>
      <c r="GW68" s="1091"/>
      <c r="GX68" s="1147">
        <f>IF(NOW()&gt;=DATE(YEAR(GU$2),MONTH(GU$2)+1,DAY(GU$2)),SUMIFS(TF_SOTIEN,TF_THANG,GU$2,TF_KM,$E68)/1000, HA68)</f>
        <v>0</v>
      </c>
      <c r="GY68" s="1091">
        <f t="shared" si="839"/>
        <v>0</v>
      </c>
      <c r="GZ68" s="1091"/>
      <c r="HA68" s="1147">
        <f>IF(NOW()&gt;=DATE(YEAR(GU$2),MONTH(GU$2)+1,DAY(GU$2)),SUMIFS(AC_SOTIEN,AC_THANG,GU$2,AC_KM,$E68),SUMIFS(TF_SOTIEN,TF_THANG,GU$2,TF_KM,$E68))/ 1000</f>
        <v>0</v>
      </c>
      <c r="HB68" s="1091" t="str">
        <f t="shared" si="840"/>
        <v/>
      </c>
      <c r="HC68" s="1091"/>
      <c r="HD68" s="1147">
        <f t="shared" si="651"/>
        <v>0</v>
      </c>
      <c r="HE68" s="1091" t="str">
        <f t="shared" si="125"/>
        <v/>
      </c>
      <c r="HF68" s="1147">
        <f t="shared" si="652"/>
        <v>0</v>
      </c>
      <c r="HG68" s="1091" t="str">
        <f t="shared" si="127"/>
        <v/>
      </c>
      <c r="HH68" s="1146">
        <f t="shared" si="653"/>
        <v>0</v>
      </c>
      <c r="HI68" s="1091">
        <f t="shared" si="841"/>
        <v>0</v>
      </c>
      <c r="HJ68" s="1091"/>
      <c r="HK68" s="1147">
        <f t="shared" si="656"/>
        <v>0</v>
      </c>
      <c r="HL68" s="1091">
        <f t="shared" si="842"/>
        <v>0</v>
      </c>
      <c r="HM68" s="1091"/>
      <c r="HN68" s="1147">
        <f t="shared" si="659"/>
        <v>0</v>
      </c>
      <c r="HO68" s="1091" t="str">
        <f t="shared" si="843"/>
        <v/>
      </c>
      <c r="HP68" s="1091"/>
      <c r="HQ68" s="1147">
        <f t="shared" si="662"/>
        <v>0</v>
      </c>
      <c r="HR68" s="1091" t="str">
        <f t="shared" si="135"/>
        <v/>
      </c>
      <c r="HS68" s="1147">
        <f t="shared" si="663"/>
        <v>0</v>
      </c>
      <c r="HT68" s="1091" t="str">
        <f t="shared" si="137"/>
        <v/>
      </c>
      <c r="HU68" s="1146">
        <f t="shared" si="664"/>
        <v>0</v>
      </c>
      <c r="HV68" s="1091">
        <f t="shared" si="844"/>
        <v>0</v>
      </c>
      <c r="HW68" s="1091"/>
      <c r="HX68" s="1147">
        <f t="shared" si="667"/>
        <v>0</v>
      </c>
      <c r="HY68" s="1091">
        <f t="shared" si="845"/>
        <v>0</v>
      </c>
      <c r="HZ68" s="1091"/>
      <c r="IA68" s="1147">
        <f t="shared" si="670"/>
        <v>0</v>
      </c>
      <c r="IB68" s="1091" t="str">
        <f t="shared" si="846"/>
        <v/>
      </c>
      <c r="IC68" s="1091"/>
      <c r="ID68" s="1147">
        <f t="shared" si="673"/>
        <v>0</v>
      </c>
      <c r="IE68" s="1091" t="str">
        <f t="shared" si="145"/>
        <v/>
      </c>
      <c r="IF68" s="1147">
        <f t="shared" si="674"/>
        <v>0</v>
      </c>
      <c r="IG68" s="1091" t="str">
        <f t="shared" si="147"/>
        <v/>
      </c>
      <c r="IH68" s="1146">
        <f t="shared" si="675"/>
        <v>0</v>
      </c>
      <c r="II68" s="1091">
        <f t="shared" si="847"/>
        <v>0</v>
      </c>
      <c r="IJ68" s="1091"/>
      <c r="IK68" s="1147">
        <f t="shared" si="678"/>
        <v>175712.001</v>
      </c>
      <c r="IL68" s="1091">
        <f t="shared" si="848"/>
        <v>0.004238675813</v>
      </c>
      <c r="IM68" s="1091"/>
      <c r="IN68" s="1147">
        <f t="shared" si="681"/>
        <v>617836.405</v>
      </c>
      <c r="IO68" s="1091">
        <f t="shared" si="849"/>
        <v>0.1422074986</v>
      </c>
      <c r="IP68" s="1091"/>
      <c r="IQ68" s="1147">
        <f t="shared" si="684"/>
        <v>617836.405</v>
      </c>
      <c r="IR68" s="1091" t="str">
        <f t="shared" si="1"/>
        <v/>
      </c>
      <c r="IS68" s="1147">
        <f t="shared" si="685"/>
        <v>442124.404</v>
      </c>
      <c r="IT68" s="1091">
        <f t="shared" si="2"/>
        <v>2.516187861</v>
      </c>
    </row>
    <row r="69" outlineLevel="1">
      <c r="A69" s="737"/>
      <c r="B69" s="737"/>
      <c r="C69" s="737"/>
      <c r="D69" s="737" t="s">
        <v>2830</v>
      </c>
      <c r="E69" s="737" t="s">
        <v>190</v>
      </c>
      <c r="F69" s="748">
        <v>641.0</v>
      </c>
      <c r="G69" s="748">
        <v>3.0</v>
      </c>
      <c r="H69" s="1146">
        <f>SUMIFS(BP_SOTIEN,BP_THANG,H$2,BP_KM,$E69)/1000</f>
        <v>0</v>
      </c>
      <c r="I69" s="1091" t="str">
        <f t="shared" si="791"/>
        <v/>
      </c>
      <c r="J69" s="1091"/>
      <c r="K69" s="1147">
        <f>IF(NOW()&gt;=DATE(YEAR(H$2),MONTH(H$2)+1,DAY(H$2)),SUMIFS(TF_SOTIEN,TF_THANG,H$2,TF_KM,$E69)/1000, N69)</f>
        <v>0</v>
      </c>
      <c r="L69" s="1091">
        <f t="shared" si="792"/>
        <v>0</v>
      </c>
      <c r="M69" s="1091"/>
      <c r="N69" s="1147">
        <f>IF(NOW()&gt;=DATE(YEAR(H$2),MONTH(H$2)+1,DAY(H$2)),SUMIFS(AC_SOTIEN,AC_THANG,H$2,AC_KM,$E69),SUMIFS(TF_SOTIEN,TF_THANG,H$2,TF_KM,$E69))/ 1000</f>
        <v>107560</v>
      </c>
      <c r="O69" s="1091">
        <f t="shared" si="793"/>
        <v>0.3163529412</v>
      </c>
      <c r="P69" s="1091"/>
      <c r="Q69" s="1147">
        <f t="shared" si="518"/>
        <v>107560</v>
      </c>
      <c r="R69" s="1091" t="str">
        <f t="shared" si="8"/>
        <v/>
      </c>
      <c r="S69" s="1147">
        <f t="shared" si="519"/>
        <v>107560</v>
      </c>
      <c r="T69" s="1091" t="str">
        <f t="shared" si="10"/>
        <v/>
      </c>
      <c r="U69" s="1146">
        <f>SUMIFS(BP_SOTIEN,BP_THANG,U$2,BP_KM,$E69)/1000</f>
        <v>0</v>
      </c>
      <c r="V69" s="1091" t="str">
        <f t="shared" si="794"/>
        <v/>
      </c>
      <c r="W69" s="1091"/>
      <c r="X69" s="1147">
        <f>IF(NOW()&gt;=DATE(YEAR(U$2),MONTH(U$2)+1,DAY(U$2)),SUMIFS(TF_SOTIEN,TF_THANG,U$2,TF_KM,$E69)/1000, AA69)</f>
        <v>0</v>
      </c>
      <c r="Y69" s="1091" t="str">
        <f t="shared" si="795"/>
        <v/>
      </c>
      <c r="Z69" s="1091"/>
      <c r="AA69" s="1147">
        <f>IF(NOW()&gt;=DATE(YEAR(U$2),MONTH(U$2)+1,DAY(U$2)),SUMIFS(AC_SOTIEN,AC_THANG,U$2,AC_KM,$E69),SUMIFS(TF_SOTIEN,TF_THANG,U$2,TF_KM,$E69))/ 1000</f>
        <v>55000</v>
      </c>
      <c r="AB69" s="1091">
        <f t="shared" si="796"/>
        <v>0.3055555556</v>
      </c>
      <c r="AC69" s="1091"/>
      <c r="AD69" s="1147">
        <f t="shared" si="526"/>
        <v>55000</v>
      </c>
      <c r="AE69" s="1091" t="str">
        <f t="shared" si="15"/>
        <v/>
      </c>
      <c r="AF69" s="1147">
        <f t="shared" si="527"/>
        <v>55000</v>
      </c>
      <c r="AG69" s="1091" t="str">
        <f t="shared" si="17"/>
        <v/>
      </c>
      <c r="AH69" s="1146">
        <f>SUMIFS(BP_SOTIEN,BP_THANG,AH$2,BP_KM,$E69)/1000</f>
        <v>0</v>
      </c>
      <c r="AI69" s="1091" t="str">
        <f t="shared" si="797"/>
        <v/>
      </c>
      <c r="AJ69" s="1091"/>
      <c r="AK69" s="1147">
        <f>IF(NOW()&gt;=DATE(YEAR(AH$2),MONTH(AH$2)+1,DAY(AH$2)),SUMIFS(TF_SOTIEN,TF_THANG,AH$2,TF_KM,$E69)/1000, AN69)</f>
        <v>36000</v>
      </c>
      <c r="AL69" s="1091">
        <f t="shared" si="798"/>
        <v>0.01</v>
      </c>
      <c r="AM69" s="1091"/>
      <c r="AN69" s="1147">
        <f>IF(NOW()&gt;=DATE(YEAR(AH$2),MONTH(AH$2)+1,DAY(AH$2)),SUMIFS(AC_SOTIEN,AC_THANG,AH$2,AC_KM,$E69),SUMIFS(TF_SOTIEN,TF_THANG,AH$2,TF_KM,$E69))/ 1000</f>
        <v>214092.5</v>
      </c>
      <c r="AO69" s="1091">
        <f t="shared" si="799"/>
        <v>0.3204977545</v>
      </c>
      <c r="AP69" s="1091"/>
      <c r="AQ69" s="1147">
        <f t="shared" si="534"/>
        <v>214092.5</v>
      </c>
      <c r="AR69" s="1091" t="str">
        <f t="shared" si="22"/>
        <v/>
      </c>
      <c r="AS69" s="1147">
        <f t="shared" si="535"/>
        <v>178092.5</v>
      </c>
      <c r="AT69" s="1091">
        <f t="shared" si="24"/>
        <v>4.947013889</v>
      </c>
      <c r="AU69" s="1146">
        <f t="shared" si="536"/>
        <v>0</v>
      </c>
      <c r="AV69" s="1091" t="str">
        <f t="shared" si="800"/>
        <v/>
      </c>
      <c r="AW69" s="1091"/>
      <c r="AX69" s="1147">
        <f t="shared" si="539"/>
        <v>36000</v>
      </c>
      <c r="AY69" s="1091">
        <f t="shared" si="801"/>
        <v>0.009677419355</v>
      </c>
      <c r="AZ69" s="1091"/>
      <c r="BA69" s="1147">
        <f t="shared" si="542"/>
        <v>376652.5</v>
      </c>
      <c r="BB69" s="1091">
        <f t="shared" si="802"/>
        <v>0.3170475589</v>
      </c>
      <c r="BC69" s="1091"/>
      <c r="BD69" s="1147">
        <f t="shared" si="545"/>
        <v>376652.5</v>
      </c>
      <c r="BE69" s="1091" t="str">
        <f t="shared" si="32"/>
        <v/>
      </c>
      <c r="BF69" s="1147">
        <f t="shared" si="546"/>
        <v>340652.5</v>
      </c>
      <c r="BG69" s="1091">
        <f t="shared" si="34"/>
        <v>9.462569444</v>
      </c>
      <c r="BH69" s="1146">
        <f>SUMIFS(BP_SOTIEN,BP_THANG,BH$2,BP_KM,$E69)/1000</f>
        <v>3900000</v>
      </c>
      <c r="BI69" s="1091">
        <f t="shared" si="803"/>
        <v>0.975</v>
      </c>
      <c r="BJ69" s="1091"/>
      <c r="BK69" s="1147">
        <f>IF(NOW()&gt;=DATE(YEAR(BH$2),MONTH(BH$2)+1,DAY(BH$2)),SUMIFS(TF_SOTIEN,TF_THANG,BH$2,TF_KM,$E69)/1000, BN69)</f>
        <v>36000</v>
      </c>
      <c r="BL69" s="1091" t="str">
        <f t="shared" si="804"/>
        <v/>
      </c>
      <c r="BM69" s="1091"/>
      <c r="BN69" s="1147">
        <f>IF(NOW()&gt;=DATE(YEAR(BH$2),MONTH(BH$2)+1,DAY(BH$2)),SUMIFS(AC_SOTIEN,AC_THANG,BH$2,AC_KM,$E69),SUMIFS(TF_SOTIEN,TF_THANG,BH$2,TF_KM,$E69))/ 1000</f>
        <v>609315</v>
      </c>
      <c r="BO69" s="1091">
        <f t="shared" si="805"/>
        <v>0.2342582198</v>
      </c>
      <c r="BP69" s="1091"/>
      <c r="BQ69" s="1147">
        <f t="shared" si="553"/>
        <v>-3290685</v>
      </c>
      <c r="BR69" s="1091">
        <f t="shared" si="39"/>
        <v>-0.8437653846</v>
      </c>
      <c r="BS69" s="1147">
        <f t="shared" si="554"/>
        <v>573315</v>
      </c>
      <c r="BT69" s="1091">
        <f t="shared" si="41"/>
        <v>15.92541667</v>
      </c>
      <c r="BU69" s="1146">
        <f>SUMIFS(BP_SOTIEN,BP_THANG,BU$2,BP_KM,$E69)/1000</f>
        <v>3900000</v>
      </c>
      <c r="BV69" s="1091">
        <f t="shared" si="806"/>
        <v>0.975</v>
      </c>
      <c r="BW69" s="1091"/>
      <c r="BX69" s="1147">
        <f>IF(NOW()&gt;=DATE(YEAR(BU$2),MONTH(BU$2)+1,DAY(BU$2)),SUMIFS(TF_SOTIEN,TF_THANG,BU$2,TF_KM,$E69)/1000, CA69)</f>
        <v>523056.12</v>
      </c>
      <c r="BY69" s="1091">
        <f t="shared" si="807"/>
        <v>0.349997559</v>
      </c>
      <c r="BZ69" s="1091"/>
      <c r="CA69" s="1147">
        <f>IF(NOW()&gt;=DATE(YEAR(BU$2),MONTH(BU$2)+1,DAY(BU$2)),SUMIFS(AC_SOTIEN,AC_THANG,BU$2,AC_KM,$E69),SUMIFS(TF_SOTIEN,TF_THANG,BU$2,TF_KM,$E69))/ 1000</f>
        <v>182943</v>
      </c>
      <c r="CB69" s="1091">
        <f t="shared" si="808"/>
        <v>0.3292876531</v>
      </c>
      <c r="CC69" s="1091"/>
      <c r="CD69" s="1147">
        <f t="shared" si="561"/>
        <v>-3717057</v>
      </c>
      <c r="CE69" s="1091">
        <f t="shared" si="46"/>
        <v>-0.9530915385</v>
      </c>
      <c r="CF69" s="1147">
        <f t="shared" si="562"/>
        <v>-340113.12</v>
      </c>
      <c r="CG69" s="1091">
        <f t="shared" si="48"/>
        <v>-0.6502421193</v>
      </c>
      <c r="CH69" s="1146">
        <f>SUMIFS(BP_SOTIEN,BP_THANG,CH$2,BP_KM,$E69)/1000</f>
        <v>3900000</v>
      </c>
      <c r="CI69" s="1091">
        <f t="shared" si="809"/>
        <v>0.975</v>
      </c>
      <c r="CJ69" s="1091"/>
      <c r="CK69" s="1147">
        <f>IF(NOW()&gt;=DATE(YEAR(CH$2),MONTH(CH$2)+1,DAY(CH$2)),SUMIFS(TF_SOTIEN,TF_THANG,CH$2,TF_KM,$E69)/1000, CN69)</f>
        <v>3900000</v>
      </c>
      <c r="CL69" s="1091" t="str">
        <f t="shared" si="810"/>
        <v/>
      </c>
      <c r="CM69" s="1091"/>
      <c r="CN69" s="1147">
        <f>IF(NOW()&gt;=DATE(YEAR(CH$2),MONTH(CH$2)+1,DAY(CH$2)),SUMIFS(AC_SOTIEN,AC_THANG,CH$2,AC_KM,$E69),SUMIFS(TF_SOTIEN,TF_THANG,CH$2,TF_KM,$E69))/ 1000</f>
        <v>0</v>
      </c>
      <c r="CO69" s="1091" t="str">
        <f t="shared" si="811"/>
        <v/>
      </c>
      <c r="CP69" s="1091"/>
      <c r="CQ69" s="1147">
        <f t="shared" si="569"/>
        <v>-3900000</v>
      </c>
      <c r="CR69" s="1091">
        <f t="shared" si="53"/>
        <v>-1</v>
      </c>
      <c r="CS69" s="1147">
        <f t="shared" si="570"/>
        <v>-3900000</v>
      </c>
      <c r="CT69" s="1091">
        <f t="shared" si="55"/>
        <v>-1</v>
      </c>
      <c r="CU69" s="1146">
        <f t="shared" si="571"/>
        <v>11700000</v>
      </c>
      <c r="CV69" s="1091">
        <f t="shared" si="812"/>
        <v>0.975</v>
      </c>
      <c r="CW69" s="1091"/>
      <c r="CX69" s="1147">
        <f t="shared" si="813"/>
        <v>4459056.12</v>
      </c>
      <c r="CY69" s="1091">
        <f t="shared" si="814"/>
        <v>2.983730995</v>
      </c>
      <c r="CZ69" s="1091"/>
      <c r="DA69" s="1147">
        <f t="shared" si="815"/>
        <v>792258</v>
      </c>
      <c r="DB69" s="1091">
        <f t="shared" si="816"/>
        <v>0.2509836496</v>
      </c>
      <c r="DC69" s="1091"/>
      <c r="DD69" s="1147">
        <f t="shared" si="580"/>
        <v>-10907742</v>
      </c>
      <c r="DE69" s="1091">
        <f t="shared" si="63"/>
        <v>-0.932285641</v>
      </c>
      <c r="DF69" s="1147">
        <f t="shared" si="581"/>
        <v>-3666798.12</v>
      </c>
      <c r="DG69" s="1091">
        <f t="shared" si="65"/>
        <v>-0.8223260756</v>
      </c>
      <c r="DH69" s="1146">
        <f t="shared" si="582"/>
        <v>11700000</v>
      </c>
      <c r="DI69" s="1091">
        <f t="shared" si="817"/>
        <v>0.975</v>
      </c>
      <c r="DJ69" s="1091"/>
      <c r="DK69" s="1147">
        <f t="shared" si="585"/>
        <v>4495056.12</v>
      </c>
      <c r="DL69" s="1091">
        <f t="shared" si="818"/>
        <v>0.8620373259</v>
      </c>
      <c r="DM69" s="1091"/>
      <c r="DN69" s="1147">
        <f t="shared" si="588"/>
        <v>1168910.5</v>
      </c>
      <c r="DO69" s="1091">
        <f t="shared" si="819"/>
        <v>0.2690483063</v>
      </c>
      <c r="DP69" s="1091"/>
      <c r="DQ69" s="1147">
        <f t="shared" si="591"/>
        <v>-10531089.5</v>
      </c>
      <c r="DR69" s="1091">
        <f t="shared" si="73"/>
        <v>-0.9000931197</v>
      </c>
      <c r="DS69" s="1147">
        <f t="shared" si="592"/>
        <v>-3326145.62</v>
      </c>
      <c r="DT69" s="1091">
        <f t="shared" si="75"/>
        <v>-0.7399564168</v>
      </c>
      <c r="DU69" s="1146">
        <f>SUMIFS(BP_SOTIEN,BP_THANG,DU$2,BP_KM,$E69)/1000</f>
        <v>3900000</v>
      </c>
      <c r="DV69" s="1091">
        <f t="shared" si="820"/>
        <v>0.975</v>
      </c>
      <c r="DW69" s="1091"/>
      <c r="DX69" s="1147">
        <f>IF(NOW()&gt;=DATE(YEAR(DU$2),MONTH(DU$2)+1,DAY(DU$2)),SUMIFS(TF_SOTIEN,TF_THANG,DU$2,TF_KM,$E69)/1000, EA69)</f>
        <v>3900000</v>
      </c>
      <c r="DY69" s="1091">
        <f t="shared" si="821"/>
        <v>0.6456953685</v>
      </c>
      <c r="DZ69" s="1091"/>
      <c r="EA69" s="1147">
        <f>IF(NOW()&gt;=DATE(YEAR(DU$2),MONTH(DU$2)+1,DAY(DU$2)),SUMIFS(AC_SOTIEN,AC_THANG,DU$2,AC_KM,$E69),SUMIFS(TF_SOTIEN,TF_THANG,DU$2,TF_KM,$E69))/ 1000</f>
        <v>0</v>
      </c>
      <c r="EB69" s="1091" t="str">
        <f t="shared" si="822"/>
        <v/>
      </c>
      <c r="EC69" s="1091"/>
      <c r="ED69" s="1147">
        <f t="shared" si="599"/>
        <v>-3900000</v>
      </c>
      <c r="EE69" s="1091">
        <f t="shared" si="80"/>
        <v>-1</v>
      </c>
      <c r="EF69" s="1147">
        <f t="shared" si="600"/>
        <v>-3900000</v>
      </c>
      <c r="EG69" s="1091">
        <f t="shared" si="82"/>
        <v>-1</v>
      </c>
      <c r="EH69" s="1146">
        <f>SUMIFS(BP_SOTIEN,BP_THANG,EH$2,BP_KM,$E69)/1000</f>
        <v>3900000</v>
      </c>
      <c r="EI69" s="1091">
        <f t="shared" si="823"/>
        <v>0.975</v>
      </c>
      <c r="EJ69" s="1091"/>
      <c r="EK69" s="1147">
        <f>IF(NOW()&gt;=DATE(YEAR(EH$2),MONTH(EH$2)+1,DAY(EH$2)),SUMIFS(TF_SOTIEN,TF_THANG,EH$2,TF_KM,$E69)/1000, EN69)</f>
        <v>3900000</v>
      </c>
      <c r="EL69" s="1091">
        <f t="shared" si="824"/>
        <v>0.6456953685</v>
      </c>
      <c r="EM69" s="1091"/>
      <c r="EN69" s="1147">
        <f>IF(NOW()&gt;=DATE(YEAR(EH$2),MONTH(EH$2)+1,DAY(EH$2)),SUMIFS(AC_SOTIEN,AC_THANG,EH$2,AC_KM,$E69),SUMIFS(TF_SOTIEN,TF_THANG,EH$2,TF_KM,$E69))/ 1000</f>
        <v>0</v>
      </c>
      <c r="EO69" s="1091" t="str">
        <f t="shared" si="825"/>
        <v/>
      </c>
      <c r="EP69" s="1091"/>
      <c r="EQ69" s="1147">
        <f t="shared" si="607"/>
        <v>-3900000</v>
      </c>
      <c r="ER69" s="1091">
        <f t="shared" si="87"/>
        <v>-1</v>
      </c>
      <c r="ES69" s="1147">
        <f t="shared" si="608"/>
        <v>-3900000</v>
      </c>
      <c r="ET69" s="1091">
        <f t="shared" si="89"/>
        <v>-1</v>
      </c>
      <c r="EU69" s="1146">
        <f>SUMIFS(BP_SOTIEN,BP_THANG,EU$2,BP_KM,$E69)/1000</f>
        <v>3900000</v>
      </c>
      <c r="EV69" s="1091">
        <f t="shared" si="826"/>
        <v>0.975</v>
      </c>
      <c r="EW69" s="1091"/>
      <c r="EX69" s="1147">
        <f>IF(NOW()&gt;=DATE(YEAR(EU$2),MONTH(EU$2)+1,DAY(EU$2)),SUMIFS(TF_SOTIEN,TF_THANG,EU$2,TF_KM,$E69)/1000, FA69)</f>
        <v>3900000</v>
      </c>
      <c r="EY69" s="1091">
        <f t="shared" si="827"/>
        <v>0.6456953685</v>
      </c>
      <c r="EZ69" s="1091"/>
      <c r="FA69" s="1147">
        <f>IF(NOW()&gt;=DATE(YEAR(EU$2),MONTH(EU$2)+1,DAY(EU$2)),SUMIFS(AC_SOTIEN,AC_THANG,EU$2,AC_KM,$E69),SUMIFS(TF_SOTIEN,TF_THANG,EU$2,TF_KM,$E69))/ 1000</f>
        <v>0</v>
      </c>
      <c r="FB69" s="1091" t="str">
        <f t="shared" si="828"/>
        <v/>
      </c>
      <c r="FC69" s="1091"/>
      <c r="FD69" s="1147">
        <f t="shared" si="616"/>
        <v>-3900000</v>
      </c>
      <c r="FE69" s="1091">
        <f t="shared" si="94"/>
        <v>-1</v>
      </c>
      <c r="FF69" s="1147">
        <f t="shared" si="617"/>
        <v>-3900000</v>
      </c>
      <c r="FG69" s="1091">
        <f t="shared" si="96"/>
        <v>-1</v>
      </c>
      <c r="FH69" s="1146">
        <f t="shared" si="618"/>
        <v>11700000</v>
      </c>
      <c r="FI69" s="1091">
        <f t="shared" si="829"/>
        <v>0.975</v>
      </c>
      <c r="FJ69" s="1091"/>
      <c r="FK69" s="1147">
        <f t="shared" si="621"/>
        <v>11700000</v>
      </c>
      <c r="FL69" s="1091">
        <f t="shared" si="830"/>
        <v>0.6456953685</v>
      </c>
      <c r="FM69" s="1091"/>
      <c r="FN69" s="1147">
        <f t="shared" si="624"/>
        <v>0</v>
      </c>
      <c r="FO69" s="1091" t="str">
        <f t="shared" si="831"/>
        <v/>
      </c>
      <c r="FP69" s="1091"/>
      <c r="FQ69" s="1147">
        <f t="shared" si="627"/>
        <v>-11700000</v>
      </c>
      <c r="FR69" s="1091">
        <f t="shared" si="104"/>
        <v>-1</v>
      </c>
      <c r="FS69" s="1147">
        <f t="shared" si="628"/>
        <v>-11700000</v>
      </c>
      <c r="FT69" s="1091">
        <f t="shared" si="106"/>
        <v>-1</v>
      </c>
      <c r="FU69" s="1146">
        <f>SUMIFS(BP_SOTIEN,BP_THANG,FU$2,BP_KM,$E69)/1000</f>
        <v>3900000</v>
      </c>
      <c r="FV69" s="1091">
        <f t="shared" si="832"/>
        <v>0.975</v>
      </c>
      <c r="FW69" s="1091"/>
      <c r="FX69" s="1147">
        <f>IF(NOW()&gt;=DATE(YEAR(FU$2),MONTH(FU$2)+1,DAY(FU$2)),SUMIFS(TF_SOTIEN,TF_THANG,FU$2,TF_KM,$E69)/1000, GA69)</f>
        <v>3900000</v>
      </c>
      <c r="FY69" s="1091">
        <f t="shared" si="833"/>
        <v>0.6456953685</v>
      </c>
      <c r="FZ69" s="1091"/>
      <c r="GA69" s="1147">
        <f>IF(NOW()&gt;=DATE(YEAR(FU$2),MONTH(FU$2)+1,DAY(FU$2)),SUMIFS(AC_SOTIEN,AC_THANG,FU$2,AC_KM,$E69),SUMIFS(TF_SOTIEN,TF_THANG,FU$2,TF_KM,$E69))/ 1000</f>
        <v>0</v>
      </c>
      <c r="GB69" s="1091" t="str">
        <f t="shared" si="834"/>
        <v/>
      </c>
      <c r="GC69" s="1091"/>
      <c r="GD69" s="1147">
        <f t="shared" si="635"/>
        <v>-3900000</v>
      </c>
      <c r="GE69" s="1091">
        <f t="shared" si="111"/>
        <v>-1</v>
      </c>
      <c r="GF69" s="1147">
        <f t="shared" si="636"/>
        <v>-3900000</v>
      </c>
      <c r="GG69" s="1091">
        <f t="shared" si="113"/>
        <v>-1</v>
      </c>
      <c r="GH69" s="1146">
        <f>SUMIFS(BP_SOTIEN,BP_THANG,GH$2,BP_KM,$E69)/1000</f>
        <v>3900000</v>
      </c>
      <c r="GI69" s="1091">
        <f t="shared" si="835"/>
        <v>0.975</v>
      </c>
      <c r="GJ69" s="1091"/>
      <c r="GK69" s="1147">
        <f>IF(NOW()&gt;=DATE(YEAR(GH$2),MONTH(GH$2)+1,DAY(GH$2)),SUMIFS(TF_SOTIEN,TF_THANG,GH$2,TF_KM,$E69)/1000, GN69)</f>
        <v>3900000</v>
      </c>
      <c r="GL69" s="1091">
        <f t="shared" si="836"/>
        <v>0.6456953685</v>
      </c>
      <c r="GM69" s="1091"/>
      <c r="GN69" s="1147">
        <f>IF(NOW()&gt;=DATE(YEAR(GH$2),MONTH(GH$2)+1,DAY(GH$2)),SUMIFS(AC_SOTIEN,AC_THANG,GH$2,AC_KM,$E69),SUMIFS(TF_SOTIEN,TF_THANG,GH$2,TF_KM,$E69))/ 1000</f>
        <v>0</v>
      </c>
      <c r="GO69" s="1091" t="str">
        <f t="shared" si="837"/>
        <v/>
      </c>
      <c r="GP69" s="1091"/>
      <c r="GQ69" s="1147">
        <f t="shared" si="643"/>
        <v>-3900000</v>
      </c>
      <c r="GR69" s="1091">
        <f t="shared" si="118"/>
        <v>-1</v>
      </c>
      <c r="GS69" s="1147">
        <f t="shared" si="644"/>
        <v>-3900000</v>
      </c>
      <c r="GT69" s="1091">
        <f t="shared" si="120"/>
        <v>-1</v>
      </c>
      <c r="GU69" s="1146">
        <f>SUMIFS(BP_SOTIEN,BP_THANG,GU$2,BP_KM,$E69)/1000</f>
        <v>3900000</v>
      </c>
      <c r="GV69" s="1091">
        <f t="shared" si="838"/>
        <v>0.975</v>
      </c>
      <c r="GW69" s="1091"/>
      <c r="GX69" s="1147">
        <f>IF(NOW()&gt;=DATE(YEAR(GU$2),MONTH(GU$2)+1,DAY(GU$2)),SUMIFS(TF_SOTIEN,TF_THANG,GU$2,TF_KM,$E69)/1000, HA69)</f>
        <v>3900000</v>
      </c>
      <c r="GY69" s="1091">
        <f t="shared" si="839"/>
        <v>0.6456953685</v>
      </c>
      <c r="GZ69" s="1091"/>
      <c r="HA69" s="1147">
        <f>IF(NOW()&gt;=DATE(YEAR(GU$2),MONTH(GU$2)+1,DAY(GU$2)),SUMIFS(AC_SOTIEN,AC_THANG,GU$2,AC_KM,$E69),SUMIFS(TF_SOTIEN,TF_THANG,GU$2,TF_KM,$E69))/ 1000</f>
        <v>0</v>
      </c>
      <c r="HB69" s="1091" t="str">
        <f t="shared" si="840"/>
        <v/>
      </c>
      <c r="HC69" s="1091"/>
      <c r="HD69" s="1147">
        <f t="shared" si="651"/>
        <v>-3900000</v>
      </c>
      <c r="HE69" s="1091">
        <f t="shared" si="125"/>
        <v>-1</v>
      </c>
      <c r="HF69" s="1147">
        <f t="shared" si="652"/>
        <v>-3900000</v>
      </c>
      <c r="HG69" s="1091">
        <f t="shared" si="127"/>
        <v>-1</v>
      </c>
      <c r="HH69" s="1146">
        <f t="shared" si="653"/>
        <v>11700000</v>
      </c>
      <c r="HI69" s="1091">
        <f t="shared" si="841"/>
        <v>0.975</v>
      </c>
      <c r="HJ69" s="1091"/>
      <c r="HK69" s="1147">
        <f t="shared" si="656"/>
        <v>11700000</v>
      </c>
      <c r="HL69" s="1091">
        <f t="shared" si="842"/>
        <v>0.6456953685</v>
      </c>
      <c r="HM69" s="1091"/>
      <c r="HN69" s="1147">
        <f t="shared" si="659"/>
        <v>0</v>
      </c>
      <c r="HO69" s="1091" t="str">
        <f t="shared" si="843"/>
        <v/>
      </c>
      <c r="HP69" s="1091"/>
      <c r="HQ69" s="1147">
        <f t="shared" si="662"/>
        <v>-11700000</v>
      </c>
      <c r="HR69" s="1091">
        <f t="shared" si="135"/>
        <v>-1</v>
      </c>
      <c r="HS69" s="1147">
        <f t="shared" si="663"/>
        <v>-11700000</v>
      </c>
      <c r="HT69" s="1091">
        <f t="shared" si="137"/>
        <v>-1</v>
      </c>
      <c r="HU69" s="1146">
        <f t="shared" si="664"/>
        <v>23400000</v>
      </c>
      <c r="HV69" s="1091">
        <f t="shared" si="844"/>
        <v>0.975</v>
      </c>
      <c r="HW69" s="1091"/>
      <c r="HX69" s="1147">
        <f t="shared" si="667"/>
        <v>23400000</v>
      </c>
      <c r="HY69" s="1091">
        <f t="shared" si="845"/>
        <v>0.6456953685</v>
      </c>
      <c r="HZ69" s="1091"/>
      <c r="IA69" s="1147">
        <f t="shared" si="670"/>
        <v>0</v>
      </c>
      <c r="IB69" s="1091" t="str">
        <f t="shared" si="846"/>
        <v/>
      </c>
      <c r="IC69" s="1091"/>
      <c r="ID69" s="1147">
        <f t="shared" si="673"/>
        <v>-23400000</v>
      </c>
      <c r="IE69" s="1091">
        <f t="shared" si="145"/>
        <v>-1</v>
      </c>
      <c r="IF69" s="1147">
        <f t="shared" si="674"/>
        <v>-23400000</v>
      </c>
      <c r="IG69" s="1091">
        <f t="shared" si="147"/>
        <v>-1</v>
      </c>
      <c r="IH69" s="1146">
        <f t="shared" si="675"/>
        <v>35100000</v>
      </c>
      <c r="II69" s="1091">
        <f t="shared" si="847"/>
        <v>0.975</v>
      </c>
      <c r="IJ69" s="1091"/>
      <c r="IK69" s="1147">
        <f t="shared" si="678"/>
        <v>27895056.12</v>
      </c>
      <c r="IL69" s="1091">
        <f t="shared" si="848"/>
        <v>0.6729085037</v>
      </c>
      <c r="IM69" s="1091"/>
      <c r="IN69" s="1147">
        <f t="shared" si="681"/>
        <v>1168910.5</v>
      </c>
      <c r="IO69" s="1091">
        <f t="shared" si="849"/>
        <v>0.2690483063</v>
      </c>
      <c r="IP69" s="1091"/>
      <c r="IQ69" s="1147">
        <f t="shared" si="684"/>
        <v>-33931089.5</v>
      </c>
      <c r="IR69" s="1091">
        <f t="shared" si="1"/>
        <v>-0.9666977066</v>
      </c>
      <c r="IS69" s="1147">
        <f t="shared" si="685"/>
        <v>-26726145.62</v>
      </c>
      <c r="IT69" s="1091">
        <f t="shared" si="2"/>
        <v>-0.9580961409</v>
      </c>
    </row>
    <row r="70" outlineLevel="1">
      <c r="A70" s="737"/>
      <c r="B70" s="737"/>
      <c r="C70" s="737"/>
      <c r="D70" s="737" t="s">
        <v>2831</v>
      </c>
      <c r="E70" s="737" t="s">
        <v>194</v>
      </c>
      <c r="F70" s="748">
        <v>641.0</v>
      </c>
      <c r="G70" s="748">
        <v>3.0</v>
      </c>
      <c r="H70" s="1146">
        <f>SUMIFS(BP_SOTIEN,BP_THANG,H$2,BP_KM,$E70)/1000</f>
        <v>0</v>
      </c>
      <c r="I70" s="1091" t="str">
        <f t="shared" si="791"/>
        <v/>
      </c>
      <c r="J70" s="1091"/>
      <c r="K70" s="1147">
        <f>IF(NOW()&gt;=DATE(YEAR(H$2),MONTH(H$2)+1,DAY(H$2)),SUMIFS(TF_SOTIEN,TF_THANG,H$2,TF_KM,$E70)/1000, N70)</f>
        <v>0</v>
      </c>
      <c r="L70" s="1091">
        <f t="shared" si="792"/>
        <v>0</v>
      </c>
      <c r="M70" s="1091"/>
      <c r="N70" s="1147">
        <f>IF(NOW()&gt;=DATE(YEAR(H$2),MONTH(H$2)+1,DAY(H$2)),SUMIFS(AC_SOTIEN,AC_THANG,H$2,AC_KM,$E70),SUMIFS(TF_SOTIEN,TF_THANG,H$2,TF_KM,$E70))/ 1000</f>
        <v>4500</v>
      </c>
      <c r="O70" s="1091">
        <f t="shared" si="793"/>
        <v>0.01323529412</v>
      </c>
      <c r="P70" s="1091"/>
      <c r="Q70" s="1147">
        <f t="shared" si="518"/>
        <v>4500</v>
      </c>
      <c r="R70" s="1091" t="str">
        <f t="shared" si="8"/>
        <v/>
      </c>
      <c r="S70" s="1147">
        <f t="shared" si="519"/>
        <v>4500</v>
      </c>
      <c r="T70" s="1091" t="str">
        <f t="shared" si="10"/>
        <v/>
      </c>
      <c r="U70" s="1146">
        <f>SUMIFS(BP_SOTIEN,BP_THANG,U$2,BP_KM,$E70)/1000</f>
        <v>0</v>
      </c>
      <c r="V70" s="1091" t="str">
        <f t="shared" si="794"/>
        <v/>
      </c>
      <c r="W70" s="1091"/>
      <c r="X70" s="1147">
        <f>IF(NOW()&gt;=DATE(YEAR(U$2),MONTH(U$2)+1,DAY(U$2)),SUMIFS(TF_SOTIEN,TF_THANG,U$2,TF_KM,$E70)/1000, AA70)</f>
        <v>0</v>
      </c>
      <c r="Y70" s="1091" t="str">
        <f t="shared" si="795"/>
        <v/>
      </c>
      <c r="Z70" s="1091"/>
      <c r="AA70" s="1147">
        <f>IF(NOW()&gt;=DATE(YEAR(U$2),MONTH(U$2)+1,DAY(U$2)),SUMIFS(AC_SOTIEN,AC_THANG,U$2,AC_KM,$E70),SUMIFS(TF_SOTIEN,TF_THANG,U$2,TF_KM,$E70))/ 1000</f>
        <v>7580</v>
      </c>
      <c r="AB70" s="1091">
        <f t="shared" si="796"/>
        <v>0.04211111111</v>
      </c>
      <c r="AC70" s="1091"/>
      <c r="AD70" s="1147">
        <f t="shared" si="526"/>
        <v>7580</v>
      </c>
      <c r="AE70" s="1091" t="str">
        <f t="shared" si="15"/>
        <v/>
      </c>
      <c r="AF70" s="1147">
        <f t="shared" si="527"/>
        <v>7580</v>
      </c>
      <c r="AG70" s="1091" t="str">
        <f t="shared" si="17"/>
        <v/>
      </c>
      <c r="AH70" s="1146">
        <f>SUMIFS(BP_SOTIEN,BP_THANG,AH$2,BP_KM,$E70)/1000</f>
        <v>0</v>
      </c>
      <c r="AI70" s="1091" t="str">
        <f t="shared" si="797"/>
        <v/>
      </c>
      <c r="AJ70" s="1091"/>
      <c r="AK70" s="1147">
        <f>IF(NOW()&gt;=DATE(YEAR(AH$2),MONTH(AH$2)+1,DAY(AH$2)),SUMIFS(TF_SOTIEN,TF_THANG,AH$2,TF_KM,$E70)/1000, AN70)</f>
        <v>9600</v>
      </c>
      <c r="AL70" s="1091">
        <f t="shared" si="798"/>
        <v>0.002666666667</v>
      </c>
      <c r="AM70" s="1091"/>
      <c r="AN70" s="1147">
        <f>IF(NOW()&gt;=DATE(YEAR(AH$2),MONTH(AH$2)+1,DAY(AH$2)),SUMIFS(AC_SOTIEN,AC_THANG,AH$2,AC_KM,$E70),SUMIFS(TF_SOTIEN,TF_THANG,AH$2,TF_KM,$E70))/ 1000</f>
        <v>4500</v>
      </c>
      <c r="AO70" s="1091">
        <f t="shared" si="799"/>
        <v>0.006736526946</v>
      </c>
      <c r="AP70" s="1091"/>
      <c r="AQ70" s="1147">
        <f t="shared" si="534"/>
        <v>4500</v>
      </c>
      <c r="AR70" s="1091" t="str">
        <f t="shared" si="22"/>
        <v/>
      </c>
      <c r="AS70" s="1147">
        <f t="shared" si="535"/>
        <v>-5100</v>
      </c>
      <c r="AT70" s="1091">
        <f t="shared" si="24"/>
        <v>-0.53125</v>
      </c>
      <c r="AU70" s="1146">
        <f t="shared" si="536"/>
        <v>0</v>
      </c>
      <c r="AV70" s="1091" t="str">
        <f t="shared" si="800"/>
        <v/>
      </c>
      <c r="AW70" s="1091"/>
      <c r="AX70" s="1147">
        <f t="shared" si="539"/>
        <v>9600</v>
      </c>
      <c r="AY70" s="1091">
        <f t="shared" si="801"/>
        <v>0.002580645161</v>
      </c>
      <c r="AZ70" s="1091"/>
      <c r="BA70" s="1147">
        <f t="shared" si="542"/>
        <v>16580</v>
      </c>
      <c r="BB70" s="1091">
        <f t="shared" si="802"/>
        <v>0.01395622896</v>
      </c>
      <c r="BC70" s="1091"/>
      <c r="BD70" s="1147">
        <f t="shared" si="545"/>
        <v>16580</v>
      </c>
      <c r="BE70" s="1091" t="str">
        <f t="shared" si="32"/>
        <v/>
      </c>
      <c r="BF70" s="1147">
        <f t="shared" si="546"/>
        <v>6980</v>
      </c>
      <c r="BG70" s="1091">
        <f t="shared" si="34"/>
        <v>0.7270833333</v>
      </c>
      <c r="BH70" s="1146">
        <f>SUMIFS(BP_SOTIEN,BP_THANG,BH$2,BP_KM,$E70)/1000</f>
        <v>1040000</v>
      </c>
      <c r="BI70" s="1091">
        <f t="shared" si="803"/>
        <v>0.26</v>
      </c>
      <c r="BJ70" s="1091"/>
      <c r="BK70" s="1147">
        <f>IF(NOW()&gt;=DATE(YEAR(BH$2),MONTH(BH$2)+1,DAY(BH$2)),SUMIFS(TF_SOTIEN,TF_THANG,BH$2,TF_KM,$E70)/1000, BN70)</f>
        <v>9600</v>
      </c>
      <c r="BL70" s="1091" t="str">
        <f t="shared" si="804"/>
        <v/>
      </c>
      <c r="BM70" s="1091"/>
      <c r="BN70" s="1147">
        <f>IF(NOW()&gt;=DATE(YEAR(BH$2),MONTH(BH$2)+1,DAY(BH$2)),SUMIFS(AC_SOTIEN,AC_THANG,BH$2,AC_KM,$E70),SUMIFS(TF_SOTIEN,TF_THANG,BH$2,TF_KM,$E70))/ 1000</f>
        <v>46428</v>
      </c>
      <c r="BO70" s="1091">
        <f t="shared" si="805"/>
        <v>0.01784978316</v>
      </c>
      <c r="BP70" s="1091"/>
      <c r="BQ70" s="1147">
        <f t="shared" si="553"/>
        <v>-993572</v>
      </c>
      <c r="BR70" s="1091">
        <f t="shared" si="39"/>
        <v>-0.9553576923</v>
      </c>
      <c r="BS70" s="1147">
        <f t="shared" si="554"/>
        <v>36828</v>
      </c>
      <c r="BT70" s="1091">
        <f t="shared" si="41"/>
        <v>3.83625</v>
      </c>
      <c r="BU70" s="1146">
        <f>SUMIFS(BP_SOTIEN,BP_THANG,BU$2,BP_KM,$E70)/1000</f>
        <v>1040000</v>
      </c>
      <c r="BV70" s="1091">
        <f t="shared" si="806"/>
        <v>0.26</v>
      </c>
      <c r="BW70" s="1091"/>
      <c r="BX70" s="1147">
        <f>IF(NOW()&gt;=DATE(YEAR(BU$2),MONTH(BU$2)+1,DAY(BU$2)),SUMIFS(TF_SOTIEN,TF_THANG,BU$2,TF_KM,$E70)/1000, CA70)</f>
        <v>47940.816</v>
      </c>
      <c r="BY70" s="1091">
        <f t="shared" si="807"/>
        <v>0.03207909808</v>
      </c>
      <c r="BZ70" s="1091"/>
      <c r="CA70" s="1147">
        <f>IF(NOW()&gt;=DATE(YEAR(BU$2),MONTH(BU$2)+1,DAY(BU$2)),SUMIFS(AC_SOTIEN,AC_THANG,BU$2,AC_KM,$E70),SUMIFS(TF_SOTIEN,TF_THANG,BU$2,TF_KM,$E70))/ 1000</f>
        <v>0</v>
      </c>
      <c r="CB70" s="1091">
        <f t="shared" si="808"/>
        <v>0</v>
      </c>
      <c r="CC70" s="1091"/>
      <c r="CD70" s="1147">
        <f t="shared" si="561"/>
        <v>-1040000</v>
      </c>
      <c r="CE70" s="1091">
        <f t="shared" si="46"/>
        <v>-1</v>
      </c>
      <c r="CF70" s="1147">
        <f t="shared" si="562"/>
        <v>-47940.816</v>
      </c>
      <c r="CG70" s="1091">
        <f t="shared" si="48"/>
        <v>-1</v>
      </c>
      <c r="CH70" s="1146">
        <f>SUMIFS(BP_SOTIEN,BP_THANG,CH$2,BP_KM,$E70)/1000</f>
        <v>1040000</v>
      </c>
      <c r="CI70" s="1091">
        <f t="shared" si="809"/>
        <v>0.26</v>
      </c>
      <c r="CJ70" s="1091"/>
      <c r="CK70" s="1147">
        <f>IF(NOW()&gt;=DATE(YEAR(CH$2),MONTH(CH$2)+1,DAY(CH$2)),SUMIFS(TF_SOTIEN,TF_THANG,CH$2,TF_KM,$E70)/1000, CN70)</f>
        <v>1040000</v>
      </c>
      <c r="CL70" s="1091" t="str">
        <f t="shared" si="810"/>
        <v/>
      </c>
      <c r="CM70" s="1091"/>
      <c r="CN70" s="1147">
        <f>IF(NOW()&gt;=DATE(YEAR(CH$2),MONTH(CH$2)+1,DAY(CH$2)),SUMIFS(AC_SOTIEN,AC_THANG,CH$2,AC_KM,$E70),SUMIFS(TF_SOTIEN,TF_THANG,CH$2,TF_KM,$E70))/ 1000</f>
        <v>0</v>
      </c>
      <c r="CO70" s="1091" t="str">
        <f t="shared" si="811"/>
        <v/>
      </c>
      <c r="CP70" s="1091"/>
      <c r="CQ70" s="1147">
        <f t="shared" si="569"/>
        <v>-1040000</v>
      </c>
      <c r="CR70" s="1091">
        <f t="shared" si="53"/>
        <v>-1</v>
      </c>
      <c r="CS70" s="1147">
        <f t="shared" si="570"/>
        <v>-1040000</v>
      </c>
      <c r="CT70" s="1091">
        <f t="shared" si="55"/>
        <v>-1</v>
      </c>
      <c r="CU70" s="1146">
        <f t="shared" si="571"/>
        <v>3120000</v>
      </c>
      <c r="CV70" s="1091">
        <f t="shared" si="812"/>
        <v>0.26</v>
      </c>
      <c r="CW70" s="1091"/>
      <c r="CX70" s="1147">
        <f t="shared" si="813"/>
        <v>1097540.816</v>
      </c>
      <c r="CY70" s="1091">
        <f t="shared" si="814"/>
        <v>0.7344080143</v>
      </c>
      <c r="CZ70" s="1091"/>
      <c r="DA70" s="1147">
        <f t="shared" si="815"/>
        <v>46428</v>
      </c>
      <c r="DB70" s="1091">
        <f t="shared" si="816"/>
        <v>0.01470817446</v>
      </c>
      <c r="DC70" s="1091"/>
      <c r="DD70" s="1147">
        <f t="shared" si="580"/>
        <v>-3073572</v>
      </c>
      <c r="DE70" s="1091">
        <f t="shared" si="63"/>
        <v>-0.9851192308</v>
      </c>
      <c r="DF70" s="1147">
        <f t="shared" si="581"/>
        <v>-1051112.816</v>
      </c>
      <c r="DG70" s="1091">
        <f t="shared" si="65"/>
        <v>-0.9576981563</v>
      </c>
      <c r="DH70" s="1146">
        <f t="shared" si="582"/>
        <v>3120000</v>
      </c>
      <c r="DI70" s="1091">
        <f t="shared" si="817"/>
        <v>0.26</v>
      </c>
      <c r="DJ70" s="1091"/>
      <c r="DK70" s="1147">
        <f t="shared" si="585"/>
        <v>1107140.816</v>
      </c>
      <c r="DL70" s="1091">
        <f t="shared" si="818"/>
        <v>0.2123214222</v>
      </c>
      <c r="DM70" s="1091"/>
      <c r="DN70" s="1147">
        <f t="shared" si="588"/>
        <v>63008</v>
      </c>
      <c r="DO70" s="1091">
        <f t="shared" si="819"/>
        <v>0.01450256087</v>
      </c>
      <c r="DP70" s="1091"/>
      <c r="DQ70" s="1147">
        <f t="shared" si="591"/>
        <v>-3056992</v>
      </c>
      <c r="DR70" s="1091">
        <f t="shared" si="73"/>
        <v>-0.9798051282</v>
      </c>
      <c r="DS70" s="1147">
        <f t="shared" si="592"/>
        <v>-1044132.816</v>
      </c>
      <c r="DT70" s="1091">
        <f t="shared" si="75"/>
        <v>-0.9430894435</v>
      </c>
      <c r="DU70" s="1146">
        <f>SUMIFS(BP_SOTIEN,BP_THANG,DU$2,BP_KM,$E70)/1000</f>
        <v>1040000</v>
      </c>
      <c r="DV70" s="1091">
        <f t="shared" si="820"/>
        <v>0.26</v>
      </c>
      <c r="DW70" s="1091"/>
      <c r="DX70" s="1147">
        <f>IF(NOW()&gt;=DATE(YEAR(DU$2),MONTH(DU$2)+1,DAY(DU$2)),SUMIFS(TF_SOTIEN,TF_THANG,DU$2,TF_KM,$E70)/1000, EA70)</f>
        <v>1040000</v>
      </c>
      <c r="DY70" s="1091">
        <f t="shared" si="821"/>
        <v>0.1721854316</v>
      </c>
      <c r="DZ70" s="1091"/>
      <c r="EA70" s="1147">
        <f>IF(NOW()&gt;=DATE(YEAR(DU$2),MONTH(DU$2)+1,DAY(DU$2)),SUMIFS(AC_SOTIEN,AC_THANG,DU$2,AC_KM,$E70),SUMIFS(TF_SOTIEN,TF_THANG,DU$2,TF_KM,$E70))/ 1000</f>
        <v>0</v>
      </c>
      <c r="EB70" s="1091" t="str">
        <f t="shared" si="822"/>
        <v/>
      </c>
      <c r="EC70" s="1091"/>
      <c r="ED70" s="1147">
        <f t="shared" si="599"/>
        <v>-1040000</v>
      </c>
      <c r="EE70" s="1091">
        <f t="shared" si="80"/>
        <v>-1</v>
      </c>
      <c r="EF70" s="1147">
        <f t="shared" si="600"/>
        <v>-1040000</v>
      </c>
      <c r="EG70" s="1091">
        <f t="shared" si="82"/>
        <v>-1</v>
      </c>
      <c r="EH70" s="1146">
        <f>SUMIFS(BP_SOTIEN,BP_THANG,EH$2,BP_KM,$E70)/1000</f>
        <v>1040000</v>
      </c>
      <c r="EI70" s="1091">
        <f t="shared" si="823"/>
        <v>0.26</v>
      </c>
      <c r="EJ70" s="1091"/>
      <c r="EK70" s="1147">
        <f>IF(NOW()&gt;=DATE(YEAR(EH$2),MONTH(EH$2)+1,DAY(EH$2)),SUMIFS(TF_SOTIEN,TF_THANG,EH$2,TF_KM,$E70)/1000, EN70)</f>
        <v>1040000</v>
      </c>
      <c r="EL70" s="1091">
        <f t="shared" si="824"/>
        <v>0.1721854316</v>
      </c>
      <c r="EM70" s="1091"/>
      <c r="EN70" s="1147">
        <f>IF(NOW()&gt;=DATE(YEAR(EH$2),MONTH(EH$2)+1,DAY(EH$2)),SUMIFS(AC_SOTIEN,AC_THANG,EH$2,AC_KM,$E70),SUMIFS(TF_SOTIEN,TF_THANG,EH$2,TF_KM,$E70))/ 1000</f>
        <v>0</v>
      </c>
      <c r="EO70" s="1091" t="str">
        <f t="shared" si="825"/>
        <v/>
      </c>
      <c r="EP70" s="1091"/>
      <c r="EQ70" s="1147">
        <f t="shared" si="607"/>
        <v>-1040000</v>
      </c>
      <c r="ER70" s="1091">
        <f t="shared" si="87"/>
        <v>-1</v>
      </c>
      <c r="ES70" s="1147">
        <f t="shared" si="608"/>
        <v>-1040000</v>
      </c>
      <c r="ET70" s="1091">
        <f t="shared" si="89"/>
        <v>-1</v>
      </c>
      <c r="EU70" s="1146">
        <f>SUMIFS(BP_SOTIEN,BP_THANG,EU$2,BP_KM,$E70)/1000</f>
        <v>1040000</v>
      </c>
      <c r="EV70" s="1091">
        <f t="shared" si="826"/>
        <v>0.26</v>
      </c>
      <c r="EW70" s="1091"/>
      <c r="EX70" s="1147">
        <f>IF(NOW()&gt;=DATE(YEAR(EU$2),MONTH(EU$2)+1,DAY(EU$2)),SUMIFS(TF_SOTIEN,TF_THANG,EU$2,TF_KM,$E70)/1000, FA70)</f>
        <v>1040000</v>
      </c>
      <c r="EY70" s="1091">
        <f t="shared" si="827"/>
        <v>0.1721854316</v>
      </c>
      <c r="EZ70" s="1091"/>
      <c r="FA70" s="1147">
        <f>IF(NOW()&gt;=DATE(YEAR(EU$2),MONTH(EU$2)+1,DAY(EU$2)),SUMIFS(AC_SOTIEN,AC_THANG,EU$2,AC_KM,$E70),SUMIFS(TF_SOTIEN,TF_THANG,EU$2,TF_KM,$E70))/ 1000</f>
        <v>0</v>
      </c>
      <c r="FB70" s="1091" t="str">
        <f t="shared" si="828"/>
        <v/>
      </c>
      <c r="FC70" s="1091"/>
      <c r="FD70" s="1147">
        <f t="shared" si="616"/>
        <v>-1040000</v>
      </c>
      <c r="FE70" s="1091">
        <f t="shared" si="94"/>
        <v>-1</v>
      </c>
      <c r="FF70" s="1147">
        <f t="shared" si="617"/>
        <v>-1040000</v>
      </c>
      <c r="FG70" s="1091">
        <f t="shared" si="96"/>
        <v>-1</v>
      </c>
      <c r="FH70" s="1146">
        <f t="shared" si="618"/>
        <v>3120000</v>
      </c>
      <c r="FI70" s="1091">
        <f t="shared" si="829"/>
        <v>0.26</v>
      </c>
      <c r="FJ70" s="1091"/>
      <c r="FK70" s="1147">
        <f t="shared" si="621"/>
        <v>3120000</v>
      </c>
      <c r="FL70" s="1091">
        <f t="shared" si="830"/>
        <v>0.1721854316</v>
      </c>
      <c r="FM70" s="1091"/>
      <c r="FN70" s="1147">
        <f t="shared" si="624"/>
        <v>0</v>
      </c>
      <c r="FO70" s="1091" t="str">
        <f t="shared" si="831"/>
        <v/>
      </c>
      <c r="FP70" s="1091"/>
      <c r="FQ70" s="1147">
        <f t="shared" si="627"/>
        <v>-3120000</v>
      </c>
      <c r="FR70" s="1091">
        <f t="shared" si="104"/>
        <v>-1</v>
      </c>
      <c r="FS70" s="1147">
        <f t="shared" si="628"/>
        <v>-3120000</v>
      </c>
      <c r="FT70" s="1091">
        <f t="shared" si="106"/>
        <v>-1</v>
      </c>
      <c r="FU70" s="1146">
        <f>SUMIFS(BP_SOTIEN,BP_THANG,FU$2,BP_KM,$E70)/1000</f>
        <v>1040000</v>
      </c>
      <c r="FV70" s="1091">
        <f t="shared" si="832"/>
        <v>0.26</v>
      </c>
      <c r="FW70" s="1091"/>
      <c r="FX70" s="1147">
        <f>IF(NOW()&gt;=DATE(YEAR(FU$2),MONTH(FU$2)+1,DAY(FU$2)),SUMIFS(TF_SOTIEN,TF_THANG,FU$2,TF_KM,$E70)/1000, GA70)</f>
        <v>1040000</v>
      </c>
      <c r="FY70" s="1091">
        <f t="shared" si="833"/>
        <v>0.1721854316</v>
      </c>
      <c r="FZ70" s="1091"/>
      <c r="GA70" s="1147">
        <f>IF(NOW()&gt;=DATE(YEAR(FU$2),MONTH(FU$2)+1,DAY(FU$2)),SUMIFS(AC_SOTIEN,AC_THANG,FU$2,AC_KM,$E70),SUMIFS(TF_SOTIEN,TF_THANG,FU$2,TF_KM,$E70))/ 1000</f>
        <v>0</v>
      </c>
      <c r="GB70" s="1091" t="str">
        <f t="shared" si="834"/>
        <v/>
      </c>
      <c r="GC70" s="1091"/>
      <c r="GD70" s="1147">
        <f t="shared" si="635"/>
        <v>-1040000</v>
      </c>
      <c r="GE70" s="1091">
        <f t="shared" si="111"/>
        <v>-1</v>
      </c>
      <c r="GF70" s="1147">
        <f t="shared" si="636"/>
        <v>-1040000</v>
      </c>
      <c r="GG70" s="1091">
        <f t="shared" si="113"/>
        <v>-1</v>
      </c>
      <c r="GH70" s="1146">
        <f>SUMIFS(BP_SOTIEN,BP_THANG,GH$2,BP_KM,$E70)/1000</f>
        <v>1040000</v>
      </c>
      <c r="GI70" s="1091">
        <f t="shared" si="835"/>
        <v>0.26</v>
      </c>
      <c r="GJ70" s="1091"/>
      <c r="GK70" s="1147">
        <f>IF(NOW()&gt;=DATE(YEAR(GH$2),MONTH(GH$2)+1,DAY(GH$2)),SUMIFS(TF_SOTIEN,TF_THANG,GH$2,TF_KM,$E70)/1000, GN70)</f>
        <v>1040000</v>
      </c>
      <c r="GL70" s="1091">
        <f t="shared" si="836"/>
        <v>0.1721854316</v>
      </c>
      <c r="GM70" s="1091"/>
      <c r="GN70" s="1147">
        <f>IF(NOW()&gt;=DATE(YEAR(GH$2),MONTH(GH$2)+1,DAY(GH$2)),SUMIFS(AC_SOTIEN,AC_THANG,GH$2,AC_KM,$E70),SUMIFS(TF_SOTIEN,TF_THANG,GH$2,TF_KM,$E70))/ 1000</f>
        <v>0</v>
      </c>
      <c r="GO70" s="1091" t="str">
        <f t="shared" si="837"/>
        <v/>
      </c>
      <c r="GP70" s="1091"/>
      <c r="GQ70" s="1147">
        <f t="shared" si="643"/>
        <v>-1040000</v>
      </c>
      <c r="GR70" s="1091">
        <f t="shared" si="118"/>
        <v>-1</v>
      </c>
      <c r="GS70" s="1147">
        <f t="shared" si="644"/>
        <v>-1040000</v>
      </c>
      <c r="GT70" s="1091">
        <f t="shared" si="120"/>
        <v>-1</v>
      </c>
      <c r="GU70" s="1146">
        <f>SUMIFS(BP_SOTIEN,BP_THANG,GU$2,BP_KM,$E70)/1000</f>
        <v>1040000</v>
      </c>
      <c r="GV70" s="1091">
        <f t="shared" si="838"/>
        <v>0.26</v>
      </c>
      <c r="GW70" s="1091"/>
      <c r="GX70" s="1147">
        <f>IF(NOW()&gt;=DATE(YEAR(GU$2),MONTH(GU$2)+1,DAY(GU$2)),SUMIFS(TF_SOTIEN,TF_THANG,GU$2,TF_KM,$E70)/1000, HA70)</f>
        <v>1040000</v>
      </c>
      <c r="GY70" s="1091">
        <f t="shared" si="839"/>
        <v>0.1721854316</v>
      </c>
      <c r="GZ70" s="1091"/>
      <c r="HA70" s="1147">
        <f>IF(NOW()&gt;=DATE(YEAR(GU$2),MONTH(GU$2)+1,DAY(GU$2)),SUMIFS(AC_SOTIEN,AC_THANG,GU$2,AC_KM,$E70),SUMIFS(TF_SOTIEN,TF_THANG,GU$2,TF_KM,$E70))/ 1000</f>
        <v>0</v>
      </c>
      <c r="HB70" s="1091" t="str">
        <f t="shared" si="840"/>
        <v/>
      </c>
      <c r="HC70" s="1091"/>
      <c r="HD70" s="1147">
        <f t="shared" si="651"/>
        <v>-1040000</v>
      </c>
      <c r="HE70" s="1091">
        <f t="shared" si="125"/>
        <v>-1</v>
      </c>
      <c r="HF70" s="1147">
        <f t="shared" si="652"/>
        <v>-1040000</v>
      </c>
      <c r="HG70" s="1091">
        <f t="shared" si="127"/>
        <v>-1</v>
      </c>
      <c r="HH70" s="1146">
        <f t="shared" si="653"/>
        <v>3120000</v>
      </c>
      <c r="HI70" s="1091">
        <f t="shared" si="841"/>
        <v>0.26</v>
      </c>
      <c r="HJ70" s="1091"/>
      <c r="HK70" s="1147">
        <f t="shared" si="656"/>
        <v>3120000</v>
      </c>
      <c r="HL70" s="1091">
        <f t="shared" si="842"/>
        <v>0.1721854316</v>
      </c>
      <c r="HM70" s="1091"/>
      <c r="HN70" s="1147">
        <f t="shared" si="659"/>
        <v>0</v>
      </c>
      <c r="HO70" s="1091" t="str">
        <f t="shared" si="843"/>
        <v/>
      </c>
      <c r="HP70" s="1091"/>
      <c r="HQ70" s="1147">
        <f t="shared" si="662"/>
        <v>-3120000</v>
      </c>
      <c r="HR70" s="1091">
        <f t="shared" si="135"/>
        <v>-1</v>
      </c>
      <c r="HS70" s="1147">
        <f t="shared" si="663"/>
        <v>-3120000</v>
      </c>
      <c r="HT70" s="1091">
        <f t="shared" si="137"/>
        <v>-1</v>
      </c>
      <c r="HU70" s="1146">
        <f t="shared" si="664"/>
        <v>6240000</v>
      </c>
      <c r="HV70" s="1091">
        <f t="shared" si="844"/>
        <v>0.26</v>
      </c>
      <c r="HW70" s="1091"/>
      <c r="HX70" s="1147">
        <f t="shared" si="667"/>
        <v>6240000</v>
      </c>
      <c r="HY70" s="1091">
        <f t="shared" si="845"/>
        <v>0.1721854316</v>
      </c>
      <c r="HZ70" s="1091"/>
      <c r="IA70" s="1147">
        <f t="shared" si="670"/>
        <v>0</v>
      </c>
      <c r="IB70" s="1091" t="str">
        <f t="shared" si="846"/>
        <v/>
      </c>
      <c r="IC70" s="1091"/>
      <c r="ID70" s="1147">
        <f t="shared" si="673"/>
        <v>-6240000</v>
      </c>
      <c r="IE70" s="1091">
        <f t="shared" si="145"/>
        <v>-1</v>
      </c>
      <c r="IF70" s="1147">
        <f t="shared" si="674"/>
        <v>-6240000</v>
      </c>
      <c r="IG70" s="1091">
        <f t="shared" si="147"/>
        <v>-1</v>
      </c>
      <c r="IH70" s="1146">
        <f t="shared" si="675"/>
        <v>9360000</v>
      </c>
      <c r="II70" s="1091">
        <f t="shared" si="847"/>
        <v>0.26</v>
      </c>
      <c r="IJ70" s="1091"/>
      <c r="IK70" s="1147">
        <f t="shared" si="678"/>
        <v>7347140.816</v>
      </c>
      <c r="IL70" s="1091">
        <f t="shared" si="848"/>
        <v>0.1772340415</v>
      </c>
      <c r="IM70" s="1091"/>
      <c r="IN70" s="1147">
        <f t="shared" si="681"/>
        <v>63008</v>
      </c>
      <c r="IO70" s="1091">
        <f t="shared" si="849"/>
        <v>0.01450256087</v>
      </c>
      <c r="IP70" s="1091"/>
      <c r="IQ70" s="1147">
        <f t="shared" si="684"/>
        <v>-9296992</v>
      </c>
      <c r="IR70" s="1091">
        <f t="shared" si="1"/>
        <v>-0.9932683761</v>
      </c>
      <c r="IS70" s="1147">
        <f t="shared" si="685"/>
        <v>-7284132.816</v>
      </c>
      <c r="IT70" s="1091">
        <f t="shared" si="2"/>
        <v>-0.9914241469</v>
      </c>
    </row>
    <row r="71" outlineLevel="1">
      <c r="A71" s="737"/>
      <c r="B71" s="737"/>
      <c r="C71" s="737"/>
      <c r="D71" s="737" t="s">
        <v>2832</v>
      </c>
      <c r="E71" s="737" t="s">
        <v>374</v>
      </c>
      <c r="F71" s="748">
        <v>641.0</v>
      </c>
      <c r="G71" s="748">
        <v>3.0</v>
      </c>
      <c r="H71" s="1146">
        <f>SUMIFS(BP_SOTIEN,BP_THANG,H$2,BP_KM,$E71)/1000</f>
        <v>1666</v>
      </c>
      <c r="I71" s="1091" t="str">
        <f t="shared" si="791"/>
        <v/>
      </c>
      <c r="J71" s="1091"/>
      <c r="K71" s="1147">
        <f>IF(NOW()&gt;=DATE(YEAR(H$2),MONTH(H$2)+1,DAY(H$2)),SUMIFS(TF_SOTIEN,TF_THANG,H$2,TF_KM,$E71)/1000, N71)</f>
        <v>1666</v>
      </c>
      <c r="L71" s="1091">
        <f t="shared" si="792"/>
        <v>0.01388333333</v>
      </c>
      <c r="M71" s="1091"/>
      <c r="N71" s="1147">
        <f>IF(NOW()&gt;=DATE(YEAR(H$2),MONTH(H$2)+1,DAY(H$2)),SUMIFS(AC_SOTIEN,AC_THANG,H$2,AC_KM,$E71),SUMIFS(TF_SOTIEN,TF_THANG,H$2,TF_KM,$E71))/ 1000</f>
        <v>0</v>
      </c>
      <c r="O71" s="1091">
        <f t="shared" si="793"/>
        <v>0</v>
      </c>
      <c r="P71" s="1091"/>
      <c r="Q71" s="1147">
        <f t="shared" si="518"/>
        <v>-1666</v>
      </c>
      <c r="R71" s="1091">
        <f t="shared" si="8"/>
        <v>-1</v>
      </c>
      <c r="S71" s="1147">
        <f t="shared" si="519"/>
        <v>-1666</v>
      </c>
      <c r="T71" s="1091">
        <f t="shared" si="10"/>
        <v>-1</v>
      </c>
      <c r="U71" s="1146">
        <f>SUMIFS(BP_SOTIEN,BP_THANG,U$2,BP_KM,$E71)/1000</f>
        <v>1666</v>
      </c>
      <c r="V71" s="1091" t="str">
        <f t="shared" si="794"/>
        <v/>
      </c>
      <c r="W71" s="1091"/>
      <c r="X71" s="1147">
        <f>IF(NOW()&gt;=DATE(YEAR(U$2),MONTH(U$2)+1,DAY(U$2)),SUMIFS(TF_SOTIEN,TF_THANG,U$2,TF_KM,$E71)/1000, AA71)</f>
        <v>0</v>
      </c>
      <c r="Y71" s="1091" t="str">
        <f t="shared" si="795"/>
        <v/>
      </c>
      <c r="Z71" s="1091"/>
      <c r="AA71" s="1147">
        <f>IF(NOW()&gt;=DATE(YEAR(U$2),MONTH(U$2)+1,DAY(U$2)),SUMIFS(AC_SOTIEN,AC_THANG,U$2,AC_KM,$E71),SUMIFS(TF_SOTIEN,TF_THANG,U$2,TF_KM,$E71))/ 1000</f>
        <v>5380</v>
      </c>
      <c r="AB71" s="1091">
        <f t="shared" si="796"/>
        <v>0.02988888889</v>
      </c>
      <c r="AC71" s="1091"/>
      <c r="AD71" s="1147">
        <f t="shared" si="526"/>
        <v>3714</v>
      </c>
      <c r="AE71" s="1091">
        <f t="shared" si="15"/>
        <v>2.229291717</v>
      </c>
      <c r="AF71" s="1147">
        <f t="shared" si="527"/>
        <v>5380</v>
      </c>
      <c r="AG71" s="1091" t="str">
        <f t="shared" si="17"/>
        <v/>
      </c>
      <c r="AH71" s="1146">
        <f>SUMIFS(BP_SOTIEN,BP_THANG,AH$2,BP_KM,$E71)/1000</f>
        <v>1666</v>
      </c>
      <c r="AI71" s="1091" t="str">
        <f t="shared" si="797"/>
        <v/>
      </c>
      <c r="AJ71" s="1091"/>
      <c r="AK71" s="1147">
        <f>IF(NOW()&gt;=DATE(YEAR(AH$2),MONTH(AH$2)+1,DAY(AH$2)),SUMIFS(TF_SOTIEN,TF_THANG,AH$2,TF_KM,$E71)/1000, AN71)</f>
        <v>0</v>
      </c>
      <c r="AL71" s="1091">
        <f t="shared" si="798"/>
        <v>0</v>
      </c>
      <c r="AM71" s="1091"/>
      <c r="AN71" s="1147">
        <f>IF(NOW()&gt;=DATE(YEAR(AH$2),MONTH(AH$2)+1,DAY(AH$2)),SUMIFS(AC_SOTIEN,AC_THANG,AH$2,AC_KM,$E71),SUMIFS(TF_SOTIEN,TF_THANG,AH$2,TF_KM,$E71))/ 1000</f>
        <v>6700</v>
      </c>
      <c r="AO71" s="1091">
        <f t="shared" si="799"/>
        <v>0.01002994012</v>
      </c>
      <c r="AP71" s="1091"/>
      <c r="AQ71" s="1147">
        <f t="shared" si="534"/>
        <v>5034</v>
      </c>
      <c r="AR71" s="1091">
        <f t="shared" si="22"/>
        <v>3.021608643</v>
      </c>
      <c r="AS71" s="1147">
        <f t="shared" si="535"/>
        <v>6700</v>
      </c>
      <c r="AT71" s="1091" t="str">
        <f t="shared" si="24"/>
        <v/>
      </c>
      <c r="AU71" s="1146">
        <f t="shared" si="536"/>
        <v>4998</v>
      </c>
      <c r="AV71" s="1091" t="str">
        <f t="shared" si="800"/>
        <v/>
      </c>
      <c r="AW71" s="1091"/>
      <c r="AX71" s="1147">
        <f t="shared" si="539"/>
        <v>1666</v>
      </c>
      <c r="AY71" s="1091">
        <f t="shared" si="801"/>
        <v>0.0004478494624</v>
      </c>
      <c r="AZ71" s="1091"/>
      <c r="BA71" s="1147">
        <f t="shared" si="542"/>
        <v>12080</v>
      </c>
      <c r="BB71" s="1091">
        <f t="shared" si="802"/>
        <v>0.01016835017</v>
      </c>
      <c r="BC71" s="1091"/>
      <c r="BD71" s="1147">
        <f t="shared" si="545"/>
        <v>7082</v>
      </c>
      <c r="BE71" s="1091">
        <f t="shared" si="32"/>
        <v>1.416966787</v>
      </c>
      <c r="BF71" s="1147">
        <f t="shared" si="546"/>
        <v>10414</v>
      </c>
      <c r="BG71" s="1091">
        <f t="shared" si="34"/>
        <v>6.25090036</v>
      </c>
      <c r="BH71" s="1146">
        <f>SUMIFS(BP_SOTIEN,BP_THANG,BH$2,BP_KM,$E71)/1000</f>
        <v>1666</v>
      </c>
      <c r="BI71" s="1091">
        <f t="shared" si="803"/>
        <v>0.0004165</v>
      </c>
      <c r="BJ71" s="1091"/>
      <c r="BK71" s="1147">
        <f>IF(NOW()&gt;=DATE(YEAR(BH$2),MONTH(BH$2)+1,DAY(BH$2)),SUMIFS(TF_SOTIEN,TF_THANG,BH$2,TF_KM,$E71)/1000, BN71)</f>
        <v>0</v>
      </c>
      <c r="BL71" s="1091" t="str">
        <f t="shared" si="804"/>
        <v/>
      </c>
      <c r="BM71" s="1091"/>
      <c r="BN71" s="1147">
        <f>IF(NOW()&gt;=DATE(YEAR(BH$2),MONTH(BH$2)+1,DAY(BH$2)),SUMIFS(AC_SOTIEN,AC_THANG,BH$2,AC_KM,$E71),SUMIFS(TF_SOTIEN,TF_THANG,BH$2,TF_KM,$E71))/ 1000</f>
        <v>0</v>
      </c>
      <c r="BO71" s="1091">
        <f t="shared" si="805"/>
        <v>0</v>
      </c>
      <c r="BP71" s="1091"/>
      <c r="BQ71" s="1147">
        <f t="shared" si="553"/>
        <v>-1666</v>
      </c>
      <c r="BR71" s="1091">
        <f t="shared" si="39"/>
        <v>-1</v>
      </c>
      <c r="BS71" s="1147">
        <f t="shared" si="554"/>
        <v>0</v>
      </c>
      <c r="BT71" s="1091" t="str">
        <f t="shared" si="41"/>
        <v/>
      </c>
      <c r="BU71" s="1146">
        <f>SUMIFS(BP_SOTIEN,BP_THANG,BU$2,BP_KM,$E71)/1000</f>
        <v>1666</v>
      </c>
      <c r="BV71" s="1091">
        <f t="shared" si="806"/>
        <v>0.0004165</v>
      </c>
      <c r="BW71" s="1091"/>
      <c r="BX71" s="1147">
        <f>IF(NOW()&gt;=DATE(YEAR(BU$2),MONTH(BU$2)+1,DAY(BU$2)),SUMIFS(TF_SOTIEN,TF_THANG,BU$2,TF_KM,$E71)/1000, CA71)</f>
        <v>6600</v>
      </c>
      <c r="BY71" s="1091">
        <f t="shared" si="807"/>
        <v>0.00441632131</v>
      </c>
      <c r="BZ71" s="1091"/>
      <c r="CA71" s="1147">
        <f>IF(NOW()&gt;=DATE(YEAR(BU$2),MONTH(BU$2)+1,DAY(BU$2)),SUMIFS(AC_SOTIEN,AC_THANG,BU$2,AC_KM,$E71),SUMIFS(TF_SOTIEN,TF_THANG,BU$2,TF_KM,$E71))/ 1000</f>
        <v>13572</v>
      </c>
      <c r="CB71" s="1091">
        <f t="shared" si="808"/>
        <v>0.02442887691</v>
      </c>
      <c r="CC71" s="1091"/>
      <c r="CD71" s="1147">
        <f t="shared" si="561"/>
        <v>11906</v>
      </c>
      <c r="CE71" s="1091">
        <f t="shared" si="46"/>
        <v>7.146458583</v>
      </c>
      <c r="CF71" s="1147">
        <f t="shared" si="562"/>
        <v>6972</v>
      </c>
      <c r="CG71" s="1091">
        <f t="shared" si="48"/>
        <v>1.056363636</v>
      </c>
      <c r="CH71" s="1146">
        <f>SUMIFS(BP_SOTIEN,BP_THANG,CH$2,BP_KM,$E71)/1000</f>
        <v>1666</v>
      </c>
      <c r="CI71" s="1091">
        <f t="shared" si="809"/>
        <v>0.0004165</v>
      </c>
      <c r="CJ71" s="1091"/>
      <c r="CK71" s="1147">
        <f>IF(NOW()&gt;=DATE(YEAR(CH$2),MONTH(CH$2)+1,DAY(CH$2)),SUMIFS(TF_SOTIEN,TF_THANG,CH$2,TF_KM,$E71)/1000, CN71)</f>
        <v>1666</v>
      </c>
      <c r="CL71" s="1091" t="str">
        <f t="shared" si="810"/>
        <v/>
      </c>
      <c r="CM71" s="1091"/>
      <c r="CN71" s="1147">
        <f>IF(NOW()&gt;=DATE(YEAR(CH$2),MONTH(CH$2)+1,DAY(CH$2)),SUMIFS(AC_SOTIEN,AC_THANG,CH$2,AC_KM,$E71),SUMIFS(TF_SOTIEN,TF_THANG,CH$2,TF_KM,$E71))/ 1000</f>
        <v>0</v>
      </c>
      <c r="CO71" s="1091" t="str">
        <f t="shared" si="811"/>
        <v/>
      </c>
      <c r="CP71" s="1091"/>
      <c r="CQ71" s="1147">
        <f t="shared" si="569"/>
        <v>-1666</v>
      </c>
      <c r="CR71" s="1091">
        <f t="shared" si="53"/>
        <v>-1</v>
      </c>
      <c r="CS71" s="1147">
        <f t="shared" si="570"/>
        <v>-1666</v>
      </c>
      <c r="CT71" s="1091">
        <f t="shared" si="55"/>
        <v>-1</v>
      </c>
      <c r="CU71" s="1146">
        <f t="shared" si="571"/>
        <v>4998</v>
      </c>
      <c r="CV71" s="1091">
        <f t="shared" si="812"/>
        <v>0.0004165</v>
      </c>
      <c r="CW71" s="1091"/>
      <c r="CX71" s="1147">
        <f t="shared" si="813"/>
        <v>8266</v>
      </c>
      <c r="CY71" s="1091">
        <f t="shared" si="814"/>
        <v>0.005531107871</v>
      </c>
      <c r="CZ71" s="1091"/>
      <c r="DA71" s="1147">
        <f t="shared" si="815"/>
        <v>13572</v>
      </c>
      <c r="DB71" s="1091">
        <f t="shared" si="816"/>
        <v>0.004299546476</v>
      </c>
      <c r="DC71" s="1091"/>
      <c r="DD71" s="1147">
        <f t="shared" si="580"/>
        <v>8574</v>
      </c>
      <c r="DE71" s="1091">
        <f t="shared" si="63"/>
        <v>1.715486194</v>
      </c>
      <c r="DF71" s="1147">
        <f t="shared" si="581"/>
        <v>5306</v>
      </c>
      <c r="DG71" s="1091">
        <f t="shared" si="65"/>
        <v>0.6419066054</v>
      </c>
      <c r="DH71" s="1146">
        <f t="shared" si="582"/>
        <v>9996</v>
      </c>
      <c r="DI71" s="1091">
        <f t="shared" si="817"/>
        <v>0.000833</v>
      </c>
      <c r="DJ71" s="1091"/>
      <c r="DK71" s="1147">
        <f t="shared" si="585"/>
        <v>9932</v>
      </c>
      <c r="DL71" s="1091">
        <f t="shared" si="818"/>
        <v>0.001904704745</v>
      </c>
      <c r="DM71" s="1091"/>
      <c r="DN71" s="1147">
        <f t="shared" si="588"/>
        <v>25652</v>
      </c>
      <c r="DO71" s="1091">
        <f t="shared" si="819"/>
        <v>0.005904324713</v>
      </c>
      <c r="DP71" s="1091"/>
      <c r="DQ71" s="1147">
        <f t="shared" si="591"/>
        <v>15656</v>
      </c>
      <c r="DR71" s="1091">
        <f t="shared" si="73"/>
        <v>1.566226491</v>
      </c>
      <c r="DS71" s="1147">
        <f t="shared" si="592"/>
        <v>15720</v>
      </c>
      <c r="DT71" s="1091">
        <f t="shared" si="75"/>
        <v>1.582762787</v>
      </c>
      <c r="DU71" s="1146">
        <f>SUMIFS(BP_SOTIEN,BP_THANG,DU$2,BP_KM,$E71)/1000</f>
        <v>1666</v>
      </c>
      <c r="DV71" s="1091">
        <f t="shared" si="820"/>
        <v>0.0004165</v>
      </c>
      <c r="DW71" s="1091"/>
      <c r="DX71" s="1147">
        <f>IF(NOW()&gt;=DATE(YEAR(DU$2),MONTH(DU$2)+1,DAY(DU$2)),SUMIFS(TF_SOTIEN,TF_THANG,DU$2,TF_KM,$E71)/1000, EA71)</f>
        <v>1666</v>
      </c>
      <c r="DY71" s="1091">
        <f t="shared" si="821"/>
        <v>0.0002758278164</v>
      </c>
      <c r="DZ71" s="1091"/>
      <c r="EA71" s="1147">
        <f>IF(NOW()&gt;=DATE(YEAR(DU$2),MONTH(DU$2)+1,DAY(DU$2)),SUMIFS(AC_SOTIEN,AC_THANG,DU$2,AC_KM,$E71),SUMIFS(TF_SOTIEN,TF_THANG,DU$2,TF_KM,$E71))/ 1000</f>
        <v>0</v>
      </c>
      <c r="EB71" s="1091" t="str">
        <f t="shared" si="822"/>
        <v/>
      </c>
      <c r="EC71" s="1091"/>
      <c r="ED71" s="1147">
        <f t="shared" si="599"/>
        <v>-1666</v>
      </c>
      <c r="EE71" s="1091">
        <f t="shared" si="80"/>
        <v>-1</v>
      </c>
      <c r="EF71" s="1147">
        <f t="shared" si="600"/>
        <v>-1666</v>
      </c>
      <c r="EG71" s="1091">
        <f t="shared" si="82"/>
        <v>-1</v>
      </c>
      <c r="EH71" s="1146">
        <f>SUMIFS(BP_SOTIEN,BP_THANG,EH$2,BP_KM,$E71)/1000</f>
        <v>1666</v>
      </c>
      <c r="EI71" s="1091">
        <f t="shared" si="823"/>
        <v>0.0004165</v>
      </c>
      <c r="EJ71" s="1091"/>
      <c r="EK71" s="1147">
        <f>IF(NOW()&gt;=DATE(YEAR(EH$2),MONTH(EH$2)+1,DAY(EH$2)),SUMIFS(TF_SOTIEN,TF_THANG,EH$2,TF_KM,$E71)/1000, EN71)</f>
        <v>1666</v>
      </c>
      <c r="EL71" s="1091">
        <f t="shared" si="824"/>
        <v>0.0002758278164</v>
      </c>
      <c r="EM71" s="1091"/>
      <c r="EN71" s="1147">
        <f>IF(NOW()&gt;=DATE(YEAR(EH$2),MONTH(EH$2)+1,DAY(EH$2)),SUMIFS(AC_SOTIEN,AC_THANG,EH$2,AC_KM,$E71),SUMIFS(TF_SOTIEN,TF_THANG,EH$2,TF_KM,$E71))/ 1000</f>
        <v>0</v>
      </c>
      <c r="EO71" s="1091" t="str">
        <f t="shared" si="825"/>
        <v/>
      </c>
      <c r="EP71" s="1091"/>
      <c r="EQ71" s="1147">
        <f t="shared" si="607"/>
        <v>-1666</v>
      </c>
      <c r="ER71" s="1091">
        <f t="shared" si="87"/>
        <v>-1</v>
      </c>
      <c r="ES71" s="1147">
        <f t="shared" si="608"/>
        <v>-1666</v>
      </c>
      <c r="ET71" s="1091">
        <f t="shared" si="89"/>
        <v>-1</v>
      </c>
      <c r="EU71" s="1146">
        <f>SUMIFS(BP_SOTIEN,BP_THANG,EU$2,BP_KM,$E71)/1000</f>
        <v>1666</v>
      </c>
      <c r="EV71" s="1091">
        <f t="shared" si="826"/>
        <v>0.0004165</v>
      </c>
      <c r="EW71" s="1091"/>
      <c r="EX71" s="1147">
        <f>IF(NOW()&gt;=DATE(YEAR(EU$2),MONTH(EU$2)+1,DAY(EU$2)),SUMIFS(TF_SOTIEN,TF_THANG,EU$2,TF_KM,$E71)/1000, FA71)</f>
        <v>1666</v>
      </c>
      <c r="EY71" s="1091">
        <f t="shared" si="827"/>
        <v>0.0002758278164</v>
      </c>
      <c r="EZ71" s="1091"/>
      <c r="FA71" s="1147">
        <f>IF(NOW()&gt;=DATE(YEAR(EU$2),MONTH(EU$2)+1,DAY(EU$2)),SUMIFS(AC_SOTIEN,AC_THANG,EU$2,AC_KM,$E71),SUMIFS(TF_SOTIEN,TF_THANG,EU$2,TF_KM,$E71))/ 1000</f>
        <v>0</v>
      </c>
      <c r="FB71" s="1091" t="str">
        <f t="shared" si="828"/>
        <v/>
      </c>
      <c r="FC71" s="1091"/>
      <c r="FD71" s="1147">
        <f t="shared" si="616"/>
        <v>-1666</v>
      </c>
      <c r="FE71" s="1091">
        <f t="shared" si="94"/>
        <v>-1</v>
      </c>
      <c r="FF71" s="1147">
        <f t="shared" si="617"/>
        <v>-1666</v>
      </c>
      <c r="FG71" s="1091">
        <f t="shared" si="96"/>
        <v>-1</v>
      </c>
      <c r="FH71" s="1146">
        <f t="shared" si="618"/>
        <v>4998</v>
      </c>
      <c r="FI71" s="1091">
        <f t="shared" si="829"/>
        <v>0.0004165</v>
      </c>
      <c r="FJ71" s="1091"/>
      <c r="FK71" s="1147">
        <f t="shared" si="621"/>
        <v>4998</v>
      </c>
      <c r="FL71" s="1091">
        <f t="shared" si="830"/>
        <v>0.0002758278164</v>
      </c>
      <c r="FM71" s="1091"/>
      <c r="FN71" s="1147">
        <f t="shared" si="624"/>
        <v>0</v>
      </c>
      <c r="FO71" s="1091" t="str">
        <f t="shared" si="831"/>
        <v/>
      </c>
      <c r="FP71" s="1091"/>
      <c r="FQ71" s="1147">
        <f t="shared" si="627"/>
        <v>-4998</v>
      </c>
      <c r="FR71" s="1091">
        <f t="shared" si="104"/>
        <v>-1</v>
      </c>
      <c r="FS71" s="1147">
        <f t="shared" si="628"/>
        <v>-4998</v>
      </c>
      <c r="FT71" s="1091">
        <f t="shared" si="106"/>
        <v>-1</v>
      </c>
      <c r="FU71" s="1146">
        <f>SUMIFS(BP_SOTIEN,BP_THANG,FU$2,BP_KM,$E71)/1000</f>
        <v>1666</v>
      </c>
      <c r="FV71" s="1091">
        <f t="shared" si="832"/>
        <v>0.0004165</v>
      </c>
      <c r="FW71" s="1091"/>
      <c r="FX71" s="1147">
        <f>IF(NOW()&gt;=DATE(YEAR(FU$2),MONTH(FU$2)+1,DAY(FU$2)),SUMIFS(TF_SOTIEN,TF_THANG,FU$2,TF_KM,$E71)/1000, GA71)</f>
        <v>1666</v>
      </c>
      <c r="FY71" s="1091">
        <f t="shared" si="833"/>
        <v>0.0002758278164</v>
      </c>
      <c r="FZ71" s="1091"/>
      <c r="GA71" s="1147">
        <f>IF(NOW()&gt;=DATE(YEAR(FU$2),MONTH(FU$2)+1,DAY(FU$2)),SUMIFS(AC_SOTIEN,AC_THANG,FU$2,AC_KM,$E71),SUMIFS(TF_SOTIEN,TF_THANG,FU$2,TF_KM,$E71))/ 1000</f>
        <v>0</v>
      </c>
      <c r="GB71" s="1091" t="str">
        <f t="shared" si="834"/>
        <v/>
      </c>
      <c r="GC71" s="1091"/>
      <c r="GD71" s="1147">
        <f t="shared" si="635"/>
        <v>-1666</v>
      </c>
      <c r="GE71" s="1091">
        <f t="shared" si="111"/>
        <v>-1</v>
      </c>
      <c r="GF71" s="1147">
        <f t="shared" si="636"/>
        <v>-1666</v>
      </c>
      <c r="GG71" s="1091">
        <f t="shared" si="113"/>
        <v>-1</v>
      </c>
      <c r="GH71" s="1146">
        <f>SUMIFS(BP_SOTIEN,BP_THANG,GH$2,BP_KM,$E71)/1000</f>
        <v>1666</v>
      </c>
      <c r="GI71" s="1091">
        <f t="shared" si="835"/>
        <v>0.0004165</v>
      </c>
      <c r="GJ71" s="1091"/>
      <c r="GK71" s="1147">
        <f>IF(NOW()&gt;=DATE(YEAR(GH$2),MONTH(GH$2)+1,DAY(GH$2)),SUMIFS(TF_SOTIEN,TF_THANG,GH$2,TF_KM,$E71)/1000, GN71)</f>
        <v>1666</v>
      </c>
      <c r="GL71" s="1091">
        <f t="shared" si="836"/>
        <v>0.0002758278164</v>
      </c>
      <c r="GM71" s="1091"/>
      <c r="GN71" s="1147">
        <f>IF(NOW()&gt;=DATE(YEAR(GH$2),MONTH(GH$2)+1,DAY(GH$2)),SUMIFS(AC_SOTIEN,AC_THANG,GH$2,AC_KM,$E71),SUMIFS(TF_SOTIEN,TF_THANG,GH$2,TF_KM,$E71))/ 1000</f>
        <v>0</v>
      </c>
      <c r="GO71" s="1091" t="str">
        <f t="shared" si="837"/>
        <v/>
      </c>
      <c r="GP71" s="1091"/>
      <c r="GQ71" s="1147">
        <f t="shared" si="643"/>
        <v>-1666</v>
      </c>
      <c r="GR71" s="1091">
        <f t="shared" si="118"/>
        <v>-1</v>
      </c>
      <c r="GS71" s="1147">
        <f t="shared" si="644"/>
        <v>-1666</v>
      </c>
      <c r="GT71" s="1091">
        <f t="shared" si="120"/>
        <v>-1</v>
      </c>
      <c r="GU71" s="1146">
        <f>SUMIFS(BP_SOTIEN,BP_THANG,GU$2,BP_KM,$E71)/1000</f>
        <v>1666</v>
      </c>
      <c r="GV71" s="1091">
        <f t="shared" si="838"/>
        <v>0.0004165</v>
      </c>
      <c r="GW71" s="1091"/>
      <c r="GX71" s="1147">
        <f>IF(NOW()&gt;=DATE(YEAR(GU$2),MONTH(GU$2)+1,DAY(GU$2)),SUMIFS(TF_SOTIEN,TF_THANG,GU$2,TF_KM,$E71)/1000, HA71)</f>
        <v>1666</v>
      </c>
      <c r="GY71" s="1091">
        <f t="shared" si="839"/>
        <v>0.0002758278164</v>
      </c>
      <c r="GZ71" s="1091"/>
      <c r="HA71" s="1147">
        <f>IF(NOW()&gt;=DATE(YEAR(GU$2),MONTH(GU$2)+1,DAY(GU$2)),SUMIFS(AC_SOTIEN,AC_THANG,GU$2,AC_KM,$E71),SUMIFS(TF_SOTIEN,TF_THANG,GU$2,TF_KM,$E71))/ 1000</f>
        <v>0</v>
      </c>
      <c r="HB71" s="1091" t="str">
        <f t="shared" si="840"/>
        <v/>
      </c>
      <c r="HC71" s="1091"/>
      <c r="HD71" s="1147">
        <f t="shared" si="651"/>
        <v>-1666</v>
      </c>
      <c r="HE71" s="1091">
        <f t="shared" si="125"/>
        <v>-1</v>
      </c>
      <c r="HF71" s="1147">
        <f t="shared" si="652"/>
        <v>-1666</v>
      </c>
      <c r="HG71" s="1091">
        <f t="shared" si="127"/>
        <v>-1</v>
      </c>
      <c r="HH71" s="1146">
        <f t="shared" si="653"/>
        <v>4998</v>
      </c>
      <c r="HI71" s="1091">
        <f t="shared" si="841"/>
        <v>0.0004165</v>
      </c>
      <c r="HJ71" s="1091"/>
      <c r="HK71" s="1147">
        <f t="shared" si="656"/>
        <v>4998</v>
      </c>
      <c r="HL71" s="1091">
        <f t="shared" si="842"/>
        <v>0.0002758278164</v>
      </c>
      <c r="HM71" s="1091"/>
      <c r="HN71" s="1147">
        <f t="shared" si="659"/>
        <v>0</v>
      </c>
      <c r="HO71" s="1091" t="str">
        <f t="shared" si="843"/>
        <v/>
      </c>
      <c r="HP71" s="1091"/>
      <c r="HQ71" s="1147">
        <f t="shared" si="662"/>
        <v>-4998</v>
      </c>
      <c r="HR71" s="1091">
        <f t="shared" si="135"/>
        <v>-1</v>
      </c>
      <c r="HS71" s="1147">
        <f t="shared" si="663"/>
        <v>-4998</v>
      </c>
      <c r="HT71" s="1091">
        <f t="shared" si="137"/>
        <v>-1</v>
      </c>
      <c r="HU71" s="1146">
        <f t="shared" si="664"/>
        <v>9996</v>
      </c>
      <c r="HV71" s="1091">
        <f t="shared" si="844"/>
        <v>0.0004165</v>
      </c>
      <c r="HW71" s="1091"/>
      <c r="HX71" s="1147">
        <f t="shared" si="667"/>
        <v>9996</v>
      </c>
      <c r="HY71" s="1091">
        <f t="shared" si="845"/>
        <v>0.0002758278164</v>
      </c>
      <c r="HZ71" s="1091"/>
      <c r="IA71" s="1147">
        <f t="shared" si="670"/>
        <v>0</v>
      </c>
      <c r="IB71" s="1091" t="str">
        <f t="shared" si="846"/>
        <v/>
      </c>
      <c r="IC71" s="1091"/>
      <c r="ID71" s="1147">
        <f t="shared" si="673"/>
        <v>-9996</v>
      </c>
      <c r="IE71" s="1091">
        <f t="shared" si="145"/>
        <v>-1</v>
      </c>
      <c r="IF71" s="1147">
        <f t="shared" si="674"/>
        <v>-9996</v>
      </c>
      <c r="IG71" s="1091">
        <f t="shared" si="147"/>
        <v>-1</v>
      </c>
      <c r="IH71" s="1146">
        <f t="shared" si="675"/>
        <v>19992</v>
      </c>
      <c r="II71" s="1091">
        <f t="shared" si="847"/>
        <v>0.0005553333333</v>
      </c>
      <c r="IJ71" s="1091"/>
      <c r="IK71" s="1147">
        <f t="shared" si="678"/>
        <v>19928</v>
      </c>
      <c r="IL71" s="1091">
        <f t="shared" si="848"/>
        <v>0.0004807203328</v>
      </c>
      <c r="IM71" s="1091"/>
      <c r="IN71" s="1147">
        <f t="shared" si="681"/>
        <v>25652</v>
      </c>
      <c r="IO71" s="1091">
        <f t="shared" si="849"/>
        <v>0.005904324713</v>
      </c>
      <c r="IP71" s="1091"/>
      <c r="IQ71" s="1147">
        <f t="shared" si="684"/>
        <v>5660</v>
      </c>
      <c r="IR71" s="1091">
        <f t="shared" si="1"/>
        <v>0.2831132453</v>
      </c>
      <c r="IS71" s="1147">
        <f t="shared" si="685"/>
        <v>5724</v>
      </c>
      <c r="IT71" s="1091">
        <f t="shared" si="2"/>
        <v>0.2872340426</v>
      </c>
    </row>
    <row r="72" outlineLevel="1">
      <c r="A72" s="1087"/>
      <c r="B72" s="1087"/>
      <c r="C72" s="1087"/>
      <c r="D72" s="1087" t="s">
        <v>2833</v>
      </c>
      <c r="E72" s="1087" t="s">
        <v>169</v>
      </c>
      <c r="F72" s="1087"/>
      <c r="G72" s="1086">
        <v>2.0</v>
      </c>
      <c r="H72" s="1088">
        <f>SUMIFS(BP_SOTIEN,BP_THANG,H$2,BP_KM,$E72)/1000</f>
        <v>10643</v>
      </c>
      <c r="I72" s="1091" t="str">
        <f t="shared" si="791"/>
        <v/>
      </c>
      <c r="J72" s="1091"/>
      <c r="K72" s="1090">
        <f>IF(NOW()&gt;=DATE(YEAR(H$2),MONTH(H$2)+1,DAY(H$2)),SUMIFS(TF_SOTIEN,TF_THANG,H$2,TF_KM,$E72)/1000, N72)</f>
        <v>10643</v>
      </c>
      <c r="L72" s="1091">
        <f t="shared" si="792"/>
        <v>0.08869166667</v>
      </c>
      <c r="M72" s="1091"/>
      <c r="N72" s="1090">
        <f>IF(NOW()&gt;=DATE(YEAR(H$2),MONTH(H$2)+1,DAY(H$2)),SUMIFS(AC_SOTIEN,AC_THANG,H$2,AC_KM,$E72),SUMIFS(TF_SOTIEN,TF_THANG,H$2,TF_KM,$E72))/ 1000</f>
        <v>508000</v>
      </c>
      <c r="O72" s="1091">
        <f t="shared" si="793"/>
        <v>1.494117647</v>
      </c>
      <c r="P72" s="1091">
        <f t="shared" ref="P72:P83" si="883">IFERROR(N72/N$66,"")</f>
        <v>0.7091747026</v>
      </c>
      <c r="Q72" s="1090">
        <f t="shared" si="518"/>
        <v>497357</v>
      </c>
      <c r="R72" s="1091">
        <f t="shared" si="8"/>
        <v>46.73090294</v>
      </c>
      <c r="S72" s="1090">
        <f t="shared" si="519"/>
        <v>497357</v>
      </c>
      <c r="T72" s="1091">
        <f t="shared" si="10"/>
        <v>46.73090294</v>
      </c>
      <c r="U72" s="1088">
        <f>SUMIFS(BP_SOTIEN,BP_THANG,U$2,BP_KM,$E72)/1000</f>
        <v>10643</v>
      </c>
      <c r="V72" s="1091" t="str">
        <f t="shared" si="794"/>
        <v/>
      </c>
      <c r="W72" s="1091"/>
      <c r="X72" s="1090">
        <f>IF(NOW()&gt;=DATE(YEAR(U$2),MONTH(U$2)+1,DAY(U$2)),SUMIFS(TF_SOTIEN,TF_THANG,U$2,TF_KM,$E72)/1000, AA72)</f>
        <v>20000</v>
      </c>
      <c r="Y72" s="1091" t="str">
        <f t="shared" si="795"/>
        <v/>
      </c>
      <c r="Z72" s="1091"/>
      <c r="AA72" s="1090">
        <f>IF(NOW()&gt;=DATE(YEAR(U$2),MONTH(U$2)+1,DAY(U$2)),SUMIFS(AC_SOTIEN,AC_THANG,U$2,AC_KM,$E72),SUMIFS(TF_SOTIEN,TF_THANG,U$2,TF_KM,$E72))/ 1000</f>
        <v>20000</v>
      </c>
      <c r="AB72" s="1091">
        <f t="shared" si="796"/>
        <v>0.1111111111</v>
      </c>
      <c r="AC72" s="1091">
        <f t="shared" ref="AC72:AC83" si="884">IFERROR(AA72/AA$66,"")</f>
        <v>0.1194824734</v>
      </c>
      <c r="AD72" s="1090">
        <f t="shared" si="526"/>
        <v>9357</v>
      </c>
      <c r="AE72" s="1091">
        <f t="shared" si="15"/>
        <v>0.8791694071</v>
      </c>
      <c r="AF72" s="1090">
        <f t="shared" si="527"/>
        <v>0</v>
      </c>
      <c r="AG72" s="1091">
        <f t="shared" si="17"/>
        <v>0</v>
      </c>
      <c r="AH72" s="1088">
        <f>SUMIFS(BP_SOTIEN,BP_THANG,AH$2,BP_KM,$E72)/1000</f>
        <v>10643</v>
      </c>
      <c r="AI72" s="1091" t="str">
        <f t="shared" si="797"/>
        <v/>
      </c>
      <c r="AJ72" s="1091"/>
      <c r="AK72" s="1090">
        <f>IF(NOW()&gt;=DATE(YEAR(AH$2),MONTH(AH$2)+1,DAY(AH$2)),SUMIFS(TF_SOTIEN,TF_THANG,AH$2,TF_KM,$E72)/1000, AN72)</f>
        <v>15000</v>
      </c>
      <c r="AL72" s="1091">
        <f t="shared" si="798"/>
        <v>0.004166666667</v>
      </c>
      <c r="AM72" s="1091"/>
      <c r="AN72" s="1090">
        <f>IF(NOW()&gt;=DATE(YEAR(AH$2),MONTH(AH$2)+1,DAY(AH$2)),SUMIFS(AC_SOTIEN,AC_THANG,AH$2,AC_KM,$E72),SUMIFS(TF_SOTIEN,TF_THANG,AH$2,TF_KM,$E72))/ 1000</f>
        <v>37736</v>
      </c>
      <c r="AO72" s="1091">
        <f t="shared" si="799"/>
        <v>0.05649101796</v>
      </c>
      <c r="AP72" s="1091">
        <f t="shared" ref="AP72:AP83" si="885">IFERROR(AN72/AN$66,"")</f>
        <v>0.06193348874</v>
      </c>
      <c r="AQ72" s="1090">
        <f t="shared" si="534"/>
        <v>27093</v>
      </c>
      <c r="AR72" s="1091">
        <f t="shared" si="22"/>
        <v>2.545616837</v>
      </c>
      <c r="AS72" s="1090">
        <f t="shared" si="535"/>
        <v>22736</v>
      </c>
      <c r="AT72" s="1091">
        <f t="shared" si="24"/>
        <v>1.515733333</v>
      </c>
      <c r="AU72" s="1088">
        <f t="shared" si="536"/>
        <v>31929</v>
      </c>
      <c r="AV72" s="1091" t="str">
        <f t="shared" si="800"/>
        <v/>
      </c>
      <c r="AW72" s="1091">
        <f t="shared" ref="AW72:AW83" si="886">IFERROR(AU72/AU$66,"")</f>
        <v>0.2001692684</v>
      </c>
      <c r="AX72" s="1090">
        <f t="shared" si="539"/>
        <v>45643</v>
      </c>
      <c r="AY72" s="1091">
        <f t="shared" si="801"/>
        <v>0.01226962366</v>
      </c>
      <c r="AZ72" s="1091">
        <f t="shared" ref="AZ72:AZ83" si="887">IFERROR(AX72/AX$66,"")</f>
        <v>0.1226979075</v>
      </c>
      <c r="BA72" s="1090">
        <f t="shared" si="542"/>
        <v>565736</v>
      </c>
      <c r="BB72" s="1091">
        <f t="shared" si="802"/>
        <v>0.4762087542</v>
      </c>
      <c r="BC72" s="1091">
        <f t="shared" ref="BC72:BC83" si="888">IFERROR(BA72/BA$66,"")</f>
        <v>0.3789223615</v>
      </c>
      <c r="BD72" s="1090">
        <f t="shared" si="545"/>
        <v>533807</v>
      </c>
      <c r="BE72" s="1091">
        <f t="shared" si="32"/>
        <v>16.71856306</v>
      </c>
      <c r="BF72" s="1090">
        <f t="shared" si="546"/>
        <v>520093</v>
      </c>
      <c r="BG72" s="1091">
        <f t="shared" si="34"/>
        <v>11.39480315</v>
      </c>
      <c r="BH72" s="1088">
        <f>SUMIFS(BP_SOTIEN,BP_THANG,BH$2,BP_KM,$E72)/1000</f>
        <v>10643</v>
      </c>
      <c r="BI72" s="1091">
        <f t="shared" si="803"/>
        <v>0.00266075</v>
      </c>
      <c r="BJ72" s="1091"/>
      <c r="BK72" s="1090">
        <f>IF(NOW()&gt;=DATE(YEAR(BH$2),MONTH(BH$2)+1,DAY(BH$2)),SUMIFS(TF_SOTIEN,TF_THANG,BH$2,TF_KM,$E72)/1000, BN72)</f>
        <v>53000</v>
      </c>
      <c r="BL72" s="1091" t="str">
        <f t="shared" si="804"/>
        <v/>
      </c>
      <c r="BM72" s="1091"/>
      <c r="BN72" s="1090">
        <f>IF(NOW()&gt;=DATE(YEAR(BH$2),MONTH(BH$2)+1,DAY(BH$2)),SUMIFS(AC_SOTIEN,AC_THANG,BH$2,AC_KM,$E72),SUMIFS(TF_SOTIEN,TF_THANG,BH$2,TF_KM,$E72))/ 1000</f>
        <v>63737</v>
      </c>
      <c r="BO72" s="1091">
        <f t="shared" si="805"/>
        <v>0.024504429</v>
      </c>
      <c r="BP72" s="1091">
        <f t="shared" ref="BP72:BP83" si="889">IFERROR(BN72/BN$66,"")</f>
        <v>0.0537813656</v>
      </c>
      <c r="BQ72" s="1090">
        <f t="shared" si="553"/>
        <v>53094</v>
      </c>
      <c r="BR72" s="1091">
        <f t="shared" si="39"/>
        <v>4.988631025</v>
      </c>
      <c r="BS72" s="1090">
        <f t="shared" si="554"/>
        <v>10737</v>
      </c>
      <c r="BT72" s="1091">
        <f t="shared" si="41"/>
        <v>0.2025849057</v>
      </c>
      <c r="BU72" s="1088">
        <f>SUMIFS(BP_SOTIEN,BP_THANG,BU$2,BP_KM,$E72)/1000</f>
        <v>10643</v>
      </c>
      <c r="BV72" s="1091">
        <f t="shared" si="806"/>
        <v>0.00266075</v>
      </c>
      <c r="BW72" s="1091"/>
      <c r="BX72" s="1090">
        <f>IF(NOW()&gt;=DATE(YEAR(BU$2),MONTH(BU$2)+1,DAY(BU$2)),SUMIFS(TF_SOTIEN,TF_THANG,BU$2,TF_KM,$E72)/1000, CA72)</f>
        <v>56760</v>
      </c>
      <c r="BY72" s="1091">
        <f t="shared" si="807"/>
        <v>0.03798036327</v>
      </c>
      <c r="BZ72" s="1091"/>
      <c r="CA72" s="1090">
        <f>IF(NOW()&gt;=DATE(YEAR(BU$2),MONTH(BU$2)+1,DAY(BU$2)),SUMIFS(AC_SOTIEN,AC_THANG,BU$2,AC_KM,$E72),SUMIFS(TF_SOTIEN,TF_THANG,BU$2,TF_KM,$E72))/ 1000</f>
        <v>80133.999</v>
      </c>
      <c r="CB72" s="1091">
        <f t="shared" si="808"/>
        <v>0.1442369288</v>
      </c>
      <c r="CC72" s="1091">
        <f t="shared" ref="CC72:CC83" si="890">IFERROR(CA72/CA$66,"")</f>
        <v>0.149051424</v>
      </c>
      <c r="CD72" s="1090">
        <f t="shared" si="561"/>
        <v>69490.999</v>
      </c>
      <c r="CE72" s="1091">
        <f t="shared" si="46"/>
        <v>6.52926797</v>
      </c>
      <c r="CF72" s="1090">
        <f t="shared" si="562"/>
        <v>23373.999</v>
      </c>
      <c r="CG72" s="1091">
        <f t="shared" si="48"/>
        <v>0.4118040698</v>
      </c>
      <c r="CH72" s="1088">
        <f>SUMIFS(BP_SOTIEN,BP_THANG,CH$2,BP_KM,$E72)/1000</f>
        <v>10643</v>
      </c>
      <c r="CI72" s="1091">
        <f t="shared" si="809"/>
        <v>0.00266075</v>
      </c>
      <c r="CJ72" s="1091"/>
      <c r="CK72" s="1090">
        <f>IF(NOW()&gt;=DATE(YEAR(CH$2),MONTH(CH$2)+1,DAY(CH$2)),SUMIFS(TF_SOTIEN,TF_THANG,CH$2,TF_KM,$E72)/1000, CN72)</f>
        <v>10643</v>
      </c>
      <c r="CL72" s="1091" t="str">
        <f t="shared" si="810"/>
        <v/>
      </c>
      <c r="CM72" s="1091"/>
      <c r="CN72" s="1090">
        <f>IF(NOW()&gt;=DATE(YEAR(CH$2),MONTH(CH$2)+1,DAY(CH$2)),SUMIFS(AC_SOTIEN,AC_THANG,CH$2,AC_KM,$E72),SUMIFS(TF_SOTIEN,TF_THANG,CH$2,TF_KM,$E72))/ 1000</f>
        <v>0</v>
      </c>
      <c r="CO72" s="1091" t="str">
        <f t="shared" si="811"/>
        <v/>
      </c>
      <c r="CP72" s="1091" t="str">
        <f t="shared" ref="CP72:CP83" si="891">IFERROR(CN72/CN$66,"")</f>
        <v/>
      </c>
      <c r="CQ72" s="1090">
        <f t="shared" si="569"/>
        <v>-10643</v>
      </c>
      <c r="CR72" s="1091">
        <f t="shared" si="53"/>
        <v>-1</v>
      </c>
      <c r="CS72" s="1090">
        <f t="shared" si="570"/>
        <v>-10643</v>
      </c>
      <c r="CT72" s="1091">
        <f t="shared" si="55"/>
        <v>-1</v>
      </c>
      <c r="CU72" s="1088">
        <f t="shared" si="571"/>
        <v>31929</v>
      </c>
      <c r="CV72" s="1091">
        <f t="shared" si="812"/>
        <v>0.00266075</v>
      </c>
      <c r="CW72" s="1091">
        <f t="shared" ref="CW72:CW83" si="892">IFERROR(CU72/CU$66,"")</f>
        <v>0.001380384609</v>
      </c>
      <c r="CX72" s="1090">
        <f t="shared" si="813"/>
        <v>120403</v>
      </c>
      <c r="CY72" s="1091">
        <f t="shared" si="814"/>
        <v>0.08056641435</v>
      </c>
      <c r="CZ72" s="1091">
        <f t="shared" ref="CZ72:CZ83" si="893">IFERROR(CX72/CX$66,"")</f>
        <v>0.01587915242</v>
      </c>
      <c r="DA72" s="1090">
        <f t="shared" si="815"/>
        <v>143870.999</v>
      </c>
      <c r="DB72" s="1091">
        <f t="shared" si="816"/>
        <v>0.04557766333</v>
      </c>
      <c r="DC72" s="1091">
        <f t="shared" ref="DC72:DC83" si="894">IFERROR(DA72/DA$66,"")</f>
        <v>0.08351291072</v>
      </c>
      <c r="DD72" s="1090">
        <f t="shared" si="580"/>
        <v>111941.999</v>
      </c>
      <c r="DE72" s="1091">
        <f t="shared" si="63"/>
        <v>3.505966332</v>
      </c>
      <c r="DF72" s="1090">
        <f t="shared" si="581"/>
        <v>23467.999</v>
      </c>
      <c r="DG72" s="1091">
        <f t="shared" si="65"/>
        <v>0.1949120786</v>
      </c>
      <c r="DH72" s="1088">
        <f t="shared" si="582"/>
        <v>63858</v>
      </c>
      <c r="DI72" s="1091">
        <f t="shared" si="817"/>
        <v>0.0053215</v>
      </c>
      <c r="DJ72" s="1091">
        <f t="shared" ref="DJ72:DJ83" si="895">IFERROR(DH72/DH$66,"")</f>
        <v>0.002741861106</v>
      </c>
      <c r="DK72" s="1090">
        <f t="shared" si="585"/>
        <v>166046</v>
      </c>
      <c r="DL72" s="1091">
        <f t="shared" si="818"/>
        <v>0.0318433955</v>
      </c>
      <c r="DM72" s="1091">
        <f t="shared" ref="DM72:DM83" si="896">IFERROR(DK72/DK$66,"")</f>
        <v>0.02087459812</v>
      </c>
      <c r="DN72" s="1090">
        <f t="shared" si="588"/>
        <v>709606.999</v>
      </c>
      <c r="DO72" s="1091">
        <f t="shared" si="819"/>
        <v>0.1633303501</v>
      </c>
      <c r="DP72" s="1091">
        <f t="shared" ref="DP72:DP83" si="897">IFERROR(DN72/DN$66,"")</f>
        <v>0.2206659195</v>
      </c>
      <c r="DQ72" s="1090">
        <f t="shared" si="591"/>
        <v>645748.999</v>
      </c>
      <c r="DR72" s="1091">
        <f t="shared" si="73"/>
        <v>10.1122647</v>
      </c>
      <c r="DS72" s="1090">
        <f t="shared" si="592"/>
        <v>543560.999</v>
      </c>
      <c r="DT72" s="1091">
        <f t="shared" si="75"/>
        <v>3.273556719</v>
      </c>
      <c r="DU72" s="1088">
        <f>SUMIFS(BP_SOTIEN,BP_THANG,DU$2,BP_KM,$E72)/1000</f>
        <v>10643</v>
      </c>
      <c r="DV72" s="1091">
        <f t="shared" si="820"/>
        <v>0.00266075</v>
      </c>
      <c r="DW72" s="1091"/>
      <c r="DX72" s="1090">
        <f>IF(NOW()&gt;=DATE(YEAR(DU$2),MONTH(DU$2)+1,DAY(DU$2)),SUMIFS(TF_SOTIEN,TF_THANG,DU$2,TF_KM,$E72)/1000, EA72)</f>
        <v>10643</v>
      </c>
      <c r="DY72" s="1091">
        <f t="shared" si="821"/>
        <v>0.001762086104</v>
      </c>
      <c r="DZ72" s="1091"/>
      <c r="EA72" s="1090">
        <f>IF(NOW()&gt;=DATE(YEAR(DU$2),MONTH(DU$2)+1,DAY(DU$2)),SUMIFS(AC_SOTIEN,AC_THANG,DU$2,AC_KM,$E72),SUMIFS(TF_SOTIEN,TF_THANG,DU$2,TF_KM,$E72))/ 1000</f>
        <v>0</v>
      </c>
      <c r="EB72" s="1091" t="str">
        <f t="shared" si="822"/>
        <v/>
      </c>
      <c r="EC72" s="1091" t="str">
        <f t="shared" ref="EC72:EC83" si="898">IFERROR(EA72/EA$66,"")</f>
        <v/>
      </c>
      <c r="ED72" s="1090">
        <f t="shared" si="599"/>
        <v>-10643</v>
      </c>
      <c r="EE72" s="1091">
        <f t="shared" si="80"/>
        <v>-1</v>
      </c>
      <c r="EF72" s="1090">
        <f t="shared" si="600"/>
        <v>-10643</v>
      </c>
      <c r="EG72" s="1091">
        <f t="shared" si="82"/>
        <v>-1</v>
      </c>
      <c r="EH72" s="1088">
        <f>SUMIFS(BP_SOTIEN,BP_THANG,EH$2,BP_KM,$E72)/1000</f>
        <v>10643</v>
      </c>
      <c r="EI72" s="1091">
        <f t="shared" si="823"/>
        <v>0.00266075</v>
      </c>
      <c r="EJ72" s="1091"/>
      <c r="EK72" s="1090">
        <f>IF(NOW()&gt;=DATE(YEAR(EH$2),MONTH(EH$2)+1,DAY(EH$2)),SUMIFS(TF_SOTIEN,TF_THANG,EH$2,TF_KM,$E72)/1000, EN72)</f>
        <v>10643</v>
      </c>
      <c r="EL72" s="1091">
        <f t="shared" si="824"/>
        <v>0.001762086104</v>
      </c>
      <c r="EM72" s="1091"/>
      <c r="EN72" s="1090">
        <f>IF(NOW()&gt;=DATE(YEAR(EH$2),MONTH(EH$2)+1,DAY(EH$2)),SUMIFS(AC_SOTIEN,AC_THANG,EH$2,AC_KM,$E72),SUMIFS(TF_SOTIEN,TF_THANG,EH$2,TF_KM,$E72))/ 1000</f>
        <v>0</v>
      </c>
      <c r="EO72" s="1091" t="str">
        <f t="shared" si="825"/>
        <v/>
      </c>
      <c r="EP72" s="1091" t="str">
        <f t="shared" ref="EP72:EP83" si="899">IFERROR(EN72/EN$66,"")</f>
        <v/>
      </c>
      <c r="EQ72" s="1090">
        <f t="shared" si="607"/>
        <v>-10643</v>
      </c>
      <c r="ER72" s="1091">
        <f t="shared" si="87"/>
        <v>-1</v>
      </c>
      <c r="ES72" s="1090">
        <f t="shared" si="608"/>
        <v>-10643</v>
      </c>
      <c r="ET72" s="1091">
        <f t="shared" si="89"/>
        <v>-1</v>
      </c>
      <c r="EU72" s="1088">
        <f>SUMIFS(BP_SOTIEN,BP_THANG,EU$2,BP_KM,$E72)/1000</f>
        <v>10643</v>
      </c>
      <c r="EV72" s="1091">
        <f t="shared" si="826"/>
        <v>0.00266075</v>
      </c>
      <c r="EW72" s="1091"/>
      <c r="EX72" s="1090">
        <f>IF(NOW()&gt;=DATE(YEAR(EU$2),MONTH(EU$2)+1,DAY(EU$2)),SUMIFS(TF_SOTIEN,TF_THANG,EU$2,TF_KM,$E72)/1000, FA72)</f>
        <v>10643</v>
      </c>
      <c r="EY72" s="1091">
        <f t="shared" si="827"/>
        <v>0.001762086104</v>
      </c>
      <c r="EZ72" s="1091"/>
      <c r="FA72" s="1090">
        <f>IF(NOW()&gt;=DATE(YEAR(EU$2),MONTH(EU$2)+1,DAY(EU$2)),SUMIFS(AC_SOTIEN,AC_THANG,EU$2,AC_KM,$E72),SUMIFS(TF_SOTIEN,TF_THANG,EU$2,TF_KM,$E72))/ 1000</f>
        <v>0</v>
      </c>
      <c r="FB72" s="1091" t="str">
        <f t="shared" si="828"/>
        <v/>
      </c>
      <c r="FC72" s="1091" t="str">
        <f t="shared" ref="FC72:FC83" si="900">IFERROR(FA72/FA$66,"")</f>
        <v/>
      </c>
      <c r="FD72" s="1090">
        <f t="shared" si="616"/>
        <v>-10643</v>
      </c>
      <c r="FE72" s="1091">
        <f t="shared" si="94"/>
        <v>-1</v>
      </c>
      <c r="FF72" s="1090">
        <f t="shared" si="617"/>
        <v>-10643</v>
      </c>
      <c r="FG72" s="1091">
        <f t="shared" si="96"/>
        <v>-1</v>
      </c>
      <c r="FH72" s="1088">
        <f t="shared" si="618"/>
        <v>31929</v>
      </c>
      <c r="FI72" s="1091">
        <f t="shared" si="829"/>
        <v>0.00266075</v>
      </c>
      <c r="FJ72" s="1091">
        <f t="shared" ref="FJ72:FJ83" si="901">IFERROR(FH72/FH$66,"")</f>
        <v>0.001380384609</v>
      </c>
      <c r="FK72" s="1090">
        <f t="shared" si="621"/>
        <v>31929</v>
      </c>
      <c r="FL72" s="1091">
        <f t="shared" si="830"/>
        <v>0.001762086104</v>
      </c>
      <c r="FM72" s="1091">
        <f t="shared" ref="FM72:FM83" si="902">IFERROR(FK72/FK$66,"")</f>
        <v>0.001380384609</v>
      </c>
      <c r="FN72" s="1090">
        <f t="shared" si="624"/>
        <v>0</v>
      </c>
      <c r="FO72" s="1091" t="str">
        <f t="shared" si="831"/>
        <v/>
      </c>
      <c r="FP72" s="1091" t="str">
        <f t="shared" ref="FP72:FP83" si="903">IFERROR(FN72/FN$66,"")</f>
        <v/>
      </c>
      <c r="FQ72" s="1090">
        <f t="shared" si="627"/>
        <v>-31929</v>
      </c>
      <c r="FR72" s="1091">
        <f t="shared" si="104"/>
        <v>-1</v>
      </c>
      <c r="FS72" s="1090">
        <f t="shared" si="628"/>
        <v>-31929</v>
      </c>
      <c r="FT72" s="1091">
        <f t="shared" si="106"/>
        <v>-1</v>
      </c>
      <c r="FU72" s="1088">
        <f>SUMIFS(BP_SOTIEN,BP_THANG,FU$2,BP_KM,$E72)/1000</f>
        <v>10643</v>
      </c>
      <c r="FV72" s="1091">
        <f t="shared" si="832"/>
        <v>0.00266075</v>
      </c>
      <c r="FW72" s="1091"/>
      <c r="FX72" s="1090">
        <f>IF(NOW()&gt;=DATE(YEAR(FU$2),MONTH(FU$2)+1,DAY(FU$2)),SUMIFS(TF_SOTIEN,TF_THANG,FU$2,TF_KM,$E72)/1000, GA72)</f>
        <v>10643</v>
      </c>
      <c r="FY72" s="1091">
        <f t="shared" si="833"/>
        <v>0.001762086104</v>
      </c>
      <c r="FZ72" s="1091"/>
      <c r="GA72" s="1090">
        <f>IF(NOW()&gt;=DATE(YEAR(FU$2),MONTH(FU$2)+1,DAY(FU$2)),SUMIFS(AC_SOTIEN,AC_THANG,FU$2,AC_KM,$E72),SUMIFS(TF_SOTIEN,TF_THANG,FU$2,TF_KM,$E72))/ 1000</f>
        <v>0</v>
      </c>
      <c r="GB72" s="1091" t="str">
        <f t="shared" si="834"/>
        <v/>
      </c>
      <c r="GC72" s="1091" t="str">
        <f t="shared" ref="GC72:GC83" si="904">IFERROR(GA72/GA$66,"")</f>
        <v/>
      </c>
      <c r="GD72" s="1090">
        <f t="shared" si="635"/>
        <v>-10643</v>
      </c>
      <c r="GE72" s="1091">
        <f t="shared" si="111"/>
        <v>-1</v>
      </c>
      <c r="GF72" s="1090">
        <f t="shared" si="636"/>
        <v>-10643</v>
      </c>
      <c r="GG72" s="1091">
        <f t="shared" si="113"/>
        <v>-1</v>
      </c>
      <c r="GH72" s="1088">
        <f>SUMIFS(BP_SOTIEN,BP_THANG,GH$2,BP_KM,$E72)/1000</f>
        <v>10643</v>
      </c>
      <c r="GI72" s="1091">
        <f t="shared" si="835"/>
        <v>0.00266075</v>
      </c>
      <c r="GJ72" s="1091"/>
      <c r="GK72" s="1090">
        <f>IF(NOW()&gt;=DATE(YEAR(GH$2),MONTH(GH$2)+1,DAY(GH$2)),SUMIFS(TF_SOTIEN,TF_THANG,GH$2,TF_KM,$E72)/1000, GN72)</f>
        <v>10643</v>
      </c>
      <c r="GL72" s="1091">
        <f t="shared" si="836"/>
        <v>0.001762086104</v>
      </c>
      <c r="GM72" s="1091"/>
      <c r="GN72" s="1090">
        <f>IF(NOW()&gt;=DATE(YEAR(GH$2),MONTH(GH$2)+1,DAY(GH$2)),SUMIFS(AC_SOTIEN,AC_THANG,GH$2,AC_KM,$E72),SUMIFS(TF_SOTIEN,TF_THANG,GH$2,TF_KM,$E72))/ 1000</f>
        <v>0</v>
      </c>
      <c r="GO72" s="1091" t="str">
        <f t="shared" si="837"/>
        <v/>
      </c>
      <c r="GP72" s="1091" t="str">
        <f t="shared" ref="GP72:GP83" si="905">IFERROR(GN72/GN$66,"")</f>
        <v/>
      </c>
      <c r="GQ72" s="1090">
        <f t="shared" si="643"/>
        <v>-10643</v>
      </c>
      <c r="GR72" s="1091">
        <f t="shared" si="118"/>
        <v>-1</v>
      </c>
      <c r="GS72" s="1090">
        <f t="shared" si="644"/>
        <v>-10643</v>
      </c>
      <c r="GT72" s="1091">
        <f t="shared" si="120"/>
        <v>-1</v>
      </c>
      <c r="GU72" s="1088">
        <f>SUMIFS(BP_SOTIEN,BP_THANG,GU$2,BP_KM,$E72)/1000</f>
        <v>10643</v>
      </c>
      <c r="GV72" s="1091">
        <f t="shared" si="838"/>
        <v>0.00266075</v>
      </c>
      <c r="GW72" s="1091"/>
      <c r="GX72" s="1090">
        <f>IF(NOW()&gt;=DATE(YEAR(GU$2),MONTH(GU$2)+1,DAY(GU$2)),SUMIFS(TF_SOTIEN,TF_THANG,GU$2,TF_KM,$E72)/1000, HA72)</f>
        <v>10643</v>
      </c>
      <c r="GY72" s="1091">
        <f t="shared" si="839"/>
        <v>0.001762086104</v>
      </c>
      <c r="GZ72" s="1091"/>
      <c r="HA72" s="1090">
        <f>IF(NOW()&gt;=DATE(YEAR(GU$2),MONTH(GU$2)+1,DAY(GU$2)),SUMIFS(AC_SOTIEN,AC_THANG,GU$2,AC_KM,$E72),SUMIFS(TF_SOTIEN,TF_THANG,GU$2,TF_KM,$E72))/ 1000</f>
        <v>0</v>
      </c>
      <c r="HB72" s="1091" t="str">
        <f t="shared" si="840"/>
        <v/>
      </c>
      <c r="HC72" s="1091" t="str">
        <f t="shared" ref="HC72:HC83" si="906">IFERROR(HA72/HA$66,"")</f>
        <v/>
      </c>
      <c r="HD72" s="1090">
        <f t="shared" si="651"/>
        <v>-10643</v>
      </c>
      <c r="HE72" s="1091">
        <f t="shared" si="125"/>
        <v>-1</v>
      </c>
      <c r="HF72" s="1090">
        <f t="shared" si="652"/>
        <v>-10643</v>
      </c>
      <c r="HG72" s="1091">
        <f t="shared" si="127"/>
        <v>-1</v>
      </c>
      <c r="HH72" s="1088">
        <f t="shared" si="653"/>
        <v>31929</v>
      </c>
      <c r="HI72" s="1091">
        <f t="shared" si="841"/>
        <v>0.00266075</v>
      </c>
      <c r="HJ72" s="1091">
        <f t="shared" ref="HJ72:HJ83" si="907">IFERROR(HH72/HH$66,"")</f>
        <v>0.001380384609</v>
      </c>
      <c r="HK72" s="1090">
        <f t="shared" si="656"/>
        <v>31929</v>
      </c>
      <c r="HL72" s="1091">
        <f t="shared" si="842"/>
        <v>0.001762086104</v>
      </c>
      <c r="HM72" s="1091">
        <f t="shared" ref="HM72:HM83" si="908">IFERROR(HK72/HK$66,"")</f>
        <v>0.001380384609</v>
      </c>
      <c r="HN72" s="1090">
        <f t="shared" si="659"/>
        <v>0</v>
      </c>
      <c r="HO72" s="1091" t="str">
        <f t="shared" si="843"/>
        <v/>
      </c>
      <c r="HP72" s="1091" t="str">
        <f t="shared" ref="HP72:HP83" si="909">IFERROR(HN72/HN$66,"")</f>
        <v/>
      </c>
      <c r="HQ72" s="1090">
        <f t="shared" si="662"/>
        <v>-31929</v>
      </c>
      <c r="HR72" s="1091">
        <f t="shared" si="135"/>
        <v>-1</v>
      </c>
      <c r="HS72" s="1090">
        <f t="shared" si="663"/>
        <v>-31929</v>
      </c>
      <c r="HT72" s="1091">
        <f t="shared" si="137"/>
        <v>-1</v>
      </c>
      <c r="HU72" s="1088">
        <f t="shared" si="664"/>
        <v>63858</v>
      </c>
      <c r="HV72" s="1091">
        <f t="shared" si="844"/>
        <v>0.00266075</v>
      </c>
      <c r="HW72" s="1091">
        <f t="shared" ref="HW72:HW83" si="910">IFERROR(HU72/HU$66,"")</f>
        <v>0.001380384609</v>
      </c>
      <c r="HX72" s="1090">
        <f t="shared" si="667"/>
        <v>63858</v>
      </c>
      <c r="HY72" s="1091">
        <f t="shared" si="845"/>
        <v>0.001762086104</v>
      </c>
      <c r="HZ72" s="1091">
        <f t="shared" ref="HZ72:HZ83" si="911">IFERROR(HX72/HX$66,"")</f>
        <v>0.001380384609</v>
      </c>
      <c r="IA72" s="1090">
        <f t="shared" si="670"/>
        <v>0</v>
      </c>
      <c r="IB72" s="1091" t="str">
        <f t="shared" si="846"/>
        <v/>
      </c>
      <c r="IC72" s="1091" t="str">
        <f t="shared" ref="IC72:IC83" si="912">IFERROR(IA72/IA$66,"")</f>
        <v/>
      </c>
      <c r="ID72" s="1090">
        <f t="shared" si="673"/>
        <v>-63858</v>
      </c>
      <c r="IE72" s="1091">
        <f t="shared" si="145"/>
        <v>-1</v>
      </c>
      <c r="IF72" s="1090">
        <f t="shared" si="674"/>
        <v>-63858</v>
      </c>
      <c r="IG72" s="1091">
        <f t="shared" si="147"/>
        <v>-1</v>
      </c>
      <c r="IH72" s="1088">
        <f t="shared" si="675"/>
        <v>127716</v>
      </c>
      <c r="II72" s="1091">
        <f t="shared" si="847"/>
        <v>0.003547666667</v>
      </c>
      <c r="IJ72" s="1091">
        <f t="shared" ref="IJ72:IJ83" si="913">IFERROR(IH72/IH$66,"")</f>
        <v>0.001836291736</v>
      </c>
      <c r="IK72" s="1090">
        <f t="shared" si="678"/>
        <v>229904</v>
      </c>
      <c r="IL72" s="1091">
        <f t="shared" si="848"/>
        <v>0.00554594176</v>
      </c>
      <c r="IM72" s="1091">
        <f t="shared" ref="IM72:IM83" si="914">IFERROR(IK72/IK$66,"")</f>
        <v>0.00424056066</v>
      </c>
      <c r="IN72" s="1090">
        <f t="shared" si="681"/>
        <v>709606.999</v>
      </c>
      <c r="IO72" s="1091">
        <f t="shared" si="849"/>
        <v>0.1633303501</v>
      </c>
      <c r="IP72" s="1091">
        <f t="shared" ref="IP72:IP83" si="915">IFERROR(IN72/IN$66,"")</f>
        <v>0.2206659195</v>
      </c>
      <c r="IQ72" s="1090">
        <f t="shared" si="684"/>
        <v>581890.999</v>
      </c>
      <c r="IR72" s="1091">
        <f t="shared" si="1"/>
        <v>4.556132348</v>
      </c>
      <c r="IS72" s="1090">
        <f t="shared" si="685"/>
        <v>479702.999</v>
      </c>
      <c r="IT72" s="1091">
        <f t="shared" si="2"/>
        <v>2.086536115</v>
      </c>
    </row>
    <row r="73" outlineLevel="1">
      <c r="A73" s="1087"/>
      <c r="B73" s="1087"/>
      <c r="C73" s="1087"/>
      <c r="D73" s="1087" t="s">
        <v>2834</v>
      </c>
      <c r="E73" s="1087" t="s">
        <v>174</v>
      </c>
      <c r="F73" s="1086">
        <v>641.0</v>
      </c>
      <c r="G73" s="1086">
        <v>2.0</v>
      </c>
      <c r="H73" s="1088">
        <f>SUMIFS(BP_SOTIEN,BP_THANG,H$2,BP_KM,$E73)/1000</f>
        <v>40861</v>
      </c>
      <c r="I73" s="1091" t="str">
        <f t="shared" si="791"/>
        <v/>
      </c>
      <c r="J73" s="1091"/>
      <c r="K73" s="1090">
        <f>IF(NOW()&gt;=DATE(YEAR(H$2),MONTH(H$2)+1,DAY(H$2)),SUMIFS(TF_SOTIEN,TF_THANG,H$2,TF_KM,$E73)/1000, N73)</f>
        <v>40861</v>
      </c>
      <c r="L73" s="1091">
        <f t="shared" si="792"/>
        <v>0.3405083333</v>
      </c>
      <c r="M73" s="1091"/>
      <c r="N73" s="1090">
        <f>IF(NOW()&gt;=DATE(YEAR(H$2),MONTH(H$2)+1,DAY(H$2)),SUMIFS(AC_SOTIEN,AC_THANG,H$2,AC_KM,$E73),SUMIFS(TF_SOTIEN,TF_THANG,H$2,TF_KM,$E73))/ 1000</f>
        <v>19496.223</v>
      </c>
      <c r="O73" s="1091">
        <f t="shared" si="793"/>
        <v>0.05734183235</v>
      </c>
      <c r="P73" s="1091">
        <f t="shared" si="883"/>
        <v>0.02721698454</v>
      </c>
      <c r="Q73" s="1090">
        <f t="shared" si="518"/>
        <v>-21364.777</v>
      </c>
      <c r="R73" s="1091">
        <f t="shared" si="8"/>
        <v>-0.522864761</v>
      </c>
      <c r="S73" s="1090">
        <f t="shared" si="519"/>
        <v>-21364.777</v>
      </c>
      <c r="T73" s="1091">
        <f t="shared" si="10"/>
        <v>-0.522864761</v>
      </c>
      <c r="U73" s="1088">
        <f>SUMIFS(BP_SOTIEN,BP_THANG,U$2,BP_KM,$E73)/1000</f>
        <v>40861</v>
      </c>
      <c r="V73" s="1091" t="str">
        <f t="shared" si="794"/>
        <v/>
      </c>
      <c r="W73" s="1091"/>
      <c r="X73" s="1090">
        <f>IF(NOW()&gt;=DATE(YEAR(U$2),MONTH(U$2)+1,DAY(U$2)),SUMIFS(TF_SOTIEN,TF_THANG,U$2,TF_KM,$E73)/1000, AA73)</f>
        <v>11161.8</v>
      </c>
      <c r="Y73" s="1091" t="str">
        <f t="shared" si="795"/>
        <v/>
      </c>
      <c r="Z73" s="1091"/>
      <c r="AA73" s="1090">
        <f>IF(NOW()&gt;=DATE(YEAR(U$2),MONTH(U$2)+1,DAY(U$2)),SUMIFS(AC_SOTIEN,AC_THANG,U$2,AC_KM,$E73),SUMIFS(TF_SOTIEN,TF_THANG,U$2,TF_KM,$E73))/ 1000</f>
        <v>11107.9</v>
      </c>
      <c r="AB73" s="1091">
        <f t="shared" si="796"/>
        <v>0.06171055556</v>
      </c>
      <c r="AC73" s="1091">
        <f t="shared" si="884"/>
        <v>0.0663599683</v>
      </c>
      <c r="AD73" s="1090">
        <f t="shared" si="526"/>
        <v>-29753.1</v>
      </c>
      <c r="AE73" s="1091">
        <f t="shared" si="15"/>
        <v>-0.7281539855</v>
      </c>
      <c r="AF73" s="1090">
        <f t="shared" si="527"/>
        <v>-53.9</v>
      </c>
      <c r="AG73" s="1091">
        <f t="shared" si="17"/>
        <v>-0.004828970238</v>
      </c>
      <c r="AH73" s="1088">
        <f>SUMIFS(BP_SOTIEN,BP_THANG,AH$2,BP_KM,$E73)/1000</f>
        <v>40861</v>
      </c>
      <c r="AI73" s="1091" t="str">
        <f t="shared" si="797"/>
        <v/>
      </c>
      <c r="AJ73" s="1091"/>
      <c r="AK73" s="1090">
        <f>IF(NOW()&gt;=DATE(YEAR(AH$2),MONTH(AH$2)+1,DAY(AH$2)),SUMIFS(TF_SOTIEN,TF_THANG,AH$2,TF_KM,$E73)/1000, AN73)</f>
        <v>11161.8</v>
      </c>
      <c r="AL73" s="1091">
        <f t="shared" si="798"/>
        <v>0.0031005</v>
      </c>
      <c r="AM73" s="1091"/>
      <c r="AN73" s="1090">
        <f>IF(NOW()&gt;=DATE(YEAR(AH$2),MONTH(AH$2)+1,DAY(AH$2)),SUMIFS(AC_SOTIEN,AC_THANG,AH$2,AC_KM,$E73),SUMIFS(TF_SOTIEN,TF_THANG,AH$2,TF_KM,$E73))/ 1000</f>
        <v>64387.25</v>
      </c>
      <c r="AO73" s="1091">
        <f t="shared" si="799"/>
        <v>0.0963880988</v>
      </c>
      <c r="AP73" s="1091">
        <f t="shared" si="885"/>
        <v>0.1056743434</v>
      </c>
      <c r="AQ73" s="1090">
        <f t="shared" si="534"/>
        <v>23526.25</v>
      </c>
      <c r="AR73" s="1091">
        <f t="shared" si="22"/>
        <v>0.5757629524</v>
      </c>
      <c r="AS73" s="1090">
        <f t="shared" si="535"/>
        <v>53225.45</v>
      </c>
      <c r="AT73" s="1091">
        <f t="shared" si="24"/>
        <v>4.768536437</v>
      </c>
      <c r="AU73" s="1088">
        <f t="shared" si="536"/>
        <v>122583</v>
      </c>
      <c r="AV73" s="1091" t="str">
        <f t="shared" si="800"/>
        <v/>
      </c>
      <c r="AW73" s="1091">
        <f t="shared" si="886"/>
        <v>0.7684972729</v>
      </c>
      <c r="AX73" s="1090">
        <f t="shared" si="539"/>
        <v>63184.6</v>
      </c>
      <c r="AY73" s="1091">
        <f t="shared" si="801"/>
        <v>0.01698510753</v>
      </c>
      <c r="AZ73" s="1091">
        <f t="shared" si="887"/>
        <v>0.1698533884</v>
      </c>
      <c r="BA73" s="1090">
        <f t="shared" si="542"/>
        <v>94991.373</v>
      </c>
      <c r="BB73" s="1091">
        <f t="shared" si="802"/>
        <v>0.07995906818</v>
      </c>
      <c r="BC73" s="1091">
        <f t="shared" si="888"/>
        <v>0.06362394364</v>
      </c>
      <c r="BD73" s="1090">
        <f t="shared" si="545"/>
        <v>-27591.627</v>
      </c>
      <c r="BE73" s="1091">
        <f t="shared" si="32"/>
        <v>-0.2250852647</v>
      </c>
      <c r="BF73" s="1090">
        <f t="shared" si="546"/>
        <v>31806.773</v>
      </c>
      <c r="BG73" s="1091">
        <f t="shared" si="34"/>
        <v>0.5033943872</v>
      </c>
      <c r="BH73" s="1088">
        <f>SUMIFS(BP_SOTIEN,BP_THANG,BH$2,BP_KM,$E73)/1000</f>
        <v>40861</v>
      </c>
      <c r="BI73" s="1091">
        <f t="shared" si="803"/>
        <v>0.01021525</v>
      </c>
      <c r="BJ73" s="1091"/>
      <c r="BK73" s="1090">
        <f>IF(NOW()&gt;=DATE(YEAR(BH$2),MONTH(BH$2)+1,DAY(BH$2)),SUMIFS(TF_SOTIEN,TF_THANG,BH$2,TF_KM,$E73)/1000, BN73)</f>
        <v>75000</v>
      </c>
      <c r="BL73" s="1091" t="str">
        <f t="shared" si="804"/>
        <v/>
      </c>
      <c r="BM73" s="1091"/>
      <c r="BN73" s="1090">
        <f>IF(NOW()&gt;=DATE(YEAR(BH$2),MONTH(BH$2)+1,DAY(BH$2)),SUMIFS(AC_SOTIEN,AC_THANG,BH$2,AC_KM,$E73),SUMIFS(TF_SOTIEN,TF_THANG,BH$2,TF_KM,$E73))/ 1000</f>
        <v>120703.998</v>
      </c>
      <c r="BO73" s="1091">
        <f t="shared" si="805"/>
        <v>0.04640605219</v>
      </c>
      <c r="BP73" s="1091">
        <f t="shared" si="889"/>
        <v>0.1018501945</v>
      </c>
      <c r="BQ73" s="1090">
        <f t="shared" si="553"/>
        <v>79842.998</v>
      </c>
      <c r="BR73" s="1091">
        <f t="shared" si="39"/>
        <v>1.954014782</v>
      </c>
      <c r="BS73" s="1090">
        <f t="shared" si="554"/>
        <v>45703.998</v>
      </c>
      <c r="BT73" s="1091">
        <f t="shared" si="41"/>
        <v>0.60938664</v>
      </c>
      <c r="BU73" s="1088">
        <f>SUMIFS(BP_SOTIEN,BP_THANG,BU$2,BP_KM,$E73)/1000</f>
        <v>40861</v>
      </c>
      <c r="BV73" s="1091">
        <f t="shared" si="806"/>
        <v>0.01021525</v>
      </c>
      <c r="BW73" s="1091"/>
      <c r="BX73" s="1090">
        <f>IF(NOW()&gt;=DATE(YEAR(BU$2),MONTH(BU$2)+1,DAY(BU$2)),SUMIFS(TF_SOTIEN,TF_THANG,BU$2,TF_KM,$E73)/1000, CA73)</f>
        <v>104000</v>
      </c>
      <c r="BY73" s="1091">
        <f t="shared" si="807"/>
        <v>0.06959051762</v>
      </c>
      <c r="BZ73" s="1091"/>
      <c r="CA73" s="1090">
        <f>IF(NOW()&gt;=DATE(YEAR(BU$2),MONTH(BU$2)+1,DAY(BU$2)),SUMIFS(AC_SOTIEN,AC_THANG,BU$2,AC_KM,$E73),SUMIFS(TF_SOTIEN,TF_THANG,BU$2,TF_KM,$E73))/ 1000</f>
        <v>29452.001</v>
      </c>
      <c r="CB73" s="1091">
        <f t="shared" si="808"/>
        <v>0.05301203264</v>
      </c>
      <c r="CC73" s="1091">
        <f t="shared" si="890"/>
        <v>0.05478152525</v>
      </c>
      <c r="CD73" s="1090">
        <f t="shared" si="561"/>
        <v>-11408.999</v>
      </c>
      <c r="CE73" s="1091">
        <f t="shared" si="46"/>
        <v>-0.2792148748</v>
      </c>
      <c r="CF73" s="1090">
        <f t="shared" si="562"/>
        <v>-74547.999</v>
      </c>
      <c r="CG73" s="1091">
        <f t="shared" si="48"/>
        <v>-0.7168076827</v>
      </c>
      <c r="CH73" s="1088">
        <f>SUMIFS(BP_SOTIEN,BP_THANG,CH$2,BP_KM,$E73)/1000</f>
        <v>40861</v>
      </c>
      <c r="CI73" s="1091">
        <f t="shared" si="809"/>
        <v>0.01021525</v>
      </c>
      <c r="CJ73" s="1091"/>
      <c r="CK73" s="1090">
        <f>IF(NOW()&gt;=DATE(YEAR(CH$2),MONTH(CH$2)+1,DAY(CH$2)),SUMIFS(TF_SOTIEN,TF_THANG,CH$2,TF_KM,$E73)/1000, CN73)</f>
        <v>40861</v>
      </c>
      <c r="CL73" s="1091" t="str">
        <f t="shared" si="810"/>
        <v/>
      </c>
      <c r="CM73" s="1091"/>
      <c r="CN73" s="1090">
        <f>IF(NOW()&gt;=DATE(YEAR(CH$2),MONTH(CH$2)+1,DAY(CH$2)),SUMIFS(AC_SOTIEN,AC_THANG,CH$2,AC_KM,$E73),SUMIFS(TF_SOTIEN,TF_THANG,CH$2,TF_KM,$E73))/ 1000</f>
        <v>0</v>
      </c>
      <c r="CO73" s="1091" t="str">
        <f t="shared" si="811"/>
        <v/>
      </c>
      <c r="CP73" s="1091" t="str">
        <f t="shared" si="891"/>
        <v/>
      </c>
      <c r="CQ73" s="1090">
        <f t="shared" si="569"/>
        <v>-40861</v>
      </c>
      <c r="CR73" s="1091">
        <f t="shared" si="53"/>
        <v>-1</v>
      </c>
      <c r="CS73" s="1090">
        <f t="shared" si="570"/>
        <v>-40861</v>
      </c>
      <c r="CT73" s="1091">
        <f t="shared" si="55"/>
        <v>-1</v>
      </c>
      <c r="CU73" s="1088">
        <f t="shared" si="571"/>
        <v>122583</v>
      </c>
      <c r="CV73" s="1091">
        <f t="shared" si="812"/>
        <v>0.01021525</v>
      </c>
      <c r="CW73" s="1091">
        <f t="shared" si="892"/>
        <v>0.005299623744</v>
      </c>
      <c r="CX73" s="1090">
        <f t="shared" si="813"/>
        <v>219861</v>
      </c>
      <c r="CY73" s="1091">
        <f t="shared" si="814"/>
        <v>0.1471176999</v>
      </c>
      <c r="CZ73" s="1091">
        <f t="shared" si="893"/>
        <v>0.02899600783</v>
      </c>
      <c r="DA73" s="1090">
        <f t="shared" si="815"/>
        <v>150155.999</v>
      </c>
      <c r="DB73" s="1091">
        <f t="shared" si="816"/>
        <v>0.0475687221</v>
      </c>
      <c r="DC73" s="1091">
        <f t="shared" si="894"/>
        <v>0.08716116956</v>
      </c>
      <c r="DD73" s="1090">
        <f t="shared" si="580"/>
        <v>27572.999</v>
      </c>
      <c r="DE73" s="1091">
        <f t="shared" si="63"/>
        <v>0.2249333023</v>
      </c>
      <c r="DF73" s="1090">
        <f t="shared" si="581"/>
        <v>-69705.001</v>
      </c>
      <c r="DG73" s="1091">
        <f t="shared" si="65"/>
        <v>-0.317041226</v>
      </c>
      <c r="DH73" s="1088">
        <f t="shared" si="582"/>
        <v>245166</v>
      </c>
      <c r="DI73" s="1091">
        <f t="shared" si="817"/>
        <v>0.0204305</v>
      </c>
      <c r="DJ73" s="1091">
        <f t="shared" si="895"/>
        <v>0.01052665476</v>
      </c>
      <c r="DK73" s="1090">
        <f t="shared" si="585"/>
        <v>283045.6</v>
      </c>
      <c r="DL73" s="1091">
        <f t="shared" si="818"/>
        <v>0.05428094013</v>
      </c>
      <c r="DM73" s="1091">
        <f t="shared" si="896"/>
        <v>0.03558329108</v>
      </c>
      <c r="DN73" s="1090">
        <f t="shared" si="588"/>
        <v>245147.372</v>
      </c>
      <c r="DO73" s="1091">
        <f t="shared" si="819"/>
        <v>0.05642560763</v>
      </c>
      <c r="DP73" s="1091">
        <f t="shared" si="897"/>
        <v>0.0762332817</v>
      </c>
      <c r="DQ73" s="1090">
        <f t="shared" si="591"/>
        <v>-18.628</v>
      </c>
      <c r="DR73" s="1091">
        <f t="shared" si="73"/>
        <v>-0.00007598117194</v>
      </c>
      <c r="DS73" s="1090">
        <f t="shared" si="592"/>
        <v>-37898.228</v>
      </c>
      <c r="DT73" s="1091">
        <f t="shared" si="75"/>
        <v>-0.1338944255</v>
      </c>
      <c r="DU73" s="1088">
        <f>SUMIFS(BP_SOTIEN,BP_THANG,DU$2,BP_KM,$E73)/1000</f>
        <v>40861</v>
      </c>
      <c r="DV73" s="1091">
        <f t="shared" si="820"/>
        <v>0.01021525</v>
      </c>
      <c r="DW73" s="1091"/>
      <c r="DX73" s="1090">
        <f>IF(NOW()&gt;=DATE(YEAR(DU$2),MONTH(DU$2)+1,DAY(DU$2)),SUMIFS(TF_SOTIEN,TF_THANG,DU$2,TF_KM,$E73)/1000, EA73)</f>
        <v>40861</v>
      </c>
      <c r="DY73" s="1091">
        <f t="shared" si="821"/>
        <v>0.00676506627</v>
      </c>
      <c r="DZ73" s="1091"/>
      <c r="EA73" s="1090">
        <f>IF(NOW()&gt;=DATE(YEAR(DU$2),MONTH(DU$2)+1,DAY(DU$2)),SUMIFS(AC_SOTIEN,AC_THANG,DU$2,AC_KM,$E73),SUMIFS(TF_SOTIEN,TF_THANG,DU$2,TF_KM,$E73))/ 1000</f>
        <v>0</v>
      </c>
      <c r="EB73" s="1091" t="str">
        <f t="shared" si="822"/>
        <v/>
      </c>
      <c r="EC73" s="1091" t="str">
        <f t="shared" si="898"/>
        <v/>
      </c>
      <c r="ED73" s="1090">
        <f t="shared" si="599"/>
        <v>-40861</v>
      </c>
      <c r="EE73" s="1091">
        <f t="shared" si="80"/>
        <v>-1</v>
      </c>
      <c r="EF73" s="1090">
        <f t="shared" si="600"/>
        <v>-40861</v>
      </c>
      <c r="EG73" s="1091">
        <f t="shared" si="82"/>
        <v>-1</v>
      </c>
      <c r="EH73" s="1088">
        <f>SUMIFS(BP_SOTIEN,BP_THANG,EH$2,BP_KM,$E73)/1000</f>
        <v>40861</v>
      </c>
      <c r="EI73" s="1091">
        <f t="shared" si="823"/>
        <v>0.01021525</v>
      </c>
      <c r="EJ73" s="1091"/>
      <c r="EK73" s="1090">
        <f>IF(NOW()&gt;=DATE(YEAR(EH$2),MONTH(EH$2)+1,DAY(EH$2)),SUMIFS(TF_SOTIEN,TF_THANG,EH$2,TF_KM,$E73)/1000, EN73)</f>
        <v>40861</v>
      </c>
      <c r="EL73" s="1091">
        <f t="shared" si="824"/>
        <v>0.00676506627</v>
      </c>
      <c r="EM73" s="1091"/>
      <c r="EN73" s="1090">
        <f>IF(NOW()&gt;=DATE(YEAR(EH$2),MONTH(EH$2)+1,DAY(EH$2)),SUMIFS(AC_SOTIEN,AC_THANG,EH$2,AC_KM,$E73),SUMIFS(TF_SOTIEN,TF_THANG,EH$2,TF_KM,$E73))/ 1000</f>
        <v>0</v>
      </c>
      <c r="EO73" s="1091" t="str">
        <f t="shared" si="825"/>
        <v/>
      </c>
      <c r="EP73" s="1091" t="str">
        <f t="shared" si="899"/>
        <v/>
      </c>
      <c r="EQ73" s="1090">
        <f t="shared" si="607"/>
        <v>-40861</v>
      </c>
      <c r="ER73" s="1091">
        <f t="shared" si="87"/>
        <v>-1</v>
      </c>
      <c r="ES73" s="1090">
        <f t="shared" si="608"/>
        <v>-40861</v>
      </c>
      <c r="ET73" s="1091">
        <f t="shared" si="89"/>
        <v>-1</v>
      </c>
      <c r="EU73" s="1088">
        <f>SUMIFS(BP_SOTIEN,BP_THANG,EU$2,BP_KM,$E73)/1000</f>
        <v>40861</v>
      </c>
      <c r="EV73" s="1091">
        <f t="shared" si="826"/>
        <v>0.01021525</v>
      </c>
      <c r="EW73" s="1091"/>
      <c r="EX73" s="1090">
        <f>IF(NOW()&gt;=DATE(YEAR(EU$2),MONTH(EU$2)+1,DAY(EU$2)),SUMIFS(TF_SOTIEN,TF_THANG,EU$2,TF_KM,$E73)/1000, FA73)</f>
        <v>40861</v>
      </c>
      <c r="EY73" s="1091">
        <f t="shared" si="827"/>
        <v>0.00676506627</v>
      </c>
      <c r="EZ73" s="1091"/>
      <c r="FA73" s="1090">
        <f>IF(NOW()&gt;=DATE(YEAR(EU$2),MONTH(EU$2)+1,DAY(EU$2)),SUMIFS(AC_SOTIEN,AC_THANG,EU$2,AC_KM,$E73),SUMIFS(TF_SOTIEN,TF_THANG,EU$2,TF_KM,$E73))/ 1000</f>
        <v>0</v>
      </c>
      <c r="FB73" s="1091" t="str">
        <f t="shared" si="828"/>
        <v/>
      </c>
      <c r="FC73" s="1091" t="str">
        <f t="shared" si="900"/>
        <v/>
      </c>
      <c r="FD73" s="1090">
        <f t="shared" si="616"/>
        <v>-40861</v>
      </c>
      <c r="FE73" s="1091">
        <f t="shared" si="94"/>
        <v>-1</v>
      </c>
      <c r="FF73" s="1090">
        <f t="shared" si="617"/>
        <v>-40861</v>
      </c>
      <c r="FG73" s="1091">
        <f t="shared" si="96"/>
        <v>-1</v>
      </c>
      <c r="FH73" s="1088">
        <f t="shared" si="618"/>
        <v>122583</v>
      </c>
      <c r="FI73" s="1091">
        <f t="shared" si="829"/>
        <v>0.01021525</v>
      </c>
      <c r="FJ73" s="1091">
        <f t="shared" si="901"/>
        <v>0.005299623744</v>
      </c>
      <c r="FK73" s="1090">
        <f t="shared" si="621"/>
        <v>122583</v>
      </c>
      <c r="FL73" s="1091">
        <f t="shared" si="830"/>
        <v>0.00676506627</v>
      </c>
      <c r="FM73" s="1091">
        <f t="shared" si="902"/>
        <v>0.005299623744</v>
      </c>
      <c r="FN73" s="1090">
        <f t="shared" si="624"/>
        <v>0</v>
      </c>
      <c r="FO73" s="1091" t="str">
        <f t="shared" si="831"/>
        <v/>
      </c>
      <c r="FP73" s="1091" t="str">
        <f t="shared" si="903"/>
        <v/>
      </c>
      <c r="FQ73" s="1090">
        <f t="shared" si="627"/>
        <v>-122583</v>
      </c>
      <c r="FR73" s="1091">
        <f t="shared" si="104"/>
        <v>-1</v>
      </c>
      <c r="FS73" s="1090">
        <f t="shared" si="628"/>
        <v>-122583</v>
      </c>
      <c r="FT73" s="1091">
        <f t="shared" si="106"/>
        <v>-1</v>
      </c>
      <c r="FU73" s="1088">
        <f>SUMIFS(BP_SOTIEN,BP_THANG,FU$2,BP_KM,$E73)/1000</f>
        <v>40861</v>
      </c>
      <c r="FV73" s="1091">
        <f t="shared" si="832"/>
        <v>0.01021525</v>
      </c>
      <c r="FW73" s="1091"/>
      <c r="FX73" s="1090">
        <f>IF(NOW()&gt;=DATE(YEAR(FU$2),MONTH(FU$2)+1,DAY(FU$2)),SUMIFS(TF_SOTIEN,TF_THANG,FU$2,TF_KM,$E73)/1000, GA73)</f>
        <v>40861</v>
      </c>
      <c r="FY73" s="1091">
        <f t="shared" si="833"/>
        <v>0.00676506627</v>
      </c>
      <c r="FZ73" s="1091"/>
      <c r="GA73" s="1090">
        <f>IF(NOW()&gt;=DATE(YEAR(FU$2),MONTH(FU$2)+1,DAY(FU$2)),SUMIFS(AC_SOTIEN,AC_THANG,FU$2,AC_KM,$E73),SUMIFS(TF_SOTIEN,TF_THANG,FU$2,TF_KM,$E73))/ 1000</f>
        <v>0</v>
      </c>
      <c r="GB73" s="1091" t="str">
        <f t="shared" si="834"/>
        <v/>
      </c>
      <c r="GC73" s="1091" t="str">
        <f t="shared" si="904"/>
        <v/>
      </c>
      <c r="GD73" s="1090">
        <f t="shared" si="635"/>
        <v>-40861</v>
      </c>
      <c r="GE73" s="1091">
        <f t="shared" si="111"/>
        <v>-1</v>
      </c>
      <c r="GF73" s="1090">
        <f t="shared" si="636"/>
        <v>-40861</v>
      </c>
      <c r="GG73" s="1091">
        <f t="shared" si="113"/>
        <v>-1</v>
      </c>
      <c r="GH73" s="1088">
        <f>SUMIFS(BP_SOTIEN,BP_THANG,GH$2,BP_KM,$E73)/1000</f>
        <v>40861</v>
      </c>
      <c r="GI73" s="1091">
        <f t="shared" si="835"/>
        <v>0.01021525</v>
      </c>
      <c r="GJ73" s="1091"/>
      <c r="GK73" s="1090">
        <f>IF(NOW()&gt;=DATE(YEAR(GH$2),MONTH(GH$2)+1,DAY(GH$2)),SUMIFS(TF_SOTIEN,TF_THANG,GH$2,TF_KM,$E73)/1000, GN73)</f>
        <v>40861</v>
      </c>
      <c r="GL73" s="1091">
        <f t="shared" si="836"/>
        <v>0.00676506627</v>
      </c>
      <c r="GM73" s="1091"/>
      <c r="GN73" s="1090">
        <f>IF(NOW()&gt;=DATE(YEAR(GH$2),MONTH(GH$2)+1,DAY(GH$2)),SUMIFS(AC_SOTIEN,AC_THANG,GH$2,AC_KM,$E73),SUMIFS(TF_SOTIEN,TF_THANG,GH$2,TF_KM,$E73))/ 1000</f>
        <v>0</v>
      </c>
      <c r="GO73" s="1091" t="str">
        <f t="shared" si="837"/>
        <v/>
      </c>
      <c r="GP73" s="1091" t="str">
        <f t="shared" si="905"/>
        <v/>
      </c>
      <c r="GQ73" s="1090">
        <f t="shared" si="643"/>
        <v>-40861</v>
      </c>
      <c r="GR73" s="1091">
        <f t="shared" si="118"/>
        <v>-1</v>
      </c>
      <c r="GS73" s="1090">
        <f t="shared" si="644"/>
        <v>-40861</v>
      </c>
      <c r="GT73" s="1091">
        <f t="shared" si="120"/>
        <v>-1</v>
      </c>
      <c r="GU73" s="1088">
        <f>SUMIFS(BP_SOTIEN,BP_THANG,GU$2,BP_KM,$E73)/1000</f>
        <v>40861</v>
      </c>
      <c r="GV73" s="1091">
        <f t="shared" si="838"/>
        <v>0.01021525</v>
      </c>
      <c r="GW73" s="1091"/>
      <c r="GX73" s="1090">
        <f>IF(NOW()&gt;=DATE(YEAR(GU$2),MONTH(GU$2)+1,DAY(GU$2)),SUMIFS(TF_SOTIEN,TF_THANG,GU$2,TF_KM,$E73)/1000, HA73)</f>
        <v>40861</v>
      </c>
      <c r="GY73" s="1091">
        <f t="shared" si="839"/>
        <v>0.00676506627</v>
      </c>
      <c r="GZ73" s="1091"/>
      <c r="HA73" s="1090">
        <f>IF(NOW()&gt;=DATE(YEAR(GU$2),MONTH(GU$2)+1,DAY(GU$2)),SUMIFS(AC_SOTIEN,AC_THANG,GU$2,AC_KM,$E73),SUMIFS(TF_SOTIEN,TF_THANG,GU$2,TF_KM,$E73))/ 1000</f>
        <v>0</v>
      </c>
      <c r="HB73" s="1091" t="str">
        <f t="shared" si="840"/>
        <v/>
      </c>
      <c r="HC73" s="1091" t="str">
        <f t="shared" si="906"/>
        <v/>
      </c>
      <c r="HD73" s="1090">
        <f t="shared" si="651"/>
        <v>-40861</v>
      </c>
      <c r="HE73" s="1091">
        <f t="shared" si="125"/>
        <v>-1</v>
      </c>
      <c r="HF73" s="1090">
        <f t="shared" si="652"/>
        <v>-40861</v>
      </c>
      <c r="HG73" s="1091">
        <f t="shared" si="127"/>
        <v>-1</v>
      </c>
      <c r="HH73" s="1088">
        <f t="shared" si="653"/>
        <v>122583</v>
      </c>
      <c r="HI73" s="1091">
        <f t="shared" si="841"/>
        <v>0.01021525</v>
      </c>
      <c r="HJ73" s="1091">
        <f t="shared" si="907"/>
        <v>0.005299623744</v>
      </c>
      <c r="HK73" s="1090">
        <f t="shared" si="656"/>
        <v>122583</v>
      </c>
      <c r="HL73" s="1091">
        <f t="shared" si="842"/>
        <v>0.00676506627</v>
      </c>
      <c r="HM73" s="1091">
        <f t="shared" si="908"/>
        <v>0.005299623744</v>
      </c>
      <c r="HN73" s="1090">
        <f t="shared" si="659"/>
        <v>0</v>
      </c>
      <c r="HO73" s="1091" t="str">
        <f t="shared" si="843"/>
        <v/>
      </c>
      <c r="HP73" s="1091" t="str">
        <f t="shared" si="909"/>
        <v/>
      </c>
      <c r="HQ73" s="1090">
        <f t="shared" si="662"/>
        <v>-122583</v>
      </c>
      <c r="HR73" s="1091">
        <f t="shared" si="135"/>
        <v>-1</v>
      </c>
      <c r="HS73" s="1090">
        <f t="shared" si="663"/>
        <v>-122583</v>
      </c>
      <c r="HT73" s="1091">
        <f t="shared" si="137"/>
        <v>-1</v>
      </c>
      <c r="HU73" s="1088">
        <f t="shared" si="664"/>
        <v>245166</v>
      </c>
      <c r="HV73" s="1091">
        <f t="shared" si="844"/>
        <v>0.01021525</v>
      </c>
      <c r="HW73" s="1091">
        <f t="shared" si="910"/>
        <v>0.005299623744</v>
      </c>
      <c r="HX73" s="1090">
        <f t="shared" si="667"/>
        <v>245166</v>
      </c>
      <c r="HY73" s="1091">
        <f t="shared" si="845"/>
        <v>0.00676506627</v>
      </c>
      <c r="HZ73" s="1091">
        <f t="shared" si="911"/>
        <v>0.005299623744</v>
      </c>
      <c r="IA73" s="1090">
        <f t="shared" si="670"/>
        <v>0</v>
      </c>
      <c r="IB73" s="1091" t="str">
        <f t="shared" si="846"/>
        <v/>
      </c>
      <c r="IC73" s="1091" t="str">
        <f t="shared" si="912"/>
        <v/>
      </c>
      <c r="ID73" s="1090">
        <f t="shared" si="673"/>
        <v>-245166</v>
      </c>
      <c r="IE73" s="1091">
        <f t="shared" si="145"/>
        <v>-1</v>
      </c>
      <c r="IF73" s="1090">
        <f t="shared" si="674"/>
        <v>-245166</v>
      </c>
      <c r="IG73" s="1091">
        <f t="shared" si="147"/>
        <v>-1</v>
      </c>
      <c r="IH73" s="1088">
        <f t="shared" si="675"/>
        <v>490332</v>
      </c>
      <c r="II73" s="1091">
        <f t="shared" si="847"/>
        <v>0.01362033333</v>
      </c>
      <c r="IJ73" s="1091">
        <f t="shared" si="913"/>
        <v>0.007049959282</v>
      </c>
      <c r="IK73" s="1090">
        <f t="shared" si="678"/>
        <v>528211.6</v>
      </c>
      <c r="IL73" s="1091">
        <f t="shared" si="848"/>
        <v>0.01274197391</v>
      </c>
      <c r="IM73" s="1091">
        <f t="shared" si="914"/>
        <v>0.009742820182</v>
      </c>
      <c r="IN73" s="1090">
        <f t="shared" si="681"/>
        <v>245147.372</v>
      </c>
      <c r="IO73" s="1091">
        <f t="shared" si="849"/>
        <v>0.05642560763</v>
      </c>
      <c r="IP73" s="1091">
        <f t="shared" si="915"/>
        <v>0.0762332817</v>
      </c>
      <c r="IQ73" s="1090">
        <f t="shared" si="684"/>
        <v>-245184.628</v>
      </c>
      <c r="IR73" s="1091">
        <f t="shared" si="1"/>
        <v>-0.5000379906</v>
      </c>
      <c r="IS73" s="1090">
        <f t="shared" si="685"/>
        <v>-283064.228</v>
      </c>
      <c r="IT73" s="1091">
        <f t="shared" si="2"/>
        <v>-0.5358917298</v>
      </c>
    </row>
    <row r="74" outlineLevel="1">
      <c r="A74" s="1087"/>
      <c r="B74" s="1087"/>
      <c r="C74" s="1087"/>
      <c r="D74" s="1087" t="s">
        <v>2835</v>
      </c>
      <c r="E74" s="1087" t="s">
        <v>2836</v>
      </c>
      <c r="F74" s="1087"/>
      <c r="G74" s="1086">
        <v>2.0</v>
      </c>
      <c r="H74" s="1088">
        <f>SUMIFS(BP_SOTIEN,BP_THANG,H$2,BP_KM,$E74)/1000</f>
        <v>0</v>
      </c>
      <c r="I74" s="1091" t="str">
        <f t="shared" si="791"/>
        <v/>
      </c>
      <c r="J74" s="1091"/>
      <c r="K74" s="1090">
        <f>IF(NOW()&gt;=DATE(YEAR(H$2),MONTH(H$2)+1,DAY(H$2)),SUMIFS(TF_SOTIEN,TF_THANG,H$2,TF_KM,$E74)/1000, N74)</f>
        <v>0</v>
      </c>
      <c r="L74" s="1091">
        <f t="shared" si="792"/>
        <v>0</v>
      </c>
      <c r="M74" s="1091"/>
      <c r="N74" s="1090">
        <f>IF(NOW()&gt;=DATE(YEAR(H$2),MONTH(H$2)+1,DAY(H$2)),SUMIFS(AC_SOTIEN,AC_THANG,H$2,AC_KM,$E74),SUMIFS(TF_SOTIEN,TF_THANG,H$2,TF_KM,$E74))/ 1000</f>
        <v>0</v>
      </c>
      <c r="O74" s="1091">
        <f t="shared" si="793"/>
        <v>0</v>
      </c>
      <c r="P74" s="1091">
        <f t="shared" si="883"/>
        <v>0</v>
      </c>
      <c r="Q74" s="1090">
        <f t="shared" si="518"/>
        <v>0</v>
      </c>
      <c r="R74" s="1091" t="str">
        <f t="shared" si="8"/>
        <v/>
      </c>
      <c r="S74" s="1090">
        <f t="shared" si="519"/>
        <v>0</v>
      </c>
      <c r="T74" s="1091" t="str">
        <f t="shared" si="10"/>
        <v/>
      </c>
      <c r="U74" s="1088">
        <f>SUMIFS(BP_SOTIEN,BP_THANG,U$2,BP_KM,$E74)/1000</f>
        <v>0</v>
      </c>
      <c r="V74" s="1091" t="str">
        <f t="shared" si="794"/>
        <v/>
      </c>
      <c r="W74" s="1091"/>
      <c r="X74" s="1090">
        <f>IF(NOW()&gt;=DATE(YEAR(U$2),MONTH(U$2)+1,DAY(U$2)),SUMIFS(TF_SOTIEN,TF_THANG,U$2,TF_KM,$E74)/1000, AA74)</f>
        <v>0</v>
      </c>
      <c r="Y74" s="1091" t="str">
        <f t="shared" si="795"/>
        <v/>
      </c>
      <c r="Z74" s="1091"/>
      <c r="AA74" s="1090">
        <f>IF(NOW()&gt;=DATE(YEAR(U$2),MONTH(U$2)+1,DAY(U$2)),SUMIFS(AC_SOTIEN,AC_THANG,U$2,AC_KM,$E74),SUMIFS(TF_SOTIEN,TF_THANG,U$2,TF_KM,$E74))/ 1000</f>
        <v>0</v>
      </c>
      <c r="AB74" s="1091">
        <f t="shared" si="796"/>
        <v>0</v>
      </c>
      <c r="AC74" s="1091">
        <f t="shared" si="884"/>
        <v>0</v>
      </c>
      <c r="AD74" s="1090">
        <f t="shared" si="526"/>
        <v>0</v>
      </c>
      <c r="AE74" s="1091" t="str">
        <f t="shared" si="15"/>
        <v/>
      </c>
      <c r="AF74" s="1090">
        <f t="shared" si="527"/>
        <v>0</v>
      </c>
      <c r="AG74" s="1091" t="str">
        <f t="shared" si="17"/>
        <v/>
      </c>
      <c r="AH74" s="1088">
        <f>SUMIFS(BP_SOTIEN,BP_THANG,AH$2,BP_KM,$E74)/1000</f>
        <v>0</v>
      </c>
      <c r="AI74" s="1091" t="str">
        <f t="shared" si="797"/>
        <v/>
      </c>
      <c r="AJ74" s="1091"/>
      <c r="AK74" s="1090">
        <f>IF(NOW()&gt;=DATE(YEAR(AH$2),MONTH(AH$2)+1,DAY(AH$2)),SUMIFS(TF_SOTIEN,TF_THANG,AH$2,TF_KM,$E74)/1000, AN74)</f>
        <v>0</v>
      </c>
      <c r="AL74" s="1091">
        <f t="shared" si="798"/>
        <v>0</v>
      </c>
      <c r="AM74" s="1091"/>
      <c r="AN74" s="1090">
        <f>IF(NOW()&gt;=DATE(YEAR(AH$2),MONTH(AH$2)+1,DAY(AH$2)),SUMIFS(AC_SOTIEN,AC_THANG,AH$2,AC_KM,$E74),SUMIFS(TF_SOTIEN,TF_THANG,AH$2,TF_KM,$E74))/ 1000</f>
        <v>0</v>
      </c>
      <c r="AO74" s="1091">
        <f t="shared" si="799"/>
        <v>0</v>
      </c>
      <c r="AP74" s="1091">
        <f t="shared" si="885"/>
        <v>0</v>
      </c>
      <c r="AQ74" s="1090">
        <f t="shared" si="534"/>
        <v>0</v>
      </c>
      <c r="AR74" s="1091" t="str">
        <f t="shared" si="22"/>
        <v/>
      </c>
      <c r="AS74" s="1090">
        <f t="shared" si="535"/>
        <v>0</v>
      </c>
      <c r="AT74" s="1091" t="str">
        <f t="shared" si="24"/>
        <v/>
      </c>
      <c r="AU74" s="1088">
        <f t="shared" si="536"/>
        <v>0</v>
      </c>
      <c r="AV74" s="1091" t="str">
        <f t="shared" si="800"/>
        <v/>
      </c>
      <c r="AW74" s="1091">
        <f t="shared" si="886"/>
        <v>0</v>
      </c>
      <c r="AX74" s="1090">
        <f t="shared" si="539"/>
        <v>0</v>
      </c>
      <c r="AY74" s="1091">
        <f t="shared" si="801"/>
        <v>0</v>
      </c>
      <c r="AZ74" s="1091">
        <f t="shared" si="887"/>
        <v>0</v>
      </c>
      <c r="BA74" s="1090">
        <f t="shared" si="542"/>
        <v>0</v>
      </c>
      <c r="BB74" s="1091">
        <f t="shared" si="802"/>
        <v>0</v>
      </c>
      <c r="BC74" s="1091">
        <f t="shared" si="888"/>
        <v>0</v>
      </c>
      <c r="BD74" s="1090">
        <f t="shared" si="545"/>
        <v>0</v>
      </c>
      <c r="BE74" s="1091" t="str">
        <f t="shared" si="32"/>
        <v/>
      </c>
      <c r="BF74" s="1090">
        <f t="shared" si="546"/>
        <v>0</v>
      </c>
      <c r="BG74" s="1091" t="str">
        <f t="shared" si="34"/>
        <v/>
      </c>
      <c r="BH74" s="1088">
        <f>SUMIFS(BP_SOTIEN,BP_THANG,BH$2,BP_KM,$E74)/1000</f>
        <v>0</v>
      </c>
      <c r="BI74" s="1091">
        <f t="shared" si="803"/>
        <v>0</v>
      </c>
      <c r="BJ74" s="1091"/>
      <c r="BK74" s="1090">
        <f>IF(NOW()&gt;=DATE(YEAR(BH$2),MONTH(BH$2)+1,DAY(BH$2)),SUMIFS(TF_SOTIEN,TF_THANG,BH$2,TF_KM,$E74)/1000, BN74)</f>
        <v>0</v>
      </c>
      <c r="BL74" s="1091" t="str">
        <f t="shared" si="804"/>
        <v/>
      </c>
      <c r="BM74" s="1091"/>
      <c r="BN74" s="1090">
        <f>IF(NOW()&gt;=DATE(YEAR(BH$2),MONTH(BH$2)+1,DAY(BH$2)),SUMIFS(AC_SOTIEN,AC_THANG,BH$2,AC_KM,$E74),SUMIFS(TF_SOTIEN,TF_THANG,BH$2,TF_KM,$E74))/ 1000</f>
        <v>0</v>
      </c>
      <c r="BO74" s="1091">
        <f t="shared" si="805"/>
        <v>0</v>
      </c>
      <c r="BP74" s="1091">
        <f t="shared" si="889"/>
        <v>0</v>
      </c>
      <c r="BQ74" s="1090">
        <f t="shared" si="553"/>
        <v>0</v>
      </c>
      <c r="BR74" s="1091" t="str">
        <f t="shared" si="39"/>
        <v/>
      </c>
      <c r="BS74" s="1090">
        <f t="shared" si="554"/>
        <v>0</v>
      </c>
      <c r="BT74" s="1091" t="str">
        <f t="shared" si="41"/>
        <v/>
      </c>
      <c r="BU74" s="1088">
        <f>SUMIFS(BP_SOTIEN,BP_THANG,BU$2,BP_KM,$E74)/1000</f>
        <v>0</v>
      </c>
      <c r="BV74" s="1091">
        <f t="shared" si="806"/>
        <v>0</v>
      </c>
      <c r="BW74" s="1091"/>
      <c r="BX74" s="1090">
        <f>IF(NOW()&gt;=DATE(YEAR(BU$2),MONTH(BU$2)+1,DAY(BU$2)),SUMIFS(TF_SOTIEN,TF_THANG,BU$2,TF_KM,$E74)/1000, CA74)</f>
        <v>0</v>
      </c>
      <c r="BY74" s="1091">
        <f t="shared" si="807"/>
        <v>0</v>
      </c>
      <c r="BZ74" s="1091"/>
      <c r="CA74" s="1090">
        <f>IF(NOW()&gt;=DATE(YEAR(BU$2),MONTH(BU$2)+1,DAY(BU$2)),SUMIFS(AC_SOTIEN,AC_THANG,BU$2,AC_KM,$E74),SUMIFS(TF_SOTIEN,TF_THANG,BU$2,TF_KM,$E74))/ 1000</f>
        <v>0</v>
      </c>
      <c r="CB74" s="1091">
        <f t="shared" si="808"/>
        <v>0</v>
      </c>
      <c r="CC74" s="1091">
        <f t="shared" si="890"/>
        <v>0</v>
      </c>
      <c r="CD74" s="1090">
        <f t="shared" si="561"/>
        <v>0</v>
      </c>
      <c r="CE74" s="1091" t="str">
        <f t="shared" si="46"/>
        <v/>
      </c>
      <c r="CF74" s="1090">
        <f t="shared" si="562"/>
        <v>0</v>
      </c>
      <c r="CG74" s="1091" t="str">
        <f t="shared" si="48"/>
        <v/>
      </c>
      <c r="CH74" s="1088">
        <f>SUMIFS(BP_SOTIEN,BP_THANG,CH$2,BP_KM,$E74)/1000</f>
        <v>0</v>
      </c>
      <c r="CI74" s="1091">
        <f t="shared" si="809"/>
        <v>0</v>
      </c>
      <c r="CJ74" s="1091"/>
      <c r="CK74" s="1090">
        <f>IF(NOW()&gt;=DATE(YEAR(CH$2),MONTH(CH$2)+1,DAY(CH$2)),SUMIFS(TF_SOTIEN,TF_THANG,CH$2,TF_KM,$E74)/1000, CN74)</f>
        <v>0</v>
      </c>
      <c r="CL74" s="1091" t="str">
        <f t="shared" si="810"/>
        <v/>
      </c>
      <c r="CM74" s="1091"/>
      <c r="CN74" s="1090">
        <f>IF(NOW()&gt;=DATE(YEAR(CH$2),MONTH(CH$2)+1,DAY(CH$2)),SUMIFS(AC_SOTIEN,AC_THANG,CH$2,AC_KM,$E74),SUMIFS(TF_SOTIEN,TF_THANG,CH$2,TF_KM,$E74))/ 1000</f>
        <v>0</v>
      </c>
      <c r="CO74" s="1091" t="str">
        <f t="shared" si="811"/>
        <v/>
      </c>
      <c r="CP74" s="1091" t="str">
        <f t="shared" si="891"/>
        <v/>
      </c>
      <c r="CQ74" s="1090">
        <f t="shared" si="569"/>
        <v>0</v>
      </c>
      <c r="CR74" s="1091" t="str">
        <f t="shared" si="53"/>
        <v/>
      </c>
      <c r="CS74" s="1090">
        <f t="shared" si="570"/>
        <v>0</v>
      </c>
      <c r="CT74" s="1091" t="str">
        <f t="shared" si="55"/>
        <v/>
      </c>
      <c r="CU74" s="1088">
        <f t="shared" si="571"/>
        <v>0</v>
      </c>
      <c r="CV74" s="1091">
        <f t="shared" si="812"/>
        <v>0</v>
      </c>
      <c r="CW74" s="1091">
        <f t="shared" si="892"/>
        <v>0</v>
      </c>
      <c r="CX74" s="1090">
        <f t="shared" si="813"/>
        <v>0</v>
      </c>
      <c r="CY74" s="1091">
        <f t="shared" si="814"/>
        <v>0</v>
      </c>
      <c r="CZ74" s="1091">
        <f t="shared" si="893"/>
        <v>0</v>
      </c>
      <c r="DA74" s="1090">
        <f t="shared" si="815"/>
        <v>0</v>
      </c>
      <c r="DB74" s="1091">
        <f t="shared" si="816"/>
        <v>0</v>
      </c>
      <c r="DC74" s="1091">
        <f t="shared" si="894"/>
        <v>0</v>
      </c>
      <c r="DD74" s="1090">
        <f t="shared" si="580"/>
        <v>0</v>
      </c>
      <c r="DE74" s="1091" t="str">
        <f t="shared" si="63"/>
        <v/>
      </c>
      <c r="DF74" s="1090">
        <f t="shared" si="581"/>
        <v>0</v>
      </c>
      <c r="DG74" s="1091" t="str">
        <f t="shared" si="65"/>
        <v/>
      </c>
      <c r="DH74" s="1088">
        <f t="shared" si="582"/>
        <v>0</v>
      </c>
      <c r="DI74" s="1091">
        <f t="shared" si="817"/>
        <v>0</v>
      </c>
      <c r="DJ74" s="1091">
        <f t="shared" si="895"/>
        <v>0</v>
      </c>
      <c r="DK74" s="1090">
        <f t="shared" si="585"/>
        <v>0</v>
      </c>
      <c r="DL74" s="1091">
        <f t="shared" si="818"/>
        <v>0</v>
      </c>
      <c r="DM74" s="1091">
        <f t="shared" si="896"/>
        <v>0</v>
      </c>
      <c r="DN74" s="1090">
        <f t="shared" si="588"/>
        <v>0</v>
      </c>
      <c r="DO74" s="1091">
        <f t="shared" si="819"/>
        <v>0</v>
      </c>
      <c r="DP74" s="1091">
        <f t="shared" si="897"/>
        <v>0</v>
      </c>
      <c r="DQ74" s="1090">
        <f t="shared" si="591"/>
        <v>0</v>
      </c>
      <c r="DR74" s="1091" t="str">
        <f t="shared" si="73"/>
        <v/>
      </c>
      <c r="DS74" s="1090">
        <f t="shared" si="592"/>
        <v>0</v>
      </c>
      <c r="DT74" s="1091" t="str">
        <f t="shared" si="75"/>
        <v/>
      </c>
      <c r="DU74" s="1088">
        <f>SUMIFS(BP_SOTIEN,BP_THANG,DU$2,BP_KM,$E74)/1000</f>
        <v>0</v>
      </c>
      <c r="DV74" s="1091">
        <f t="shared" si="820"/>
        <v>0</v>
      </c>
      <c r="DW74" s="1091"/>
      <c r="DX74" s="1090">
        <f>IF(NOW()&gt;=DATE(YEAR(DU$2),MONTH(DU$2)+1,DAY(DU$2)),SUMIFS(TF_SOTIEN,TF_THANG,DU$2,TF_KM,$E74)/1000, EA74)</f>
        <v>0</v>
      </c>
      <c r="DY74" s="1091">
        <f t="shared" si="821"/>
        <v>0</v>
      </c>
      <c r="DZ74" s="1091"/>
      <c r="EA74" s="1090">
        <f>IF(NOW()&gt;=DATE(YEAR(DU$2),MONTH(DU$2)+1,DAY(DU$2)),SUMIFS(AC_SOTIEN,AC_THANG,DU$2,AC_KM,$E74),SUMIFS(TF_SOTIEN,TF_THANG,DU$2,TF_KM,$E74))/ 1000</f>
        <v>0</v>
      </c>
      <c r="EB74" s="1091" t="str">
        <f t="shared" si="822"/>
        <v/>
      </c>
      <c r="EC74" s="1091" t="str">
        <f t="shared" si="898"/>
        <v/>
      </c>
      <c r="ED74" s="1090">
        <f t="shared" si="599"/>
        <v>0</v>
      </c>
      <c r="EE74" s="1091" t="str">
        <f t="shared" si="80"/>
        <v/>
      </c>
      <c r="EF74" s="1090">
        <f t="shared" si="600"/>
        <v>0</v>
      </c>
      <c r="EG74" s="1091" t="str">
        <f t="shared" si="82"/>
        <v/>
      </c>
      <c r="EH74" s="1088">
        <f>SUMIFS(BP_SOTIEN,BP_THANG,EH$2,BP_KM,$E74)/1000</f>
        <v>0</v>
      </c>
      <c r="EI74" s="1091">
        <f t="shared" si="823"/>
        <v>0</v>
      </c>
      <c r="EJ74" s="1091"/>
      <c r="EK74" s="1090">
        <f>IF(NOW()&gt;=DATE(YEAR(EH$2),MONTH(EH$2)+1,DAY(EH$2)),SUMIFS(TF_SOTIEN,TF_THANG,EH$2,TF_KM,$E74)/1000, EN74)</f>
        <v>0</v>
      </c>
      <c r="EL74" s="1091">
        <f t="shared" si="824"/>
        <v>0</v>
      </c>
      <c r="EM74" s="1091"/>
      <c r="EN74" s="1090">
        <f>IF(NOW()&gt;=DATE(YEAR(EH$2),MONTH(EH$2)+1,DAY(EH$2)),SUMIFS(AC_SOTIEN,AC_THANG,EH$2,AC_KM,$E74),SUMIFS(TF_SOTIEN,TF_THANG,EH$2,TF_KM,$E74))/ 1000</f>
        <v>0</v>
      </c>
      <c r="EO74" s="1091" t="str">
        <f t="shared" si="825"/>
        <v/>
      </c>
      <c r="EP74" s="1091" t="str">
        <f t="shared" si="899"/>
        <v/>
      </c>
      <c r="EQ74" s="1090">
        <f t="shared" si="607"/>
        <v>0</v>
      </c>
      <c r="ER74" s="1091" t="str">
        <f t="shared" si="87"/>
        <v/>
      </c>
      <c r="ES74" s="1090">
        <f t="shared" si="608"/>
        <v>0</v>
      </c>
      <c r="ET74" s="1091" t="str">
        <f t="shared" si="89"/>
        <v/>
      </c>
      <c r="EU74" s="1088">
        <f>SUMIFS(BP_SOTIEN,BP_THANG,EU$2,BP_KM,$E74)/1000</f>
        <v>0</v>
      </c>
      <c r="EV74" s="1091">
        <f t="shared" si="826"/>
        <v>0</v>
      </c>
      <c r="EW74" s="1091"/>
      <c r="EX74" s="1090">
        <f>IF(NOW()&gt;=DATE(YEAR(EU$2),MONTH(EU$2)+1,DAY(EU$2)),SUMIFS(TF_SOTIEN,TF_THANG,EU$2,TF_KM,$E74)/1000, FA74)</f>
        <v>0</v>
      </c>
      <c r="EY74" s="1091">
        <f t="shared" si="827"/>
        <v>0</v>
      </c>
      <c r="EZ74" s="1091"/>
      <c r="FA74" s="1090">
        <f>IF(NOW()&gt;=DATE(YEAR(EU$2),MONTH(EU$2)+1,DAY(EU$2)),SUMIFS(AC_SOTIEN,AC_THANG,EU$2,AC_KM,$E74),SUMIFS(TF_SOTIEN,TF_THANG,EU$2,TF_KM,$E74))/ 1000</f>
        <v>0</v>
      </c>
      <c r="FB74" s="1091" t="str">
        <f t="shared" si="828"/>
        <v/>
      </c>
      <c r="FC74" s="1091" t="str">
        <f t="shared" si="900"/>
        <v/>
      </c>
      <c r="FD74" s="1090">
        <f t="shared" si="616"/>
        <v>0</v>
      </c>
      <c r="FE74" s="1091" t="str">
        <f t="shared" si="94"/>
        <v/>
      </c>
      <c r="FF74" s="1090">
        <f t="shared" si="617"/>
        <v>0</v>
      </c>
      <c r="FG74" s="1091" t="str">
        <f t="shared" si="96"/>
        <v/>
      </c>
      <c r="FH74" s="1088">
        <f t="shared" si="618"/>
        <v>0</v>
      </c>
      <c r="FI74" s="1091">
        <f t="shared" si="829"/>
        <v>0</v>
      </c>
      <c r="FJ74" s="1091">
        <f t="shared" si="901"/>
        <v>0</v>
      </c>
      <c r="FK74" s="1090">
        <f t="shared" si="621"/>
        <v>0</v>
      </c>
      <c r="FL74" s="1091">
        <f t="shared" si="830"/>
        <v>0</v>
      </c>
      <c r="FM74" s="1091">
        <f t="shared" si="902"/>
        <v>0</v>
      </c>
      <c r="FN74" s="1090">
        <f t="shared" si="624"/>
        <v>0</v>
      </c>
      <c r="FO74" s="1091" t="str">
        <f t="shared" si="831"/>
        <v/>
      </c>
      <c r="FP74" s="1091" t="str">
        <f t="shared" si="903"/>
        <v/>
      </c>
      <c r="FQ74" s="1090">
        <f t="shared" si="627"/>
        <v>0</v>
      </c>
      <c r="FR74" s="1091" t="str">
        <f t="shared" si="104"/>
        <v/>
      </c>
      <c r="FS74" s="1090">
        <f t="shared" si="628"/>
        <v>0</v>
      </c>
      <c r="FT74" s="1091" t="str">
        <f t="shared" si="106"/>
        <v/>
      </c>
      <c r="FU74" s="1088">
        <f>SUMIFS(BP_SOTIEN,BP_THANG,FU$2,BP_KM,$E74)/1000</f>
        <v>0</v>
      </c>
      <c r="FV74" s="1091">
        <f t="shared" si="832"/>
        <v>0</v>
      </c>
      <c r="FW74" s="1091"/>
      <c r="FX74" s="1090">
        <f>IF(NOW()&gt;=DATE(YEAR(FU$2),MONTH(FU$2)+1,DAY(FU$2)),SUMIFS(TF_SOTIEN,TF_THANG,FU$2,TF_KM,$E74)/1000, GA74)</f>
        <v>0</v>
      </c>
      <c r="FY74" s="1091">
        <f t="shared" si="833"/>
        <v>0</v>
      </c>
      <c r="FZ74" s="1091"/>
      <c r="GA74" s="1090">
        <f>IF(NOW()&gt;=DATE(YEAR(FU$2),MONTH(FU$2)+1,DAY(FU$2)),SUMIFS(AC_SOTIEN,AC_THANG,FU$2,AC_KM,$E74),SUMIFS(TF_SOTIEN,TF_THANG,FU$2,TF_KM,$E74))/ 1000</f>
        <v>0</v>
      </c>
      <c r="GB74" s="1091" t="str">
        <f t="shared" si="834"/>
        <v/>
      </c>
      <c r="GC74" s="1091" t="str">
        <f t="shared" si="904"/>
        <v/>
      </c>
      <c r="GD74" s="1090">
        <f t="shared" si="635"/>
        <v>0</v>
      </c>
      <c r="GE74" s="1091" t="str">
        <f t="shared" si="111"/>
        <v/>
      </c>
      <c r="GF74" s="1090">
        <f t="shared" si="636"/>
        <v>0</v>
      </c>
      <c r="GG74" s="1091" t="str">
        <f t="shared" si="113"/>
        <v/>
      </c>
      <c r="GH74" s="1088">
        <f>SUMIFS(BP_SOTIEN,BP_THANG,GH$2,BP_KM,$E74)/1000</f>
        <v>0</v>
      </c>
      <c r="GI74" s="1091">
        <f t="shared" si="835"/>
        <v>0</v>
      </c>
      <c r="GJ74" s="1091"/>
      <c r="GK74" s="1090">
        <f>IF(NOW()&gt;=DATE(YEAR(GH$2),MONTH(GH$2)+1,DAY(GH$2)),SUMIFS(TF_SOTIEN,TF_THANG,GH$2,TF_KM,$E74)/1000, GN74)</f>
        <v>0</v>
      </c>
      <c r="GL74" s="1091">
        <f t="shared" si="836"/>
        <v>0</v>
      </c>
      <c r="GM74" s="1091"/>
      <c r="GN74" s="1090">
        <f>IF(NOW()&gt;=DATE(YEAR(GH$2),MONTH(GH$2)+1,DAY(GH$2)),SUMIFS(AC_SOTIEN,AC_THANG,GH$2,AC_KM,$E74),SUMIFS(TF_SOTIEN,TF_THANG,GH$2,TF_KM,$E74))/ 1000</f>
        <v>0</v>
      </c>
      <c r="GO74" s="1091" t="str">
        <f t="shared" si="837"/>
        <v/>
      </c>
      <c r="GP74" s="1091" t="str">
        <f t="shared" si="905"/>
        <v/>
      </c>
      <c r="GQ74" s="1090">
        <f t="shared" si="643"/>
        <v>0</v>
      </c>
      <c r="GR74" s="1091" t="str">
        <f t="shared" si="118"/>
        <v/>
      </c>
      <c r="GS74" s="1090">
        <f t="shared" si="644"/>
        <v>0</v>
      </c>
      <c r="GT74" s="1091" t="str">
        <f t="shared" si="120"/>
        <v/>
      </c>
      <c r="GU74" s="1088">
        <f>SUMIFS(BP_SOTIEN,BP_THANG,GU$2,BP_KM,$E74)/1000</f>
        <v>0</v>
      </c>
      <c r="GV74" s="1091">
        <f t="shared" si="838"/>
        <v>0</v>
      </c>
      <c r="GW74" s="1091"/>
      <c r="GX74" s="1090">
        <f>IF(NOW()&gt;=DATE(YEAR(GU$2),MONTH(GU$2)+1,DAY(GU$2)),SUMIFS(TF_SOTIEN,TF_THANG,GU$2,TF_KM,$E74)/1000, HA74)</f>
        <v>0</v>
      </c>
      <c r="GY74" s="1091">
        <f t="shared" si="839"/>
        <v>0</v>
      </c>
      <c r="GZ74" s="1091"/>
      <c r="HA74" s="1090">
        <f>IF(NOW()&gt;=DATE(YEAR(GU$2),MONTH(GU$2)+1,DAY(GU$2)),SUMIFS(AC_SOTIEN,AC_THANG,GU$2,AC_KM,$E74),SUMIFS(TF_SOTIEN,TF_THANG,GU$2,TF_KM,$E74))/ 1000</f>
        <v>0</v>
      </c>
      <c r="HB74" s="1091" t="str">
        <f t="shared" si="840"/>
        <v/>
      </c>
      <c r="HC74" s="1091" t="str">
        <f t="shared" si="906"/>
        <v/>
      </c>
      <c r="HD74" s="1090">
        <f t="shared" si="651"/>
        <v>0</v>
      </c>
      <c r="HE74" s="1091" t="str">
        <f t="shared" si="125"/>
        <v/>
      </c>
      <c r="HF74" s="1090">
        <f t="shared" si="652"/>
        <v>0</v>
      </c>
      <c r="HG74" s="1091" t="str">
        <f t="shared" si="127"/>
        <v/>
      </c>
      <c r="HH74" s="1088">
        <f t="shared" si="653"/>
        <v>0</v>
      </c>
      <c r="HI74" s="1091">
        <f t="shared" si="841"/>
        <v>0</v>
      </c>
      <c r="HJ74" s="1091">
        <f t="shared" si="907"/>
        <v>0</v>
      </c>
      <c r="HK74" s="1090">
        <f t="shared" si="656"/>
        <v>0</v>
      </c>
      <c r="HL74" s="1091">
        <f t="shared" si="842"/>
        <v>0</v>
      </c>
      <c r="HM74" s="1091">
        <f t="shared" si="908"/>
        <v>0</v>
      </c>
      <c r="HN74" s="1090">
        <f t="shared" si="659"/>
        <v>0</v>
      </c>
      <c r="HO74" s="1091" t="str">
        <f t="shared" si="843"/>
        <v/>
      </c>
      <c r="HP74" s="1091" t="str">
        <f t="shared" si="909"/>
        <v/>
      </c>
      <c r="HQ74" s="1090">
        <f t="shared" si="662"/>
        <v>0</v>
      </c>
      <c r="HR74" s="1091" t="str">
        <f t="shared" si="135"/>
        <v/>
      </c>
      <c r="HS74" s="1090">
        <f t="shared" si="663"/>
        <v>0</v>
      </c>
      <c r="HT74" s="1091" t="str">
        <f t="shared" si="137"/>
        <v/>
      </c>
      <c r="HU74" s="1088">
        <f t="shared" si="664"/>
        <v>0</v>
      </c>
      <c r="HV74" s="1091">
        <f t="shared" si="844"/>
        <v>0</v>
      </c>
      <c r="HW74" s="1091">
        <f t="shared" si="910"/>
        <v>0</v>
      </c>
      <c r="HX74" s="1090">
        <f t="shared" si="667"/>
        <v>0</v>
      </c>
      <c r="HY74" s="1091">
        <f t="shared" si="845"/>
        <v>0</v>
      </c>
      <c r="HZ74" s="1091">
        <f t="shared" si="911"/>
        <v>0</v>
      </c>
      <c r="IA74" s="1090">
        <f t="shared" si="670"/>
        <v>0</v>
      </c>
      <c r="IB74" s="1091" t="str">
        <f t="shared" si="846"/>
        <v/>
      </c>
      <c r="IC74" s="1091" t="str">
        <f t="shared" si="912"/>
        <v/>
      </c>
      <c r="ID74" s="1090">
        <f t="shared" si="673"/>
        <v>0</v>
      </c>
      <c r="IE74" s="1091" t="str">
        <f t="shared" si="145"/>
        <v/>
      </c>
      <c r="IF74" s="1090">
        <f t="shared" si="674"/>
        <v>0</v>
      </c>
      <c r="IG74" s="1091" t="str">
        <f t="shared" si="147"/>
        <v/>
      </c>
      <c r="IH74" s="1088">
        <f t="shared" si="675"/>
        <v>0</v>
      </c>
      <c r="II74" s="1091">
        <f t="shared" si="847"/>
        <v>0</v>
      </c>
      <c r="IJ74" s="1091">
        <f t="shared" si="913"/>
        <v>0</v>
      </c>
      <c r="IK74" s="1090">
        <f t="shared" si="678"/>
        <v>0</v>
      </c>
      <c r="IL74" s="1091">
        <f t="shared" si="848"/>
        <v>0</v>
      </c>
      <c r="IM74" s="1091">
        <f t="shared" si="914"/>
        <v>0</v>
      </c>
      <c r="IN74" s="1090">
        <f t="shared" si="681"/>
        <v>0</v>
      </c>
      <c r="IO74" s="1091">
        <f t="shared" si="849"/>
        <v>0</v>
      </c>
      <c r="IP74" s="1091">
        <f t="shared" si="915"/>
        <v>0</v>
      </c>
      <c r="IQ74" s="1090">
        <f t="shared" si="684"/>
        <v>0</v>
      </c>
      <c r="IR74" s="1091" t="str">
        <f t="shared" si="1"/>
        <v/>
      </c>
      <c r="IS74" s="1090">
        <f t="shared" si="685"/>
        <v>0</v>
      </c>
      <c r="IT74" s="1091" t="str">
        <f t="shared" si="2"/>
        <v/>
      </c>
    </row>
    <row r="75" outlineLevel="1">
      <c r="A75" s="1087"/>
      <c r="B75" s="1087"/>
      <c r="C75" s="1087"/>
      <c r="D75" s="656" t="s">
        <v>2837</v>
      </c>
      <c r="E75" s="656" t="s">
        <v>203</v>
      </c>
      <c r="F75" s="1087"/>
      <c r="G75" s="1086">
        <v>2.0</v>
      </c>
      <c r="H75" s="1088">
        <f>SUM(H76:H80)</f>
        <v>0</v>
      </c>
      <c r="I75" s="1091" t="str">
        <f t="shared" si="791"/>
        <v/>
      </c>
      <c r="J75" s="1091"/>
      <c r="K75" s="1090">
        <f>SUM(K76:K80)</f>
        <v>0</v>
      </c>
      <c r="L75" s="1091">
        <f t="shared" si="792"/>
        <v>0</v>
      </c>
      <c r="M75" s="1091"/>
      <c r="N75" s="1090">
        <f>SUM(N76:N80)</f>
        <v>0</v>
      </c>
      <c r="O75" s="1091">
        <f t="shared" si="793"/>
        <v>0</v>
      </c>
      <c r="P75" s="1091">
        <f t="shared" si="883"/>
        <v>0</v>
      </c>
      <c r="Q75" s="1090">
        <f t="shared" si="518"/>
        <v>0</v>
      </c>
      <c r="R75" s="1091" t="str">
        <f t="shared" si="8"/>
        <v/>
      </c>
      <c r="S75" s="1090">
        <f t="shared" si="519"/>
        <v>0</v>
      </c>
      <c r="T75" s="1091" t="str">
        <f t="shared" si="10"/>
        <v/>
      </c>
      <c r="U75" s="1088">
        <f>SUM(U76:U80)</f>
        <v>0</v>
      </c>
      <c r="V75" s="1091" t="str">
        <f t="shared" si="794"/>
        <v/>
      </c>
      <c r="W75" s="1091"/>
      <c r="X75" s="1090">
        <f>SUM(X76:X80)</f>
        <v>0</v>
      </c>
      <c r="Y75" s="1091" t="str">
        <f t="shared" si="795"/>
        <v/>
      </c>
      <c r="Z75" s="1091"/>
      <c r="AA75" s="1090">
        <f>SUM(AA76:AA80)</f>
        <v>0</v>
      </c>
      <c r="AB75" s="1091">
        <f t="shared" si="796"/>
        <v>0</v>
      </c>
      <c r="AC75" s="1091">
        <f t="shared" si="884"/>
        <v>0</v>
      </c>
      <c r="AD75" s="1090">
        <f t="shared" si="526"/>
        <v>0</v>
      </c>
      <c r="AE75" s="1091" t="str">
        <f t="shared" si="15"/>
        <v/>
      </c>
      <c r="AF75" s="1090">
        <f t="shared" si="527"/>
        <v>0</v>
      </c>
      <c r="AG75" s="1091" t="str">
        <f t="shared" si="17"/>
        <v/>
      </c>
      <c r="AH75" s="1088">
        <f>SUM(AH76:AH80)</f>
        <v>0</v>
      </c>
      <c r="AI75" s="1091" t="str">
        <f t="shared" si="797"/>
        <v/>
      </c>
      <c r="AJ75" s="1091"/>
      <c r="AK75" s="1090">
        <f>SUM(AK76:AK80)</f>
        <v>96360</v>
      </c>
      <c r="AL75" s="1091">
        <f t="shared" si="798"/>
        <v>0.02676666667</v>
      </c>
      <c r="AM75" s="1091"/>
      <c r="AN75" s="1090">
        <f>SUM(AN76:AN80)</f>
        <v>3123.6</v>
      </c>
      <c r="AO75" s="1091">
        <f t="shared" si="799"/>
        <v>0.004676047904</v>
      </c>
      <c r="AP75" s="1091">
        <f t="shared" si="885"/>
        <v>0.005126548798</v>
      </c>
      <c r="AQ75" s="1090">
        <f t="shared" si="534"/>
        <v>3123.6</v>
      </c>
      <c r="AR75" s="1091" t="str">
        <f t="shared" si="22"/>
        <v/>
      </c>
      <c r="AS75" s="1090">
        <f t="shared" si="535"/>
        <v>-93236.4</v>
      </c>
      <c r="AT75" s="1091">
        <f t="shared" si="24"/>
        <v>-0.9675840598</v>
      </c>
      <c r="AU75" s="1088">
        <f>SUM(AU76:AU80)</f>
        <v>0</v>
      </c>
      <c r="AV75" s="1091" t="str">
        <f t="shared" si="800"/>
        <v/>
      </c>
      <c r="AW75" s="1091">
        <f t="shared" si="886"/>
        <v>0</v>
      </c>
      <c r="AX75" s="1090">
        <f>SUM(AX76:AX80)</f>
        <v>96360</v>
      </c>
      <c r="AY75" s="1091">
        <f t="shared" si="801"/>
        <v>0.02590322581</v>
      </c>
      <c r="AZ75" s="1091">
        <f t="shared" si="887"/>
        <v>0.2590357857</v>
      </c>
      <c r="BA75" s="1090">
        <f>SUM(BA76:BA80)</f>
        <v>3123.6</v>
      </c>
      <c r="BB75" s="1091">
        <f t="shared" si="802"/>
        <v>0.002629292929</v>
      </c>
      <c r="BC75" s="1091">
        <f t="shared" si="888"/>
        <v>0.002092145256</v>
      </c>
      <c r="BD75" s="1090">
        <f t="shared" si="545"/>
        <v>3123.6</v>
      </c>
      <c r="BE75" s="1091" t="str">
        <f t="shared" si="32"/>
        <v/>
      </c>
      <c r="BF75" s="1090">
        <f t="shared" si="546"/>
        <v>-93236.4</v>
      </c>
      <c r="BG75" s="1091">
        <f t="shared" si="34"/>
        <v>-0.9675840598</v>
      </c>
      <c r="BH75" s="1088">
        <f>SUM(BH76:BH80)</f>
        <v>1417000</v>
      </c>
      <c r="BI75" s="1091">
        <f t="shared" si="803"/>
        <v>0.35425</v>
      </c>
      <c r="BJ75" s="1091"/>
      <c r="BK75" s="1090">
        <f>SUM(BK76:BK80)</f>
        <v>97560</v>
      </c>
      <c r="BL75" s="1091" t="str">
        <f t="shared" si="804"/>
        <v/>
      </c>
      <c r="BM75" s="1091"/>
      <c r="BN75" s="1090">
        <f>SUM(BN76:BN80)</f>
        <v>5973.7</v>
      </c>
      <c r="BO75" s="1091">
        <f t="shared" si="805"/>
        <v>0.00229665826</v>
      </c>
      <c r="BP75" s="1091">
        <f t="shared" si="889"/>
        <v>0.005040616027</v>
      </c>
      <c r="BQ75" s="1090">
        <f t="shared" si="553"/>
        <v>-1411026.3</v>
      </c>
      <c r="BR75" s="1091">
        <f t="shared" si="39"/>
        <v>-0.9957842625</v>
      </c>
      <c r="BS75" s="1090">
        <f t="shared" si="554"/>
        <v>-91586.3</v>
      </c>
      <c r="BT75" s="1091">
        <f t="shared" si="41"/>
        <v>-0.9387689627</v>
      </c>
      <c r="BU75" s="1088">
        <f>SUM(BU76:BU80)</f>
        <v>1417000</v>
      </c>
      <c r="BV75" s="1091">
        <f t="shared" si="806"/>
        <v>0.35425</v>
      </c>
      <c r="BW75" s="1091"/>
      <c r="BX75" s="1090">
        <f>SUM(BX76:BX80)</f>
        <v>1000</v>
      </c>
      <c r="BY75" s="1091">
        <f t="shared" si="807"/>
        <v>0.0006691395925</v>
      </c>
      <c r="BZ75" s="1091"/>
      <c r="CA75" s="1090">
        <f>SUM(CA76:CA80)</f>
        <v>38179</v>
      </c>
      <c r="CB75" s="1091">
        <f t="shared" si="808"/>
        <v>0.06872016588</v>
      </c>
      <c r="CC75" s="1091">
        <f t="shared" si="890"/>
        <v>0.07101398145</v>
      </c>
      <c r="CD75" s="1090">
        <f t="shared" si="561"/>
        <v>-1378821</v>
      </c>
      <c r="CE75" s="1091">
        <f t="shared" si="46"/>
        <v>-0.9730564573</v>
      </c>
      <c r="CF75" s="1090">
        <f t="shared" si="562"/>
        <v>37179</v>
      </c>
      <c r="CG75" s="1091">
        <f t="shared" si="48"/>
        <v>37.179</v>
      </c>
      <c r="CH75" s="1088">
        <f>SUM(CH76:CH80)</f>
        <v>1417000</v>
      </c>
      <c r="CI75" s="1091">
        <f t="shared" si="809"/>
        <v>0.35425</v>
      </c>
      <c r="CJ75" s="1091"/>
      <c r="CK75" s="1090">
        <f>SUM(CK76:CK80)</f>
        <v>169000</v>
      </c>
      <c r="CL75" s="1091" t="str">
        <f t="shared" si="810"/>
        <v/>
      </c>
      <c r="CM75" s="1091"/>
      <c r="CN75" s="1090">
        <f>SUM(CN76:CN80)</f>
        <v>0</v>
      </c>
      <c r="CO75" s="1091" t="str">
        <f t="shared" si="811"/>
        <v/>
      </c>
      <c r="CP75" s="1091" t="str">
        <f t="shared" si="891"/>
        <v/>
      </c>
      <c r="CQ75" s="1090">
        <f t="shared" si="569"/>
        <v>-1417000</v>
      </c>
      <c r="CR75" s="1091">
        <f t="shared" si="53"/>
        <v>-1</v>
      </c>
      <c r="CS75" s="1090">
        <f t="shared" si="570"/>
        <v>-169000</v>
      </c>
      <c r="CT75" s="1091">
        <f t="shared" si="55"/>
        <v>-1</v>
      </c>
      <c r="CU75" s="1088">
        <f>SUM(CU76:CU80)</f>
        <v>4251000</v>
      </c>
      <c r="CV75" s="1091">
        <f t="shared" si="812"/>
        <v>0.35425</v>
      </c>
      <c r="CW75" s="1091">
        <f t="shared" si="892"/>
        <v>0.1837832369</v>
      </c>
      <c r="CX75" s="1090">
        <f>SUM(CX76:CX80)</f>
        <v>267560</v>
      </c>
      <c r="CY75" s="1091">
        <f t="shared" si="814"/>
        <v>0.1790349894</v>
      </c>
      <c r="CZ75" s="1091">
        <f t="shared" si="893"/>
        <v>0.0352867123</v>
      </c>
      <c r="DA75" s="1090">
        <f>SUM(DA76:DA80)</f>
        <v>44152.7</v>
      </c>
      <c r="DB75" s="1091">
        <f t="shared" si="816"/>
        <v>0.01398737</v>
      </c>
      <c r="DC75" s="1091">
        <f t="shared" si="894"/>
        <v>0.02562935212</v>
      </c>
      <c r="DD75" s="1090">
        <f t="shared" si="580"/>
        <v>-4206847.3</v>
      </c>
      <c r="DE75" s="1091">
        <f t="shared" si="63"/>
        <v>-0.9896135733</v>
      </c>
      <c r="DF75" s="1090">
        <f t="shared" si="581"/>
        <v>-223407.3</v>
      </c>
      <c r="DG75" s="1091">
        <f t="shared" si="65"/>
        <v>-0.8349801914</v>
      </c>
      <c r="DH75" s="1088">
        <f>SUM(DH76:DH80)</f>
        <v>4251000</v>
      </c>
      <c r="DI75" s="1091">
        <f t="shared" si="817"/>
        <v>0.35425</v>
      </c>
      <c r="DJ75" s="1091">
        <f t="shared" si="895"/>
        <v>0.182524532</v>
      </c>
      <c r="DK75" s="1090">
        <f t="shared" si="585"/>
        <v>363920</v>
      </c>
      <c r="DL75" s="1091">
        <f t="shared" si="818"/>
        <v>0.0697905911</v>
      </c>
      <c r="DM75" s="1091">
        <f t="shared" si="896"/>
        <v>0.04575047727</v>
      </c>
      <c r="DN75" s="1090">
        <f t="shared" si="588"/>
        <v>47276.3</v>
      </c>
      <c r="DO75" s="1091">
        <f t="shared" si="819"/>
        <v>0.01088159311</v>
      </c>
      <c r="DP75" s="1091">
        <f t="shared" si="897"/>
        <v>0.0147014731</v>
      </c>
      <c r="DQ75" s="1090">
        <f t="shared" si="591"/>
        <v>-4203723.7</v>
      </c>
      <c r="DR75" s="1091">
        <f t="shared" si="73"/>
        <v>-0.9888787815</v>
      </c>
      <c r="DS75" s="1090">
        <f t="shared" si="592"/>
        <v>-316643.7</v>
      </c>
      <c r="DT75" s="1091">
        <f t="shared" si="75"/>
        <v>-0.8700915036</v>
      </c>
      <c r="DU75" s="1088">
        <f>SUM(DU76:DU80)</f>
        <v>1417000</v>
      </c>
      <c r="DV75" s="1091">
        <f t="shared" si="820"/>
        <v>0.35425</v>
      </c>
      <c r="DW75" s="1091"/>
      <c r="DX75" s="1090">
        <f>SUM(DX76:DX80)</f>
        <v>1417000</v>
      </c>
      <c r="DY75" s="1091">
        <f t="shared" si="821"/>
        <v>0.2346026506</v>
      </c>
      <c r="DZ75" s="1091"/>
      <c r="EA75" s="1090">
        <f>SUM(EA76:EA80)</f>
        <v>0</v>
      </c>
      <c r="EB75" s="1091" t="str">
        <f t="shared" si="822"/>
        <v/>
      </c>
      <c r="EC75" s="1091" t="str">
        <f t="shared" si="898"/>
        <v/>
      </c>
      <c r="ED75" s="1090">
        <f t="shared" si="599"/>
        <v>-1417000</v>
      </c>
      <c r="EE75" s="1091">
        <f t="shared" si="80"/>
        <v>-1</v>
      </c>
      <c r="EF75" s="1090">
        <f t="shared" si="600"/>
        <v>-1417000</v>
      </c>
      <c r="EG75" s="1091">
        <f t="shared" si="82"/>
        <v>-1</v>
      </c>
      <c r="EH75" s="1088">
        <f>SUM(EH76:EH80)</f>
        <v>1417000</v>
      </c>
      <c r="EI75" s="1091">
        <f t="shared" si="823"/>
        <v>0.35425</v>
      </c>
      <c r="EJ75" s="1091"/>
      <c r="EK75" s="1090">
        <f>SUM(EK76:EK80)</f>
        <v>1417000</v>
      </c>
      <c r="EL75" s="1091">
        <f t="shared" si="824"/>
        <v>0.2346026506</v>
      </c>
      <c r="EM75" s="1091"/>
      <c r="EN75" s="1090">
        <f>SUM(EN76:EN80)</f>
        <v>0</v>
      </c>
      <c r="EO75" s="1091" t="str">
        <f t="shared" si="825"/>
        <v/>
      </c>
      <c r="EP75" s="1091" t="str">
        <f t="shared" si="899"/>
        <v/>
      </c>
      <c r="EQ75" s="1090">
        <f t="shared" si="607"/>
        <v>-1417000</v>
      </c>
      <c r="ER75" s="1091">
        <f t="shared" si="87"/>
        <v>-1</v>
      </c>
      <c r="ES75" s="1090">
        <f t="shared" si="608"/>
        <v>-1417000</v>
      </c>
      <c r="ET75" s="1091">
        <f t="shared" si="89"/>
        <v>-1</v>
      </c>
      <c r="EU75" s="1088">
        <f>SUM(EU76:EU80)</f>
        <v>1417000</v>
      </c>
      <c r="EV75" s="1091">
        <f t="shared" si="826"/>
        <v>0.35425</v>
      </c>
      <c r="EW75" s="1091"/>
      <c r="EX75" s="1090">
        <f>SUM(EX76:EX80)</f>
        <v>1417000</v>
      </c>
      <c r="EY75" s="1091">
        <f t="shared" si="827"/>
        <v>0.2346026506</v>
      </c>
      <c r="EZ75" s="1091"/>
      <c r="FA75" s="1090">
        <f>SUM(FA76:FA80)</f>
        <v>0</v>
      </c>
      <c r="FB75" s="1091" t="str">
        <f t="shared" si="828"/>
        <v/>
      </c>
      <c r="FC75" s="1091" t="str">
        <f t="shared" si="900"/>
        <v/>
      </c>
      <c r="FD75" s="1090">
        <f t="shared" si="616"/>
        <v>-1417000</v>
      </c>
      <c r="FE75" s="1091">
        <f t="shared" si="94"/>
        <v>-1</v>
      </c>
      <c r="FF75" s="1090">
        <f t="shared" si="617"/>
        <v>-1417000</v>
      </c>
      <c r="FG75" s="1091">
        <f t="shared" si="96"/>
        <v>-1</v>
      </c>
      <c r="FH75" s="1088">
        <f>SUM(FH76:FH80)</f>
        <v>4251000</v>
      </c>
      <c r="FI75" s="1091">
        <f t="shared" si="829"/>
        <v>0.35425</v>
      </c>
      <c r="FJ75" s="1091">
        <f t="shared" si="901"/>
        <v>0.1837832369</v>
      </c>
      <c r="FK75" s="1090">
        <f t="shared" si="621"/>
        <v>4251000</v>
      </c>
      <c r="FL75" s="1091">
        <f t="shared" si="830"/>
        <v>0.2346026506</v>
      </c>
      <c r="FM75" s="1091">
        <f t="shared" si="902"/>
        <v>0.1837832369</v>
      </c>
      <c r="FN75" s="1090">
        <f t="shared" si="624"/>
        <v>0</v>
      </c>
      <c r="FO75" s="1091" t="str">
        <f t="shared" si="831"/>
        <v/>
      </c>
      <c r="FP75" s="1091" t="str">
        <f t="shared" si="903"/>
        <v/>
      </c>
      <c r="FQ75" s="1090">
        <f t="shared" si="627"/>
        <v>-4251000</v>
      </c>
      <c r="FR75" s="1091">
        <f t="shared" si="104"/>
        <v>-1</v>
      </c>
      <c r="FS75" s="1090">
        <f t="shared" si="628"/>
        <v>-4251000</v>
      </c>
      <c r="FT75" s="1091">
        <f t="shared" si="106"/>
        <v>-1</v>
      </c>
      <c r="FU75" s="1088">
        <f>SUM(FU76:FU80)</f>
        <v>1417000</v>
      </c>
      <c r="FV75" s="1091">
        <f t="shared" si="832"/>
        <v>0.35425</v>
      </c>
      <c r="FW75" s="1091"/>
      <c r="FX75" s="1090">
        <f>SUM(FX76:FX80)</f>
        <v>1417000</v>
      </c>
      <c r="FY75" s="1091">
        <f t="shared" si="833"/>
        <v>0.2346026506</v>
      </c>
      <c r="FZ75" s="1091"/>
      <c r="GA75" s="1090">
        <f>SUM(GA76:GA80)</f>
        <v>0</v>
      </c>
      <c r="GB75" s="1091" t="str">
        <f t="shared" si="834"/>
        <v/>
      </c>
      <c r="GC75" s="1091" t="str">
        <f t="shared" si="904"/>
        <v/>
      </c>
      <c r="GD75" s="1090">
        <f t="shared" si="635"/>
        <v>-1417000</v>
      </c>
      <c r="GE75" s="1091">
        <f t="shared" si="111"/>
        <v>-1</v>
      </c>
      <c r="GF75" s="1090">
        <f t="shared" si="636"/>
        <v>-1417000</v>
      </c>
      <c r="GG75" s="1091">
        <f t="shared" si="113"/>
        <v>-1</v>
      </c>
      <c r="GH75" s="1088">
        <f>SUM(GH76:GH80)</f>
        <v>1417000</v>
      </c>
      <c r="GI75" s="1091">
        <f t="shared" si="835"/>
        <v>0.35425</v>
      </c>
      <c r="GJ75" s="1091"/>
      <c r="GK75" s="1090">
        <f>SUM(GK76:GK80)</f>
        <v>1417000</v>
      </c>
      <c r="GL75" s="1091">
        <f t="shared" si="836"/>
        <v>0.2346026506</v>
      </c>
      <c r="GM75" s="1091"/>
      <c r="GN75" s="1090">
        <f>SUM(GN76:GN80)</f>
        <v>0</v>
      </c>
      <c r="GO75" s="1091" t="str">
        <f t="shared" si="837"/>
        <v/>
      </c>
      <c r="GP75" s="1091" t="str">
        <f t="shared" si="905"/>
        <v/>
      </c>
      <c r="GQ75" s="1090">
        <f t="shared" si="643"/>
        <v>-1417000</v>
      </c>
      <c r="GR75" s="1091">
        <f t="shared" si="118"/>
        <v>-1</v>
      </c>
      <c r="GS75" s="1090">
        <f t="shared" si="644"/>
        <v>-1417000</v>
      </c>
      <c r="GT75" s="1091">
        <f t="shared" si="120"/>
        <v>-1</v>
      </c>
      <c r="GU75" s="1088">
        <f>SUM(GU76:GU80)</f>
        <v>1417000</v>
      </c>
      <c r="GV75" s="1091">
        <f t="shared" si="838"/>
        <v>0.35425</v>
      </c>
      <c r="GW75" s="1091"/>
      <c r="GX75" s="1090">
        <f>SUM(GX76:GX80)</f>
        <v>1417000</v>
      </c>
      <c r="GY75" s="1091">
        <f t="shared" si="839"/>
        <v>0.2346026506</v>
      </c>
      <c r="GZ75" s="1091"/>
      <c r="HA75" s="1090">
        <f>SUM(HA76:HA80)</f>
        <v>0</v>
      </c>
      <c r="HB75" s="1091" t="str">
        <f t="shared" si="840"/>
        <v/>
      </c>
      <c r="HC75" s="1091" t="str">
        <f t="shared" si="906"/>
        <v/>
      </c>
      <c r="HD75" s="1090">
        <f t="shared" si="651"/>
        <v>-1417000</v>
      </c>
      <c r="HE75" s="1091">
        <f t="shared" si="125"/>
        <v>-1</v>
      </c>
      <c r="HF75" s="1090">
        <f t="shared" si="652"/>
        <v>-1417000</v>
      </c>
      <c r="HG75" s="1091">
        <f t="shared" si="127"/>
        <v>-1</v>
      </c>
      <c r="HH75" s="1088">
        <f>SUM(HH76:HH80)</f>
        <v>4251000</v>
      </c>
      <c r="HI75" s="1091">
        <f t="shared" si="841"/>
        <v>0.35425</v>
      </c>
      <c r="HJ75" s="1091">
        <f t="shared" si="907"/>
        <v>0.1837832369</v>
      </c>
      <c r="HK75" s="1090">
        <f t="shared" si="656"/>
        <v>4251000</v>
      </c>
      <c r="HL75" s="1091">
        <f t="shared" si="842"/>
        <v>0.2346026506</v>
      </c>
      <c r="HM75" s="1091">
        <f t="shared" si="908"/>
        <v>0.1837832369</v>
      </c>
      <c r="HN75" s="1090">
        <f t="shared" si="659"/>
        <v>0</v>
      </c>
      <c r="HO75" s="1091" t="str">
        <f t="shared" si="843"/>
        <v/>
      </c>
      <c r="HP75" s="1091" t="str">
        <f t="shared" si="909"/>
        <v/>
      </c>
      <c r="HQ75" s="1090">
        <f t="shared" si="662"/>
        <v>-4251000</v>
      </c>
      <c r="HR75" s="1091">
        <f t="shared" si="135"/>
        <v>-1</v>
      </c>
      <c r="HS75" s="1090">
        <f t="shared" si="663"/>
        <v>-4251000</v>
      </c>
      <c r="HT75" s="1091">
        <f t="shared" si="137"/>
        <v>-1</v>
      </c>
      <c r="HU75" s="1088">
        <f>SUM(HU76:HU80)</f>
        <v>8502000</v>
      </c>
      <c r="HV75" s="1091">
        <f t="shared" si="844"/>
        <v>0.35425</v>
      </c>
      <c r="HW75" s="1091">
        <f t="shared" si="910"/>
        <v>0.1837832369</v>
      </c>
      <c r="HX75" s="1090">
        <f t="shared" si="667"/>
        <v>8502000</v>
      </c>
      <c r="HY75" s="1091">
        <f t="shared" si="845"/>
        <v>0.2346026506</v>
      </c>
      <c r="HZ75" s="1091">
        <f t="shared" si="911"/>
        <v>0.1837832369</v>
      </c>
      <c r="IA75" s="1090">
        <f t="shared" si="670"/>
        <v>0</v>
      </c>
      <c r="IB75" s="1091" t="str">
        <f t="shared" si="846"/>
        <v/>
      </c>
      <c r="IC75" s="1091" t="str">
        <f t="shared" si="912"/>
        <v/>
      </c>
      <c r="ID75" s="1090">
        <f t="shared" si="673"/>
        <v>-8502000</v>
      </c>
      <c r="IE75" s="1091">
        <f t="shared" si="145"/>
        <v>-1</v>
      </c>
      <c r="IF75" s="1090">
        <f t="shared" si="674"/>
        <v>-8502000</v>
      </c>
      <c r="IG75" s="1091">
        <f t="shared" si="147"/>
        <v>-1</v>
      </c>
      <c r="IH75" s="1088">
        <f>SUM(IH76:IH80)</f>
        <v>12753000</v>
      </c>
      <c r="II75" s="1091">
        <f t="shared" si="847"/>
        <v>0.35425</v>
      </c>
      <c r="IJ75" s="1091">
        <f t="shared" si="913"/>
        <v>0.1833617441</v>
      </c>
      <c r="IK75" s="1090">
        <f t="shared" si="678"/>
        <v>8865920</v>
      </c>
      <c r="IL75" s="1091">
        <f t="shared" si="848"/>
        <v>0.2138713375</v>
      </c>
      <c r="IM75" s="1091">
        <f t="shared" si="914"/>
        <v>0.1635311763</v>
      </c>
      <c r="IN75" s="1090">
        <f t="shared" si="681"/>
        <v>47276.3</v>
      </c>
      <c r="IO75" s="1091">
        <f t="shared" si="849"/>
        <v>0.01088159311</v>
      </c>
      <c r="IP75" s="1091">
        <f t="shared" si="915"/>
        <v>0.0147014731</v>
      </c>
      <c r="IQ75" s="1090">
        <f t="shared" si="684"/>
        <v>-12705723.7</v>
      </c>
      <c r="IR75" s="1091">
        <f t="shared" si="1"/>
        <v>-0.9962929272</v>
      </c>
      <c r="IS75" s="1090">
        <f t="shared" si="685"/>
        <v>-8818643.7</v>
      </c>
      <c r="IT75" s="1091">
        <f t="shared" si="2"/>
        <v>-0.9946676374</v>
      </c>
    </row>
    <row r="76" outlineLevel="1">
      <c r="A76" s="737"/>
      <c r="B76" s="737"/>
      <c r="C76" s="737"/>
      <c r="D76" s="744" t="s">
        <v>2838</v>
      </c>
      <c r="E76" s="1148" t="s">
        <v>612</v>
      </c>
      <c r="F76" s="737"/>
      <c r="G76" s="748">
        <v>3.0</v>
      </c>
      <c r="H76" s="1146">
        <f>SUMIFS(BP_SOTIEN,BP_THANG,H$2,BP_KM,$E76)/1000</f>
        <v>0</v>
      </c>
      <c r="I76" s="1091" t="str">
        <f t="shared" si="791"/>
        <v/>
      </c>
      <c r="J76" s="1091"/>
      <c r="K76" s="1147">
        <f>IF(NOW()&gt;=DATE(YEAR(H$2),MONTH(H$2)+1,DAY(H$2)),SUMIFS(TF_SOTIEN,TF_THANG,H$2,TF_KM,$E76)/1000, N76)</f>
        <v>0</v>
      </c>
      <c r="L76" s="1091">
        <f t="shared" si="792"/>
        <v>0</v>
      </c>
      <c r="M76" s="1091"/>
      <c r="N76" s="1147">
        <f>IF(NOW()&gt;=DATE(YEAR(H$2),MONTH(H$2)+1,DAY(H$2)),SUMIFS(AC_SOTIEN,AC_THANG,H$2,AC_KM,$E76),SUMIFS(TF_SOTIEN,TF_THANG,H$2,TF_KM,$E76))/ 1000</f>
        <v>0</v>
      </c>
      <c r="O76" s="1091">
        <f t="shared" si="793"/>
        <v>0</v>
      </c>
      <c r="P76" s="1091">
        <f t="shared" si="883"/>
        <v>0</v>
      </c>
      <c r="Q76" s="1147">
        <f t="shared" si="518"/>
        <v>0</v>
      </c>
      <c r="R76" s="1091" t="str">
        <f t="shared" si="8"/>
        <v/>
      </c>
      <c r="S76" s="1147">
        <f t="shared" si="519"/>
        <v>0</v>
      </c>
      <c r="T76" s="1091" t="str">
        <f t="shared" si="10"/>
        <v/>
      </c>
      <c r="U76" s="1146">
        <f>SUMIFS(BP_SOTIEN,BP_THANG,U$2,BP_KM,$E76)/1000</f>
        <v>0</v>
      </c>
      <c r="V76" s="1091" t="str">
        <f t="shared" si="794"/>
        <v/>
      </c>
      <c r="W76" s="1091"/>
      <c r="X76" s="1147">
        <f>IF(NOW()&gt;=DATE(YEAR(U$2),MONTH(U$2)+1,DAY(U$2)),SUMIFS(TF_SOTIEN,TF_THANG,U$2,TF_KM,$E76)/1000, AA76)</f>
        <v>0</v>
      </c>
      <c r="Y76" s="1091" t="str">
        <f t="shared" si="795"/>
        <v/>
      </c>
      <c r="Z76" s="1091"/>
      <c r="AA76" s="1147">
        <f>IF(NOW()&gt;=DATE(YEAR(U$2),MONTH(U$2)+1,DAY(U$2)),SUMIFS(AC_SOTIEN,AC_THANG,U$2,AC_KM,$E76),SUMIFS(TF_SOTIEN,TF_THANG,U$2,TF_KM,$E76))/ 1000</f>
        <v>0</v>
      </c>
      <c r="AB76" s="1091">
        <f t="shared" si="796"/>
        <v>0</v>
      </c>
      <c r="AC76" s="1091">
        <f t="shared" si="884"/>
        <v>0</v>
      </c>
      <c r="AD76" s="1147">
        <f t="shared" si="526"/>
        <v>0</v>
      </c>
      <c r="AE76" s="1091" t="str">
        <f t="shared" si="15"/>
        <v/>
      </c>
      <c r="AF76" s="1147">
        <f t="shared" si="527"/>
        <v>0</v>
      </c>
      <c r="AG76" s="1091" t="str">
        <f t="shared" si="17"/>
        <v/>
      </c>
      <c r="AH76" s="1146">
        <f>SUMIFS(BP_SOTIEN,BP_THANG,AH$2,BP_KM,$E76)/1000</f>
        <v>0</v>
      </c>
      <c r="AI76" s="1091" t="str">
        <f t="shared" si="797"/>
        <v/>
      </c>
      <c r="AJ76" s="1091"/>
      <c r="AK76" s="1147">
        <f>IF(NOW()&gt;=DATE(YEAR(AH$2),MONTH(AH$2)+1,DAY(AH$2)),SUMIFS(TF_SOTIEN,TF_THANG,AH$2,TF_KM,$E76)/1000, AN76)</f>
        <v>0</v>
      </c>
      <c r="AL76" s="1091">
        <f t="shared" si="798"/>
        <v>0</v>
      </c>
      <c r="AM76" s="1091"/>
      <c r="AN76" s="1147">
        <f>IF(NOW()&gt;=DATE(YEAR(AH$2),MONTH(AH$2)+1,DAY(AH$2)),SUMIFS(AC_SOTIEN,AC_THANG,AH$2,AC_KM,$E76),SUMIFS(TF_SOTIEN,TF_THANG,AH$2,TF_KM,$E76))/ 1000</f>
        <v>3123.6</v>
      </c>
      <c r="AO76" s="1091">
        <f t="shared" si="799"/>
        <v>0.004676047904</v>
      </c>
      <c r="AP76" s="1091">
        <f t="shared" si="885"/>
        <v>0.005126548798</v>
      </c>
      <c r="AQ76" s="1147">
        <f t="shared" si="534"/>
        <v>3123.6</v>
      </c>
      <c r="AR76" s="1091" t="str">
        <f t="shared" si="22"/>
        <v/>
      </c>
      <c r="AS76" s="1147">
        <f t="shared" si="535"/>
        <v>3123.6</v>
      </c>
      <c r="AT76" s="1091" t="str">
        <f t="shared" si="24"/>
        <v/>
      </c>
      <c r="AU76" s="1146">
        <f t="shared" ref="AU76:AU118" si="916">SUMIF(H$3:AT$3,AU$3,H76:AT76)</f>
        <v>0</v>
      </c>
      <c r="AV76" s="1091" t="str">
        <f t="shared" si="800"/>
        <v/>
      </c>
      <c r="AW76" s="1091">
        <f t="shared" si="886"/>
        <v>0</v>
      </c>
      <c r="AX76" s="1147">
        <f t="shared" ref="AX76:AX118" si="917">SUMIF(H$3:AT$3,AX$3,H76:AT76)</f>
        <v>0</v>
      </c>
      <c r="AY76" s="1091">
        <f t="shared" si="801"/>
        <v>0</v>
      </c>
      <c r="AZ76" s="1091">
        <f t="shared" si="887"/>
        <v>0</v>
      </c>
      <c r="BA76" s="1147">
        <f t="shared" ref="BA76:BA118" si="918">SUMIF(H$3:AT$3,"AC",H76:AT76)+SUMIF(H$3:AT$3,"TF",H76:AT76)</f>
        <v>3123.6</v>
      </c>
      <c r="BB76" s="1091">
        <f t="shared" si="802"/>
        <v>0.002629292929</v>
      </c>
      <c r="BC76" s="1091">
        <f t="shared" si="888"/>
        <v>0.002092145256</v>
      </c>
      <c r="BD76" s="1147">
        <f t="shared" si="545"/>
        <v>3123.6</v>
      </c>
      <c r="BE76" s="1091" t="str">
        <f t="shared" si="32"/>
        <v/>
      </c>
      <c r="BF76" s="1147">
        <f t="shared" si="546"/>
        <v>3123.6</v>
      </c>
      <c r="BG76" s="1091" t="str">
        <f t="shared" si="34"/>
        <v/>
      </c>
      <c r="BH76" s="1146">
        <f>SUMIFS(BP_SOTIEN,BP_THANG,BH$2,BP_KM,$E76)/1000</f>
        <v>0</v>
      </c>
      <c r="BI76" s="1091">
        <f t="shared" si="803"/>
        <v>0</v>
      </c>
      <c r="BJ76" s="1091"/>
      <c r="BK76" s="1147">
        <f>IF(NOW()&gt;=DATE(YEAR(BH$2),MONTH(BH$2)+1,DAY(BH$2)),SUMIFS(TF_SOTIEN,TF_THANG,BH$2,TF_KM,$E76)/1000, BN76)</f>
        <v>0</v>
      </c>
      <c r="BL76" s="1091" t="str">
        <f t="shared" si="804"/>
        <v/>
      </c>
      <c r="BM76" s="1091"/>
      <c r="BN76" s="1147">
        <f>IF(NOW()&gt;=DATE(YEAR(BH$2),MONTH(BH$2)+1,DAY(BH$2)),SUMIFS(AC_SOTIEN,AC_THANG,BH$2,AC_KM,$E76),SUMIFS(TF_SOTIEN,TF_THANG,BH$2,TF_KM,$E76))/ 1000</f>
        <v>5973.7</v>
      </c>
      <c r="BO76" s="1091">
        <f t="shared" si="805"/>
        <v>0.00229665826</v>
      </c>
      <c r="BP76" s="1091">
        <f t="shared" si="889"/>
        <v>0.005040616027</v>
      </c>
      <c r="BQ76" s="1147">
        <f t="shared" si="553"/>
        <v>5973.7</v>
      </c>
      <c r="BR76" s="1091" t="str">
        <f t="shared" si="39"/>
        <v/>
      </c>
      <c r="BS76" s="1147">
        <f t="shared" si="554"/>
        <v>5973.7</v>
      </c>
      <c r="BT76" s="1091" t="str">
        <f t="shared" si="41"/>
        <v/>
      </c>
      <c r="BU76" s="1146">
        <f>SUMIFS(BP_SOTIEN,BP_THANG,BU$2,BP_KM,$E76)/1000</f>
        <v>0</v>
      </c>
      <c r="BV76" s="1091">
        <f t="shared" si="806"/>
        <v>0</v>
      </c>
      <c r="BW76" s="1091"/>
      <c r="BX76" s="1147">
        <f>IF(NOW()&gt;=DATE(YEAR(BU$2),MONTH(BU$2)+1,DAY(BU$2)),SUMIFS(TF_SOTIEN,TF_THANG,BU$2,TF_KM,$E76)/1000, CA76)</f>
        <v>0</v>
      </c>
      <c r="BY76" s="1091">
        <f t="shared" si="807"/>
        <v>0</v>
      </c>
      <c r="BZ76" s="1091"/>
      <c r="CA76" s="1147">
        <f>IF(NOW()&gt;=DATE(YEAR(BU$2),MONTH(BU$2)+1,DAY(BU$2)),SUMIFS(AC_SOTIEN,AC_THANG,BU$2,AC_KM,$E76),SUMIFS(TF_SOTIEN,TF_THANG,BU$2,TF_KM,$E76))/ 1000</f>
        <v>21000</v>
      </c>
      <c r="CB76" s="1091">
        <f t="shared" si="808"/>
        <v>0.03779888115</v>
      </c>
      <c r="CC76" s="1091">
        <f t="shared" si="890"/>
        <v>0.03906057284</v>
      </c>
      <c r="CD76" s="1147">
        <f t="shared" si="561"/>
        <v>21000</v>
      </c>
      <c r="CE76" s="1091" t="str">
        <f t="shared" si="46"/>
        <v/>
      </c>
      <c r="CF76" s="1147">
        <f t="shared" si="562"/>
        <v>21000</v>
      </c>
      <c r="CG76" s="1091" t="str">
        <f t="shared" si="48"/>
        <v/>
      </c>
      <c r="CH76" s="1146">
        <f>SUMIFS(BP_SOTIEN,BP_THANG,CH$2,BP_KM,$E76)/1000</f>
        <v>0</v>
      </c>
      <c r="CI76" s="1091">
        <f t="shared" si="809"/>
        <v>0</v>
      </c>
      <c r="CJ76" s="1091"/>
      <c r="CK76" s="1147">
        <f>IF(NOW()&gt;=DATE(YEAR(CH$2),MONTH(CH$2)+1,DAY(CH$2)),SUMIFS(TF_SOTIEN,TF_THANG,CH$2,TF_KM,$E76)/1000, CN76)</f>
        <v>0</v>
      </c>
      <c r="CL76" s="1091" t="str">
        <f t="shared" si="810"/>
        <v/>
      </c>
      <c r="CM76" s="1091"/>
      <c r="CN76" s="1147">
        <f>IF(NOW()&gt;=DATE(YEAR(CH$2),MONTH(CH$2)+1,DAY(CH$2)),SUMIFS(AC_SOTIEN,AC_THANG,CH$2,AC_KM,$E76),SUMIFS(TF_SOTIEN,TF_THANG,CH$2,TF_KM,$E76))/ 1000</f>
        <v>0</v>
      </c>
      <c r="CO76" s="1091" t="str">
        <f t="shared" si="811"/>
        <v/>
      </c>
      <c r="CP76" s="1091" t="str">
        <f t="shared" si="891"/>
        <v/>
      </c>
      <c r="CQ76" s="1147">
        <f t="shared" si="569"/>
        <v>0</v>
      </c>
      <c r="CR76" s="1091" t="str">
        <f t="shared" si="53"/>
        <v/>
      </c>
      <c r="CS76" s="1147">
        <f t="shared" si="570"/>
        <v>0</v>
      </c>
      <c r="CT76" s="1091" t="str">
        <f t="shared" si="55"/>
        <v/>
      </c>
      <c r="CU76" s="1146">
        <f t="shared" ref="CU76:CU118" si="919">SUMIF(BH$3:CT$3,CU$3,BH76:CT76)</f>
        <v>0</v>
      </c>
      <c r="CV76" s="1091">
        <f t="shared" si="812"/>
        <v>0</v>
      </c>
      <c r="CW76" s="1091">
        <f t="shared" si="892"/>
        <v>0</v>
      </c>
      <c r="CX76" s="1147">
        <f t="shared" ref="CX76:CX118" si="920">SUMIF(BH$3:CT$3,CX$3,BH76:CT76)</f>
        <v>0</v>
      </c>
      <c r="CY76" s="1091">
        <f t="shared" si="814"/>
        <v>0</v>
      </c>
      <c r="CZ76" s="1091">
        <f t="shared" si="893"/>
        <v>0</v>
      </c>
      <c r="DA76" s="1147">
        <f t="shared" ref="DA76:DA118" si="921">SUMIF(BH$3:CT$3,"AC",BH76:CT76)+SUMIF(BH$3:CT$3,"TF",BH76:CT76)</f>
        <v>26973.7</v>
      </c>
      <c r="DB76" s="1091">
        <f t="shared" si="816"/>
        <v>0.008545142704</v>
      </c>
      <c r="DC76" s="1091">
        <f t="shared" si="894"/>
        <v>0.01565744463</v>
      </c>
      <c r="DD76" s="1147">
        <f t="shared" si="580"/>
        <v>26973.7</v>
      </c>
      <c r="DE76" s="1091" t="str">
        <f t="shared" si="63"/>
        <v/>
      </c>
      <c r="DF76" s="1147">
        <f t="shared" si="581"/>
        <v>26973.7</v>
      </c>
      <c r="DG76" s="1091" t="str">
        <f t="shared" si="65"/>
        <v/>
      </c>
      <c r="DH76" s="1146">
        <f t="shared" ref="DH76:DH118" si="922">AU76+CU76</f>
        <v>0</v>
      </c>
      <c r="DI76" s="1091">
        <f t="shared" si="817"/>
        <v>0</v>
      </c>
      <c r="DJ76" s="1091">
        <f t="shared" si="895"/>
        <v>0</v>
      </c>
      <c r="DK76" s="1147">
        <f t="shared" si="585"/>
        <v>0</v>
      </c>
      <c r="DL76" s="1091">
        <f t="shared" si="818"/>
        <v>0</v>
      </c>
      <c r="DM76" s="1091">
        <f t="shared" si="896"/>
        <v>0</v>
      </c>
      <c r="DN76" s="1147">
        <f t="shared" si="588"/>
        <v>30097.3</v>
      </c>
      <c r="DO76" s="1091">
        <f t="shared" si="819"/>
        <v>0.006927500085</v>
      </c>
      <c r="DP76" s="1091">
        <f t="shared" si="897"/>
        <v>0.009359333247</v>
      </c>
      <c r="DQ76" s="1147">
        <f t="shared" si="591"/>
        <v>30097.3</v>
      </c>
      <c r="DR76" s="1091" t="str">
        <f t="shared" si="73"/>
        <v/>
      </c>
      <c r="DS76" s="1147">
        <f t="shared" si="592"/>
        <v>30097.3</v>
      </c>
      <c r="DT76" s="1091" t="str">
        <f t="shared" si="75"/>
        <v/>
      </c>
      <c r="DU76" s="1146">
        <f>SUMIFS(BP_SOTIEN,BP_THANG,DU$2,BP_KM,$E76)/1000</f>
        <v>0</v>
      </c>
      <c r="DV76" s="1091">
        <f t="shared" si="820"/>
        <v>0</v>
      </c>
      <c r="DW76" s="1091"/>
      <c r="DX76" s="1147">
        <f>IF(NOW()&gt;=DATE(YEAR(DU$2),MONTH(DU$2)+1,DAY(DU$2)),SUMIFS(TF_SOTIEN,TF_THANG,DU$2,TF_KM,$E76)/1000, EA76)</f>
        <v>0</v>
      </c>
      <c r="DY76" s="1091">
        <f t="shared" si="821"/>
        <v>0</v>
      </c>
      <c r="DZ76" s="1091"/>
      <c r="EA76" s="1147">
        <f>IF(NOW()&gt;=DATE(YEAR(DU$2),MONTH(DU$2)+1,DAY(DU$2)),SUMIFS(AC_SOTIEN,AC_THANG,DU$2,AC_KM,$E76),SUMIFS(TF_SOTIEN,TF_THANG,DU$2,TF_KM,$E76))/ 1000</f>
        <v>0</v>
      </c>
      <c r="EB76" s="1091" t="str">
        <f t="shared" si="822"/>
        <v/>
      </c>
      <c r="EC76" s="1091" t="str">
        <f t="shared" si="898"/>
        <v/>
      </c>
      <c r="ED76" s="1147">
        <f t="shared" si="599"/>
        <v>0</v>
      </c>
      <c r="EE76" s="1091" t="str">
        <f t="shared" si="80"/>
        <v/>
      </c>
      <c r="EF76" s="1147">
        <f t="shared" si="600"/>
        <v>0</v>
      </c>
      <c r="EG76" s="1091" t="str">
        <f t="shared" si="82"/>
        <v/>
      </c>
      <c r="EH76" s="1146">
        <f>SUMIFS(BP_SOTIEN,BP_THANG,EH$2,BP_KM,$E76)/1000</f>
        <v>0</v>
      </c>
      <c r="EI76" s="1091">
        <f t="shared" si="823"/>
        <v>0</v>
      </c>
      <c r="EJ76" s="1091"/>
      <c r="EK76" s="1147">
        <f>IF(NOW()&gt;=DATE(YEAR(EH$2),MONTH(EH$2)+1,DAY(EH$2)),SUMIFS(TF_SOTIEN,TF_THANG,EH$2,TF_KM,$E76)/1000, EN76)</f>
        <v>0</v>
      </c>
      <c r="EL76" s="1091">
        <f t="shared" si="824"/>
        <v>0</v>
      </c>
      <c r="EM76" s="1091"/>
      <c r="EN76" s="1147">
        <f>IF(NOW()&gt;=DATE(YEAR(EH$2),MONTH(EH$2)+1,DAY(EH$2)),SUMIFS(AC_SOTIEN,AC_THANG,EH$2,AC_KM,$E76),SUMIFS(TF_SOTIEN,TF_THANG,EH$2,TF_KM,$E76))/ 1000</f>
        <v>0</v>
      </c>
      <c r="EO76" s="1091" t="str">
        <f t="shared" si="825"/>
        <v/>
      </c>
      <c r="EP76" s="1091" t="str">
        <f t="shared" si="899"/>
        <v/>
      </c>
      <c r="EQ76" s="1147">
        <f t="shared" si="607"/>
        <v>0</v>
      </c>
      <c r="ER76" s="1091" t="str">
        <f t="shared" si="87"/>
        <v/>
      </c>
      <c r="ES76" s="1147">
        <f t="shared" si="608"/>
        <v>0</v>
      </c>
      <c r="ET76" s="1091" t="str">
        <f t="shared" si="89"/>
        <v/>
      </c>
      <c r="EU76" s="1146">
        <f>SUMIFS(BP_SOTIEN,BP_THANG,EU$2,BP_KM,$E76)/1000</f>
        <v>0</v>
      </c>
      <c r="EV76" s="1091">
        <f t="shared" si="826"/>
        <v>0</v>
      </c>
      <c r="EW76" s="1091"/>
      <c r="EX76" s="1147">
        <f>IF(NOW()&gt;=DATE(YEAR(EU$2),MONTH(EU$2)+1,DAY(EU$2)),SUMIFS(TF_SOTIEN,TF_THANG,EU$2,TF_KM,$E76)/1000, FA76)</f>
        <v>0</v>
      </c>
      <c r="EY76" s="1091">
        <f t="shared" si="827"/>
        <v>0</v>
      </c>
      <c r="EZ76" s="1091"/>
      <c r="FA76" s="1147">
        <f>IF(NOW()&gt;=DATE(YEAR(EU$2),MONTH(EU$2)+1,DAY(EU$2)),SUMIFS(AC_SOTIEN,AC_THANG,EU$2,AC_KM,$E76),SUMIFS(TF_SOTIEN,TF_THANG,EU$2,TF_KM,$E76))/ 1000</f>
        <v>0</v>
      </c>
      <c r="FB76" s="1091" t="str">
        <f t="shared" si="828"/>
        <v/>
      </c>
      <c r="FC76" s="1091" t="str">
        <f t="shared" si="900"/>
        <v/>
      </c>
      <c r="FD76" s="1147">
        <f t="shared" si="616"/>
        <v>0</v>
      </c>
      <c r="FE76" s="1091" t="str">
        <f t="shared" si="94"/>
        <v/>
      </c>
      <c r="FF76" s="1147">
        <f t="shared" si="617"/>
        <v>0</v>
      </c>
      <c r="FG76" s="1091" t="str">
        <f t="shared" si="96"/>
        <v/>
      </c>
      <c r="FH76" s="1146">
        <f t="shared" ref="FH76:FH121" si="923">SUMIF(DU$3:FG$3,FH$3,DU76:FG76)</f>
        <v>0</v>
      </c>
      <c r="FI76" s="1091">
        <f t="shared" si="829"/>
        <v>0</v>
      </c>
      <c r="FJ76" s="1091">
        <f t="shared" si="901"/>
        <v>0</v>
      </c>
      <c r="FK76" s="1147">
        <f t="shared" si="621"/>
        <v>0</v>
      </c>
      <c r="FL76" s="1091">
        <f t="shared" si="830"/>
        <v>0</v>
      </c>
      <c r="FM76" s="1091">
        <f t="shared" si="902"/>
        <v>0</v>
      </c>
      <c r="FN76" s="1147">
        <f t="shared" si="624"/>
        <v>0</v>
      </c>
      <c r="FO76" s="1091" t="str">
        <f t="shared" si="831"/>
        <v/>
      </c>
      <c r="FP76" s="1091" t="str">
        <f t="shared" si="903"/>
        <v/>
      </c>
      <c r="FQ76" s="1147">
        <f t="shared" si="627"/>
        <v>0</v>
      </c>
      <c r="FR76" s="1091" t="str">
        <f t="shared" si="104"/>
        <v/>
      </c>
      <c r="FS76" s="1147">
        <f t="shared" si="628"/>
        <v>0</v>
      </c>
      <c r="FT76" s="1091" t="str">
        <f t="shared" si="106"/>
        <v/>
      </c>
      <c r="FU76" s="1146">
        <f>SUMIFS(BP_SOTIEN,BP_THANG,FU$2,BP_KM,$E76)/1000</f>
        <v>0</v>
      </c>
      <c r="FV76" s="1091">
        <f t="shared" si="832"/>
        <v>0</v>
      </c>
      <c r="FW76" s="1091"/>
      <c r="FX76" s="1147">
        <f>IF(NOW()&gt;=DATE(YEAR(FU$2),MONTH(FU$2)+1,DAY(FU$2)),SUMIFS(TF_SOTIEN,TF_THANG,FU$2,TF_KM,$E76)/1000, GA76)</f>
        <v>0</v>
      </c>
      <c r="FY76" s="1091">
        <f t="shared" si="833"/>
        <v>0</v>
      </c>
      <c r="FZ76" s="1091"/>
      <c r="GA76" s="1147">
        <f>IF(NOW()&gt;=DATE(YEAR(FU$2),MONTH(FU$2)+1,DAY(FU$2)),SUMIFS(AC_SOTIEN,AC_THANG,FU$2,AC_KM,$E76),SUMIFS(TF_SOTIEN,TF_THANG,FU$2,TF_KM,$E76))/ 1000</f>
        <v>0</v>
      </c>
      <c r="GB76" s="1091" t="str">
        <f t="shared" si="834"/>
        <v/>
      </c>
      <c r="GC76" s="1091" t="str">
        <f t="shared" si="904"/>
        <v/>
      </c>
      <c r="GD76" s="1147">
        <f t="shared" si="635"/>
        <v>0</v>
      </c>
      <c r="GE76" s="1091" t="str">
        <f t="shared" si="111"/>
        <v/>
      </c>
      <c r="GF76" s="1147">
        <f t="shared" si="636"/>
        <v>0</v>
      </c>
      <c r="GG76" s="1091" t="str">
        <f t="shared" si="113"/>
        <v/>
      </c>
      <c r="GH76" s="1146">
        <f>SUMIFS(BP_SOTIEN,BP_THANG,GH$2,BP_KM,$E76)/1000</f>
        <v>0</v>
      </c>
      <c r="GI76" s="1091">
        <f t="shared" si="835"/>
        <v>0</v>
      </c>
      <c r="GJ76" s="1091"/>
      <c r="GK76" s="1147">
        <f>IF(NOW()&gt;=DATE(YEAR(GH$2),MONTH(GH$2)+1,DAY(GH$2)),SUMIFS(TF_SOTIEN,TF_THANG,GH$2,TF_KM,$E76)/1000, GN76)</f>
        <v>0</v>
      </c>
      <c r="GL76" s="1091">
        <f t="shared" si="836"/>
        <v>0</v>
      </c>
      <c r="GM76" s="1091"/>
      <c r="GN76" s="1147">
        <f>IF(NOW()&gt;=DATE(YEAR(GH$2),MONTH(GH$2)+1,DAY(GH$2)),SUMIFS(AC_SOTIEN,AC_THANG,GH$2,AC_KM,$E76),SUMIFS(TF_SOTIEN,TF_THANG,GH$2,TF_KM,$E76))/ 1000</f>
        <v>0</v>
      </c>
      <c r="GO76" s="1091" t="str">
        <f t="shared" si="837"/>
        <v/>
      </c>
      <c r="GP76" s="1091" t="str">
        <f t="shared" si="905"/>
        <v/>
      </c>
      <c r="GQ76" s="1147">
        <f t="shared" si="643"/>
        <v>0</v>
      </c>
      <c r="GR76" s="1091" t="str">
        <f t="shared" si="118"/>
        <v/>
      </c>
      <c r="GS76" s="1147">
        <f t="shared" si="644"/>
        <v>0</v>
      </c>
      <c r="GT76" s="1091" t="str">
        <f t="shared" si="120"/>
        <v/>
      </c>
      <c r="GU76" s="1146">
        <f>SUMIFS(BP_SOTIEN,BP_THANG,GU$2,BP_KM,$E76)/1000</f>
        <v>0</v>
      </c>
      <c r="GV76" s="1091">
        <f t="shared" si="838"/>
        <v>0</v>
      </c>
      <c r="GW76" s="1091"/>
      <c r="GX76" s="1147">
        <f>IF(NOW()&gt;=DATE(YEAR(GU$2),MONTH(GU$2)+1,DAY(GU$2)),SUMIFS(TF_SOTIEN,TF_THANG,GU$2,TF_KM,$E76)/1000, HA76)</f>
        <v>0</v>
      </c>
      <c r="GY76" s="1091">
        <f t="shared" si="839"/>
        <v>0</v>
      </c>
      <c r="GZ76" s="1091"/>
      <c r="HA76" s="1147">
        <f>IF(NOW()&gt;=DATE(YEAR(GU$2),MONTH(GU$2)+1,DAY(GU$2)),SUMIFS(AC_SOTIEN,AC_THANG,GU$2,AC_KM,$E76),SUMIFS(TF_SOTIEN,TF_THANG,GU$2,TF_KM,$E76))/ 1000</f>
        <v>0</v>
      </c>
      <c r="HB76" s="1091" t="str">
        <f t="shared" si="840"/>
        <v/>
      </c>
      <c r="HC76" s="1091" t="str">
        <f t="shared" si="906"/>
        <v/>
      </c>
      <c r="HD76" s="1147">
        <f t="shared" si="651"/>
        <v>0</v>
      </c>
      <c r="HE76" s="1091" t="str">
        <f t="shared" si="125"/>
        <v/>
      </c>
      <c r="HF76" s="1147">
        <f t="shared" si="652"/>
        <v>0</v>
      </c>
      <c r="HG76" s="1091" t="str">
        <f t="shared" si="127"/>
        <v/>
      </c>
      <c r="HH76" s="1146">
        <f t="shared" ref="HH76:HH121" si="924">SUMIF(FU$3:HG$3,HH$3,FU76:HG76)</f>
        <v>0</v>
      </c>
      <c r="HI76" s="1091">
        <f t="shared" si="841"/>
        <v>0</v>
      </c>
      <c r="HJ76" s="1091">
        <f t="shared" si="907"/>
        <v>0</v>
      </c>
      <c r="HK76" s="1147">
        <f t="shared" si="656"/>
        <v>0</v>
      </c>
      <c r="HL76" s="1091">
        <f t="shared" si="842"/>
        <v>0</v>
      </c>
      <c r="HM76" s="1091">
        <f t="shared" si="908"/>
        <v>0</v>
      </c>
      <c r="HN76" s="1147">
        <f t="shared" si="659"/>
        <v>0</v>
      </c>
      <c r="HO76" s="1091" t="str">
        <f t="shared" si="843"/>
        <v/>
      </c>
      <c r="HP76" s="1091" t="str">
        <f t="shared" si="909"/>
        <v/>
      </c>
      <c r="HQ76" s="1147">
        <f t="shared" si="662"/>
        <v>0</v>
      </c>
      <c r="HR76" s="1091" t="str">
        <f t="shared" si="135"/>
        <v/>
      </c>
      <c r="HS76" s="1147">
        <f t="shared" si="663"/>
        <v>0</v>
      </c>
      <c r="HT76" s="1091" t="str">
        <f t="shared" si="137"/>
        <v/>
      </c>
      <c r="HU76" s="1146">
        <f t="shared" ref="HU76:HU121" si="925">FH76+HH76</f>
        <v>0</v>
      </c>
      <c r="HV76" s="1091">
        <f t="shared" si="844"/>
        <v>0</v>
      </c>
      <c r="HW76" s="1091">
        <f t="shared" si="910"/>
        <v>0</v>
      </c>
      <c r="HX76" s="1147">
        <f t="shared" si="667"/>
        <v>0</v>
      </c>
      <c r="HY76" s="1091">
        <f t="shared" si="845"/>
        <v>0</v>
      </c>
      <c r="HZ76" s="1091">
        <f t="shared" si="911"/>
        <v>0</v>
      </c>
      <c r="IA76" s="1147">
        <f t="shared" si="670"/>
        <v>0</v>
      </c>
      <c r="IB76" s="1091" t="str">
        <f t="shared" si="846"/>
        <v/>
      </c>
      <c r="IC76" s="1091" t="str">
        <f t="shared" si="912"/>
        <v/>
      </c>
      <c r="ID76" s="1147">
        <f t="shared" si="673"/>
        <v>0</v>
      </c>
      <c r="IE76" s="1091" t="str">
        <f t="shared" si="145"/>
        <v/>
      </c>
      <c r="IF76" s="1147">
        <f t="shared" si="674"/>
        <v>0</v>
      </c>
      <c r="IG76" s="1091" t="str">
        <f t="shared" si="147"/>
        <v/>
      </c>
      <c r="IH76" s="1146">
        <f t="shared" ref="IH76:IH121" si="926">DH76+HU76</f>
        <v>0</v>
      </c>
      <c r="II76" s="1091">
        <f t="shared" si="847"/>
        <v>0</v>
      </c>
      <c r="IJ76" s="1091">
        <f t="shared" si="913"/>
        <v>0</v>
      </c>
      <c r="IK76" s="1147">
        <f t="shared" si="678"/>
        <v>0</v>
      </c>
      <c r="IL76" s="1091">
        <f t="shared" si="848"/>
        <v>0</v>
      </c>
      <c r="IM76" s="1091">
        <f t="shared" si="914"/>
        <v>0</v>
      </c>
      <c r="IN76" s="1147">
        <f t="shared" si="681"/>
        <v>30097.3</v>
      </c>
      <c r="IO76" s="1091">
        <f t="shared" si="849"/>
        <v>0.006927500085</v>
      </c>
      <c r="IP76" s="1091">
        <f t="shared" si="915"/>
        <v>0.009359333247</v>
      </c>
      <c r="IQ76" s="1147">
        <f t="shared" si="684"/>
        <v>30097.3</v>
      </c>
      <c r="IR76" s="1091" t="str">
        <f t="shared" si="1"/>
        <v/>
      </c>
      <c r="IS76" s="1147">
        <f t="shared" si="685"/>
        <v>30097.3</v>
      </c>
      <c r="IT76" s="1091" t="str">
        <f t="shared" si="2"/>
        <v/>
      </c>
    </row>
    <row r="77" outlineLevel="1">
      <c r="A77" s="737"/>
      <c r="B77" s="737"/>
      <c r="C77" s="737"/>
      <c r="D77" s="744" t="s">
        <v>2839</v>
      </c>
      <c r="E77" s="1148" t="s">
        <v>1170</v>
      </c>
      <c r="F77" s="737"/>
      <c r="G77" s="748">
        <v>3.0</v>
      </c>
      <c r="H77" s="1146">
        <f>SUMIFS(BP_SOTIEN,BP_THANG,H$2,BP_KM,$E77)/1000</f>
        <v>0</v>
      </c>
      <c r="I77" s="1091" t="str">
        <f t="shared" si="791"/>
        <v/>
      </c>
      <c r="J77" s="1091"/>
      <c r="K77" s="1147">
        <f>IF(NOW()&gt;=DATE(YEAR(H$2),MONTH(H$2)+1,DAY(H$2)),SUMIFS(TF_SOTIEN,TF_THANG,H$2,TF_KM,$E77)/1000, N77)</f>
        <v>0</v>
      </c>
      <c r="L77" s="1091">
        <f t="shared" si="792"/>
        <v>0</v>
      </c>
      <c r="M77" s="1091"/>
      <c r="N77" s="1147">
        <f>IF(NOW()&gt;=DATE(YEAR(H$2),MONTH(H$2)+1,DAY(H$2)),SUMIFS(AC_SOTIEN,AC_THANG,H$2,AC_KM,$E77),SUMIFS(TF_SOTIEN,TF_THANG,H$2,TF_KM,$E77))/ 1000</f>
        <v>0</v>
      </c>
      <c r="O77" s="1091">
        <f t="shared" si="793"/>
        <v>0</v>
      </c>
      <c r="P77" s="1091">
        <f t="shared" si="883"/>
        <v>0</v>
      </c>
      <c r="Q77" s="1147">
        <f t="shared" si="518"/>
        <v>0</v>
      </c>
      <c r="R77" s="1091" t="str">
        <f t="shared" si="8"/>
        <v/>
      </c>
      <c r="S77" s="1147">
        <f t="shared" si="519"/>
        <v>0</v>
      </c>
      <c r="T77" s="1091" t="str">
        <f t="shared" si="10"/>
        <v/>
      </c>
      <c r="U77" s="1146">
        <f>SUMIFS(BP_SOTIEN,BP_THANG,U$2,BP_KM,$E77)/1000</f>
        <v>0</v>
      </c>
      <c r="V77" s="1091" t="str">
        <f t="shared" si="794"/>
        <v/>
      </c>
      <c r="W77" s="1091"/>
      <c r="X77" s="1147">
        <f>IF(NOW()&gt;=DATE(YEAR(U$2),MONTH(U$2)+1,DAY(U$2)),SUMIFS(TF_SOTIEN,TF_THANG,U$2,TF_KM,$E77)/1000, AA77)</f>
        <v>0</v>
      </c>
      <c r="Y77" s="1091" t="str">
        <f t="shared" si="795"/>
        <v/>
      </c>
      <c r="Z77" s="1091"/>
      <c r="AA77" s="1147">
        <f>IF(NOW()&gt;=DATE(YEAR(U$2),MONTH(U$2)+1,DAY(U$2)),SUMIFS(AC_SOTIEN,AC_THANG,U$2,AC_KM,$E77),SUMIFS(TF_SOTIEN,TF_THANG,U$2,TF_KM,$E77))/ 1000</f>
        <v>0</v>
      </c>
      <c r="AB77" s="1091">
        <f t="shared" si="796"/>
        <v>0</v>
      </c>
      <c r="AC77" s="1091">
        <f t="shared" si="884"/>
        <v>0</v>
      </c>
      <c r="AD77" s="1147">
        <f t="shared" si="526"/>
        <v>0</v>
      </c>
      <c r="AE77" s="1091" t="str">
        <f t="shared" si="15"/>
        <v/>
      </c>
      <c r="AF77" s="1147">
        <f t="shared" si="527"/>
        <v>0</v>
      </c>
      <c r="AG77" s="1091" t="str">
        <f t="shared" si="17"/>
        <v/>
      </c>
      <c r="AH77" s="1146">
        <f>SUMIFS(BP_SOTIEN,BP_THANG,AH$2,BP_KM,$E77)/1000</f>
        <v>0</v>
      </c>
      <c r="AI77" s="1091" t="str">
        <f t="shared" si="797"/>
        <v/>
      </c>
      <c r="AJ77" s="1091"/>
      <c r="AK77" s="1147">
        <f>IF(NOW()&gt;=DATE(YEAR(AH$2),MONTH(AH$2)+1,DAY(AH$2)),SUMIFS(TF_SOTIEN,TF_THANG,AH$2,TF_KM,$E77)/1000, AN77)</f>
        <v>360</v>
      </c>
      <c r="AL77" s="1091">
        <f t="shared" si="798"/>
        <v>0.0001</v>
      </c>
      <c r="AM77" s="1091"/>
      <c r="AN77" s="1147">
        <f>IF(NOW()&gt;=DATE(YEAR(AH$2),MONTH(AH$2)+1,DAY(AH$2)),SUMIFS(AC_SOTIEN,AC_THANG,AH$2,AC_KM,$E77),SUMIFS(TF_SOTIEN,TF_THANG,AH$2,TF_KM,$E77))/ 1000</f>
        <v>0</v>
      </c>
      <c r="AO77" s="1091">
        <f t="shared" si="799"/>
        <v>0</v>
      </c>
      <c r="AP77" s="1091">
        <f t="shared" si="885"/>
        <v>0</v>
      </c>
      <c r="AQ77" s="1147">
        <f t="shared" si="534"/>
        <v>0</v>
      </c>
      <c r="AR77" s="1091" t="str">
        <f t="shared" si="22"/>
        <v/>
      </c>
      <c r="AS77" s="1147">
        <f t="shared" si="535"/>
        <v>-360</v>
      </c>
      <c r="AT77" s="1091">
        <f t="shared" si="24"/>
        <v>-1</v>
      </c>
      <c r="AU77" s="1146">
        <f t="shared" si="916"/>
        <v>0</v>
      </c>
      <c r="AV77" s="1091" t="str">
        <f t="shared" si="800"/>
        <v/>
      </c>
      <c r="AW77" s="1091">
        <f t="shared" si="886"/>
        <v>0</v>
      </c>
      <c r="AX77" s="1147">
        <f t="shared" si="917"/>
        <v>360</v>
      </c>
      <c r="AY77" s="1091">
        <f t="shared" si="801"/>
        <v>0.00009677419355</v>
      </c>
      <c r="AZ77" s="1091">
        <f t="shared" si="887"/>
        <v>0.0009677551146</v>
      </c>
      <c r="BA77" s="1147">
        <f t="shared" si="918"/>
        <v>0</v>
      </c>
      <c r="BB77" s="1091">
        <f t="shared" si="802"/>
        <v>0</v>
      </c>
      <c r="BC77" s="1091">
        <f t="shared" si="888"/>
        <v>0</v>
      </c>
      <c r="BD77" s="1147">
        <f t="shared" si="545"/>
        <v>0</v>
      </c>
      <c r="BE77" s="1091" t="str">
        <f t="shared" si="32"/>
        <v/>
      </c>
      <c r="BF77" s="1147">
        <f t="shared" si="546"/>
        <v>-360</v>
      </c>
      <c r="BG77" s="1091">
        <f t="shared" si="34"/>
        <v>-1</v>
      </c>
      <c r="BH77" s="1146">
        <f>SUMIFS(BP_SOTIEN,BP_THANG,BH$2,BP_KM,$E77)/1000</f>
        <v>130000</v>
      </c>
      <c r="BI77" s="1091">
        <f t="shared" si="803"/>
        <v>0.0325</v>
      </c>
      <c r="BJ77" s="1091"/>
      <c r="BK77" s="1147">
        <f>IF(NOW()&gt;=DATE(YEAR(BH$2),MONTH(BH$2)+1,DAY(BH$2)),SUMIFS(TF_SOTIEN,TF_THANG,BH$2,TF_KM,$E77)/1000, BN77)</f>
        <v>360</v>
      </c>
      <c r="BL77" s="1091" t="str">
        <f t="shared" si="804"/>
        <v/>
      </c>
      <c r="BM77" s="1091"/>
      <c r="BN77" s="1147">
        <f>IF(NOW()&gt;=DATE(YEAR(BH$2),MONTH(BH$2)+1,DAY(BH$2)),SUMIFS(AC_SOTIEN,AC_THANG,BH$2,AC_KM,$E77),SUMIFS(TF_SOTIEN,TF_THANG,BH$2,TF_KM,$E77))/ 1000</f>
        <v>0</v>
      </c>
      <c r="BO77" s="1091">
        <f t="shared" si="805"/>
        <v>0</v>
      </c>
      <c r="BP77" s="1091">
        <f t="shared" si="889"/>
        <v>0</v>
      </c>
      <c r="BQ77" s="1147">
        <f t="shared" si="553"/>
        <v>-130000</v>
      </c>
      <c r="BR77" s="1091">
        <f t="shared" si="39"/>
        <v>-1</v>
      </c>
      <c r="BS77" s="1147">
        <f t="shared" si="554"/>
        <v>-360</v>
      </c>
      <c r="BT77" s="1091">
        <f t="shared" si="41"/>
        <v>-1</v>
      </c>
      <c r="BU77" s="1146">
        <f>SUMIFS(BP_SOTIEN,BP_THANG,BU$2,BP_KM,$E77)/1000</f>
        <v>130000</v>
      </c>
      <c r="BV77" s="1091">
        <f t="shared" si="806"/>
        <v>0.0325</v>
      </c>
      <c r="BW77" s="1091"/>
      <c r="BX77" s="1147">
        <f>IF(NOW()&gt;=DATE(YEAR(BU$2),MONTH(BU$2)+1,DAY(BU$2)),SUMIFS(TF_SOTIEN,TF_THANG,BU$2,TF_KM,$E77)/1000, CA77)</f>
        <v>0</v>
      </c>
      <c r="BY77" s="1091">
        <f t="shared" si="807"/>
        <v>0</v>
      </c>
      <c r="BZ77" s="1091"/>
      <c r="CA77" s="1147">
        <f>IF(NOW()&gt;=DATE(YEAR(BU$2),MONTH(BU$2)+1,DAY(BU$2)),SUMIFS(AC_SOTIEN,AC_THANG,BU$2,AC_KM,$E77),SUMIFS(TF_SOTIEN,TF_THANG,BU$2,TF_KM,$E77))/ 1000</f>
        <v>14979</v>
      </c>
      <c r="CB77" s="1091">
        <f t="shared" si="808"/>
        <v>0.02696140194</v>
      </c>
      <c r="CC77" s="1091">
        <f t="shared" si="890"/>
        <v>0.0278613486</v>
      </c>
      <c r="CD77" s="1147">
        <f t="shared" si="561"/>
        <v>-115021</v>
      </c>
      <c r="CE77" s="1091">
        <f t="shared" si="46"/>
        <v>-0.8847769231</v>
      </c>
      <c r="CF77" s="1147">
        <f t="shared" si="562"/>
        <v>14979</v>
      </c>
      <c r="CG77" s="1091" t="str">
        <f t="shared" si="48"/>
        <v/>
      </c>
      <c r="CH77" s="1146">
        <f>SUMIFS(BP_SOTIEN,BP_THANG,CH$2,BP_KM,$E77)/1000</f>
        <v>130000</v>
      </c>
      <c r="CI77" s="1091">
        <f t="shared" si="809"/>
        <v>0.0325</v>
      </c>
      <c r="CJ77" s="1091"/>
      <c r="CK77" s="1147">
        <f>IF(NOW()&gt;=DATE(YEAR(CH$2),MONTH(CH$2)+1,DAY(CH$2)),SUMIFS(TF_SOTIEN,TF_THANG,CH$2,TF_KM,$E77)/1000, CN77)</f>
        <v>130000</v>
      </c>
      <c r="CL77" s="1091" t="str">
        <f t="shared" si="810"/>
        <v/>
      </c>
      <c r="CM77" s="1091"/>
      <c r="CN77" s="1147">
        <f>IF(NOW()&gt;=DATE(YEAR(CH$2),MONTH(CH$2)+1,DAY(CH$2)),SUMIFS(AC_SOTIEN,AC_THANG,CH$2,AC_KM,$E77),SUMIFS(TF_SOTIEN,TF_THANG,CH$2,TF_KM,$E77))/ 1000</f>
        <v>0</v>
      </c>
      <c r="CO77" s="1091" t="str">
        <f t="shared" si="811"/>
        <v/>
      </c>
      <c r="CP77" s="1091" t="str">
        <f t="shared" si="891"/>
        <v/>
      </c>
      <c r="CQ77" s="1147">
        <f t="shared" si="569"/>
        <v>-130000</v>
      </c>
      <c r="CR77" s="1091">
        <f t="shared" si="53"/>
        <v>-1</v>
      </c>
      <c r="CS77" s="1147">
        <f t="shared" si="570"/>
        <v>-130000</v>
      </c>
      <c r="CT77" s="1091">
        <f t="shared" si="55"/>
        <v>-1</v>
      </c>
      <c r="CU77" s="1146">
        <f t="shared" si="919"/>
        <v>390000</v>
      </c>
      <c r="CV77" s="1091">
        <f t="shared" si="812"/>
        <v>0.0325</v>
      </c>
      <c r="CW77" s="1091">
        <f t="shared" si="892"/>
        <v>0.01686084743</v>
      </c>
      <c r="CX77" s="1147">
        <f t="shared" si="920"/>
        <v>130360</v>
      </c>
      <c r="CY77" s="1091">
        <f t="shared" si="814"/>
        <v>0.08722903728</v>
      </c>
      <c r="CZ77" s="1091">
        <f t="shared" si="893"/>
        <v>0.01719231505</v>
      </c>
      <c r="DA77" s="1147">
        <f t="shared" si="921"/>
        <v>14979</v>
      </c>
      <c r="DB77" s="1091">
        <f t="shared" si="816"/>
        <v>0.004745277532</v>
      </c>
      <c r="DC77" s="1091">
        <f t="shared" si="894"/>
        <v>0.008694871784</v>
      </c>
      <c r="DD77" s="1147">
        <f t="shared" si="580"/>
        <v>-375021</v>
      </c>
      <c r="DE77" s="1091">
        <f t="shared" si="63"/>
        <v>-0.9615923077</v>
      </c>
      <c r="DF77" s="1147">
        <f t="shared" si="581"/>
        <v>-115381</v>
      </c>
      <c r="DG77" s="1091">
        <f t="shared" si="65"/>
        <v>-0.8850951212</v>
      </c>
      <c r="DH77" s="1146">
        <f t="shared" si="922"/>
        <v>390000</v>
      </c>
      <c r="DI77" s="1091">
        <f t="shared" si="817"/>
        <v>0.0325</v>
      </c>
      <c r="DJ77" s="1091">
        <f t="shared" si="895"/>
        <v>0.01674536991</v>
      </c>
      <c r="DK77" s="1147">
        <f t="shared" si="585"/>
        <v>130720</v>
      </c>
      <c r="DL77" s="1091">
        <f t="shared" si="818"/>
        <v>0.02506876805</v>
      </c>
      <c r="DM77" s="1091">
        <f t="shared" si="896"/>
        <v>0.01643356339</v>
      </c>
      <c r="DN77" s="1147">
        <f t="shared" si="588"/>
        <v>14979</v>
      </c>
      <c r="DO77" s="1091">
        <f t="shared" si="819"/>
        <v>0.003447718692</v>
      </c>
      <c r="DP77" s="1091">
        <f t="shared" si="897"/>
        <v>0.004658007619</v>
      </c>
      <c r="DQ77" s="1147">
        <f t="shared" si="591"/>
        <v>-375021</v>
      </c>
      <c r="DR77" s="1091">
        <f t="shared" si="73"/>
        <v>-0.9615923077</v>
      </c>
      <c r="DS77" s="1147">
        <f t="shared" si="592"/>
        <v>-115741</v>
      </c>
      <c r="DT77" s="1091">
        <f t="shared" si="75"/>
        <v>-0.8854115667</v>
      </c>
      <c r="DU77" s="1146">
        <f>SUMIFS(BP_SOTIEN,BP_THANG,DU$2,BP_KM,$E77)/1000</f>
        <v>130000</v>
      </c>
      <c r="DV77" s="1091">
        <f t="shared" si="820"/>
        <v>0.0325</v>
      </c>
      <c r="DW77" s="1091"/>
      <c r="DX77" s="1147">
        <f>IF(NOW()&gt;=DATE(YEAR(DU$2),MONTH(DU$2)+1,DAY(DU$2)),SUMIFS(TF_SOTIEN,TF_THANG,DU$2,TF_KM,$E77)/1000, EA77)</f>
        <v>130000</v>
      </c>
      <c r="DY77" s="1091">
        <f t="shared" si="821"/>
        <v>0.02152317895</v>
      </c>
      <c r="DZ77" s="1091"/>
      <c r="EA77" s="1147">
        <f>IF(NOW()&gt;=DATE(YEAR(DU$2),MONTH(DU$2)+1,DAY(DU$2)),SUMIFS(AC_SOTIEN,AC_THANG,DU$2,AC_KM,$E77),SUMIFS(TF_SOTIEN,TF_THANG,DU$2,TF_KM,$E77))/ 1000</f>
        <v>0</v>
      </c>
      <c r="EB77" s="1091" t="str">
        <f t="shared" si="822"/>
        <v/>
      </c>
      <c r="EC77" s="1091" t="str">
        <f t="shared" si="898"/>
        <v/>
      </c>
      <c r="ED77" s="1147">
        <f t="shared" si="599"/>
        <v>-130000</v>
      </c>
      <c r="EE77" s="1091">
        <f t="shared" si="80"/>
        <v>-1</v>
      </c>
      <c r="EF77" s="1147">
        <f t="shared" si="600"/>
        <v>-130000</v>
      </c>
      <c r="EG77" s="1091">
        <f t="shared" si="82"/>
        <v>-1</v>
      </c>
      <c r="EH77" s="1146">
        <f>SUMIFS(BP_SOTIEN,BP_THANG,EH$2,BP_KM,$E77)/1000</f>
        <v>130000</v>
      </c>
      <c r="EI77" s="1091">
        <f t="shared" si="823"/>
        <v>0.0325</v>
      </c>
      <c r="EJ77" s="1091"/>
      <c r="EK77" s="1147">
        <f>IF(NOW()&gt;=DATE(YEAR(EH$2),MONTH(EH$2)+1,DAY(EH$2)),SUMIFS(TF_SOTIEN,TF_THANG,EH$2,TF_KM,$E77)/1000, EN77)</f>
        <v>130000</v>
      </c>
      <c r="EL77" s="1091">
        <f t="shared" si="824"/>
        <v>0.02152317895</v>
      </c>
      <c r="EM77" s="1091"/>
      <c r="EN77" s="1147">
        <f>IF(NOW()&gt;=DATE(YEAR(EH$2),MONTH(EH$2)+1,DAY(EH$2)),SUMIFS(AC_SOTIEN,AC_THANG,EH$2,AC_KM,$E77),SUMIFS(TF_SOTIEN,TF_THANG,EH$2,TF_KM,$E77))/ 1000</f>
        <v>0</v>
      </c>
      <c r="EO77" s="1091" t="str">
        <f t="shared" si="825"/>
        <v/>
      </c>
      <c r="EP77" s="1091" t="str">
        <f t="shared" si="899"/>
        <v/>
      </c>
      <c r="EQ77" s="1147">
        <f t="shared" si="607"/>
        <v>-130000</v>
      </c>
      <c r="ER77" s="1091">
        <f t="shared" si="87"/>
        <v>-1</v>
      </c>
      <c r="ES77" s="1147">
        <f t="shared" si="608"/>
        <v>-130000</v>
      </c>
      <c r="ET77" s="1091">
        <f t="shared" si="89"/>
        <v>-1</v>
      </c>
      <c r="EU77" s="1146">
        <f>SUMIFS(BP_SOTIEN,BP_THANG,EU$2,BP_KM,$E77)/1000</f>
        <v>130000</v>
      </c>
      <c r="EV77" s="1091">
        <f t="shared" si="826"/>
        <v>0.0325</v>
      </c>
      <c r="EW77" s="1091"/>
      <c r="EX77" s="1147">
        <f>IF(NOW()&gt;=DATE(YEAR(EU$2),MONTH(EU$2)+1,DAY(EU$2)),SUMIFS(TF_SOTIEN,TF_THANG,EU$2,TF_KM,$E77)/1000, FA77)</f>
        <v>130000</v>
      </c>
      <c r="EY77" s="1091">
        <f t="shared" si="827"/>
        <v>0.02152317895</v>
      </c>
      <c r="EZ77" s="1091"/>
      <c r="FA77" s="1147">
        <f>IF(NOW()&gt;=DATE(YEAR(EU$2),MONTH(EU$2)+1,DAY(EU$2)),SUMIFS(AC_SOTIEN,AC_THANG,EU$2,AC_KM,$E77),SUMIFS(TF_SOTIEN,TF_THANG,EU$2,TF_KM,$E77))/ 1000</f>
        <v>0</v>
      </c>
      <c r="FB77" s="1091" t="str">
        <f t="shared" si="828"/>
        <v/>
      </c>
      <c r="FC77" s="1091" t="str">
        <f t="shared" si="900"/>
        <v/>
      </c>
      <c r="FD77" s="1147">
        <f t="shared" si="616"/>
        <v>-130000</v>
      </c>
      <c r="FE77" s="1091">
        <f t="shared" si="94"/>
        <v>-1</v>
      </c>
      <c r="FF77" s="1147">
        <f t="shared" si="617"/>
        <v>-130000</v>
      </c>
      <c r="FG77" s="1091">
        <f t="shared" si="96"/>
        <v>-1</v>
      </c>
      <c r="FH77" s="1146">
        <f t="shared" si="923"/>
        <v>390000</v>
      </c>
      <c r="FI77" s="1091">
        <f t="shared" si="829"/>
        <v>0.0325</v>
      </c>
      <c r="FJ77" s="1091">
        <f t="shared" si="901"/>
        <v>0.01686084743</v>
      </c>
      <c r="FK77" s="1147">
        <f t="shared" si="621"/>
        <v>390000</v>
      </c>
      <c r="FL77" s="1091">
        <f t="shared" si="830"/>
        <v>0.02152317895</v>
      </c>
      <c r="FM77" s="1091">
        <f t="shared" si="902"/>
        <v>0.01686084743</v>
      </c>
      <c r="FN77" s="1147">
        <f t="shared" si="624"/>
        <v>0</v>
      </c>
      <c r="FO77" s="1091" t="str">
        <f t="shared" si="831"/>
        <v/>
      </c>
      <c r="FP77" s="1091" t="str">
        <f t="shared" si="903"/>
        <v/>
      </c>
      <c r="FQ77" s="1147">
        <f t="shared" si="627"/>
        <v>-390000</v>
      </c>
      <c r="FR77" s="1091">
        <f t="shared" si="104"/>
        <v>-1</v>
      </c>
      <c r="FS77" s="1147">
        <f t="shared" si="628"/>
        <v>-390000</v>
      </c>
      <c r="FT77" s="1091">
        <f t="shared" si="106"/>
        <v>-1</v>
      </c>
      <c r="FU77" s="1146">
        <f>SUMIFS(BP_SOTIEN,BP_THANG,FU$2,BP_KM,$E77)/1000</f>
        <v>130000</v>
      </c>
      <c r="FV77" s="1091">
        <f t="shared" si="832"/>
        <v>0.0325</v>
      </c>
      <c r="FW77" s="1091"/>
      <c r="FX77" s="1147">
        <f>IF(NOW()&gt;=DATE(YEAR(FU$2),MONTH(FU$2)+1,DAY(FU$2)),SUMIFS(TF_SOTIEN,TF_THANG,FU$2,TF_KM,$E77)/1000, GA77)</f>
        <v>130000</v>
      </c>
      <c r="FY77" s="1091">
        <f t="shared" si="833"/>
        <v>0.02152317895</v>
      </c>
      <c r="FZ77" s="1091"/>
      <c r="GA77" s="1147">
        <f>IF(NOW()&gt;=DATE(YEAR(FU$2),MONTH(FU$2)+1,DAY(FU$2)),SUMIFS(AC_SOTIEN,AC_THANG,FU$2,AC_KM,$E77),SUMIFS(TF_SOTIEN,TF_THANG,FU$2,TF_KM,$E77))/ 1000</f>
        <v>0</v>
      </c>
      <c r="GB77" s="1091" t="str">
        <f t="shared" si="834"/>
        <v/>
      </c>
      <c r="GC77" s="1091" t="str">
        <f t="shared" si="904"/>
        <v/>
      </c>
      <c r="GD77" s="1147">
        <f t="shared" si="635"/>
        <v>-130000</v>
      </c>
      <c r="GE77" s="1091">
        <f t="shared" si="111"/>
        <v>-1</v>
      </c>
      <c r="GF77" s="1147">
        <f t="shared" si="636"/>
        <v>-130000</v>
      </c>
      <c r="GG77" s="1091">
        <f t="shared" si="113"/>
        <v>-1</v>
      </c>
      <c r="GH77" s="1146">
        <f>SUMIFS(BP_SOTIEN,BP_THANG,GH$2,BP_KM,$E77)/1000</f>
        <v>130000</v>
      </c>
      <c r="GI77" s="1091">
        <f t="shared" si="835"/>
        <v>0.0325</v>
      </c>
      <c r="GJ77" s="1091"/>
      <c r="GK77" s="1147">
        <f>IF(NOW()&gt;=DATE(YEAR(GH$2),MONTH(GH$2)+1,DAY(GH$2)),SUMIFS(TF_SOTIEN,TF_THANG,GH$2,TF_KM,$E77)/1000, GN77)</f>
        <v>130000</v>
      </c>
      <c r="GL77" s="1091">
        <f t="shared" si="836"/>
        <v>0.02152317895</v>
      </c>
      <c r="GM77" s="1091"/>
      <c r="GN77" s="1147">
        <f>IF(NOW()&gt;=DATE(YEAR(GH$2),MONTH(GH$2)+1,DAY(GH$2)),SUMIFS(AC_SOTIEN,AC_THANG,GH$2,AC_KM,$E77),SUMIFS(TF_SOTIEN,TF_THANG,GH$2,TF_KM,$E77))/ 1000</f>
        <v>0</v>
      </c>
      <c r="GO77" s="1091" t="str">
        <f t="shared" si="837"/>
        <v/>
      </c>
      <c r="GP77" s="1091" t="str">
        <f t="shared" si="905"/>
        <v/>
      </c>
      <c r="GQ77" s="1147">
        <f t="shared" si="643"/>
        <v>-130000</v>
      </c>
      <c r="GR77" s="1091">
        <f t="shared" si="118"/>
        <v>-1</v>
      </c>
      <c r="GS77" s="1147">
        <f t="shared" si="644"/>
        <v>-130000</v>
      </c>
      <c r="GT77" s="1091">
        <f t="shared" si="120"/>
        <v>-1</v>
      </c>
      <c r="GU77" s="1146">
        <f>SUMIFS(BP_SOTIEN,BP_THANG,GU$2,BP_KM,$E77)/1000</f>
        <v>130000</v>
      </c>
      <c r="GV77" s="1091">
        <f t="shared" si="838"/>
        <v>0.0325</v>
      </c>
      <c r="GW77" s="1091"/>
      <c r="GX77" s="1147">
        <f>IF(NOW()&gt;=DATE(YEAR(GU$2),MONTH(GU$2)+1,DAY(GU$2)),SUMIFS(TF_SOTIEN,TF_THANG,GU$2,TF_KM,$E77)/1000, HA77)</f>
        <v>130000</v>
      </c>
      <c r="GY77" s="1091">
        <f t="shared" si="839"/>
        <v>0.02152317895</v>
      </c>
      <c r="GZ77" s="1091"/>
      <c r="HA77" s="1147">
        <f>IF(NOW()&gt;=DATE(YEAR(GU$2),MONTH(GU$2)+1,DAY(GU$2)),SUMIFS(AC_SOTIEN,AC_THANG,GU$2,AC_KM,$E77),SUMIFS(TF_SOTIEN,TF_THANG,GU$2,TF_KM,$E77))/ 1000</f>
        <v>0</v>
      </c>
      <c r="HB77" s="1091" t="str">
        <f t="shared" si="840"/>
        <v/>
      </c>
      <c r="HC77" s="1091" t="str">
        <f t="shared" si="906"/>
        <v/>
      </c>
      <c r="HD77" s="1147">
        <f t="shared" si="651"/>
        <v>-130000</v>
      </c>
      <c r="HE77" s="1091">
        <f t="shared" si="125"/>
        <v>-1</v>
      </c>
      <c r="HF77" s="1147">
        <f t="shared" si="652"/>
        <v>-130000</v>
      </c>
      <c r="HG77" s="1091">
        <f t="shared" si="127"/>
        <v>-1</v>
      </c>
      <c r="HH77" s="1146">
        <f t="shared" si="924"/>
        <v>390000</v>
      </c>
      <c r="HI77" s="1091">
        <f t="shared" si="841"/>
        <v>0.0325</v>
      </c>
      <c r="HJ77" s="1091">
        <f t="shared" si="907"/>
        <v>0.01686084743</v>
      </c>
      <c r="HK77" s="1147">
        <f t="shared" si="656"/>
        <v>390000</v>
      </c>
      <c r="HL77" s="1091">
        <f t="shared" si="842"/>
        <v>0.02152317895</v>
      </c>
      <c r="HM77" s="1091">
        <f t="shared" si="908"/>
        <v>0.01686084743</v>
      </c>
      <c r="HN77" s="1147">
        <f t="shared" si="659"/>
        <v>0</v>
      </c>
      <c r="HO77" s="1091" t="str">
        <f t="shared" si="843"/>
        <v/>
      </c>
      <c r="HP77" s="1091" t="str">
        <f t="shared" si="909"/>
        <v/>
      </c>
      <c r="HQ77" s="1147">
        <f t="shared" si="662"/>
        <v>-390000</v>
      </c>
      <c r="HR77" s="1091">
        <f t="shared" si="135"/>
        <v>-1</v>
      </c>
      <c r="HS77" s="1147">
        <f t="shared" si="663"/>
        <v>-390000</v>
      </c>
      <c r="HT77" s="1091">
        <f t="shared" si="137"/>
        <v>-1</v>
      </c>
      <c r="HU77" s="1146">
        <f t="shared" si="925"/>
        <v>780000</v>
      </c>
      <c r="HV77" s="1091">
        <f t="shared" si="844"/>
        <v>0.0325</v>
      </c>
      <c r="HW77" s="1091">
        <f t="shared" si="910"/>
        <v>0.01686084743</v>
      </c>
      <c r="HX77" s="1147">
        <f t="shared" si="667"/>
        <v>780000</v>
      </c>
      <c r="HY77" s="1091">
        <f t="shared" si="845"/>
        <v>0.02152317895</v>
      </c>
      <c r="HZ77" s="1091">
        <f t="shared" si="911"/>
        <v>0.01686084743</v>
      </c>
      <c r="IA77" s="1147">
        <f t="shared" si="670"/>
        <v>0</v>
      </c>
      <c r="IB77" s="1091" t="str">
        <f t="shared" si="846"/>
        <v/>
      </c>
      <c r="IC77" s="1091" t="str">
        <f t="shared" si="912"/>
        <v/>
      </c>
      <c r="ID77" s="1147">
        <f t="shared" si="673"/>
        <v>-780000</v>
      </c>
      <c r="IE77" s="1091">
        <f t="shared" si="145"/>
        <v>-1</v>
      </c>
      <c r="IF77" s="1147">
        <f t="shared" si="674"/>
        <v>-780000</v>
      </c>
      <c r="IG77" s="1091">
        <f t="shared" si="147"/>
        <v>-1</v>
      </c>
      <c r="IH77" s="1146">
        <f t="shared" si="926"/>
        <v>1170000</v>
      </c>
      <c r="II77" s="1091">
        <f t="shared" si="847"/>
        <v>0.0325</v>
      </c>
      <c r="IJ77" s="1091">
        <f t="shared" si="913"/>
        <v>0.01682217836</v>
      </c>
      <c r="IK77" s="1147">
        <f t="shared" si="678"/>
        <v>910720</v>
      </c>
      <c r="IL77" s="1091">
        <f t="shared" si="848"/>
        <v>0.02196917009</v>
      </c>
      <c r="IM77" s="1091">
        <f t="shared" si="914"/>
        <v>0.01679815664</v>
      </c>
      <c r="IN77" s="1147">
        <f t="shared" si="681"/>
        <v>14979</v>
      </c>
      <c r="IO77" s="1091">
        <f t="shared" si="849"/>
        <v>0.003447718692</v>
      </c>
      <c r="IP77" s="1091">
        <f t="shared" si="915"/>
        <v>0.004658007619</v>
      </c>
      <c r="IQ77" s="1147">
        <f t="shared" si="684"/>
        <v>-1155021</v>
      </c>
      <c r="IR77" s="1091">
        <f t="shared" si="1"/>
        <v>-0.9871974359</v>
      </c>
      <c r="IS77" s="1147">
        <f t="shared" si="685"/>
        <v>-895741</v>
      </c>
      <c r="IT77" s="1091">
        <f t="shared" si="2"/>
        <v>-0.9835525738</v>
      </c>
    </row>
    <row r="78" outlineLevel="1">
      <c r="A78" s="737"/>
      <c r="B78" s="737"/>
      <c r="C78" s="737"/>
      <c r="D78" s="744" t="s">
        <v>2840</v>
      </c>
      <c r="E78" s="1148" t="s">
        <v>1142</v>
      </c>
      <c r="F78" s="737"/>
      <c r="G78" s="748">
        <v>3.0</v>
      </c>
      <c r="H78" s="1146">
        <f>SUMIFS(BP_SOTIEN,BP_THANG,H$2,BP_KM,$E78)/1000</f>
        <v>0</v>
      </c>
      <c r="I78" s="1091" t="str">
        <f t="shared" si="791"/>
        <v/>
      </c>
      <c r="J78" s="1091"/>
      <c r="K78" s="1147">
        <f>IF(NOW()&gt;=DATE(YEAR(H$2),MONTH(H$2)+1,DAY(H$2)),SUMIFS(TF_SOTIEN,TF_THANG,H$2,TF_KM,$E78)/1000, N78)</f>
        <v>0</v>
      </c>
      <c r="L78" s="1091">
        <f t="shared" si="792"/>
        <v>0</v>
      </c>
      <c r="M78" s="1091"/>
      <c r="N78" s="1147">
        <f>IF(NOW()&gt;=DATE(YEAR(H$2),MONTH(H$2)+1,DAY(H$2)),SUMIFS(AC_SOTIEN,AC_THANG,H$2,AC_KM,$E78),SUMIFS(TF_SOTIEN,TF_THANG,H$2,TF_KM,$E78))/ 1000</f>
        <v>0</v>
      </c>
      <c r="O78" s="1091">
        <f t="shared" si="793"/>
        <v>0</v>
      </c>
      <c r="P78" s="1091">
        <f t="shared" si="883"/>
        <v>0</v>
      </c>
      <c r="Q78" s="1147">
        <f t="shared" si="518"/>
        <v>0</v>
      </c>
      <c r="R78" s="1091" t="str">
        <f t="shared" si="8"/>
        <v/>
      </c>
      <c r="S78" s="1147">
        <f t="shared" si="519"/>
        <v>0</v>
      </c>
      <c r="T78" s="1091" t="str">
        <f t="shared" si="10"/>
        <v/>
      </c>
      <c r="U78" s="1146">
        <f>SUMIFS(BP_SOTIEN,BP_THANG,U$2,BP_KM,$E78)/1000</f>
        <v>0</v>
      </c>
      <c r="V78" s="1091" t="str">
        <f t="shared" si="794"/>
        <v/>
      </c>
      <c r="W78" s="1091"/>
      <c r="X78" s="1147">
        <f>IF(NOW()&gt;=DATE(YEAR(U$2),MONTH(U$2)+1,DAY(U$2)),SUMIFS(TF_SOTIEN,TF_THANG,U$2,TF_KM,$E78)/1000, AA78)</f>
        <v>0</v>
      </c>
      <c r="Y78" s="1091" t="str">
        <f t="shared" si="795"/>
        <v/>
      </c>
      <c r="Z78" s="1091"/>
      <c r="AA78" s="1147">
        <f>IF(NOW()&gt;=DATE(YEAR(U$2),MONTH(U$2)+1,DAY(U$2)),SUMIFS(AC_SOTIEN,AC_THANG,U$2,AC_KM,$E78),SUMIFS(TF_SOTIEN,TF_THANG,U$2,TF_KM,$E78))/ 1000</f>
        <v>0</v>
      </c>
      <c r="AB78" s="1091">
        <f t="shared" si="796"/>
        <v>0</v>
      </c>
      <c r="AC78" s="1091">
        <f t="shared" si="884"/>
        <v>0</v>
      </c>
      <c r="AD78" s="1147">
        <f t="shared" si="526"/>
        <v>0</v>
      </c>
      <c r="AE78" s="1091" t="str">
        <f t="shared" si="15"/>
        <v/>
      </c>
      <c r="AF78" s="1147">
        <f t="shared" si="527"/>
        <v>0</v>
      </c>
      <c r="AG78" s="1091" t="str">
        <f t="shared" si="17"/>
        <v/>
      </c>
      <c r="AH78" s="1146">
        <f>SUMIFS(BP_SOTIEN,BP_THANG,AH$2,BP_KM,$E78)/1000</f>
        <v>0</v>
      </c>
      <c r="AI78" s="1091" t="str">
        <f t="shared" si="797"/>
        <v/>
      </c>
      <c r="AJ78" s="1091"/>
      <c r="AK78" s="1147">
        <f>IF(NOW()&gt;=DATE(YEAR(AH$2),MONTH(AH$2)+1,DAY(AH$2)),SUMIFS(TF_SOTIEN,TF_THANG,AH$2,TF_KM,$E78)/1000, AN78)</f>
        <v>96000</v>
      </c>
      <c r="AL78" s="1091">
        <f t="shared" si="798"/>
        <v>0.02666666667</v>
      </c>
      <c r="AM78" s="1091"/>
      <c r="AN78" s="1147">
        <f>IF(NOW()&gt;=DATE(YEAR(AH$2),MONTH(AH$2)+1,DAY(AH$2)),SUMIFS(AC_SOTIEN,AC_THANG,AH$2,AC_KM,$E78),SUMIFS(TF_SOTIEN,TF_THANG,AH$2,TF_KM,$E78))/ 1000</f>
        <v>0</v>
      </c>
      <c r="AO78" s="1091">
        <f t="shared" si="799"/>
        <v>0</v>
      </c>
      <c r="AP78" s="1091">
        <f t="shared" si="885"/>
        <v>0</v>
      </c>
      <c r="AQ78" s="1147">
        <f t="shared" si="534"/>
        <v>0</v>
      </c>
      <c r="AR78" s="1091" t="str">
        <f t="shared" si="22"/>
        <v/>
      </c>
      <c r="AS78" s="1147">
        <f t="shared" si="535"/>
        <v>-96000</v>
      </c>
      <c r="AT78" s="1091">
        <f t="shared" si="24"/>
        <v>-1</v>
      </c>
      <c r="AU78" s="1146">
        <f t="shared" si="916"/>
        <v>0</v>
      </c>
      <c r="AV78" s="1091" t="str">
        <f t="shared" si="800"/>
        <v/>
      </c>
      <c r="AW78" s="1091">
        <f t="shared" si="886"/>
        <v>0</v>
      </c>
      <c r="AX78" s="1147">
        <f t="shared" si="917"/>
        <v>96000</v>
      </c>
      <c r="AY78" s="1091">
        <f t="shared" si="801"/>
        <v>0.02580645161</v>
      </c>
      <c r="AZ78" s="1091">
        <f t="shared" si="887"/>
        <v>0.2580680306</v>
      </c>
      <c r="BA78" s="1147">
        <f t="shared" si="918"/>
        <v>0</v>
      </c>
      <c r="BB78" s="1091">
        <f t="shared" si="802"/>
        <v>0</v>
      </c>
      <c r="BC78" s="1091">
        <f t="shared" si="888"/>
        <v>0</v>
      </c>
      <c r="BD78" s="1147">
        <f t="shared" si="545"/>
        <v>0</v>
      </c>
      <c r="BE78" s="1091" t="str">
        <f t="shared" si="32"/>
        <v/>
      </c>
      <c r="BF78" s="1147">
        <f t="shared" si="546"/>
        <v>-96000</v>
      </c>
      <c r="BG78" s="1091">
        <f t="shared" si="34"/>
        <v>-1</v>
      </c>
      <c r="BH78" s="1146">
        <f>SUMIFS(BP_SOTIEN,BP_THANG,BH$2,BP_KM,$E78)/1000</f>
        <v>1248000</v>
      </c>
      <c r="BI78" s="1091">
        <f t="shared" si="803"/>
        <v>0.312</v>
      </c>
      <c r="BJ78" s="1091"/>
      <c r="BK78" s="1147">
        <f>IF(NOW()&gt;=DATE(YEAR(BH$2),MONTH(BH$2)+1,DAY(BH$2)),SUMIFS(TF_SOTIEN,TF_THANG,BH$2,TF_KM,$E78)/1000, BN78)</f>
        <v>97200</v>
      </c>
      <c r="BL78" s="1091" t="str">
        <f t="shared" si="804"/>
        <v/>
      </c>
      <c r="BM78" s="1091"/>
      <c r="BN78" s="1147">
        <f>IF(NOW()&gt;=DATE(YEAR(BH$2),MONTH(BH$2)+1,DAY(BH$2)),SUMIFS(AC_SOTIEN,AC_THANG,BH$2,AC_KM,$E78),SUMIFS(TF_SOTIEN,TF_THANG,BH$2,TF_KM,$E78))/ 1000</f>
        <v>0</v>
      </c>
      <c r="BO78" s="1091">
        <f t="shared" si="805"/>
        <v>0</v>
      </c>
      <c r="BP78" s="1091">
        <f t="shared" si="889"/>
        <v>0</v>
      </c>
      <c r="BQ78" s="1147">
        <f t="shared" si="553"/>
        <v>-1248000</v>
      </c>
      <c r="BR78" s="1091">
        <f t="shared" si="39"/>
        <v>-1</v>
      </c>
      <c r="BS78" s="1147">
        <f t="shared" si="554"/>
        <v>-97200</v>
      </c>
      <c r="BT78" s="1091">
        <f t="shared" si="41"/>
        <v>-1</v>
      </c>
      <c r="BU78" s="1146">
        <f>SUMIFS(BP_SOTIEN,BP_THANG,BU$2,BP_KM,$E78)/1000</f>
        <v>1248000</v>
      </c>
      <c r="BV78" s="1091">
        <f t="shared" si="806"/>
        <v>0.312</v>
      </c>
      <c r="BW78" s="1091"/>
      <c r="BX78" s="1147">
        <f>IF(NOW()&gt;=DATE(YEAR(BU$2),MONTH(BU$2)+1,DAY(BU$2)),SUMIFS(TF_SOTIEN,TF_THANG,BU$2,TF_KM,$E78)/1000, CA78)</f>
        <v>1000</v>
      </c>
      <c r="BY78" s="1091">
        <f t="shared" si="807"/>
        <v>0.0006691395925</v>
      </c>
      <c r="BZ78" s="1091"/>
      <c r="CA78" s="1147">
        <f>IF(NOW()&gt;=DATE(YEAR(BU$2),MONTH(BU$2)+1,DAY(BU$2)),SUMIFS(AC_SOTIEN,AC_THANG,BU$2,AC_KM,$E78),SUMIFS(TF_SOTIEN,TF_THANG,BU$2,TF_KM,$E78))/ 1000</f>
        <v>2200</v>
      </c>
      <c r="CB78" s="1091">
        <f t="shared" si="808"/>
        <v>0.003959882787</v>
      </c>
      <c r="CC78" s="1091">
        <f t="shared" si="890"/>
        <v>0.004092060012</v>
      </c>
      <c r="CD78" s="1147">
        <f t="shared" si="561"/>
        <v>-1245800</v>
      </c>
      <c r="CE78" s="1091">
        <f t="shared" si="46"/>
        <v>-0.9982371795</v>
      </c>
      <c r="CF78" s="1147">
        <f t="shared" si="562"/>
        <v>1200</v>
      </c>
      <c r="CG78" s="1091">
        <f t="shared" si="48"/>
        <v>1.2</v>
      </c>
      <c r="CH78" s="1146">
        <f>SUMIFS(BP_SOTIEN,BP_THANG,CH$2,BP_KM,$E78)/1000</f>
        <v>1248000</v>
      </c>
      <c r="CI78" s="1091">
        <f t="shared" si="809"/>
        <v>0.312</v>
      </c>
      <c r="CJ78" s="1091"/>
      <c r="CK78" s="1147">
        <f>IF(NOW()&gt;=DATE(YEAR(CH$2),MONTH(CH$2)+1,DAY(CH$2)),SUMIFS(TF_SOTIEN,TF_THANG,CH$2,TF_KM,$E78)/1000, CN78)</f>
        <v>0</v>
      </c>
      <c r="CL78" s="1091" t="str">
        <f t="shared" si="810"/>
        <v/>
      </c>
      <c r="CM78" s="1091"/>
      <c r="CN78" s="1147">
        <f>IF(NOW()&gt;=DATE(YEAR(CH$2),MONTH(CH$2)+1,DAY(CH$2)),SUMIFS(AC_SOTIEN,AC_THANG,CH$2,AC_KM,$E78),SUMIFS(TF_SOTIEN,TF_THANG,CH$2,TF_KM,$E78))/ 1000</f>
        <v>0</v>
      </c>
      <c r="CO78" s="1091" t="str">
        <f t="shared" si="811"/>
        <v/>
      </c>
      <c r="CP78" s="1091" t="str">
        <f t="shared" si="891"/>
        <v/>
      </c>
      <c r="CQ78" s="1147">
        <f t="shared" si="569"/>
        <v>-1248000</v>
      </c>
      <c r="CR78" s="1091">
        <f t="shared" si="53"/>
        <v>-1</v>
      </c>
      <c r="CS78" s="1147">
        <f t="shared" si="570"/>
        <v>0</v>
      </c>
      <c r="CT78" s="1091" t="str">
        <f t="shared" si="55"/>
        <v/>
      </c>
      <c r="CU78" s="1146">
        <f t="shared" si="919"/>
        <v>3744000</v>
      </c>
      <c r="CV78" s="1091">
        <f t="shared" si="812"/>
        <v>0.312</v>
      </c>
      <c r="CW78" s="1091">
        <f t="shared" si="892"/>
        <v>0.1618641353</v>
      </c>
      <c r="CX78" s="1147">
        <f t="shared" si="920"/>
        <v>98200</v>
      </c>
      <c r="CY78" s="1091">
        <f t="shared" si="814"/>
        <v>0.06570950798</v>
      </c>
      <c r="CZ78" s="1091">
        <f t="shared" si="893"/>
        <v>0.01295094614</v>
      </c>
      <c r="DA78" s="1147">
        <f t="shared" si="921"/>
        <v>2200</v>
      </c>
      <c r="DB78" s="1091">
        <f t="shared" si="816"/>
        <v>0.0006969497677</v>
      </c>
      <c r="DC78" s="1091">
        <f t="shared" si="894"/>
        <v>0.001277035712</v>
      </c>
      <c r="DD78" s="1147">
        <f t="shared" si="580"/>
        <v>-3741800</v>
      </c>
      <c r="DE78" s="1091">
        <f t="shared" si="63"/>
        <v>-0.9994123932</v>
      </c>
      <c r="DF78" s="1147">
        <f t="shared" si="581"/>
        <v>-96000</v>
      </c>
      <c r="DG78" s="1091">
        <f t="shared" si="65"/>
        <v>-0.9775967413</v>
      </c>
      <c r="DH78" s="1146">
        <f t="shared" si="922"/>
        <v>3744000</v>
      </c>
      <c r="DI78" s="1091">
        <f t="shared" si="817"/>
        <v>0.312</v>
      </c>
      <c r="DJ78" s="1091">
        <f t="shared" si="895"/>
        <v>0.1607555511</v>
      </c>
      <c r="DK78" s="1147">
        <f t="shared" si="585"/>
        <v>194200</v>
      </c>
      <c r="DL78" s="1091">
        <f t="shared" si="818"/>
        <v>0.03724261594</v>
      </c>
      <c r="DM78" s="1091">
        <f t="shared" si="896"/>
        <v>0.02441399947</v>
      </c>
      <c r="DN78" s="1147">
        <f t="shared" si="588"/>
        <v>2200</v>
      </c>
      <c r="DO78" s="1091">
        <f t="shared" si="819"/>
        <v>0.0005063743322</v>
      </c>
      <c r="DP78" s="1091">
        <f t="shared" si="897"/>
        <v>0.0006841322359</v>
      </c>
      <c r="DQ78" s="1147">
        <f t="shared" si="591"/>
        <v>-3741800</v>
      </c>
      <c r="DR78" s="1091">
        <f t="shared" si="73"/>
        <v>-0.9994123932</v>
      </c>
      <c r="DS78" s="1147">
        <f t="shared" si="592"/>
        <v>-192000</v>
      </c>
      <c r="DT78" s="1091">
        <f t="shared" si="75"/>
        <v>-0.9886714727</v>
      </c>
      <c r="DU78" s="1146">
        <f>SUMIFS(BP_SOTIEN,BP_THANG,DU$2,BP_KM,$E78)/1000</f>
        <v>1248000</v>
      </c>
      <c r="DV78" s="1091">
        <f t="shared" si="820"/>
        <v>0.312</v>
      </c>
      <c r="DW78" s="1091"/>
      <c r="DX78" s="1147">
        <f>IF(NOW()&gt;=DATE(YEAR(DU$2),MONTH(DU$2)+1,DAY(DU$2)),SUMIFS(TF_SOTIEN,TF_THANG,DU$2,TF_KM,$E78)/1000, EA78)</f>
        <v>1248000</v>
      </c>
      <c r="DY78" s="1091">
        <f t="shared" si="821"/>
        <v>0.2066225179</v>
      </c>
      <c r="DZ78" s="1091"/>
      <c r="EA78" s="1147">
        <f>IF(NOW()&gt;=DATE(YEAR(DU$2),MONTH(DU$2)+1,DAY(DU$2)),SUMIFS(AC_SOTIEN,AC_THANG,DU$2,AC_KM,$E78),SUMIFS(TF_SOTIEN,TF_THANG,DU$2,TF_KM,$E78))/ 1000</f>
        <v>0</v>
      </c>
      <c r="EB78" s="1091" t="str">
        <f t="shared" si="822"/>
        <v/>
      </c>
      <c r="EC78" s="1091" t="str">
        <f t="shared" si="898"/>
        <v/>
      </c>
      <c r="ED78" s="1147">
        <f t="shared" si="599"/>
        <v>-1248000</v>
      </c>
      <c r="EE78" s="1091">
        <f t="shared" si="80"/>
        <v>-1</v>
      </c>
      <c r="EF78" s="1147">
        <f t="shared" si="600"/>
        <v>-1248000</v>
      </c>
      <c r="EG78" s="1091">
        <f t="shared" si="82"/>
        <v>-1</v>
      </c>
      <c r="EH78" s="1146">
        <f>SUMIFS(BP_SOTIEN,BP_THANG,EH$2,BP_KM,$E78)/1000</f>
        <v>1248000</v>
      </c>
      <c r="EI78" s="1091">
        <f t="shared" si="823"/>
        <v>0.312</v>
      </c>
      <c r="EJ78" s="1091"/>
      <c r="EK78" s="1147">
        <f>IF(NOW()&gt;=DATE(YEAR(EH$2),MONTH(EH$2)+1,DAY(EH$2)),SUMIFS(TF_SOTIEN,TF_THANG,EH$2,TF_KM,$E78)/1000, EN78)</f>
        <v>1248000</v>
      </c>
      <c r="EL78" s="1091">
        <f t="shared" si="824"/>
        <v>0.2066225179</v>
      </c>
      <c r="EM78" s="1091"/>
      <c r="EN78" s="1147">
        <f>IF(NOW()&gt;=DATE(YEAR(EH$2),MONTH(EH$2)+1,DAY(EH$2)),SUMIFS(AC_SOTIEN,AC_THANG,EH$2,AC_KM,$E78),SUMIFS(TF_SOTIEN,TF_THANG,EH$2,TF_KM,$E78))/ 1000</f>
        <v>0</v>
      </c>
      <c r="EO78" s="1091" t="str">
        <f t="shared" si="825"/>
        <v/>
      </c>
      <c r="EP78" s="1091" t="str">
        <f t="shared" si="899"/>
        <v/>
      </c>
      <c r="EQ78" s="1147">
        <f t="shared" si="607"/>
        <v>-1248000</v>
      </c>
      <c r="ER78" s="1091">
        <f t="shared" si="87"/>
        <v>-1</v>
      </c>
      <c r="ES78" s="1147">
        <f t="shared" si="608"/>
        <v>-1248000</v>
      </c>
      <c r="ET78" s="1091">
        <f t="shared" si="89"/>
        <v>-1</v>
      </c>
      <c r="EU78" s="1146">
        <f>SUMIFS(BP_SOTIEN,BP_THANG,EU$2,BP_KM,$E78)/1000</f>
        <v>1248000</v>
      </c>
      <c r="EV78" s="1091">
        <f t="shared" si="826"/>
        <v>0.312</v>
      </c>
      <c r="EW78" s="1091"/>
      <c r="EX78" s="1147">
        <f>IF(NOW()&gt;=DATE(YEAR(EU$2),MONTH(EU$2)+1,DAY(EU$2)),SUMIFS(TF_SOTIEN,TF_THANG,EU$2,TF_KM,$E78)/1000, FA78)</f>
        <v>1248000</v>
      </c>
      <c r="EY78" s="1091">
        <f t="shared" si="827"/>
        <v>0.2066225179</v>
      </c>
      <c r="EZ78" s="1091"/>
      <c r="FA78" s="1147">
        <f>IF(NOW()&gt;=DATE(YEAR(EU$2),MONTH(EU$2)+1,DAY(EU$2)),SUMIFS(AC_SOTIEN,AC_THANG,EU$2,AC_KM,$E78),SUMIFS(TF_SOTIEN,TF_THANG,EU$2,TF_KM,$E78))/ 1000</f>
        <v>0</v>
      </c>
      <c r="FB78" s="1091" t="str">
        <f t="shared" si="828"/>
        <v/>
      </c>
      <c r="FC78" s="1091" t="str">
        <f t="shared" si="900"/>
        <v/>
      </c>
      <c r="FD78" s="1147">
        <f t="shared" si="616"/>
        <v>-1248000</v>
      </c>
      <c r="FE78" s="1091">
        <f t="shared" si="94"/>
        <v>-1</v>
      </c>
      <c r="FF78" s="1147">
        <f t="shared" si="617"/>
        <v>-1248000</v>
      </c>
      <c r="FG78" s="1091">
        <f t="shared" si="96"/>
        <v>-1</v>
      </c>
      <c r="FH78" s="1146">
        <f t="shared" si="923"/>
        <v>3744000</v>
      </c>
      <c r="FI78" s="1091">
        <f t="shared" si="829"/>
        <v>0.312</v>
      </c>
      <c r="FJ78" s="1091">
        <f t="shared" si="901"/>
        <v>0.1618641353</v>
      </c>
      <c r="FK78" s="1147">
        <f t="shared" si="621"/>
        <v>3744000</v>
      </c>
      <c r="FL78" s="1091">
        <f t="shared" si="830"/>
        <v>0.2066225179</v>
      </c>
      <c r="FM78" s="1091">
        <f t="shared" si="902"/>
        <v>0.1618641353</v>
      </c>
      <c r="FN78" s="1147">
        <f t="shared" si="624"/>
        <v>0</v>
      </c>
      <c r="FO78" s="1091" t="str">
        <f t="shared" si="831"/>
        <v/>
      </c>
      <c r="FP78" s="1091" t="str">
        <f t="shared" si="903"/>
        <v/>
      </c>
      <c r="FQ78" s="1147">
        <f t="shared" si="627"/>
        <v>-3744000</v>
      </c>
      <c r="FR78" s="1091">
        <f t="shared" si="104"/>
        <v>-1</v>
      </c>
      <c r="FS78" s="1147">
        <f t="shared" si="628"/>
        <v>-3744000</v>
      </c>
      <c r="FT78" s="1091">
        <f t="shared" si="106"/>
        <v>-1</v>
      </c>
      <c r="FU78" s="1146">
        <f>SUMIFS(BP_SOTIEN,BP_THANG,FU$2,BP_KM,$E78)/1000</f>
        <v>1248000</v>
      </c>
      <c r="FV78" s="1091">
        <f t="shared" si="832"/>
        <v>0.312</v>
      </c>
      <c r="FW78" s="1091"/>
      <c r="FX78" s="1147">
        <f>IF(NOW()&gt;=DATE(YEAR(FU$2),MONTH(FU$2)+1,DAY(FU$2)),SUMIFS(TF_SOTIEN,TF_THANG,FU$2,TF_KM,$E78)/1000, GA78)</f>
        <v>1248000</v>
      </c>
      <c r="FY78" s="1091">
        <f t="shared" si="833"/>
        <v>0.2066225179</v>
      </c>
      <c r="FZ78" s="1091"/>
      <c r="GA78" s="1147">
        <f>IF(NOW()&gt;=DATE(YEAR(FU$2),MONTH(FU$2)+1,DAY(FU$2)),SUMIFS(AC_SOTIEN,AC_THANG,FU$2,AC_KM,$E78),SUMIFS(TF_SOTIEN,TF_THANG,FU$2,TF_KM,$E78))/ 1000</f>
        <v>0</v>
      </c>
      <c r="GB78" s="1091" t="str">
        <f t="shared" si="834"/>
        <v/>
      </c>
      <c r="GC78" s="1091" t="str">
        <f t="shared" si="904"/>
        <v/>
      </c>
      <c r="GD78" s="1147">
        <f t="shared" si="635"/>
        <v>-1248000</v>
      </c>
      <c r="GE78" s="1091">
        <f t="shared" si="111"/>
        <v>-1</v>
      </c>
      <c r="GF78" s="1147">
        <f t="shared" si="636"/>
        <v>-1248000</v>
      </c>
      <c r="GG78" s="1091">
        <f t="shared" si="113"/>
        <v>-1</v>
      </c>
      <c r="GH78" s="1146">
        <f>SUMIFS(BP_SOTIEN,BP_THANG,GH$2,BP_KM,$E78)/1000</f>
        <v>1248000</v>
      </c>
      <c r="GI78" s="1091">
        <f t="shared" si="835"/>
        <v>0.312</v>
      </c>
      <c r="GJ78" s="1091"/>
      <c r="GK78" s="1147">
        <f>IF(NOW()&gt;=DATE(YEAR(GH$2),MONTH(GH$2)+1,DAY(GH$2)),SUMIFS(TF_SOTIEN,TF_THANG,GH$2,TF_KM,$E78)/1000, GN78)</f>
        <v>1248000</v>
      </c>
      <c r="GL78" s="1091">
        <f t="shared" si="836"/>
        <v>0.2066225179</v>
      </c>
      <c r="GM78" s="1091"/>
      <c r="GN78" s="1147">
        <f>IF(NOW()&gt;=DATE(YEAR(GH$2),MONTH(GH$2)+1,DAY(GH$2)),SUMIFS(AC_SOTIEN,AC_THANG,GH$2,AC_KM,$E78),SUMIFS(TF_SOTIEN,TF_THANG,GH$2,TF_KM,$E78))/ 1000</f>
        <v>0</v>
      </c>
      <c r="GO78" s="1091" t="str">
        <f t="shared" si="837"/>
        <v/>
      </c>
      <c r="GP78" s="1091" t="str">
        <f t="shared" si="905"/>
        <v/>
      </c>
      <c r="GQ78" s="1147">
        <f t="shared" si="643"/>
        <v>-1248000</v>
      </c>
      <c r="GR78" s="1091">
        <f t="shared" si="118"/>
        <v>-1</v>
      </c>
      <c r="GS78" s="1147">
        <f t="shared" si="644"/>
        <v>-1248000</v>
      </c>
      <c r="GT78" s="1091">
        <f t="shared" si="120"/>
        <v>-1</v>
      </c>
      <c r="GU78" s="1146">
        <f>SUMIFS(BP_SOTIEN,BP_THANG,GU$2,BP_KM,$E78)/1000</f>
        <v>1248000</v>
      </c>
      <c r="GV78" s="1091">
        <f t="shared" si="838"/>
        <v>0.312</v>
      </c>
      <c r="GW78" s="1091"/>
      <c r="GX78" s="1147">
        <f>IF(NOW()&gt;=DATE(YEAR(GU$2),MONTH(GU$2)+1,DAY(GU$2)),SUMIFS(TF_SOTIEN,TF_THANG,GU$2,TF_KM,$E78)/1000, HA78)</f>
        <v>1248000</v>
      </c>
      <c r="GY78" s="1091">
        <f t="shared" si="839"/>
        <v>0.2066225179</v>
      </c>
      <c r="GZ78" s="1091"/>
      <c r="HA78" s="1147">
        <f>IF(NOW()&gt;=DATE(YEAR(GU$2),MONTH(GU$2)+1,DAY(GU$2)),SUMIFS(AC_SOTIEN,AC_THANG,GU$2,AC_KM,$E78),SUMIFS(TF_SOTIEN,TF_THANG,GU$2,TF_KM,$E78))/ 1000</f>
        <v>0</v>
      </c>
      <c r="HB78" s="1091" t="str">
        <f t="shared" si="840"/>
        <v/>
      </c>
      <c r="HC78" s="1091" t="str">
        <f t="shared" si="906"/>
        <v/>
      </c>
      <c r="HD78" s="1147">
        <f t="shared" si="651"/>
        <v>-1248000</v>
      </c>
      <c r="HE78" s="1091">
        <f t="shared" si="125"/>
        <v>-1</v>
      </c>
      <c r="HF78" s="1147">
        <f t="shared" si="652"/>
        <v>-1248000</v>
      </c>
      <c r="HG78" s="1091">
        <f t="shared" si="127"/>
        <v>-1</v>
      </c>
      <c r="HH78" s="1146">
        <f t="shared" si="924"/>
        <v>3744000</v>
      </c>
      <c r="HI78" s="1091">
        <f t="shared" si="841"/>
        <v>0.312</v>
      </c>
      <c r="HJ78" s="1091">
        <f t="shared" si="907"/>
        <v>0.1618641353</v>
      </c>
      <c r="HK78" s="1147">
        <f t="shared" si="656"/>
        <v>3744000</v>
      </c>
      <c r="HL78" s="1091">
        <f t="shared" si="842"/>
        <v>0.2066225179</v>
      </c>
      <c r="HM78" s="1091">
        <f t="shared" si="908"/>
        <v>0.1618641353</v>
      </c>
      <c r="HN78" s="1147">
        <f t="shared" si="659"/>
        <v>0</v>
      </c>
      <c r="HO78" s="1091" t="str">
        <f t="shared" si="843"/>
        <v/>
      </c>
      <c r="HP78" s="1091" t="str">
        <f t="shared" si="909"/>
        <v/>
      </c>
      <c r="HQ78" s="1147">
        <f t="shared" si="662"/>
        <v>-3744000</v>
      </c>
      <c r="HR78" s="1091">
        <f t="shared" si="135"/>
        <v>-1</v>
      </c>
      <c r="HS78" s="1147">
        <f t="shared" si="663"/>
        <v>-3744000</v>
      </c>
      <c r="HT78" s="1091">
        <f t="shared" si="137"/>
        <v>-1</v>
      </c>
      <c r="HU78" s="1146">
        <f t="shared" si="925"/>
        <v>7488000</v>
      </c>
      <c r="HV78" s="1091">
        <f t="shared" si="844"/>
        <v>0.312</v>
      </c>
      <c r="HW78" s="1091">
        <f t="shared" si="910"/>
        <v>0.1618641353</v>
      </c>
      <c r="HX78" s="1147">
        <f t="shared" si="667"/>
        <v>7488000</v>
      </c>
      <c r="HY78" s="1091">
        <f t="shared" si="845"/>
        <v>0.2066225179</v>
      </c>
      <c r="HZ78" s="1091">
        <f t="shared" si="911"/>
        <v>0.1618641353</v>
      </c>
      <c r="IA78" s="1147">
        <f t="shared" si="670"/>
        <v>0</v>
      </c>
      <c r="IB78" s="1091" t="str">
        <f t="shared" si="846"/>
        <v/>
      </c>
      <c r="IC78" s="1091" t="str">
        <f t="shared" si="912"/>
        <v/>
      </c>
      <c r="ID78" s="1147">
        <f t="shared" si="673"/>
        <v>-7488000</v>
      </c>
      <c r="IE78" s="1091">
        <f t="shared" si="145"/>
        <v>-1</v>
      </c>
      <c r="IF78" s="1147">
        <f t="shared" si="674"/>
        <v>-7488000</v>
      </c>
      <c r="IG78" s="1091">
        <f t="shared" si="147"/>
        <v>-1</v>
      </c>
      <c r="IH78" s="1146">
        <f t="shared" si="926"/>
        <v>11232000</v>
      </c>
      <c r="II78" s="1091">
        <f t="shared" si="847"/>
        <v>0.312</v>
      </c>
      <c r="IJ78" s="1091">
        <f t="shared" si="913"/>
        <v>0.1614929123</v>
      </c>
      <c r="IK78" s="1147">
        <f t="shared" si="678"/>
        <v>7682200</v>
      </c>
      <c r="IL78" s="1091">
        <f t="shared" si="848"/>
        <v>0.1853166269</v>
      </c>
      <c r="IM78" s="1091">
        <f t="shared" si="914"/>
        <v>0.1416975568</v>
      </c>
      <c r="IN78" s="1147">
        <f t="shared" si="681"/>
        <v>2200</v>
      </c>
      <c r="IO78" s="1091">
        <f t="shared" si="849"/>
        <v>0.0005063743322</v>
      </c>
      <c r="IP78" s="1091">
        <f t="shared" si="915"/>
        <v>0.0006841322359</v>
      </c>
      <c r="IQ78" s="1147">
        <f t="shared" si="684"/>
        <v>-11229800</v>
      </c>
      <c r="IR78" s="1091">
        <f t="shared" si="1"/>
        <v>-0.9998041311</v>
      </c>
      <c r="IS78" s="1147">
        <f t="shared" si="685"/>
        <v>-7680000</v>
      </c>
      <c r="IT78" s="1091">
        <f t="shared" si="2"/>
        <v>-0.9997136237</v>
      </c>
    </row>
    <row r="79" outlineLevel="1">
      <c r="A79" s="737"/>
      <c r="B79" s="737"/>
      <c r="C79" s="737"/>
      <c r="D79" s="744" t="s">
        <v>2841</v>
      </c>
      <c r="E79" s="1148" t="s">
        <v>2243</v>
      </c>
      <c r="F79" s="737"/>
      <c r="G79" s="748">
        <v>3.0</v>
      </c>
      <c r="H79" s="1146">
        <f>SUMIFS(BP_SOTIEN,BP_THANG,H$2,BP_KM,$E79)/1000</f>
        <v>0</v>
      </c>
      <c r="I79" s="1091" t="str">
        <f t="shared" si="791"/>
        <v/>
      </c>
      <c r="J79" s="1091"/>
      <c r="K79" s="1147">
        <f>IF(NOW()&gt;=DATE(YEAR(H$2),MONTH(H$2)+1,DAY(H$2)),SUMIFS(TF_SOTIEN,TF_THANG,H$2,TF_KM,$E79)/1000, N79)</f>
        <v>0</v>
      </c>
      <c r="L79" s="1091">
        <f t="shared" si="792"/>
        <v>0</v>
      </c>
      <c r="M79" s="1091"/>
      <c r="N79" s="1147">
        <f>IF(NOW()&gt;=DATE(YEAR(H$2),MONTH(H$2)+1,DAY(H$2)),SUMIFS(AC_SOTIEN,AC_THANG,H$2,AC_KM,$E79),SUMIFS(TF_SOTIEN,TF_THANG,H$2,TF_KM,$E79))/ 1000</f>
        <v>0</v>
      </c>
      <c r="O79" s="1091">
        <f t="shared" si="793"/>
        <v>0</v>
      </c>
      <c r="P79" s="1091">
        <f t="shared" si="883"/>
        <v>0</v>
      </c>
      <c r="Q79" s="1147">
        <f t="shared" si="518"/>
        <v>0</v>
      </c>
      <c r="R79" s="1091" t="str">
        <f t="shared" si="8"/>
        <v/>
      </c>
      <c r="S79" s="1147">
        <f t="shared" si="519"/>
        <v>0</v>
      </c>
      <c r="T79" s="1091" t="str">
        <f t="shared" si="10"/>
        <v/>
      </c>
      <c r="U79" s="1146">
        <f>SUMIFS(BP_SOTIEN,BP_THANG,U$2,BP_KM,$E79)/1000</f>
        <v>0</v>
      </c>
      <c r="V79" s="1091" t="str">
        <f t="shared" si="794"/>
        <v/>
      </c>
      <c r="W79" s="1091"/>
      <c r="X79" s="1147">
        <f>IF(NOW()&gt;=DATE(YEAR(U$2),MONTH(U$2)+1,DAY(U$2)),SUMIFS(TF_SOTIEN,TF_THANG,U$2,TF_KM,$E79)/1000, AA79)</f>
        <v>0</v>
      </c>
      <c r="Y79" s="1091" t="str">
        <f t="shared" si="795"/>
        <v/>
      </c>
      <c r="Z79" s="1091"/>
      <c r="AA79" s="1147">
        <f>IF(NOW()&gt;=DATE(YEAR(U$2),MONTH(U$2)+1,DAY(U$2)),SUMIFS(AC_SOTIEN,AC_THANG,U$2,AC_KM,$E79),SUMIFS(TF_SOTIEN,TF_THANG,U$2,TF_KM,$E79))/ 1000</f>
        <v>0</v>
      </c>
      <c r="AB79" s="1091">
        <f t="shared" si="796"/>
        <v>0</v>
      </c>
      <c r="AC79" s="1091">
        <f t="shared" si="884"/>
        <v>0</v>
      </c>
      <c r="AD79" s="1147">
        <f t="shared" si="526"/>
        <v>0</v>
      </c>
      <c r="AE79" s="1091" t="str">
        <f t="shared" si="15"/>
        <v/>
      </c>
      <c r="AF79" s="1147">
        <f t="shared" si="527"/>
        <v>0</v>
      </c>
      <c r="AG79" s="1091" t="str">
        <f t="shared" si="17"/>
        <v/>
      </c>
      <c r="AH79" s="1146">
        <f>SUMIFS(BP_SOTIEN,BP_THANG,AH$2,BP_KM,$E79)/1000</f>
        <v>0</v>
      </c>
      <c r="AI79" s="1091" t="str">
        <f t="shared" si="797"/>
        <v/>
      </c>
      <c r="AJ79" s="1091"/>
      <c r="AK79" s="1147">
        <f>IF(NOW()&gt;=DATE(YEAR(AH$2),MONTH(AH$2)+1,DAY(AH$2)),SUMIFS(TF_SOTIEN,TF_THANG,AH$2,TF_KM,$E79)/1000, AN79)</f>
        <v>0</v>
      </c>
      <c r="AL79" s="1091">
        <f t="shared" si="798"/>
        <v>0</v>
      </c>
      <c r="AM79" s="1091"/>
      <c r="AN79" s="1147">
        <f>IF(NOW()&gt;=DATE(YEAR(AH$2),MONTH(AH$2)+1,DAY(AH$2)),SUMIFS(AC_SOTIEN,AC_THANG,AH$2,AC_KM,$E79),SUMIFS(TF_SOTIEN,TF_THANG,AH$2,TF_KM,$E79))/ 1000</f>
        <v>0</v>
      </c>
      <c r="AO79" s="1091">
        <f t="shared" si="799"/>
        <v>0</v>
      </c>
      <c r="AP79" s="1091">
        <f t="shared" si="885"/>
        <v>0</v>
      </c>
      <c r="AQ79" s="1147">
        <f t="shared" si="534"/>
        <v>0</v>
      </c>
      <c r="AR79" s="1091" t="str">
        <f t="shared" si="22"/>
        <v/>
      </c>
      <c r="AS79" s="1147">
        <f t="shared" si="535"/>
        <v>0</v>
      </c>
      <c r="AT79" s="1091" t="str">
        <f t="shared" si="24"/>
        <v/>
      </c>
      <c r="AU79" s="1146">
        <f t="shared" si="916"/>
        <v>0</v>
      </c>
      <c r="AV79" s="1091" t="str">
        <f t="shared" si="800"/>
        <v/>
      </c>
      <c r="AW79" s="1091">
        <f t="shared" si="886"/>
        <v>0</v>
      </c>
      <c r="AX79" s="1147">
        <f t="shared" si="917"/>
        <v>0</v>
      </c>
      <c r="AY79" s="1091">
        <f t="shared" si="801"/>
        <v>0</v>
      </c>
      <c r="AZ79" s="1091">
        <f t="shared" si="887"/>
        <v>0</v>
      </c>
      <c r="BA79" s="1147">
        <f t="shared" si="918"/>
        <v>0</v>
      </c>
      <c r="BB79" s="1091">
        <f t="shared" si="802"/>
        <v>0</v>
      </c>
      <c r="BC79" s="1091">
        <f t="shared" si="888"/>
        <v>0</v>
      </c>
      <c r="BD79" s="1147">
        <f t="shared" si="545"/>
        <v>0</v>
      </c>
      <c r="BE79" s="1091" t="str">
        <f t="shared" si="32"/>
        <v/>
      </c>
      <c r="BF79" s="1147">
        <f t="shared" si="546"/>
        <v>0</v>
      </c>
      <c r="BG79" s="1091" t="str">
        <f t="shared" si="34"/>
        <v/>
      </c>
      <c r="BH79" s="1146">
        <f>SUMIFS(BP_SOTIEN,BP_THANG,BH$2,BP_KM,$E79)/1000</f>
        <v>39000</v>
      </c>
      <c r="BI79" s="1091">
        <f t="shared" si="803"/>
        <v>0.00975</v>
      </c>
      <c r="BJ79" s="1091"/>
      <c r="BK79" s="1147">
        <f>IF(NOW()&gt;=DATE(YEAR(BH$2),MONTH(BH$2)+1,DAY(BH$2)),SUMIFS(TF_SOTIEN,TF_THANG,BH$2,TF_KM,$E79)/1000, BN79)</f>
        <v>0</v>
      </c>
      <c r="BL79" s="1091" t="str">
        <f t="shared" si="804"/>
        <v/>
      </c>
      <c r="BM79" s="1091"/>
      <c r="BN79" s="1147">
        <f>IF(NOW()&gt;=DATE(YEAR(BH$2),MONTH(BH$2)+1,DAY(BH$2)),SUMIFS(AC_SOTIEN,AC_THANG,BH$2,AC_KM,$E79),SUMIFS(TF_SOTIEN,TF_THANG,BH$2,TF_KM,$E79))/ 1000</f>
        <v>0</v>
      </c>
      <c r="BO79" s="1091">
        <f t="shared" si="805"/>
        <v>0</v>
      </c>
      <c r="BP79" s="1091">
        <f t="shared" si="889"/>
        <v>0</v>
      </c>
      <c r="BQ79" s="1147">
        <f t="shared" si="553"/>
        <v>-39000</v>
      </c>
      <c r="BR79" s="1091">
        <f t="shared" si="39"/>
        <v>-1</v>
      </c>
      <c r="BS79" s="1147">
        <f t="shared" si="554"/>
        <v>0</v>
      </c>
      <c r="BT79" s="1091" t="str">
        <f t="shared" si="41"/>
        <v/>
      </c>
      <c r="BU79" s="1146">
        <f>SUMIFS(BP_SOTIEN,BP_THANG,BU$2,BP_KM,$E79)/1000</f>
        <v>39000</v>
      </c>
      <c r="BV79" s="1091">
        <f t="shared" si="806"/>
        <v>0.00975</v>
      </c>
      <c r="BW79" s="1091"/>
      <c r="BX79" s="1147">
        <f>IF(NOW()&gt;=DATE(YEAR(BU$2),MONTH(BU$2)+1,DAY(BU$2)),SUMIFS(TF_SOTIEN,TF_THANG,BU$2,TF_KM,$E79)/1000, CA79)</f>
        <v>0</v>
      </c>
      <c r="BY79" s="1091">
        <f t="shared" si="807"/>
        <v>0</v>
      </c>
      <c r="BZ79" s="1091"/>
      <c r="CA79" s="1147">
        <f>IF(NOW()&gt;=DATE(YEAR(BU$2),MONTH(BU$2)+1,DAY(BU$2)),SUMIFS(AC_SOTIEN,AC_THANG,BU$2,AC_KM,$E79),SUMIFS(TF_SOTIEN,TF_THANG,BU$2,TF_KM,$E79))/ 1000</f>
        <v>0</v>
      </c>
      <c r="CB79" s="1091">
        <f t="shared" si="808"/>
        <v>0</v>
      </c>
      <c r="CC79" s="1091">
        <f t="shared" si="890"/>
        <v>0</v>
      </c>
      <c r="CD79" s="1147">
        <f t="shared" si="561"/>
        <v>-39000</v>
      </c>
      <c r="CE79" s="1091">
        <f t="shared" si="46"/>
        <v>-1</v>
      </c>
      <c r="CF79" s="1147">
        <f t="shared" si="562"/>
        <v>0</v>
      </c>
      <c r="CG79" s="1091" t="str">
        <f t="shared" si="48"/>
        <v/>
      </c>
      <c r="CH79" s="1146">
        <f>SUMIFS(BP_SOTIEN,BP_THANG,CH$2,BP_KM,$E79)/1000</f>
        <v>39000</v>
      </c>
      <c r="CI79" s="1091">
        <f t="shared" si="809"/>
        <v>0.00975</v>
      </c>
      <c r="CJ79" s="1091"/>
      <c r="CK79" s="1147">
        <f>IF(NOW()&gt;=DATE(YEAR(CH$2),MONTH(CH$2)+1,DAY(CH$2)),SUMIFS(TF_SOTIEN,TF_THANG,CH$2,TF_KM,$E79)/1000, CN79)</f>
        <v>39000</v>
      </c>
      <c r="CL79" s="1091" t="str">
        <f t="shared" si="810"/>
        <v/>
      </c>
      <c r="CM79" s="1091"/>
      <c r="CN79" s="1147">
        <f>IF(NOW()&gt;=DATE(YEAR(CH$2),MONTH(CH$2)+1,DAY(CH$2)),SUMIFS(AC_SOTIEN,AC_THANG,CH$2,AC_KM,$E79),SUMIFS(TF_SOTIEN,TF_THANG,CH$2,TF_KM,$E79))/ 1000</f>
        <v>0</v>
      </c>
      <c r="CO79" s="1091" t="str">
        <f t="shared" si="811"/>
        <v/>
      </c>
      <c r="CP79" s="1091" t="str">
        <f t="shared" si="891"/>
        <v/>
      </c>
      <c r="CQ79" s="1147">
        <f t="shared" si="569"/>
        <v>-39000</v>
      </c>
      <c r="CR79" s="1091">
        <f t="shared" si="53"/>
        <v>-1</v>
      </c>
      <c r="CS79" s="1147">
        <f t="shared" si="570"/>
        <v>-39000</v>
      </c>
      <c r="CT79" s="1091">
        <f t="shared" si="55"/>
        <v>-1</v>
      </c>
      <c r="CU79" s="1146">
        <f t="shared" si="919"/>
        <v>117000</v>
      </c>
      <c r="CV79" s="1091">
        <f t="shared" si="812"/>
        <v>0.00975</v>
      </c>
      <c r="CW79" s="1091">
        <f t="shared" si="892"/>
        <v>0.005058254228</v>
      </c>
      <c r="CX79" s="1147">
        <f t="shared" si="920"/>
        <v>39000</v>
      </c>
      <c r="CY79" s="1091">
        <f t="shared" si="814"/>
        <v>0.02609644411</v>
      </c>
      <c r="CZ79" s="1091">
        <f t="shared" si="893"/>
        <v>0.005143451113</v>
      </c>
      <c r="DA79" s="1147">
        <f t="shared" si="921"/>
        <v>0</v>
      </c>
      <c r="DB79" s="1091">
        <f t="shared" si="816"/>
        <v>0</v>
      </c>
      <c r="DC79" s="1091">
        <f t="shared" si="894"/>
        <v>0</v>
      </c>
      <c r="DD79" s="1147">
        <f t="shared" si="580"/>
        <v>-117000</v>
      </c>
      <c r="DE79" s="1091">
        <f t="shared" si="63"/>
        <v>-1</v>
      </c>
      <c r="DF79" s="1147">
        <f t="shared" si="581"/>
        <v>-39000</v>
      </c>
      <c r="DG79" s="1091">
        <f t="shared" si="65"/>
        <v>-1</v>
      </c>
      <c r="DH79" s="1146">
        <f t="shared" si="922"/>
        <v>117000</v>
      </c>
      <c r="DI79" s="1091">
        <f t="shared" si="817"/>
        <v>0.00975</v>
      </c>
      <c r="DJ79" s="1091">
        <f t="shared" si="895"/>
        <v>0.005023610972</v>
      </c>
      <c r="DK79" s="1147">
        <f t="shared" si="585"/>
        <v>39000</v>
      </c>
      <c r="DL79" s="1091">
        <f t="shared" si="818"/>
        <v>0.007479207114</v>
      </c>
      <c r="DM79" s="1091">
        <f t="shared" si="896"/>
        <v>0.004902914414</v>
      </c>
      <c r="DN79" s="1147">
        <f t="shared" si="588"/>
        <v>0</v>
      </c>
      <c r="DO79" s="1091">
        <f t="shared" si="819"/>
        <v>0</v>
      </c>
      <c r="DP79" s="1091">
        <f t="shared" si="897"/>
        <v>0</v>
      </c>
      <c r="DQ79" s="1147">
        <f t="shared" si="591"/>
        <v>-117000</v>
      </c>
      <c r="DR79" s="1091">
        <f t="shared" si="73"/>
        <v>-1</v>
      </c>
      <c r="DS79" s="1147">
        <f t="shared" si="592"/>
        <v>-39000</v>
      </c>
      <c r="DT79" s="1091">
        <f t="shared" si="75"/>
        <v>-1</v>
      </c>
      <c r="DU79" s="1146">
        <f>SUMIFS(BP_SOTIEN,BP_THANG,DU$2,BP_KM,$E79)/1000</f>
        <v>39000</v>
      </c>
      <c r="DV79" s="1091">
        <f t="shared" si="820"/>
        <v>0.00975</v>
      </c>
      <c r="DW79" s="1091"/>
      <c r="DX79" s="1147">
        <f>IF(NOW()&gt;=DATE(YEAR(DU$2),MONTH(DU$2)+1,DAY(DU$2)),SUMIFS(TF_SOTIEN,TF_THANG,DU$2,TF_KM,$E79)/1000, EA79)</f>
        <v>39000</v>
      </c>
      <c r="DY79" s="1091">
        <f t="shared" si="821"/>
        <v>0.006456953685</v>
      </c>
      <c r="DZ79" s="1091"/>
      <c r="EA79" s="1147">
        <f>IF(NOW()&gt;=DATE(YEAR(DU$2),MONTH(DU$2)+1,DAY(DU$2)),SUMIFS(AC_SOTIEN,AC_THANG,DU$2,AC_KM,$E79),SUMIFS(TF_SOTIEN,TF_THANG,DU$2,TF_KM,$E79))/ 1000</f>
        <v>0</v>
      </c>
      <c r="EB79" s="1091" t="str">
        <f t="shared" si="822"/>
        <v/>
      </c>
      <c r="EC79" s="1091" t="str">
        <f t="shared" si="898"/>
        <v/>
      </c>
      <c r="ED79" s="1147">
        <f t="shared" si="599"/>
        <v>-39000</v>
      </c>
      <c r="EE79" s="1091">
        <f t="shared" si="80"/>
        <v>-1</v>
      </c>
      <c r="EF79" s="1147">
        <f t="shared" si="600"/>
        <v>-39000</v>
      </c>
      <c r="EG79" s="1091">
        <f t="shared" si="82"/>
        <v>-1</v>
      </c>
      <c r="EH79" s="1146">
        <f>SUMIFS(BP_SOTIEN,BP_THANG,EH$2,BP_KM,$E79)/1000</f>
        <v>39000</v>
      </c>
      <c r="EI79" s="1091">
        <f t="shared" si="823"/>
        <v>0.00975</v>
      </c>
      <c r="EJ79" s="1091"/>
      <c r="EK79" s="1147">
        <f>IF(NOW()&gt;=DATE(YEAR(EH$2),MONTH(EH$2)+1,DAY(EH$2)),SUMIFS(TF_SOTIEN,TF_THANG,EH$2,TF_KM,$E79)/1000, EN79)</f>
        <v>39000</v>
      </c>
      <c r="EL79" s="1091">
        <f t="shared" si="824"/>
        <v>0.006456953685</v>
      </c>
      <c r="EM79" s="1091"/>
      <c r="EN79" s="1147">
        <f>IF(NOW()&gt;=DATE(YEAR(EH$2),MONTH(EH$2)+1,DAY(EH$2)),SUMIFS(AC_SOTIEN,AC_THANG,EH$2,AC_KM,$E79),SUMIFS(TF_SOTIEN,TF_THANG,EH$2,TF_KM,$E79))/ 1000</f>
        <v>0</v>
      </c>
      <c r="EO79" s="1091" t="str">
        <f t="shared" si="825"/>
        <v/>
      </c>
      <c r="EP79" s="1091" t="str">
        <f t="shared" si="899"/>
        <v/>
      </c>
      <c r="EQ79" s="1147">
        <f t="shared" si="607"/>
        <v>-39000</v>
      </c>
      <c r="ER79" s="1091">
        <f t="shared" si="87"/>
        <v>-1</v>
      </c>
      <c r="ES79" s="1147">
        <f t="shared" si="608"/>
        <v>-39000</v>
      </c>
      <c r="ET79" s="1091">
        <f t="shared" si="89"/>
        <v>-1</v>
      </c>
      <c r="EU79" s="1146">
        <f>SUMIFS(BP_SOTIEN,BP_THANG,EU$2,BP_KM,$E79)/1000</f>
        <v>39000</v>
      </c>
      <c r="EV79" s="1091">
        <f t="shared" si="826"/>
        <v>0.00975</v>
      </c>
      <c r="EW79" s="1091"/>
      <c r="EX79" s="1147">
        <f>IF(NOW()&gt;=DATE(YEAR(EU$2),MONTH(EU$2)+1,DAY(EU$2)),SUMIFS(TF_SOTIEN,TF_THANG,EU$2,TF_KM,$E79)/1000, FA79)</f>
        <v>39000</v>
      </c>
      <c r="EY79" s="1091">
        <f t="shared" si="827"/>
        <v>0.006456953685</v>
      </c>
      <c r="EZ79" s="1091"/>
      <c r="FA79" s="1147">
        <f>IF(NOW()&gt;=DATE(YEAR(EU$2),MONTH(EU$2)+1,DAY(EU$2)),SUMIFS(AC_SOTIEN,AC_THANG,EU$2,AC_KM,$E79),SUMIFS(TF_SOTIEN,TF_THANG,EU$2,TF_KM,$E79))/ 1000</f>
        <v>0</v>
      </c>
      <c r="FB79" s="1091" t="str">
        <f t="shared" si="828"/>
        <v/>
      </c>
      <c r="FC79" s="1091" t="str">
        <f t="shared" si="900"/>
        <v/>
      </c>
      <c r="FD79" s="1147">
        <f t="shared" si="616"/>
        <v>-39000</v>
      </c>
      <c r="FE79" s="1091">
        <f t="shared" si="94"/>
        <v>-1</v>
      </c>
      <c r="FF79" s="1147">
        <f t="shared" si="617"/>
        <v>-39000</v>
      </c>
      <c r="FG79" s="1091">
        <f t="shared" si="96"/>
        <v>-1</v>
      </c>
      <c r="FH79" s="1146">
        <f t="shared" si="923"/>
        <v>117000</v>
      </c>
      <c r="FI79" s="1091">
        <f t="shared" si="829"/>
        <v>0.00975</v>
      </c>
      <c r="FJ79" s="1091">
        <f t="shared" si="901"/>
        <v>0.005058254228</v>
      </c>
      <c r="FK79" s="1147">
        <f t="shared" si="621"/>
        <v>117000</v>
      </c>
      <c r="FL79" s="1091">
        <f t="shared" si="830"/>
        <v>0.006456953685</v>
      </c>
      <c r="FM79" s="1091">
        <f t="shared" si="902"/>
        <v>0.005058254228</v>
      </c>
      <c r="FN79" s="1147">
        <f t="shared" si="624"/>
        <v>0</v>
      </c>
      <c r="FO79" s="1091" t="str">
        <f t="shared" si="831"/>
        <v/>
      </c>
      <c r="FP79" s="1091" t="str">
        <f t="shared" si="903"/>
        <v/>
      </c>
      <c r="FQ79" s="1147">
        <f t="shared" si="627"/>
        <v>-117000</v>
      </c>
      <c r="FR79" s="1091">
        <f t="shared" si="104"/>
        <v>-1</v>
      </c>
      <c r="FS79" s="1147">
        <f t="shared" si="628"/>
        <v>-117000</v>
      </c>
      <c r="FT79" s="1091">
        <f t="shared" si="106"/>
        <v>-1</v>
      </c>
      <c r="FU79" s="1146">
        <f>SUMIFS(BP_SOTIEN,BP_THANG,FU$2,BP_KM,$E79)/1000</f>
        <v>39000</v>
      </c>
      <c r="FV79" s="1091">
        <f t="shared" si="832"/>
        <v>0.00975</v>
      </c>
      <c r="FW79" s="1091"/>
      <c r="FX79" s="1147">
        <f>IF(NOW()&gt;=DATE(YEAR(FU$2),MONTH(FU$2)+1,DAY(FU$2)),SUMIFS(TF_SOTIEN,TF_THANG,FU$2,TF_KM,$E79)/1000, GA79)</f>
        <v>39000</v>
      </c>
      <c r="FY79" s="1091">
        <f t="shared" si="833"/>
        <v>0.006456953685</v>
      </c>
      <c r="FZ79" s="1091"/>
      <c r="GA79" s="1147">
        <f>IF(NOW()&gt;=DATE(YEAR(FU$2),MONTH(FU$2)+1,DAY(FU$2)),SUMIFS(AC_SOTIEN,AC_THANG,FU$2,AC_KM,$E79),SUMIFS(TF_SOTIEN,TF_THANG,FU$2,TF_KM,$E79))/ 1000</f>
        <v>0</v>
      </c>
      <c r="GB79" s="1091" t="str">
        <f t="shared" si="834"/>
        <v/>
      </c>
      <c r="GC79" s="1091" t="str">
        <f t="shared" si="904"/>
        <v/>
      </c>
      <c r="GD79" s="1147">
        <f t="shared" si="635"/>
        <v>-39000</v>
      </c>
      <c r="GE79" s="1091">
        <f t="shared" si="111"/>
        <v>-1</v>
      </c>
      <c r="GF79" s="1147">
        <f t="shared" si="636"/>
        <v>-39000</v>
      </c>
      <c r="GG79" s="1091">
        <f t="shared" si="113"/>
        <v>-1</v>
      </c>
      <c r="GH79" s="1146">
        <f>SUMIFS(BP_SOTIEN,BP_THANG,GH$2,BP_KM,$E79)/1000</f>
        <v>39000</v>
      </c>
      <c r="GI79" s="1091">
        <f t="shared" si="835"/>
        <v>0.00975</v>
      </c>
      <c r="GJ79" s="1091"/>
      <c r="GK79" s="1147">
        <f>IF(NOW()&gt;=DATE(YEAR(GH$2),MONTH(GH$2)+1,DAY(GH$2)),SUMIFS(TF_SOTIEN,TF_THANG,GH$2,TF_KM,$E79)/1000, GN79)</f>
        <v>39000</v>
      </c>
      <c r="GL79" s="1091">
        <f t="shared" si="836"/>
        <v>0.006456953685</v>
      </c>
      <c r="GM79" s="1091"/>
      <c r="GN79" s="1147">
        <f>IF(NOW()&gt;=DATE(YEAR(GH$2),MONTH(GH$2)+1,DAY(GH$2)),SUMIFS(AC_SOTIEN,AC_THANG,GH$2,AC_KM,$E79),SUMIFS(TF_SOTIEN,TF_THANG,GH$2,TF_KM,$E79))/ 1000</f>
        <v>0</v>
      </c>
      <c r="GO79" s="1091" t="str">
        <f t="shared" si="837"/>
        <v/>
      </c>
      <c r="GP79" s="1091" t="str">
        <f t="shared" si="905"/>
        <v/>
      </c>
      <c r="GQ79" s="1147">
        <f t="shared" si="643"/>
        <v>-39000</v>
      </c>
      <c r="GR79" s="1091">
        <f t="shared" si="118"/>
        <v>-1</v>
      </c>
      <c r="GS79" s="1147">
        <f t="shared" si="644"/>
        <v>-39000</v>
      </c>
      <c r="GT79" s="1091">
        <f t="shared" si="120"/>
        <v>-1</v>
      </c>
      <c r="GU79" s="1146">
        <f>SUMIFS(BP_SOTIEN,BP_THANG,GU$2,BP_KM,$E79)/1000</f>
        <v>39000</v>
      </c>
      <c r="GV79" s="1091">
        <f t="shared" si="838"/>
        <v>0.00975</v>
      </c>
      <c r="GW79" s="1091"/>
      <c r="GX79" s="1147">
        <f>IF(NOW()&gt;=DATE(YEAR(GU$2),MONTH(GU$2)+1,DAY(GU$2)),SUMIFS(TF_SOTIEN,TF_THANG,GU$2,TF_KM,$E79)/1000, HA79)</f>
        <v>39000</v>
      </c>
      <c r="GY79" s="1091">
        <f t="shared" si="839"/>
        <v>0.006456953685</v>
      </c>
      <c r="GZ79" s="1091"/>
      <c r="HA79" s="1147">
        <f>IF(NOW()&gt;=DATE(YEAR(GU$2),MONTH(GU$2)+1,DAY(GU$2)),SUMIFS(AC_SOTIEN,AC_THANG,GU$2,AC_KM,$E79),SUMIFS(TF_SOTIEN,TF_THANG,GU$2,TF_KM,$E79))/ 1000</f>
        <v>0</v>
      </c>
      <c r="HB79" s="1091" t="str">
        <f t="shared" si="840"/>
        <v/>
      </c>
      <c r="HC79" s="1091" t="str">
        <f t="shared" si="906"/>
        <v/>
      </c>
      <c r="HD79" s="1147">
        <f t="shared" si="651"/>
        <v>-39000</v>
      </c>
      <c r="HE79" s="1091">
        <f t="shared" si="125"/>
        <v>-1</v>
      </c>
      <c r="HF79" s="1147">
        <f t="shared" si="652"/>
        <v>-39000</v>
      </c>
      <c r="HG79" s="1091">
        <f t="shared" si="127"/>
        <v>-1</v>
      </c>
      <c r="HH79" s="1146">
        <f t="shared" si="924"/>
        <v>117000</v>
      </c>
      <c r="HI79" s="1091">
        <f t="shared" si="841"/>
        <v>0.00975</v>
      </c>
      <c r="HJ79" s="1091">
        <f t="shared" si="907"/>
        <v>0.005058254228</v>
      </c>
      <c r="HK79" s="1147">
        <f t="shared" si="656"/>
        <v>117000</v>
      </c>
      <c r="HL79" s="1091">
        <f t="shared" si="842"/>
        <v>0.006456953685</v>
      </c>
      <c r="HM79" s="1091">
        <f t="shared" si="908"/>
        <v>0.005058254228</v>
      </c>
      <c r="HN79" s="1147">
        <f t="shared" si="659"/>
        <v>0</v>
      </c>
      <c r="HO79" s="1091" t="str">
        <f t="shared" si="843"/>
        <v/>
      </c>
      <c r="HP79" s="1091" t="str">
        <f t="shared" si="909"/>
        <v/>
      </c>
      <c r="HQ79" s="1147">
        <f t="shared" si="662"/>
        <v>-117000</v>
      </c>
      <c r="HR79" s="1091">
        <f t="shared" si="135"/>
        <v>-1</v>
      </c>
      <c r="HS79" s="1147">
        <f t="shared" si="663"/>
        <v>-117000</v>
      </c>
      <c r="HT79" s="1091">
        <f t="shared" si="137"/>
        <v>-1</v>
      </c>
      <c r="HU79" s="1146">
        <f t="shared" si="925"/>
        <v>234000</v>
      </c>
      <c r="HV79" s="1091">
        <f t="shared" si="844"/>
        <v>0.00975</v>
      </c>
      <c r="HW79" s="1091">
        <f t="shared" si="910"/>
        <v>0.005058254228</v>
      </c>
      <c r="HX79" s="1147">
        <f t="shared" si="667"/>
        <v>234000</v>
      </c>
      <c r="HY79" s="1091">
        <f t="shared" si="845"/>
        <v>0.006456953685</v>
      </c>
      <c r="HZ79" s="1091">
        <f t="shared" si="911"/>
        <v>0.005058254228</v>
      </c>
      <c r="IA79" s="1147">
        <f t="shared" si="670"/>
        <v>0</v>
      </c>
      <c r="IB79" s="1091" t="str">
        <f t="shared" si="846"/>
        <v/>
      </c>
      <c r="IC79" s="1091" t="str">
        <f t="shared" si="912"/>
        <v/>
      </c>
      <c r="ID79" s="1147">
        <f t="shared" si="673"/>
        <v>-234000</v>
      </c>
      <c r="IE79" s="1091">
        <f t="shared" si="145"/>
        <v>-1</v>
      </c>
      <c r="IF79" s="1147">
        <f t="shared" si="674"/>
        <v>-234000</v>
      </c>
      <c r="IG79" s="1091">
        <f t="shared" si="147"/>
        <v>-1</v>
      </c>
      <c r="IH79" s="1146">
        <f t="shared" si="926"/>
        <v>351000</v>
      </c>
      <c r="II79" s="1091">
        <f t="shared" si="847"/>
        <v>0.00975</v>
      </c>
      <c r="IJ79" s="1091">
        <f t="shared" si="913"/>
        <v>0.005046653508</v>
      </c>
      <c r="IK79" s="1147">
        <f t="shared" si="678"/>
        <v>273000</v>
      </c>
      <c r="IL79" s="1091">
        <f t="shared" si="848"/>
        <v>0.006585540489</v>
      </c>
      <c r="IM79" s="1091">
        <f t="shared" si="914"/>
        <v>0.00503546289</v>
      </c>
      <c r="IN79" s="1147">
        <f t="shared" si="681"/>
        <v>0</v>
      </c>
      <c r="IO79" s="1091">
        <f t="shared" si="849"/>
        <v>0</v>
      </c>
      <c r="IP79" s="1091">
        <f t="shared" si="915"/>
        <v>0</v>
      </c>
      <c r="IQ79" s="1147">
        <f t="shared" si="684"/>
        <v>-351000</v>
      </c>
      <c r="IR79" s="1091">
        <f t="shared" si="1"/>
        <v>-1</v>
      </c>
      <c r="IS79" s="1147">
        <f t="shared" si="685"/>
        <v>-273000</v>
      </c>
      <c r="IT79" s="1091">
        <f t="shared" si="2"/>
        <v>-1</v>
      </c>
    </row>
    <row r="80" outlineLevel="1">
      <c r="A80" s="737"/>
      <c r="B80" s="737"/>
      <c r="C80" s="737"/>
      <c r="D80" s="737"/>
      <c r="E80" s="737"/>
      <c r="F80" s="737"/>
      <c r="G80" s="748">
        <v>3.0</v>
      </c>
      <c r="H80" s="1146">
        <f>SUMIFS(BP_SOTIEN,BP_THANG,H$2,BP_KM,$E80)/1000</f>
        <v>0</v>
      </c>
      <c r="I80" s="1091" t="str">
        <f t="shared" si="791"/>
        <v/>
      </c>
      <c r="J80" s="1091"/>
      <c r="K80" s="1147">
        <f>IF(NOW()&gt;=DATE(YEAR(H$2),MONTH(H$2)+1,DAY(H$2)),SUMIFS(TF_SOTIEN,TF_THANG,H$2,TF_KM,$E80)/1000, N80)</f>
        <v>0</v>
      </c>
      <c r="L80" s="1091">
        <f t="shared" si="792"/>
        <v>0</v>
      </c>
      <c r="M80" s="1091"/>
      <c r="N80" s="1147">
        <f>IF(NOW()&gt;=DATE(YEAR(H$2),MONTH(H$2)+1,DAY(H$2)),SUMIFS(AC_SOTIEN,AC_THANG,H$2,AC_KM,$E80),SUMIFS(TF_SOTIEN,TF_THANG,H$2,TF_KM,$E80))/ 1000</f>
        <v>0</v>
      </c>
      <c r="O80" s="1091">
        <f t="shared" si="793"/>
        <v>0</v>
      </c>
      <c r="P80" s="1091">
        <f t="shared" si="883"/>
        <v>0</v>
      </c>
      <c r="Q80" s="1147">
        <f t="shared" si="518"/>
        <v>0</v>
      </c>
      <c r="R80" s="1091" t="str">
        <f t="shared" si="8"/>
        <v/>
      </c>
      <c r="S80" s="1147">
        <f t="shared" si="519"/>
        <v>0</v>
      </c>
      <c r="T80" s="1091" t="str">
        <f t="shared" si="10"/>
        <v/>
      </c>
      <c r="U80" s="1146">
        <f>SUMIFS(BP_SOTIEN,BP_THANG,U$2,BP_KM,$E80)/1000</f>
        <v>0</v>
      </c>
      <c r="V80" s="1091" t="str">
        <f t="shared" si="794"/>
        <v/>
      </c>
      <c r="W80" s="1091"/>
      <c r="X80" s="1147">
        <f>IF(NOW()&gt;=DATE(YEAR(U$2),MONTH(U$2)+1,DAY(U$2)),SUMIFS(TF_SOTIEN,TF_THANG,U$2,TF_KM,$E80)/1000, AA80)</f>
        <v>0</v>
      </c>
      <c r="Y80" s="1091" t="str">
        <f t="shared" si="795"/>
        <v/>
      </c>
      <c r="Z80" s="1091"/>
      <c r="AA80" s="1147">
        <f>IF(NOW()&gt;=DATE(YEAR(U$2),MONTH(U$2)+1,DAY(U$2)),SUMIFS(AC_SOTIEN,AC_THANG,U$2,AC_KM,$E80),SUMIFS(TF_SOTIEN,TF_THANG,U$2,TF_KM,$E80))/ 1000</f>
        <v>0</v>
      </c>
      <c r="AB80" s="1091">
        <f t="shared" si="796"/>
        <v>0</v>
      </c>
      <c r="AC80" s="1091">
        <f t="shared" si="884"/>
        <v>0</v>
      </c>
      <c r="AD80" s="1147">
        <f t="shared" si="526"/>
        <v>0</v>
      </c>
      <c r="AE80" s="1091" t="str">
        <f t="shared" si="15"/>
        <v/>
      </c>
      <c r="AF80" s="1147">
        <f t="shared" si="527"/>
        <v>0</v>
      </c>
      <c r="AG80" s="1091" t="str">
        <f t="shared" si="17"/>
        <v/>
      </c>
      <c r="AH80" s="1146">
        <f>SUMIFS(BP_SOTIEN,BP_THANG,AH$2,BP_KM,$E80)/1000</f>
        <v>0</v>
      </c>
      <c r="AI80" s="1091" t="str">
        <f t="shared" si="797"/>
        <v/>
      </c>
      <c r="AJ80" s="1091"/>
      <c r="AK80" s="1147">
        <f>IF(NOW()&gt;=DATE(YEAR(AH$2),MONTH(AH$2)+1,DAY(AH$2)),SUMIFS(TF_SOTIEN,TF_THANG,AH$2,TF_KM,$E80)/1000, AN80)</f>
        <v>0</v>
      </c>
      <c r="AL80" s="1091">
        <f t="shared" si="798"/>
        <v>0</v>
      </c>
      <c r="AM80" s="1091"/>
      <c r="AN80" s="1147">
        <f>IF(NOW()&gt;=DATE(YEAR(AH$2),MONTH(AH$2)+1,DAY(AH$2)),SUMIFS(AC_SOTIEN,AC_THANG,AH$2,AC_KM,$E80),SUMIFS(TF_SOTIEN,TF_THANG,AH$2,TF_KM,$E80))/ 1000</f>
        <v>0</v>
      </c>
      <c r="AO80" s="1091">
        <f t="shared" si="799"/>
        <v>0</v>
      </c>
      <c r="AP80" s="1091">
        <f t="shared" si="885"/>
        <v>0</v>
      </c>
      <c r="AQ80" s="1147">
        <f t="shared" si="534"/>
        <v>0</v>
      </c>
      <c r="AR80" s="1091" t="str">
        <f t="shared" si="22"/>
        <v/>
      </c>
      <c r="AS80" s="1147">
        <f t="shared" si="535"/>
        <v>0</v>
      </c>
      <c r="AT80" s="1091" t="str">
        <f t="shared" si="24"/>
        <v/>
      </c>
      <c r="AU80" s="1146">
        <f t="shared" si="916"/>
        <v>0</v>
      </c>
      <c r="AV80" s="1091" t="str">
        <f t="shared" si="800"/>
        <v/>
      </c>
      <c r="AW80" s="1091">
        <f t="shared" si="886"/>
        <v>0</v>
      </c>
      <c r="AX80" s="1147">
        <f t="shared" si="917"/>
        <v>0</v>
      </c>
      <c r="AY80" s="1091">
        <f t="shared" si="801"/>
        <v>0</v>
      </c>
      <c r="AZ80" s="1091">
        <f t="shared" si="887"/>
        <v>0</v>
      </c>
      <c r="BA80" s="1147">
        <f t="shared" si="918"/>
        <v>0</v>
      </c>
      <c r="BB80" s="1091">
        <f t="shared" si="802"/>
        <v>0</v>
      </c>
      <c r="BC80" s="1091">
        <f t="shared" si="888"/>
        <v>0</v>
      </c>
      <c r="BD80" s="1147">
        <f t="shared" si="545"/>
        <v>0</v>
      </c>
      <c r="BE80" s="1091" t="str">
        <f t="shared" si="32"/>
        <v/>
      </c>
      <c r="BF80" s="1147">
        <f t="shared" si="546"/>
        <v>0</v>
      </c>
      <c r="BG80" s="1091" t="str">
        <f t="shared" si="34"/>
        <v/>
      </c>
      <c r="BH80" s="1146">
        <f>SUMIFS(BP_SOTIEN,BP_THANG,BH$2,BP_KM,$E80)/1000</f>
        <v>0</v>
      </c>
      <c r="BI80" s="1091">
        <f t="shared" si="803"/>
        <v>0</v>
      </c>
      <c r="BJ80" s="1091"/>
      <c r="BK80" s="1147">
        <f>IF(NOW()&gt;=DATE(YEAR(BH$2),MONTH(BH$2)+1,DAY(BH$2)),SUMIFS(TF_SOTIEN,TF_THANG,BH$2,TF_KM,$E80)/1000, BN80)</f>
        <v>0</v>
      </c>
      <c r="BL80" s="1091" t="str">
        <f t="shared" si="804"/>
        <v/>
      </c>
      <c r="BM80" s="1091"/>
      <c r="BN80" s="1147">
        <f>IF(NOW()&gt;=DATE(YEAR(BH$2),MONTH(BH$2)+1,DAY(BH$2)),SUMIFS(AC_SOTIEN,AC_THANG,BH$2,AC_KM,$E80),SUMIFS(TF_SOTIEN,TF_THANG,BH$2,TF_KM,$E80))/ 1000</f>
        <v>0</v>
      </c>
      <c r="BO80" s="1091">
        <f t="shared" si="805"/>
        <v>0</v>
      </c>
      <c r="BP80" s="1091">
        <f t="shared" si="889"/>
        <v>0</v>
      </c>
      <c r="BQ80" s="1147">
        <f t="shared" si="553"/>
        <v>0</v>
      </c>
      <c r="BR80" s="1091" t="str">
        <f t="shared" si="39"/>
        <v/>
      </c>
      <c r="BS80" s="1147">
        <f t="shared" si="554"/>
        <v>0</v>
      </c>
      <c r="BT80" s="1091" t="str">
        <f t="shared" si="41"/>
        <v/>
      </c>
      <c r="BU80" s="1146">
        <f>SUMIFS(BP_SOTIEN,BP_THANG,BU$2,BP_KM,$E80)/1000</f>
        <v>0</v>
      </c>
      <c r="BV80" s="1091">
        <f t="shared" si="806"/>
        <v>0</v>
      </c>
      <c r="BW80" s="1091"/>
      <c r="BX80" s="1147">
        <f>IF(NOW()&gt;=DATE(YEAR(BU$2),MONTH(BU$2)+1,DAY(BU$2)),SUMIFS(TF_SOTIEN,TF_THANG,BU$2,TF_KM,$E80)/1000, CA80)</f>
        <v>0</v>
      </c>
      <c r="BY80" s="1091">
        <f t="shared" si="807"/>
        <v>0</v>
      </c>
      <c r="BZ80" s="1091"/>
      <c r="CA80" s="1147">
        <f>IF(NOW()&gt;=DATE(YEAR(BU$2),MONTH(BU$2)+1,DAY(BU$2)),SUMIFS(AC_SOTIEN,AC_THANG,BU$2,AC_KM,$E80),SUMIFS(TF_SOTIEN,TF_THANG,BU$2,TF_KM,$E80))/ 1000</f>
        <v>0</v>
      </c>
      <c r="CB80" s="1091">
        <f t="shared" si="808"/>
        <v>0</v>
      </c>
      <c r="CC80" s="1091">
        <f t="shared" si="890"/>
        <v>0</v>
      </c>
      <c r="CD80" s="1147">
        <f t="shared" si="561"/>
        <v>0</v>
      </c>
      <c r="CE80" s="1091" t="str">
        <f t="shared" si="46"/>
        <v/>
      </c>
      <c r="CF80" s="1147">
        <f t="shared" si="562"/>
        <v>0</v>
      </c>
      <c r="CG80" s="1091" t="str">
        <f t="shared" si="48"/>
        <v/>
      </c>
      <c r="CH80" s="1146">
        <f>SUMIFS(BP_SOTIEN,BP_THANG,CH$2,BP_KM,$E80)/1000</f>
        <v>0</v>
      </c>
      <c r="CI80" s="1091">
        <f t="shared" si="809"/>
        <v>0</v>
      </c>
      <c r="CJ80" s="1091"/>
      <c r="CK80" s="1147">
        <f>IF(NOW()&gt;=DATE(YEAR(CH$2),MONTH(CH$2)+1,DAY(CH$2)),SUMIFS(TF_SOTIEN,TF_THANG,CH$2,TF_KM,$E80)/1000, CN80)</f>
        <v>0</v>
      </c>
      <c r="CL80" s="1091" t="str">
        <f t="shared" si="810"/>
        <v/>
      </c>
      <c r="CM80" s="1091"/>
      <c r="CN80" s="1147">
        <f>IF(NOW()&gt;=DATE(YEAR(CH$2),MONTH(CH$2)+1,DAY(CH$2)),SUMIFS(AC_SOTIEN,AC_THANG,CH$2,AC_KM,$E80),SUMIFS(TF_SOTIEN,TF_THANG,CH$2,TF_KM,$E80))/ 1000</f>
        <v>0</v>
      </c>
      <c r="CO80" s="1091" t="str">
        <f t="shared" si="811"/>
        <v/>
      </c>
      <c r="CP80" s="1091" t="str">
        <f t="shared" si="891"/>
        <v/>
      </c>
      <c r="CQ80" s="1147">
        <f t="shared" si="569"/>
        <v>0</v>
      </c>
      <c r="CR80" s="1091" t="str">
        <f t="shared" si="53"/>
        <v/>
      </c>
      <c r="CS80" s="1147">
        <f t="shared" si="570"/>
        <v>0</v>
      </c>
      <c r="CT80" s="1091" t="str">
        <f t="shared" si="55"/>
        <v/>
      </c>
      <c r="CU80" s="1146">
        <f t="shared" si="919"/>
        <v>0</v>
      </c>
      <c r="CV80" s="1091">
        <f t="shared" si="812"/>
        <v>0</v>
      </c>
      <c r="CW80" s="1091">
        <f t="shared" si="892"/>
        <v>0</v>
      </c>
      <c r="CX80" s="1147">
        <f t="shared" si="920"/>
        <v>0</v>
      </c>
      <c r="CY80" s="1091">
        <f t="shared" si="814"/>
        <v>0</v>
      </c>
      <c r="CZ80" s="1091">
        <f t="shared" si="893"/>
        <v>0</v>
      </c>
      <c r="DA80" s="1147">
        <f t="shared" si="921"/>
        <v>0</v>
      </c>
      <c r="DB80" s="1091">
        <f t="shared" si="816"/>
        <v>0</v>
      </c>
      <c r="DC80" s="1091">
        <f t="shared" si="894"/>
        <v>0</v>
      </c>
      <c r="DD80" s="1147">
        <f t="shared" si="580"/>
        <v>0</v>
      </c>
      <c r="DE80" s="1091" t="str">
        <f t="shared" si="63"/>
        <v/>
      </c>
      <c r="DF80" s="1147">
        <f t="shared" si="581"/>
        <v>0</v>
      </c>
      <c r="DG80" s="1091" t="str">
        <f t="shared" si="65"/>
        <v/>
      </c>
      <c r="DH80" s="1146">
        <f t="shared" si="922"/>
        <v>0</v>
      </c>
      <c r="DI80" s="1091">
        <f t="shared" si="817"/>
        <v>0</v>
      </c>
      <c r="DJ80" s="1091">
        <f t="shared" si="895"/>
        <v>0</v>
      </c>
      <c r="DK80" s="1147">
        <f t="shared" si="585"/>
        <v>0</v>
      </c>
      <c r="DL80" s="1091">
        <f t="shared" si="818"/>
        <v>0</v>
      </c>
      <c r="DM80" s="1091">
        <f t="shared" si="896"/>
        <v>0</v>
      </c>
      <c r="DN80" s="1147">
        <f t="shared" si="588"/>
        <v>0</v>
      </c>
      <c r="DO80" s="1091">
        <f t="shared" si="819"/>
        <v>0</v>
      </c>
      <c r="DP80" s="1091">
        <f t="shared" si="897"/>
        <v>0</v>
      </c>
      <c r="DQ80" s="1147">
        <f t="shared" si="591"/>
        <v>0</v>
      </c>
      <c r="DR80" s="1091" t="str">
        <f t="shared" si="73"/>
        <v/>
      </c>
      <c r="DS80" s="1147">
        <f t="shared" si="592"/>
        <v>0</v>
      </c>
      <c r="DT80" s="1091" t="str">
        <f t="shared" si="75"/>
        <v/>
      </c>
      <c r="DU80" s="1146">
        <f>SUMIFS(BP_SOTIEN,BP_THANG,DU$2,BP_KM,$E80)/1000</f>
        <v>0</v>
      </c>
      <c r="DV80" s="1091">
        <f t="shared" si="820"/>
        <v>0</v>
      </c>
      <c r="DW80" s="1091"/>
      <c r="DX80" s="1147">
        <f>IF(NOW()&gt;=DATE(YEAR(DU$2),MONTH(DU$2)+1,DAY(DU$2)),SUMIFS(TF_SOTIEN,TF_THANG,DU$2,TF_KM,$E80)/1000, EA80)</f>
        <v>0</v>
      </c>
      <c r="DY80" s="1091">
        <f t="shared" si="821"/>
        <v>0</v>
      </c>
      <c r="DZ80" s="1091"/>
      <c r="EA80" s="1147">
        <f>IF(NOW()&gt;=DATE(YEAR(DU$2),MONTH(DU$2)+1,DAY(DU$2)),SUMIFS(AC_SOTIEN,AC_THANG,DU$2,AC_KM,$E80),SUMIFS(TF_SOTIEN,TF_THANG,DU$2,TF_KM,$E80))/ 1000</f>
        <v>0</v>
      </c>
      <c r="EB80" s="1091" t="str">
        <f t="shared" si="822"/>
        <v/>
      </c>
      <c r="EC80" s="1091" t="str">
        <f t="shared" si="898"/>
        <v/>
      </c>
      <c r="ED80" s="1147">
        <f t="shared" si="599"/>
        <v>0</v>
      </c>
      <c r="EE80" s="1091" t="str">
        <f t="shared" si="80"/>
        <v/>
      </c>
      <c r="EF80" s="1147">
        <f t="shared" si="600"/>
        <v>0</v>
      </c>
      <c r="EG80" s="1091" t="str">
        <f t="shared" si="82"/>
        <v/>
      </c>
      <c r="EH80" s="1146">
        <f>SUMIFS(BP_SOTIEN,BP_THANG,EH$2,BP_KM,$E80)/1000</f>
        <v>0</v>
      </c>
      <c r="EI80" s="1091">
        <f t="shared" si="823"/>
        <v>0</v>
      </c>
      <c r="EJ80" s="1091"/>
      <c r="EK80" s="1147">
        <f>IF(NOW()&gt;=DATE(YEAR(EH$2),MONTH(EH$2)+1,DAY(EH$2)),SUMIFS(TF_SOTIEN,TF_THANG,EH$2,TF_KM,$E80)/1000, EN80)</f>
        <v>0</v>
      </c>
      <c r="EL80" s="1091">
        <f t="shared" si="824"/>
        <v>0</v>
      </c>
      <c r="EM80" s="1091"/>
      <c r="EN80" s="1147">
        <f>IF(NOW()&gt;=DATE(YEAR(EH$2),MONTH(EH$2)+1,DAY(EH$2)),SUMIFS(AC_SOTIEN,AC_THANG,EH$2,AC_KM,$E80),SUMIFS(TF_SOTIEN,TF_THANG,EH$2,TF_KM,$E80))/ 1000</f>
        <v>0</v>
      </c>
      <c r="EO80" s="1091" t="str">
        <f t="shared" si="825"/>
        <v/>
      </c>
      <c r="EP80" s="1091" t="str">
        <f t="shared" si="899"/>
        <v/>
      </c>
      <c r="EQ80" s="1147">
        <f t="shared" si="607"/>
        <v>0</v>
      </c>
      <c r="ER80" s="1091" t="str">
        <f t="shared" si="87"/>
        <v/>
      </c>
      <c r="ES80" s="1147">
        <f t="shared" si="608"/>
        <v>0</v>
      </c>
      <c r="ET80" s="1091" t="str">
        <f t="shared" si="89"/>
        <v/>
      </c>
      <c r="EU80" s="1146">
        <f>SUMIFS(BP_SOTIEN,BP_THANG,EU$2,BP_KM,$E80)/1000</f>
        <v>0</v>
      </c>
      <c r="EV80" s="1091">
        <f t="shared" si="826"/>
        <v>0</v>
      </c>
      <c r="EW80" s="1091"/>
      <c r="EX80" s="1147">
        <f>IF(NOW()&gt;=DATE(YEAR(EU$2),MONTH(EU$2)+1,DAY(EU$2)),SUMIFS(TF_SOTIEN,TF_THANG,EU$2,TF_KM,$E80)/1000, FA80)</f>
        <v>0</v>
      </c>
      <c r="EY80" s="1091">
        <f t="shared" si="827"/>
        <v>0</v>
      </c>
      <c r="EZ80" s="1091"/>
      <c r="FA80" s="1147">
        <f>IF(NOW()&gt;=DATE(YEAR(EU$2),MONTH(EU$2)+1,DAY(EU$2)),SUMIFS(AC_SOTIEN,AC_THANG,EU$2,AC_KM,$E80),SUMIFS(TF_SOTIEN,TF_THANG,EU$2,TF_KM,$E80))/ 1000</f>
        <v>0</v>
      </c>
      <c r="FB80" s="1091" t="str">
        <f t="shared" si="828"/>
        <v/>
      </c>
      <c r="FC80" s="1091" t="str">
        <f t="shared" si="900"/>
        <v/>
      </c>
      <c r="FD80" s="1147">
        <f t="shared" si="616"/>
        <v>0</v>
      </c>
      <c r="FE80" s="1091" t="str">
        <f t="shared" si="94"/>
        <v/>
      </c>
      <c r="FF80" s="1147">
        <f t="shared" si="617"/>
        <v>0</v>
      </c>
      <c r="FG80" s="1091" t="str">
        <f t="shared" si="96"/>
        <v/>
      </c>
      <c r="FH80" s="1146">
        <f t="shared" si="923"/>
        <v>0</v>
      </c>
      <c r="FI80" s="1091">
        <f t="shared" si="829"/>
        <v>0</v>
      </c>
      <c r="FJ80" s="1091">
        <f t="shared" si="901"/>
        <v>0</v>
      </c>
      <c r="FK80" s="1147">
        <f t="shared" si="621"/>
        <v>0</v>
      </c>
      <c r="FL80" s="1091">
        <f t="shared" si="830"/>
        <v>0</v>
      </c>
      <c r="FM80" s="1091">
        <f t="shared" si="902"/>
        <v>0</v>
      </c>
      <c r="FN80" s="1147">
        <f t="shared" si="624"/>
        <v>0</v>
      </c>
      <c r="FO80" s="1091" t="str">
        <f t="shared" si="831"/>
        <v/>
      </c>
      <c r="FP80" s="1091" t="str">
        <f t="shared" si="903"/>
        <v/>
      </c>
      <c r="FQ80" s="1147">
        <f t="shared" si="627"/>
        <v>0</v>
      </c>
      <c r="FR80" s="1091" t="str">
        <f t="shared" si="104"/>
        <v/>
      </c>
      <c r="FS80" s="1147">
        <f t="shared" si="628"/>
        <v>0</v>
      </c>
      <c r="FT80" s="1091" t="str">
        <f t="shared" si="106"/>
        <v/>
      </c>
      <c r="FU80" s="1146">
        <f>SUMIFS(BP_SOTIEN,BP_THANG,FU$2,BP_KM,$E80)/1000</f>
        <v>0</v>
      </c>
      <c r="FV80" s="1091">
        <f t="shared" si="832"/>
        <v>0</v>
      </c>
      <c r="FW80" s="1091"/>
      <c r="FX80" s="1147">
        <f>IF(NOW()&gt;=DATE(YEAR(FU$2),MONTH(FU$2)+1,DAY(FU$2)),SUMIFS(TF_SOTIEN,TF_THANG,FU$2,TF_KM,$E80)/1000, GA80)</f>
        <v>0</v>
      </c>
      <c r="FY80" s="1091">
        <f t="shared" si="833"/>
        <v>0</v>
      </c>
      <c r="FZ80" s="1091"/>
      <c r="GA80" s="1147">
        <f>IF(NOW()&gt;=DATE(YEAR(FU$2),MONTH(FU$2)+1,DAY(FU$2)),SUMIFS(AC_SOTIEN,AC_THANG,FU$2,AC_KM,$E80),SUMIFS(TF_SOTIEN,TF_THANG,FU$2,TF_KM,$E80))/ 1000</f>
        <v>0</v>
      </c>
      <c r="GB80" s="1091" t="str">
        <f t="shared" si="834"/>
        <v/>
      </c>
      <c r="GC80" s="1091" t="str">
        <f t="shared" si="904"/>
        <v/>
      </c>
      <c r="GD80" s="1147">
        <f t="shared" si="635"/>
        <v>0</v>
      </c>
      <c r="GE80" s="1091" t="str">
        <f t="shared" si="111"/>
        <v/>
      </c>
      <c r="GF80" s="1147">
        <f t="shared" si="636"/>
        <v>0</v>
      </c>
      <c r="GG80" s="1091" t="str">
        <f t="shared" si="113"/>
        <v/>
      </c>
      <c r="GH80" s="1146">
        <f>SUMIFS(BP_SOTIEN,BP_THANG,GH$2,BP_KM,$E80)/1000</f>
        <v>0</v>
      </c>
      <c r="GI80" s="1091">
        <f t="shared" si="835"/>
        <v>0</v>
      </c>
      <c r="GJ80" s="1091"/>
      <c r="GK80" s="1147">
        <f>IF(NOW()&gt;=DATE(YEAR(GH$2),MONTH(GH$2)+1,DAY(GH$2)),SUMIFS(TF_SOTIEN,TF_THANG,GH$2,TF_KM,$E80)/1000, GN80)</f>
        <v>0</v>
      </c>
      <c r="GL80" s="1091">
        <f t="shared" si="836"/>
        <v>0</v>
      </c>
      <c r="GM80" s="1091"/>
      <c r="GN80" s="1147">
        <f>IF(NOW()&gt;=DATE(YEAR(GH$2),MONTH(GH$2)+1,DAY(GH$2)),SUMIFS(AC_SOTIEN,AC_THANG,GH$2,AC_KM,$E80),SUMIFS(TF_SOTIEN,TF_THANG,GH$2,TF_KM,$E80))/ 1000</f>
        <v>0</v>
      </c>
      <c r="GO80" s="1091" t="str">
        <f t="shared" si="837"/>
        <v/>
      </c>
      <c r="GP80" s="1091" t="str">
        <f t="shared" si="905"/>
        <v/>
      </c>
      <c r="GQ80" s="1147">
        <f t="shared" si="643"/>
        <v>0</v>
      </c>
      <c r="GR80" s="1091" t="str">
        <f t="shared" si="118"/>
        <v/>
      </c>
      <c r="GS80" s="1147">
        <f t="shared" si="644"/>
        <v>0</v>
      </c>
      <c r="GT80" s="1091" t="str">
        <f t="shared" si="120"/>
        <v/>
      </c>
      <c r="GU80" s="1146">
        <f>SUMIFS(BP_SOTIEN,BP_THANG,GU$2,BP_KM,$E80)/1000</f>
        <v>0</v>
      </c>
      <c r="GV80" s="1091">
        <f t="shared" si="838"/>
        <v>0</v>
      </c>
      <c r="GW80" s="1091"/>
      <c r="GX80" s="1147">
        <f>IF(NOW()&gt;=DATE(YEAR(GU$2),MONTH(GU$2)+1,DAY(GU$2)),SUMIFS(TF_SOTIEN,TF_THANG,GU$2,TF_KM,$E80)/1000, HA80)</f>
        <v>0</v>
      </c>
      <c r="GY80" s="1091">
        <f t="shared" si="839"/>
        <v>0</v>
      </c>
      <c r="GZ80" s="1091"/>
      <c r="HA80" s="1147">
        <f>IF(NOW()&gt;=DATE(YEAR(GU$2),MONTH(GU$2)+1,DAY(GU$2)),SUMIFS(AC_SOTIEN,AC_THANG,GU$2,AC_KM,$E80),SUMIFS(TF_SOTIEN,TF_THANG,GU$2,TF_KM,$E80))/ 1000</f>
        <v>0</v>
      </c>
      <c r="HB80" s="1091" t="str">
        <f t="shared" si="840"/>
        <v/>
      </c>
      <c r="HC80" s="1091" t="str">
        <f t="shared" si="906"/>
        <v/>
      </c>
      <c r="HD80" s="1147">
        <f t="shared" si="651"/>
        <v>0</v>
      </c>
      <c r="HE80" s="1091" t="str">
        <f t="shared" si="125"/>
        <v/>
      </c>
      <c r="HF80" s="1147">
        <f t="shared" si="652"/>
        <v>0</v>
      </c>
      <c r="HG80" s="1091" t="str">
        <f t="shared" si="127"/>
        <v/>
      </c>
      <c r="HH80" s="1146">
        <f t="shared" si="924"/>
        <v>0</v>
      </c>
      <c r="HI80" s="1091">
        <f t="shared" si="841"/>
        <v>0</v>
      </c>
      <c r="HJ80" s="1091">
        <f t="shared" si="907"/>
        <v>0</v>
      </c>
      <c r="HK80" s="1147">
        <f t="shared" si="656"/>
        <v>0</v>
      </c>
      <c r="HL80" s="1091">
        <f t="shared" si="842"/>
        <v>0</v>
      </c>
      <c r="HM80" s="1091">
        <f t="shared" si="908"/>
        <v>0</v>
      </c>
      <c r="HN80" s="1147">
        <f t="shared" si="659"/>
        <v>0</v>
      </c>
      <c r="HO80" s="1091" t="str">
        <f t="shared" si="843"/>
        <v/>
      </c>
      <c r="HP80" s="1091" t="str">
        <f t="shared" si="909"/>
        <v/>
      </c>
      <c r="HQ80" s="1147">
        <f t="shared" si="662"/>
        <v>0</v>
      </c>
      <c r="HR80" s="1091" t="str">
        <f t="shared" si="135"/>
        <v/>
      </c>
      <c r="HS80" s="1147">
        <f t="shared" si="663"/>
        <v>0</v>
      </c>
      <c r="HT80" s="1091" t="str">
        <f t="shared" si="137"/>
        <v/>
      </c>
      <c r="HU80" s="1146">
        <f t="shared" si="925"/>
        <v>0</v>
      </c>
      <c r="HV80" s="1091">
        <f t="shared" si="844"/>
        <v>0</v>
      </c>
      <c r="HW80" s="1091">
        <f t="shared" si="910"/>
        <v>0</v>
      </c>
      <c r="HX80" s="1147">
        <f t="shared" si="667"/>
        <v>0</v>
      </c>
      <c r="HY80" s="1091">
        <f t="shared" si="845"/>
        <v>0</v>
      </c>
      <c r="HZ80" s="1091">
        <f t="shared" si="911"/>
        <v>0</v>
      </c>
      <c r="IA80" s="1147">
        <f t="shared" si="670"/>
        <v>0</v>
      </c>
      <c r="IB80" s="1091" t="str">
        <f t="shared" si="846"/>
        <v/>
      </c>
      <c r="IC80" s="1091" t="str">
        <f t="shared" si="912"/>
        <v/>
      </c>
      <c r="ID80" s="1147">
        <f t="shared" si="673"/>
        <v>0</v>
      </c>
      <c r="IE80" s="1091" t="str">
        <f t="shared" si="145"/>
        <v/>
      </c>
      <c r="IF80" s="1147">
        <f t="shared" si="674"/>
        <v>0</v>
      </c>
      <c r="IG80" s="1091" t="str">
        <f t="shared" si="147"/>
        <v/>
      </c>
      <c r="IH80" s="1146">
        <f t="shared" si="926"/>
        <v>0</v>
      </c>
      <c r="II80" s="1091">
        <f t="shared" si="847"/>
        <v>0</v>
      </c>
      <c r="IJ80" s="1091">
        <f t="shared" si="913"/>
        <v>0</v>
      </c>
      <c r="IK80" s="1147">
        <f t="shared" si="678"/>
        <v>0</v>
      </c>
      <c r="IL80" s="1091">
        <f t="shared" si="848"/>
        <v>0</v>
      </c>
      <c r="IM80" s="1091">
        <f t="shared" si="914"/>
        <v>0</v>
      </c>
      <c r="IN80" s="1147">
        <f t="shared" si="681"/>
        <v>0</v>
      </c>
      <c r="IO80" s="1091">
        <f t="shared" si="849"/>
        <v>0</v>
      </c>
      <c r="IP80" s="1091">
        <f t="shared" si="915"/>
        <v>0</v>
      </c>
      <c r="IQ80" s="1147">
        <f t="shared" si="684"/>
        <v>0</v>
      </c>
      <c r="IR80" s="1091" t="str">
        <f t="shared" si="1"/>
        <v/>
      </c>
      <c r="IS80" s="1147">
        <f t="shared" si="685"/>
        <v>0</v>
      </c>
      <c r="IT80" s="1091" t="str">
        <f t="shared" si="2"/>
        <v/>
      </c>
    </row>
    <row r="81" outlineLevel="1">
      <c r="A81" s="1087"/>
      <c r="B81" s="1087"/>
      <c r="C81" s="1087"/>
      <c r="D81" s="1087" t="s">
        <v>2842</v>
      </c>
      <c r="E81" s="1087" t="s">
        <v>734</v>
      </c>
      <c r="F81" s="1087"/>
      <c r="G81" s="1086">
        <v>2.0</v>
      </c>
      <c r="H81" s="1088">
        <f>SUMIFS(BP_SOTIEN,BP_THANG,H$2,BP_KM,$E81)/1000</f>
        <v>0</v>
      </c>
      <c r="I81" s="1091" t="str">
        <f t="shared" si="791"/>
        <v/>
      </c>
      <c r="J81" s="1091"/>
      <c r="K81" s="1090">
        <f>IF(NOW()&gt;=DATE(YEAR(H$2),MONTH(H$2)+1,DAY(H$2)),SUMIFS(TF_SOTIEN,TF_THANG,H$2,TF_KM,$E81)/1000, N81)</f>
        <v>0</v>
      </c>
      <c r="L81" s="1091">
        <f t="shared" si="792"/>
        <v>0</v>
      </c>
      <c r="M81" s="1091"/>
      <c r="N81" s="1090">
        <f>IF(NOW()&gt;=DATE(YEAR(H$2),MONTH(H$2)+1,DAY(H$2)),SUMIFS(AC_SOTIEN,AC_THANG,H$2,AC_KM,$E81),SUMIFS(TF_SOTIEN,TF_THANG,H$2,TF_KM,$E81))/ 1000</f>
        <v>0</v>
      </c>
      <c r="O81" s="1091">
        <f t="shared" si="793"/>
        <v>0</v>
      </c>
      <c r="P81" s="1091">
        <f t="shared" si="883"/>
        <v>0</v>
      </c>
      <c r="Q81" s="1090">
        <f t="shared" si="518"/>
        <v>0</v>
      </c>
      <c r="R81" s="1091" t="str">
        <f t="shared" si="8"/>
        <v/>
      </c>
      <c r="S81" s="1090">
        <f t="shared" si="519"/>
        <v>0</v>
      </c>
      <c r="T81" s="1091" t="str">
        <f t="shared" si="10"/>
        <v/>
      </c>
      <c r="U81" s="1088">
        <f>SUMIFS(BP_SOTIEN,BP_THANG,U$2,BP_KM,$E81)/1000</f>
        <v>0</v>
      </c>
      <c r="V81" s="1091" t="str">
        <f t="shared" si="794"/>
        <v/>
      </c>
      <c r="W81" s="1091"/>
      <c r="X81" s="1090">
        <f>IF(NOW()&gt;=DATE(YEAR(U$2),MONTH(U$2)+1,DAY(U$2)),SUMIFS(TF_SOTIEN,TF_THANG,U$2,TF_KM,$E81)/1000, AA81)</f>
        <v>0</v>
      </c>
      <c r="Y81" s="1091" t="str">
        <f t="shared" si="795"/>
        <v/>
      </c>
      <c r="Z81" s="1091"/>
      <c r="AA81" s="1090">
        <f>IF(NOW()&gt;=DATE(YEAR(U$2),MONTH(U$2)+1,DAY(U$2)),SUMIFS(AC_SOTIEN,AC_THANG,U$2,AC_KM,$E81),SUMIFS(TF_SOTIEN,TF_THANG,U$2,TF_KM,$E81))/ 1000</f>
        <v>0</v>
      </c>
      <c r="AB81" s="1091">
        <f t="shared" si="796"/>
        <v>0</v>
      </c>
      <c r="AC81" s="1091">
        <f t="shared" si="884"/>
        <v>0</v>
      </c>
      <c r="AD81" s="1090">
        <f t="shared" si="526"/>
        <v>0</v>
      </c>
      <c r="AE81" s="1091" t="str">
        <f t="shared" si="15"/>
        <v/>
      </c>
      <c r="AF81" s="1090">
        <f t="shared" si="527"/>
        <v>0</v>
      </c>
      <c r="AG81" s="1091" t="str">
        <f t="shared" si="17"/>
        <v/>
      </c>
      <c r="AH81" s="1088">
        <f>SUMIFS(BP_SOTIEN,BP_THANG,AH$2,BP_KM,$E81)/1000</f>
        <v>0</v>
      </c>
      <c r="AI81" s="1091" t="str">
        <f t="shared" si="797"/>
        <v/>
      </c>
      <c r="AJ81" s="1091"/>
      <c r="AK81" s="1090">
        <f>IF(NOW()&gt;=DATE(YEAR(AH$2),MONTH(AH$2)+1,DAY(AH$2)),SUMIFS(TF_SOTIEN,TF_THANG,AH$2,TF_KM,$E81)/1000, AN81)</f>
        <v>0</v>
      </c>
      <c r="AL81" s="1091">
        <f t="shared" si="798"/>
        <v>0</v>
      </c>
      <c r="AM81" s="1091"/>
      <c r="AN81" s="1090">
        <f>IF(NOW()&gt;=DATE(YEAR(AH$2),MONTH(AH$2)+1,DAY(AH$2)),SUMIFS(AC_SOTIEN,AC_THANG,AH$2,AC_KM,$E81),SUMIFS(TF_SOTIEN,TF_THANG,AH$2,TF_KM,$E81))/ 1000</f>
        <v>0</v>
      </c>
      <c r="AO81" s="1091">
        <f t="shared" si="799"/>
        <v>0</v>
      </c>
      <c r="AP81" s="1091">
        <f t="shared" si="885"/>
        <v>0</v>
      </c>
      <c r="AQ81" s="1090">
        <f t="shared" si="534"/>
        <v>0</v>
      </c>
      <c r="AR81" s="1091" t="str">
        <f t="shared" si="22"/>
        <v/>
      </c>
      <c r="AS81" s="1090">
        <f t="shared" si="535"/>
        <v>0</v>
      </c>
      <c r="AT81" s="1091" t="str">
        <f t="shared" si="24"/>
        <v/>
      </c>
      <c r="AU81" s="1088">
        <f t="shared" si="916"/>
        <v>0</v>
      </c>
      <c r="AV81" s="1091" t="str">
        <f t="shared" si="800"/>
        <v/>
      </c>
      <c r="AW81" s="1091">
        <f t="shared" si="886"/>
        <v>0</v>
      </c>
      <c r="AX81" s="1090">
        <f t="shared" si="917"/>
        <v>0</v>
      </c>
      <c r="AY81" s="1091">
        <f t="shared" si="801"/>
        <v>0</v>
      </c>
      <c r="AZ81" s="1091">
        <f t="shared" si="887"/>
        <v>0</v>
      </c>
      <c r="BA81" s="1090">
        <f t="shared" si="918"/>
        <v>0</v>
      </c>
      <c r="BB81" s="1091">
        <f t="shared" si="802"/>
        <v>0</v>
      </c>
      <c r="BC81" s="1091">
        <f t="shared" si="888"/>
        <v>0</v>
      </c>
      <c r="BD81" s="1090">
        <f t="shared" si="545"/>
        <v>0</v>
      </c>
      <c r="BE81" s="1091" t="str">
        <f t="shared" si="32"/>
        <v/>
      </c>
      <c r="BF81" s="1090">
        <f t="shared" si="546"/>
        <v>0</v>
      </c>
      <c r="BG81" s="1091" t="str">
        <f t="shared" si="34"/>
        <v/>
      </c>
      <c r="BH81" s="1088">
        <f>SUMIFS(BP_SOTIEN,BP_THANG,BH$2,BP_KM,$E81)/1000</f>
        <v>0</v>
      </c>
      <c r="BI81" s="1091">
        <f t="shared" si="803"/>
        <v>0</v>
      </c>
      <c r="BJ81" s="1091"/>
      <c r="BK81" s="1090">
        <f>IF(NOW()&gt;=DATE(YEAR(BH$2),MONTH(BH$2)+1,DAY(BH$2)),SUMIFS(TF_SOTIEN,TF_THANG,BH$2,TF_KM,$E81)/1000, BN81)</f>
        <v>0</v>
      </c>
      <c r="BL81" s="1091" t="str">
        <f t="shared" si="804"/>
        <v/>
      </c>
      <c r="BM81" s="1091"/>
      <c r="BN81" s="1090">
        <f>IF(NOW()&gt;=DATE(YEAR(BH$2),MONTH(BH$2)+1,DAY(BH$2)),SUMIFS(AC_SOTIEN,AC_THANG,BH$2,AC_KM,$E81),SUMIFS(TF_SOTIEN,TF_THANG,BH$2,TF_KM,$E81))/ 1000</f>
        <v>13320</v>
      </c>
      <c r="BO81" s="1091">
        <f t="shared" si="805"/>
        <v>0.005121028512</v>
      </c>
      <c r="BP81" s="1091">
        <f t="shared" si="889"/>
        <v>0.01123943376</v>
      </c>
      <c r="BQ81" s="1090">
        <f t="shared" si="553"/>
        <v>13320</v>
      </c>
      <c r="BR81" s="1091" t="str">
        <f t="shared" si="39"/>
        <v/>
      </c>
      <c r="BS81" s="1090">
        <f t="shared" si="554"/>
        <v>13320</v>
      </c>
      <c r="BT81" s="1091" t="str">
        <f t="shared" si="41"/>
        <v/>
      </c>
      <c r="BU81" s="1088">
        <f>SUMIFS(BP_SOTIEN,BP_THANG,BU$2,BP_KM,$E81)/1000</f>
        <v>0</v>
      </c>
      <c r="BV81" s="1091">
        <f t="shared" si="806"/>
        <v>0</v>
      </c>
      <c r="BW81" s="1091"/>
      <c r="BX81" s="1090">
        <f>IF(NOW()&gt;=DATE(YEAR(BU$2),MONTH(BU$2)+1,DAY(BU$2)),SUMIFS(TF_SOTIEN,TF_THANG,BU$2,TF_KM,$E81)/1000, CA81)</f>
        <v>0</v>
      </c>
      <c r="BY81" s="1091">
        <f t="shared" si="807"/>
        <v>0</v>
      </c>
      <c r="BZ81" s="1091"/>
      <c r="CA81" s="1090">
        <f>IF(NOW()&gt;=DATE(YEAR(BU$2),MONTH(BU$2)+1,DAY(BU$2)),SUMIFS(AC_SOTIEN,AC_THANG,BU$2,AC_KM,$E81),SUMIFS(TF_SOTIEN,TF_THANG,BU$2,TF_KM,$E81))/ 1000</f>
        <v>0</v>
      </c>
      <c r="CB81" s="1091">
        <f t="shared" si="808"/>
        <v>0</v>
      </c>
      <c r="CC81" s="1091">
        <f t="shared" si="890"/>
        <v>0</v>
      </c>
      <c r="CD81" s="1090">
        <f t="shared" si="561"/>
        <v>0</v>
      </c>
      <c r="CE81" s="1091" t="str">
        <f t="shared" si="46"/>
        <v/>
      </c>
      <c r="CF81" s="1090">
        <f t="shared" si="562"/>
        <v>0</v>
      </c>
      <c r="CG81" s="1091" t="str">
        <f t="shared" si="48"/>
        <v/>
      </c>
      <c r="CH81" s="1088">
        <f>SUMIFS(BP_SOTIEN,BP_THANG,CH$2,BP_KM,$E81)/1000</f>
        <v>0</v>
      </c>
      <c r="CI81" s="1091">
        <f t="shared" si="809"/>
        <v>0</v>
      </c>
      <c r="CJ81" s="1091"/>
      <c r="CK81" s="1090">
        <f>IF(NOW()&gt;=DATE(YEAR(CH$2),MONTH(CH$2)+1,DAY(CH$2)),SUMIFS(TF_SOTIEN,TF_THANG,CH$2,TF_KM,$E81)/1000, CN81)</f>
        <v>0</v>
      </c>
      <c r="CL81" s="1091" t="str">
        <f t="shared" si="810"/>
        <v/>
      </c>
      <c r="CM81" s="1091"/>
      <c r="CN81" s="1090">
        <f>IF(NOW()&gt;=DATE(YEAR(CH$2),MONTH(CH$2)+1,DAY(CH$2)),SUMIFS(AC_SOTIEN,AC_THANG,CH$2,AC_KM,$E81),SUMIFS(TF_SOTIEN,TF_THANG,CH$2,TF_KM,$E81))/ 1000</f>
        <v>0</v>
      </c>
      <c r="CO81" s="1091" t="str">
        <f t="shared" si="811"/>
        <v/>
      </c>
      <c r="CP81" s="1091" t="str">
        <f t="shared" si="891"/>
        <v/>
      </c>
      <c r="CQ81" s="1090">
        <f t="shared" si="569"/>
        <v>0</v>
      </c>
      <c r="CR81" s="1091" t="str">
        <f t="shared" si="53"/>
        <v/>
      </c>
      <c r="CS81" s="1090">
        <f t="shared" si="570"/>
        <v>0</v>
      </c>
      <c r="CT81" s="1091" t="str">
        <f t="shared" si="55"/>
        <v/>
      </c>
      <c r="CU81" s="1088">
        <f t="shared" si="919"/>
        <v>0</v>
      </c>
      <c r="CV81" s="1091">
        <f t="shared" si="812"/>
        <v>0</v>
      </c>
      <c r="CW81" s="1091">
        <f t="shared" si="892"/>
        <v>0</v>
      </c>
      <c r="CX81" s="1090">
        <f t="shared" si="920"/>
        <v>0</v>
      </c>
      <c r="CY81" s="1091">
        <f t="shared" si="814"/>
        <v>0</v>
      </c>
      <c r="CZ81" s="1091">
        <f t="shared" si="893"/>
        <v>0</v>
      </c>
      <c r="DA81" s="1090">
        <f t="shared" si="921"/>
        <v>13320</v>
      </c>
      <c r="DB81" s="1091">
        <f t="shared" si="816"/>
        <v>0.004219714048</v>
      </c>
      <c r="DC81" s="1091">
        <f t="shared" si="894"/>
        <v>0.007731870763</v>
      </c>
      <c r="DD81" s="1090">
        <f t="shared" si="580"/>
        <v>13320</v>
      </c>
      <c r="DE81" s="1091" t="str">
        <f t="shared" si="63"/>
        <v/>
      </c>
      <c r="DF81" s="1090">
        <f t="shared" si="581"/>
        <v>13320</v>
      </c>
      <c r="DG81" s="1091" t="str">
        <f t="shared" si="65"/>
        <v/>
      </c>
      <c r="DH81" s="1088">
        <f t="shared" si="922"/>
        <v>0</v>
      </c>
      <c r="DI81" s="1091">
        <f t="shared" si="817"/>
        <v>0</v>
      </c>
      <c r="DJ81" s="1091">
        <f t="shared" si="895"/>
        <v>0</v>
      </c>
      <c r="DK81" s="1090">
        <f t="shared" si="585"/>
        <v>0</v>
      </c>
      <c r="DL81" s="1091">
        <f t="shared" si="818"/>
        <v>0</v>
      </c>
      <c r="DM81" s="1091">
        <f t="shared" si="896"/>
        <v>0</v>
      </c>
      <c r="DN81" s="1090">
        <f t="shared" si="588"/>
        <v>13320</v>
      </c>
      <c r="DO81" s="1091">
        <f t="shared" si="819"/>
        <v>0.003065866411</v>
      </c>
      <c r="DP81" s="1091">
        <f t="shared" si="897"/>
        <v>0.004142109719</v>
      </c>
      <c r="DQ81" s="1090">
        <f t="shared" si="591"/>
        <v>13320</v>
      </c>
      <c r="DR81" s="1091" t="str">
        <f t="shared" si="73"/>
        <v/>
      </c>
      <c r="DS81" s="1090">
        <f t="shared" si="592"/>
        <v>13320</v>
      </c>
      <c r="DT81" s="1091" t="str">
        <f t="shared" si="75"/>
        <v/>
      </c>
      <c r="DU81" s="1088">
        <f>SUMIFS(BP_SOTIEN,BP_THANG,DU$2,BP_KM,$E81)/1000</f>
        <v>0</v>
      </c>
      <c r="DV81" s="1091">
        <f t="shared" si="820"/>
        <v>0</v>
      </c>
      <c r="DW81" s="1091"/>
      <c r="DX81" s="1090">
        <f>IF(NOW()&gt;=DATE(YEAR(DU$2),MONTH(DU$2)+1,DAY(DU$2)),SUMIFS(TF_SOTIEN,TF_THANG,DU$2,TF_KM,$E81)/1000, EA81)</f>
        <v>0</v>
      </c>
      <c r="DY81" s="1091">
        <f t="shared" si="821"/>
        <v>0</v>
      </c>
      <c r="DZ81" s="1091"/>
      <c r="EA81" s="1090">
        <f>IF(NOW()&gt;=DATE(YEAR(DU$2),MONTH(DU$2)+1,DAY(DU$2)),SUMIFS(AC_SOTIEN,AC_THANG,DU$2,AC_KM,$E81),SUMIFS(TF_SOTIEN,TF_THANG,DU$2,TF_KM,$E81))/ 1000</f>
        <v>0</v>
      </c>
      <c r="EB81" s="1091" t="str">
        <f t="shared" si="822"/>
        <v/>
      </c>
      <c r="EC81" s="1091" t="str">
        <f t="shared" si="898"/>
        <v/>
      </c>
      <c r="ED81" s="1090">
        <f t="shared" si="599"/>
        <v>0</v>
      </c>
      <c r="EE81" s="1091" t="str">
        <f t="shared" si="80"/>
        <v/>
      </c>
      <c r="EF81" s="1090">
        <f t="shared" si="600"/>
        <v>0</v>
      </c>
      <c r="EG81" s="1091" t="str">
        <f t="shared" si="82"/>
        <v/>
      </c>
      <c r="EH81" s="1088">
        <f>SUMIFS(BP_SOTIEN,BP_THANG,EH$2,BP_KM,$E81)/1000</f>
        <v>0</v>
      </c>
      <c r="EI81" s="1091">
        <f t="shared" si="823"/>
        <v>0</v>
      </c>
      <c r="EJ81" s="1091"/>
      <c r="EK81" s="1090">
        <f>IF(NOW()&gt;=DATE(YEAR(EH$2),MONTH(EH$2)+1,DAY(EH$2)),SUMIFS(TF_SOTIEN,TF_THANG,EH$2,TF_KM,$E81)/1000, EN81)</f>
        <v>0</v>
      </c>
      <c r="EL81" s="1091">
        <f t="shared" si="824"/>
        <v>0</v>
      </c>
      <c r="EM81" s="1091"/>
      <c r="EN81" s="1090">
        <f>IF(NOW()&gt;=DATE(YEAR(EH$2),MONTH(EH$2)+1,DAY(EH$2)),SUMIFS(AC_SOTIEN,AC_THANG,EH$2,AC_KM,$E81),SUMIFS(TF_SOTIEN,TF_THANG,EH$2,TF_KM,$E81))/ 1000</f>
        <v>0</v>
      </c>
      <c r="EO81" s="1091" t="str">
        <f t="shared" si="825"/>
        <v/>
      </c>
      <c r="EP81" s="1091" t="str">
        <f t="shared" si="899"/>
        <v/>
      </c>
      <c r="EQ81" s="1090">
        <f t="shared" si="607"/>
        <v>0</v>
      </c>
      <c r="ER81" s="1091" t="str">
        <f t="shared" si="87"/>
        <v/>
      </c>
      <c r="ES81" s="1090">
        <f t="shared" si="608"/>
        <v>0</v>
      </c>
      <c r="ET81" s="1091" t="str">
        <f t="shared" si="89"/>
        <v/>
      </c>
      <c r="EU81" s="1088">
        <f>SUMIFS(BP_SOTIEN,BP_THANG,EU$2,BP_KM,$E81)/1000</f>
        <v>0</v>
      </c>
      <c r="EV81" s="1091">
        <f t="shared" si="826"/>
        <v>0</v>
      </c>
      <c r="EW81" s="1091"/>
      <c r="EX81" s="1090">
        <f>IF(NOW()&gt;=DATE(YEAR(EU$2),MONTH(EU$2)+1,DAY(EU$2)),SUMIFS(TF_SOTIEN,TF_THANG,EU$2,TF_KM,$E81)/1000, FA81)</f>
        <v>0</v>
      </c>
      <c r="EY81" s="1091">
        <f t="shared" si="827"/>
        <v>0</v>
      </c>
      <c r="EZ81" s="1091"/>
      <c r="FA81" s="1090">
        <f>IF(NOW()&gt;=DATE(YEAR(EU$2),MONTH(EU$2)+1,DAY(EU$2)),SUMIFS(AC_SOTIEN,AC_THANG,EU$2,AC_KM,$E81),SUMIFS(TF_SOTIEN,TF_THANG,EU$2,TF_KM,$E81))/ 1000</f>
        <v>0</v>
      </c>
      <c r="FB81" s="1091" t="str">
        <f t="shared" si="828"/>
        <v/>
      </c>
      <c r="FC81" s="1091" t="str">
        <f t="shared" si="900"/>
        <v/>
      </c>
      <c r="FD81" s="1090">
        <f t="shared" si="616"/>
        <v>0</v>
      </c>
      <c r="FE81" s="1091" t="str">
        <f t="shared" si="94"/>
        <v/>
      </c>
      <c r="FF81" s="1090">
        <f t="shared" si="617"/>
        <v>0</v>
      </c>
      <c r="FG81" s="1091" t="str">
        <f t="shared" si="96"/>
        <v/>
      </c>
      <c r="FH81" s="1088">
        <f t="shared" si="923"/>
        <v>0</v>
      </c>
      <c r="FI81" s="1091">
        <f t="shared" si="829"/>
        <v>0</v>
      </c>
      <c r="FJ81" s="1091">
        <f t="shared" si="901"/>
        <v>0</v>
      </c>
      <c r="FK81" s="1090">
        <f t="shared" si="621"/>
        <v>0</v>
      </c>
      <c r="FL81" s="1091">
        <f t="shared" si="830"/>
        <v>0</v>
      </c>
      <c r="FM81" s="1091">
        <f t="shared" si="902"/>
        <v>0</v>
      </c>
      <c r="FN81" s="1090">
        <f t="shared" si="624"/>
        <v>0</v>
      </c>
      <c r="FO81" s="1091" t="str">
        <f t="shared" si="831"/>
        <v/>
      </c>
      <c r="FP81" s="1091" t="str">
        <f t="shared" si="903"/>
        <v/>
      </c>
      <c r="FQ81" s="1090">
        <f t="shared" si="627"/>
        <v>0</v>
      </c>
      <c r="FR81" s="1091" t="str">
        <f t="shared" si="104"/>
        <v/>
      </c>
      <c r="FS81" s="1090">
        <f t="shared" si="628"/>
        <v>0</v>
      </c>
      <c r="FT81" s="1091" t="str">
        <f t="shared" si="106"/>
        <v/>
      </c>
      <c r="FU81" s="1088">
        <f>SUMIFS(BP_SOTIEN,BP_THANG,FU$2,BP_KM,$E81)/1000</f>
        <v>0</v>
      </c>
      <c r="FV81" s="1091">
        <f t="shared" si="832"/>
        <v>0</v>
      </c>
      <c r="FW81" s="1091"/>
      <c r="FX81" s="1090">
        <f>IF(NOW()&gt;=DATE(YEAR(FU$2),MONTH(FU$2)+1,DAY(FU$2)),SUMIFS(TF_SOTIEN,TF_THANG,FU$2,TF_KM,$E81)/1000, GA81)</f>
        <v>0</v>
      </c>
      <c r="FY81" s="1091">
        <f t="shared" si="833"/>
        <v>0</v>
      </c>
      <c r="FZ81" s="1091"/>
      <c r="GA81" s="1090">
        <f>IF(NOW()&gt;=DATE(YEAR(FU$2),MONTH(FU$2)+1,DAY(FU$2)),SUMIFS(AC_SOTIEN,AC_THANG,FU$2,AC_KM,$E81),SUMIFS(TF_SOTIEN,TF_THANG,FU$2,TF_KM,$E81))/ 1000</f>
        <v>0</v>
      </c>
      <c r="GB81" s="1091" t="str">
        <f t="shared" si="834"/>
        <v/>
      </c>
      <c r="GC81" s="1091" t="str">
        <f t="shared" si="904"/>
        <v/>
      </c>
      <c r="GD81" s="1090">
        <f t="shared" si="635"/>
        <v>0</v>
      </c>
      <c r="GE81" s="1091" t="str">
        <f t="shared" si="111"/>
        <v/>
      </c>
      <c r="GF81" s="1090">
        <f t="shared" si="636"/>
        <v>0</v>
      </c>
      <c r="GG81" s="1091" t="str">
        <f t="shared" si="113"/>
        <v/>
      </c>
      <c r="GH81" s="1088">
        <f>SUMIFS(BP_SOTIEN,BP_THANG,GH$2,BP_KM,$E81)/1000</f>
        <v>0</v>
      </c>
      <c r="GI81" s="1091">
        <f t="shared" si="835"/>
        <v>0</v>
      </c>
      <c r="GJ81" s="1091"/>
      <c r="GK81" s="1090">
        <f>IF(NOW()&gt;=DATE(YEAR(GH$2),MONTH(GH$2)+1,DAY(GH$2)),SUMIFS(TF_SOTIEN,TF_THANG,GH$2,TF_KM,$E81)/1000, GN81)</f>
        <v>0</v>
      </c>
      <c r="GL81" s="1091">
        <f t="shared" si="836"/>
        <v>0</v>
      </c>
      <c r="GM81" s="1091"/>
      <c r="GN81" s="1090">
        <f>IF(NOW()&gt;=DATE(YEAR(GH$2),MONTH(GH$2)+1,DAY(GH$2)),SUMIFS(AC_SOTIEN,AC_THANG,GH$2,AC_KM,$E81),SUMIFS(TF_SOTIEN,TF_THANG,GH$2,TF_KM,$E81))/ 1000</f>
        <v>0</v>
      </c>
      <c r="GO81" s="1091" t="str">
        <f t="shared" si="837"/>
        <v/>
      </c>
      <c r="GP81" s="1091" t="str">
        <f t="shared" si="905"/>
        <v/>
      </c>
      <c r="GQ81" s="1090">
        <f t="shared" si="643"/>
        <v>0</v>
      </c>
      <c r="GR81" s="1091" t="str">
        <f t="shared" si="118"/>
        <v/>
      </c>
      <c r="GS81" s="1090">
        <f t="shared" si="644"/>
        <v>0</v>
      </c>
      <c r="GT81" s="1091" t="str">
        <f t="shared" si="120"/>
        <v/>
      </c>
      <c r="GU81" s="1088">
        <f>SUMIFS(BP_SOTIEN,BP_THANG,GU$2,BP_KM,$E81)/1000</f>
        <v>0</v>
      </c>
      <c r="GV81" s="1091">
        <f t="shared" si="838"/>
        <v>0</v>
      </c>
      <c r="GW81" s="1091"/>
      <c r="GX81" s="1090">
        <f>IF(NOW()&gt;=DATE(YEAR(GU$2),MONTH(GU$2)+1,DAY(GU$2)),SUMIFS(TF_SOTIEN,TF_THANG,GU$2,TF_KM,$E81)/1000, HA81)</f>
        <v>0</v>
      </c>
      <c r="GY81" s="1091">
        <f t="shared" si="839"/>
        <v>0</v>
      </c>
      <c r="GZ81" s="1091"/>
      <c r="HA81" s="1090">
        <f>IF(NOW()&gt;=DATE(YEAR(GU$2),MONTH(GU$2)+1,DAY(GU$2)),SUMIFS(AC_SOTIEN,AC_THANG,GU$2,AC_KM,$E81),SUMIFS(TF_SOTIEN,TF_THANG,GU$2,TF_KM,$E81))/ 1000</f>
        <v>0</v>
      </c>
      <c r="HB81" s="1091" t="str">
        <f t="shared" si="840"/>
        <v/>
      </c>
      <c r="HC81" s="1091" t="str">
        <f t="shared" si="906"/>
        <v/>
      </c>
      <c r="HD81" s="1090">
        <f t="shared" si="651"/>
        <v>0</v>
      </c>
      <c r="HE81" s="1091" t="str">
        <f t="shared" si="125"/>
        <v/>
      </c>
      <c r="HF81" s="1090">
        <f t="shared" si="652"/>
        <v>0</v>
      </c>
      <c r="HG81" s="1091" t="str">
        <f t="shared" si="127"/>
        <v/>
      </c>
      <c r="HH81" s="1088">
        <f t="shared" si="924"/>
        <v>0</v>
      </c>
      <c r="HI81" s="1091">
        <f t="shared" si="841"/>
        <v>0</v>
      </c>
      <c r="HJ81" s="1091">
        <f t="shared" si="907"/>
        <v>0</v>
      </c>
      <c r="HK81" s="1090">
        <f t="shared" si="656"/>
        <v>0</v>
      </c>
      <c r="HL81" s="1091">
        <f t="shared" si="842"/>
        <v>0</v>
      </c>
      <c r="HM81" s="1091">
        <f t="shared" si="908"/>
        <v>0</v>
      </c>
      <c r="HN81" s="1090">
        <f t="shared" si="659"/>
        <v>0</v>
      </c>
      <c r="HO81" s="1091" t="str">
        <f t="shared" si="843"/>
        <v/>
      </c>
      <c r="HP81" s="1091" t="str">
        <f t="shared" si="909"/>
        <v/>
      </c>
      <c r="HQ81" s="1090">
        <f t="shared" si="662"/>
        <v>0</v>
      </c>
      <c r="HR81" s="1091" t="str">
        <f t="shared" si="135"/>
        <v/>
      </c>
      <c r="HS81" s="1090">
        <f t="shared" si="663"/>
        <v>0</v>
      </c>
      <c r="HT81" s="1091" t="str">
        <f t="shared" si="137"/>
        <v/>
      </c>
      <c r="HU81" s="1088">
        <f t="shared" si="925"/>
        <v>0</v>
      </c>
      <c r="HV81" s="1091">
        <f t="shared" si="844"/>
        <v>0</v>
      </c>
      <c r="HW81" s="1091">
        <f t="shared" si="910"/>
        <v>0</v>
      </c>
      <c r="HX81" s="1090">
        <f t="shared" si="667"/>
        <v>0</v>
      </c>
      <c r="HY81" s="1091">
        <f t="shared" si="845"/>
        <v>0</v>
      </c>
      <c r="HZ81" s="1091">
        <f t="shared" si="911"/>
        <v>0</v>
      </c>
      <c r="IA81" s="1090">
        <f t="shared" si="670"/>
        <v>0</v>
      </c>
      <c r="IB81" s="1091" t="str">
        <f t="shared" si="846"/>
        <v/>
      </c>
      <c r="IC81" s="1091" t="str">
        <f t="shared" si="912"/>
        <v/>
      </c>
      <c r="ID81" s="1090">
        <f t="shared" si="673"/>
        <v>0</v>
      </c>
      <c r="IE81" s="1091" t="str">
        <f t="shared" si="145"/>
        <v/>
      </c>
      <c r="IF81" s="1090">
        <f t="shared" si="674"/>
        <v>0</v>
      </c>
      <c r="IG81" s="1091" t="str">
        <f t="shared" si="147"/>
        <v/>
      </c>
      <c r="IH81" s="1088">
        <f t="shared" si="926"/>
        <v>0</v>
      </c>
      <c r="II81" s="1091">
        <f t="shared" si="847"/>
        <v>0</v>
      </c>
      <c r="IJ81" s="1091">
        <f t="shared" si="913"/>
        <v>0</v>
      </c>
      <c r="IK81" s="1090">
        <f t="shared" si="678"/>
        <v>0</v>
      </c>
      <c r="IL81" s="1091">
        <f t="shared" si="848"/>
        <v>0</v>
      </c>
      <c r="IM81" s="1091">
        <f t="shared" si="914"/>
        <v>0</v>
      </c>
      <c r="IN81" s="1090">
        <f t="shared" si="681"/>
        <v>13320</v>
      </c>
      <c r="IO81" s="1091">
        <f t="shared" si="849"/>
        <v>0.003065866411</v>
      </c>
      <c r="IP81" s="1091">
        <f t="shared" si="915"/>
        <v>0.004142109719</v>
      </c>
      <c r="IQ81" s="1090">
        <f t="shared" si="684"/>
        <v>13320</v>
      </c>
      <c r="IR81" s="1091" t="str">
        <f t="shared" si="1"/>
        <v/>
      </c>
      <c r="IS81" s="1090">
        <f t="shared" si="685"/>
        <v>13320</v>
      </c>
      <c r="IT81" s="1091" t="str">
        <f t="shared" si="2"/>
        <v/>
      </c>
    </row>
    <row r="82" outlineLevel="1">
      <c r="A82" s="1087"/>
      <c r="B82" s="1087"/>
      <c r="C82" s="1087"/>
      <c r="D82" s="656" t="s">
        <v>2843</v>
      </c>
      <c r="E82" s="656" t="s">
        <v>201</v>
      </c>
      <c r="F82" s="1087"/>
      <c r="G82" s="1086">
        <v>2.0</v>
      </c>
      <c r="H82" s="1088">
        <f>SUMIFS(BP_SOTIEN,BP_THANG,H$2,BP_KM,$E82)/1000</f>
        <v>0</v>
      </c>
      <c r="I82" s="1091" t="str">
        <f t="shared" si="791"/>
        <v/>
      </c>
      <c r="J82" s="1091"/>
      <c r="K82" s="1090">
        <f>IF(NOW()&gt;=DATE(YEAR(H$2),MONTH(H$2)+1,DAY(H$2)),SUMIFS(TF_SOTIEN,TF_THANG,H$2,TF_KM,$E82)/1000, N82)</f>
        <v>0</v>
      </c>
      <c r="L82" s="1091">
        <f t="shared" si="792"/>
        <v>0</v>
      </c>
      <c r="M82" s="1091"/>
      <c r="N82" s="1090">
        <f>IF(NOW()&gt;=DATE(YEAR(H$2),MONTH(H$2)+1,DAY(H$2)),SUMIFS(AC_SOTIEN,AC_THANG,H$2,AC_KM,$E82),SUMIFS(TF_SOTIEN,TF_THANG,H$2,TF_KM,$E82))/ 1000</f>
        <v>2000</v>
      </c>
      <c r="O82" s="1091">
        <f t="shared" si="793"/>
        <v>0.005882352941</v>
      </c>
      <c r="P82" s="1091">
        <f t="shared" si="883"/>
        <v>0.002792026388</v>
      </c>
      <c r="Q82" s="1090">
        <f t="shared" si="518"/>
        <v>2000</v>
      </c>
      <c r="R82" s="1091" t="str">
        <f t="shared" si="8"/>
        <v/>
      </c>
      <c r="S82" s="1090">
        <f t="shared" si="519"/>
        <v>2000</v>
      </c>
      <c r="T82" s="1091" t="str">
        <f t="shared" si="10"/>
        <v/>
      </c>
      <c r="U82" s="1088">
        <f>SUMIFS(BP_SOTIEN,BP_THANG,U$2,BP_KM,$E82)/1000</f>
        <v>0</v>
      </c>
      <c r="V82" s="1091" t="str">
        <f t="shared" si="794"/>
        <v/>
      </c>
      <c r="W82" s="1091"/>
      <c r="X82" s="1090">
        <f>IF(NOW()&gt;=DATE(YEAR(U$2),MONTH(U$2)+1,DAY(U$2)),SUMIFS(TF_SOTIEN,TF_THANG,U$2,TF_KM,$E82)/1000, AA82)</f>
        <v>0</v>
      </c>
      <c r="Y82" s="1091" t="str">
        <f t="shared" si="795"/>
        <v/>
      </c>
      <c r="Z82" s="1091"/>
      <c r="AA82" s="1090">
        <f>IF(NOW()&gt;=DATE(YEAR(U$2),MONTH(U$2)+1,DAY(U$2)),SUMIFS(AC_SOTIEN,AC_THANG,U$2,AC_KM,$E82),SUMIFS(TF_SOTIEN,TF_THANG,U$2,TF_KM,$E82))/ 1000</f>
        <v>1000</v>
      </c>
      <c r="AB82" s="1091">
        <f t="shared" si="796"/>
        <v>0.005555555556</v>
      </c>
      <c r="AC82" s="1091">
        <f t="shared" si="884"/>
        <v>0.005974123669</v>
      </c>
      <c r="AD82" s="1090">
        <f t="shared" si="526"/>
        <v>1000</v>
      </c>
      <c r="AE82" s="1091" t="str">
        <f t="shared" si="15"/>
        <v/>
      </c>
      <c r="AF82" s="1090">
        <f t="shared" si="527"/>
        <v>1000</v>
      </c>
      <c r="AG82" s="1091" t="str">
        <f t="shared" si="17"/>
        <v/>
      </c>
      <c r="AH82" s="1088">
        <f>SUMIFS(BP_SOTIEN,BP_THANG,AH$2,BP_KM,$E82)/1000</f>
        <v>0</v>
      </c>
      <c r="AI82" s="1091" t="str">
        <f t="shared" si="797"/>
        <v/>
      </c>
      <c r="AJ82" s="1091"/>
      <c r="AK82" s="1090">
        <f>IF(NOW()&gt;=DATE(YEAR(AH$2),MONTH(AH$2)+1,DAY(AH$2)),SUMIFS(TF_SOTIEN,TF_THANG,AH$2,TF_KM,$E82)/1000, AN82)</f>
        <v>0</v>
      </c>
      <c r="AL82" s="1091">
        <f t="shared" si="798"/>
        <v>0</v>
      </c>
      <c r="AM82" s="1091"/>
      <c r="AN82" s="1090">
        <f>IF(NOW()&gt;=DATE(YEAR(AH$2),MONTH(AH$2)+1,DAY(AH$2)),SUMIFS(AC_SOTIEN,AC_THANG,AH$2,AC_KM,$E82),SUMIFS(TF_SOTIEN,TF_THANG,AH$2,TF_KM,$E82))/ 1000</f>
        <v>4000</v>
      </c>
      <c r="AO82" s="1091">
        <f t="shared" si="799"/>
        <v>0.005988023952</v>
      </c>
      <c r="AP82" s="1091">
        <f t="shared" si="885"/>
        <v>0.006564923547</v>
      </c>
      <c r="AQ82" s="1090">
        <f t="shared" si="534"/>
        <v>4000</v>
      </c>
      <c r="AR82" s="1091" t="str">
        <f t="shared" si="22"/>
        <v/>
      </c>
      <c r="AS82" s="1090">
        <f t="shared" si="535"/>
        <v>4000</v>
      </c>
      <c r="AT82" s="1091" t="str">
        <f t="shared" si="24"/>
        <v/>
      </c>
      <c r="AU82" s="1088">
        <f t="shared" si="916"/>
        <v>0</v>
      </c>
      <c r="AV82" s="1091" t="str">
        <f t="shared" si="800"/>
        <v/>
      </c>
      <c r="AW82" s="1091">
        <f t="shared" si="886"/>
        <v>0</v>
      </c>
      <c r="AX82" s="1090">
        <f t="shared" si="917"/>
        <v>0</v>
      </c>
      <c r="AY82" s="1091">
        <f t="shared" si="801"/>
        <v>0</v>
      </c>
      <c r="AZ82" s="1091">
        <f t="shared" si="887"/>
        <v>0</v>
      </c>
      <c r="BA82" s="1090">
        <f t="shared" si="918"/>
        <v>7000</v>
      </c>
      <c r="BB82" s="1091">
        <f t="shared" si="802"/>
        <v>0.005892255892</v>
      </c>
      <c r="BC82" s="1091">
        <f t="shared" si="888"/>
        <v>0.004688505824</v>
      </c>
      <c r="BD82" s="1090">
        <f t="shared" si="545"/>
        <v>7000</v>
      </c>
      <c r="BE82" s="1091" t="str">
        <f t="shared" si="32"/>
        <v/>
      </c>
      <c r="BF82" s="1090">
        <f t="shared" si="546"/>
        <v>7000</v>
      </c>
      <c r="BG82" s="1091" t="str">
        <f t="shared" si="34"/>
        <v/>
      </c>
      <c r="BH82" s="1088">
        <f>SUMIFS(BP_SOTIEN,BP_THANG,BH$2,BP_KM,$E82)/1000</f>
        <v>0</v>
      </c>
      <c r="BI82" s="1091">
        <f t="shared" si="803"/>
        <v>0</v>
      </c>
      <c r="BJ82" s="1091"/>
      <c r="BK82" s="1090">
        <f>IF(NOW()&gt;=DATE(YEAR(BH$2),MONTH(BH$2)+1,DAY(BH$2)),SUMIFS(TF_SOTIEN,TF_THANG,BH$2,TF_KM,$E82)/1000, BN82)</f>
        <v>0</v>
      </c>
      <c r="BL82" s="1091" t="str">
        <f t="shared" si="804"/>
        <v/>
      </c>
      <c r="BM82" s="1091"/>
      <c r="BN82" s="1090">
        <f>IF(NOW()&gt;=DATE(YEAR(BH$2),MONTH(BH$2)+1,DAY(BH$2)),SUMIFS(AC_SOTIEN,AC_THANG,BH$2,AC_KM,$E82),SUMIFS(TF_SOTIEN,TF_THANG,BH$2,TF_KM,$E82))/ 1000</f>
        <v>23000</v>
      </c>
      <c r="BO82" s="1091">
        <f t="shared" si="805"/>
        <v>0.008842616799</v>
      </c>
      <c r="BP82" s="1091">
        <f t="shared" si="889"/>
        <v>0.01940743067</v>
      </c>
      <c r="BQ82" s="1090">
        <f t="shared" si="553"/>
        <v>23000</v>
      </c>
      <c r="BR82" s="1091" t="str">
        <f t="shared" si="39"/>
        <v/>
      </c>
      <c r="BS82" s="1090">
        <f t="shared" si="554"/>
        <v>23000</v>
      </c>
      <c r="BT82" s="1091" t="str">
        <f t="shared" si="41"/>
        <v/>
      </c>
      <c r="BU82" s="1088">
        <f>SUMIFS(BP_SOTIEN,BP_THANG,BU$2,BP_KM,$E82)/1000</f>
        <v>0</v>
      </c>
      <c r="BV82" s="1091">
        <f t="shared" si="806"/>
        <v>0</v>
      </c>
      <c r="BW82" s="1091"/>
      <c r="BX82" s="1090">
        <f>IF(NOW()&gt;=DATE(YEAR(BU$2),MONTH(BU$2)+1,DAY(BU$2)),SUMIFS(TF_SOTIEN,TF_THANG,BU$2,TF_KM,$E82)/1000, CA82)</f>
        <v>0</v>
      </c>
      <c r="BY82" s="1091">
        <f t="shared" si="807"/>
        <v>0</v>
      </c>
      <c r="BZ82" s="1091"/>
      <c r="CA82" s="1090">
        <f>IF(NOW()&gt;=DATE(YEAR(BU$2),MONTH(BU$2)+1,DAY(BU$2)),SUMIFS(AC_SOTIEN,AC_THANG,BU$2,AC_KM,$E82),SUMIFS(TF_SOTIEN,TF_THANG,BU$2,TF_KM,$E82))/ 1000</f>
        <v>4000</v>
      </c>
      <c r="CB82" s="1091">
        <f t="shared" si="808"/>
        <v>0.007199786886</v>
      </c>
      <c r="CC82" s="1091">
        <f t="shared" si="890"/>
        <v>0.007440109112</v>
      </c>
      <c r="CD82" s="1090">
        <f t="shared" si="561"/>
        <v>4000</v>
      </c>
      <c r="CE82" s="1091" t="str">
        <f t="shared" si="46"/>
        <v/>
      </c>
      <c r="CF82" s="1090">
        <f t="shared" si="562"/>
        <v>4000</v>
      </c>
      <c r="CG82" s="1091" t="str">
        <f t="shared" si="48"/>
        <v/>
      </c>
      <c r="CH82" s="1088">
        <f>SUMIFS(BP_SOTIEN,BP_THANG,CH$2,BP_KM,$E82)/1000</f>
        <v>0</v>
      </c>
      <c r="CI82" s="1091">
        <f t="shared" si="809"/>
        <v>0</v>
      </c>
      <c r="CJ82" s="1091"/>
      <c r="CK82" s="1090">
        <f>IF(NOW()&gt;=DATE(YEAR(CH$2),MONTH(CH$2)+1,DAY(CH$2)),SUMIFS(TF_SOTIEN,TF_THANG,CH$2,TF_KM,$E82)/1000, CN82)</f>
        <v>0</v>
      </c>
      <c r="CL82" s="1091" t="str">
        <f t="shared" si="810"/>
        <v/>
      </c>
      <c r="CM82" s="1091"/>
      <c r="CN82" s="1090">
        <f>IF(NOW()&gt;=DATE(YEAR(CH$2),MONTH(CH$2)+1,DAY(CH$2)),SUMIFS(AC_SOTIEN,AC_THANG,CH$2,AC_KM,$E82),SUMIFS(TF_SOTIEN,TF_THANG,CH$2,TF_KM,$E82))/ 1000</f>
        <v>0</v>
      </c>
      <c r="CO82" s="1091" t="str">
        <f t="shared" si="811"/>
        <v/>
      </c>
      <c r="CP82" s="1091" t="str">
        <f t="shared" si="891"/>
        <v/>
      </c>
      <c r="CQ82" s="1090">
        <f t="shared" si="569"/>
        <v>0</v>
      </c>
      <c r="CR82" s="1091" t="str">
        <f t="shared" si="53"/>
        <v/>
      </c>
      <c r="CS82" s="1090">
        <f t="shared" si="570"/>
        <v>0</v>
      </c>
      <c r="CT82" s="1091" t="str">
        <f t="shared" si="55"/>
        <v/>
      </c>
      <c r="CU82" s="1088">
        <f t="shared" si="919"/>
        <v>0</v>
      </c>
      <c r="CV82" s="1091">
        <f t="shared" si="812"/>
        <v>0</v>
      </c>
      <c r="CW82" s="1091">
        <f t="shared" si="892"/>
        <v>0</v>
      </c>
      <c r="CX82" s="1090">
        <f t="shared" si="920"/>
        <v>0</v>
      </c>
      <c r="CY82" s="1091">
        <f t="shared" si="814"/>
        <v>0</v>
      </c>
      <c r="CZ82" s="1091">
        <f t="shared" si="893"/>
        <v>0</v>
      </c>
      <c r="DA82" s="1090">
        <f t="shared" si="921"/>
        <v>27000</v>
      </c>
      <c r="DB82" s="1091">
        <f t="shared" si="816"/>
        <v>0.008553474421</v>
      </c>
      <c r="DC82" s="1091">
        <f t="shared" si="894"/>
        <v>0.01567271101</v>
      </c>
      <c r="DD82" s="1090">
        <f t="shared" si="580"/>
        <v>27000</v>
      </c>
      <c r="DE82" s="1091" t="str">
        <f t="shared" si="63"/>
        <v/>
      </c>
      <c r="DF82" s="1090">
        <f t="shared" si="581"/>
        <v>27000</v>
      </c>
      <c r="DG82" s="1091" t="str">
        <f t="shared" si="65"/>
        <v/>
      </c>
      <c r="DH82" s="1088">
        <f t="shared" si="922"/>
        <v>0</v>
      </c>
      <c r="DI82" s="1091">
        <f t="shared" si="817"/>
        <v>0</v>
      </c>
      <c r="DJ82" s="1091">
        <f t="shared" si="895"/>
        <v>0</v>
      </c>
      <c r="DK82" s="1090">
        <f t="shared" si="585"/>
        <v>0</v>
      </c>
      <c r="DL82" s="1091">
        <f t="shared" si="818"/>
        <v>0</v>
      </c>
      <c r="DM82" s="1091">
        <f t="shared" si="896"/>
        <v>0</v>
      </c>
      <c r="DN82" s="1090">
        <f t="shared" si="588"/>
        <v>34000</v>
      </c>
      <c r="DO82" s="1091">
        <f t="shared" si="819"/>
        <v>0.007825785133</v>
      </c>
      <c r="DP82" s="1091">
        <f t="shared" si="897"/>
        <v>0.01057295274</v>
      </c>
      <c r="DQ82" s="1090">
        <f t="shared" si="591"/>
        <v>34000</v>
      </c>
      <c r="DR82" s="1091" t="str">
        <f t="shared" si="73"/>
        <v/>
      </c>
      <c r="DS82" s="1090">
        <f t="shared" si="592"/>
        <v>34000</v>
      </c>
      <c r="DT82" s="1091" t="str">
        <f t="shared" si="75"/>
        <v/>
      </c>
      <c r="DU82" s="1088">
        <f>SUMIFS(BP_SOTIEN,BP_THANG,DU$2,BP_KM,$E82)/1000</f>
        <v>0</v>
      </c>
      <c r="DV82" s="1091">
        <f t="shared" si="820"/>
        <v>0</v>
      </c>
      <c r="DW82" s="1091"/>
      <c r="DX82" s="1090">
        <f>IF(NOW()&gt;=DATE(YEAR(DU$2),MONTH(DU$2)+1,DAY(DU$2)),SUMIFS(TF_SOTIEN,TF_THANG,DU$2,TF_KM,$E82)/1000, EA82)</f>
        <v>0</v>
      </c>
      <c r="DY82" s="1091">
        <f t="shared" si="821"/>
        <v>0</v>
      </c>
      <c r="DZ82" s="1091"/>
      <c r="EA82" s="1090">
        <f>IF(NOW()&gt;=DATE(YEAR(DU$2),MONTH(DU$2)+1,DAY(DU$2)),SUMIFS(AC_SOTIEN,AC_THANG,DU$2,AC_KM,$E82),SUMIFS(TF_SOTIEN,TF_THANG,DU$2,TF_KM,$E82))/ 1000</f>
        <v>0</v>
      </c>
      <c r="EB82" s="1091" t="str">
        <f t="shared" si="822"/>
        <v/>
      </c>
      <c r="EC82" s="1091" t="str">
        <f t="shared" si="898"/>
        <v/>
      </c>
      <c r="ED82" s="1090">
        <f t="shared" si="599"/>
        <v>0</v>
      </c>
      <c r="EE82" s="1091" t="str">
        <f t="shared" si="80"/>
        <v/>
      </c>
      <c r="EF82" s="1090">
        <f t="shared" si="600"/>
        <v>0</v>
      </c>
      <c r="EG82" s="1091" t="str">
        <f t="shared" si="82"/>
        <v/>
      </c>
      <c r="EH82" s="1088">
        <f>SUMIFS(BP_SOTIEN,BP_THANG,EH$2,BP_KM,$E82)/1000</f>
        <v>0</v>
      </c>
      <c r="EI82" s="1091">
        <f t="shared" si="823"/>
        <v>0</v>
      </c>
      <c r="EJ82" s="1091"/>
      <c r="EK82" s="1090">
        <f>IF(NOW()&gt;=DATE(YEAR(EH$2),MONTH(EH$2)+1,DAY(EH$2)),SUMIFS(TF_SOTIEN,TF_THANG,EH$2,TF_KM,$E82)/1000, EN82)</f>
        <v>0</v>
      </c>
      <c r="EL82" s="1091">
        <f t="shared" si="824"/>
        <v>0</v>
      </c>
      <c r="EM82" s="1091"/>
      <c r="EN82" s="1090">
        <f>IF(NOW()&gt;=DATE(YEAR(EH$2),MONTH(EH$2)+1,DAY(EH$2)),SUMIFS(AC_SOTIEN,AC_THANG,EH$2,AC_KM,$E82),SUMIFS(TF_SOTIEN,TF_THANG,EH$2,TF_KM,$E82))/ 1000</f>
        <v>0</v>
      </c>
      <c r="EO82" s="1091" t="str">
        <f t="shared" si="825"/>
        <v/>
      </c>
      <c r="EP82" s="1091" t="str">
        <f t="shared" si="899"/>
        <v/>
      </c>
      <c r="EQ82" s="1090">
        <f t="shared" si="607"/>
        <v>0</v>
      </c>
      <c r="ER82" s="1091" t="str">
        <f t="shared" si="87"/>
        <v/>
      </c>
      <c r="ES82" s="1090">
        <f t="shared" si="608"/>
        <v>0</v>
      </c>
      <c r="ET82" s="1091" t="str">
        <f t="shared" si="89"/>
        <v/>
      </c>
      <c r="EU82" s="1088">
        <f>SUMIFS(BP_SOTIEN,BP_THANG,EU$2,BP_KM,$E82)/1000</f>
        <v>0</v>
      </c>
      <c r="EV82" s="1091">
        <f t="shared" si="826"/>
        <v>0</v>
      </c>
      <c r="EW82" s="1091"/>
      <c r="EX82" s="1090">
        <f>IF(NOW()&gt;=DATE(YEAR(EU$2),MONTH(EU$2)+1,DAY(EU$2)),SUMIFS(TF_SOTIEN,TF_THANG,EU$2,TF_KM,$E82)/1000, FA82)</f>
        <v>0</v>
      </c>
      <c r="EY82" s="1091">
        <f t="shared" si="827"/>
        <v>0</v>
      </c>
      <c r="EZ82" s="1091"/>
      <c r="FA82" s="1090">
        <f>IF(NOW()&gt;=DATE(YEAR(EU$2),MONTH(EU$2)+1,DAY(EU$2)),SUMIFS(AC_SOTIEN,AC_THANG,EU$2,AC_KM,$E82),SUMIFS(TF_SOTIEN,TF_THANG,EU$2,TF_KM,$E82))/ 1000</f>
        <v>0</v>
      </c>
      <c r="FB82" s="1091" t="str">
        <f t="shared" si="828"/>
        <v/>
      </c>
      <c r="FC82" s="1091" t="str">
        <f t="shared" si="900"/>
        <v/>
      </c>
      <c r="FD82" s="1090">
        <f t="shared" si="616"/>
        <v>0</v>
      </c>
      <c r="FE82" s="1091" t="str">
        <f t="shared" si="94"/>
        <v/>
      </c>
      <c r="FF82" s="1090">
        <f t="shared" si="617"/>
        <v>0</v>
      </c>
      <c r="FG82" s="1091" t="str">
        <f t="shared" si="96"/>
        <v/>
      </c>
      <c r="FH82" s="1088">
        <f t="shared" si="923"/>
        <v>0</v>
      </c>
      <c r="FI82" s="1091">
        <f t="shared" si="829"/>
        <v>0</v>
      </c>
      <c r="FJ82" s="1091">
        <f t="shared" si="901"/>
        <v>0</v>
      </c>
      <c r="FK82" s="1090">
        <f t="shared" si="621"/>
        <v>0</v>
      </c>
      <c r="FL82" s="1091">
        <f t="shared" si="830"/>
        <v>0</v>
      </c>
      <c r="FM82" s="1091">
        <f t="shared" si="902"/>
        <v>0</v>
      </c>
      <c r="FN82" s="1090">
        <f t="shared" si="624"/>
        <v>0</v>
      </c>
      <c r="FO82" s="1091" t="str">
        <f t="shared" si="831"/>
        <v/>
      </c>
      <c r="FP82" s="1091" t="str">
        <f t="shared" si="903"/>
        <v/>
      </c>
      <c r="FQ82" s="1090">
        <f t="shared" si="627"/>
        <v>0</v>
      </c>
      <c r="FR82" s="1091" t="str">
        <f t="shared" si="104"/>
        <v/>
      </c>
      <c r="FS82" s="1090">
        <f t="shared" si="628"/>
        <v>0</v>
      </c>
      <c r="FT82" s="1091" t="str">
        <f t="shared" si="106"/>
        <v/>
      </c>
      <c r="FU82" s="1088">
        <f>SUMIFS(BP_SOTIEN,BP_THANG,FU$2,BP_KM,$E82)/1000</f>
        <v>0</v>
      </c>
      <c r="FV82" s="1091">
        <f t="shared" si="832"/>
        <v>0</v>
      </c>
      <c r="FW82" s="1091"/>
      <c r="FX82" s="1090">
        <f>IF(NOW()&gt;=DATE(YEAR(FU$2),MONTH(FU$2)+1,DAY(FU$2)),SUMIFS(TF_SOTIEN,TF_THANG,FU$2,TF_KM,$E82)/1000, GA82)</f>
        <v>0</v>
      </c>
      <c r="FY82" s="1091">
        <f t="shared" si="833"/>
        <v>0</v>
      </c>
      <c r="FZ82" s="1091"/>
      <c r="GA82" s="1090">
        <f>IF(NOW()&gt;=DATE(YEAR(FU$2),MONTH(FU$2)+1,DAY(FU$2)),SUMIFS(AC_SOTIEN,AC_THANG,FU$2,AC_KM,$E82),SUMIFS(TF_SOTIEN,TF_THANG,FU$2,TF_KM,$E82))/ 1000</f>
        <v>0</v>
      </c>
      <c r="GB82" s="1091" t="str">
        <f t="shared" si="834"/>
        <v/>
      </c>
      <c r="GC82" s="1091" t="str">
        <f t="shared" si="904"/>
        <v/>
      </c>
      <c r="GD82" s="1090">
        <f t="shared" si="635"/>
        <v>0</v>
      </c>
      <c r="GE82" s="1091" t="str">
        <f t="shared" si="111"/>
        <v/>
      </c>
      <c r="GF82" s="1090">
        <f t="shared" si="636"/>
        <v>0</v>
      </c>
      <c r="GG82" s="1091" t="str">
        <f t="shared" si="113"/>
        <v/>
      </c>
      <c r="GH82" s="1088">
        <f>SUMIFS(BP_SOTIEN,BP_THANG,GH$2,BP_KM,$E82)/1000</f>
        <v>0</v>
      </c>
      <c r="GI82" s="1091">
        <f t="shared" si="835"/>
        <v>0</v>
      </c>
      <c r="GJ82" s="1091"/>
      <c r="GK82" s="1090">
        <f>IF(NOW()&gt;=DATE(YEAR(GH$2),MONTH(GH$2)+1,DAY(GH$2)),SUMIFS(TF_SOTIEN,TF_THANG,GH$2,TF_KM,$E82)/1000, GN82)</f>
        <v>0</v>
      </c>
      <c r="GL82" s="1091">
        <f t="shared" si="836"/>
        <v>0</v>
      </c>
      <c r="GM82" s="1091"/>
      <c r="GN82" s="1090">
        <f>IF(NOW()&gt;=DATE(YEAR(GH$2),MONTH(GH$2)+1,DAY(GH$2)),SUMIFS(AC_SOTIEN,AC_THANG,GH$2,AC_KM,$E82),SUMIFS(TF_SOTIEN,TF_THANG,GH$2,TF_KM,$E82))/ 1000</f>
        <v>0</v>
      </c>
      <c r="GO82" s="1091" t="str">
        <f t="shared" si="837"/>
        <v/>
      </c>
      <c r="GP82" s="1091" t="str">
        <f t="shared" si="905"/>
        <v/>
      </c>
      <c r="GQ82" s="1090">
        <f t="shared" si="643"/>
        <v>0</v>
      </c>
      <c r="GR82" s="1091" t="str">
        <f t="shared" si="118"/>
        <v/>
      </c>
      <c r="GS82" s="1090">
        <f t="shared" si="644"/>
        <v>0</v>
      </c>
      <c r="GT82" s="1091" t="str">
        <f t="shared" si="120"/>
        <v/>
      </c>
      <c r="GU82" s="1088">
        <f>SUMIFS(BP_SOTIEN,BP_THANG,GU$2,BP_KM,$E82)/1000</f>
        <v>0</v>
      </c>
      <c r="GV82" s="1091">
        <f t="shared" si="838"/>
        <v>0</v>
      </c>
      <c r="GW82" s="1091"/>
      <c r="GX82" s="1090">
        <f>IF(NOW()&gt;=DATE(YEAR(GU$2),MONTH(GU$2)+1,DAY(GU$2)),SUMIFS(TF_SOTIEN,TF_THANG,GU$2,TF_KM,$E82)/1000, HA82)</f>
        <v>0</v>
      </c>
      <c r="GY82" s="1091">
        <f t="shared" si="839"/>
        <v>0</v>
      </c>
      <c r="GZ82" s="1091"/>
      <c r="HA82" s="1090">
        <f>IF(NOW()&gt;=DATE(YEAR(GU$2),MONTH(GU$2)+1,DAY(GU$2)),SUMIFS(AC_SOTIEN,AC_THANG,GU$2,AC_KM,$E82),SUMIFS(TF_SOTIEN,TF_THANG,GU$2,TF_KM,$E82))/ 1000</f>
        <v>0</v>
      </c>
      <c r="HB82" s="1091" t="str">
        <f t="shared" si="840"/>
        <v/>
      </c>
      <c r="HC82" s="1091" t="str">
        <f t="shared" si="906"/>
        <v/>
      </c>
      <c r="HD82" s="1090">
        <f t="shared" si="651"/>
        <v>0</v>
      </c>
      <c r="HE82" s="1091" t="str">
        <f t="shared" si="125"/>
        <v/>
      </c>
      <c r="HF82" s="1090">
        <f t="shared" si="652"/>
        <v>0</v>
      </c>
      <c r="HG82" s="1091" t="str">
        <f t="shared" si="127"/>
        <v/>
      </c>
      <c r="HH82" s="1088">
        <f t="shared" si="924"/>
        <v>0</v>
      </c>
      <c r="HI82" s="1091">
        <f t="shared" si="841"/>
        <v>0</v>
      </c>
      <c r="HJ82" s="1091">
        <f t="shared" si="907"/>
        <v>0</v>
      </c>
      <c r="HK82" s="1090">
        <f t="shared" si="656"/>
        <v>0</v>
      </c>
      <c r="HL82" s="1091">
        <f t="shared" si="842"/>
        <v>0</v>
      </c>
      <c r="HM82" s="1091">
        <f t="shared" si="908"/>
        <v>0</v>
      </c>
      <c r="HN82" s="1090">
        <f t="shared" si="659"/>
        <v>0</v>
      </c>
      <c r="HO82" s="1091" t="str">
        <f t="shared" si="843"/>
        <v/>
      </c>
      <c r="HP82" s="1091" t="str">
        <f t="shared" si="909"/>
        <v/>
      </c>
      <c r="HQ82" s="1090">
        <f t="shared" si="662"/>
        <v>0</v>
      </c>
      <c r="HR82" s="1091" t="str">
        <f t="shared" si="135"/>
        <v/>
      </c>
      <c r="HS82" s="1090">
        <f t="shared" si="663"/>
        <v>0</v>
      </c>
      <c r="HT82" s="1091" t="str">
        <f t="shared" si="137"/>
        <v/>
      </c>
      <c r="HU82" s="1088">
        <f t="shared" si="925"/>
        <v>0</v>
      </c>
      <c r="HV82" s="1091">
        <f t="shared" si="844"/>
        <v>0</v>
      </c>
      <c r="HW82" s="1091">
        <f t="shared" si="910"/>
        <v>0</v>
      </c>
      <c r="HX82" s="1090">
        <f t="shared" si="667"/>
        <v>0</v>
      </c>
      <c r="HY82" s="1091">
        <f t="shared" si="845"/>
        <v>0</v>
      </c>
      <c r="HZ82" s="1091">
        <f t="shared" si="911"/>
        <v>0</v>
      </c>
      <c r="IA82" s="1090">
        <f t="shared" si="670"/>
        <v>0</v>
      </c>
      <c r="IB82" s="1091" t="str">
        <f t="shared" si="846"/>
        <v/>
      </c>
      <c r="IC82" s="1091" t="str">
        <f t="shared" si="912"/>
        <v/>
      </c>
      <c r="ID82" s="1090">
        <f t="shared" si="673"/>
        <v>0</v>
      </c>
      <c r="IE82" s="1091" t="str">
        <f t="shared" si="145"/>
        <v/>
      </c>
      <c r="IF82" s="1090">
        <f t="shared" si="674"/>
        <v>0</v>
      </c>
      <c r="IG82" s="1091" t="str">
        <f t="shared" si="147"/>
        <v/>
      </c>
      <c r="IH82" s="1088">
        <f t="shared" si="926"/>
        <v>0</v>
      </c>
      <c r="II82" s="1091">
        <f t="shared" si="847"/>
        <v>0</v>
      </c>
      <c r="IJ82" s="1091">
        <f t="shared" si="913"/>
        <v>0</v>
      </c>
      <c r="IK82" s="1090">
        <f t="shared" si="678"/>
        <v>0</v>
      </c>
      <c r="IL82" s="1091">
        <f t="shared" si="848"/>
        <v>0</v>
      </c>
      <c r="IM82" s="1091">
        <f t="shared" si="914"/>
        <v>0</v>
      </c>
      <c r="IN82" s="1090">
        <f t="shared" si="681"/>
        <v>34000</v>
      </c>
      <c r="IO82" s="1091">
        <f t="shared" si="849"/>
        <v>0.007825785133</v>
      </c>
      <c r="IP82" s="1091">
        <f t="shared" si="915"/>
        <v>0.01057295274</v>
      </c>
      <c r="IQ82" s="1090">
        <f t="shared" si="684"/>
        <v>34000</v>
      </c>
      <c r="IR82" s="1091" t="str">
        <f t="shared" si="1"/>
        <v/>
      </c>
      <c r="IS82" s="1090">
        <f t="shared" si="685"/>
        <v>34000</v>
      </c>
      <c r="IT82" s="1091" t="str">
        <f t="shared" si="2"/>
        <v/>
      </c>
    </row>
    <row r="83" outlineLevel="1">
      <c r="A83" s="1087"/>
      <c r="B83" s="1087"/>
      <c r="C83" s="1087"/>
      <c r="D83" s="1087" t="s">
        <v>2245</v>
      </c>
      <c r="E83" s="1087" t="s">
        <v>181</v>
      </c>
      <c r="F83" s="1087"/>
      <c r="G83" s="1086">
        <v>2.0</v>
      </c>
      <c r="H83" s="1088">
        <f>SUMIFS(BP_SOTIEN,BP_THANG,H$2,BP_KM,$E83)/1000</f>
        <v>0</v>
      </c>
      <c r="I83" s="1145" t="str">
        <f t="shared" si="791"/>
        <v/>
      </c>
      <c r="J83" s="1145"/>
      <c r="K83" s="1090">
        <f>IF(NOW()&gt;=DATE(YEAR(H$2),MONTH(H$2)+1,DAY(H$2)),SUMIFS(TF_SOTIEN,TF_THANG,H$2,TF_KM,$E83)/1000, N83)</f>
        <v>0</v>
      </c>
      <c r="L83" s="1145">
        <f t="shared" si="792"/>
        <v>0</v>
      </c>
      <c r="M83" s="1145"/>
      <c r="N83" s="1090">
        <f>IF(NOW()&gt;=DATE(YEAR(H$2),MONTH(H$2)+1,DAY(H$2)),SUMIFS(AC_SOTIEN,AC_THANG,H$2,AC_KM,$E83),SUMIFS(TF_SOTIEN,TF_THANG,H$2,TF_KM,$E83))/ 1000</f>
        <v>26880</v>
      </c>
      <c r="O83" s="1145">
        <f t="shared" si="793"/>
        <v>0.07905882353</v>
      </c>
      <c r="P83" s="1145">
        <f t="shared" si="883"/>
        <v>0.03752483466</v>
      </c>
      <c r="Q83" s="1090">
        <f t="shared" si="518"/>
        <v>26880</v>
      </c>
      <c r="R83" s="1145" t="str">
        <f t="shared" si="8"/>
        <v/>
      </c>
      <c r="S83" s="1090">
        <f t="shared" si="519"/>
        <v>26880</v>
      </c>
      <c r="T83" s="1145" t="str">
        <f t="shared" si="10"/>
        <v/>
      </c>
      <c r="U83" s="1088">
        <f>SUMIFS(BP_SOTIEN,BP_THANG,U$2,BP_KM,$E83)/1000</f>
        <v>0</v>
      </c>
      <c r="V83" s="1145" t="str">
        <f t="shared" si="794"/>
        <v/>
      </c>
      <c r="W83" s="1145"/>
      <c r="X83" s="1090">
        <f>IF(NOW()&gt;=DATE(YEAR(U$2),MONTH(U$2)+1,DAY(U$2)),SUMIFS(TF_SOTIEN,TF_THANG,U$2,TF_KM,$E83)/1000, AA83)</f>
        <v>0</v>
      </c>
      <c r="Y83" s="1145" t="str">
        <f t="shared" si="795"/>
        <v/>
      </c>
      <c r="Z83" s="1145"/>
      <c r="AA83" s="1090">
        <f>IF(NOW()&gt;=DATE(YEAR(U$2),MONTH(U$2)+1,DAY(U$2)),SUMIFS(AC_SOTIEN,AC_THANG,U$2,AC_KM,$E83),SUMIFS(TF_SOTIEN,TF_THANG,U$2,TF_KM,$E83))/ 1000</f>
        <v>0</v>
      </c>
      <c r="AB83" s="1145">
        <f t="shared" si="796"/>
        <v>0</v>
      </c>
      <c r="AC83" s="1145">
        <f t="shared" si="884"/>
        <v>0</v>
      </c>
      <c r="AD83" s="1090">
        <f t="shared" si="526"/>
        <v>0</v>
      </c>
      <c r="AE83" s="1145" t="str">
        <f t="shared" si="15"/>
        <v/>
      </c>
      <c r="AF83" s="1090">
        <f t="shared" si="527"/>
        <v>0</v>
      </c>
      <c r="AG83" s="1145" t="str">
        <f t="shared" si="17"/>
        <v/>
      </c>
      <c r="AH83" s="1088">
        <f>SUMIFS(BP_SOTIEN,BP_THANG,AH$2,BP_KM,$E83)/1000</f>
        <v>0</v>
      </c>
      <c r="AI83" s="1145" t="str">
        <f t="shared" si="797"/>
        <v/>
      </c>
      <c r="AJ83" s="1145"/>
      <c r="AK83" s="1090">
        <f>IF(NOW()&gt;=DATE(YEAR(AH$2),MONTH(AH$2)+1,DAY(AH$2)),SUMIFS(TF_SOTIEN,TF_THANG,AH$2,TF_KM,$E83)/1000, AN83)</f>
        <v>2400</v>
      </c>
      <c r="AL83" s="1145">
        <f t="shared" si="798"/>
        <v>0.0006666666667</v>
      </c>
      <c r="AM83" s="1145"/>
      <c r="AN83" s="1090">
        <f>IF(NOW()&gt;=DATE(YEAR(AH$2),MONTH(AH$2)+1,DAY(AH$2)),SUMIFS(AC_SOTIEN,AC_THANG,AH$2,AC_KM,$E83),SUMIFS(TF_SOTIEN,TF_THANG,AH$2,TF_KM,$E83))/ 1000</f>
        <v>161815</v>
      </c>
      <c r="AO83" s="1145">
        <f t="shared" si="799"/>
        <v>0.242238024</v>
      </c>
      <c r="AP83" s="1145">
        <f t="shared" si="885"/>
        <v>0.2655757759</v>
      </c>
      <c r="AQ83" s="1090">
        <f t="shared" si="534"/>
        <v>161815</v>
      </c>
      <c r="AR83" s="1145" t="str">
        <f t="shared" si="22"/>
        <v/>
      </c>
      <c r="AS83" s="1090">
        <f t="shared" si="535"/>
        <v>159415</v>
      </c>
      <c r="AT83" s="1145">
        <f t="shared" si="24"/>
        <v>66.42291667</v>
      </c>
      <c r="AU83" s="1088">
        <f t="shared" si="916"/>
        <v>0</v>
      </c>
      <c r="AV83" s="1145" t="str">
        <f t="shared" si="800"/>
        <v/>
      </c>
      <c r="AW83" s="1145">
        <f t="shared" si="886"/>
        <v>0</v>
      </c>
      <c r="AX83" s="1090">
        <f t="shared" si="917"/>
        <v>2400</v>
      </c>
      <c r="AY83" s="1145">
        <f t="shared" si="801"/>
        <v>0.0006451612903</v>
      </c>
      <c r="AZ83" s="1145">
        <f t="shared" si="887"/>
        <v>0.006451700764</v>
      </c>
      <c r="BA83" s="1090">
        <f t="shared" si="918"/>
        <v>188695</v>
      </c>
      <c r="BB83" s="1145">
        <f t="shared" si="802"/>
        <v>0.1588341751</v>
      </c>
      <c r="BC83" s="1145">
        <f t="shared" si="888"/>
        <v>0.1263853723</v>
      </c>
      <c r="BD83" s="1090">
        <f t="shared" si="545"/>
        <v>188695</v>
      </c>
      <c r="BE83" s="1145" t="str">
        <f t="shared" si="32"/>
        <v/>
      </c>
      <c r="BF83" s="1090">
        <f t="shared" si="546"/>
        <v>186295</v>
      </c>
      <c r="BG83" s="1145">
        <f t="shared" si="34"/>
        <v>77.62291667</v>
      </c>
      <c r="BH83" s="1088">
        <f>SUMIFS(BP_SOTIEN,BP_THANG,BH$2,BP_KM,$E83)/1000</f>
        <v>1300000</v>
      </c>
      <c r="BI83" s="1145">
        <f t="shared" si="803"/>
        <v>0.325</v>
      </c>
      <c r="BJ83" s="1145"/>
      <c r="BK83" s="1090">
        <f>IF(NOW()&gt;=DATE(YEAR(BH$2),MONTH(BH$2)+1,DAY(BH$2)),SUMIFS(TF_SOTIEN,TF_THANG,BH$2,TF_KM,$E83)/1000, BN83)</f>
        <v>1200</v>
      </c>
      <c r="BL83" s="1145" t="str">
        <f t="shared" si="804"/>
        <v/>
      </c>
      <c r="BM83" s="1145"/>
      <c r="BN83" s="1090">
        <f>IF(NOW()&gt;=DATE(YEAR(BH$2),MONTH(BH$2)+1,DAY(BH$2)),SUMIFS(AC_SOTIEN,AC_THANG,BH$2,AC_KM,$E83),SUMIFS(TF_SOTIEN,TF_THANG,BH$2,TF_KM,$E83))/ 1000</f>
        <v>92400</v>
      </c>
      <c r="BO83" s="1145">
        <f t="shared" si="805"/>
        <v>0.03552425184</v>
      </c>
      <c r="BP83" s="1145">
        <f t="shared" si="889"/>
        <v>0.07796724323</v>
      </c>
      <c r="BQ83" s="1090">
        <f t="shared" si="553"/>
        <v>-1207600</v>
      </c>
      <c r="BR83" s="1145">
        <f t="shared" si="39"/>
        <v>-0.9289230769</v>
      </c>
      <c r="BS83" s="1090">
        <f t="shared" si="554"/>
        <v>91200</v>
      </c>
      <c r="BT83" s="1145">
        <f t="shared" si="41"/>
        <v>76</v>
      </c>
      <c r="BU83" s="1088">
        <f>SUMIFS(BP_SOTIEN,BP_THANG,BU$2,BP_KM,$E83)/1000</f>
        <v>1300000</v>
      </c>
      <c r="BV83" s="1145">
        <f t="shared" si="806"/>
        <v>0.325</v>
      </c>
      <c r="BW83" s="1145"/>
      <c r="BX83" s="1090">
        <f>IF(NOW()&gt;=DATE(YEAR(BU$2),MONTH(BU$2)+1,DAY(BU$2)),SUMIFS(TF_SOTIEN,TF_THANG,BU$2,TF_KM,$E83)/1000, CA83)</f>
        <v>50000</v>
      </c>
      <c r="BY83" s="1145">
        <f t="shared" si="807"/>
        <v>0.03345697962</v>
      </c>
      <c r="BZ83" s="1145"/>
      <c r="CA83" s="1090">
        <f>IF(NOW()&gt;=DATE(YEAR(BU$2),MONTH(BU$2)+1,DAY(BU$2)),SUMIFS(AC_SOTIEN,AC_THANG,BU$2,AC_KM,$E83),SUMIFS(TF_SOTIEN,TF_THANG,BU$2,TF_KM,$E83))/ 1000</f>
        <v>9900</v>
      </c>
      <c r="CB83" s="1145">
        <f t="shared" si="808"/>
        <v>0.01781947254</v>
      </c>
      <c r="CC83" s="1145">
        <f t="shared" si="890"/>
        <v>0.01841427005</v>
      </c>
      <c r="CD83" s="1090">
        <f t="shared" si="561"/>
        <v>-1290100</v>
      </c>
      <c r="CE83" s="1145">
        <f t="shared" si="46"/>
        <v>-0.9923846154</v>
      </c>
      <c r="CF83" s="1090">
        <f t="shared" si="562"/>
        <v>-40100</v>
      </c>
      <c r="CG83" s="1145">
        <f t="shared" si="48"/>
        <v>-0.802</v>
      </c>
      <c r="CH83" s="1088">
        <f>SUMIFS(BP_SOTIEN,BP_THANG,CH$2,BP_KM,$E83)/1000</f>
        <v>1300000</v>
      </c>
      <c r="CI83" s="1145">
        <f t="shared" si="809"/>
        <v>0.325</v>
      </c>
      <c r="CJ83" s="1145"/>
      <c r="CK83" s="1090">
        <f>IF(NOW()&gt;=DATE(YEAR(CH$2),MONTH(CH$2)+1,DAY(CH$2)),SUMIFS(TF_SOTIEN,TF_THANG,CH$2,TF_KM,$E83)/1000, CN83)</f>
        <v>1300000</v>
      </c>
      <c r="CL83" s="1145" t="str">
        <f t="shared" si="810"/>
        <v/>
      </c>
      <c r="CM83" s="1145"/>
      <c r="CN83" s="1090">
        <f>IF(NOW()&gt;=DATE(YEAR(CH$2),MONTH(CH$2)+1,DAY(CH$2)),SUMIFS(AC_SOTIEN,AC_THANG,CH$2,AC_KM,$E83),SUMIFS(TF_SOTIEN,TF_THANG,CH$2,TF_KM,$E83))/ 1000</f>
        <v>0</v>
      </c>
      <c r="CO83" s="1145" t="str">
        <f t="shared" si="811"/>
        <v/>
      </c>
      <c r="CP83" s="1145" t="str">
        <f t="shared" si="891"/>
        <v/>
      </c>
      <c r="CQ83" s="1090">
        <f t="shared" si="569"/>
        <v>-1300000</v>
      </c>
      <c r="CR83" s="1145">
        <f t="shared" si="53"/>
        <v>-1</v>
      </c>
      <c r="CS83" s="1090">
        <f t="shared" si="570"/>
        <v>-1300000</v>
      </c>
      <c r="CT83" s="1145">
        <f t="shared" si="55"/>
        <v>-1</v>
      </c>
      <c r="CU83" s="1088">
        <f t="shared" si="919"/>
        <v>3900000</v>
      </c>
      <c r="CV83" s="1145">
        <f t="shared" si="812"/>
        <v>0.325</v>
      </c>
      <c r="CW83" s="1145">
        <f t="shared" si="892"/>
        <v>0.1686084743</v>
      </c>
      <c r="CX83" s="1090">
        <f t="shared" si="920"/>
        <v>1351200</v>
      </c>
      <c r="CY83" s="1145">
        <f t="shared" si="814"/>
        <v>0.9041414174</v>
      </c>
      <c r="CZ83" s="1145">
        <f t="shared" si="893"/>
        <v>0.1782007986</v>
      </c>
      <c r="DA83" s="1090">
        <f t="shared" si="921"/>
        <v>102300</v>
      </c>
      <c r="DB83" s="1145">
        <f t="shared" si="816"/>
        <v>0.0324081642</v>
      </c>
      <c r="DC83" s="1145">
        <f t="shared" si="894"/>
        <v>0.05938216059</v>
      </c>
      <c r="DD83" s="1090">
        <f t="shared" si="580"/>
        <v>-3797700</v>
      </c>
      <c r="DE83" s="1145">
        <f t="shared" si="63"/>
        <v>-0.9737692308</v>
      </c>
      <c r="DF83" s="1090">
        <f t="shared" si="581"/>
        <v>-1248900</v>
      </c>
      <c r="DG83" s="1145">
        <f t="shared" si="65"/>
        <v>-0.9242895204</v>
      </c>
      <c r="DH83" s="1088">
        <f t="shared" si="922"/>
        <v>3900000</v>
      </c>
      <c r="DI83" s="1145">
        <f t="shared" si="817"/>
        <v>0.325</v>
      </c>
      <c r="DJ83" s="1145">
        <f t="shared" si="895"/>
        <v>0.1674536991</v>
      </c>
      <c r="DK83" s="1090">
        <f t="shared" si="585"/>
        <v>1353600</v>
      </c>
      <c r="DL83" s="1145">
        <f t="shared" si="818"/>
        <v>0.2595860192</v>
      </c>
      <c r="DM83" s="1145">
        <f t="shared" si="896"/>
        <v>0.1701688449</v>
      </c>
      <c r="DN83" s="1090">
        <f t="shared" si="588"/>
        <v>290995</v>
      </c>
      <c r="DO83" s="1145">
        <f t="shared" si="819"/>
        <v>0.06697836309</v>
      </c>
      <c r="DP83" s="1145">
        <f t="shared" si="897"/>
        <v>0.09049048181</v>
      </c>
      <c r="DQ83" s="1090">
        <f t="shared" si="591"/>
        <v>-3609005</v>
      </c>
      <c r="DR83" s="1145">
        <f t="shared" si="73"/>
        <v>-0.9253858974</v>
      </c>
      <c r="DS83" s="1090">
        <f t="shared" si="592"/>
        <v>-1062605</v>
      </c>
      <c r="DT83" s="1145">
        <f t="shared" si="75"/>
        <v>-0.7850214243</v>
      </c>
      <c r="DU83" s="1088">
        <f>SUMIFS(BP_SOTIEN,BP_THANG,DU$2,BP_KM,$E83)/1000</f>
        <v>1300000</v>
      </c>
      <c r="DV83" s="1145">
        <f t="shared" si="820"/>
        <v>0.325</v>
      </c>
      <c r="DW83" s="1145"/>
      <c r="DX83" s="1090">
        <f>IF(NOW()&gt;=DATE(YEAR(DU$2),MONTH(DU$2)+1,DAY(DU$2)),SUMIFS(TF_SOTIEN,TF_THANG,DU$2,TF_KM,$E83)/1000, EA83)</f>
        <v>1300000</v>
      </c>
      <c r="DY83" s="1145">
        <f t="shared" si="821"/>
        <v>0.2152317895</v>
      </c>
      <c r="DZ83" s="1145"/>
      <c r="EA83" s="1090">
        <f>IF(NOW()&gt;=DATE(YEAR(DU$2),MONTH(DU$2)+1,DAY(DU$2)),SUMIFS(AC_SOTIEN,AC_THANG,DU$2,AC_KM,$E83),SUMIFS(TF_SOTIEN,TF_THANG,DU$2,TF_KM,$E83))/ 1000</f>
        <v>0</v>
      </c>
      <c r="EB83" s="1145" t="str">
        <f t="shared" si="822"/>
        <v/>
      </c>
      <c r="EC83" s="1145" t="str">
        <f t="shared" si="898"/>
        <v/>
      </c>
      <c r="ED83" s="1090">
        <f t="shared" si="599"/>
        <v>-1300000</v>
      </c>
      <c r="EE83" s="1145">
        <f t="shared" si="80"/>
        <v>-1</v>
      </c>
      <c r="EF83" s="1090">
        <f t="shared" si="600"/>
        <v>-1300000</v>
      </c>
      <c r="EG83" s="1145">
        <f t="shared" si="82"/>
        <v>-1</v>
      </c>
      <c r="EH83" s="1088">
        <f>SUMIFS(BP_SOTIEN,BP_THANG,EH$2,BP_KM,$E83)/1000</f>
        <v>1300000</v>
      </c>
      <c r="EI83" s="1145">
        <f t="shared" si="823"/>
        <v>0.325</v>
      </c>
      <c r="EJ83" s="1145"/>
      <c r="EK83" s="1090">
        <f>IF(NOW()&gt;=DATE(YEAR(EH$2),MONTH(EH$2)+1,DAY(EH$2)),SUMIFS(TF_SOTIEN,TF_THANG,EH$2,TF_KM,$E83)/1000, EN83)</f>
        <v>1300000</v>
      </c>
      <c r="EL83" s="1145">
        <f t="shared" si="824"/>
        <v>0.2152317895</v>
      </c>
      <c r="EM83" s="1145"/>
      <c r="EN83" s="1090">
        <f>IF(NOW()&gt;=DATE(YEAR(EH$2),MONTH(EH$2)+1,DAY(EH$2)),SUMIFS(AC_SOTIEN,AC_THANG,EH$2,AC_KM,$E83),SUMIFS(TF_SOTIEN,TF_THANG,EH$2,TF_KM,$E83))/ 1000</f>
        <v>0</v>
      </c>
      <c r="EO83" s="1145" t="str">
        <f t="shared" si="825"/>
        <v/>
      </c>
      <c r="EP83" s="1145" t="str">
        <f t="shared" si="899"/>
        <v/>
      </c>
      <c r="EQ83" s="1090">
        <f t="shared" si="607"/>
        <v>-1300000</v>
      </c>
      <c r="ER83" s="1145">
        <f t="shared" si="87"/>
        <v>-1</v>
      </c>
      <c r="ES83" s="1090">
        <f t="shared" si="608"/>
        <v>-1300000</v>
      </c>
      <c r="ET83" s="1145">
        <f t="shared" si="89"/>
        <v>-1</v>
      </c>
      <c r="EU83" s="1088">
        <f>SUMIFS(BP_SOTIEN,BP_THANG,EU$2,BP_KM,$E83)/1000</f>
        <v>1300000</v>
      </c>
      <c r="EV83" s="1145">
        <f t="shared" si="826"/>
        <v>0.325</v>
      </c>
      <c r="EW83" s="1145"/>
      <c r="EX83" s="1090">
        <f>IF(NOW()&gt;=DATE(YEAR(EU$2),MONTH(EU$2)+1,DAY(EU$2)),SUMIFS(TF_SOTIEN,TF_THANG,EU$2,TF_KM,$E83)/1000, FA83)</f>
        <v>1300000</v>
      </c>
      <c r="EY83" s="1145">
        <f t="shared" si="827"/>
        <v>0.2152317895</v>
      </c>
      <c r="EZ83" s="1145"/>
      <c r="FA83" s="1090">
        <f>IF(NOW()&gt;=DATE(YEAR(EU$2),MONTH(EU$2)+1,DAY(EU$2)),SUMIFS(AC_SOTIEN,AC_THANG,EU$2,AC_KM,$E83),SUMIFS(TF_SOTIEN,TF_THANG,EU$2,TF_KM,$E83))/ 1000</f>
        <v>0</v>
      </c>
      <c r="FB83" s="1145" t="str">
        <f t="shared" si="828"/>
        <v/>
      </c>
      <c r="FC83" s="1145" t="str">
        <f t="shared" si="900"/>
        <v/>
      </c>
      <c r="FD83" s="1090">
        <f t="shared" si="616"/>
        <v>-1300000</v>
      </c>
      <c r="FE83" s="1145">
        <f t="shared" si="94"/>
        <v>-1</v>
      </c>
      <c r="FF83" s="1090">
        <f t="shared" si="617"/>
        <v>-1300000</v>
      </c>
      <c r="FG83" s="1145">
        <f t="shared" si="96"/>
        <v>-1</v>
      </c>
      <c r="FH83" s="1088">
        <f t="shared" si="923"/>
        <v>3900000</v>
      </c>
      <c r="FI83" s="1145">
        <f t="shared" si="829"/>
        <v>0.325</v>
      </c>
      <c r="FJ83" s="1145">
        <f t="shared" si="901"/>
        <v>0.1686084743</v>
      </c>
      <c r="FK83" s="1090">
        <f t="shared" si="621"/>
        <v>3900000</v>
      </c>
      <c r="FL83" s="1145">
        <f t="shared" si="830"/>
        <v>0.2152317895</v>
      </c>
      <c r="FM83" s="1145">
        <f t="shared" si="902"/>
        <v>0.1686084743</v>
      </c>
      <c r="FN83" s="1090">
        <f t="shared" si="624"/>
        <v>0</v>
      </c>
      <c r="FO83" s="1145" t="str">
        <f t="shared" si="831"/>
        <v/>
      </c>
      <c r="FP83" s="1145" t="str">
        <f t="shared" si="903"/>
        <v/>
      </c>
      <c r="FQ83" s="1090">
        <f t="shared" si="627"/>
        <v>-3900000</v>
      </c>
      <c r="FR83" s="1145">
        <f t="shared" si="104"/>
        <v>-1</v>
      </c>
      <c r="FS83" s="1090">
        <f t="shared" si="628"/>
        <v>-3900000</v>
      </c>
      <c r="FT83" s="1145">
        <f t="shared" si="106"/>
        <v>-1</v>
      </c>
      <c r="FU83" s="1088">
        <f>SUMIFS(BP_SOTIEN,BP_THANG,FU$2,BP_KM,$E83)/1000</f>
        <v>1300000</v>
      </c>
      <c r="FV83" s="1145">
        <f t="shared" si="832"/>
        <v>0.325</v>
      </c>
      <c r="FW83" s="1145"/>
      <c r="FX83" s="1090">
        <f>IF(NOW()&gt;=DATE(YEAR(FU$2),MONTH(FU$2)+1,DAY(FU$2)),SUMIFS(TF_SOTIEN,TF_THANG,FU$2,TF_KM,$E83)/1000, GA83)</f>
        <v>1300000</v>
      </c>
      <c r="FY83" s="1145">
        <f t="shared" si="833"/>
        <v>0.2152317895</v>
      </c>
      <c r="FZ83" s="1145"/>
      <c r="GA83" s="1090">
        <f>IF(NOW()&gt;=DATE(YEAR(FU$2),MONTH(FU$2)+1,DAY(FU$2)),SUMIFS(AC_SOTIEN,AC_THANG,FU$2,AC_KM,$E83),SUMIFS(TF_SOTIEN,TF_THANG,FU$2,TF_KM,$E83))/ 1000</f>
        <v>0</v>
      </c>
      <c r="GB83" s="1145" t="str">
        <f t="shared" si="834"/>
        <v/>
      </c>
      <c r="GC83" s="1145" t="str">
        <f t="shared" si="904"/>
        <v/>
      </c>
      <c r="GD83" s="1090">
        <f t="shared" si="635"/>
        <v>-1300000</v>
      </c>
      <c r="GE83" s="1145">
        <f t="shared" si="111"/>
        <v>-1</v>
      </c>
      <c r="GF83" s="1090">
        <f t="shared" si="636"/>
        <v>-1300000</v>
      </c>
      <c r="GG83" s="1145">
        <f t="shared" si="113"/>
        <v>-1</v>
      </c>
      <c r="GH83" s="1088">
        <f>SUMIFS(BP_SOTIEN,BP_THANG,GH$2,BP_KM,$E83)/1000</f>
        <v>1300000</v>
      </c>
      <c r="GI83" s="1145">
        <f t="shared" si="835"/>
        <v>0.325</v>
      </c>
      <c r="GJ83" s="1145"/>
      <c r="GK83" s="1090">
        <f>IF(NOW()&gt;=DATE(YEAR(GH$2),MONTH(GH$2)+1,DAY(GH$2)),SUMIFS(TF_SOTIEN,TF_THANG,GH$2,TF_KM,$E83)/1000, GN83)</f>
        <v>1300000</v>
      </c>
      <c r="GL83" s="1145">
        <f t="shared" si="836"/>
        <v>0.2152317895</v>
      </c>
      <c r="GM83" s="1145"/>
      <c r="GN83" s="1090">
        <f>IF(NOW()&gt;=DATE(YEAR(GH$2),MONTH(GH$2)+1,DAY(GH$2)),SUMIFS(AC_SOTIEN,AC_THANG,GH$2,AC_KM,$E83),SUMIFS(TF_SOTIEN,TF_THANG,GH$2,TF_KM,$E83))/ 1000</f>
        <v>0</v>
      </c>
      <c r="GO83" s="1145" t="str">
        <f t="shared" si="837"/>
        <v/>
      </c>
      <c r="GP83" s="1145" t="str">
        <f t="shared" si="905"/>
        <v/>
      </c>
      <c r="GQ83" s="1090">
        <f t="shared" si="643"/>
        <v>-1300000</v>
      </c>
      <c r="GR83" s="1145">
        <f t="shared" si="118"/>
        <v>-1</v>
      </c>
      <c r="GS83" s="1090">
        <f t="shared" si="644"/>
        <v>-1300000</v>
      </c>
      <c r="GT83" s="1145">
        <f t="shared" si="120"/>
        <v>-1</v>
      </c>
      <c r="GU83" s="1088">
        <f>SUMIFS(BP_SOTIEN,BP_THANG,GU$2,BP_KM,$E83)/1000</f>
        <v>1300000</v>
      </c>
      <c r="GV83" s="1145">
        <f t="shared" si="838"/>
        <v>0.325</v>
      </c>
      <c r="GW83" s="1145"/>
      <c r="GX83" s="1090">
        <f>IF(NOW()&gt;=DATE(YEAR(GU$2),MONTH(GU$2)+1,DAY(GU$2)),SUMIFS(TF_SOTIEN,TF_THANG,GU$2,TF_KM,$E83)/1000, HA83)</f>
        <v>1300000</v>
      </c>
      <c r="GY83" s="1145">
        <f t="shared" si="839"/>
        <v>0.2152317895</v>
      </c>
      <c r="GZ83" s="1145"/>
      <c r="HA83" s="1090">
        <f>IF(NOW()&gt;=DATE(YEAR(GU$2),MONTH(GU$2)+1,DAY(GU$2)),SUMIFS(AC_SOTIEN,AC_THANG,GU$2,AC_KM,$E83),SUMIFS(TF_SOTIEN,TF_THANG,GU$2,TF_KM,$E83))/ 1000</f>
        <v>0</v>
      </c>
      <c r="HB83" s="1145" t="str">
        <f t="shared" si="840"/>
        <v/>
      </c>
      <c r="HC83" s="1145" t="str">
        <f t="shared" si="906"/>
        <v/>
      </c>
      <c r="HD83" s="1090">
        <f t="shared" si="651"/>
        <v>-1300000</v>
      </c>
      <c r="HE83" s="1145">
        <f t="shared" si="125"/>
        <v>-1</v>
      </c>
      <c r="HF83" s="1090">
        <f t="shared" si="652"/>
        <v>-1300000</v>
      </c>
      <c r="HG83" s="1145">
        <f t="shared" si="127"/>
        <v>-1</v>
      </c>
      <c r="HH83" s="1088">
        <f t="shared" si="924"/>
        <v>3900000</v>
      </c>
      <c r="HI83" s="1145">
        <f t="shared" si="841"/>
        <v>0.325</v>
      </c>
      <c r="HJ83" s="1145">
        <f t="shared" si="907"/>
        <v>0.1686084743</v>
      </c>
      <c r="HK83" s="1090">
        <f t="shared" si="656"/>
        <v>3900000</v>
      </c>
      <c r="HL83" s="1145">
        <f t="shared" si="842"/>
        <v>0.2152317895</v>
      </c>
      <c r="HM83" s="1145">
        <f t="shared" si="908"/>
        <v>0.1686084743</v>
      </c>
      <c r="HN83" s="1090">
        <f t="shared" si="659"/>
        <v>0</v>
      </c>
      <c r="HO83" s="1145" t="str">
        <f t="shared" si="843"/>
        <v/>
      </c>
      <c r="HP83" s="1145" t="str">
        <f t="shared" si="909"/>
        <v/>
      </c>
      <c r="HQ83" s="1090">
        <f t="shared" si="662"/>
        <v>-3900000</v>
      </c>
      <c r="HR83" s="1145">
        <f t="shared" si="135"/>
        <v>-1</v>
      </c>
      <c r="HS83" s="1090">
        <f t="shared" si="663"/>
        <v>-3900000</v>
      </c>
      <c r="HT83" s="1145">
        <f t="shared" si="137"/>
        <v>-1</v>
      </c>
      <c r="HU83" s="1088">
        <f t="shared" si="925"/>
        <v>7800000</v>
      </c>
      <c r="HV83" s="1145">
        <f t="shared" si="844"/>
        <v>0.325</v>
      </c>
      <c r="HW83" s="1145">
        <f t="shared" si="910"/>
        <v>0.1686084743</v>
      </c>
      <c r="HX83" s="1090">
        <f t="shared" si="667"/>
        <v>7800000</v>
      </c>
      <c r="HY83" s="1145">
        <f t="shared" si="845"/>
        <v>0.2152317895</v>
      </c>
      <c r="HZ83" s="1145">
        <f t="shared" si="911"/>
        <v>0.1686084743</v>
      </c>
      <c r="IA83" s="1090">
        <f t="shared" si="670"/>
        <v>0</v>
      </c>
      <c r="IB83" s="1145" t="str">
        <f t="shared" si="846"/>
        <v/>
      </c>
      <c r="IC83" s="1145" t="str">
        <f t="shared" si="912"/>
        <v/>
      </c>
      <c r="ID83" s="1090">
        <f t="shared" si="673"/>
        <v>-7800000</v>
      </c>
      <c r="IE83" s="1145">
        <f t="shared" si="145"/>
        <v>-1</v>
      </c>
      <c r="IF83" s="1090">
        <f t="shared" si="674"/>
        <v>-7800000</v>
      </c>
      <c r="IG83" s="1145">
        <f t="shared" si="147"/>
        <v>-1</v>
      </c>
      <c r="IH83" s="1088">
        <f t="shared" si="926"/>
        <v>11700000</v>
      </c>
      <c r="II83" s="1145">
        <f t="shared" si="847"/>
        <v>0.325</v>
      </c>
      <c r="IJ83" s="1145">
        <f t="shared" si="913"/>
        <v>0.1682217836</v>
      </c>
      <c r="IK83" s="1090">
        <f t="shared" si="678"/>
        <v>9153600</v>
      </c>
      <c r="IL83" s="1145">
        <f t="shared" si="848"/>
        <v>0.2208110015</v>
      </c>
      <c r="IM83" s="1145">
        <f t="shared" si="914"/>
        <v>0.1688374106</v>
      </c>
      <c r="IN83" s="1090">
        <f t="shared" si="681"/>
        <v>290995</v>
      </c>
      <c r="IO83" s="1145">
        <f t="shared" si="849"/>
        <v>0.06697836309</v>
      </c>
      <c r="IP83" s="1145">
        <f t="shared" si="915"/>
        <v>0.09049048181</v>
      </c>
      <c r="IQ83" s="1090">
        <f t="shared" si="684"/>
        <v>-11409005</v>
      </c>
      <c r="IR83" s="1145">
        <f t="shared" si="1"/>
        <v>-0.9751286325</v>
      </c>
      <c r="IS83" s="1090">
        <f t="shared" si="685"/>
        <v>-8862605</v>
      </c>
      <c r="IT83" s="1145">
        <f t="shared" si="2"/>
        <v>-0.9682097754</v>
      </c>
    </row>
    <row r="84">
      <c r="A84" s="1107" t="s">
        <v>2844</v>
      </c>
      <c r="B84" s="1108"/>
      <c r="C84" s="1108"/>
      <c r="D84" s="1108"/>
      <c r="E84" s="1108"/>
      <c r="F84" s="1108"/>
      <c r="G84" s="1141">
        <v>1.0</v>
      </c>
      <c r="H84" s="1110">
        <f>SUMIF($G$85:$G$112,2,H$85:H$112)</f>
        <v>398194</v>
      </c>
      <c r="I84" s="1112" t="str">
        <f t="shared" si="791"/>
        <v/>
      </c>
      <c r="J84" s="1112">
        <f>IFERROR(H84/H$113,"")</f>
        <v>0.8822015048</v>
      </c>
      <c r="K84" s="1142">
        <f>SUMIF($G$85:$G$112,2,K$85:K$112)</f>
        <v>398194</v>
      </c>
      <c r="L84" s="1112">
        <f t="shared" si="792"/>
        <v>3.318283333</v>
      </c>
      <c r="M84" s="1112">
        <f>IFERROR(K84/K$113,"")</f>
        <v>0.8822015048</v>
      </c>
      <c r="N84" s="1142">
        <f>SUMIF($G$85:$G$112,2,N$85:N$112)</f>
        <v>112758.462</v>
      </c>
      <c r="O84" s="1112">
        <f t="shared" si="793"/>
        <v>0.3316425353</v>
      </c>
      <c r="P84" s="1112">
        <f>IFERROR(N84/N$113,"")</f>
        <v>0.1360036528</v>
      </c>
      <c r="Q84" s="1143">
        <f t="shared" si="518"/>
        <v>-285435.538</v>
      </c>
      <c r="R84" s="1144">
        <f t="shared" si="8"/>
        <v>-0.7168253113</v>
      </c>
      <c r="S84" s="1143">
        <f t="shared" si="519"/>
        <v>-285435.538</v>
      </c>
      <c r="T84" s="1144">
        <f t="shared" si="10"/>
        <v>-0.7168253113</v>
      </c>
      <c r="U84" s="1110">
        <f>SUMIF($G$85:$G$112,2,U$85:U$112)</f>
        <v>395194</v>
      </c>
      <c r="V84" s="1112" t="str">
        <f t="shared" si="794"/>
        <v/>
      </c>
      <c r="W84" s="1112">
        <f>IFERROR(U84/U$113,"")</f>
        <v>0.881413316</v>
      </c>
      <c r="X84" s="1142">
        <f>SUMIF($G$85:$G$112,2,X$85:X$112)</f>
        <v>150985.505</v>
      </c>
      <c r="Y84" s="1112" t="str">
        <f t="shared" si="795"/>
        <v/>
      </c>
      <c r="Z84" s="1112">
        <f>IFERROR(X84/X$113,"")</f>
        <v>0.6272298813</v>
      </c>
      <c r="AA84" s="1142">
        <f>SUMIF($G$85:$G$112,2,AA$85:AA$112)</f>
        <v>144093.824</v>
      </c>
      <c r="AB84" s="1112">
        <f t="shared" si="796"/>
        <v>0.8005212444</v>
      </c>
      <c r="AC84" s="1112">
        <f>IFERROR(AA84/AA$113,"")</f>
        <v>0.4626066454</v>
      </c>
      <c r="AD84" s="1143">
        <f t="shared" si="526"/>
        <v>-251100.176</v>
      </c>
      <c r="AE84" s="1144">
        <f t="shared" si="15"/>
        <v>-0.6353845858</v>
      </c>
      <c r="AF84" s="1143">
        <f t="shared" si="527"/>
        <v>-6891.681</v>
      </c>
      <c r="AG84" s="1144">
        <f t="shared" si="17"/>
        <v>-0.04564465311</v>
      </c>
      <c r="AH84" s="1110">
        <f>SUMIF($G$85:$G$112,2,AH$85:AH$112)</f>
        <v>395194</v>
      </c>
      <c r="AI84" s="1112" t="str">
        <f t="shared" si="797"/>
        <v/>
      </c>
      <c r="AJ84" s="1112">
        <f>IFERROR(AH84/AH$113,"")</f>
        <v>0.881413316</v>
      </c>
      <c r="AK84" s="1142">
        <f>SUMIF($G$85:$G$112,2,AK$85:AK$112)</f>
        <v>150985.505</v>
      </c>
      <c r="AL84" s="1112">
        <f t="shared" si="798"/>
        <v>0.04194041806</v>
      </c>
      <c r="AM84" s="1112">
        <f>IFERROR(AK84/AK$113,"")</f>
        <v>0.3972487651</v>
      </c>
      <c r="AN84" s="1142">
        <f>SUMIF($G$85:$G$112,2,AN$85:AN$112)</f>
        <v>206209.732</v>
      </c>
      <c r="AO84" s="1112">
        <f t="shared" si="799"/>
        <v>0.3086972036</v>
      </c>
      <c r="AP84" s="1112">
        <f>IFERROR(AN84/AN$113,"")</f>
        <v>0.2528603018</v>
      </c>
      <c r="AQ84" s="1143">
        <f t="shared" si="534"/>
        <v>-188984.268</v>
      </c>
      <c r="AR84" s="1144">
        <f t="shared" si="22"/>
        <v>-0.4782063189</v>
      </c>
      <c r="AS84" s="1143">
        <f t="shared" si="535"/>
        <v>55224.227</v>
      </c>
      <c r="AT84" s="1144">
        <f t="shared" si="24"/>
        <v>0.365758468</v>
      </c>
      <c r="AU84" s="1110">
        <f t="shared" si="916"/>
        <v>1188582</v>
      </c>
      <c r="AV84" s="1112" t="str">
        <f t="shared" si="800"/>
        <v/>
      </c>
      <c r="AW84" s="1112">
        <f>IFERROR(AU84/AU$113,"")</f>
        <v>0.8816772149</v>
      </c>
      <c r="AX84" s="1142">
        <f t="shared" si="917"/>
        <v>700165.01</v>
      </c>
      <c r="AY84" s="1112">
        <f t="shared" si="801"/>
        <v>0.1882164005</v>
      </c>
      <c r="AZ84" s="1112">
        <f>IFERROR(AX84/AX$113,"")</f>
        <v>0.6530415671</v>
      </c>
      <c r="BA84" s="1142">
        <f t="shared" si="918"/>
        <v>463062.018</v>
      </c>
      <c r="BB84" s="1112">
        <f t="shared" si="802"/>
        <v>0.3897828434</v>
      </c>
      <c r="BC84" s="1112">
        <f>IFERROR(BA84/BA$113,"")</f>
        <v>0.2367301975</v>
      </c>
      <c r="BD84" s="1143">
        <f t="shared" si="545"/>
        <v>-725519.982</v>
      </c>
      <c r="BE84" s="1144">
        <f t="shared" si="32"/>
        <v>-0.6104080173</v>
      </c>
      <c r="BF84" s="1143">
        <f t="shared" si="546"/>
        <v>-237102.992</v>
      </c>
      <c r="BG84" s="1144">
        <f t="shared" si="34"/>
        <v>-0.3386387332</v>
      </c>
      <c r="BH84" s="1110">
        <f>SUMIF($G$85:$G$112,2,BH$85:BH$112)</f>
        <v>395194</v>
      </c>
      <c r="BI84" s="1112">
        <f t="shared" si="803"/>
        <v>0.0987985</v>
      </c>
      <c r="BJ84" s="1112">
        <f>IFERROR(BH84/BH$113,"")</f>
        <v>0.04875709468</v>
      </c>
      <c r="BK84" s="1142">
        <f>SUMIF($G$85:$G$112,2,BK$85:BK$112)</f>
        <v>258989.839</v>
      </c>
      <c r="BL84" s="1112" t="str">
        <f t="shared" si="804"/>
        <v/>
      </c>
      <c r="BM84" s="1112">
        <f>IFERROR(BK84/BK$113,"")</f>
        <v>0.4390249811</v>
      </c>
      <c r="BN84" s="1142">
        <f>SUMIF($G$85:$G$112,2,BN$85:BN$112)</f>
        <v>211988.008</v>
      </c>
      <c r="BO84" s="1112">
        <f t="shared" si="805"/>
        <v>0.08150124873</v>
      </c>
      <c r="BP84" s="1112">
        <f>IFERROR(BN84/BN$113,"")</f>
        <v>0.151734194</v>
      </c>
      <c r="BQ84" s="1143">
        <f t="shared" si="553"/>
        <v>-183205.992</v>
      </c>
      <c r="BR84" s="1144">
        <f t="shared" si="39"/>
        <v>-0.4635849532</v>
      </c>
      <c r="BS84" s="1143">
        <f t="shared" si="554"/>
        <v>-47001.831</v>
      </c>
      <c r="BT84" s="1144">
        <f t="shared" si="41"/>
        <v>-0.1814813708</v>
      </c>
      <c r="BU84" s="1110">
        <f>SUMIF($G$85:$G$112,2,BU$85:BU$112)</f>
        <v>391029</v>
      </c>
      <c r="BV84" s="1112">
        <f t="shared" si="806"/>
        <v>0.09775725</v>
      </c>
      <c r="BW84" s="1112">
        <f>IFERROR(BU84/BU$113,"")</f>
        <v>0.04826804032</v>
      </c>
      <c r="BX84" s="1142">
        <f>SUMIF($G$85:$G$112,2,BX$85:BX$112)</f>
        <v>266493.476</v>
      </c>
      <c r="BY84" s="1112">
        <f t="shared" si="807"/>
        <v>0.1783213359</v>
      </c>
      <c r="BZ84" s="1112">
        <f>IFERROR(BX84/BX$113,"")</f>
        <v>0.2523969996</v>
      </c>
      <c r="CA84" s="1142">
        <f>SUMIF($G$85:$G$112,2,CA$85:CA$112)</f>
        <v>250684.393</v>
      </c>
      <c r="CB84" s="1112">
        <f t="shared" si="808"/>
        <v>0.4512185513</v>
      </c>
      <c r="CC84" s="1112">
        <f>IFERROR(CA84/CA$113,"")</f>
        <v>0.3180019299</v>
      </c>
      <c r="CD84" s="1143">
        <f t="shared" si="561"/>
        <v>-140344.607</v>
      </c>
      <c r="CE84" s="1144">
        <f t="shared" si="46"/>
        <v>-0.3589109938</v>
      </c>
      <c r="CF84" s="1143">
        <f t="shared" si="562"/>
        <v>-15809.083</v>
      </c>
      <c r="CG84" s="1144">
        <f t="shared" si="48"/>
        <v>-0.0593225892</v>
      </c>
      <c r="CH84" s="1110">
        <f>SUMIF($G$85:$G$112,2,CH$85:CH$112)</f>
        <v>391029</v>
      </c>
      <c r="CI84" s="1112">
        <f t="shared" si="809"/>
        <v>0.09775725</v>
      </c>
      <c r="CJ84" s="1112">
        <f>IFERROR(CH84/CH$113,"")</f>
        <v>0.04826804032</v>
      </c>
      <c r="CK84" s="1142">
        <f>SUMIF($G$85:$G$112,2,CK$85:CK$112)</f>
        <v>271914</v>
      </c>
      <c r="CL84" s="1112" t="str">
        <f t="shared" si="810"/>
        <v/>
      </c>
      <c r="CM84" s="1112">
        <f>IFERROR(CK84/CK$113,"")</f>
        <v>0.04037876569</v>
      </c>
      <c r="CN84" s="1142">
        <f>SUMIF($G$85:$G$112,2,CN$85:CN$112)</f>
        <v>0</v>
      </c>
      <c r="CO84" s="1112" t="str">
        <f t="shared" si="811"/>
        <v/>
      </c>
      <c r="CP84" s="1112" t="str">
        <f>IFERROR(CN84/CN$113,"")</f>
        <v/>
      </c>
      <c r="CQ84" s="1143">
        <f t="shared" si="569"/>
        <v>-391029</v>
      </c>
      <c r="CR84" s="1144">
        <f t="shared" si="53"/>
        <v>-1</v>
      </c>
      <c r="CS84" s="1143">
        <f t="shared" si="570"/>
        <v>-271914</v>
      </c>
      <c r="CT84" s="1144">
        <f t="shared" si="55"/>
        <v>-1</v>
      </c>
      <c r="CU84" s="1110">
        <f t="shared" si="919"/>
        <v>1177252</v>
      </c>
      <c r="CV84" s="1112">
        <f t="shared" si="812"/>
        <v>0.09810433333</v>
      </c>
      <c r="CW84" s="1112">
        <f>IFERROR(CU84/CU$113,"")</f>
        <v>0.04843111431</v>
      </c>
      <c r="CX84" s="1142">
        <f t="shared" si="920"/>
        <v>797397.315</v>
      </c>
      <c r="CY84" s="1112">
        <f t="shared" si="814"/>
        <v>0.5335701144</v>
      </c>
      <c r="CZ84" s="1112">
        <f>IFERROR(CX84/CX$113,"")</f>
        <v>0.09515645829</v>
      </c>
      <c r="DA84" s="1142">
        <f t="shared" si="921"/>
        <v>462672.401</v>
      </c>
      <c r="DB84" s="1112">
        <f t="shared" si="816"/>
        <v>0.1465724647</v>
      </c>
      <c r="DC84" s="1112">
        <f>IFERROR(DA84/DA$113,"")</f>
        <v>0.2117094622</v>
      </c>
      <c r="DD84" s="1143">
        <f t="shared" si="580"/>
        <v>-714579.599</v>
      </c>
      <c r="DE84" s="1144">
        <f t="shared" si="63"/>
        <v>-0.6069894967</v>
      </c>
      <c r="DF84" s="1143">
        <f t="shared" si="581"/>
        <v>-334724.914</v>
      </c>
      <c r="DG84" s="1144">
        <f t="shared" si="65"/>
        <v>-0.4197718097</v>
      </c>
      <c r="DH84" s="1110">
        <f t="shared" si="922"/>
        <v>2365834</v>
      </c>
      <c r="DI84" s="1112">
        <f t="shared" si="817"/>
        <v>0.1971528333</v>
      </c>
      <c r="DJ84" s="1112">
        <f>IFERROR(DH84/DH$113,"")</f>
        <v>0.09221419798</v>
      </c>
      <c r="DK84" s="1142">
        <f t="shared" si="585"/>
        <v>1497562.325</v>
      </c>
      <c r="DL84" s="1112">
        <f t="shared" si="818"/>
        <v>0.2871943281</v>
      </c>
      <c r="DM84" s="1112">
        <f>IFERROR(DK84/DK$113,"")</f>
        <v>0.1584384226</v>
      </c>
      <c r="DN84" s="1142">
        <f t="shared" si="588"/>
        <v>925734.419</v>
      </c>
      <c r="DO84" s="1112">
        <f t="shared" si="819"/>
        <v>0.213076431</v>
      </c>
      <c r="DP84" s="1112">
        <f>IFERROR(DN84/DN$113,"")</f>
        <v>0.2235270617</v>
      </c>
      <c r="DQ84" s="1143">
        <f t="shared" si="591"/>
        <v>-1440099.581</v>
      </c>
      <c r="DR84" s="1144">
        <f t="shared" si="73"/>
        <v>-0.6087069427</v>
      </c>
      <c r="DS84" s="1143">
        <f t="shared" si="592"/>
        <v>-571827.906</v>
      </c>
      <c r="DT84" s="1144">
        <f t="shared" si="75"/>
        <v>-0.3818391371</v>
      </c>
      <c r="DU84" s="1110">
        <f>SUMIF($G$85:$G$112,2,DU$85:DU$112)</f>
        <v>391029</v>
      </c>
      <c r="DV84" s="1112">
        <f t="shared" si="820"/>
        <v>0.09775725</v>
      </c>
      <c r="DW84" s="1112">
        <f>IFERROR(DU84/DU$113,"")</f>
        <v>0.04826804032</v>
      </c>
      <c r="DX84" s="1142">
        <f>SUMIF($G$85:$G$112,2,DX$85:DX$112)</f>
        <v>391029</v>
      </c>
      <c r="DY84" s="1112">
        <f t="shared" si="821"/>
        <v>0.06473990109</v>
      </c>
      <c r="DZ84" s="1112">
        <f>IFERROR(DX84/DX$113,"")</f>
        <v>0.04826804032</v>
      </c>
      <c r="EA84" s="1142">
        <f>SUMIF($G$85:$G$112,2,EA$85:EA$112)</f>
        <v>0</v>
      </c>
      <c r="EB84" s="1112" t="str">
        <f t="shared" si="822"/>
        <v/>
      </c>
      <c r="EC84" s="1112" t="str">
        <f>IFERROR(EA84/EA$113,"")</f>
        <v/>
      </c>
      <c r="ED84" s="1143">
        <f t="shared" si="599"/>
        <v>-391029</v>
      </c>
      <c r="EE84" s="1144">
        <f t="shared" si="80"/>
        <v>-1</v>
      </c>
      <c r="EF84" s="1143">
        <f t="shared" si="600"/>
        <v>-391029</v>
      </c>
      <c r="EG84" s="1144">
        <f t="shared" si="82"/>
        <v>-1</v>
      </c>
      <c r="EH84" s="1110">
        <f>SUMIF($G$85:$G$112,2,EH$85:EH$112)</f>
        <v>391029</v>
      </c>
      <c r="EI84" s="1112">
        <f t="shared" si="823"/>
        <v>0.09775725</v>
      </c>
      <c r="EJ84" s="1112">
        <f>IFERROR(EH84/EH$113,"")</f>
        <v>0.04826804032</v>
      </c>
      <c r="EK84" s="1142">
        <f>SUMIF($G$85:$G$112,2,EK$85:EK$112)</f>
        <v>391029</v>
      </c>
      <c r="EL84" s="1112">
        <f t="shared" si="824"/>
        <v>0.06473990109</v>
      </c>
      <c r="EM84" s="1112">
        <f>IFERROR(EK84/EK$113,"")</f>
        <v>0.04826804032</v>
      </c>
      <c r="EN84" s="1142">
        <f>SUMIF($G$85:$G$112,2,EN$85:EN$112)</f>
        <v>0</v>
      </c>
      <c r="EO84" s="1112" t="str">
        <f t="shared" si="825"/>
        <v/>
      </c>
      <c r="EP84" s="1112" t="str">
        <f>IFERROR(EN84/EN$113,"")</f>
        <v/>
      </c>
      <c r="EQ84" s="1143">
        <f t="shared" si="607"/>
        <v>-391029</v>
      </c>
      <c r="ER84" s="1144">
        <f t="shared" si="87"/>
        <v>-1</v>
      </c>
      <c r="ES84" s="1143">
        <f t="shared" si="608"/>
        <v>-391029</v>
      </c>
      <c r="ET84" s="1144">
        <f t="shared" si="89"/>
        <v>-1</v>
      </c>
      <c r="EU84" s="1110">
        <f>SUMIF($G$85:$G$112,2,EU$85:EU$112)</f>
        <v>391029</v>
      </c>
      <c r="EV84" s="1112">
        <f t="shared" si="826"/>
        <v>0.09775725</v>
      </c>
      <c r="EW84" s="1112">
        <f>IFERROR(EU84/EU$113,"")</f>
        <v>0.04826804032</v>
      </c>
      <c r="EX84" s="1142">
        <f>SUMIF($G$85:$G$112,2,EX$85:EX$112)</f>
        <v>391029</v>
      </c>
      <c r="EY84" s="1112">
        <f t="shared" si="827"/>
        <v>0.06473990109</v>
      </c>
      <c r="EZ84" s="1112">
        <f>IFERROR(EX84/EX$113,"")</f>
        <v>0.04826804032</v>
      </c>
      <c r="FA84" s="1142">
        <f>SUMIF($G$85:$G$112,2,FA$85:FA$112)</f>
        <v>0</v>
      </c>
      <c r="FB84" s="1112" t="str">
        <f t="shared" si="828"/>
        <v/>
      </c>
      <c r="FC84" s="1112" t="str">
        <f>IFERROR(FA84/FA$113,"")</f>
        <v/>
      </c>
      <c r="FD84" s="1143">
        <f t="shared" si="616"/>
        <v>-391029</v>
      </c>
      <c r="FE84" s="1144">
        <f t="shared" si="94"/>
        <v>-1</v>
      </c>
      <c r="FF84" s="1143">
        <f t="shared" si="617"/>
        <v>-391029</v>
      </c>
      <c r="FG84" s="1144">
        <f t="shared" si="96"/>
        <v>-1</v>
      </c>
      <c r="FH84" s="1110">
        <f t="shared" si="923"/>
        <v>1173087</v>
      </c>
      <c r="FI84" s="1112">
        <f t="shared" si="829"/>
        <v>0.09775725</v>
      </c>
      <c r="FJ84" s="1112">
        <f>IFERROR(FH84/FH$113,"")</f>
        <v>0.04826804032</v>
      </c>
      <c r="FK84" s="1142">
        <f t="shared" si="621"/>
        <v>1173087</v>
      </c>
      <c r="FL84" s="1112">
        <f t="shared" si="830"/>
        <v>0.06473990109</v>
      </c>
      <c r="FM84" s="1112">
        <f>IFERROR(FK84/FK$113,"")</f>
        <v>0.04826804032</v>
      </c>
      <c r="FN84" s="1142">
        <f t="shared" si="624"/>
        <v>0</v>
      </c>
      <c r="FO84" s="1112" t="str">
        <f t="shared" si="831"/>
        <v/>
      </c>
      <c r="FP84" s="1112" t="str">
        <f>IFERROR(FN84/FN$113,"")</f>
        <v/>
      </c>
      <c r="FQ84" s="1143">
        <f t="shared" si="627"/>
        <v>-1173087</v>
      </c>
      <c r="FR84" s="1144">
        <f t="shared" si="104"/>
        <v>-1</v>
      </c>
      <c r="FS84" s="1143">
        <f t="shared" si="628"/>
        <v>-1173087</v>
      </c>
      <c r="FT84" s="1144">
        <f t="shared" si="106"/>
        <v>-1</v>
      </c>
      <c r="FU84" s="1110">
        <f>SUMIF($G$85:$G$112,2,FU$85:FU$112)</f>
        <v>391029</v>
      </c>
      <c r="FV84" s="1112">
        <f t="shared" si="832"/>
        <v>0.09775725</v>
      </c>
      <c r="FW84" s="1112">
        <f>IFERROR(FU84/FU$113,"")</f>
        <v>0.04826804032</v>
      </c>
      <c r="FX84" s="1142">
        <f>SUMIF($G$85:$G$112,2,FX$85:FX$112)</f>
        <v>391029</v>
      </c>
      <c r="FY84" s="1112">
        <f t="shared" si="833"/>
        <v>0.06473990109</v>
      </c>
      <c r="FZ84" s="1112">
        <f>IFERROR(FX84/FX$113,"")</f>
        <v>0.04826804032</v>
      </c>
      <c r="GA84" s="1142">
        <f>SUMIF($G$85:$G$112,2,GA$85:GA$112)</f>
        <v>0</v>
      </c>
      <c r="GB84" s="1112" t="str">
        <f t="shared" si="834"/>
        <v/>
      </c>
      <c r="GC84" s="1112" t="str">
        <f>IFERROR(GA84/GA$113,"")</f>
        <v/>
      </c>
      <c r="GD84" s="1143">
        <f t="shared" si="635"/>
        <v>-391029</v>
      </c>
      <c r="GE84" s="1144">
        <f t="shared" si="111"/>
        <v>-1</v>
      </c>
      <c r="GF84" s="1143">
        <f t="shared" si="636"/>
        <v>-391029</v>
      </c>
      <c r="GG84" s="1144">
        <f t="shared" si="113"/>
        <v>-1</v>
      </c>
      <c r="GH84" s="1110">
        <f>SUMIF($G$85:$G$112,2,GH$85:GH$112)</f>
        <v>391029</v>
      </c>
      <c r="GI84" s="1112">
        <f t="shared" si="835"/>
        <v>0.09775725</v>
      </c>
      <c r="GJ84" s="1112">
        <f>IFERROR(GH84/GH$113,"")</f>
        <v>0.04826804032</v>
      </c>
      <c r="GK84" s="1142">
        <f>SUMIF($G$85:$G$112,2,GK$85:GK$112)</f>
        <v>391029</v>
      </c>
      <c r="GL84" s="1112">
        <f t="shared" si="836"/>
        <v>0.06473990109</v>
      </c>
      <c r="GM84" s="1112">
        <f>IFERROR(GK84/GK$113,"")</f>
        <v>0.04826804032</v>
      </c>
      <c r="GN84" s="1142">
        <f>SUMIF($G$85:$G$112,2,GN$85:GN$112)</f>
        <v>0</v>
      </c>
      <c r="GO84" s="1112" t="str">
        <f t="shared" si="837"/>
        <v/>
      </c>
      <c r="GP84" s="1112" t="str">
        <f>IFERROR(GN84/GN$113,"")</f>
        <v/>
      </c>
      <c r="GQ84" s="1143">
        <f t="shared" si="643"/>
        <v>-391029</v>
      </c>
      <c r="GR84" s="1144">
        <f t="shared" si="118"/>
        <v>-1</v>
      </c>
      <c r="GS84" s="1143">
        <f t="shared" si="644"/>
        <v>-391029</v>
      </c>
      <c r="GT84" s="1144">
        <f t="shared" si="120"/>
        <v>-1</v>
      </c>
      <c r="GU84" s="1110">
        <f>SUMIF($G$85:$G$112,2,GU$85:GU$112)</f>
        <v>391029</v>
      </c>
      <c r="GV84" s="1112">
        <f t="shared" si="838"/>
        <v>0.09775725</v>
      </c>
      <c r="GW84" s="1112">
        <f>IFERROR(GU84/GU$113,"")</f>
        <v>0.04826804032</v>
      </c>
      <c r="GX84" s="1142">
        <f>SUMIF($G$85:$G$112,2,GX$85:GX$112)</f>
        <v>391029</v>
      </c>
      <c r="GY84" s="1112">
        <f t="shared" si="839"/>
        <v>0.06473990109</v>
      </c>
      <c r="GZ84" s="1112">
        <f>IFERROR(GX84/GX$113,"")</f>
        <v>0.04826804032</v>
      </c>
      <c r="HA84" s="1142">
        <f>SUMIF($G$85:$G$112,2,HA$85:HA$112)</f>
        <v>0</v>
      </c>
      <c r="HB84" s="1112" t="str">
        <f t="shared" si="840"/>
        <v/>
      </c>
      <c r="HC84" s="1112" t="str">
        <f>IFERROR(HA84/HA$113,"")</f>
        <v/>
      </c>
      <c r="HD84" s="1143">
        <f t="shared" si="651"/>
        <v>-391029</v>
      </c>
      <c r="HE84" s="1144">
        <f t="shared" si="125"/>
        <v>-1</v>
      </c>
      <c r="HF84" s="1143">
        <f t="shared" si="652"/>
        <v>-391029</v>
      </c>
      <c r="HG84" s="1144">
        <f t="shared" si="127"/>
        <v>-1</v>
      </c>
      <c r="HH84" s="1110">
        <f t="shared" si="924"/>
        <v>1173087</v>
      </c>
      <c r="HI84" s="1112">
        <f t="shared" si="841"/>
        <v>0.09775725</v>
      </c>
      <c r="HJ84" s="1112">
        <f>IFERROR(HH84/HH$113,"")</f>
        <v>0.04826804032</v>
      </c>
      <c r="HK84" s="1142">
        <f t="shared" si="656"/>
        <v>1173087</v>
      </c>
      <c r="HL84" s="1112">
        <f t="shared" si="842"/>
        <v>0.06473990109</v>
      </c>
      <c r="HM84" s="1112">
        <f>IFERROR(HK84/HK$113,"")</f>
        <v>0.04826804032</v>
      </c>
      <c r="HN84" s="1142">
        <f t="shared" si="659"/>
        <v>0</v>
      </c>
      <c r="HO84" s="1112" t="str">
        <f t="shared" si="843"/>
        <v/>
      </c>
      <c r="HP84" s="1112" t="str">
        <f>IFERROR(HN84/HN$113,"")</f>
        <v/>
      </c>
      <c r="HQ84" s="1143">
        <f t="shared" si="662"/>
        <v>-1173087</v>
      </c>
      <c r="HR84" s="1144">
        <f t="shared" si="135"/>
        <v>-1</v>
      </c>
      <c r="HS84" s="1143">
        <f t="shared" si="663"/>
        <v>-1173087</v>
      </c>
      <c r="HT84" s="1144">
        <f t="shared" si="137"/>
        <v>-1</v>
      </c>
      <c r="HU84" s="1110">
        <f t="shared" si="925"/>
        <v>2346174</v>
      </c>
      <c r="HV84" s="1112">
        <f t="shared" si="844"/>
        <v>0.09775725</v>
      </c>
      <c r="HW84" s="1112">
        <f>IFERROR(HU84/HU$113,"")</f>
        <v>0.04826804032</v>
      </c>
      <c r="HX84" s="1142">
        <f t="shared" si="667"/>
        <v>2346174</v>
      </c>
      <c r="HY84" s="1112">
        <f t="shared" si="845"/>
        <v>0.06473990109</v>
      </c>
      <c r="HZ84" s="1112">
        <f>IFERROR(HX84/HX$113,"")</f>
        <v>0.04826804032</v>
      </c>
      <c r="IA84" s="1142">
        <f t="shared" si="670"/>
        <v>0</v>
      </c>
      <c r="IB84" s="1112" t="str">
        <f t="shared" si="846"/>
        <v/>
      </c>
      <c r="IC84" s="1112" t="str">
        <f>IFERROR(IA84/IA$113,"")</f>
        <v/>
      </c>
      <c r="ID84" s="1143">
        <f t="shared" si="673"/>
        <v>-2346174</v>
      </c>
      <c r="IE84" s="1144">
        <f t="shared" si="145"/>
        <v>-1</v>
      </c>
      <c r="IF84" s="1143">
        <f t="shared" si="674"/>
        <v>-2346174</v>
      </c>
      <c r="IG84" s="1144">
        <f t="shared" si="147"/>
        <v>-1</v>
      </c>
      <c r="IH84" s="1110">
        <f t="shared" si="926"/>
        <v>4712008</v>
      </c>
      <c r="II84" s="1112">
        <f t="shared" si="847"/>
        <v>0.1308891111</v>
      </c>
      <c r="IJ84" s="1112">
        <f>IFERROR(IH84/IH$113,"")</f>
        <v>0.06345023705</v>
      </c>
      <c r="IK84" s="1142">
        <f t="shared" si="678"/>
        <v>3843736.325</v>
      </c>
      <c r="IL84" s="1112">
        <f t="shared" si="848"/>
        <v>0.09272190914</v>
      </c>
      <c r="IM84" s="1112">
        <f>IFERROR(IK84/IK$113,"")</f>
        <v>0.06620373237</v>
      </c>
      <c r="IN84" s="1142">
        <f t="shared" si="681"/>
        <v>925734.419</v>
      </c>
      <c r="IO84" s="1112">
        <f t="shared" si="849"/>
        <v>0.213076431</v>
      </c>
      <c r="IP84" s="1112">
        <f>IFERROR(IN84/IN$113,"")</f>
        <v>0.2235270617</v>
      </c>
      <c r="IQ84" s="1143">
        <f t="shared" si="684"/>
        <v>-3786273.581</v>
      </c>
      <c r="IR84" s="1144">
        <f t="shared" si="1"/>
        <v>-0.8035371716</v>
      </c>
      <c r="IS84" s="1143">
        <f t="shared" si="685"/>
        <v>-2918001.906</v>
      </c>
      <c r="IT84" s="1144">
        <f t="shared" si="2"/>
        <v>-0.7591576683</v>
      </c>
    </row>
    <row r="85" outlineLevel="1">
      <c r="A85" s="1087"/>
      <c r="B85" s="1087"/>
      <c r="C85" s="1087"/>
      <c r="D85" s="1087" t="s">
        <v>2845</v>
      </c>
      <c r="E85" s="1087"/>
      <c r="F85" s="1086">
        <v>642.0</v>
      </c>
      <c r="G85" s="1086">
        <v>2.0</v>
      </c>
      <c r="H85" s="1088">
        <f>SUM(H86:H91)</f>
        <v>327061</v>
      </c>
      <c r="I85" s="1145" t="str">
        <f t="shared" si="791"/>
        <v/>
      </c>
      <c r="J85" s="1145">
        <f>IFERROR(H85/H$84,"")</f>
        <v>0.8213609447</v>
      </c>
      <c r="K85" s="1090">
        <f>SUM(K86:K91)</f>
        <v>327061</v>
      </c>
      <c r="L85" s="1145">
        <f t="shared" si="792"/>
        <v>2.725508333</v>
      </c>
      <c r="M85" s="1145">
        <f>IFERROR(K85/K$84,"")</f>
        <v>0.8213609447</v>
      </c>
      <c r="N85" s="1090">
        <f>SUM(N86:N91)</f>
        <v>53253.671</v>
      </c>
      <c r="O85" s="1145">
        <f t="shared" si="793"/>
        <v>0.1566284441</v>
      </c>
      <c r="P85" s="1145">
        <f t="shared" ref="P85:P93" si="927">IFERROR(N85/N$84,"")</f>
        <v>0.4722809274</v>
      </c>
      <c r="Q85" s="1130">
        <f t="shared" si="518"/>
        <v>-273807.329</v>
      </c>
      <c r="R85" s="1132">
        <f t="shared" si="8"/>
        <v>-0.8371751111</v>
      </c>
      <c r="S85" s="1130">
        <f t="shared" si="519"/>
        <v>-273807.329</v>
      </c>
      <c r="T85" s="1132">
        <f t="shared" si="10"/>
        <v>-0.8371751111</v>
      </c>
      <c r="U85" s="1088">
        <f>SUM(U86:U91)</f>
        <v>327061</v>
      </c>
      <c r="V85" s="1145" t="str">
        <f t="shared" si="794"/>
        <v/>
      </c>
      <c r="W85" s="1145">
        <f>IFERROR(U85/U$84,"")</f>
        <v>0.8275960667</v>
      </c>
      <c r="X85" s="1090">
        <f>SUM(X86:X91)</f>
        <v>84484.673</v>
      </c>
      <c r="Y85" s="1145" t="str">
        <f t="shared" si="795"/>
        <v/>
      </c>
      <c r="Z85" s="1145">
        <f>IFERROR(X85/X$84,"")</f>
        <v>0.5595548593</v>
      </c>
      <c r="AA85" s="1090">
        <f>SUM(AA86:AA91)</f>
        <v>84096.143</v>
      </c>
      <c r="AB85" s="1145">
        <f t="shared" si="796"/>
        <v>0.4672007944</v>
      </c>
      <c r="AC85" s="1145">
        <f t="shared" ref="AC85:AC93" si="928">IFERROR(AA85/AA$84,"")</f>
        <v>0.5836207317</v>
      </c>
      <c r="AD85" s="1130">
        <f t="shared" si="526"/>
        <v>-242964.857</v>
      </c>
      <c r="AE85" s="1132">
        <f t="shared" si="15"/>
        <v>-0.7428732163</v>
      </c>
      <c r="AF85" s="1130">
        <f t="shared" si="527"/>
        <v>-388.53</v>
      </c>
      <c r="AG85" s="1132">
        <f t="shared" si="17"/>
        <v>-0.004598822321</v>
      </c>
      <c r="AH85" s="1088">
        <f>SUM(AH86:AH91)</f>
        <v>327061</v>
      </c>
      <c r="AI85" s="1145" t="str">
        <f t="shared" si="797"/>
        <v/>
      </c>
      <c r="AJ85" s="1145">
        <f>IFERROR(AH85/AH$84,"")</f>
        <v>0.8275960667</v>
      </c>
      <c r="AK85" s="1090">
        <f>SUM(AK86:AK91)</f>
        <v>84484.673</v>
      </c>
      <c r="AL85" s="1145">
        <f t="shared" si="798"/>
        <v>0.02346796472</v>
      </c>
      <c r="AM85" s="1145">
        <f>IFERROR(AK85/AK$84,"")</f>
        <v>0.5595548593</v>
      </c>
      <c r="AN85" s="1090">
        <f>SUM(AN86:AN91)</f>
        <v>134528.996</v>
      </c>
      <c r="AO85" s="1145">
        <f t="shared" si="799"/>
        <v>0.2013907126</v>
      </c>
      <c r="AP85" s="1145">
        <f t="shared" ref="AP85:AP93" si="929">IFERROR(AN85/AN$84,"")</f>
        <v>0.6523891705</v>
      </c>
      <c r="AQ85" s="1130">
        <f t="shared" si="534"/>
        <v>-192532.004</v>
      </c>
      <c r="AR85" s="1132">
        <f t="shared" si="22"/>
        <v>-0.5886730732</v>
      </c>
      <c r="AS85" s="1130">
        <f t="shared" si="535"/>
        <v>50044.323</v>
      </c>
      <c r="AT85" s="1132">
        <f t="shared" si="24"/>
        <v>0.5923479517</v>
      </c>
      <c r="AU85" s="1088">
        <f t="shared" si="916"/>
        <v>981183</v>
      </c>
      <c r="AV85" s="1145" t="str">
        <f t="shared" si="800"/>
        <v/>
      </c>
      <c r="AW85" s="1145">
        <f t="shared" ref="AW85:AW93" si="930">IFERROR(AU85/AU$84,"")</f>
        <v>0.825507201</v>
      </c>
      <c r="AX85" s="1090">
        <f t="shared" si="917"/>
        <v>496030.346</v>
      </c>
      <c r="AY85" s="1145">
        <f t="shared" si="801"/>
        <v>0.1333414909</v>
      </c>
      <c r="AZ85" s="1145">
        <f t="shared" ref="AZ85:AZ93" si="931">IFERROR(AX85/AX$84,"")</f>
        <v>0.7084477786</v>
      </c>
      <c r="BA85" s="1090">
        <f t="shared" si="918"/>
        <v>271878.81</v>
      </c>
      <c r="BB85" s="1145">
        <f t="shared" si="802"/>
        <v>0.2288542172</v>
      </c>
      <c r="BC85" s="1145">
        <f t="shared" ref="BC85:BC93" si="932">IFERROR(BA85/BA$84,"")</f>
        <v>0.5871326074</v>
      </c>
      <c r="BD85" s="1130">
        <f t="shared" si="545"/>
        <v>-709304.19</v>
      </c>
      <c r="BE85" s="1132">
        <f t="shared" si="32"/>
        <v>-0.7229071335</v>
      </c>
      <c r="BF85" s="1130">
        <f t="shared" si="546"/>
        <v>-224151.536</v>
      </c>
      <c r="BG85" s="1132">
        <f t="shared" si="34"/>
        <v>-0.451890772</v>
      </c>
      <c r="BH85" s="1088">
        <f>SUM(BH86:BH91)</f>
        <v>327061</v>
      </c>
      <c r="BI85" s="1145">
        <f t="shared" si="803"/>
        <v>0.08176525</v>
      </c>
      <c r="BJ85" s="1145">
        <f>IFERROR(BH85/BH$84,"")</f>
        <v>0.8275960667</v>
      </c>
      <c r="BK85" s="1090">
        <f>SUM(BK86:BK91)</f>
        <v>189068.007</v>
      </c>
      <c r="BL85" s="1145" t="str">
        <f t="shared" si="804"/>
        <v/>
      </c>
      <c r="BM85" s="1145">
        <f>IFERROR(BK85/BK$84,"")</f>
        <v>0.730020945</v>
      </c>
      <c r="BN85" s="1090">
        <f>SUM(BN86:BN91)</f>
        <v>145778.846</v>
      </c>
      <c r="BO85" s="1145">
        <f t="shared" si="805"/>
        <v>0.05604636838</v>
      </c>
      <c r="BP85" s="1145">
        <f t="shared" ref="BP85:BP93" si="933">IFERROR(BN85/BN$84,"")</f>
        <v>0.6876749651</v>
      </c>
      <c r="BQ85" s="1130">
        <f t="shared" si="553"/>
        <v>-181282.154</v>
      </c>
      <c r="BR85" s="1132">
        <f t="shared" si="39"/>
        <v>-0.5542762787</v>
      </c>
      <c r="BS85" s="1130">
        <f t="shared" si="554"/>
        <v>-43289.161</v>
      </c>
      <c r="BT85" s="1132">
        <f t="shared" si="41"/>
        <v>-0.228960794</v>
      </c>
      <c r="BU85" s="1088">
        <f>SUM(BU86:BU91)</f>
        <v>327061</v>
      </c>
      <c r="BV85" s="1145">
        <f t="shared" si="806"/>
        <v>0.08176525</v>
      </c>
      <c r="BW85" s="1145">
        <f>IFERROR(BU85/BU$84,"")</f>
        <v>0.8364111102</v>
      </c>
      <c r="BX85" s="1090">
        <f>SUM(BX86:BX91)</f>
        <v>198545</v>
      </c>
      <c r="BY85" s="1145">
        <f t="shared" si="807"/>
        <v>0.1328543204</v>
      </c>
      <c r="BZ85" s="1145">
        <f>IFERROR(BX85/BX$84,"")</f>
        <v>0.7450276194</v>
      </c>
      <c r="CA85" s="1090">
        <f>SUM(CA86:CA91)</f>
        <v>178717.768</v>
      </c>
      <c r="CB85" s="1145">
        <f t="shared" si="808"/>
        <v>0.3216824606</v>
      </c>
      <c r="CC85" s="1145">
        <f t="shared" ref="CC85:CC93" si="934">IFERROR(CA85/CA$84,"")</f>
        <v>0.7129194038</v>
      </c>
      <c r="CD85" s="1130">
        <f t="shared" si="561"/>
        <v>-148343.232</v>
      </c>
      <c r="CE85" s="1132">
        <f t="shared" si="46"/>
        <v>-0.4535644176</v>
      </c>
      <c r="CF85" s="1130">
        <f t="shared" si="562"/>
        <v>-19827.232</v>
      </c>
      <c r="CG85" s="1132">
        <f t="shared" si="48"/>
        <v>-0.09986266086</v>
      </c>
      <c r="CH85" s="1088">
        <f>SUM(CH86:CH91)</f>
        <v>327061</v>
      </c>
      <c r="CI85" s="1145">
        <f t="shared" si="809"/>
        <v>0.08176525</v>
      </c>
      <c r="CJ85" s="1145">
        <f>IFERROR(CH85/CH$84,"")</f>
        <v>0.8364111102</v>
      </c>
      <c r="CK85" s="1090">
        <f>SUM(CK86:CK91)</f>
        <v>201661</v>
      </c>
      <c r="CL85" s="1145" t="str">
        <f t="shared" si="810"/>
        <v/>
      </c>
      <c r="CM85" s="1145">
        <f>IFERROR(CK85/CK$84,"")</f>
        <v>0.7416352229</v>
      </c>
      <c r="CN85" s="1090">
        <f>SUM(CN86:CN91)</f>
        <v>0</v>
      </c>
      <c r="CO85" s="1145" t="str">
        <f t="shared" si="811"/>
        <v/>
      </c>
      <c r="CP85" s="1145" t="str">
        <f t="shared" ref="CP85:CP93" si="935">IFERROR(CN85/CN$84,"")</f>
        <v/>
      </c>
      <c r="CQ85" s="1130">
        <f t="shared" si="569"/>
        <v>-327061</v>
      </c>
      <c r="CR85" s="1132">
        <f t="shared" si="53"/>
        <v>-1</v>
      </c>
      <c r="CS85" s="1130">
        <f t="shared" si="570"/>
        <v>-201661</v>
      </c>
      <c r="CT85" s="1132">
        <f t="shared" si="55"/>
        <v>-1</v>
      </c>
      <c r="CU85" s="1088">
        <f t="shared" si="919"/>
        <v>981183</v>
      </c>
      <c r="CV85" s="1145">
        <f t="shared" si="812"/>
        <v>0.08176525</v>
      </c>
      <c r="CW85" s="1145">
        <f t="shared" ref="CW85:CW93" si="936">IFERROR(CU85/CU$84,"")</f>
        <v>0.8334519712</v>
      </c>
      <c r="CX85" s="1090">
        <f t="shared" si="920"/>
        <v>589274.007</v>
      </c>
      <c r="CY85" s="1145">
        <f t="shared" si="814"/>
        <v>0.3943065689</v>
      </c>
      <c r="CZ85" s="1145">
        <f t="shared" ref="CZ85:CZ93" si="937">IFERROR(CX85/CX$84,"")</f>
        <v>0.7389967284</v>
      </c>
      <c r="DA85" s="1090">
        <f t="shared" si="921"/>
        <v>324496.614</v>
      </c>
      <c r="DB85" s="1145">
        <f t="shared" si="816"/>
        <v>0.1027990181</v>
      </c>
      <c r="DC85" s="1145">
        <f t="shared" ref="DC85:DC93" si="938">IFERROR(DA85/DA$84,"")</f>
        <v>0.701352865</v>
      </c>
      <c r="DD85" s="1130">
        <f t="shared" si="580"/>
        <v>-656686.386</v>
      </c>
      <c r="DE85" s="1132">
        <f t="shared" si="63"/>
        <v>-0.6692802321</v>
      </c>
      <c r="DF85" s="1130">
        <f t="shared" si="581"/>
        <v>-264777.393</v>
      </c>
      <c r="DG85" s="1132">
        <f t="shared" si="65"/>
        <v>-0.4493281391</v>
      </c>
      <c r="DH85" s="1088">
        <f t="shared" si="922"/>
        <v>1962366</v>
      </c>
      <c r="DI85" s="1145">
        <f t="shared" si="817"/>
        <v>0.1635305</v>
      </c>
      <c r="DJ85" s="1145">
        <f t="shared" ref="DJ85:DJ93" si="939">IFERROR(DH85/DH$84,"")</f>
        <v>0.8294605623</v>
      </c>
      <c r="DK85" s="1090">
        <f t="shared" si="585"/>
        <v>1085304.353</v>
      </c>
      <c r="DL85" s="1145">
        <f t="shared" si="818"/>
        <v>0.2081337446</v>
      </c>
      <c r="DM85" s="1145">
        <f t="shared" ref="DM85:DM93" si="940">IFERROR(DK85/DK$84,"")</f>
        <v>0.7247139801</v>
      </c>
      <c r="DN85" s="1090">
        <f t="shared" si="588"/>
        <v>596375.424</v>
      </c>
      <c r="DO85" s="1145">
        <f t="shared" si="819"/>
        <v>0.1372678214</v>
      </c>
      <c r="DP85" s="1145">
        <f t="shared" ref="DP85:DP93" si="941">IFERROR(DN85/DN$84,"")</f>
        <v>0.6442187001</v>
      </c>
      <c r="DQ85" s="1130">
        <f t="shared" si="591"/>
        <v>-1365990.576</v>
      </c>
      <c r="DR85" s="1132">
        <f t="shared" si="73"/>
        <v>-0.6960936828</v>
      </c>
      <c r="DS85" s="1130">
        <f t="shared" si="592"/>
        <v>-488928.929</v>
      </c>
      <c r="DT85" s="1132">
        <f t="shared" si="75"/>
        <v>-0.4504993716</v>
      </c>
      <c r="DU85" s="1088">
        <f>SUM(DU86:DU91)</f>
        <v>327061</v>
      </c>
      <c r="DV85" s="1145">
        <f t="shared" si="820"/>
        <v>0.08176525</v>
      </c>
      <c r="DW85" s="1145">
        <f>IFERROR(DU85/DU$84,"")</f>
        <v>0.8364111102</v>
      </c>
      <c r="DX85" s="1090">
        <f>SUM(DX86:DX91)</f>
        <v>327061</v>
      </c>
      <c r="DY85" s="1145">
        <f t="shared" si="821"/>
        <v>0.05414917254</v>
      </c>
      <c r="DZ85" s="1145">
        <f>IFERROR(DX85/DX$84,"")</f>
        <v>0.8364111102</v>
      </c>
      <c r="EA85" s="1090">
        <f>SUM(EA86:EA91)</f>
        <v>0</v>
      </c>
      <c r="EB85" s="1145" t="str">
        <f t="shared" si="822"/>
        <v/>
      </c>
      <c r="EC85" s="1145" t="str">
        <f t="shared" ref="EC85:EC93" si="942">IFERROR(EA85/EA$84,"")</f>
        <v/>
      </c>
      <c r="ED85" s="1130">
        <f t="shared" si="599"/>
        <v>-327061</v>
      </c>
      <c r="EE85" s="1132">
        <f t="shared" si="80"/>
        <v>-1</v>
      </c>
      <c r="EF85" s="1130">
        <f t="shared" si="600"/>
        <v>-327061</v>
      </c>
      <c r="EG85" s="1132">
        <f t="shared" si="82"/>
        <v>-1</v>
      </c>
      <c r="EH85" s="1088">
        <f>SUM(EH86:EH91)</f>
        <v>327061</v>
      </c>
      <c r="EI85" s="1145">
        <f t="shared" si="823"/>
        <v>0.08176525</v>
      </c>
      <c r="EJ85" s="1145">
        <f>IFERROR(EH85/EH$84,"")</f>
        <v>0.8364111102</v>
      </c>
      <c r="EK85" s="1090">
        <f>SUM(EK86:EK91)</f>
        <v>327061</v>
      </c>
      <c r="EL85" s="1145">
        <f t="shared" si="824"/>
        <v>0.05414917254</v>
      </c>
      <c r="EM85" s="1145">
        <f>IFERROR(EK85/EK$84,"")</f>
        <v>0.8364111102</v>
      </c>
      <c r="EN85" s="1090">
        <f>SUM(EN86:EN91)</f>
        <v>0</v>
      </c>
      <c r="EO85" s="1145" t="str">
        <f t="shared" si="825"/>
        <v/>
      </c>
      <c r="EP85" s="1145" t="str">
        <f t="shared" ref="EP85:EP93" si="943">IFERROR(EN85/EN$84,"")</f>
        <v/>
      </c>
      <c r="EQ85" s="1130">
        <f t="shared" si="607"/>
        <v>-327061</v>
      </c>
      <c r="ER85" s="1132">
        <f t="shared" si="87"/>
        <v>-1</v>
      </c>
      <c r="ES85" s="1130">
        <f t="shared" si="608"/>
        <v>-327061</v>
      </c>
      <c r="ET85" s="1132">
        <f t="shared" si="89"/>
        <v>-1</v>
      </c>
      <c r="EU85" s="1088">
        <f>SUM(EU86:EU91)</f>
        <v>327061</v>
      </c>
      <c r="EV85" s="1145">
        <f t="shared" si="826"/>
        <v>0.08176525</v>
      </c>
      <c r="EW85" s="1145">
        <f>IFERROR(EU85/EU$84,"")</f>
        <v>0.8364111102</v>
      </c>
      <c r="EX85" s="1090">
        <f>SUM(EX86:EX91)</f>
        <v>327061</v>
      </c>
      <c r="EY85" s="1145">
        <f t="shared" si="827"/>
        <v>0.05414917254</v>
      </c>
      <c r="EZ85" s="1145">
        <f>IFERROR(EX85/EX$84,"")</f>
        <v>0.8364111102</v>
      </c>
      <c r="FA85" s="1090">
        <f>SUM(FA86:FA91)</f>
        <v>0</v>
      </c>
      <c r="FB85" s="1145" t="str">
        <f t="shared" si="828"/>
        <v/>
      </c>
      <c r="FC85" s="1145" t="str">
        <f t="shared" ref="FC85:FC93" si="944">IFERROR(FA85/FA$84,"")</f>
        <v/>
      </c>
      <c r="FD85" s="1130">
        <f t="shared" si="616"/>
        <v>-327061</v>
      </c>
      <c r="FE85" s="1132">
        <f t="shared" si="94"/>
        <v>-1</v>
      </c>
      <c r="FF85" s="1130">
        <f t="shared" si="617"/>
        <v>-327061</v>
      </c>
      <c r="FG85" s="1132">
        <f t="shared" si="96"/>
        <v>-1</v>
      </c>
      <c r="FH85" s="1088">
        <f t="shared" si="923"/>
        <v>981183</v>
      </c>
      <c r="FI85" s="1145">
        <f t="shared" si="829"/>
        <v>0.08176525</v>
      </c>
      <c r="FJ85" s="1145">
        <f t="shared" ref="FJ85:FJ93" si="945">IFERROR(FH85/FH$84,"")</f>
        <v>0.8364111102</v>
      </c>
      <c r="FK85" s="1090">
        <f t="shared" si="621"/>
        <v>981183</v>
      </c>
      <c r="FL85" s="1145">
        <f t="shared" si="830"/>
        <v>0.05414917254</v>
      </c>
      <c r="FM85" s="1145">
        <f t="shared" ref="FM85:FM93" si="946">IFERROR(FK85/FK$84,"")</f>
        <v>0.8364111102</v>
      </c>
      <c r="FN85" s="1090">
        <f t="shared" si="624"/>
        <v>0</v>
      </c>
      <c r="FO85" s="1145" t="str">
        <f t="shared" si="831"/>
        <v/>
      </c>
      <c r="FP85" s="1145" t="str">
        <f t="shared" ref="FP85:FP93" si="947">IFERROR(FN85/FN$84,"")</f>
        <v/>
      </c>
      <c r="FQ85" s="1130">
        <f t="shared" si="627"/>
        <v>-981183</v>
      </c>
      <c r="FR85" s="1132">
        <f t="shared" si="104"/>
        <v>-1</v>
      </c>
      <c r="FS85" s="1130">
        <f t="shared" si="628"/>
        <v>-981183</v>
      </c>
      <c r="FT85" s="1132">
        <f t="shared" si="106"/>
        <v>-1</v>
      </c>
      <c r="FU85" s="1088">
        <f>SUM(FU86:FU91)</f>
        <v>327061</v>
      </c>
      <c r="FV85" s="1145">
        <f t="shared" si="832"/>
        <v>0.08176525</v>
      </c>
      <c r="FW85" s="1145">
        <f>IFERROR(FU85/FU$84,"")</f>
        <v>0.8364111102</v>
      </c>
      <c r="FX85" s="1090">
        <f>SUM(FX86:FX91)</f>
        <v>327061</v>
      </c>
      <c r="FY85" s="1145">
        <f t="shared" si="833"/>
        <v>0.05414917254</v>
      </c>
      <c r="FZ85" s="1145">
        <f>IFERROR(FX85/FX$84,"")</f>
        <v>0.8364111102</v>
      </c>
      <c r="GA85" s="1090">
        <f>SUM(GA86:GA91)</f>
        <v>0</v>
      </c>
      <c r="GB85" s="1145" t="str">
        <f t="shared" si="834"/>
        <v/>
      </c>
      <c r="GC85" s="1145" t="str">
        <f t="shared" ref="GC85:GC93" si="948">IFERROR(GA85/GA$84,"")</f>
        <v/>
      </c>
      <c r="GD85" s="1130">
        <f t="shared" si="635"/>
        <v>-327061</v>
      </c>
      <c r="GE85" s="1132">
        <f t="shared" si="111"/>
        <v>-1</v>
      </c>
      <c r="GF85" s="1130">
        <f t="shared" si="636"/>
        <v>-327061</v>
      </c>
      <c r="GG85" s="1132">
        <f t="shared" si="113"/>
        <v>-1</v>
      </c>
      <c r="GH85" s="1088">
        <f>SUM(GH86:GH91)</f>
        <v>327061</v>
      </c>
      <c r="GI85" s="1145">
        <f t="shared" si="835"/>
        <v>0.08176525</v>
      </c>
      <c r="GJ85" s="1145">
        <f>IFERROR(GH85/GH$84,"")</f>
        <v>0.8364111102</v>
      </c>
      <c r="GK85" s="1090">
        <f>SUM(GK86:GK91)</f>
        <v>327061</v>
      </c>
      <c r="GL85" s="1145">
        <f t="shared" si="836"/>
        <v>0.05414917254</v>
      </c>
      <c r="GM85" s="1145">
        <f>IFERROR(GK85/GK$84,"")</f>
        <v>0.8364111102</v>
      </c>
      <c r="GN85" s="1090">
        <f>SUM(GN86:GN91)</f>
        <v>0</v>
      </c>
      <c r="GO85" s="1145" t="str">
        <f t="shared" si="837"/>
        <v/>
      </c>
      <c r="GP85" s="1145" t="str">
        <f t="shared" ref="GP85:GP93" si="949">IFERROR(GN85/GN$84,"")</f>
        <v/>
      </c>
      <c r="GQ85" s="1130">
        <f t="shared" si="643"/>
        <v>-327061</v>
      </c>
      <c r="GR85" s="1132">
        <f t="shared" si="118"/>
        <v>-1</v>
      </c>
      <c r="GS85" s="1130">
        <f t="shared" si="644"/>
        <v>-327061</v>
      </c>
      <c r="GT85" s="1132">
        <f t="shared" si="120"/>
        <v>-1</v>
      </c>
      <c r="GU85" s="1088">
        <f>SUM(GU86:GU91)</f>
        <v>327061</v>
      </c>
      <c r="GV85" s="1145">
        <f t="shared" si="838"/>
        <v>0.08176525</v>
      </c>
      <c r="GW85" s="1145">
        <f>IFERROR(GU85/GU$84,"")</f>
        <v>0.8364111102</v>
      </c>
      <c r="GX85" s="1090">
        <f>SUM(GX86:GX91)</f>
        <v>327061</v>
      </c>
      <c r="GY85" s="1145">
        <f t="shared" si="839"/>
        <v>0.05414917254</v>
      </c>
      <c r="GZ85" s="1145">
        <f>IFERROR(GX85/GX$84,"")</f>
        <v>0.8364111102</v>
      </c>
      <c r="HA85" s="1090">
        <f>SUM(HA86:HA91)</f>
        <v>0</v>
      </c>
      <c r="HB85" s="1145" t="str">
        <f t="shared" si="840"/>
        <v/>
      </c>
      <c r="HC85" s="1145" t="str">
        <f t="shared" ref="HC85:HC93" si="950">IFERROR(HA85/HA$84,"")</f>
        <v/>
      </c>
      <c r="HD85" s="1130">
        <f t="shared" si="651"/>
        <v>-327061</v>
      </c>
      <c r="HE85" s="1132">
        <f t="shared" si="125"/>
        <v>-1</v>
      </c>
      <c r="HF85" s="1130">
        <f t="shared" si="652"/>
        <v>-327061</v>
      </c>
      <c r="HG85" s="1132">
        <f t="shared" si="127"/>
        <v>-1</v>
      </c>
      <c r="HH85" s="1088">
        <f t="shared" si="924"/>
        <v>981183</v>
      </c>
      <c r="HI85" s="1145">
        <f t="shared" si="841"/>
        <v>0.08176525</v>
      </c>
      <c r="HJ85" s="1145">
        <f t="shared" ref="HJ85:HJ93" si="951">IFERROR(HH85/HH$84,"")</f>
        <v>0.8364111102</v>
      </c>
      <c r="HK85" s="1090">
        <f t="shared" si="656"/>
        <v>981183</v>
      </c>
      <c r="HL85" s="1145">
        <f t="shared" si="842"/>
        <v>0.05414917254</v>
      </c>
      <c r="HM85" s="1145">
        <f t="shared" ref="HM85:HM93" si="952">IFERROR(HK85/HK$84,"")</f>
        <v>0.8364111102</v>
      </c>
      <c r="HN85" s="1090">
        <f t="shared" si="659"/>
        <v>0</v>
      </c>
      <c r="HO85" s="1145" t="str">
        <f t="shared" si="843"/>
        <v/>
      </c>
      <c r="HP85" s="1145" t="str">
        <f t="shared" ref="HP85:HP93" si="953">IFERROR(HN85/HN$84,"")</f>
        <v/>
      </c>
      <c r="HQ85" s="1130">
        <f t="shared" si="662"/>
        <v>-981183</v>
      </c>
      <c r="HR85" s="1132">
        <f t="shared" si="135"/>
        <v>-1</v>
      </c>
      <c r="HS85" s="1130">
        <f t="shared" si="663"/>
        <v>-981183</v>
      </c>
      <c r="HT85" s="1132">
        <f t="shared" si="137"/>
        <v>-1</v>
      </c>
      <c r="HU85" s="1088">
        <f t="shared" si="925"/>
        <v>1962366</v>
      </c>
      <c r="HV85" s="1145">
        <f t="shared" si="844"/>
        <v>0.08176525</v>
      </c>
      <c r="HW85" s="1145">
        <f t="shared" ref="HW85:HW93" si="954">IFERROR(HU85/HU$84,"")</f>
        <v>0.8364111102</v>
      </c>
      <c r="HX85" s="1090">
        <f t="shared" si="667"/>
        <v>1962366</v>
      </c>
      <c r="HY85" s="1145">
        <f t="shared" si="845"/>
        <v>0.05414917254</v>
      </c>
      <c r="HZ85" s="1145">
        <f t="shared" ref="HZ85:HZ93" si="955">IFERROR(HX85/HX$84,"")</f>
        <v>0.8364111102</v>
      </c>
      <c r="IA85" s="1090">
        <f t="shared" si="670"/>
        <v>0</v>
      </c>
      <c r="IB85" s="1145" t="str">
        <f t="shared" si="846"/>
        <v/>
      </c>
      <c r="IC85" s="1145" t="str">
        <f t="shared" ref="IC85:IC93" si="956">IFERROR(IA85/IA$84,"")</f>
        <v/>
      </c>
      <c r="ID85" s="1130">
        <f t="shared" si="673"/>
        <v>-1962366</v>
      </c>
      <c r="IE85" s="1132">
        <f t="shared" si="145"/>
        <v>-1</v>
      </c>
      <c r="IF85" s="1130">
        <f t="shared" si="674"/>
        <v>-1962366</v>
      </c>
      <c r="IG85" s="1132">
        <f t="shared" si="147"/>
        <v>-1</v>
      </c>
      <c r="IH85" s="1088">
        <f t="shared" si="926"/>
        <v>3924732</v>
      </c>
      <c r="II85" s="1145">
        <f t="shared" si="847"/>
        <v>0.1090203333</v>
      </c>
      <c r="IJ85" s="1145">
        <f t="shared" ref="IJ85:IJ93" si="957">IFERROR(IH85/IH$84,"")</f>
        <v>0.8329213363</v>
      </c>
      <c r="IK85" s="1090">
        <f t="shared" si="678"/>
        <v>3047670.353</v>
      </c>
      <c r="IL85" s="1145">
        <f t="shared" si="848"/>
        <v>0.073518522</v>
      </c>
      <c r="IM85" s="1145">
        <f t="shared" ref="IM85:IM93" si="958">IFERROR(IK85/IK$84,"")</f>
        <v>0.7928926688</v>
      </c>
      <c r="IN85" s="1090">
        <f t="shared" si="681"/>
        <v>596375.424</v>
      </c>
      <c r="IO85" s="1145">
        <f t="shared" si="849"/>
        <v>0.1372678214</v>
      </c>
      <c r="IP85" s="1145">
        <f t="shared" ref="IP85:IP93" si="959">IFERROR(IN85/IN$84,"")</f>
        <v>0.6442187001</v>
      </c>
      <c r="IQ85" s="1130">
        <f t="shared" si="684"/>
        <v>-3328356.576</v>
      </c>
      <c r="IR85" s="1132">
        <f t="shared" si="1"/>
        <v>-0.8480468414</v>
      </c>
      <c r="IS85" s="1130">
        <f t="shared" si="685"/>
        <v>-2451294.929</v>
      </c>
      <c r="IT85" s="1132">
        <f t="shared" si="2"/>
        <v>-0.8043176082</v>
      </c>
    </row>
    <row r="86" outlineLevel="1">
      <c r="A86" s="737"/>
      <c r="B86" s="737"/>
      <c r="C86" s="737"/>
      <c r="D86" s="737" t="s">
        <v>2846</v>
      </c>
      <c r="E86" s="737" t="s">
        <v>293</v>
      </c>
      <c r="F86" s="737"/>
      <c r="G86" s="748">
        <v>3.0</v>
      </c>
      <c r="H86" s="1146">
        <f>SUMIFS(BP_SOTIEN,BP_THANG,H$2,BP_KM,$E86)/1000</f>
        <v>0</v>
      </c>
      <c r="I86" s="1091" t="str">
        <f t="shared" si="791"/>
        <v/>
      </c>
      <c r="J86" s="1091"/>
      <c r="K86" s="1147">
        <f>IF(NOW()&gt;=DATE(YEAR(H$2),MONTH(H$2)+1,DAY(H$2)),SUMIFS(TF_SOTIEN,TF_THANG,H$2,TF_KM,$E86)/1000, N86)</f>
        <v>0</v>
      </c>
      <c r="L86" s="1091">
        <f t="shared" si="792"/>
        <v>0</v>
      </c>
      <c r="M86" s="1091"/>
      <c r="N86" s="1147">
        <f>IF(NOW()&gt;=DATE(YEAR(H$2),MONTH(H$2)+1,DAY(H$2)),SUMIFS(AC_SOTIEN,AC_THANG,H$2,AC_KM,$E86),SUMIFS(TF_SOTIEN,TF_THANG,H$2,TF_KM,$E86))/ 1000</f>
        <v>21000</v>
      </c>
      <c r="O86" s="1091">
        <f t="shared" si="793"/>
        <v>0.06176470588</v>
      </c>
      <c r="P86" s="1091">
        <f t="shared" si="927"/>
        <v>0.1862387942</v>
      </c>
      <c r="Q86" s="1147">
        <f t="shared" si="518"/>
        <v>21000</v>
      </c>
      <c r="R86" s="1091" t="str">
        <f t="shared" si="8"/>
        <v/>
      </c>
      <c r="S86" s="1147">
        <f t="shared" si="519"/>
        <v>21000</v>
      </c>
      <c r="T86" s="1091" t="str">
        <f t="shared" si="10"/>
        <v/>
      </c>
      <c r="U86" s="1146">
        <f>SUMIFS(BP_SOTIEN,BP_THANG,U$2,BP_KM,$E86)/1000</f>
        <v>0</v>
      </c>
      <c r="V86" s="1091" t="str">
        <f t="shared" si="794"/>
        <v/>
      </c>
      <c r="W86" s="1091"/>
      <c r="X86" s="1147">
        <f>IF(NOW()&gt;=DATE(YEAR(U$2),MONTH(U$2)+1,DAY(U$2)),SUMIFS(TF_SOTIEN,TF_THANG,U$2,TF_KM,$E86)/1000, AA86)</f>
        <v>18666.666</v>
      </c>
      <c r="Y86" s="1091" t="str">
        <f t="shared" si="795"/>
        <v/>
      </c>
      <c r="Z86" s="1091"/>
      <c r="AA86" s="1147">
        <f>IF(NOW()&gt;=DATE(YEAR(U$2),MONTH(U$2)+1,DAY(U$2)),SUMIFS(AC_SOTIEN,AC_THANG,U$2,AC_KM,$E86),SUMIFS(TF_SOTIEN,TF_THANG,U$2,TF_KM,$E86))/ 1000</f>
        <v>21041.666</v>
      </c>
      <c r="AB86" s="1091">
        <f t="shared" si="796"/>
        <v>0.1168981444</v>
      </c>
      <c r="AC86" s="1091">
        <f t="shared" si="928"/>
        <v>0.1460275355</v>
      </c>
      <c r="AD86" s="1147">
        <f t="shared" si="526"/>
        <v>21041.666</v>
      </c>
      <c r="AE86" s="1091" t="str">
        <f t="shared" si="15"/>
        <v/>
      </c>
      <c r="AF86" s="1147">
        <f t="shared" si="527"/>
        <v>2375</v>
      </c>
      <c r="AG86" s="1091">
        <f t="shared" si="17"/>
        <v>0.1272321474</v>
      </c>
      <c r="AH86" s="1146">
        <f>SUMIFS(BP_SOTIEN,BP_THANG,AH$2,BP_KM,$E86)/1000</f>
        <v>0</v>
      </c>
      <c r="AI86" s="1091" t="str">
        <f t="shared" si="797"/>
        <v/>
      </c>
      <c r="AJ86" s="1091"/>
      <c r="AK86" s="1147">
        <f>IF(NOW()&gt;=DATE(YEAR(AH$2),MONTH(AH$2)+1,DAY(AH$2)),SUMIFS(TF_SOTIEN,TF_THANG,AH$2,TF_KM,$E86)/1000, AN86)</f>
        <v>18666.666</v>
      </c>
      <c r="AL86" s="1091">
        <f t="shared" si="798"/>
        <v>0.005185185</v>
      </c>
      <c r="AM86" s="1091"/>
      <c r="AN86" s="1147">
        <f>IF(NOW()&gt;=DATE(YEAR(AH$2),MONTH(AH$2)+1,DAY(AH$2)),SUMIFS(AC_SOTIEN,AC_THANG,AH$2,AC_KM,$E86),SUMIFS(TF_SOTIEN,TF_THANG,AH$2,TF_KM,$E86))/ 1000</f>
        <v>42000</v>
      </c>
      <c r="AO86" s="1091">
        <f t="shared" si="799"/>
        <v>0.0628742515</v>
      </c>
      <c r="AP86" s="1091">
        <f t="shared" si="929"/>
        <v>0.2036761291</v>
      </c>
      <c r="AQ86" s="1147">
        <f t="shared" si="534"/>
        <v>42000</v>
      </c>
      <c r="AR86" s="1091" t="str">
        <f t="shared" si="22"/>
        <v/>
      </c>
      <c r="AS86" s="1147">
        <f t="shared" si="535"/>
        <v>23333.334</v>
      </c>
      <c r="AT86" s="1091">
        <f t="shared" si="24"/>
        <v>1.25000008</v>
      </c>
      <c r="AU86" s="1146">
        <f t="shared" si="916"/>
        <v>0</v>
      </c>
      <c r="AV86" s="1091" t="str">
        <f t="shared" si="800"/>
        <v/>
      </c>
      <c r="AW86" s="1091">
        <f t="shared" si="930"/>
        <v>0</v>
      </c>
      <c r="AX86" s="1147">
        <f t="shared" si="917"/>
        <v>37333.332</v>
      </c>
      <c r="AY86" s="1091">
        <f t="shared" si="801"/>
        <v>0.01003584194</v>
      </c>
      <c r="AZ86" s="1091">
        <f t="shared" si="931"/>
        <v>0.0533207622</v>
      </c>
      <c r="BA86" s="1147">
        <f t="shared" si="918"/>
        <v>84041.666</v>
      </c>
      <c r="BB86" s="1091">
        <f t="shared" si="802"/>
        <v>0.0707421431</v>
      </c>
      <c r="BC86" s="1091">
        <f t="shared" si="932"/>
        <v>0.1814911669</v>
      </c>
      <c r="BD86" s="1147">
        <f t="shared" si="545"/>
        <v>84041.666</v>
      </c>
      <c r="BE86" s="1091" t="str">
        <f t="shared" si="32"/>
        <v/>
      </c>
      <c r="BF86" s="1147">
        <f t="shared" si="546"/>
        <v>46708.334</v>
      </c>
      <c r="BG86" s="1091">
        <f t="shared" si="34"/>
        <v>1.251116134</v>
      </c>
      <c r="BH86" s="1146">
        <f>SUMIFS(BP_SOTIEN,BP_THANG,BH$2,BP_KM,$E86)/1000</f>
        <v>0</v>
      </c>
      <c r="BI86" s="1091">
        <f t="shared" si="803"/>
        <v>0</v>
      </c>
      <c r="BJ86" s="1091"/>
      <c r="BK86" s="1147">
        <f>IF(NOW()&gt;=DATE(YEAR(BH$2),MONTH(BH$2)+1,DAY(BH$2)),SUMIFS(TF_SOTIEN,TF_THANG,BH$2,TF_KM,$E86)/1000, BN86)</f>
        <v>65000</v>
      </c>
      <c r="BL86" s="1091" t="str">
        <f t="shared" si="804"/>
        <v/>
      </c>
      <c r="BM86" s="1091"/>
      <c r="BN86" s="1147">
        <f>IF(NOW()&gt;=DATE(YEAR(BH$2),MONTH(BH$2)+1,DAY(BH$2)),SUMIFS(AC_SOTIEN,AC_THANG,BH$2,AC_KM,$E86),SUMIFS(TF_SOTIEN,TF_THANG,BH$2,TF_KM,$E86))/ 1000</f>
        <v>84000</v>
      </c>
      <c r="BO86" s="1091">
        <f t="shared" si="805"/>
        <v>0.0322947744</v>
      </c>
      <c r="BP86" s="1091">
        <f t="shared" si="933"/>
        <v>0.3962488293</v>
      </c>
      <c r="BQ86" s="1147">
        <f t="shared" si="553"/>
        <v>84000</v>
      </c>
      <c r="BR86" s="1091" t="str">
        <f t="shared" si="39"/>
        <v/>
      </c>
      <c r="BS86" s="1147">
        <f t="shared" si="554"/>
        <v>19000</v>
      </c>
      <c r="BT86" s="1091">
        <f t="shared" si="41"/>
        <v>0.2923076923</v>
      </c>
      <c r="BU86" s="1146">
        <f>SUMIFS(BP_SOTIEN,BP_THANG,BU$2,BP_KM,$E86)/1000</f>
        <v>0</v>
      </c>
      <c r="BV86" s="1091">
        <f t="shared" si="806"/>
        <v>0</v>
      </c>
      <c r="BW86" s="1091"/>
      <c r="BX86" s="1147">
        <f>IF(NOW()&gt;=DATE(YEAR(BU$2),MONTH(BU$2)+1,DAY(BU$2)),SUMIFS(TF_SOTIEN,TF_THANG,BU$2,TF_KM,$E86)/1000, CA86)</f>
        <v>84000</v>
      </c>
      <c r="BY86" s="1091">
        <f t="shared" si="807"/>
        <v>0.05620772577</v>
      </c>
      <c r="BZ86" s="1091"/>
      <c r="CA86" s="1147">
        <f>IF(NOW()&gt;=DATE(YEAR(BU$2),MONTH(BU$2)+1,DAY(BU$2)),SUMIFS(AC_SOTIEN,AC_THANG,BU$2,AC_KM,$E86),SUMIFS(TF_SOTIEN,TF_THANG,BU$2,TF_KM,$E86))/ 1000</f>
        <v>42000</v>
      </c>
      <c r="CB86" s="1091">
        <f t="shared" si="808"/>
        <v>0.07559776231</v>
      </c>
      <c r="CC86" s="1091">
        <f t="shared" si="934"/>
        <v>0.1675413435</v>
      </c>
      <c r="CD86" s="1147">
        <f t="shared" si="561"/>
        <v>42000</v>
      </c>
      <c r="CE86" s="1091" t="str">
        <f t="shared" si="46"/>
        <v/>
      </c>
      <c r="CF86" s="1147">
        <f t="shared" si="562"/>
        <v>-42000</v>
      </c>
      <c r="CG86" s="1091">
        <f t="shared" si="48"/>
        <v>-0.5</v>
      </c>
      <c r="CH86" s="1146">
        <f>SUMIFS(BP_SOTIEN,BP_THANG,CH$2,BP_KM,$E86)/1000</f>
        <v>0</v>
      </c>
      <c r="CI86" s="1091">
        <f t="shared" si="809"/>
        <v>0</v>
      </c>
      <c r="CJ86" s="1091"/>
      <c r="CK86" s="1147">
        <f>IF(NOW()&gt;=DATE(YEAR(CH$2),MONTH(CH$2)+1,DAY(CH$2)),SUMIFS(TF_SOTIEN,TF_THANG,CH$2,TF_KM,$E86)/1000, CN86)</f>
        <v>84000</v>
      </c>
      <c r="CL86" s="1091" t="str">
        <f t="shared" si="810"/>
        <v/>
      </c>
      <c r="CM86" s="1091"/>
      <c r="CN86" s="1147">
        <f>IF(NOW()&gt;=DATE(YEAR(CH$2),MONTH(CH$2)+1,DAY(CH$2)),SUMIFS(AC_SOTIEN,AC_THANG,CH$2,AC_KM,$E86),SUMIFS(TF_SOTIEN,TF_THANG,CH$2,TF_KM,$E86))/ 1000</f>
        <v>0</v>
      </c>
      <c r="CO86" s="1091" t="str">
        <f t="shared" si="811"/>
        <v/>
      </c>
      <c r="CP86" s="1091" t="str">
        <f t="shared" si="935"/>
        <v/>
      </c>
      <c r="CQ86" s="1147">
        <f t="shared" si="569"/>
        <v>0</v>
      </c>
      <c r="CR86" s="1091" t="str">
        <f t="shared" si="53"/>
        <v/>
      </c>
      <c r="CS86" s="1147">
        <f t="shared" si="570"/>
        <v>-84000</v>
      </c>
      <c r="CT86" s="1091">
        <f t="shared" si="55"/>
        <v>-1</v>
      </c>
      <c r="CU86" s="1146">
        <f t="shared" si="919"/>
        <v>0</v>
      </c>
      <c r="CV86" s="1091">
        <f t="shared" si="812"/>
        <v>0</v>
      </c>
      <c r="CW86" s="1091">
        <f t="shared" si="936"/>
        <v>0</v>
      </c>
      <c r="CX86" s="1147">
        <f t="shared" si="920"/>
        <v>233000</v>
      </c>
      <c r="CY86" s="1091">
        <f t="shared" si="814"/>
        <v>0.155909525</v>
      </c>
      <c r="CZ86" s="1091">
        <f t="shared" si="937"/>
        <v>0.2922006328</v>
      </c>
      <c r="DA86" s="1147">
        <f t="shared" si="921"/>
        <v>126000</v>
      </c>
      <c r="DB86" s="1091">
        <f t="shared" si="816"/>
        <v>0.03991621397</v>
      </c>
      <c r="DC86" s="1091">
        <f t="shared" si="938"/>
        <v>0.2723309187</v>
      </c>
      <c r="DD86" s="1147">
        <f t="shared" si="580"/>
        <v>126000</v>
      </c>
      <c r="DE86" s="1091" t="str">
        <f t="shared" si="63"/>
        <v/>
      </c>
      <c r="DF86" s="1147">
        <f t="shared" si="581"/>
        <v>-107000</v>
      </c>
      <c r="DG86" s="1091">
        <f t="shared" si="65"/>
        <v>-0.4592274678</v>
      </c>
      <c r="DH86" s="1146">
        <f t="shared" si="922"/>
        <v>0</v>
      </c>
      <c r="DI86" s="1091">
        <f t="shared" si="817"/>
        <v>0</v>
      </c>
      <c r="DJ86" s="1091">
        <f t="shared" si="939"/>
        <v>0</v>
      </c>
      <c r="DK86" s="1147">
        <f t="shared" si="585"/>
        <v>270333.332</v>
      </c>
      <c r="DL86" s="1091">
        <f t="shared" si="818"/>
        <v>0.05184305076</v>
      </c>
      <c r="DM86" s="1091">
        <f t="shared" si="940"/>
        <v>0.1805155802</v>
      </c>
      <c r="DN86" s="1147">
        <f t="shared" si="588"/>
        <v>210041.666</v>
      </c>
      <c r="DO86" s="1091">
        <f t="shared" si="819"/>
        <v>0.04834532198</v>
      </c>
      <c r="DP86" s="1091">
        <f t="shared" si="941"/>
        <v>0.2268919268</v>
      </c>
      <c r="DQ86" s="1147">
        <f t="shared" si="591"/>
        <v>210041.666</v>
      </c>
      <c r="DR86" s="1091" t="str">
        <f t="shared" si="73"/>
        <v/>
      </c>
      <c r="DS86" s="1147">
        <f t="shared" si="592"/>
        <v>-60291.666</v>
      </c>
      <c r="DT86" s="1091">
        <f t="shared" si="75"/>
        <v>-0.2230271256</v>
      </c>
      <c r="DU86" s="1146">
        <f>SUMIFS(BP_SOTIEN,BP_THANG,DU$2,BP_KM,$E86)/1000</f>
        <v>0</v>
      </c>
      <c r="DV86" s="1091">
        <f t="shared" si="820"/>
        <v>0</v>
      </c>
      <c r="DW86" s="1091"/>
      <c r="DX86" s="1147">
        <f>IF(NOW()&gt;=DATE(YEAR(DU$2),MONTH(DU$2)+1,DAY(DU$2)),SUMIFS(TF_SOTIEN,TF_THANG,DU$2,TF_KM,$E86)/1000, EA86)</f>
        <v>0</v>
      </c>
      <c r="DY86" s="1091">
        <f t="shared" si="821"/>
        <v>0</v>
      </c>
      <c r="DZ86" s="1091"/>
      <c r="EA86" s="1147">
        <f>IF(NOW()&gt;=DATE(YEAR(DU$2),MONTH(DU$2)+1,DAY(DU$2)),SUMIFS(AC_SOTIEN,AC_THANG,DU$2,AC_KM,$E86),SUMIFS(TF_SOTIEN,TF_THANG,DU$2,TF_KM,$E86))/ 1000</f>
        <v>0</v>
      </c>
      <c r="EB86" s="1091" t="str">
        <f t="shared" si="822"/>
        <v/>
      </c>
      <c r="EC86" s="1091" t="str">
        <f t="shared" si="942"/>
        <v/>
      </c>
      <c r="ED86" s="1147">
        <f t="shared" si="599"/>
        <v>0</v>
      </c>
      <c r="EE86" s="1091" t="str">
        <f t="shared" si="80"/>
        <v/>
      </c>
      <c r="EF86" s="1147">
        <f t="shared" si="600"/>
        <v>0</v>
      </c>
      <c r="EG86" s="1091" t="str">
        <f t="shared" si="82"/>
        <v/>
      </c>
      <c r="EH86" s="1146">
        <f>SUMIFS(BP_SOTIEN,BP_THANG,EH$2,BP_KM,$E86)/1000</f>
        <v>0</v>
      </c>
      <c r="EI86" s="1091">
        <f t="shared" si="823"/>
        <v>0</v>
      </c>
      <c r="EJ86" s="1091"/>
      <c r="EK86" s="1147">
        <f>IF(NOW()&gt;=DATE(YEAR(EH$2),MONTH(EH$2)+1,DAY(EH$2)),SUMIFS(TF_SOTIEN,TF_THANG,EH$2,TF_KM,$E86)/1000, EN86)</f>
        <v>0</v>
      </c>
      <c r="EL86" s="1091">
        <f t="shared" si="824"/>
        <v>0</v>
      </c>
      <c r="EM86" s="1091"/>
      <c r="EN86" s="1147">
        <f>IF(NOW()&gt;=DATE(YEAR(EH$2),MONTH(EH$2)+1,DAY(EH$2)),SUMIFS(AC_SOTIEN,AC_THANG,EH$2,AC_KM,$E86),SUMIFS(TF_SOTIEN,TF_THANG,EH$2,TF_KM,$E86))/ 1000</f>
        <v>0</v>
      </c>
      <c r="EO86" s="1091" t="str">
        <f t="shared" si="825"/>
        <v/>
      </c>
      <c r="EP86" s="1091" t="str">
        <f t="shared" si="943"/>
        <v/>
      </c>
      <c r="EQ86" s="1147">
        <f t="shared" si="607"/>
        <v>0</v>
      </c>
      <c r="ER86" s="1091" t="str">
        <f t="shared" si="87"/>
        <v/>
      </c>
      <c r="ES86" s="1147">
        <f t="shared" si="608"/>
        <v>0</v>
      </c>
      <c r="ET86" s="1091" t="str">
        <f t="shared" si="89"/>
        <v/>
      </c>
      <c r="EU86" s="1146">
        <f>SUMIFS(BP_SOTIEN,BP_THANG,EU$2,BP_KM,$E86)/1000</f>
        <v>0</v>
      </c>
      <c r="EV86" s="1091">
        <f t="shared" si="826"/>
        <v>0</v>
      </c>
      <c r="EW86" s="1091"/>
      <c r="EX86" s="1147">
        <f>IF(NOW()&gt;=DATE(YEAR(EU$2),MONTH(EU$2)+1,DAY(EU$2)),SUMIFS(TF_SOTIEN,TF_THANG,EU$2,TF_KM,$E86)/1000, FA86)</f>
        <v>0</v>
      </c>
      <c r="EY86" s="1091">
        <f t="shared" si="827"/>
        <v>0</v>
      </c>
      <c r="EZ86" s="1091"/>
      <c r="FA86" s="1147">
        <f>IF(NOW()&gt;=DATE(YEAR(EU$2),MONTH(EU$2)+1,DAY(EU$2)),SUMIFS(AC_SOTIEN,AC_THANG,EU$2,AC_KM,$E86),SUMIFS(TF_SOTIEN,TF_THANG,EU$2,TF_KM,$E86))/ 1000</f>
        <v>0</v>
      </c>
      <c r="FB86" s="1091" t="str">
        <f t="shared" si="828"/>
        <v/>
      </c>
      <c r="FC86" s="1091" t="str">
        <f t="shared" si="944"/>
        <v/>
      </c>
      <c r="FD86" s="1147">
        <f t="shared" si="616"/>
        <v>0</v>
      </c>
      <c r="FE86" s="1091" t="str">
        <f t="shared" si="94"/>
        <v/>
      </c>
      <c r="FF86" s="1147">
        <f t="shared" si="617"/>
        <v>0</v>
      </c>
      <c r="FG86" s="1091" t="str">
        <f t="shared" si="96"/>
        <v/>
      </c>
      <c r="FH86" s="1146">
        <f t="shared" si="923"/>
        <v>0</v>
      </c>
      <c r="FI86" s="1091">
        <f t="shared" si="829"/>
        <v>0</v>
      </c>
      <c r="FJ86" s="1091">
        <f t="shared" si="945"/>
        <v>0</v>
      </c>
      <c r="FK86" s="1147">
        <f t="shared" si="621"/>
        <v>0</v>
      </c>
      <c r="FL86" s="1091">
        <f t="shared" si="830"/>
        <v>0</v>
      </c>
      <c r="FM86" s="1091">
        <f t="shared" si="946"/>
        <v>0</v>
      </c>
      <c r="FN86" s="1147">
        <f t="shared" si="624"/>
        <v>0</v>
      </c>
      <c r="FO86" s="1091" t="str">
        <f t="shared" si="831"/>
        <v/>
      </c>
      <c r="FP86" s="1091" t="str">
        <f t="shared" si="947"/>
        <v/>
      </c>
      <c r="FQ86" s="1147">
        <f t="shared" si="627"/>
        <v>0</v>
      </c>
      <c r="FR86" s="1091" t="str">
        <f t="shared" si="104"/>
        <v/>
      </c>
      <c r="FS86" s="1147">
        <f t="shared" si="628"/>
        <v>0</v>
      </c>
      <c r="FT86" s="1091" t="str">
        <f t="shared" si="106"/>
        <v/>
      </c>
      <c r="FU86" s="1146">
        <f>SUMIFS(BP_SOTIEN,BP_THANG,FU$2,BP_KM,$E86)/1000</f>
        <v>0</v>
      </c>
      <c r="FV86" s="1091">
        <f t="shared" si="832"/>
        <v>0</v>
      </c>
      <c r="FW86" s="1091"/>
      <c r="FX86" s="1147">
        <f>IF(NOW()&gt;=DATE(YEAR(FU$2),MONTH(FU$2)+1,DAY(FU$2)),SUMIFS(TF_SOTIEN,TF_THANG,FU$2,TF_KM,$E86)/1000, GA86)</f>
        <v>0</v>
      </c>
      <c r="FY86" s="1091">
        <f t="shared" si="833"/>
        <v>0</v>
      </c>
      <c r="FZ86" s="1091"/>
      <c r="GA86" s="1147">
        <f>IF(NOW()&gt;=DATE(YEAR(FU$2),MONTH(FU$2)+1,DAY(FU$2)),SUMIFS(AC_SOTIEN,AC_THANG,FU$2,AC_KM,$E86),SUMIFS(TF_SOTIEN,TF_THANG,FU$2,TF_KM,$E86))/ 1000</f>
        <v>0</v>
      </c>
      <c r="GB86" s="1091" t="str">
        <f t="shared" si="834"/>
        <v/>
      </c>
      <c r="GC86" s="1091" t="str">
        <f t="shared" si="948"/>
        <v/>
      </c>
      <c r="GD86" s="1147">
        <f t="shared" si="635"/>
        <v>0</v>
      </c>
      <c r="GE86" s="1091" t="str">
        <f t="shared" si="111"/>
        <v/>
      </c>
      <c r="GF86" s="1147">
        <f t="shared" si="636"/>
        <v>0</v>
      </c>
      <c r="GG86" s="1091" t="str">
        <f t="shared" si="113"/>
        <v/>
      </c>
      <c r="GH86" s="1146">
        <f>SUMIFS(BP_SOTIEN,BP_THANG,GH$2,BP_KM,$E86)/1000</f>
        <v>0</v>
      </c>
      <c r="GI86" s="1091">
        <f t="shared" si="835"/>
        <v>0</v>
      </c>
      <c r="GJ86" s="1091"/>
      <c r="GK86" s="1147">
        <f>IF(NOW()&gt;=DATE(YEAR(GH$2),MONTH(GH$2)+1,DAY(GH$2)),SUMIFS(TF_SOTIEN,TF_THANG,GH$2,TF_KM,$E86)/1000, GN86)</f>
        <v>0</v>
      </c>
      <c r="GL86" s="1091">
        <f t="shared" si="836"/>
        <v>0</v>
      </c>
      <c r="GM86" s="1091"/>
      <c r="GN86" s="1147">
        <f>IF(NOW()&gt;=DATE(YEAR(GH$2),MONTH(GH$2)+1,DAY(GH$2)),SUMIFS(AC_SOTIEN,AC_THANG,GH$2,AC_KM,$E86),SUMIFS(TF_SOTIEN,TF_THANG,GH$2,TF_KM,$E86))/ 1000</f>
        <v>0</v>
      </c>
      <c r="GO86" s="1091" t="str">
        <f t="shared" si="837"/>
        <v/>
      </c>
      <c r="GP86" s="1091" t="str">
        <f t="shared" si="949"/>
        <v/>
      </c>
      <c r="GQ86" s="1147">
        <f t="shared" si="643"/>
        <v>0</v>
      </c>
      <c r="GR86" s="1091" t="str">
        <f t="shared" si="118"/>
        <v/>
      </c>
      <c r="GS86" s="1147">
        <f t="shared" si="644"/>
        <v>0</v>
      </c>
      <c r="GT86" s="1091" t="str">
        <f t="shared" si="120"/>
        <v/>
      </c>
      <c r="GU86" s="1146">
        <f>SUMIFS(BP_SOTIEN,BP_THANG,GU$2,BP_KM,$E86)/1000</f>
        <v>0</v>
      </c>
      <c r="GV86" s="1091">
        <f t="shared" si="838"/>
        <v>0</v>
      </c>
      <c r="GW86" s="1091"/>
      <c r="GX86" s="1147">
        <f>IF(NOW()&gt;=DATE(YEAR(GU$2),MONTH(GU$2)+1,DAY(GU$2)),SUMIFS(TF_SOTIEN,TF_THANG,GU$2,TF_KM,$E86)/1000, HA86)</f>
        <v>0</v>
      </c>
      <c r="GY86" s="1091">
        <f t="shared" si="839"/>
        <v>0</v>
      </c>
      <c r="GZ86" s="1091"/>
      <c r="HA86" s="1147">
        <f>IF(NOW()&gt;=DATE(YEAR(GU$2),MONTH(GU$2)+1,DAY(GU$2)),SUMIFS(AC_SOTIEN,AC_THANG,GU$2,AC_KM,$E86),SUMIFS(TF_SOTIEN,TF_THANG,GU$2,TF_KM,$E86))/ 1000</f>
        <v>0</v>
      </c>
      <c r="HB86" s="1091" t="str">
        <f t="shared" si="840"/>
        <v/>
      </c>
      <c r="HC86" s="1091" t="str">
        <f t="shared" si="950"/>
        <v/>
      </c>
      <c r="HD86" s="1147">
        <f t="shared" si="651"/>
        <v>0</v>
      </c>
      <c r="HE86" s="1091" t="str">
        <f t="shared" si="125"/>
        <v/>
      </c>
      <c r="HF86" s="1147">
        <f t="shared" si="652"/>
        <v>0</v>
      </c>
      <c r="HG86" s="1091" t="str">
        <f t="shared" si="127"/>
        <v/>
      </c>
      <c r="HH86" s="1146">
        <f t="shared" si="924"/>
        <v>0</v>
      </c>
      <c r="HI86" s="1091">
        <f t="shared" si="841"/>
        <v>0</v>
      </c>
      <c r="HJ86" s="1091">
        <f t="shared" si="951"/>
        <v>0</v>
      </c>
      <c r="HK86" s="1147">
        <f t="shared" si="656"/>
        <v>0</v>
      </c>
      <c r="HL86" s="1091">
        <f t="shared" si="842"/>
        <v>0</v>
      </c>
      <c r="HM86" s="1091">
        <f t="shared" si="952"/>
        <v>0</v>
      </c>
      <c r="HN86" s="1147">
        <f t="shared" si="659"/>
        <v>0</v>
      </c>
      <c r="HO86" s="1091" t="str">
        <f t="shared" si="843"/>
        <v/>
      </c>
      <c r="HP86" s="1091" t="str">
        <f t="shared" si="953"/>
        <v/>
      </c>
      <c r="HQ86" s="1147">
        <f t="shared" si="662"/>
        <v>0</v>
      </c>
      <c r="HR86" s="1091" t="str">
        <f t="shared" si="135"/>
        <v/>
      </c>
      <c r="HS86" s="1147">
        <f t="shared" si="663"/>
        <v>0</v>
      </c>
      <c r="HT86" s="1091" t="str">
        <f t="shared" si="137"/>
        <v/>
      </c>
      <c r="HU86" s="1146">
        <f t="shared" si="925"/>
        <v>0</v>
      </c>
      <c r="HV86" s="1091">
        <f t="shared" si="844"/>
        <v>0</v>
      </c>
      <c r="HW86" s="1091">
        <f t="shared" si="954"/>
        <v>0</v>
      </c>
      <c r="HX86" s="1147">
        <f t="shared" si="667"/>
        <v>0</v>
      </c>
      <c r="HY86" s="1091">
        <f t="shared" si="845"/>
        <v>0</v>
      </c>
      <c r="HZ86" s="1091">
        <f t="shared" si="955"/>
        <v>0</v>
      </c>
      <c r="IA86" s="1147">
        <f t="shared" si="670"/>
        <v>0</v>
      </c>
      <c r="IB86" s="1091" t="str">
        <f t="shared" si="846"/>
        <v/>
      </c>
      <c r="IC86" s="1091" t="str">
        <f t="shared" si="956"/>
        <v/>
      </c>
      <c r="ID86" s="1147">
        <f t="shared" si="673"/>
        <v>0</v>
      </c>
      <c r="IE86" s="1091" t="str">
        <f t="shared" si="145"/>
        <v/>
      </c>
      <c r="IF86" s="1147">
        <f t="shared" si="674"/>
        <v>0</v>
      </c>
      <c r="IG86" s="1091" t="str">
        <f t="shared" si="147"/>
        <v/>
      </c>
      <c r="IH86" s="1146">
        <f t="shared" si="926"/>
        <v>0</v>
      </c>
      <c r="II86" s="1091">
        <f t="shared" si="847"/>
        <v>0</v>
      </c>
      <c r="IJ86" s="1091">
        <f t="shared" si="957"/>
        <v>0</v>
      </c>
      <c r="IK86" s="1147">
        <f t="shared" si="678"/>
        <v>270333.332</v>
      </c>
      <c r="IL86" s="1091">
        <f t="shared" si="848"/>
        <v>0.006521212833</v>
      </c>
      <c r="IM86" s="1091">
        <f t="shared" si="958"/>
        <v>0.07033087318</v>
      </c>
      <c r="IN86" s="1147">
        <f t="shared" si="681"/>
        <v>210041.666</v>
      </c>
      <c r="IO86" s="1091">
        <f t="shared" si="849"/>
        <v>0.04834532198</v>
      </c>
      <c r="IP86" s="1091">
        <f t="shared" si="959"/>
        <v>0.2268919268</v>
      </c>
      <c r="IQ86" s="1147">
        <f t="shared" si="684"/>
        <v>210041.666</v>
      </c>
      <c r="IR86" s="1091" t="str">
        <f t="shared" si="1"/>
        <v/>
      </c>
      <c r="IS86" s="1147">
        <f t="shared" si="685"/>
        <v>-60291.666</v>
      </c>
      <c r="IT86" s="1091">
        <f t="shared" si="2"/>
        <v>-0.2230271256</v>
      </c>
    </row>
    <row r="87" outlineLevel="1">
      <c r="A87" s="737"/>
      <c r="B87" s="737"/>
      <c r="C87" s="737"/>
      <c r="D87" s="737" t="s">
        <v>2847</v>
      </c>
      <c r="E87" s="737" t="s">
        <v>267</v>
      </c>
      <c r="F87" s="737"/>
      <c r="G87" s="748">
        <v>3.0</v>
      </c>
      <c r="H87" s="1146">
        <f>SUMIFS(BP_SOTIEN,BP_THANG,H$2,BP_KM,$E87)/1000</f>
        <v>318400</v>
      </c>
      <c r="I87" s="1091" t="str">
        <f t="shared" si="791"/>
        <v/>
      </c>
      <c r="J87" s="1091"/>
      <c r="K87" s="1147">
        <f>IF(NOW()&gt;=DATE(YEAR(H$2),MONTH(H$2)+1,DAY(H$2)),SUMIFS(TF_SOTIEN,TF_THANG,H$2,TF_KM,$E87)/1000, N87)</f>
        <v>318400</v>
      </c>
      <c r="L87" s="1091">
        <f t="shared" si="792"/>
        <v>2.653333333</v>
      </c>
      <c r="M87" s="1091"/>
      <c r="N87" s="1147">
        <f>IF(NOW()&gt;=DATE(YEAR(H$2),MONTH(H$2)+1,DAY(H$2)),SUMIFS(AC_SOTIEN,AC_THANG,H$2,AC_KM,$E87),SUMIFS(TF_SOTIEN,TF_THANG,H$2,TF_KM,$E87))/ 1000</f>
        <v>32253.671</v>
      </c>
      <c r="O87" s="1091">
        <f t="shared" si="793"/>
        <v>0.09486373824</v>
      </c>
      <c r="P87" s="1091">
        <f t="shared" si="927"/>
        <v>0.2860421331</v>
      </c>
      <c r="Q87" s="1147">
        <f t="shared" si="518"/>
        <v>-286146.329</v>
      </c>
      <c r="R87" s="1091">
        <f t="shared" si="8"/>
        <v>-0.898700782</v>
      </c>
      <c r="S87" s="1147">
        <f t="shared" si="519"/>
        <v>-286146.329</v>
      </c>
      <c r="T87" s="1091">
        <f t="shared" si="10"/>
        <v>-0.898700782</v>
      </c>
      <c r="U87" s="1146">
        <f>SUMIFS(BP_SOTIEN,BP_THANG,U$2,BP_KM,$E87)/1000</f>
        <v>318400</v>
      </c>
      <c r="V87" s="1091" t="str">
        <f t="shared" si="794"/>
        <v/>
      </c>
      <c r="W87" s="1091"/>
      <c r="X87" s="1147">
        <f>IF(NOW()&gt;=DATE(YEAR(U$2),MONTH(U$2)+1,DAY(U$2)),SUMIFS(TF_SOTIEN,TF_THANG,U$2,TF_KM,$E87)/1000, AA87)</f>
        <v>65818.007</v>
      </c>
      <c r="Y87" s="1091" t="str">
        <f t="shared" si="795"/>
        <v/>
      </c>
      <c r="Z87" s="1091"/>
      <c r="AA87" s="1147">
        <f>IF(NOW()&gt;=DATE(YEAR(U$2),MONTH(U$2)+1,DAY(U$2)),SUMIFS(AC_SOTIEN,AC_THANG,U$2,AC_KM,$E87),SUMIFS(TF_SOTIEN,TF_THANG,U$2,TF_KM,$E87))/ 1000</f>
        <v>63054.477</v>
      </c>
      <c r="AB87" s="1091">
        <f t="shared" si="796"/>
        <v>0.35030265</v>
      </c>
      <c r="AC87" s="1091">
        <f t="shared" si="928"/>
        <v>0.4375931962</v>
      </c>
      <c r="AD87" s="1147">
        <f t="shared" si="526"/>
        <v>-255345.523</v>
      </c>
      <c r="AE87" s="1091">
        <f t="shared" si="15"/>
        <v>-0.8019645823</v>
      </c>
      <c r="AF87" s="1147">
        <f t="shared" si="527"/>
        <v>-2763.53</v>
      </c>
      <c r="AG87" s="1091">
        <f t="shared" si="17"/>
        <v>-0.04198744578</v>
      </c>
      <c r="AH87" s="1146">
        <f>SUMIFS(BP_SOTIEN,BP_THANG,AH$2,BP_KM,$E87)/1000</f>
        <v>318400</v>
      </c>
      <c r="AI87" s="1091" t="str">
        <f t="shared" si="797"/>
        <v/>
      </c>
      <c r="AJ87" s="1091"/>
      <c r="AK87" s="1147">
        <f>IF(NOW()&gt;=DATE(YEAR(AH$2),MONTH(AH$2)+1,DAY(AH$2)),SUMIFS(TF_SOTIEN,TF_THANG,AH$2,TF_KM,$E87)/1000, AN87)</f>
        <v>65818.007</v>
      </c>
      <c r="AL87" s="1091">
        <f t="shared" si="798"/>
        <v>0.01828277972</v>
      </c>
      <c r="AM87" s="1091"/>
      <c r="AN87" s="1147">
        <f>IF(NOW()&gt;=DATE(YEAR(AH$2),MONTH(AH$2)+1,DAY(AH$2)),SUMIFS(AC_SOTIEN,AC_THANG,AH$2,AC_KM,$E87),SUMIFS(TF_SOTIEN,TF_THANG,AH$2,TF_KM,$E87))/ 1000</f>
        <v>92528.996</v>
      </c>
      <c r="AO87" s="1091">
        <f t="shared" si="799"/>
        <v>0.1385164611</v>
      </c>
      <c r="AP87" s="1091">
        <f t="shared" si="929"/>
        <v>0.4487130413</v>
      </c>
      <c r="AQ87" s="1147">
        <f t="shared" si="534"/>
        <v>-225871.004</v>
      </c>
      <c r="AR87" s="1091">
        <f t="shared" si="22"/>
        <v>-0.7093938568</v>
      </c>
      <c r="AS87" s="1147">
        <f t="shared" si="535"/>
        <v>26710.989</v>
      </c>
      <c r="AT87" s="1091">
        <f t="shared" si="24"/>
        <v>0.4058310213</v>
      </c>
      <c r="AU87" s="1146">
        <f t="shared" si="916"/>
        <v>955200</v>
      </c>
      <c r="AV87" s="1091" t="str">
        <f t="shared" si="800"/>
        <v/>
      </c>
      <c r="AW87" s="1091">
        <f t="shared" si="930"/>
        <v>0.8036466983</v>
      </c>
      <c r="AX87" s="1147">
        <f t="shared" si="917"/>
        <v>450036.014</v>
      </c>
      <c r="AY87" s="1091">
        <f t="shared" si="801"/>
        <v>0.1209774231</v>
      </c>
      <c r="AZ87" s="1091">
        <f t="shared" si="931"/>
        <v>0.6427570752</v>
      </c>
      <c r="BA87" s="1147">
        <f t="shared" si="918"/>
        <v>187837.144</v>
      </c>
      <c r="BB87" s="1091">
        <f t="shared" si="802"/>
        <v>0.1581120741</v>
      </c>
      <c r="BC87" s="1091">
        <f t="shared" si="932"/>
        <v>0.4056414405</v>
      </c>
      <c r="BD87" s="1147">
        <f t="shared" si="545"/>
        <v>-767362.856</v>
      </c>
      <c r="BE87" s="1091">
        <f t="shared" si="32"/>
        <v>-0.8033530737</v>
      </c>
      <c r="BF87" s="1147">
        <f t="shared" si="546"/>
        <v>-262198.87</v>
      </c>
      <c r="BG87" s="1091">
        <f t="shared" si="34"/>
        <v>-0.582617528</v>
      </c>
      <c r="BH87" s="1146">
        <f>SUMIFS(BP_SOTIEN,BP_THANG,BH$2,BP_KM,$E87)/1000</f>
        <v>318400</v>
      </c>
      <c r="BI87" s="1091">
        <f t="shared" si="803"/>
        <v>0.0796</v>
      </c>
      <c r="BJ87" s="1091"/>
      <c r="BK87" s="1147">
        <f>IF(NOW()&gt;=DATE(YEAR(BH$2),MONTH(BH$2)+1,DAY(BH$2)),SUMIFS(TF_SOTIEN,TF_THANG,BH$2,TF_KM,$E87)/1000, BN87)</f>
        <v>124068.007</v>
      </c>
      <c r="BL87" s="1091" t="str">
        <f t="shared" si="804"/>
        <v/>
      </c>
      <c r="BM87" s="1091"/>
      <c r="BN87" s="1147">
        <f>IF(NOW()&gt;=DATE(YEAR(BH$2),MONTH(BH$2)+1,DAY(BH$2)),SUMIFS(AC_SOTIEN,AC_THANG,BH$2,AC_KM,$E87),SUMIFS(TF_SOTIEN,TF_THANG,BH$2,TF_KM,$E87))/ 1000</f>
        <v>61778.846</v>
      </c>
      <c r="BO87" s="1091">
        <f t="shared" si="805"/>
        <v>0.02375159398</v>
      </c>
      <c r="BP87" s="1091">
        <f t="shared" si="933"/>
        <v>0.2914261358</v>
      </c>
      <c r="BQ87" s="1147">
        <f t="shared" si="553"/>
        <v>-256621.154</v>
      </c>
      <c r="BR87" s="1091">
        <f t="shared" si="39"/>
        <v>-0.8059709611</v>
      </c>
      <c r="BS87" s="1147">
        <f t="shared" si="554"/>
        <v>-62289.161</v>
      </c>
      <c r="BT87" s="1091">
        <f t="shared" si="41"/>
        <v>-0.5020565938</v>
      </c>
      <c r="BU87" s="1146">
        <f>SUMIFS(BP_SOTIEN,BP_THANG,BU$2,BP_KM,$E87)/1000</f>
        <v>318400</v>
      </c>
      <c r="BV87" s="1091">
        <f t="shared" si="806"/>
        <v>0.0796</v>
      </c>
      <c r="BW87" s="1091"/>
      <c r="BX87" s="1147">
        <f>IF(NOW()&gt;=DATE(YEAR(BU$2),MONTH(BU$2)+1,DAY(BU$2)),SUMIFS(TF_SOTIEN,TF_THANG,BU$2,TF_KM,$E87)/1000, CA87)</f>
        <v>109745</v>
      </c>
      <c r="BY87" s="1091">
        <f t="shared" si="807"/>
        <v>0.07343472458</v>
      </c>
      <c r="BZ87" s="1091"/>
      <c r="CA87" s="1147">
        <f>IF(NOW()&gt;=DATE(YEAR(BU$2),MONTH(BU$2)+1,DAY(BU$2)),SUMIFS(AC_SOTIEN,AC_THANG,BU$2,AC_KM,$E87),SUMIFS(TF_SOTIEN,TF_THANG,BU$2,TF_KM,$E87))/ 1000</f>
        <v>110960.768</v>
      </c>
      <c r="CB87" s="1091">
        <f t="shared" si="808"/>
        <v>0.1997234706</v>
      </c>
      <c r="CC87" s="1091">
        <f t="shared" si="934"/>
        <v>0.4426313368</v>
      </c>
      <c r="CD87" s="1147">
        <f t="shared" si="561"/>
        <v>-207439.232</v>
      </c>
      <c r="CE87" s="1091">
        <f t="shared" si="46"/>
        <v>-0.6515051256</v>
      </c>
      <c r="CF87" s="1147">
        <f t="shared" si="562"/>
        <v>1215.768</v>
      </c>
      <c r="CG87" s="1091">
        <f t="shared" si="48"/>
        <v>0.01107811745</v>
      </c>
      <c r="CH87" s="1146">
        <f>SUMIFS(BP_SOTIEN,BP_THANG,CH$2,BP_KM,$E87)/1000</f>
        <v>318400</v>
      </c>
      <c r="CI87" s="1091">
        <f t="shared" si="809"/>
        <v>0.0796</v>
      </c>
      <c r="CJ87" s="1091"/>
      <c r="CK87" s="1147">
        <f>IF(NOW()&gt;=DATE(YEAR(CH$2),MONTH(CH$2)+1,DAY(CH$2)),SUMIFS(TF_SOTIEN,TF_THANG,CH$2,TF_KM,$E87)/1000, CN87)</f>
        <v>109000</v>
      </c>
      <c r="CL87" s="1091" t="str">
        <f t="shared" si="810"/>
        <v/>
      </c>
      <c r="CM87" s="1091"/>
      <c r="CN87" s="1147">
        <f>IF(NOW()&gt;=DATE(YEAR(CH$2),MONTH(CH$2)+1,DAY(CH$2)),SUMIFS(AC_SOTIEN,AC_THANG,CH$2,AC_KM,$E87),SUMIFS(TF_SOTIEN,TF_THANG,CH$2,TF_KM,$E87))/ 1000</f>
        <v>0</v>
      </c>
      <c r="CO87" s="1091" t="str">
        <f t="shared" si="811"/>
        <v/>
      </c>
      <c r="CP87" s="1091" t="str">
        <f t="shared" si="935"/>
        <v/>
      </c>
      <c r="CQ87" s="1147">
        <f t="shared" si="569"/>
        <v>-318400</v>
      </c>
      <c r="CR87" s="1091">
        <f t="shared" si="53"/>
        <v>-1</v>
      </c>
      <c r="CS87" s="1147">
        <f t="shared" si="570"/>
        <v>-109000</v>
      </c>
      <c r="CT87" s="1091">
        <f t="shared" si="55"/>
        <v>-1</v>
      </c>
      <c r="CU87" s="1146">
        <f t="shared" si="919"/>
        <v>955200</v>
      </c>
      <c r="CV87" s="1091">
        <f t="shared" si="812"/>
        <v>0.0796</v>
      </c>
      <c r="CW87" s="1091">
        <f t="shared" si="936"/>
        <v>0.8113810807</v>
      </c>
      <c r="CX87" s="1147">
        <f t="shared" si="920"/>
        <v>342813.007</v>
      </c>
      <c r="CY87" s="1091">
        <f t="shared" si="814"/>
        <v>0.2293897558</v>
      </c>
      <c r="CZ87" s="1091">
        <f t="shared" si="937"/>
        <v>0.4299149252</v>
      </c>
      <c r="DA87" s="1147">
        <f t="shared" si="921"/>
        <v>172739.614</v>
      </c>
      <c r="DB87" s="1091">
        <f t="shared" si="816"/>
        <v>0.05472310629</v>
      </c>
      <c r="DC87" s="1091">
        <f t="shared" si="938"/>
        <v>0.3733518871</v>
      </c>
      <c r="DD87" s="1147">
        <f t="shared" si="580"/>
        <v>-782460.386</v>
      </c>
      <c r="DE87" s="1091">
        <f t="shared" si="63"/>
        <v>-0.8191586956</v>
      </c>
      <c r="DF87" s="1147">
        <f t="shared" si="581"/>
        <v>-170073.393</v>
      </c>
      <c r="DG87" s="1091">
        <f t="shared" si="65"/>
        <v>-0.4961112604</v>
      </c>
      <c r="DH87" s="1146">
        <f t="shared" si="922"/>
        <v>1910400</v>
      </c>
      <c r="DI87" s="1091">
        <f t="shared" si="817"/>
        <v>0.1592</v>
      </c>
      <c r="DJ87" s="1091">
        <f t="shared" si="939"/>
        <v>0.8074953695</v>
      </c>
      <c r="DK87" s="1147">
        <f t="shared" si="585"/>
        <v>792849.021</v>
      </c>
      <c r="DL87" s="1091">
        <f t="shared" si="818"/>
        <v>0.1520482574</v>
      </c>
      <c r="DM87" s="1091">
        <f t="shared" si="940"/>
        <v>0.5294263937</v>
      </c>
      <c r="DN87" s="1147">
        <f t="shared" si="588"/>
        <v>360576.758</v>
      </c>
      <c r="DO87" s="1091">
        <f t="shared" si="819"/>
        <v>0.08299400683</v>
      </c>
      <c r="DP87" s="1091">
        <f t="shared" si="941"/>
        <v>0.3895034587</v>
      </c>
      <c r="DQ87" s="1147">
        <f t="shared" si="591"/>
        <v>-1549823.242</v>
      </c>
      <c r="DR87" s="1091">
        <f t="shared" si="73"/>
        <v>-0.8112558846</v>
      </c>
      <c r="DS87" s="1147">
        <f t="shared" si="592"/>
        <v>-432272.263</v>
      </c>
      <c r="DT87" s="1091">
        <f t="shared" si="75"/>
        <v>-0.5452138447</v>
      </c>
      <c r="DU87" s="1146">
        <f>SUMIFS(BP_SOTIEN,BP_THANG,DU$2,BP_KM,$E87)/1000</f>
        <v>318400</v>
      </c>
      <c r="DV87" s="1091">
        <f t="shared" si="820"/>
        <v>0.0796</v>
      </c>
      <c r="DW87" s="1091"/>
      <c r="DX87" s="1147">
        <f>IF(NOW()&gt;=DATE(YEAR(DU$2),MONTH(DU$2)+1,DAY(DU$2)),SUMIFS(TF_SOTIEN,TF_THANG,DU$2,TF_KM,$E87)/1000, EA87)</f>
        <v>318400</v>
      </c>
      <c r="DY87" s="1091">
        <f t="shared" si="821"/>
        <v>0.05271523214</v>
      </c>
      <c r="DZ87" s="1091"/>
      <c r="EA87" s="1147">
        <f>IF(NOW()&gt;=DATE(YEAR(DU$2),MONTH(DU$2)+1,DAY(DU$2)),SUMIFS(AC_SOTIEN,AC_THANG,DU$2,AC_KM,$E87),SUMIFS(TF_SOTIEN,TF_THANG,DU$2,TF_KM,$E87))/ 1000</f>
        <v>0</v>
      </c>
      <c r="EB87" s="1091" t="str">
        <f t="shared" si="822"/>
        <v/>
      </c>
      <c r="EC87" s="1091" t="str">
        <f t="shared" si="942"/>
        <v/>
      </c>
      <c r="ED87" s="1147">
        <f t="shared" si="599"/>
        <v>-318400</v>
      </c>
      <c r="EE87" s="1091">
        <f t="shared" si="80"/>
        <v>-1</v>
      </c>
      <c r="EF87" s="1147">
        <f t="shared" si="600"/>
        <v>-318400</v>
      </c>
      <c r="EG87" s="1091">
        <f t="shared" si="82"/>
        <v>-1</v>
      </c>
      <c r="EH87" s="1146">
        <f>SUMIFS(BP_SOTIEN,BP_THANG,EH$2,BP_KM,$E87)/1000</f>
        <v>318400</v>
      </c>
      <c r="EI87" s="1091">
        <f t="shared" si="823"/>
        <v>0.0796</v>
      </c>
      <c r="EJ87" s="1091"/>
      <c r="EK87" s="1147">
        <f>IF(NOW()&gt;=DATE(YEAR(EH$2),MONTH(EH$2)+1,DAY(EH$2)),SUMIFS(TF_SOTIEN,TF_THANG,EH$2,TF_KM,$E87)/1000, EN87)</f>
        <v>318400</v>
      </c>
      <c r="EL87" s="1091">
        <f t="shared" si="824"/>
        <v>0.05271523214</v>
      </c>
      <c r="EM87" s="1091"/>
      <c r="EN87" s="1147">
        <f>IF(NOW()&gt;=DATE(YEAR(EH$2),MONTH(EH$2)+1,DAY(EH$2)),SUMIFS(AC_SOTIEN,AC_THANG,EH$2,AC_KM,$E87),SUMIFS(TF_SOTIEN,TF_THANG,EH$2,TF_KM,$E87))/ 1000</f>
        <v>0</v>
      </c>
      <c r="EO87" s="1091" t="str">
        <f t="shared" si="825"/>
        <v/>
      </c>
      <c r="EP87" s="1091" t="str">
        <f t="shared" si="943"/>
        <v/>
      </c>
      <c r="EQ87" s="1147">
        <f t="shared" si="607"/>
        <v>-318400</v>
      </c>
      <c r="ER87" s="1091">
        <f t="shared" si="87"/>
        <v>-1</v>
      </c>
      <c r="ES87" s="1147">
        <f t="shared" si="608"/>
        <v>-318400</v>
      </c>
      <c r="ET87" s="1091">
        <f t="shared" si="89"/>
        <v>-1</v>
      </c>
      <c r="EU87" s="1146">
        <f>SUMIFS(BP_SOTIEN,BP_THANG,EU$2,BP_KM,$E87)/1000</f>
        <v>318400</v>
      </c>
      <c r="EV87" s="1091">
        <f t="shared" si="826"/>
        <v>0.0796</v>
      </c>
      <c r="EW87" s="1091"/>
      <c r="EX87" s="1147">
        <f>IF(NOW()&gt;=DATE(YEAR(EU$2),MONTH(EU$2)+1,DAY(EU$2)),SUMIFS(TF_SOTIEN,TF_THANG,EU$2,TF_KM,$E87)/1000, FA87)</f>
        <v>318400</v>
      </c>
      <c r="EY87" s="1091">
        <f t="shared" si="827"/>
        <v>0.05271523214</v>
      </c>
      <c r="EZ87" s="1091"/>
      <c r="FA87" s="1147">
        <f>IF(NOW()&gt;=DATE(YEAR(EU$2),MONTH(EU$2)+1,DAY(EU$2)),SUMIFS(AC_SOTIEN,AC_THANG,EU$2,AC_KM,$E87),SUMIFS(TF_SOTIEN,TF_THANG,EU$2,TF_KM,$E87))/ 1000</f>
        <v>0</v>
      </c>
      <c r="FB87" s="1091" t="str">
        <f t="shared" si="828"/>
        <v/>
      </c>
      <c r="FC87" s="1091" t="str">
        <f t="shared" si="944"/>
        <v/>
      </c>
      <c r="FD87" s="1147">
        <f t="shared" si="616"/>
        <v>-318400</v>
      </c>
      <c r="FE87" s="1091">
        <f t="shared" si="94"/>
        <v>-1</v>
      </c>
      <c r="FF87" s="1147">
        <f t="shared" si="617"/>
        <v>-318400</v>
      </c>
      <c r="FG87" s="1091">
        <f t="shared" si="96"/>
        <v>-1</v>
      </c>
      <c r="FH87" s="1146">
        <f t="shared" si="923"/>
        <v>955200</v>
      </c>
      <c r="FI87" s="1091">
        <f t="shared" si="829"/>
        <v>0.0796</v>
      </c>
      <c r="FJ87" s="1091">
        <f t="shared" si="945"/>
        <v>0.8142618578</v>
      </c>
      <c r="FK87" s="1147">
        <f t="shared" si="621"/>
        <v>955200</v>
      </c>
      <c r="FL87" s="1091">
        <f t="shared" si="830"/>
        <v>0.05271523214</v>
      </c>
      <c r="FM87" s="1091">
        <f t="shared" si="946"/>
        <v>0.8142618578</v>
      </c>
      <c r="FN87" s="1147">
        <f t="shared" si="624"/>
        <v>0</v>
      </c>
      <c r="FO87" s="1091" t="str">
        <f t="shared" si="831"/>
        <v/>
      </c>
      <c r="FP87" s="1091" t="str">
        <f t="shared" si="947"/>
        <v/>
      </c>
      <c r="FQ87" s="1147">
        <f t="shared" si="627"/>
        <v>-955200</v>
      </c>
      <c r="FR87" s="1091">
        <f t="shared" si="104"/>
        <v>-1</v>
      </c>
      <c r="FS87" s="1147">
        <f t="shared" si="628"/>
        <v>-955200</v>
      </c>
      <c r="FT87" s="1091">
        <f t="shared" si="106"/>
        <v>-1</v>
      </c>
      <c r="FU87" s="1146">
        <f>SUMIFS(BP_SOTIEN,BP_THANG,FU$2,BP_KM,$E87)/1000</f>
        <v>318400</v>
      </c>
      <c r="FV87" s="1091">
        <f t="shared" si="832"/>
        <v>0.0796</v>
      </c>
      <c r="FW87" s="1091"/>
      <c r="FX87" s="1147">
        <f>IF(NOW()&gt;=DATE(YEAR(FU$2),MONTH(FU$2)+1,DAY(FU$2)),SUMIFS(TF_SOTIEN,TF_THANG,FU$2,TF_KM,$E87)/1000, GA87)</f>
        <v>318400</v>
      </c>
      <c r="FY87" s="1091">
        <f t="shared" si="833"/>
        <v>0.05271523214</v>
      </c>
      <c r="FZ87" s="1091"/>
      <c r="GA87" s="1147">
        <f>IF(NOW()&gt;=DATE(YEAR(FU$2),MONTH(FU$2)+1,DAY(FU$2)),SUMIFS(AC_SOTIEN,AC_THANG,FU$2,AC_KM,$E87),SUMIFS(TF_SOTIEN,TF_THANG,FU$2,TF_KM,$E87))/ 1000</f>
        <v>0</v>
      </c>
      <c r="GB87" s="1091" t="str">
        <f t="shared" si="834"/>
        <v/>
      </c>
      <c r="GC87" s="1091" t="str">
        <f t="shared" si="948"/>
        <v/>
      </c>
      <c r="GD87" s="1147">
        <f t="shared" si="635"/>
        <v>-318400</v>
      </c>
      <c r="GE87" s="1091">
        <f t="shared" si="111"/>
        <v>-1</v>
      </c>
      <c r="GF87" s="1147">
        <f t="shared" si="636"/>
        <v>-318400</v>
      </c>
      <c r="GG87" s="1091">
        <f t="shared" si="113"/>
        <v>-1</v>
      </c>
      <c r="GH87" s="1146">
        <f>SUMIFS(BP_SOTIEN,BP_THANG,GH$2,BP_KM,$E87)/1000</f>
        <v>318400</v>
      </c>
      <c r="GI87" s="1091">
        <f t="shared" si="835"/>
        <v>0.0796</v>
      </c>
      <c r="GJ87" s="1091"/>
      <c r="GK87" s="1147">
        <f>IF(NOW()&gt;=DATE(YEAR(GH$2),MONTH(GH$2)+1,DAY(GH$2)),SUMIFS(TF_SOTIEN,TF_THANG,GH$2,TF_KM,$E87)/1000, GN87)</f>
        <v>318400</v>
      </c>
      <c r="GL87" s="1091">
        <f t="shared" si="836"/>
        <v>0.05271523214</v>
      </c>
      <c r="GM87" s="1091"/>
      <c r="GN87" s="1147">
        <f>IF(NOW()&gt;=DATE(YEAR(GH$2),MONTH(GH$2)+1,DAY(GH$2)),SUMIFS(AC_SOTIEN,AC_THANG,GH$2,AC_KM,$E87),SUMIFS(TF_SOTIEN,TF_THANG,GH$2,TF_KM,$E87))/ 1000</f>
        <v>0</v>
      </c>
      <c r="GO87" s="1091" t="str">
        <f t="shared" si="837"/>
        <v/>
      </c>
      <c r="GP87" s="1091" t="str">
        <f t="shared" si="949"/>
        <v/>
      </c>
      <c r="GQ87" s="1147">
        <f t="shared" si="643"/>
        <v>-318400</v>
      </c>
      <c r="GR87" s="1091">
        <f t="shared" si="118"/>
        <v>-1</v>
      </c>
      <c r="GS87" s="1147">
        <f t="shared" si="644"/>
        <v>-318400</v>
      </c>
      <c r="GT87" s="1091">
        <f t="shared" si="120"/>
        <v>-1</v>
      </c>
      <c r="GU87" s="1146">
        <f>SUMIFS(BP_SOTIEN,BP_THANG,GU$2,BP_KM,$E87)/1000</f>
        <v>318400</v>
      </c>
      <c r="GV87" s="1091">
        <f t="shared" si="838"/>
        <v>0.0796</v>
      </c>
      <c r="GW87" s="1091"/>
      <c r="GX87" s="1147">
        <f>IF(NOW()&gt;=DATE(YEAR(GU$2),MONTH(GU$2)+1,DAY(GU$2)),SUMIFS(TF_SOTIEN,TF_THANG,GU$2,TF_KM,$E87)/1000, HA87)</f>
        <v>318400</v>
      </c>
      <c r="GY87" s="1091">
        <f t="shared" si="839"/>
        <v>0.05271523214</v>
      </c>
      <c r="GZ87" s="1091"/>
      <c r="HA87" s="1147">
        <f>IF(NOW()&gt;=DATE(YEAR(GU$2),MONTH(GU$2)+1,DAY(GU$2)),SUMIFS(AC_SOTIEN,AC_THANG,GU$2,AC_KM,$E87),SUMIFS(TF_SOTIEN,TF_THANG,GU$2,TF_KM,$E87))/ 1000</f>
        <v>0</v>
      </c>
      <c r="HB87" s="1091" t="str">
        <f t="shared" si="840"/>
        <v/>
      </c>
      <c r="HC87" s="1091" t="str">
        <f t="shared" si="950"/>
        <v/>
      </c>
      <c r="HD87" s="1147">
        <f t="shared" si="651"/>
        <v>-318400</v>
      </c>
      <c r="HE87" s="1091">
        <f t="shared" si="125"/>
        <v>-1</v>
      </c>
      <c r="HF87" s="1147">
        <f t="shared" si="652"/>
        <v>-318400</v>
      </c>
      <c r="HG87" s="1091">
        <f t="shared" si="127"/>
        <v>-1</v>
      </c>
      <c r="HH87" s="1146">
        <f t="shared" si="924"/>
        <v>955200</v>
      </c>
      <c r="HI87" s="1091">
        <f t="shared" si="841"/>
        <v>0.0796</v>
      </c>
      <c r="HJ87" s="1091">
        <f t="shared" si="951"/>
        <v>0.8142618578</v>
      </c>
      <c r="HK87" s="1147">
        <f t="shared" si="656"/>
        <v>955200</v>
      </c>
      <c r="HL87" s="1091">
        <f t="shared" si="842"/>
        <v>0.05271523214</v>
      </c>
      <c r="HM87" s="1091">
        <f t="shared" si="952"/>
        <v>0.8142618578</v>
      </c>
      <c r="HN87" s="1147">
        <f t="shared" si="659"/>
        <v>0</v>
      </c>
      <c r="HO87" s="1091" t="str">
        <f t="shared" si="843"/>
        <v/>
      </c>
      <c r="HP87" s="1091" t="str">
        <f t="shared" si="953"/>
        <v/>
      </c>
      <c r="HQ87" s="1147">
        <f t="shared" si="662"/>
        <v>-955200</v>
      </c>
      <c r="HR87" s="1091">
        <f t="shared" si="135"/>
        <v>-1</v>
      </c>
      <c r="HS87" s="1147">
        <f t="shared" si="663"/>
        <v>-955200</v>
      </c>
      <c r="HT87" s="1091">
        <f t="shared" si="137"/>
        <v>-1</v>
      </c>
      <c r="HU87" s="1146">
        <f t="shared" si="925"/>
        <v>1910400</v>
      </c>
      <c r="HV87" s="1091">
        <f t="shared" si="844"/>
        <v>0.0796</v>
      </c>
      <c r="HW87" s="1091">
        <f t="shared" si="954"/>
        <v>0.8142618578</v>
      </c>
      <c r="HX87" s="1147">
        <f t="shared" si="667"/>
        <v>1910400</v>
      </c>
      <c r="HY87" s="1091">
        <f t="shared" si="845"/>
        <v>0.05271523214</v>
      </c>
      <c r="HZ87" s="1091">
        <f t="shared" si="955"/>
        <v>0.8142618578</v>
      </c>
      <c r="IA87" s="1147">
        <f t="shared" si="670"/>
        <v>0</v>
      </c>
      <c r="IB87" s="1091" t="str">
        <f t="shared" si="846"/>
        <v/>
      </c>
      <c r="IC87" s="1091" t="str">
        <f t="shared" si="956"/>
        <v/>
      </c>
      <c r="ID87" s="1147">
        <f t="shared" si="673"/>
        <v>-1910400</v>
      </c>
      <c r="IE87" s="1091">
        <f t="shared" si="145"/>
        <v>-1</v>
      </c>
      <c r="IF87" s="1147">
        <f t="shared" si="674"/>
        <v>-1910400</v>
      </c>
      <c r="IG87" s="1091">
        <f t="shared" si="147"/>
        <v>-1</v>
      </c>
      <c r="IH87" s="1146">
        <f t="shared" si="926"/>
        <v>3820800</v>
      </c>
      <c r="II87" s="1091">
        <f t="shared" si="847"/>
        <v>0.1061333333</v>
      </c>
      <c r="IJ87" s="1091">
        <f t="shared" si="957"/>
        <v>0.8108644977</v>
      </c>
      <c r="IK87" s="1147">
        <f t="shared" si="678"/>
        <v>2703249.021</v>
      </c>
      <c r="IL87" s="1091">
        <f t="shared" si="848"/>
        <v>0.06521009479</v>
      </c>
      <c r="IM87" s="1091">
        <f t="shared" si="958"/>
        <v>0.7032868002</v>
      </c>
      <c r="IN87" s="1147">
        <f t="shared" si="681"/>
        <v>360576.758</v>
      </c>
      <c r="IO87" s="1091">
        <f t="shared" si="849"/>
        <v>0.08299400683</v>
      </c>
      <c r="IP87" s="1091">
        <f t="shared" si="959"/>
        <v>0.3895034587</v>
      </c>
      <c r="IQ87" s="1147">
        <f t="shared" si="684"/>
        <v>-3460223.242</v>
      </c>
      <c r="IR87" s="1091">
        <f t="shared" si="1"/>
        <v>-0.9056279423</v>
      </c>
      <c r="IS87" s="1147">
        <f t="shared" si="685"/>
        <v>-2342672.263</v>
      </c>
      <c r="IT87" s="1091">
        <f t="shared" si="2"/>
        <v>-0.866613562</v>
      </c>
    </row>
    <row r="88" outlineLevel="1">
      <c r="A88" s="737"/>
      <c r="B88" s="737"/>
      <c r="C88" s="737"/>
      <c r="D88" s="737" t="s">
        <v>2848</v>
      </c>
      <c r="E88" s="737" t="s">
        <v>1211</v>
      </c>
      <c r="F88" s="737"/>
      <c r="G88" s="748">
        <v>3.0</v>
      </c>
      <c r="H88" s="1146">
        <f>SUMIFS(BP_SOTIEN,BP_THANG,H$2,BP_KM,$E88)/1000</f>
        <v>0</v>
      </c>
      <c r="I88" s="1091" t="str">
        <f t="shared" si="791"/>
        <v/>
      </c>
      <c r="J88" s="1091"/>
      <c r="K88" s="1147">
        <f>IF(NOW()&gt;=DATE(YEAR(H$2),MONTH(H$2)+1,DAY(H$2)),SUMIFS(TF_SOTIEN,TF_THANG,H$2,TF_KM,$E88)/1000, N88)</f>
        <v>0</v>
      </c>
      <c r="L88" s="1091">
        <f t="shared" si="792"/>
        <v>0</v>
      </c>
      <c r="M88" s="1091"/>
      <c r="N88" s="1147">
        <f>IF(NOW()&gt;=DATE(YEAR(H$2),MONTH(H$2)+1,DAY(H$2)),SUMIFS(AC_SOTIEN,AC_THANG,H$2,AC_KM,$E88),SUMIFS(TF_SOTIEN,TF_THANG,H$2,TF_KM,$E88))/ 1000</f>
        <v>0</v>
      </c>
      <c r="O88" s="1091">
        <f t="shared" si="793"/>
        <v>0</v>
      </c>
      <c r="P88" s="1091">
        <f t="shared" si="927"/>
        <v>0</v>
      </c>
      <c r="Q88" s="1147">
        <f t="shared" si="518"/>
        <v>0</v>
      </c>
      <c r="R88" s="1091" t="str">
        <f t="shared" si="8"/>
        <v/>
      </c>
      <c r="S88" s="1147">
        <f t="shared" si="519"/>
        <v>0</v>
      </c>
      <c r="T88" s="1091" t="str">
        <f t="shared" si="10"/>
        <v/>
      </c>
      <c r="U88" s="1146">
        <f>SUMIFS(BP_SOTIEN,BP_THANG,U$2,BP_KM,$E88)/1000</f>
        <v>0</v>
      </c>
      <c r="V88" s="1091" t="str">
        <f t="shared" si="794"/>
        <v/>
      </c>
      <c r="W88" s="1091"/>
      <c r="X88" s="1147">
        <f>IF(NOW()&gt;=DATE(YEAR(U$2),MONTH(U$2)+1,DAY(U$2)),SUMIFS(TF_SOTIEN,TF_THANG,U$2,TF_KM,$E88)/1000, AA88)</f>
        <v>0</v>
      </c>
      <c r="Y88" s="1091" t="str">
        <f t="shared" si="795"/>
        <v/>
      </c>
      <c r="Z88" s="1091"/>
      <c r="AA88" s="1147">
        <f>IF(NOW()&gt;=DATE(YEAR(U$2),MONTH(U$2)+1,DAY(U$2)),SUMIFS(AC_SOTIEN,AC_THANG,U$2,AC_KM,$E88),SUMIFS(TF_SOTIEN,TF_THANG,U$2,TF_KM,$E88))/ 1000</f>
        <v>0</v>
      </c>
      <c r="AB88" s="1091">
        <f t="shared" si="796"/>
        <v>0</v>
      </c>
      <c r="AC88" s="1091">
        <f t="shared" si="928"/>
        <v>0</v>
      </c>
      <c r="AD88" s="1147">
        <f t="shared" si="526"/>
        <v>0</v>
      </c>
      <c r="AE88" s="1091" t="str">
        <f t="shared" si="15"/>
        <v/>
      </c>
      <c r="AF88" s="1147">
        <f t="shared" si="527"/>
        <v>0</v>
      </c>
      <c r="AG88" s="1091" t="str">
        <f t="shared" si="17"/>
        <v/>
      </c>
      <c r="AH88" s="1146">
        <f>SUMIFS(BP_SOTIEN,BP_THANG,AH$2,BP_KM,$E88)/1000</f>
        <v>0</v>
      </c>
      <c r="AI88" s="1091" t="str">
        <f t="shared" si="797"/>
        <v/>
      </c>
      <c r="AJ88" s="1091"/>
      <c r="AK88" s="1147">
        <f>IF(NOW()&gt;=DATE(YEAR(AH$2),MONTH(AH$2)+1,DAY(AH$2)),SUMIFS(TF_SOTIEN,TF_THANG,AH$2,TF_KM,$E88)/1000, AN88)</f>
        <v>0</v>
      </c>
      <c r="AL88" s="1091">
        <f t="shared" si="798"/>
        <v>0</v>
      </c>
      <c r="AM88" s="1091"/>
      <c r="AN88" s="1147">
        <f>IF(NOW()&gt;=DATE(YEAR(AH$2),MONTH(AH$2)+1,DAY(AH$2)),SUMIFS(AC_SOTIEN,AC_THANG,AH$2,AC_KM,$E88),SUMIFS(TF_SOTIEN,TF_THANG,AH$2,TF_KM,$E88))/ 1000</f>
        <v>0</v>
      </c>
      <c r="AO88" s="1091">
        <f t="shared" si="799"/>
        <v>0</v>
      </c>
      <c r="AP88" s="1091">
        <f t="shared" si="929"/>
        <v>0</v>
      </c>
      <c r="AQ88" s="1147">
        <f t="shared" si="534"/>
        <v>0</v>
      </c>
      <c r="AR88" s="1091" t="str">
        <f t="shared" si="22"/>
        <v/>
      </c>
      <c r="AS88" s="1147">
        <f t="shared" si="535"/>
        <v>0</v>
      </c>
      <c r="AT88" s="1091" t="str">
        <f t="shared" si="24"/>
        <v/>
      </c>
      <c r="AU88" s="1146">
        <f t="shared" si="916"/>
        <v>0</v>
      </c>
      <c r="AV88" s="1091" t="str">
        <f t="shared" si="800"/>
        <v/>
      </c>
      <c r="AW88" s="1091">
        <f t="shared" si="930"/>
        <v>0</v>
      </c>
      <c r="AX88" s="1147">
        <f t="shared" si="917"/>
        <v>0</v>
      </c>
      <c r="AY88" s="1091">
        <f t="shared" si="801"/>
        <v>0</v>
      </c>
      <c r="AZ88" s="1091">
        <f t="shared" si="931"/>
        <v>0</v>
      </c>
      <c r="BA88" s="1147">
        <f t="shared" si="918"/>
        <v>0</v>
      </c>
      <c r="BB88" s="1091">
        <f t="shared" si="802"/>
        <v>0</v>
      </c>
      <c r="BC88" s="1091">
        <f t="shared" si="932"/>
        <v>0</v>
      </c>
      <c r="BD88" s="1147">
        <f t="shared" si="545"/>
        <v>0</v>
      </c>
      <c r="BE88" s="1091" t="str">
        <f t="shared" si="32"/>
        <v/>
      </c>
      <c r="BF88" s="1147">
        <f t="shared" si="546"/>
        <v>0</v>
      </c>
      <c r="BG88" s="1091" t="str">
        <f t="shared" si="34"/>
        <v/>
      </c>
      <c r="BH88" s="1146">
        <f>SUMIFS(BP_SOTIEN,BP_THANG,BH$2,BP_KM,$E88)/1000</f>
        <v>0</v>
      </c>
      <c r="BI88" s="1091">
        <f t="shared" si="803"/>
        <v>0</v>
      </c>
      <c r="BJ88" s="1091"/>
      <c r="BK88" s="1147">
        <f>IF(NOW()&gt;=DATE(YEAR(BH$2),MONTH(BH$2)+1,DAY(BH$2)),SUMIFS(TF_SOTIEN,TF_THANG,BH$2,TF_KM,$E88)/1000, BN88)</f>
        <v>0</v>
      </c>
      <c r="BL88" s="1091" t="str">
        <f t="shared" si="804"/>
        <v/>
      </c>
      <c r="BM88" s="1091"/>
      <c r="BN88" s="1147">
        <f>IF(NOW()&gt;=DATE(YEAR(BH$2),MONTH(BH$2)+1,DAY(BH$2)),SUMIFS(AC_SOTIEN,AC_THANG,BH$2,AC_KM,$E88),SUMIFS(TF_SOTIEN,TF_THANG,BH$2,TF_KM,$E88))/ 1000</f>
        <v>0</v>
      </c>
      <c r="BO88" s="1091">
        <f t="shared" si="805"/>
        <v>0</v>
      </c>
      <c r="BP88" s="1091">
        <f t="shared" si="933"/>
        <v>0</v>
      </c>
      <c r="BQ88" s="1147">
        <f t="shared" si="553"/>
        <v>0</v>
      </c>
      <c r="BR88" s="1091" t="str">
        <f t="shared" si="39"/>
        <v/>
      </c>
      <c r="BS88" s="1147">
        <f t="shared" si="554"/>
        <v>0</v>
      </c>
      <c r="BT88" s="1091" t="str">
        <f t="shared" si="41"/>
        <v/>
      </c>
      <c r="BU88" s="1146">
        <f>SUMIFS(BP_SOTIEN,BP_THANG,BU$2,BP_KM,$E88)/1000</f>
        <v>0</v>
      </c>
      <c r="BV88" s="1091">
        <f t="shared" si="806"/>
        <v>0</v>
      </c>
      <c r="BW88" s="1091"/>
      <c r="BX88" s="1147">
        <f>IF(NOW()&gt;=DATE(YEAR(BU$2),MONTH(BU$2)+1,DAY(BU$2)),SUMIFS(TF_SOTIEN,TF_THANG,BU$2,TF_KM,$E88)/1000, CA88)</f>
        <v>0</v>
      </c>
      <c r="BY88" s="1091">
        <f t="shared" si="807"/>
        <v>0</v>
      </c>
      <c r="BZ88" s="1091"/>
      <c r="CA88" s="1147">
        <f>IF(NOW()&gt;=DATE(YEAR(BU$2),MONTH(BU$2)+1,DAY(BU$2)),SUMIFS(AC_SOTIEN,AC_THANG,BU$2,AC_KM,$E88),SUMIFS(TF_SOTIEN,TF_THANG,BU$2,TF_KM,$E88))/ 1000</f>
        <v>18000</v>
      </c>
      <c r="CB88" s="1091">
        <f t="shared" si="808"/>
        <v>0.03239904099</v>
      </c>
      <c r="CC88" s="1091">
        <f t="shared" si="934"/>
        <v>0.07180343293</v>
      </c>
      <c r="CD88" s="1147">
        <f t="shared" si="561"/>
        <v>18000</v>
      </c>
      <c r="CE88" s="1091" t="str">
        <f t="shared" si="46"/>
        <v/>
      </c>
      <c r="CF88" s="1147">
        <f t="shared" si="562"/>
        <v>18000</v>
      </c>
      <c r="CG88" s="1091" t="str">
        <f t="shared" si="48"/>
        <v/>
      </c>
      <c r="CH88" s="1146">
        <f>SUMIFS(BP_SOTIEN,BP_THANG,CH$2,BP_KM,$E88)/1000</f>
        <v>0</v>
      </c>
      <c r="CI88" s="1091">
        <f t="shared" si="809"/>
        <v>0</v>
      </c>
      <c r="CJ88" s="1091"/>
      <c r="CK88" s="1147">
        <f>IF(NOW()&gt;=DATE(YEAR(CH$2),MONTH(CH$2)+1,DAY(CH$2)),SUMIFS(TF_SOTIEN,TF_THANG,CH$2,TF_KM,$E88)/1000, CN88)</f>
        <v>0</v>
      </c>
      <c r="CL88" s="1091" t="str">
        <f t="shared" si="810"/>
        <v/>
      </c>
      <c r="CM88" s="1091"/>
      <c r="CN88" s="1147">
        <f>IF(NOW()&gt;=DATE(YEAR(CH$2),MONTH(CH$2)+1,DAY(CH$2)),SUMIFS(AC_SOTIEN,AC_THANG,CH$2,AC_KM,$E88),SUMIFS(TF_SOTIEN,TF_THANG,CH$2,TF_KM,$E88))/ 1000</f>
        <v>0</v>
      </c>
      <c r="CO88" s="1091" t="str">
        <f t="shared" si="811"/>
        <v/>
      </c>
      <c r="CP88" s="1091" t="str">
        <f t="shared" si="935"/>
        <v/>
      </c>
      <c r="CQ88" s="1147">
        <f t="shared" si="569"/>
        <v>0</v>
      </c>
      <c r="CR88" s="1091" t="str">
        <f t="shared" si="53"/>
        <v/>
      </c>
      <c r="CS88" s="1147">
        <f t="shared" si="570"/>
        <v>0</v>
      </c>
      <c r="CT88" s="1091" t="str">
        <f t="shared" si="55"/>
        <v/>
      </c>
      <c r="CU88" s="1146">
        <f t="shared" si="919"/>
        <v>0</v>
      </c>
      <c r="CV88" s="1091">
        <f t="shared" si="812"/>
        <v>0</v>
      </c>
      <c r="CW88" s="1091">
        <f t="shared" si="936"/>
        <v>0</v>
      </c>
      <c r="CX88" s="1147">
        <f t="shared" si="920"/>
        <v>0</v>
      </c>
      <c r="CY88" s="1091">
        <f t="shared" si="814"/>
        <v>0</v>
      </c>
      <c r="CZ88" s="1091">
        <f t="shared" si="937"/>
        <v>0</v>
      </c>
      <c r="DA88" s="1147">
        <f t="shared" si="921"/>
        <v>18000</v>
      </c>
      <c r="DB88" s="1091">
        <f t="shared" si="816"/>
        <v>0.005702316281</v>
      </c>
      <c r="DC88" s="1091">
        <f t="shared" si="938"/>
        <v>0.03890441695</v>
      </c>
      <c r="DD88" s="1147">
        <f t="shared" si="580"/>
        <v>18000</v>
      </c>
      <c r="DE88" s="1091" t="str">
        <f t="shared" si="63"/>
        <v/>
      </c>
      <c r="DF88" s="1147">
        <f t="shared" si="581"/>
        <v>18000</v>
      </c>
      <c r="DG88" s="1091" t="str">
        <f t="shared" si="65"/>
        <v/>
      </c>
      <c r="DH88" s="1146">
        <f t="shared" si="922"/>
        <v>0</v>
      </c>
      <c r="DI88" s="1091">
        <f t="shared" si="817"/>
        <v>0</v>
      </c>
      <c r="DJ88" s="1091">
        <f t="shared" si="939"/>
        <v>0</v>
      </c>
      <c r="DK88" s="1147">
        <f t="shared" si="585"/>
        <v>0</v>
      </c>
      <c r="DL88" s="1091">
        <f t="shared" si="818"/>
        <v>0</v>
      </c>
      <c r="DM88" s="1091">
        <f t="shared" si="940"/>
        <v>0</v>
      </c>
      <c r="DN88" s="1147">
        <f t="shared" si="588"/>
        <v>18000</v>
      </c>
      <c r="DO88" s="1091">
        <f t="shared" si="819"/>
        <v>0.004143062718</v>
      </c>
      <c r="DP88" s="1091">
        <f t="shared" si="941"/>
        <v>0.01944402156</v>
      </c>
      <c r="DQ88" s="1147">
        <f t="shared" si="591"/>
        <v>18000</v>
      </c>
      <c r="DR88" s="1091" t="str">
        <f t="shared" si="73"/>
        <v/>
      </c>
      <c r="DS88" s="1147">
        <f t="shared" si="592"/>
        <v>18000</v>
      </c>
      <c r="DT88" s="1091" t="str">
        <f t="shared" si="75"/>
        <v/>
      </c>
      <c r="DU88" s="1146">
        <f>SUMIFS(BP_SOTIEN,BP_THANG,DU$2,BP_KM,$E88)/1000</f>
        <v>0</v>
      </c>
      <c r="DV88" s="1091">
        <f t="shared" si="820"/>
        <v>0</v>
      </c>
      <c r="DW88" s="1091"/>
      <c r="DX88" s="1147">
        <f>IF(NOW()&gt;=DATE(YEAR(DU$2),MONTH(DU$2)+1,DAY(DU$2)),SUMIFS(TF_SOTIEN,TF_THANG,DU$2,TF_KM,$E88)/1000, EA88)</f>
        <v>0</v>
      </c>
      <c r="DY88" s="1091">
        <f t="shared" si="821"/>
        <v>0</v>
      </c>
      <c r="DZ88" s="1091"/>
      <c r="EA88" s="1147">
        <f>IF(NOW()&gt;=DATE(YEAR(DU$2),MONTH(DU$2)+1,DAY(DU$2)),SUMIFS(AC_SOTIEN,AC_THANG,DU$2,AC_KM,$E88),SUMIFS(TF_SOTIEN,TF_THANG,DU$2,TF_KM,$E88))/ 1000</f>
        <v>0</v>
      </c>
      <c r="EB88" s="1091" t="str">
        <f t="shared" si="822"/>
        <v/>
      </c>
      <c r="EC88" s="1091" t="str">
        <f t="shared" si="942"/>
        <v/>
      </c>
      <c r="ED88" s="1147">
        <f t="shared" si="599"/>
        <v>0</v>
      </c>
      <c r="EE88" s="1091" t="str">
        <f t="shared" si="80"/>
        <v/>
      </c>
      <c r="EF88" s="1147">
        <f t="shared" si="600"/>
        <v>0</v>
      </c>
      <c r="EG88" s="1091" t="str">
        <f t="shared" si="82"/>
        <v/>
      </c>
      <c r="EH88" s="1146">
        <f>SUMIFS(BP_SOTIEN,BP_THANG,EH$2,BP_KM,$E88)/1000</f>
        <v>0</v>
      </c>
      <c r="EI88" s="1091">
        <f t="shared" si="823"/>
        <v>0</v>
      </c>
      <c r="EJ88" s="1091"/>
      <c r="EK88" s="1147">
        <f>IF(NOW()&gt;=DATE(YEAR(EH$2),MONTH(EH$2)+1,DAY(EH$2)),SUMIFS(TF_SOTIEN,TF_THANG,EH$2,TF_KM,$E88)/1000, EN88)</f>
        <v>0</v>
      </c>
      <c r="EL88" s="1091">
        <f t="shared" si="824"/>
        <v>0</v>
      </c>
      <c r="EM88" s="1091"/>
      <c r="EN88" s="1147">
        <f>IF(NOW()&gt;=DATE(YEAR(EH$2),MONTH(EH$2)+1,DAY(EH$2)),SUMIFS(AC_SOTIEN,AC_THANG,EH$2,AC_KM,$E88),SUMIFS(TF_SOTIEN,TF_THANG,EH$2,TF_KM,$E88))/ 1000</f>
        <v>0</v>
      </c>
      <c r="EO88" s="1091" t="str">
        <f t="shared" si="825"/>
        <v/>
      </c>
      <c r="EP88" s="1091" t="str">
        <f t="shared" si="943"/>
        <v/>
      </c>
      <c r="EQ88" s="1147">
        <f t="shared" si="607"/>
        <v>0</v>
      </c>
      <c r="ER88" s="1091" t="str">
        <f t="shared" si="87"/>
        <v/>
      </c>
      <c r="ES88" s="1147">
        <f t="shared" si="608"/>
        <v>0</v>
      </c>
      <c r="ET88" s="1091" t="str">
        <f t="shared" si="89"/>
        <v/>
      </c>
      <c r="EU88" s="1146">
        <f>SUMIFS(BP_SOTIEN,BP_THANG,EU$2,BP_KM,$E88)/1000</f>
        <v>0</v>
      </c>
      <c r="EV88" s="1091">
        <f t="shared" si="826"/>
        <v>0</v>
      </c>
      <c r="EW88" s="1091"/>
      <c r="EX88" s="1147">
        <f>IF(NOW()&gt;=DATE(YEAR(EU$2),MONTH(EU$2)+1,DAY(EU$2)),SUMIFS(TF_SOTIEN,TF_THANG,EU$2,TF_KM,$E88)/1000, FA88)</f>
        <v>0</v>
      </c>
      <c r="EY88" s="1091">
        <f t="shared" si="827"/>
        <v>0</v>
      </c>
      <c r="EZ88" s="1091"/>
      <c r="FA88" s="1147">
        <f>IF(NOW()&gt;=DATE(YEAR(EU$2),MONTH(EU$2)+1,DAY(EU$2)),SUMIFS(AC_SOTIEN,AC_THANG,EU$2,AC_KM,$E88),SUMIFS(TF_SOTIEN,TF_THANG,EU$2,TF_KM,$E88))/ 1000</f>
        <v>0</v>
      </c>
      <c r="FB88" s="1091" t="str">
        <f t="shared" si="828"/>
        <v/>
      </c>
      <c r="FC88" s="1091" t="str">
        <f t="shared" si="944"/>
        <v/>
      </c>
      <c r="FD88" s="1147">
        <f t="shared" si="616"/>
        <v>0</v>
      </c>
      <c r="FE88" s="1091" t="str">
        <f t="shared" si="94"/>
        <v/>
      </c>
      <c r="FF88" s="1147">
        <f t="shared" si="617"/>
        <v>0</v>
      </c>
      <c r="FG88" s="1091" t="str">
        <f t="shared" si="96"/>
        <v/>
      </c>
      <c r="FH88" s="1146">
        <f t="shared" si="923"/>
        <v>0</v>
      </c>
      <c r="FI88" s="1091">
        <f t="shared" si="829"/>
        <v>0</v>
      </c>
      <c r="FJ88" s="1091">
        <f t="shared" si="945"/>
        <v>0</v>
      </c>
      <c r="FK88" s="1147">
        <f t="shared" si="621"/>
        <v>0</v>
      </c>
      <c r="FL88" s="1091">
        <f t="shared" si="830"/>
        <v>0</v>
      </c>
      <c r="FM88" s="1091">
        <f t="shared" si="946"/>
        <v>0</v>
      </c>
      <c r="FN88" s="1147">
        <f t="shared" si="624"/>
        <v>0</v>
      </c>
      <c r="FO88" s="1091" t="str">
        <f t="shared" si="831"/>
        <v/>
      </c>
      <c r="FP88" s="1091" t="str">
        <f t="shared" si="947"/>
        <v/>
      </c>
      <c r="FQ88" s="1147">
        <f t="shared" si="627"/>
        <v>0</v>
      </c>
      <c r="FR88" s="1091" t="str">
        <f t="shared" si="104"/>
        <v/>
      </c>
      <c r="FS88" s="1147">
        <f t="shared" si="628"/>
        <v>0</v>
      </c>
      <c r="FT88" s="1091" t="str">
        <f t="shared" si="106"/>
        <v/>
      </c>
      <c r="FU88" s="1146">
        <f>SUMIFS(BP_SOTIEN,BP_THANG,FU$2,BP_KM,$E88)/1000</f>
        <v>0</v>
      </c>
      <c r="FV88" s="1091">
        <f t="shared" si="832"/>
        <v>0</v>
      </c>
      <c r="FW88" s="1091"/>
      <c r="FX88" s="1147">
        <f>IF(NOW()&gt;=DATE(YEAR(FU$2),MONTH(FU$2)+1,DAY(FU$2)),SUMIFS(TF_SOTIEN,TF_THANG,FU$2,TF_KM,$E88)/1000, GA88)</f>
        <v>0</v>
      </c>
      <c r="FY88" s="1091">
        <f t="shared" si="833"/>
        <v>0</v>
      </c>
      <c r="FZ88" s="1091"/>
      <c r="GA88" s="1147">
        <f>IF(NOW()&gt;=DATE(YEAR(FU$2),MONTH(FU$2)+1,DAY(FU$2)),SUMIFS(AC_SOTIEN,AC_THANG,FU$2,AC_KM,$E88),SUMIFS(TF_SOTIEN,TF_THANG,FU$2,TF_KM,$E88))/ 1000</f>
        <v>0</v>
      </c>
      <c r="GB88" s="1091" t="str">
        <f t="shared" si="834"/>
        <v/>
      </c>
      <c r="GC88" s="1091" t="str">
        <f t="shared" si="948"/>
        <v/>
      </c>
      <c r="GD88" s="1147">
        <f t="shared" si="635"/>
        <v>0</v>
      </c>
      <c r="GE88" s="1091" t="str">
        <f t="shared" si="111"/>
        <v/>
      </c>
      <c r="GF88" s="1147">
        <f t="shared" si="636"/>
        <v>0</v>
      </c>
      <c r="GG88" s="1091" t="str">
        <f t="shared" si="113"/>
        <v/>
      </c>
      <c r="GH88" s="1146">
        <f>SUMIFS(BP_SOTIEN,BP_THANG,GH$2,BP_KM,$E88)/1000</f>
        <v>0</v>
      </c>
      <c r="GI88" s="1091">
        <f t="shared" si="835"/>
        <v>0</v>
      </c>
      <c r="GJ88" s="1091"/>
      <c r="GK88" s="1147">
        <f>IF(NOW()&gt;=DATE(YEAR(GH$2),MONTH(GH$2)+1,DAY(GH$2)),SUMIFS(TF_SOTIEN,TF_THANG,GH$2,TF_KM,$E88)/1000, GN88)</f>
        <v>0</v>
      </c>
      <c r="GL88" s="1091">
        <f t="shared" si="836"/>
        <v>0</v>
      </c>
      <c r="GM88" s="1091"/>
      <c r="GN88" s="1147">
        <f>IF(NOW()&gt;=DATE(YEAR(GH$2),MONTH(GH$2)+1,DAY(GH$2)),SUMIFS(AC_SOTIEN,AC_THANG,GH$2,AC_KM,$E88),SUMIFS(TF_SOTIEN,TF_THANG,GH$2,TF_KM,$E88))/ 1000</f>
        <v>0</v>
      </c>
      <c r="GO88" s="1091" t="str">
        <f t="shared" si="837"/>
        <v/>
      </c>
      <c r="GP88" s="1091" t="str">
        <f t="shared" si="949"/>
        <v/>
      </c>
      <c r="GQ88" s="1147">
        <f t="shared" si="643"/>
        <v>0</v>
      </c>
      <c r="GR88" s="1091" t="str">
        <f t="shared" si="118"/>
        <v/>
      </c>
      <c r="GS88" s="1147">
        <f t="shared" si="644"/>
        <v>0</v>
      </c>
      <c r="GT88" s="1091" t="str">
        <f t="shared" si="120"/>
        <v/>
      </c>
      <c r="GU88" s="1146">
        <f>SUMIFS(BP_SOTIEN,BP_THANG,GU$2,BP_KM,$E88)/1000</f>
        <v>0</v>
      </c>
      <c r="GV88" s="1091">
        <f t="shared" si="838"/>
        <v>0</v>
      </c>
      <c r="GW88" s="1091"/>
      <c r="GX88" s="1147">
        <f>IF(NOW()&gt;=DATE(YEAR(GU$2),MONTH(GU$2)+1,DAY(GU$2)),SUMIFS(TF_SOTIEN,TF_THANG,GU$2,TF_KM,$E88)/1000, HA88)</f>
        <v>0</v>
      </c>
      <c r="GY88" s="1091">
        <f t="shared" si="839"/>
        <v>0</v>
      </c>
      <c r="GZ88" s="1091"/>
      <c r="HA88" s="1147">
        <f>IF(NOW()&gt;=DATE(YEAR(GU$2),MONTH(GU$2)+1,DAY(GU$2)),SUMIFS(AC_SOTIEN,AC_THANG,GU$2,AC_KM,$E88),SUMIFS(TF_SOTIEN,TF_THANG,GU$2,TF_KM,$E88))/ 1000</f>
        <v>0</v>
      </c>
      <c r="HB88" s="1091" t="str">
        <f t="shared" si="840"/>
        <v/>
      </c>
      <c r="HC88" s="1091" t="str">
        <f t="shared" si="950"/>
        <v/>
      </c>
      <c r="HD88" s="1147">
        <f t="shared" si="651"/>
        <v>0</v>
      </c>
      <c r="HE88" s="1091" t="str">
        <f t="shared" si="125"/>
        <v/>
      </c>
      <c r="HF88" s="1147">
        <f t="shared" si="652"/>
        <v>0</v>
      </c>
      <c r="HG88" s="1091" t="str">
        <f t="shared" si="127"/>
        <v/>
      </c>
      <c r="HH88" s="1146">
        <f t="shared" si="924"/>
        <v>0</v>
      </c>
      <c r="HI88" s="1091">
        <f t="shared" si="841"/>
        <v>0</v>
      </c>
      <c r="HJ88" s="1091">
        <f t="shared" si="951"/>
        <v>0</v>
      </c>
      <c r="HK88" s="1147">
        <f t="shared" si="656"/>
        <v>0</v>
      </c>
      <c r="HL88" s="1091">
        <f t="shared" si="842"/>
        <v>0</v>
      </c>
      <c r="HM88" s="1091">
        <f t="shared" si="952"/>
        <v>0</v>
      </c>
      <c r="HN88" s="1147">
        <f t="shared" si="659"/>
        <v>0</v>
      </c>
      <c r="HO88" s="1091" t="str">
        <f t="shared" si="843"/>
        <v/>
      </c>
      <c r="HP88" s="1091" t="str">
        <f t="shared" si="953"/>
        <v/>
      </c>
      <c r="HQ88" s="1147">
        <f t="shared" si="662"/>
        <v>0</v>
      </c>
      <c r="HR88" s="1091" t="str">
        <f t="shared" si="135"/>
        <v/>
      </c>
      <c r="HS88" s="1147">
        <f t="shared" si="663"/>
        <v>0</v>
      </c>
      <c r="HT88" s="1091" t="str">
        <f t="shared" si="137"/>
        <v/>
      </c>
      <c r="HU88" s="1146">
        <f t="shared" si="925"/>
        <v>0</v>
      </c>
      <c r="HV88" s="1091">
        <f t="shared" si="844"/>
        <v>0</v>
      </c>
      <c r="HW88" s="1091">
        <f t="shared" si="954"/>
        <v>0</v>
      </c>
      <c r="HX88" s="1147">
        <f t="shared" si="667"/>
        <v>0</v>
      </c>
      <c r="HY88" s="1091">
        <f t="shared" si="845"/>
        <v>0</v>
      </c>
      <c r="HZ88" s="1091">
        <f t="shared" si="955"/>
        <v>0</v>
      </c>
      <c r="IA88" s="1147">
        <f t="shared" si="670"/>
        <v>0</v>
      </c>
      <c r="IB88" s="1091" t="str">
        <f t="shared" si="846"/>
        <v/>
      </c>
      <c r="IC88" s="1091" t="str">
        <f t="shared" si="956"/>
        <v/>
      </c>
      <c r="ID88" s="1147">
        <f t="shared" si="673"/>
        <v>0</v>
      </c>
      <c r="IE88" s="1091" t="str">
        <f t="shared" si="145"/>
        <v/>
      </c>
      <c r="IF88" s="1147">
        <f t="shared" si="674"/>
        <v>0</v>
      </c>
      <c r="IG88" s="1091" t="str">
        <f t="shared" si="147"/>
        <v/>
      </c>
      <c r="IH88" s="1146">
        <f t="shared" si="926"/>
        <v>0</v>
      </c>
      <c r="II88" s="1091">
        <f t="shared" si="847"/>
        <v>0</v>
      </c>
      <c r="IJ88" s="1091">
        <f t="shared" si="957"/>
        <v>0</v>
      </c>
      <c r="IK88" s="1147">
        <f t="shared" si="678"/>
        <v>0</v>
      </c>
      <c r="IL88" s="1091">
        <f t="shared" si="848"/>
        <v>0</v>
      </c>
      <c r="IM88" s="1091">
        <f t="shared" si="958"/>
        <v>0</v>
      </c>
      <c r="IN88" s="1147">
        <f t="shared" si="681"/>
        <v>18000</v>
      </c>
      <c r="IO88" s="1091">
        <f t="shared" si="849"/>
        <v>0.004143062718</v>
      </c>
      <c r="IP88" s="1091">
        <f t="shared" si="959"/>
        <v>0.01944402156</v>
      </c>
      <c r="IQ88" s="1147">
        <f t="shared" si="684"/>
        <v>18000</v>
      </c>
      <c r="IR88" s="1091" t="str">
        <f t="shared" si="1"/>
        <v/>
      </c>
      <c r="IS88" s="1147">
        <f t="shared" si="685"/>
        <v>18000</v>
      </c>
      <c r="IT88" s="1091" t="str">
        <f t="shared" si="2"/>
        <v/>
      </c>
    </row>
    <row r="89" outlineLevel="1">
      <c r="A89" s="737"/>
      <c r="B89" s="737"/>
      <c r="C89" s="737"/>
      <c r="D89" s="737" t="s">
        <v>2849</v>
      </c>
      <c r="E89" s="737" t="s">
        <v>2850</v>
      </c>
      <c r="F89" s="737"/>
      <c r="G89" s="748">
        <v>3.0</v>
      </c>
      <c r="H89" s="1146">
        <f>SUMIFS(BP_SOTIEN,BP_THANG,H$2,BP_KM,$E89)/1000</f>
        <v>0</v>
      </c>
      <c r="I89" s="1091" t="str">
        <f t="shared" si="791"/>
        <v/>
      </c>
      <c r="J89" s="1091"/>
      <c r="K89" s="1147">
        <f>IF(NOW()&gt;=DATE(YEAR(H$2),MONTH(H$2)+1,DAY(H$2)),SUMIFS(TF_SOTIEN,TF_THANG,H$2,TF_KM,$E89)/1000, N89)</f>
        <v>0</v>
      </c>
      <c r="L89" s="1091">
        <f t="shared" si="792"/>
        <v>0</v>
      </c>
      <c r="M89" s="1091"/>
      <c r="N89" s="1147">
        <f>IF(NOW()&gt;=DATE(YEAR(H$2),MONTH(H$2)+1,DAY(H$2)),SUMIFS(AC_SOTIEN,AC_THANG,H$2,AC_KM,$E89),SUMIFS(TF_SOTIEN,TF_THANG,H$2,TF_KM,$E89))/ 1000</f>
        <v>0</v>
      </c>
      <c r="O89" s="1091">
        <f t="shared" si="793"/>
        <v>0</v>
      </c>
      <c r="P89" s="1091">
        <f t="shared" si="927"/>
        <v>0</v>
      </c>
      <c r="Q89" s="1147">
        <f t="shared" si="518"/>
        <v>0</v>
      </c>
      <c r="R89" s="1091" t="str">
        <f t="shared" si="8"/>
        <v/>
      </c>
      <c r="S89" s="1147">
        <f t="shared" si="519"/>
        <v>0</v>
      </c>
      <c r="T89" s="1091" t="str">
        <f t="shared" si="10"/>
        <v/>
      </c>
      <c r="U89" s="1146">
        <f>SUMIFS(BP_SOTIEN,BP_THANG,U$2,BP_KM,$E89)/1000</f>
        <v>0</v>
      </c>
      <c r="V89" s="1091" t="str">
        <f t="shared" si="794"/>
        <v/>
      </c>
      <c r="W89" s="1091"/>
      <c r="X89" s="1147">
        <f>IF(NOW()&gt;=DATE(YEAR(U$2),MONTH(U$2)+1,DAY(U$2)),SUMIFS(TF_SOTIEN,TF_THANG,U$2,TF_KM,$E89)/1000, AA89)</f>
        <v>0</v>
      </c>
      <c r="Y89" s="1091" t="str">
        <f t="shared" si="795"/>
        <v/>
      </c>
      <c r="Z89" s="1091"/>
      <c r="AA89" s="1147">
        <f>IF(NOW()&gt;=DATE(YEAR(U$2),MONTH(U$2)+1,DAY(U$2)),SUMIFS(AC_SOTIEN,AC_THANG,U$2,AC_KM,$E89),SUMIFS(TF_SOTIEN,TF_THANG,U$2,TF_KM,$E89))/ 1000</f>
        <v>0</v>
      </c>
      <c r="AB89" s="1091">
        <f t="shared" si="796"/>
        <v>0</v>
      </c>
      <c r="AC89" s="1091">
        <f t="shared" si="928"/>
        <v>0</v>
      </c>
      <c r="AD89" s="1147">
        <f t="shared" si="526"/>
        <v>0</v>
      </c>
      <c r="AE89" s="1091" t="str">
        <f t="shared" si="15"/>
        <v/>
      </c>
      <c r="AF89" s="1147">
        <f t="shared" si="527"/>
        <v>0</v>
      </c>
      <c r="AG89" s="1091" t="str">
        <f t="shared" si="17"/>
        <v/>
      </c>
      <c r="AH89" s="1146">
        <f>SUMIFS(BP_SOTIEN,BP_THANG,AH$2,BP_KM,$E89)/1000</f>
        <v>0</v>
      </c>
      <c r="AI89" s="1091" t="str">
        <f t="shared" si="797"/>
        <v/>
      </c>
      <c r="AJ89" s="1091"/>
      <c r="AK89" s="1147">
        <f>IF(NOW()&gt;=DATE(YEAR(AH$2),MONTH(AH$2)+1,DAY(AH$2)),SUMIFS(TF_SOTIEN,TF_THANG,AH$2,TF_KM,$E89)/1000, AN89)</f>
        <v>0</v>
      </c>
      <c r="AL89" s="1091">
        <f t="shared" si="798"/>
        <v>0</v>
      </c>
      <c r="AM89" s="1091"/>
      <c r="AN89" s="1147">
        <f>IF(NOW()&gt;=DATE(YEAR(AH$2),MONTH(AH$2)+1,DAY(AH$2)),SUMIFS(AC_SOTIEN,AC_THANG,AH$2,AC_KM,$E89),SUMIFS(TF_SOTIEN,TF_THANG,AH$2,TF_KM,$E89))/ 1000</f>
        <v>0</v>
      </c>
      <c r="AO89" s="1091">
        <f t="shared" si="799"/>
        <v>0</v>
      </c>
      <c r="AP89" s="1091">
        <f t="shared" si="929"/>
        <v>0</v>
      </c>
      <c r="AQ89" s="1147">
        <f t="shared" si="534"/>
        <v>0</v>
      </c>
      <c r="AR89" s="1091" t="str">
        <f t="shared" si="22"/>
        <v/>
      </c>
      <c r="AS89" s="1147">
        <f t="shared" si="535"/>
        <v>0</v>
      </c>
      <c r="AT89" s="1091" t="str">
        <f t="shared" si="24"/>
        <v/>
      </c>
      <c r="AU89" s="1146">
        <f t="shared" si="916"/>
        <v>0</v>
      </c>
      <c r="AV89" s="1091" t="str">
        <f t="shared" si="800"/>
        <v/>
      </c>
      <c r="AW89" s="1091">
        <f t="shared" si="930"/>
        <v>0</v>
      </c>
      <c r="AX89" s="1147">
        <f t="shared" si="917"/>
        <v>0</v>
      </c>
      <c r="AY89" s="1091">
        <f t="shared" si="801"/>
        <v>0</v>
      </c>
      <c r="AZ89" s="1091">
        <f t="shared" si="931"/>
        <v>0</v>
      </c>
      <c r="BA89" s="1147">
        <f t="shared" si="918"/>
        <v>0</v>
      </c>
      <c r="BB89" s="1091">
        <f t="shared" si="802"/>
        <v>0</v>
      </c>
      <c r="BC89" s="1091">
        <f t="shared" si="932"/>
        <v>0</v>
      </c>
      <c r="BD89" s="1147">
        <f t="shared" si="545"/>
        <v>0</v>
      </c>
      <c r="BE89" s="1091" t="str">
        <f t="shared" si="32"/>
        <v/>
      </c>
      <c r="BF89" s="1147">
        <f t="shared" si="546"/>
        <v>0</v>
      </c>
      <c r="BG89" s="1091" t="str">
        <f t="shared" si="34"/>
        <v/>
      </c>
      <c r="BH89" s="1146">
        <f>SUMIFS(BP_SOTIEN,BP_THANG,BH$2,BP_KM,$E89)/1000</f>
        <v>0</v>
      </c>
      <c r="BI89" s="1091">
        <f t="shared" si="803"/>
        <v>0</v>
      </c>
      <c r="BJ89" s="1091"/>
      <c r="BK89" s="1147">
        <f>IF(NOW()&gt;=DATE(YEAR(BH$2),MONTH(BH$2)+1,DAY(BH$2)),SUMIFS(TF_SOTIEN,TF_THANG,BH$2,TF_KM,$E89)/1000, BN89)</f>
        <v>0</v>
      </c>
      <c r="BL89" s="1091" t="str">
        <f t="shared" si="804"/>
        <v/>
      </c>
      <c r="BM89" s="1091"/>
      <c r="BN89" s="1147">
        <f>IF(NOW()&gt;=DATE(YEAR(BH$2),MONTH(BH$2)+1,DAY(BH$2)),SUMIFS(AC_SOTIEN,AC_THANG,BH$2,AC_KM,$E89),SUMIFS(TF_SOTIEN,TF_THANG,BH$2,TF_KM,$E89))/ 1000</f>
        <v>0</v>
      </c>
      <c r="BO89" s="1091">
        <f t="shared" si="805"/>
        <v>0</v>
      </c>
      <c r="BP89" s="1091">
        <f t="shared" si="933"/>
        <v>0</v>
      </c>
      <c r="BQ89" s="1147">
        <f t="shared" si="553"/>
        <v>0</v>
      </c>
      <c r="BR89" s="1091" t="str">
        <f t="shared" si="39"/>
        <v/>
      </c>
      <c r="BS89" s="1147">
        <f t="shared" si="554"/>
        <v>0</v>
      </c>
      <c r="BT89" s="1091" t="str">
        <f t="shared" si="41"/>
        <v/>
      </c>
      <c r="BU89" s="1146">
        <f>SUMIFS(BP_SOTIEN,BP_THANG,BU$2,BP_KM,$E89)/1000</f>
        <v>0</v>
      </c>
      <c r="BV89" s="1091">
        <f t="shared" si="806"/>
        <v>0</v>
      </c>
      <c r="BW89" s="1091"/>
      <c r="BX89" s="1147">
        <f>IF(NOW()&gt;=DATE(YEAR(BU$2),MONTH(BU$2)+1,DAY(BU$2)),SUMIFS(TF_SOTIEN,TF_THANG,BU$2,TF_KM,$E89)/1000, CA89)</f>
        <v>0</v>
      </c>
      <c r="BY89" s="1091">
        <f t="shared" si="807"/>
        <v>0</v>
      </c>
      <c r="BZ89" s="1091"/>
      <c r="CA89" s="1147">
        <f>IF(NOW()&gt;=DATE(YEAR(BU$2),MONTH(BU$2)+1,DAY(BU$2)),SUMIFS(AC_SOTIEN,AC_THANG,BU$2,AC_KM,$E89),SUMIFS(TF_SOTIEN,TF_THANG,BU$2,TF_KM,$E89))/ 1000</f>
        <v>0</v>
      </c>
      <c r="CB89" s="1091">
        <f t="shared" si="808"/>
        <v>0</v>
      </c>
      <c r="CC89" s="1091">
        <f t="shared" si="934"/>
        <v>0</v>
      </c>
      <c r="CD89" s="1147">
        <f t="shared" si="561"/>
        <v>0</v>
      </c>
      <c r="CE89" s="1091" t="str">
        <f t="shared" si="46"/>
        <v/>
      </c>
      <c r="CF89" s="1147">
        <f t="shared" si="562"/>
        <v>0</v>
      </c>
      <c r="CG89" s="1091" t="str">
        <f t="shared" si="48"/>
        <v/>
      </c>
      <c r="CH89" s="1146">
        <f>SUMIFS(BP_SOTIEN,BP_THANG,CH$2,BP_KM,$E89)/1000</f>
        <v>0</v>
      </c>
      <c r="CI89" s="1091">
        <f t="shared" si="809"/>
        <v>0</v>
      </c>
      <c r="CJ89" s="1091"/>
      <c r="CK89" s="1147">
        <f>IF(NOW()&gt;=DATE(YEAR(CH$2),MONTH(CH$2)+1,DAY(CH$2)),SUMIFS(TF_SOTIEN,TF_THANG,CH$2,TF_KM,$E89)/1000, CN89)</f>
        <v>0</v>
      </c>
      <c r="CL89" s="1091" t="str">
        <f t="shared" si="810"/>
        <v/>
      </c>
      <c r="CM89" s="1091"/>
      <c r="CN89" s="1147">
        <f>IF(NOW()&gt;=DATE(YEAR(CH$2),MONTH(CH$2)+1,DAY(CH$2)),SUMIFS(AC_SOTIEN,AC_THANG,CH$2,AC_KM,$E89),SUMIFS(TF_SOTIEN,TF_THANG,CH$2,TF_KM,$E89))/ 1000</f>
        <v>0</v>
      </c>
      <c r="CO89" s="1091" t="str">
        <f t="shared" si="811"/>
        <v/>
      </c>
      <c r="CP89" s="1091" t="str">
        <f t="shared" si="935"/>
        <v/>
      </c>
      <c r="CQ89" s="1147">
        <f t="shared" si="569"/>
        <v>0</v>
      </c>
      <c r="CR89" s="1091" t="str">
        <f t="shared" si="53"/>
        <v/>
      </c>
      <c r="CS89" s="1147">
        <f t="shared" si="570"/>
        <v>0</v>
      </c>
      <c r="CT89" s="1091" t="str">
        <f t="shared" si="55"/>
        <v/>
      </c>
      <c r="CU89" s="1146">
        <f t="shared" si="919"/>
        <v>0</v>
      </c>
      <c r="CV89" s="1091">
        <f t="shared" si="812"/>
        <v>0</v>
      </c>
      <c r="CW89" s="1091">
        <f t="shared" si="936"/>
        <v>0</v>
      </c>
      <c r="CX89" s="1147">
        <f t="shared" si="920"/>
        <v>0</v>
      </c>
      <c r="CY89" s="1091">
        <f t="shared" si="814"/>
        <v>0</v>
      </c>
      <c r="CZ89" s="1091">
        <f t="shared" si="937"/>
        <v>0</v>
      </c>
      <c r="DA89" s="1147">
        <f t="shared" si="921"/>
        <v>0</v>
      </c>
      <c r="DB89" s="1091">
        <f t="shared" si="816"/>
        <v>0</v>
      </c>
      <c r="DC89" s="1091">
        <f t="shared" si="938"/>
        <v>0</v>
      </c>
      <c r="DD89" s="1147">
        <f t="shared" si="580"/>
        <v>0</v>
      </c>
      <c r="DE89" s="1091" t="str">
        <f t="shared" si="63"/>
        <v/>
      </c>
      <c r="DF89" s="1147">
        <f t="shared" si="581"/>
        <v>0</v>
      </c>
      <c r="DG89" s="1091" t="str">
        <f t="shared" si="65"/>
        <v/>
      </c>
      <c r="DH89" s="1146">
        <f t="shared" si="922"/>
        <v>0</v>
      </c>
      <c r="DI89" s="1091">
        <f t="shared" si="817"/>
        <v>0</v>
      </c>
      <c r="DJ89" s="1091">
        <f t="shared" si="939"/>
        <v>0</v>
      </c>
      <c r="DK89" s="1147">
        <f t="shared" si="585"/>
        <v>0</v>
      </c>
      <c r="DL89" s="1091">
        <f t="shared" si="818"/>
        <v>0</v>
      </c>
      <c r="DM89" s="1091">
        <f t="shared" si="940"/>
        <v>0</v>
      </c>
      <c r="DN89" s="1147">
        <f t="shared" si="588"/>
        <v>0</v>
      </c>
      <c r="DO89" s="1091">
        <f t="shared" si="819"/>
        <v>0</v>
      </c>
      <c r="DP89" s="1091">
        <f t="shared" si="941"/>
        <v>0</v>
      </c>
      <c r="DQ89" s="1147">
        <f t="shared" si="591"/>
        <v>0</v>
      </c>
      <c r="DR89" s="1091" t="str">
        <f t="shared" si="73"/>
        <v/>
      </c>
      <c r="DS89" s="1147">
        <f t="shared" si="592"/>
        <v>0</v>
      </c>
      <c r="DT89" s="1091" t="str">
        <f t="shared" si="75"/>
        <v/>
      </c>
      <c r="DU89" s="1146">
        <f>SUMIFS(BP_SOTIEN,BP_THANG,DU$2,BP_KM,$E89)/1000</f>
        <v>0</v>
      </c>
      <c r="DV89" s="1091">
        <f t="shared" si="820"/>
        <v>0</v>
      </c>
      <c r="DW89" s="1091"/>
      <c r="DX89" s="1147">
        <f>IF(NOW()&gt;=DATE(YEAR(DU$2),MONTH(DU$2)+1,DAY(DU$2)),SUMIFS(TF_SOTIEN,TF_THANG,DU$2,TF_KM,$E89)/1000, EA89)</f>
        <v>0</v>
      </c>
      <c r="DY89" s="1091">
        <f t="shared" si="821"/>
        <v>0</v>
      </c>
      <c r="DZ89" s="1091"/>
      <c r="EA89" s="1147">
        <f>IF(NOW()&gt;=DATE(YEAR(DU$2),MONTH(DU$2)+1,DAY(DU$2)),SUMIFS(AC_SOTIEN,AC_THANG,DU$2,AC_KM,$E89),SUMIFS(TF_SOTIEN,TF_THANG,DU$2,TF_KM,$E89))/ 1000</f>
        <v>0</v>
      </c>
      <c r="EB89" s="1091" t="str">
        <f t="shared" si="822"/>
        <v/>
      </c>
      <c r="EC89" s="1091" t="str">
        <f t="shared" si="942"/>
        <v/>
      </c>
      <c r="ED89" s="1147">
        <f t="shared" si="599"/>
        <v>0</v>
      </c>
      <c r="EE89" s="1091" t="str">
        <f t="shared" si="80"/>
        <v/>
      </c>
      <c r="EF89" s="1147">
        <f t="shared" si="600"/>
        <v>0</v>
      </c>
      <c r="EG89" s="1091" t="str">
        <f t="shared" si="82"/>
        <v/>
      </c>
      <c r="EH89" s="1146">
        <f>SUMIFS(BP_SOTIEN,BP_THANG,EH$2,BP_KM,$E89)/1000</f>
        <v>0</v>
      </c>
      <c r="EI89" s="1091">
        <f t="shared" si="823"/>
        <v>0</v>
      </c>
      <c r="EJ89" s="1091"/>
      <c r="EK89" s="1147">
        <f>IF(NOW()&gt;=DATE(YEAR(EH$2),MONTH(EH$2)+1,DAY(EH$2)),SUMIFS(TF_SOTIEN,TF_THANG,EH$2,TF_KM,$E89)/1000, EN89)</f>
        <v>0</v>
      </c>
      <c r="EL89" s="1091">
        <f t="shared" si="824"/>
        <v>0</v>
      </c>
      <c r="EM89" s="1091"/>
      <c r="EN89" s="1147">
        <f>IF(NOW()&gt;=DATE(YEAR(EH$2),MONTH(EH$2)+1,DAY(EH$2)),SUMIFS(AC_SOTIEN,AC_THANG,EH$2,AC_KM,$E89),SUMIFS(TF_SOTIEN,TF_THANG,EH$2,TF_KM,$E89))/ 1000</f>
        <v>0</v>
      </c>
      <c r="EO89" s="1091" t="str">
        <f t="shared" si="825"/>
        <v/>
      </c>
      <c r="EP89" s="1091" t="str">
        <f t="shared" si="943"/>
        <v/>
      </c>
      <c r="EQ89" s="1147">
        <f t="shared" si="607"/>
        <v>0</v>
      </c>
      <c r="ER89" s="1091" t="str">
        <f t="shared" si="87"/>
        <v/>
      </c>
      <c r="ES89" s="1147">
        <f t="shared" si="608"/>
        <v>0</v>
      </c>
      <c r="ET89" s="1091" t="str">
        <f t="shared" si="89"/>
        <v/>
      </c>
      <c r="EU89" s="1146">
        <f>SUMIFS(BP_SOTIEN,BP_THANG,EU$2,BP_KM,$E89)/1000</f>
        <v>0</v>
      </c>
      <c r="EV89" s="1091">
        <f t="shared" si="826"/>
        <v>0</v>
      </c>
      <c r="EW89" s="1091"/>
      <c r="EX89" s="1147">
        <f>IF(NOW()&gt;=DATE(YEAR(EU$2),MONTH(EU$2)+1,DAY(EU$2)),SUMIFS(TF_SOTIEN,TF_THANG,EU$2,TF_KM,$E89)/1000, FA89)</f>
        <v>0</v>
      </c>
      <c r="EY89" s="1091">
        <f t="shared" si="827"/>
        <v>0</v>
      </c>
      <c r="EZ89" s="1091"/>
      <c r="FA89" s="1147">
        <f>IF(NOW()&gt;=DATE(YEAR(EU$2),MONTH(EU$2)+1,DAY(EU$2)),SUMIFS(AC_SOTIEN,AC_THANG,EU$2,AC_KM,$E89),SUMIFS(TF_SOTIEN,TF_THANG,EU$2,TF_KM,$E89))/ 1000</f>
        <v>0</v>
      </c>
      <c r="FB89" s="1091" t="str">
        <f t="shared" si="828"/>
        <v/>
      </c>
      <c r="FC89" s="1091" t="str">
        <f t="shared" si="944"/>
        <v/>
      </c>
      <c r="FD89" s="1147">
        <f t="shared" si="616"/>
        <v>0</v>
      </c>
      <c r="FE89" s="1091" t="str">
        <f t="shared" si="94"/>
        <v/>
      </c>
      <c r="FF89" s="1147">
        <f t="shared" si="617"/>
        <v>0</v>
      </c>
      <c r="FG89" s="1091" t="str">
        <f t="shared" si="96"/>
        <v/>
      </c>
      <c r="FH89" s="1146">
        <f t="shared" si="923"/>
        <v>0</v>
      </c>
      <c r="FI89" s="1091">
        <f t="shared" si="829"/>
        <v>0</v>
      </c>
      <c r="FJ89" s="1091">
        <f t="shared" si="945"/>
        <v>0</v>
      </c>
      <c r="FK89" s="1147">
        <f t="shared" si="621"/>
        <v>0</v>
      </c>
      <c r="FL89" s="1091">
        <f t="shared" si="830"/>
        <v>0</v>
      </c>
      <c r="FM89" s="1091">
        <f t="shared" si="946"/>
        <v>0</v>
      </c>
      <c r="FN89" s="1147">
        <f t="shared" si="624"/>
        <v>0</v>
      </c>
      <c r="FO89" s="1091" t="str">
        <f t="shared" si="831"/>
        <v/>
      </c>
      <c r="FP89" s="1091" t="str">
        <f t="shared" si="947"/>
        <v/>
      </c>
      <c r="FQ89" s="1147">
        <f t="shared" si="627"/>
        <v>0</v>
      </c>
      <c r="FR89" s="1091" t="str">
        <f t="shared" si="104"/>
        <v/>
      </c>
      <c r="FS89" s="1147">
        <f t="shared" si="628"/>
        <v>0</v>
      </c>
      <c r="FT89" s="1091" t="str">
        <f t="shared" si="106"/>
        <v/>
      </c>
      <c r="FU89" s="1146">
        <f>SUMIFS(BP_SOTIEN,BP_THANG,FU$2,BP_KM,$E89)/1000</f>
        <v>0</v>
      </c>
      <c r="FV89" s="1091">
        <f t="shared" si="832"/>
        <v>0</v>
      </c>
      <c r="FW89" s="1091"/>
      <c r="FX89" s="1147">
        <f>IF(NOW()&gt;=DATE(YEAR(FU$2),MONTH(FU$2)+1,DAY(FU$2)),SUMIFS(TF_SOTIEN,TF_THANG,FU$2,TF_KM,$E89)/1000, GA89)</f>
        <v>0</v>
      </c>
      <c r="FY89" s="1091">
        <f t="shared" si="833"/>
        <v>0</v>
      </c>
      <c r="FZ89" s="1091"/>
      <c r="GA89" s="1147">
        <f>IF(NOW()&gt;=DATE(YEAR(FU$2),MONTH(FU$2)+1,DAY(FU$2)),SUMIFS(AC_SOTIEN,AC_THANG,FU$2,AC_KM,$E89),SUMIFS(TF_SOTIEN,TF_THANG,FU$2,TF_KM,$E89))/ 1000</f>
        <v>0</v>
      </c>
      <c r="GB89" s="1091" t="str">
        <f t="shared" si="834"/>
        <v/>
      </c>
      <c r="GC89" s="1091" t="str">
        <f t="shared" si="948"/>
        <v/>
      </c>
      <c r="GD89" s="1147">
        <f t="shared" si="635"/>
        <v>0</v>
      </c>
      <c r="GE89" s="1091" t="str">
        <f t="shared" si="111"/>
        <v/>
      </c>
      <c r="GF89" s="1147">
        <f t="shared" si="636"/>
        <v>0</v>
      </c>
      <c r="GG89" s="1091" t="str">
        <f t="shared" si="113"/>
        <v/>
      </c>
      <c r="GH89" s="1146">
        <f>SUMIFS(BP_SOTIEN,BP_THANG,GH$2,BP_KM,$E89)/1000</f>
        <v>0</v>
      </c>
      <c r="GI89" s="1091">
        <f t="shared" si="835"/>
        <v>0</v>
      </c>
      <c r="GJ89" s="1091"/>
      <c r="GK89" s="1147">
        <f>IF(NOW()&gt;=DATE(YEAR(GH$2),MONTH(GH$2)+1,DAY(GH$2)),SUMIFS(TF_SOTIEN,TF_THANG,GH$2,TF_KM,$E89)/1000, GN89)</f>
        <v>0</v>
      </c>
      <c r="GL89" s="1091">
        <f t="shared" si="836"/>
        <v>0</v>
      </c>
      <c r="GM89" s="1091"/>
      <c r="GN89" s="1147">
        <f>IF(NOW()&gt;=DATE(YEAR(GH$2),MONTH(GH$2)+1,DAY(GH$2)),SUMIFS(AC_SOTIEN,AC_THANG,GH$2,AC_KM,$E89),SUMIFS(TF_SOTIEN,TF_THANG,GH$2,TF_KM,$E89))/ 1000</f>
        <v>0</v>
      </c>
      <c r="GO89" s="1091" t="str">
        <f t="shared" si="837"/>
        <v/>
      </c>
      <c r="GP89" s="1091" t="str">
        <f t="shared" si="949"/>
        <v/>
      </c>
      <c r="GQ89" s="1147">
        <f t="shared" si="643"/>
        <v>0</v>
      </c>
      <c r="GR89" s="1091" t="str">
        <f t="shared" si="118"/>
        <v/>
      </c>
      <c r="GS89" s="1147">
        <f t="shared" si="644"/>
        <v>0</v>
      </c>
      <c r="GT89" s="1091" t="str">
        <f t="shared" si="120"/>
        <v/>
      </c>
      <c r="GU89" s="1146">
        <f>SUMIFS(BP_SOTIEN,BP_THANG,GU$2,BP_KM,$E89)/1000</f>
        <v>0</v>
      </c>
      <c r="GV89" s="1091">
        <f t="shared" si="838"/>
        <v>0</v>
      </c>
      <c r="GW89" s="1091"/>
      <c r="GX89" s="1147">
        <f>IF(NOW()&gt;=DATE(YEAR(GU$2),MONTH(GU$2)+1,DAY(GU$2)),SUMIFS(TF_SOTIEN,TF_THANG,GU$2,TF_KM,$E89)/1000, HA89)</f>
        <v>0</v>
      </c>
      <c r="GY89" s="1091">
        <f t="shared" si="839"/>
        <v>0</v>
      </c>
      <c r="GZ89" s="1091"/>
      <c r="HA89" s="1147">
        <f>IF(NOW()&gt;=DATE(YEAR(GU$2),MONTH(GU$2)+1,DAY(GU$2)),SUMIFS(AC_SOTIEN,AC_THANG,GU$2,AC_KM,$E89),SUMIFS(TF_SOTIEN,TF_THANG,GU$2,TF_KM,$E89))/ 1000</f>
        <v>0</v>
      </c>
      <c r="HB89" s="1091" t="str">
        <f t="shared" si="840"/>
        <v/>
      </c>
      <c r="HC89" s="1091" t="str">
        <f t="shared" si="950"/>
        <v/>
      </c>
      <c r="HD89" s="1147">
        <f t="shared" si="651"/>
        <v>0</v>
      </c>
      <c r="HE89" s="1091" t="str">
        <f t="shared" si="125"/>
        <v/>
      </c>
      <c r="HF89" s="1147">
        <f t="shared" si="652"/>
        <v>0</v>
      </c>
      <c r="HG89" s="1091" t="str">
        <f t="shared" si="127"/>
        <v/>
      </c>
      <c r="HH89" s="1146">
        <f t="shared" si="924"/>
        <v>0</v>
      </c>
      <c r="HI89" s="1091">
        <f t="shared" si="841"/>
        <v>0</v>
      </c>
      <c r="HJ89" s="1091">
        <f t="shared" si="951"/>
        <v>0</v>
      </c>
      <c r="HK89" s="1147">
        <f t="shared" si="656"/>
        <v>0</v>
      </c>
      <c r="HL89" s="1091">
        <f t="shared" si="842"/>
        <v>0</v>
      </c>
      <c r="HM89" s="1091">
        <f t="shared" si="952"/>
        <v>0</v>
      </c>
      <c r="HN89" s="1147">
        <f t="shared" si="659"/>
        <v>0</v>
      </c>
      <c r="HO89" s="1091" t="str">
        <f t="shared" si="843"/>
        <v/>
      </c>
      <c r="HP89" s="1091" t="str">
        <f t="shared" si="953"/>
        <v/>
      </c>
      <c r="HQ89" s="1147">
        <f t="shared" si="662"/>
        <v>0</v>
      </c>
      <c r="HR89" s="1091" t="str">
        <f t="shared" si="135"/>
        <v/>
      </c>
      <c r="HS89" s="1147">
        <f t="shared" si="663"/>
        <v>0</v>
      </c>
      <c r="HT89" s="1091" t="str">
        <f t="shared" si="137"/>
        <v/>
      </c>
      <c r="HU89" s="1146">
        <f t="shared" si="925"/>
        <v>0</v>
      </c>
      <c r="HV89" s="1091">
        <f t="shared" si="844"/>
        <v>0</v>
      </c>
      <c r="HW89" s="1091">
        <f t="shared" si="954"/>
        <v>0</v>
      </c>
      <c r="HX89" s="1147">
        <f t="shared" si="667"/>
        <v>0</v>
      </c>
      <c r="HY89" s="1091">
        <f t="shared" si="845"/>
        <v>0</v>
      </c>
      <c r="HZ89" s="1091">
        <f t="shared" si="955"/>
        <v>0</v>
      </c>
      <c r="IA89" s="1147">
        <f t="shared" si="670"/>
        <v>0</v>
      </c>
      <c r="IB89" s="1091" t="str">
        <f t="shared" si="846"/>
        <v/>
      </c>
      <c r="IC89" s="1091" t="str">
        <f t="shared" si="956"/>
        <v/>
      </c>
      <c r="ID89" s="1147">
        <f t="shared" si="673"/>
        <v>0</v>
      </c>
      <c r="IE89" s="1091" t="str">
        <f t="shared" si="145"/>
        <v/>
      </c>
      <c r="IF89" s="1147">
        <f t="shared" si="674"/>
        <v>0</v>
      </c>
      <c r="IG89" s="1091" t="str">
        <f t="shared" si="147"/>
        <v/>
      </c>
      <c r="IH89" s="1146">
        <f t="shared" si="926"/>
        <v>0</v>
      </c>
      <c r="II89" s="1091">
        <f t="shared" si="847"/>
        <v>0</v>
      </c>
      <c r="IJ89" s="1091">
        <f t="shared" si="957"/>
        <v>0</v>
      </c>
      <c r="IK89" s="1147">
        <f t="shared" si="678"/>
        <v>0</v>
      </c>
      <c r="IL89" s="1091">
        <f t="shared" si="848"/>
        <v>0</v>
      </c>
      <c r="IM89" s="1091">
        <f t="shared" si="958"/>
        <v>0</v>
      </c>
      <c r="IN89" s="1147">
        <f t="shared" si="681"/>
        <v>0</v>
      </c>
      <c r="IO89" s="1091">
        <f t="shared" si="849"/>
        <v>0</v>
      </c>
      <c r="IP89" s="1091">
        <f t="shared" si="959"/>
        <v>0</v>
      </c>
      <c r="IQ89" s="1147">
        <f t="shared" si="684"/>
        <v>0</v>
      </c>
      <c r="IR89" s="1091" t="str">
        <f t="shared" si="1"/>
        <v/>
      </c>
      <c r="IS89" s="1147">
        <f t="shared" si="685"/>
        <v>0</v>
      </c>
      <c r="IT89" s="1091" t="str">
        <f t="shared" si="2"/>
        <v/>
      </c>
    </row>
    <row r="90" outlineLevel="1">
      <c r="A90" s="737"/>
      <c r="B90" s="737"/>
      <c r="C90" s="737"/>
      <c r="D90" s="737" t="s">
        <v>2851</v>
      </c>
      <c r="E90" s="737" t="s">
        <v>1273</v>
      </c>
      <c r="F90" s="737"/>
      <c r="G90" s="748">
        <v>3.0</v>
      </c>
      <c r="H90" s="1146">
        <f>SUMIFS(BP_SOTIEN,BP_THANG,H$2,BP_KM,$E90)/1000</f>
        <v>328</v>
      </c>
      <c r="I90" s="1091" t="str">
        <f t="shared" si="791"/>
        <v/>
      </c>
      <c r="J90" s="1091"/>
      <c r="K90" s="1147">
        <f>IF(NOW()&gt;=DATE(YEAR(H$2),MONTH(H$2)+1,DAY(H$2)),SUMIFS(TF_SOTIEN,TF_THANG,H$2,TF_KM,$E90)/1000, N90)</f>
        <v>328</v>
      </c>
      <c r="L90" s="1091">
        <f t="shared" si="792"/>
        <v>0.002733333333</v>
      </c>
      <c r="M90" s="1091"/>
      <c r="N90" s="1147">
        <f>IF(NOW()&gt;=DATE(YEAR(H$2),MONTH(H$2)+1,DAY(H$2)),SUMIFS(AC_SOTIEN,AC_THANG,H$2,AC_KM,$E90),SUMIFS(TF_SOTIEN,TF_THANG,H$2,TF_KM,$E90))/ 1000</f>
        <v>0</v>
      </c>
      <c r="O90" s="1091">
        <f t="shared" si="793"/>
        <v>0</v>
      </c>
      <c r="P90" s="1091">
        <f t="shared" si="927"/>
        <v>0</v>
      </c>
      <c r="Q90" s="1147">
        <f t="shared" si="518"/>
        <v>-328</v>
      </c>
      <c r="R90" s="1091">
        <f t="shared" si="8"/>
        <v>-1</v>
      </c>
      <c r="S90" s="1147">
        <f t="shared" si="519"/>
        <v>-328</v>
      </c>
      <c r="T90" s="1091">
        <f t="shared" si="10"/>
        <v>-1</v>
      </c>
      <c r="U90" s="1146">
        <f>SUMIFS(BP_SOTIEN,BP_THANG,U$2,BP_KM,$E90)/1000</f>
        <v>328</v>
      </c>
      <c r="V90" s="1091" t="str">
        <f t="shared" si="794"/>
        <v/>
      </c>
      <c r="W90" s="1091"/>
      <c r="X90" s="1147">
        <f>IF(NOW()&gt;=DATE(YEAR(U$2),MONTH(U$2)+1,DAY(U$2)),SUMIFS(TF_SOTIEN,TF_THANG,U$2,TF_KM,$E90)/1000, AA90)</f>
        <v>0</v>
      </c>
      <c r="Y90" s="1091" t="str">
        <f t="shared" si="795"/>
        <v/>
      </c>
      <c r="Z90" s="1091"/>
      <c r="AA90" s="1147">
        <f>IF(NOW()&gt;=DATE(YEAR(U$2),MONTH(U$2)+1,DAY(U$2)),SUMIFS(AC_SOTIEN,AC_THANG,U$2,AC_KM,$E90),SUMIFS(TF_SOTIEN,TF_THANG,U$2,TF_KM,$E90))/ 1000</f>
        <v>0</v>
      </c>
      <c r="AB90" s="1091">
        <f t="shared" si="796"/>
        <v>0</v>
      </c>
      <c r="AC90" s="1091">
        <f t="shared" si="928"/>
        <v>0</v>
      </c>
      <c r="AD90" s="1147">
        <f t="shared" si="526"/>
        <v>-328</v>
      </c>
      <c r="AE90" s="1091">
        <f t="shared" si="15"/>
        <v>-1</v>
      </c>
      <c r="AF90" s="1147">
        <f t="shared" si="527"/>
        <v>0</v>
      </c>
      <c r="AG90" s="1091" t="str">
        <f t="shared" si="17"/>
        <v/>
      </c>
      <c r="AH90" s="1146">
        <f>SUMIFS(BP_SOTIEN,BP_THANG,AH$2,BP_KM,$E90)/1000</f>
        <v>328</v>
      </c>
      <c r="AI90" s="1091" t="str">
        <f t="shared" si="797"/>
        <v/>
      </c>
      <c r="AJ90" s="1091"/>
      <c r="AK90" s="1147">
        <f>IF(NOW()&gt;=DATE(YEAR(AH$2),MONTH(AH$2)+1,DAY(AH$2)),SUMIFS(TF_SOTIEN,TF_THANG,AH$2,TF_KM,$E90)/1000, AN90)</f>
        <v>0</v>
      </c>
      <c r="AL90" s="1091">
        <f t="shared" si="798"/>
        <v>0</v>
      </c>
      <c r="AM90" s="1091"/>
      <c r="AN90" s="1147">
        <f>IF(NOW()&gt;=DATE(YEAR(AH$2),MONTH(AH$2)+1,DAY(AH$2)),SUMIFS(AC_SOTIEN,AC_THANG,AH$2,AC_KM,$E90),SUMIFS(TF_SOTIEN,TF_THANG,AH$2,TF_KM,$E90))/ 1000</f>
        <v>0</v>
      </c>
      <c r="AO90" s="1091">
        <f t="shared" si="799"/>
        <v>0</v>
      </c>
      <c r="AP90" s="1091">
        <f t="shared" si="929"/>
        <v>0</v>
      </c>
      <c r="AQ90" s="1147">
        <f t="shared" si="534"/>
        <v>-328</v>
      </c>
      <c r="AR90" s="1091">
        <f t="shared" si="22"/>
        <v>-1</v>
      </c>
      <c r="AS90" s="1147">
        <f t="shared" si="535"/>
        <v>0</v>
      </c>
      <c r="AT90" s="1091" t="str">
        <f t="shared" si="24"/>
        <v/>
      </c>
      <c r="AU90" s="1146">
        <f t="shared" si="916"/>
        <v>984</v>
      </c>
      <c r="AV90" s="1091" t="str">
        <f t="shared" si="800"/>
        <v/>
      </c>
      <c r="AW90" s="1091">
        <f t="shared" si="930"/>
        <v>0.0008278772521</v>
      </c>
      <c r="AX90" s="1147">
        <f t="shared" si="917"/>
        <v>328</v>
      </c>
      <c r="AY90" s="1091">
        <f t="shared" si="801"/>
        <v>0.00008817204301</v>
      </c>
      <c r="AZ90" s="1091">
        <f t="shared" si="931"/>
        <v>0.0004684609989</v>
      </c>
      <c r="BA90" s="1147">
        <f t="shared" si="918"/>
        <v>0</v>
      </c>
      <c r="BB90" s="1091">
        <f t="shared" si="802"/>
        <v>0</v>
      </c>
      <c r="BC90" s="1091">
        <f t="shared" si="932"/>
        <v>0</v>
      </c>
      <c r="BD90" s="1147">
        <f t="shared" si="545"/>
        <v>-984</v>
      </c>
      <c r="BE90" s="1091">
        <f t="shared" si="32"/>
        <v>-1</v>
      </c>
      <c r="BF90" s="1147">
        <f t="shared" si="546"/>
        <v>-328</v>
      </c>
      <c r="BG90" s="1091">
        <f t="shared" si="34"/>
        <v>-1</v>
      </c>
      <c r="BH90" s="1146">
        <f>SUMIFS(BP_SOTIEN,BP_THANG,BH$2,BP_KM,$E90)/1000</f>
        <v>328</v>
      </c>
      <c r="BI90" s="1091">
        <f t="shared" si="803"/>
        <v>0.000082</v>
      </c>
      <c r="BJ90" s="1091"/>
      <c r="BK90" s="1147">
        <f>IF(NOW()&gt;=DATE(YEAR(BH$2),MONTH(BH$2)+1,DAY(BH$2)),SUMIFS(TF_SOTIEN,TF_THANG,BH$2,TF_KM,$E90)/1000, BN90)</f>
        <v>0</v>
      </c>
      <c r="BL90" s="1091" t="str">
        <f t="shared" si="804"/>
        <v/>
      </c>
      <c r="BM90" s="1091"/>
      <c r="BN90" s="1147">
        <f>IF(NOW()&gt;=DATE(YEAR(BH$2),MONTH(BH$2)+1,DAY(BH$2)),SUMIFS(AC_SOTIEN,AC_THANG,BH$2,AC_KM,$E90),SUMIFS(TF_SOTIEN,TF_THANG,BH$2,TF_KM,$E90))/ 1000</f>
        <v>0</v>
      </c>
      <c r="BO90" s="1091">
        <f t="shared" si="805"/>
        <v>0</v>
      </c>
      <c r="BP90" s="1091">
        <f t="shared" si="933"/>
        <v>0</v>
      </c>
      <c r="BQ90" s="1147">
        <f t="shared" si="553"/>
        <v>-328</v>
      </c>
      <c r="BR90" s="1091">
        <f t="shared" si="39"/>
        <v>-1</v>
      </c>
      <c r="BS90" s="1147">
        <f t="shared" si="554"/>
        <v>0</v>
      </c>
      <c r="BT90" s="1091" t="str">
        <f t="shared" si="41"/>
        <v/>
      </c>
      <c r="BU90" s="1146">
        <f>SUMIFS(BP_SOTIEN,BP_THANG,BU$2,BP_KM,$E90)/1000</f>
        <v>328</v>
      </c>
      <c r="BV90" s="1091">
        <f t="shared" si="806"/>
        <v>0.000082</v>
      </c>
      <c r="BW90" s="1091"/>
      <c r="BX90" s="1147">
        <f>IF(NOW()&gt;=DATE(YEAR(BU$2),MONTH(BU$2)+1,DAY(BU$2)),SUMIFS(TF_SOTIEN,TF_THANG,BU$2,TF_KM,$E90)/1000, CA90)</f>
        <v>4800</v>
      </c>
      <c r="BY90" s="1091">
        <f t="shared" si="807"/>
        <v>0.003211870044</v>
      </c>
      <c r="BZ90" s="1091"/>
      <c r="CA90" s="1147">
        <f>IF(NOW()&gt;=DATE(YEAR(BU$2),MONTH(BU$2)+1,DAY(BU$2)),SUMIFS(AC_SOTIEN,AC_THANG,BU$2,AC_KM,$E90),SUMIFS(TF_SOTIEN,TF_THANG,BU$2,TF_KM,$E90))/ 1000</f>
        <v>6720</v>
      </c>
      <c r="CB90" s="1091">
        <f t="shared" si="808"/>
        <v>0.01209564197</v>
      </c>
      <c r="CC90" s="1091">
        <f t="shared" si="934"/>
        <v>0.02680661496</v>
      </c>
      <c r="CD90" s="1147">
        <f t="shared" si="561"/>
        <v>6392</v>
      </c>
      <c r="CE90" s="1091">
        <f t="shared" si="46"/>
        <v>19.48780488</v>
      </c>
      <c r="CF90" s="1147">
        <f t="shared" si="562"/>
        <v>1920</v>
      </c>
      <c r="CG90" s="1091">
        <f t="shared" si="48"/>
        <v>0.4</v>
      </c>
      <c r="CH90" s="1146">
        <f>SUMIFS(BP_SOTIEN,BP_THANG,CH$2,BP_KM,$E90)/1000</f>
        <v>328</v>
      </c>
      <c r="CI90" s="1091">
        <f t="shared" si="809"/>
        <v>0.000082</v>
      </c>
      <c r="CJ90" s="1091"/>
      <c r="CK90" s="1147">
        <f>IF(NOW()&gt;=DATE(YEAR(CH$2),MONTH(CH$2)+1,DAY(CH$2)),SUMIFS(TF_SOTIEN,TF_THANG,CH$2,TF_KM,$E90)/1000, CN90)</f>
        <v>328</v>
      </c>
      <c r="CL90" s="1091" t="str">
        <f t="shared" si="810"/>
        <v/>
      </c>
      <c r="CM90" s="1091"/>
      <c r="CN90" s="1147">
        <f>IF(NOW()&gt;=DATE(YEAR(CH$2),MONTH(CH$2)+1,DAY(CH$2)),SUMIFS(AC_SOTIEN,AC_THANG,CH$2,AC_KM,$E90),SUMIFS(TF_SOTIEN,TF_THANG,CH$2,TF_KM,$E90))/ 1000</f>
        <v>0</v>
      </c>
      <c r="CO90" s="1091" t="str">
        <f t="shared" si="811"/>
        <v/>
      </c>
      <c r="CP90" s="1091" t="str">
        <f t="shared" si="935"/>
        <v/>
      </c>
      <c r="CQ90" s="1147">
        <f t="shared" si="569"/>
        <v>-328</v>
      </c>
      <c r="CR90" s="1091">
        <f t="shared" si="53"/>
        <v>-1</v>
      </c>
      <c r="CS90" s="1147">
        <f t="shared" si="570"/>
        <v>-328</v>
      </c>
      <c r="CT90" s="1091">
        <f t="shared" si="55"/>
        <v>-1</v>
      </c>
      <c r="CU90" s="1146">
        <f t="shared" si="919"/>
        <v>984</v>
      </c>
      <c r="CV90" s="1091">
        <f t="shared" si="812"/>
        <v>0.000082</v>
      </c>
      <c r="CW90" s="1091">
        <f t="shared" si="936"/>
        <v>0.0008358448319</v>
      </c>
      <c r="CX90" s="1147">
        <f t="shared" si="920"/>
        <v>5128</v>
      </c>
      <c r="CY90" s="1091">
        <f t="shared" si="814"/>
        <v>0.00343134783</v>
      </c>
      <c r="CZ90" s="1091">
        <f t="shared" si="937"/>
        <v>0.006430922081</v>
      </c>
      <c r="DA90" s="1147">
        <f t="shared" si="921"/>
        <v>6720</v>
      </c>
      <c r="DB90" s="1091">
        <f t="shared" si="816"/>
        <v>0.002128864745</v>
      </c>
      <c r="DC90" s="1091">
        <f t="shared" si="938"/>
        <v>0.01452431566</v>
      </c>
      <c r="DD90" s="1147">
        <f t="shared" si="580"/>
        <v>5736</v>
      </c>
      <c r="DE90" s="1091">
        <f t="shared" si="63"/>
        <v>5.829268293</v>
      </c>
      <c r="DF90" s="1147">
        <f t="shared" si="581"/>
        <v>1592</v>
      </c>
      <c r="DG90" s="1091">
        <f t="shared" si="65"/>
        <v>0.3104524181</v>
      </c>
      <c r="DH90" s="1146">
        <f t="shared" si="922"/>
        <v>1968</v>
      </c>
      <c r="DI90" s="1091">
        <f t="shared" si="817"/>
        <v>0.000164</v>
      </c>
      <c r="DJ90" s="1091">
        <f t="shared" si="939"/>
        <v>0.0008318419636</v>
      </c>
      <c r="DK90" s="1147">
        <f t="shared" si="585"/>
        <v>5456</v>
      </c>
      <c r="DL90" s="1091">
        <f t="shared" si="818"/>
        <v>0.001046321898</v>
      </c>
      <c r="DM90" s="1091">
        <f t="shared" si="940"/>
        <v>0.003643254046</v>
      </c>
      <c r="DN90" s="1147">
        <f t="shared" si="588"/>
        <v>6720</v>
      </c>
      <c r="DO90" s="1091">
        <f t="shared" si="819"/>
        <v>0.001546743415</v>
      </c>
      <c r="DP90" s="1091">
        <f t="shared" si="941"/>
        <v>0.007259101382</v>
      </c>
      <c r="DQ90" s="1147">
        <f t="shared" si="591"/>
        <v>4752</v>
      </c>
      <c r="DR90" s="1091">
        <f t="shared" si="73"/>
        <v>2.414634146</v>
      </c>
      <c r="DS90" s="1147">
        <f t="shared" si="592"/>
        <v>1264</v>
      </c>
      <c r="DT90" s="1091">
        <f t="shared" si="75"/>
        <v>0.2316715543</v>
      </c>
      <c r="DU90" s="1146">
        <f>SUMIFS(BP_SOTIEN,BP_THANG,DU$2,BP_KM,$E90)/1000</f>
        <v>328</v>
      </c>
      <c r="DV90" s="1091">
        <f t="shared" si="820"/>
        <v>0.000082</v>
      </c>
      <c r="DW90" s="1091"/>
      <c r="DX90" s="1147">
        <f>IF(NOW()&gt;=DATE(YEAR(DU$2),MONTH(DU$2)+1,DAY(DU$2)),SUMIFS(TF_SOTIEN,TF_THANG,DU$2,TF_KM,$E90)/1000, EA90)</f>
        <v>328</v>
      </c>
      <c r="DY90" s="1091">
        <f t="shared" si="821"/>
        <v>0.00005430463612</v>
      </c>
      <c r="DZ90" s="1091"/>
      <c r="EA90" s="1147">
        <f>IF(NOW()&gt;=DATE(YEAR(DU$2),MONTH(DU$2)+1,DAY(DU$2)),SUMIFS(AC_SOTIEN,AC_THANG,DU$2,AC_KM,$E90),SUMIFS(TF_SOTIEN,TF_THANG,DU$2,TF_KM,$E90))/ 1000</f>
        <v>0</v>
      </c>
      <c r="EB90" s="1091" t="str">
        <f t="shared" si="822"/>
        <v/>
      </c>
      <c r="EC90" s="1091" t="str">
        <f t="shared" si="942"/>
        <v/>
      </c>
      <c r="ED90" s="1147">
        <f t="shared" si="599"/>
        <v>-328</v>
      </c>
      <c r="EE90" s="1091">
        <f t="shared" si="80"/>
        <v>-1</v>
      </c>
      <c r="EF90" s="1147">
        <f t="shared" si="600"/>
        <v>-328</v>
      </c>
      <c r="EG90" s="1091">
        <f t="shared" si="82"/>
        <v>-1</v>
      </c>
      <c r="EH90" s="1146">
        <f>SUMIFS(BP_SOTIEN,BP_THANG,EH$2,BP_KM,$E90)/1000</f>
        <v>328</v>
      </c>
      <c r="EI90" s="1091">
        <f t="shared" si="823"/>
        <v>0.000082</v>
      </c>
      <c r="EJ90" s="1091"/>
      <c r="EK90" s="1147">
        <f>IF(NOW()&gt;=DATE(YEAR(EH$2),MONTH(EH$2)+1,DAY(EH$2)),SUMIFS(TF_SOTIEN,TF_THANG,EH$2,TF_KM,$E90)/1000, EN90)</f>
        <v>328</v>
      </c>
      <c r="EL90" s="1091">
        <f t="shared" si="824"/>
        <v>0.00005430463612</v>
      </c>
      <c r="EM90" s="1091"/>
      <c r="EN90" s="1147">
        <f>IF(NOW()&gt;=DATE(YEAR(EH$2),MONTH(EH$2)+1,DAY(EH$2)),SUMIFS(AC_SOTIEN,AC_THANG,EH$2,AC_KM,$E90),SUMIFS(TF_SOTIEN,TF_THANG,EH$2,TF_KM,$E90))/ 1000</f>
        <v>0</v>
      </c>
      <c r="EO90" s="1091" t="str">
        <f t="shared" si="825"/>
        <v/>
      </c>
      <c r="EP90" s="1091" t="str">
        <f t="shared" si="943"/>
        <v/>
      </c>
      <c r="EQ90" s="1147">
        <f t="shared" si="607"/>
        <v>-328</v>
      </c>
      <c r="ER90" s="1091">
        <f t="shared" si="87"/>
        <v>-1</v>
      </c>
      <c r="ES90" s="1147">
        <f t="shared" si="608"/>
        <v>-328</v>
      </c>
      <c r="ET90" s="1091">
        <f t="shared" si="89"/>
        <v>-1</v>
      </c>
      <c r="EU90" s="1146">
        <f>SUMIFS(BP_SOTIEN,BP_THANG,EU$2,BP_KM,$E90)/1000</f>
        <v>328</v>
      </c>
      <c r="EV90" s="1091">
        <f t="shared" si="826"/>
        <v>0.000082</v>
      </c>
      <c r="EW90" s="1091"/>
      <c r="EX90" s="1147">
        <f>IF(NOW()&gt;=DATE(YEAR(EU$2),MONTH(EU$2)+1,DAY(EU$2)),SUMIFS(TF_SOTIEN,TF_THANG,EU$2,TF_KM,$E90)/1000, FA90)</f>
        <v>328</v>
      </c>
      <c r="EY90" s="1091">
        <f t="shared" si="827"/>
        <v>0.00005430463612</v>
      </c>
      <c r="EZ90" s="1091"/>
      <c r="FA90" s="1147">
        <f>IF(NOW()&gt;=DATE(YEAR(EU$2),MONTH(EU$2)+1,DAY(EU$2)),SUMIFS(AC_SOTIEN,AC_THANG,EU$2,AC_KM,$E90),SUMIFS(TF_SOTIEN,TF_THANG,EU$2,TF_KM,$E90))/ 1000</f>
        <v>0</v>
      </c>
      <c r="FB90" s="1091" t="str">
        <f t="shared" si="828"/>
        <v/>
      </c>
      <c r="FC90" s="1091" t="str">
        <f t="shared" si="944"/>
        <v/>
      </c>
      <c r="FD90" s="1147">
        <f t="shared" si="616"/>
        <v>-328</v>
      </c>
      <c r="FE90" s="1091">
        <f t="shared" si="94"/>
        <v>-1</v>
      </c>
      <c r="FF90" s="1147">
        <f t="shared" si="617"/>
        <v>-328</v>
      </c>
      <c r="FG90" s="1091">
        <f t="shared" si="96"/>
        <v>-1</v>
      </c>
      <c r="FH90" s="1146">
        <f t="shared" si="923"/>
        <v>984</v>
      </c>
      <c r="FI90" s="1091">
        <f t="shared" si="829"/>
        <v>0.000082</v>
      </c>
      <c r="FJ90" s="1091">
        <f t="shared" si="945"/>
        <v>0.0008388124666</v>
      </c>
      <c r="FK90" s="1147">
        <f t="shared" si="621"/>
        <v>984</v>
      </c>
      <c r="FL90" s="1091">
        <f t="shared" si="830"/>
        <v>0.00005430463612</v>
      </c>
      <c r="FM90" s="1091">
        <f t="shared" si="946"/>
        <v>0.0008388124666</v>
      </c>
      <c r="FN90" s="1147">
        <f t="shared" si="624"/>
        <v>0</v>
      </c>
      <c r="FO90" s="1091" t="str">
        <f t="shared" si="831"/>
        <v/>
      </c>
      <c r="FP90" s="1091" t="str">
        <f t="shared" si="947"/>
        <v/>
      </c>
      <c r="FQ90" s="1147">
        <f t="shared" si="627"/>
        <v>-984</v>
      </c>
      <c r="FR90" s="1091">
        <f t="shared" si="104"/>
        <v>-1</v>
      </c>
      <c r="FS90" s="1147">
        <f t="shared" si="628"/>
        <v>-984</v>
      </c>
      <c r="FT90" s="1091">
        <f t="shared" si="106"/>
        <v>-1</v>
      </c>
      <c r="FU90" s="1146">
        <f>SUMIFS(BP_SOTIEN,BP_THANG,FU$2,BP_KM,$E90)/1000</f>
        <v>328</v>
      </c>
      <c r="FV90" s="1091">
        <f t="shared" si="832"/>
        <v>0.000082</v>
      </c>
      <c r="FW90" s="1091"/>
      <c r="FX90" s="1147">
        <f>IF(NOW()&gt;=DATE(YEAR(FU$2),MONTH(FU$2)+1,DAY(FU$2)),SUMIFS(TF_SOTIEN,TF_THANG,FU$2,TF_KM,$E90)/1000, GA90)</f>
        <v>328</v>
      </c>
      <c r="FY90" s="1091">
        <f t="shared" si="833"/>
        <v>0.00005430463612</v>
      </c>
      <c r="FZ90" s="1091"/>
      <c r="GA90" s="1147">
        <f>IF(NOW()&gt;=DATE(YEAR(FU$2),MONTH(FU$2)+1,DAY(FU$2)),SUMIFS(AC_SOTIEN,AC_THANG,FU$2,AC_KM,$E90),SUMIFS(TF_SOTIEN,TF_THANG,FU$2,TF_KM,$E90))/ 1000</f>
        <v>0</v>
      </c>
      <c r="GB90" s="1091" t="str">
        <f t="shared" si="834"/>
        <v/>
      </c>
      <c r="GC90" s="1091" t="str">
        <f t="shared" si="948"/>
        <v/>
      </c>
      <c r="GD90" s="1147">
        <f t="shared" si="635"/>
        <v>-328</v>
      </c>
      <c r="GE90" s="1091">
        <f t="shared" si="111"/>
        <v>-1</v>
      </c>
      <c r="GF90" s="1147">
        <f t="shared" si="636"/>
        <v>-328</v>
      </c>
      <c r="GG90" s="1091">
        <f t="shared" si="113"/>
        <v>-1</v>
      </c>
      <c r="GH90" s="1146">
        <f>SUMIFS(BP_SOTIEN,BP_THANG,GH$2,BP_KM,$E90)/1000</f>
        <v>328</v>
      </c>
      <c r="GI90" s="1091">
        <f t="shared" si="835"/>
        <v>0.000082</v>
      </c>
      <c r="GJ90" s="1091"/>
      <c r="GK90" s="1147">
        <f>IF(NOW()&gt;=DATE(YEAR(GH$2),MONTH(GH$2)+1,DAY(GH$2)),SUMIFS(TF_SOTIEN,TF_THANG,GH$2,TF_KM,$E90)/1000, GN90)</f>
        <v>328</v>
      </c>
      <c r="GL90" s="1091">
        <f t="shared" si="836"/>
        <v>0.00005430463612</v>
      </c>
      <c r="GM90" s="1091"/>
      <c r="GN90" s="1147">
        <f>IF(NOW()&gt;=DATE(YEAR(GH$2),MONTH(GH$2)+1,DAY(GH$2)),SUMIFS(AC_SOTIEN,AC_THANG,GH$2,AC_KM,$E90),SUMIFS(TF_SOTIEN,TF_THANG,GH$2,TF_KM,$E90))/ 1000</f>
        <v>0</v>
      </c>
      <c r="GO90" s="1091" t="str">
        <f t="shared" si="837"/>
        <v/>
      </c>
      <c r="GP90" s="1091" t="str">
        <f t="shared" si="949"/>
        <v/>
      </c>
      <c r="GQ90" s="1147">
        <f t="shared" si="643"/>
        <v>-328</v>
      </c>
      <c r="GR90" s="1091">
        <f t="shared" si="118"/>
        <v>-1</v>
      </c>
      <c r="GS90" s="1147">
        <f t="shared" si="644"/>
        <v>-328</v>
      </c>
      <c r="GT90" s="1091">
        <f t="shared" si="120"/>
        <v>-1</v>
      </c>
      <c r="GU90" s="1146">
        <f>SUMIFS(BP_SOTIEN,BP_THANG,GU$2,BP_KM,$E90)/1000</f>
        <v>328</v>
      </c>
      <c r="GV90" s="1091">
        <f t="shared" si="838"/>
        <v>0.000082</v>
      </c>
      <c r="GW90" s="1091"/>
      <c r="GX90" s="1147">
        <f>IF(NOW()&gt;=DATE(YEAR(GU$2),MONTH(GU$2)+1,DAY(GU$2)),SUMIFS(TF_SOTIEN,TF_THANG,GU$2,TF_KM,$E90)/1000, HA90)</f>
        <v>328</v>
      </c>
      <c r="GY90" s="1091">
        <f t="shared" si="839"/>
        <v>0.00005430463612</v>
      </c>
      <c r="GZ90" s="1091"/>
      <c r="HA90" s="1147">
        <f>IF(NOW()&gt;=DATE(YEAR(GU$2),MONTH(GU$2)+1,DAY(GU$2)),SUMIFS(AC_SOTIEN,AC_THANG,GU$2,AC_KM,$E90),SUMIFS(TF_SOTIEN,TF_THANG,GU$2,TF_KM,$E90))/ 1000</f>
        <v>0</v>
      </c>
      <c r="HB90" s="1091" t="str">
        <f t="shared" si="840"/>
        <v/>
      </c>
      <c r="HC90" s="1091" t="str">
        <f t="shared" si="950"/>
        <v/>
      </c>
      <c r="HD90" s="1147">
        <f t="shared" si="651"/>
        <v>-328</v>
      </c>
      <c r="HE90" s="1091">
        <f t="shared" si="125"/>
        <v>-1</v>
      </c>
      <c r="HF90" s="1147">
        <f t="shared" si="652"/>
        <v>-328</v>
      </c>
      <c r="HG90" s="1091">
        <f t="shared" si="127"/>
        <v>-1</v>
      </c>
      <c r="HH90" s="1146">
        <f t="shared" si="924"/>
        <v>984</v>
      </c>
      <c r="HI90" s="1091">
        <f t="shared" si="841"/>
        <v>0.000082</v>
      </c>
      <c r="HJ90" s="1091">
        <f t="shared" si="951"/>
        <v>0.0008388124666</v>
      </c>
      <c r="HK90" s="1147">
        <f t="shared" si="656"/>
        <v>984</v>
      </c>
      <c r="HL90" s="1091">
        <f t="shared" si="842"/>
        <v>0.00005430463612</v>
      </c>
      <c r="HM90" s="1091">
        <f t="shared" si="952"/>
        <v>0.0008388124666</v>
      </c>
      <c r="HN90" s="1147">
        <f t="shared" si="659"/>
        <v>0</v>
      </c>
      <c r="HO90" s="1091" t="str">
        <f t="shared" si="843"/>
        <v/>
      </c>
      <c r="HP90" s="1091" t="str">
        <f t="shared" si="953"/>
        <v/>
      </c>
      <c r="HQ90" s="1147">
        <f t="shared" si="662"/>
        <v>-984</v>
      </c>
      <c r="HR90" s="1091">
        <f t="shared" si="135"/>
        <v>-1</v>
      </c>
      <c r="HS90" s="1147">
        <f t="shared" si="663"/>
        <v>-984</v>
      </c>
      <c r="HT90" s="1091">
        <f t="shared" si="137"/>
        <v>-1</v>
      </c>
      <c r="HU90" s="1146">
        <f t="shared" si="925"/>
        <v>1968</v>
      </c>
      <c r="HV90" s="1091">
        <f t="shared" si="844"/>
        <v>0.000082</v>
      </c>
      <c r="HW90" s="1091">
        <f t="shared" si="954"/>
        <v>0.0008388124666</v>
      </c>
      <c r="HX90" s="1147">
        <f t="shared" si="667"/>
        <v>1968</v>
      </c>
      <c r="HY90" s="1091">
        <f t="shared" si="845"/>
        <v>0.00005430463612</v>
      </c>
      <c r="HZ90" s="1091">
        <f t="shared" si="955"/>
        <v>0.0008388124666</v>
      </c>
      <c r="IA90" s="1147">
        <f t="shared" si="670"/>
        <v>0</v>
      </c>
      <c r="IB90" s="1091" t="str">
        <f t="shared" si="846"/>
        <v/>
      </c>
      <c r="IC90" s="1091" t="str">
        <f t="shared" si="956"/>
        <v/>
      </c>
      <c r="ID90" s="1147">
        <f t="shared" si="673"/>
        <v>-1968</v>
      </c>
      <c r="IE90" s="1091">
        <f t="shared" si="145"/>
        <v>-1</v>
      </c>
      <c r="IF90" s="1147">
        <f t="shared" si="674"/>
        <v>-1968</v>
      </c>
      <c r="IG90" s="1091">
        <f t="shared" si="147"/>
        <v>-1</v>
      </c>
      <c r="IH90" s="1146">
        <f t="shared" si="926"/>
        <v>3936</v>
      </c>
      <c r="II90" s="1091">
        <f t="shared" si="847"/>
        <v>0.0001093333333</v>
      </c>
      <c r="IJ90" s="1091">
        <f t="shared" si="957"/>
        <v>0.0008353126735</v>
      </c>
      <c r="IK90" s="1147">
        <f t="shared" si="678"/>
        <v>7424</v>
      </c>
      <c r="IL90" s="1091">
        <f t="shared" si="848"/>
        <v>0.0001790881047</v>
      </c>
      <c r="IM90" s="1091">
        <f t="shared" si="958"/>
        <v>0.001931454026</v>
      </c>
      <c r="IN90" s="1147">
        <f t="shared" si="681"/>
        <v>6720</v>
      </c>
      <c r="IO90" s="1091">
        <f t="shared" si="849"/>
        <v>0.001546743415</v>
      </c>
      <c r="IP90" s="1091">
        <f t="shared" si="959"/>
        <v>0.007259101382</v>
      </c>
      <c r="IQ90" s="1147">
        <f t="shared" si="684"/>
        <v>2784</v>
      </c>
      <c r="IR90" s="1091">
        <f t="shared" si="1"/>
        <v>0.7073170732</v>
      </c>
      <c r="IS90" s="1147">
        <f t="shared" si="685"/>
        <v>-704</v>
      </c>
      <c r="IT90" s="1091">
        <f t="shared" si="2"/>
        <v>-0.09482758621</v>
      </c>
    </row>
    <row r="91" outlineLevel="1">
      <c r="A91" s="737"/>
      <c r="B91" s="737"/>
      <c r="C91" s="737"/>
      <c r="D91" s="737" t="s">
        <v>2852</v>
      </c>
      <c r="E91" s="737" t="s">
        <v>1153</v>
      </c>
      <c r="F91" s="737"/>
      <c r="G91" s="748">
        <v>3.0</v>
      </c>
      <c r="H91" s="1146">
        <f>SUMIFS(BP_SOTIEN,BP_THANG,H$2,BP_KM,$E91)/1000</f>
        <v>8333</v>
      </c>
      <c r="I91" s="1091" t="str">
        <f t="shared" si="791"/>
        <v/>
      </c>
      <c r="J91" s="1091"/>
      <c r="K91" s="1147">
        <f>IF(NOW()&gt;=DATE(YEAR(H$2),MONTH(H$2)+1,DAY(H$2)),SUMIFS(TF_SOTIEN,TF_THANG,H$2,TF_KM,$E91)/1000, N91)</f>
        <v>8333</v>
      </c>
      <c r="L91" s="1091">
        <f t="shared" si="792"/>
        <v>0.06944166667</v>
      </c>
      <c r="M91" s="1091"/>
      <c r="N91" s="1147">
        <f>IF(NOW()&gt;=DATE(YEAR(H$2),MONTH(H$2)+1,DAY(H$2)),SUMIFS(AC_SOTIEN,AC_THANG,H$2,AC_KM,$E91),SUMIFS(TF_SOTIEN,TF_THANG,H$2,TF_KM,$E91))/ 1000</f>
        <v>0</v>
      </c>
      <c r="O91" s="1091">
        <f t="shared" si="793"/>
        <v>0</v>
      </c>
      <c r="P91" s="1091">
        <f t="shared" si="927"/>
        <v>0</v>
      </c>
      <c r="Q91" s="1147">
        <f t="shared" si="518"/>
        <v>-8333</v>
      </c>
      <c r="R91" s="1091">
        <f t="shared" si="8"/>
        <v>-1</v>
      </c>
      <c r="S91" s="1147">
        <f t="shared" si="519"/>
        <v>-8333</v>
      </c>
      <c r="T91" s="1091">
        <f t="shared" si="10"/>
        <v>-1</v>
      </c>
      <c r="U91" s="1146">
        <f>SUMIFS(BP_SOTIEN,BP_THANG,U$2,BP_KM,$E91)/1000</f>
        <v>8333</v>
      </c>
      <c r="V91" s="1091" t="str">
        <f t="shared" si="794"/>
        <v/>
      </c>
      <c r="W91" s="1091"/>
      <c r="X91" s="1147">
        <f>IF(NOW()&gt;=DATE(YEAR(U$2),MONTH(U$2)+1,DAY(U$2)),SUMIFS(TF_SOTIEN,TF_THANG,U$2,TF_KM,$E91)/1000, AA91)</f>
        <v>0</v>
      </c>
      <c r="Y91" s="1091" t="str">
        <f t="shared" si="795"/>
        <v/>
      </c>
      <c r="Z91" s="1091"/>
      <c r="AA91" s="1147">
        <f>IF(NOW()&gt;=DATE(YEAR(U$2),MONTH(U$2)+1,DAY(U$2)),SUMIFS(AC_SOTIEN,AC_THANG,U$2,AC_KM,$E91),SUMIFS(TF_SOTIEN,TF_THANG,U$2,TF_KM,$E91))/ 1000</f>
        <v>0</v>
      </c>
      <c r="AB91" s="1091">
        <f t="shared" si="796"/>
        <v>0</v>
      </c>
      <c r="AC91" s="1091">
        <f t="shared" si="928"/>
        <v>0</v>
      </c>
      <c r="AD91" s="1147">
        <f t="shared" si="526"/>
        <v>-8333</v>
      </c>
      <c r="AE91" s="1091">
        <f t="shared" si="15"/>
        <v>-1</v>
      </c>
      <c r="AF91" s="1147">
        <f t="shared" si="527"/>
        <v>0</v>
      </c>
      <c r="AG91" s="1091" t="str">
        <f t="shared" si="17"/>
        <v/>
      </c>
      <c r="AH91" s="1146">
        <f>SUMIFS(BP_SOTIEN,BP_THANG,AH$2,BP_KM,$E91)/1000</f>
        <v>8333</v>
      </c>
      <c r="AI91" s="1091" t="str">
        <f t="shared" si="797"/>
        <v/>
      </c>
      <c r="AJ91" s="1091"/>
      <c r="AK91" s="1147">
        <f>IF(NOW()&gt;=DATE(YEAR(AH$2),MONTH(AH$2)+1,DAY(AH$2)),SUMIFS(TF_SOTIEN,TF_THANG,AH$2,TF_KM,$E91)/1000, AN91)</f>
        <v>0</v>
      </c>
      <c r="AL91" s="1091">
        <f t="shared" si="798"/>
        <v>0</v>
      </c>
      <c r="AM91" s="1091"/>
      <c r="AN91" s="1147">
        <f>IF(NOW()&gt;=DATE(YEAR(AH$2),MONTH(AH$2)+1,DAY(AH$2)),SUMIFS(AC_SOTIEN,AC_THANG,AH$2,AC_KM,$E91),SUMIFS(TF_SOTIEN,TF_THANG,AH$2,TF_KM,$E91))/ 1000</f>
        <v>0</v>
      </c>
      <c r="AO91" s="1091">
        <f t="shared" si="799"/>
        <v>0</v>
      </c>
      <c r="AP91" s="1091">
        <f t="shared" si="929"/>
        <v>0</v>
      </c>
      <c r="AQ91" s="1147">
        <f t="shared" si="534"/>
        <v>-8333</v>
      </c>
      <c r="AR91" s="1091">
        <f t="shared" si="22"/>
        <v>-1</v>
      </c>
      <c r="AS91" s="1147">
        <f t="shared" si="535"/>
        <v>0</v>
      </c>
      <c r="AT91" s="1091" t="str">
        <f t="shared" si="24"/>
        <v/>
      </c>
      <c r="AU91" s="1146">
        <f t="shared" si="916"/>
        <v>24999</v>
      </c>
      <c r="AV91" s="1091" t="str">
        <f t="shared" si="800"/>
        <v/>
      </c>
      <c r="AW91" s="1091">
        <f t="shared" si="930"/>
        <v>0.02103262543</v>
      </c>
      <c r="AX91" s="1147">
        <f t="shared" si="917"/>
        <v>8333</v>
      </c>
      <c r="AY91" s="1091">
        <f t="shared" si="801"/>
        <v>0.002240053763</v>
      </c>
      <c r="AZ91" s="1091">
        <f t="shared" si="931"/>
        <v>0.0119014802</v>
      </c>
      <c r="BA91" s="1147">
        <f t="shared" si="918"/>
        <v>0</v>
      </c>
      <c r="BB91" s="1091">
        <f t="shared" si="802"/>
        <v>0</v>
      </c>
      <c r="BC91" s="1091">
        <f t="shared" si="932"/>
        <v>0</v>
      </c>
      <c r="BD91" s="1147">
        <f t="shared" si="545"/>
        <v>-24999</v>
      </c>
      <c r="BE91" s="1091">
        <f t="shared" si="32"/>
        <v>-1</v>
      </c>
      <c r="BF91" s="1147">
        <f t="shared" si="546"/>
        <v>-8333</v>
      </c>
      <c r="BG91" s="1091">
        <f t="shared" si="34"/>
        <v>-1</v>
      </c>
      <c r="BH91" s="1146">
        <f>SUMIFS(BP_SOTIEN,BP_THANG,BH$2,BP_KM,$E91)/1000</f>
        <v>8333</v>
      </c>
      <c r="BI91" s="1091">
        <f t="shared" si="803"/>
        <v>0.00208325</v>
      </c>
      <c r="BJ91" s="1091"/>
      <c r="BK91" s="1147">
        <f>IF(NOW()&gt;=DATE(YEAR(BH$2),MONTH(BH$2)+1,DAY(BH$2)),SUMIFS(TF_SOTIEN,TF_THANG,BH$2,TF_KM,$E91)/1000, BN91)</f>
        <v>0</v>
      </c>
      <c r="BL91" s="1091" t="str">
        <f t="shared" si="804"/>
        <v/>
      </c>
      <c r="BM91" s="1091"/>
      <c r="BN91" s="1147">
        <f>IF(NOW()&gt;=DATE(YEAR(BH$2),MONTH(BH$2)+1,DAY(BH$2)),SUMIFS(AC_SOTIEN,AC_THANG,BH$2,AC_KM,$E91),SUMIFS(TF_SOTIEN,TF_THANG,BH$2,TF_KM,$E91))/ 1000</f>
        <v>0</v>
      </c>
      <c r="BO91" s="1091">
        <f t="shared" si="805"/>
        <v>0</v>
      </c>
      <c r="BP91" s="1091">
        <f t="shared" si="933"/>
        <v>0</v>
      </c>
      <c r="BQ91" s="1147">
        <f t="shared" si="553"/>
        <v>-8333</v>
      </c>
      <c r="BR91" s="1091">
        <f t="shared" si="39"/>
        <v>-1</v>
      </c>
      <c r="BS91" s="1147">
        <f t="shared" si="554"/>
        <v>0</v>
      </c>
      <c r="BT91" s="1091" t="str">
        <f t="shared" si="41"/>
        <v/>
      </c>
      <c r="BU91" s="1146">
        <f>SUMIFS(BP_SOTIEN,BP_THANG,BU$2,BP_KM,$E91)/1000</f>
        <v>8333</v>
      </c>
      <c r="BV91" s="1091">
        <f t="shared" si="806"/>
        <v>0.00208325</v>
      </c>
      <c r="BW91" s="1091"/>
      <c r="BX91" s="1147">
        <f>IF(NOW()&gt;=DATE(YEAR(BU$2),MONTH(BU$2)+1,DAY(BU$2)),SUMIFS(TF_SOTIEN,TF_THANG,BU$2,TF_KM,$E91)/1000, CA91)</f>
        <v>0</v>
      </c>
      <c r="BY91" s="1091">
        <f t="shared" si="807"/>
        <v>0</v>
      </c>
      <c r="BZ91" s="1091"/>
      <c r="CA91" s="1147">
        <f>IF(NOW()&gt;=DATE(YEAR(BU$2),MONTH(BU$2)+1,DAY(BU$2)),SUMIFS(AC_SOTIEN,AC_THANG,BU$2,AC_KM,$E91),SUMIFS(TF_SOTIEN,TF_THANG,BU$2,TF_KM,$E91))/ 1000</f>
        <v>1037</v>
      </c>
      <c r="CB91" s="1091">
        <f t="shared" si="808"/>
        <v>0.00186654475</v>
      </c>
      <c r="CC91" s="1091">
        <f t="shared" si="934"/>
        <v>0.004136675553</v>
      </c>
      <c r="CD91" s="1147">
        <f t="shared" si="561"/>
        <v>-7296</v>
      </c>
      <c r="CE91" s="1091">
        <f t="shared" si="46"/>
        <v>-0.8755550222</v>
      </c>
      <c r="CF91" s="1147">
        <f t="shared" si="562"/>
        <v>1037</v>
      </c>
      <c r="CG91" s="1091" t="str">
        <f t="shared" si="48"/>
        <v/>
      </c>
      <c r="CH91" s="1146">
        <f>SUMIFS(BP_SOTIEN,BP_THANG,CH$2,BP_KM,$E91)/1000</f>
        <v>8333</v>
      </c>
      <c r="CI91" s="1091">
        <f t="shared" si="809"/>
        <v>0.00208325</v>
      </c>
      <c r="CJ91" s="1091"/>
      <c r="CK91" s="1147">
        <f>IF(NOW()&gt;=DATE(YEAR(CH$2),MONTH(CH$2)+1,DAY(CH$2)),SUMIFS(TF_SOTIEN,TF_THANG,CH$2,TF_KM,$E91)/1000, CN91)</f>
        <v>8333</v>
      </c>
      <c r="CL91" s="1091" t="str">
        <f t="shared" si="810"/>
        <v/>
      </c>
      <c r="CM91" s="1091"/>
      <c r="CN91" s="1147">
        <f>IF(NOW()&gt;=DATE(YEAR(CH$2),MONTH(CH$2)+1,DAY(CH$2)),SUMIFS(AC_SOTIEN,AC_THANG,CH$2,AC_KM,$E91),SUMIFS(TF_SOTIEN,TF_THANG,CH$2,TF_KM,$E91))/ 1000</f>
        <v>0</v>
      </c>
      <c r="CO91" s="1091" t="str">
        <f t="shared" si="811"/>
        <v/>
      </c>
      <c r="CP91" s="1091" t="str">
        <f t="shared" si="935"/>
        <v/>
      </c>
      <c r="CQ91" s="1147">
        <f t="shared" si="569"/>
        <v>-8333</v>
      </c>
      <c r="CR91" s="1091">
        <f t="shared" si="53"/>
        <v>-1</v>
      </c>
      <c r="CS91" s="1147">
        <f t="shared" si="570"/>
        <v>-8333</v>
      </c>
      <c r="CT91" s="1091">
        <f t="shared" si="55"/>
        <v>-1</v>
      </c>
      <c r="CU91" s="1146">
        <f t="shared" si="919"/>
        <v>24999</v>
      </c>
      <c r="CV91" s="1091">
        <f t="shared" si="812"/>
        <v>0.00208325</v>
      </c>
      <c r="CW91" s="1091">
        <f t="shared" si="936"/>
        <v>0.02123504568</v>
      </c>
      <c r="CX91" s="1147">
        <f t="shared" si="920"/>
        <v>8333</v>
      </c>
      <c r="CY91" s="1091">
        <f t="shared" si="814"/>
        <v>0.005575940224</v>
      </c>
      <c r="CZ91" s="1091">
        <f t="shared" si="937"/>
        <v>0.01045024838</v>
      </c>
      <c r="DA91" s="1147">
        <f t="shared" si="921"/>
        <v>1037</v>
      </c>
      <c r="DB91" s="1091">
        <f t="shared" si="816"/>
        <v>0.0003285167768</v>
      </c>
      <c r="DC91" s="1091">
        <f t="shared" si="938"/>
        <v>0.002241326688</v>
      </c>
      <c r="DD91" s="1147">
        <f t="shared" si="580"/>
        <v>-23962</v>
      </c>
      <c r="DE91" s="1091">
        <f t="shared" si="63"/>
        <v>-0.9585183407</v>
      </c>
      <c r="DF91" s="1147">
        <f t="shared" si="581"/>
        <v>-7296</v>
      </c>
      <c r="DG91" s="1091">
        <f t="shared" si="65"/>
        <v>-0.8755550222</v>
      </c>
      <c r="DH91" s="1146">
        <f t="shared" si="922"/>
        <v>49998</v>
      </c>
      <c r="DI91" s="1091">
        <f t="shared" si="817"/>
        <v>0.0041665</v>
      </c>
      <c r="DJ91" s="1091">
        <f t="shared" si="939"/>
        <v>0.02113335086</v>
      </c>
      <c r="DK91" s="1147">
        <f t="shared" si="585"/>
        <v>16666</v>
      </c>
      <c r="DL91" s="1091">
        <f t="shared" si="818"/>
        <v>0.003196114507</v>
      </c>
      <c r="DM91" s="1091">
        <f t="shared" si="940"/>
        <v>0.01112875219</v>
      </c>
      <c r="DN91" s="1147">
        <f t="shared" si="588"/>
        <v>1037</v>
      </c>
      <c r="DO91" s="1091">
        <f t="shared" si="819"/>
        <v>0.0002386864466</v>
      </c>
      <c r="DP91" s="1091">
        <f t="shared" si="941"/>
        <v>0.001120191686</v>
      </c>
      <c r="DQ91" s="1147">
        <f t="shared" si="591"/>
        <v>-48961</v>
      </c>
      <c r="DR91" s="1091">
        <f t="shared" si="73"/>
        <v>-0.9792591704</v>
      </c>
      <c r="DS91" s="1147">
        <f t="shared" si="592"/>
        <v>-15629</v>
      </c>
      <c r="DT91" s="1091">
        <f t="shared" si="75"/>
        <v>-0.9377775111</v>
      </c>
      <c r="DU91" s="1146">
        <f>SUMIFS(BP_SOTIEN,BP_THANG,DU$2,BP_KM,$E91)/1000</f>
        <v>8333</v>
      </c>
      <c r="DV91" s="1091">
        <f t="shared" si="820"/>
        <v>0.00208325</v>
      </c>
      <c r="DW91" s="1091"/>
      <c r="DX91" s="1147">
        <f>IF(NOW()&gt;=DATE(YEAR(DU$2),MONTH(DU$2)+1,DAY(DU$2)),SUMIFS(TF_SOTIEN,TF_THANG,DU$2,TF_KM,$E91)/1000, EA91)</f>
        <v>8333</v>
      </c>
      <c r="DY91" s="1091">
        <f t="shared" si="821"/>
        <v>0.001379635771</v>
      </c>
      <c r="DZ91" s="1091"/>
      <c r="EA91" s="1147">
        <f>IF(NOW()&gt;=DATE(YEAR(DU$2),MONTH(DU$2)+1,DAY(DU$2)),SUMIFS(AC_SOTIEN,AC_THANG,DU$2,AC_KM,$E91),SUMIFS(TF_SOTIEN,TF_THANG,DU$2,TF_KM,$E91))/ 1000</f>
        <v>0</v>
      </c>
      <c r="EB91" s="1091" t="str">
        <f t="shared" si="822"/>
        <v/>
      </c>
      <c r="EC91" s="1091" t="str">
        <f t="shared" si="942"/>
        <v/>
      </c>
      <c r="ED91" s="1147">
        <f t="shared" si="599"/>
        <v>-8333</v>
      </c>
      <c r="EE91" s="1091">
        <f t="shared" si="80"/>
        <v>-1</v>
      </c>
      <c r="EF91" s="1147">
        <f t="shared" si="600"/>
        <v>-8333</v>
      </c>
      <c r="EG91" s="1091">
        <f t="shared" si="82"/>
        <v>-1</v>
      </c>
      <c r="EH91" s="1146">
        <f>SUMIFS(BP_SOTIEN,BP_THANG,EH$2,BP_KM,$E91)/1000</f>
        <v>8333</v>
      </c>
      <c r="EI91" s="1091">
        <f t="shared" si="823"/>
        <v>0.00208325</v>
      </c>
      <c r="EJ91" s="1091"/>
      <c r="EK91" s="1147">
        <f>IF(NOW()&gt;=DATE(YEAR(EH$2),MONTH(EH$2)+1,DAY(EH$2)),SUMIFS(TF_SOTIEN,TF_THANG,EH$2,TF_KM,$E91)/1000, EN91)</f>
        <v>8333</v>
      </c>
      <c r="EL91" s="1091">
        <f t="shared" si="824"/>
        <v>0.001379635771</v>
      </c>
      <c r="EM91" s="1091"/>
      <c r="EN91" s="1147">
        <f>IF(NOW()&gt;=DATE(YEAR(EH$2),MONTH(EH$2)+1,DAY(EH$2)),SUMIFS(AC_SOTIEN,AC_THANG,EH$2,AC_KM,$E91),SUMIFS(TF_SOTIEN,TF_THANG,EH$2,TF_KM,$E91))/ 1000</f>
        <v>0</v>
      </c>
      <c r="EO91" s="1091" t="str">
        <f t="shared" si="825"/>
        <v/>
      </c>
      <c r="EP91" s="1091" t="str">
        <f t="shared" si="943"/>
        <v/>
      </c>
      <c r="EQ91" s="1147">
        <f t="shared" si="607"/>
        <v>-8333</v>
      </c>
      <c r="ER91" s="1091">
        <f t="shared" si="87"/>
        <v>-1</v>
      </c>
      <c r="ES91" s="1147">
        <f t="shared" si="608"/>
        <v>-8333</v>
      </c>
      <c r="ET91" s="1091">
        <f t="shared" si="89"/>
        <v>-1</v>
      </c>
      <c r="EU91" s="1146">
        <f>SUMIFS(BP_SOTIEN,BP_THANG,EU$2,BP_KM,$E91)/1000</f>
        <v>8333</v>
      </c>
      <c r="EV91" s="1091">
        <f t="shared" si="826"/>
        <v>0.00208325</v>
      </c>
      <c r="EW91" s="1091"/>
      <c r="EX91" s="1147">
        <f>IF(NOW()&gt;=DATE(YEAR(EU$2),MONTH(EU$2)+1,DAY(EU$2)),SUMIFS(TF_SOTIEN,TF_THANG,EU$2,TF_KM,$E91)/1000, FA91)</f>
        <v>8333</v>
      </c>
      <c r="EY91" s="1091">
        <f t="shared" si="827"/>
        <v>0.001379635771</v>
      </c>
      <c r="EZ91" s="1091"/>
      <c r="FA91" s="1147">
        <f>IF(NOW()&gt;=DATE(YEAR(EU$2),MONTH(EU$2)+1,DAY(EU$2)),SUMIFS(AC_SOTIEN,AC_THANG,EU$2,AC_KM,$E91),SUMIFS(TF_SOTIEN,TF_THANG,EU$2,TF_KM,$E91))/ 1000</f>
        <v>0</v>
      </c>
      <c r="FB91" s="1091" t="str">
        <f t="shared" si="828"/>
        <v/>
      </c>
      <c r="FC91" s="1091" t="str">
        <f t="shared" si="944"/>
        <v/>
      </c>
      <c r="FD91" s="1147">
        <f t="shared" si="616"/>
        <v>-8333</v>
      </c>
      <c r="FE91" s="1091">
        <f t="shared" si="94"/>
        <v>-1</v>
      </c>
      <c r="FF91" s="1147">
        <f t="shared" si="617"/>
        <v>-8333</v>
      </c>
      <c r="FG91" s="1091">
        <f t="shared" si="96"/>
        <v>-1</v>
      </c>
      <c r="FH91" s="1146">
        <f t="shared" si="923"/>
        <v>24999</v>
      </c>
      <c r="FI91" s="1091">
        <f t="shared" si="829"/>
        <v>0.00208325</v>
      </c>
      <c r="FJ91" s="1091">
        <f t="shared" si="945"/>
        <v>0.02131043989</v>
      </c>
      <c r="FK91" s="1147">
        <f t="shared" si="621"/>
        <v>24999</v>
      </c>
      <c r="FL91" s="1091">
        <f t="shared" si="830"/>
        <v>0.001379635771</v>
      </c>
      <c r="FM91" s="1091">
        <f t="shared" si="946"/>
        <v>0.02131043989</v>
      </c>
      <c r="FN91" s="1147">
        <f t="shared" si="624"/>
        <v>0</v>
      </c>
      <c r="FO91" s="1091" t="str">
        <f t="shared" si="831"/>
        <v/>
      </c>
      <c r="FP91" s="1091" t="str">
        <f t="shared" si="947"/>
        <v/>
      </c>
      <c r="FQ91" s="1147">
        <f t="shared" si="627"/>
        <v>-24999</v>
      </c>
      <c r="FR91" s="1091">
        <f t="shared" si="104"/>
        <v>-1</v>
      </c>
      <c r="FS91" s="1147">
        <f t="shared" si="628"/>
        <v>-24999</v>
      </c>
      <c r="FT91" s="1091">
        <f t="shared" si="106"/>
        <v>-1</v>
      </c>
      <c r="FU91" s="1146">
        <f>SUMIFS(BP_SOTIEN,BP_THANG,FU$2,BP_KM,$E91)/1000</f>
        <v>8333</v>
      </c>
      <c r="FV91" s="1091">
        <f t="shared" si="832"/>
        <v>0.00208325</v>
      </c>
      <c r="FW91" s="1091"/>
      <c r="FX91" s="1147">
        <f>IF(NOW()&gt;=DATE(YEAR(FU$2),MONTH(FU$2)+1,DAY(FU$2)),SUMIFS(TF_SOTIEN,TF_THANG,FU$2,TF_KM,$E91)/1000, GA91)</f>
        <v>8333</v>
      </c>
      <c r="FY91" s="1091">
        <f t="shared" si="833"/>
        <v>0.001379635771</v>
      </c>
      <c r="FZ91" s="1091"/>
      <c r="GA91" s="1147">
        <f>IF(NOW()&gt;=DATE(YEAR(FU$2),MONTH(FU$2)+1,DAY(FU$2)),SUMIFS(AC_SOTIEN,AC_THANG,FU$2,AC_KM,$E91),SUMIFS(TF_SOTIEN,TF_THANG,FU$2,TF_KM,$E91))/ 1000</f>
        <v>0</v>
      </c>
      <c r="GB91" s="1091" t="str">
        <f t="shared" si="834"/>
        <v/>
      </c>
      <c r="GC91" s="1091" t="str">
        <f t="shared" si="948"/>
        <v/>
      </c>
      <c r="GD91" s="1147">
        <f t="shared" si="635"/>
        <v>-8333</v>
      </c>
      <c r="GE91" s="1091">
        <f t="shared" si="111"/>
        <v>-1</v>
      </c>
      <c r="GF91" s="1147">
        <f t="shared" si="636"/>
        <v>-8333</v>
      </c>
      <c r="GG91" s="1091">
        <f t="shared" si="113"/>
        <v>-1</v>
      </c>
      <c r="GH91" s="1146">
        <f>SUMIFS(BP_SOTIEN,BP_THANG,GH$2,BP_KM,$E91)/1000</f>
        <v>8333</v>
      </c>
      <c r="GI91" s="1091">
        <f t="shared" si="835"/>
        <v>0.00208325</v>
      </c>
      <c r="GJ91" s="1091"/>
      <c r="GK91" s="1147">
        <f>IF(NOW()&gt;=DATE(YEAR(GH$2),MONTH(GH$2)+1,DAY(GH$2)),SUMIFS(TF_SOTIEN,TF_THANG,GH$2,TF_KM,$E91)/1000, GN91)</f>
        <v>8333</v>
      </c>
      <c r="GL91" s="1091">
        <f t="shared" si="836"/>
        <v>0.001379635771</v>
      </c>
      <c r="GM91" s="1091"/>
      <c r="GN91" s="1147">
        <f>IF(NOW()&gt;=DATE(YEAR(GH$2),MONTH(GH$2)+1,DAY(GH$2)),SUMIFS(AC_SOTIEN,AC_THANG,GH$2,AC_KM,$E91),SUMIFS(TF_SOTIEN,TF_THANG,GH$2,TF_KM,$E91))/ 1000</f>
        <v>0</v>
      </c>
      <c r="GO91" s="1091" t="str">
        <f t="shared" si="837"/>
        <v/>
      </c>
      <c r="GP91" s="1091" t="str">
        <f t="shared" si="949"/>
        <v/>
      </c>
      <c r="GQ91" s="1147">
        <f t="shared" si="643"/>
        <v>-8333</v>
      </c>
      <c r="GR91" s="1091">
        <f t="shared" si="118"/>
        <v>-1</v>
      </c>
      <c r="GS91" s="1147">
        <f t="shared" si="644"/>
        <v>-8333</v>
      </c>
      <c r="GT91" s="1091">
        <f t="shared" si="120"/>
        <v>-1</v>
      </c>
      <c r="GU91" s="1146">
        <f>SUMIFS(BP_SOTIEN,BP_THANG,GU$2,BP_KM,$E91)/1000</f>
        <v>8333</v>
      </c>
      <c r="GV91" s="1091">
        <f t="shared" si="838"/>
        <v>0.00208325</v>
      </c>
      <c r="GW91" s="1091"/>
      <c r="GX91" s="1147">
        <f>IF(NOW()&gt;=DATE(YEAR(GU$2),MONTH(GU$2)+1,DAY(GU$2)),SUMIFS(TF_SOTIEN,TF_THANG,GU$2,TF_KM,$E91)/1000, HA91)</f>
        <v>8333</v>
      </c>
      <c r="GY91" s="1091">
        <f t="shared" si="839"/>
        <v>0.001379635771</v>
      </c>
      <c r="GZ91" s="1091"/>
      <c r="HA91" s="1147">
        <f>IF(NOW()&gt;=DATE(YEAR(GU$2),MONTH(GU$2)+1,DAY(GU$2)),SUMIFS(AC_SOTIEN,AC_THANG,GU$2,AC_KM,$E91),SUMIFS(TF_SOTIEN,TF_THANG,GU$2,TF_KM,$E91))/ 1000</f>
        <v>0</v>
      </c>
      <c r="HB91" s="1091" t="str">
        <f t="shared" si="840"/>
        <v/>
      </c>
      <c r="HC91" s="1091" t="str">
        <f t="shared" si="950"/>
        <v/>
      </c>
      <c r="HD91" s="1147">
        <f t="shared" si="651"/>
        <v>-8333</v>
      </c>
      <c r="HE91" s="1091">
        <f t="shared" si="125"/>
        <v>-1</v>
      </c>
      <c r="HF91" s="1147">
        <f t="shared" si="652"/>
        <v>-8333</v>
      </c>
      <c r="HG91" s="1091">
        <f t="shared" si="127"/>
        <v>-1</v>
      </c>
      <c r="HH91" s="1146">
        <f t="shared" si="924"/>
        <v>24999</v>
      </c>
      <c r="HI91" s="1091">
        <f t="shared" si="841"/>
        <v>0.00208325</v>
      </c>
      <c r="HJ91" s="1091">
        <f t="shared" si="951"/>
        <v>0.02131043989</v>
      </c>
      <c r="HK91" s="1147">
        <f t="shared" si="656"/>
        <v>24999</v>
      </c>
      <c r="HL91" s="1091">
        <f t="shared" si="842"/>
        <v>0.001379635771</v>
      </c>
      <c r="HM91" s="1091">
        <f t="shared" si="952"/>
        <v>0.02131043989</v>
      </c>
      <c r="HN91" s="1147">
        <f t="shared" si="659"/>
        <v>0</v>
      </c>
      <c r="HO91" s="1091" t="str">
        <f t="shared" si="843"/>
        <v/>
      </c>
      <c r="HP91" s="1091" t="str">
        <f t="shared" si="953"/>
        <v/>
      </c>
      <c r="HQ91" s="1147">
        <f t="shared" si="662"/>
        <v>-24999</v>
      </c>
      <c r="HR91" s="1091">
        <f t="shared" si="135"/>
        <v>-1</v>
      </c>
      <c r="HS91" s="1147">
        <f t="shared" si="663"/>
        <v>-24999</v>
      </c>
      <c r="HT91" s="1091">
        <f t="shared" si="137"/>
        <v>-1</v>
      </c>
      <c r="HU91" s="1146">
        <f t="shared" si="925"/>
        <v>49998</v>
      </c>
      <c r="HV91" s="1091">
        <f t="shared" si="844"/>
        <v>0.00208325</v>
      </c>
      <c r="HW91" s="1091">
        <f t="shared" si="954"/>
        <v>0.02131043989</v>
      </c>
      <c r="HX91" s="1147">
        <f t="shared" si="667"/>
        <v>49998</v>
      </c>
      <c r="HY91" s="1091">
        <f t="shared" si="845"/>
        <v>0.001379635771</v>
      </c>
      <c r="HZ91" s="1091">
        <f t="shared" si="955"/>
        <v>0.02131043989</v>
      </c>
      <c r="IA91" s="1147">
        <f t="shared" si="670"/>
        <v>0</v>
      </c>
      <c r="IB91" s="1091" t="str">
        <f t="shared" si="846"/>
        <v/>
      </c>
      <c r="IC91" s="1091" t="str">
        <f t="shared" si="956"/>
        <v/>
      </c>
      <c r="ID91" s="1147">
        <f t="shared" si="673"/>
        <v>-49998</v>
      </c>
      <c r="IE91" s="1091">
        <f t="shared" si="145"/>
        <v>-1</v>
      </c>
      <c r="IF91" s="1147">
        <f t="shared" si="674"/>
        <v>-49998</v>
      </c>
      <c r="IG91" s="1091">
        <f t="shared" si="147"/>
        <v>-1</v>
      </c>
      <c r="IH91" s="1146">
        <f t="shared" si="926"/>
        <v>99996</v>
      </c>
      <c r="II91" s="1091">
        <f t="shared" si="847"/>
        <v>0.002777666667</v>
      </c>
      <c r="IJ91" s="1091">
        <f t="shared" si="957"/>
        <v>0.02122152594</v>
      </c>
      <c r="IK91" s="1147">
        <f t="shared" si="678"/>
        <v>66664</v>
      </c>
      <c r="IL91" s="1091">
        <f t="shared" si="848"/>
        <v>0.001608126268</v>
      </c>
      <c r="IM91" s="1091">
        <f t="shared" si="958"/>
        <v>0.01734354138</v>
      </c>
      <c r="IN91" s="1147">
        <f t="shared" si="681"/>
        <v>1037</v>
      </c>
      <c r="IO91" s="1091">
        <f t="shared" si="849"/>
        <v>0.0002386864466</v>
      </c>
      <c r="IP91" s="1091">
        <f t="shared" si="959"/>
        <v>0.001120191686</v>
      </c>
      <c r="IQ91" s="1147">
        <f t="shared" si="684"/>
        <v>-98959</v>
      </c>
      <c r="IR91" s="1091">
        <f t="shared" si="1"/>
        <v>-0.9896295852</v>
      </c>
      <c r="IS91" s="1147">
        <f t="shared" si="685"/>
        <v>-65627</v>
      </c>
      <c r="IT91" s="1091">
        <f t="shared" si="2"/>
        <v>-0.9844443778</v>
      </c>
    </row>
    <row r="92" outlineLevel="1">
      <c r="A92" s="1087"/>
      <c r="B92" s="1087"/>
      <c r="C92" s="1087"/>
      <c r="D92" s="1087" t="s">
        <v>2853</v>
      </c>
      <c r="E92" s="1087" t="s">
        <v>270</v>
      </c>
      <c r="F92" s="1086">
        <v>642.0</v>
      </c>
      <c r="G92" s="1086">
        <v>2.0</v>
      </c>
      <c r="H92" s="1088">
        <f>SUMIFS(BP_SOTIEN,BP_THANG,H$2,BP_KM,$E92)/1000</f>
        <v>45143</v>
      </c>
      <c r="I92" s="1091" t="str">
        <f t="shared" si="791"/>
        <v/>
      </c>
      <c r="J92" s="1091"/>
      <c r="K92" s="1090">
        <f>IF(NOW()&gt;=DATE(YEAR(H$2),MONTH(H$2)+1,DAY(H$2)),SUMIFS(TF_SOTIEN,TF_THANG,H$2,TF_KM,$E92)/1000, N92)</f>
        <v>45143</v>
      </c>
      <c r="L92" s="1091">
        <f t="shared" si="792"/>
        <v>0.3761916667</v>
      </c>
      <c r="M92" s="1091"/>
      <c r="N92" s="1090">
        <f>IF(NOW()&gt;=DATE(YEAR(H$2),MONTH(H$2)+1,DAY(H$2)),SUMIFS(AC_SOTIEN,AC_THANG,H$2,AC_KM,$E92),SUMIFS(TF_SOTIEN,TF_THANG,H$2,TF_KM,$E92))/ 1000</f>
        <v>49333.001</v>
      </c>
      <c r="O92" s="1091">
        <f t="shared" si="793"/>
        <v>0.1450970618</v>
      </c>
      <c r="P92" s="1091">
        <f t="shared" si="927"/>
        <v>0.4375104105</v>
      </c>
      <c r="Q92" s="1090">
        <f t="shared" si="518"/>
        <v>4190.001</v>
      </c>
      <c r="R92" s="1091">
        <f t="shared" si="8"/>
        <v>0.09281618413</v>
      </c>
      <c r="S92" s="1090">
        <f t="shared" si="519"/>
        <v>4190.001</v>
      </c>
      <c r="T92" s="1091">
        <f t="shared" si="10"/>
        <v>0.09281618413</v>
      </c>
      <c r="U92" s="1088">
        <f>SUMIFS(BP_SOTIEN,BP_THANG,U$2,BP_KM,$E92)/1000</f>
        <v>45143</v>
      </c>
      <c r="V92" s="1091" t="str">
        <f t="shared" si="794"/>
        <v/>
      </c>
      <c r="W92" s="1091"/>
      <c r="X92" s="1090">
        <f>IF(NOW()&gt;=DATE(YEAR(U$2),MONTH(U$2)+1,DAY(U$2)),SUMIFS(TF_SOTIEN,TF_THANG,U$2,TF_KM,$E92)/1000, AA92)</f>
        <v>54383.332</v>
      </c>
      <c r="Y92" s="1091" t="str">
        <f t="shared" si="795"/>
        <v/>
      </c>
      <c r="Z92" s="1091"/>
      <c r="AA92" s="1090">
        <f>IF(NOW()&gt;=DATE(YEAR(U$2),MONTH(U$2)+1,DAY(U$2)),SUMIFS(AC_SOTIEN,AC_THANG,U$2,AC_KM,$E92),SUMIFS(TF_SOTIEN,TF_THANG,U$2,TF_KM,$E92))/ 1000</f>
        <v>49358.33</v>
      </c>
      <c r="AB92" s="1091">
        <f t="shared" si="796"/>
        <v>0.2742129444</v>
      </c>
      <c r="AC92" s="1091">
        <f t="shared" si="928"/>
        <v>0.3425429948</v>
      </c>
      <c r="AD92" s="1090">
        <f t="shared" si="526"/>
        <v>4215.33</v>
      </c>
      <c r="AE92" s="1091">
        <f t="shared" si="15"/>
        <v>0.09337726779</v>
      </c>
      <c r="AF92" s="1090">
        <f t="shared" si="527"/>
        <v>-5025.002</v>
      </c>
      <c r="AG92" s="1091">
        <f t="shared" si="17"/>
        <v>-0.09239967128</v>
      </c>
      <c r="AH92" s="1088">
        <f>SUMIFS(BP_SOTIEN,BP_THANG,AH$2,BP_KM,$E92)/1000</f>
        <v>45143</v>
      </c>
      <c r="AI92" s="1091" t="str">
        <f t="shared" si="797"/>
        <v/>
      </c>
      <c r="AJ92" s="1091"/>
      <c r="AK92" s="1090">
        <f>IF(NOW()&gt;=DATE(YEAR(AH$2),MONTH(AH$2)+1,DAY(AH$2)),SUMIFS(TF_SOTIEN,TF_THANG,AH$2,TF_KM,$E92)/1000, AN92)</f>
        <v>54383.332</v>
      </c>
      <c r="AL92" s="1091">
        <f t="shared" si="798"/>
        <v>0.01510648111</v>
      </c>
      <c r="AM92" s="1091"/>
      <c r="AN92" s="1090">
        <f>IF(NOW()&gt;=DATE(YEAR(AH$2),MONTH(AH$2)+1,DAY(AH$2)),SUMIFS(AC_SOTIEN,AC_THANG,AH$2,AC_KM,$E92),SUMIFS(TF_SOTIEN,TF_THANG,AH$2,TF_KM,$E92))/ 1000</f>
        <v>45333.002</v>
      </c>
      <c r="AO92" s="1091">
        <f t="shared" si="799"/>
        <v>0.06786377545</v>
      </c>
      <c r="AP92" s="1091">
        <f t="shared" si="929"/>
        <v>0.2198392945</v>
      </c>
      <c r="AQ92" s="1090">
        <f t="shared" si="534"/>
        <v>190.002</v>
      </c>
      <c r="AR92" s="1091">
        <f t="shared" si="22"/>
        <v>0.004208891744</v>
      </c>
      <c r="AS92" s="1090">
        <f t="shared" si="535"/>
        <v>-9050.33</v>
      </c>
      <c r="AT92" s="1091">
        <f t="shared" si="24"/>
        <v>-0.1664173501</v>
      </c>
      <c r="AU92" s="1088">
        <f t="shared" si="916"/>
        <v>135429</v>
      </c>
      <c r="AV92" s="1091" t="str">
        <f t="shared" si="800"/>
        <v/>
      </c>
      <c r="AW92" s="1091">
        <f t="shared" si="930"/>
        <v>0.1139416548</v>
      </c>
      <c r="AX92" s="1090">
        <f t="shared" si="917"/>
        <v>153909.664</v>
      </c>
      <c r="AY92" s="1091">
        <f t="shared" si="801"/>
        <v>0.04137356559</v>
      </c>
      <c r="AZ92" s="1091">
        <f t="shared" si="931"/>
        <v>0.2198191309</v>
      </c>
      <c r="BA92" s="1090">
        <f t="shared" si="918"/>
        <v>144024.333</v>
      </c>
      <c r="BB92" s="1091">
        <f t="shared" si="802"/>
        <v>0.1212326035</v>
      </c>
      <c r="BC92" s="1091">
        <f t="shared" si="932"/>
        <v>0.3110260125</v>
      </c>
      <c r="BD92" s="1090">
        <f t="shared" si="545"/>
        <v>8595.333</v>
      </c>
      <c r="BE92" s="1091">
        <f t="shared" si="32"/>
        <v>0.06346744789</v>
      </c>
      <c r="BF92" s="1090">
        <f t="shared" si="546"/>
        <v>-9885.331</v>
      </c>
      <c r="BG92" s="1091">
        <f t="shared" si="34"/>
        <v>-0.0642281371</v>
      </c>
      <c r="BH92" s="1088">
        <f>SUMIFS(BP_SOTIEN,BP_THANG,BH$2,BP_KM,$E92)/1000</f>
        <v>45143</v>
      </c>
      <c r="BI92" s="1091">
        <f t="shared" si="803"/>
        <v>0.01128575</v>
      </c>
      <c r="BJ92" s="1091"/>
      <c r="BK92" s="1090">
        <f>IF(NOW()&gt;=DATE(YEAR(BH$2),MONTH(BH$2)+1,DAY(BH$2)),SUMIFS(TF_SOTIEN,TF_THANG,BH$2,TF_KM,$E92)/1000, BN92)</f>
        <v>54383.332</v>
      </c>
      <c r="BL92" s="1091" t="str">
        <f t="shared" si="804"/>
        <v/>
      </c>
      <c r="BM92" s="1091"/>
      <c r="BN92" s="1090">
        <f>IF(NOW()&gt;=DATE(YEAR(BH$2),MONTH(BH$2)+1,DAY(BH$2)),SUMIFS(AC_SOTIEN,AC_THANG,BH$2,AC_KM,$E92),SUMIFS(TF_SOTIEN,TF_THANG,BH$2,TF_KM,$E92))/ 1000</f>
        <v>48666.666</v>
      </c>
      <c r="BO92" s="1091">
        <f t="shared" si="805"/>
        <v>0.01871046428</v>
      </c>
      <c r="BP92" s="1091">
        <f t="shared" si="933"/>
        <v>0.2295727313</v>
      </c>
      <c r="BQ92" s="1090">
        <f t="shared" si="553"/>
        <v>3523.666</v>
      </c>
      <c r="BR92" s="1091">
        <f t="shared" si="39"/>
        <v>0.07805564539</v>
      </c>
      <c r="BS92" s="1090">
        <f t="shared" si="554"/>
        <v>-5716.666</v>
      </c>
      <c r="BT92" s="1091">
        <f t="shared" si="41"/>
        <v>-0.1051179799</v>
      </c>
      <c r="BU92" s="1088">
        <f>SUMIFS(BP_SOTIEN,BP_THANG,BU$2,BP_KM,$E92)/1000</f>
        <v>45143</v>
      </c>
      <c r="BV92" s="1091">
        <f t="shared" si="806"/>
        <v>0.01128575</v>
      </c>
      <c r="BW92" s="1091"/>
      <c r="BX92" s="1090">
        <f>IF(NOW()&gt;=DATE(YEAR(BU$2),MONTH(BU$2)+1,DAY(BU$2)),SUMIFS(TF_SOTIEN,TF_THANG,BU$2,TF_KM,$E92)/1000, CA92)</f>
        <v>48666.666</v>
      </c>
      <c r="BY92" s="1091">
        <f t="shared" si="807"/>
        <v>0.03256479305</v>
      </c>
      <c r="BZ92" s="1091"/>
      <c r="CA92" s="1090">
        <f>IF(NOW()&gt;=DATE(YEAR(BU$2),MONTH(BU$2)+1,DAY(BU$2)),SUMIFS(AC_SOTIEN,AC_THANG,BU$2,AC_KM,$E92),SUMIFS(TF_SOTIEN,TF_THANG,BU$2,TF_KM,$E92))/ 1000</f>
        <v>48333</v>
      </c>
      <c r="CB92" s="1091">
        <f t="shared" si="808"/>
        <v>0.08699682489</v>
      </c>
      <c r="CC92" s="1091">
        <f t="shared" si="934"/>
        <v>0.1928041847</v>
      </c>
      <c r="CD92" s="1090">
        <f t="shared" si="561"/>
        <v>3190</v>
      </c>
      <c r="CE92" s="1091">
        <f t="shared" si="46"/>
        <v>0.07066433334</v>
      </c>
      <c r="CF92" s="1090">
        <f t="shared" si="562"/>
        <v>-333.666</v>
      </c>
      <c r="CG92" s="1091">
        <f t="shared" si="48"/>
        <v>-0.006856150779</v>
      </c>
      <c r="CH92" s="1088">
        <f>SUMIFS(BP_SOTIEN,BP_THANG,CH$2,BP_KM,$E92)/1000</f>
        <v>45143</v>
      </c>
      <c r="CI92" s="1091">
        <f t="shared" si="809"/>
        <v>0.01128575</v>
      </c>
      <c r="CJ92" s="1091"/>
      <c r="CK92" s="1090">
        <f>IF(NOW()&gt;=DATE(YEAR(CH$2),MONTH(CH$2)+1,DAY(CH$2)),SUMIFS(TF_SOTIEN,TF_THANG,CH$2,TF_KM,$E92)/1000, CN92)</f>
        <v>48666</v>
      </c>
      <c r="CL92" s="1091" t="str">
        <f t="shared" si="810"/>
        <v/>
      </c>
      <c r="CM92" s="1091"/>
      <c r="CN92" s="1090">
        <f>IF(NOW()&gt;=DATE(YEAR(CH$2),MONTH(CH$2)+1,DAY(CH$2)),SUMIFS(AC_SOTIEN,AC_THANG,CH$2,AC_KM,$E92),SUMIFS(TF_SOTIEN,TF_THANG,CH$2,TF_KM,$E92))/ 1000</f>
        <v>0</v>
      </c>
      <c r="CO92" s="1091" t="str">
        <f t="shared" si="811"/>
        <v/>
      </c>
      <c r="CP92" s="1091" t="str">
        <f t="shared" si="935"/>
        <v/>
      </c>
      <c r="CQ92" s="1090">
        <f t="shared" si="569"/>
        <v>-45143</v>
      </c>
      <c r="CR92" s="1091">
        <f t="shared" si="53"/>
        <v>-1</v>
      </c>
      <c r="CS92" s="1090">
        <f t="shared" si="570"/>
        <v>-48666</v>
      </c>
      <c r="CT92" s="1091">
        <f t="shared" si="55"/>
        <v>-1</v>
      </c>
      <c r="CU92" s="1088">
        <f t="shared" si="919"/>
        <v>135429</v>
      </c>
      <c r="CV92" s="1091">
        <f t="shared" si="812"/>
        <v>0.01128575</v>
      </c>
      <c r="CW92" s="1091">
        <f t="shared" si="936"/>
        <v>0.1150382416</v>
      </c>
      <c r="CX92" s="1090">
        <f t="shared" si="920"/>
        <v>151715.998</v>
      </c>
      <c r="CY92" s="1091">
        <f t="shared" si="814"/>
        <v>0.1015191811</v>
      </c>
      <c r="CZ92" s="1091">
        <f t="shared" si="937"/>
        <v>0.1902639941</v>
      </c>
      <c r="DA92" s="1090">
        <f t="shared" si="921"/>
        <v>96999.666</v>
      </c>
      <c r="DB92" s="1091">
        <f t="shared" si="816"/>
        <v>0.03072904304</v>
      </c>
      <c r="DC92" s="1091">
        <f t="shared" si="938"/>
        <v>0.2096508583</v>
      </c>
      <c r="DD92" s="1090">
        <f t="shared" si="580"/>
        <v>-38429.334</v>
      </c>
      <c r="DE92" s="1091">
        <f t="shared" si="63"/>
        <v>-0.2837600071</v>
      </c>
      <c r="DF92" s="1090">
        <f t="shared" si="581"/>
        <v>-54716.332</v>
      </c>
      <c r="DG92" s="1091">
        <f t="shared" si="65"/>
        <v>-0.3606497187</v>
      </c>
      <c r="DH92" s="1088">
        <f t="shared" si="922"/>
        <v>270858</v>
      </c>
      <c r="DI92" s="1091">
        <f t="shared" si="817"/>
        <v>0.0225715</v>
      </c>
      <c r="DJ92" s="1091">
        <f t="shared" si="939"/>
        <v>0.1144873224</v>
      </c>
      <c r="DK92" s="1090">
        <f t="shared" si="585"/>
        <v>305625.662</v>
      </c>
      <c r="DL92" s="1091">
        <f t="shared" si="818"/>
        <v>0.05861122116</v>
      </c>
      <c r="DM92" s="1091">
        <f t="shared" si="940"/>
        <v>0.2040820986</v>
      </c>
      <c r="DN92" s="1090">
        <f t="shared" si="588"/>
        <v>241023.999</v>
      </c>
      <c r="DO92" s="1091">
        <f t="shared" si="819"/>
        <v>0.05547653024</v>
      </c>
      <c r="DP92" s="1091">
        <f t="shared" si="941"/>
        <v>0.2603597685</v>
      </c>
      <c r="DQ92" s="1090">
        <f t="shared" si="591"/>
        <v>-29834.001</v>
      </c>
      <c r="DR92" s="1091">
        <f t="shared" si="73"/>
        <v>-0.1101462796</v>
      </c>
      <c r="DS92" s="1090">
        <f t="shared" si="592"/>
        <v>-64601.663</v>
      </c>
      <c r="DT92" s="1091">
        <f t="shared" si="75"/>
        <v>-0.2113751266</v>
      </c>
      <c r="DU92" s="1088">
        <f>SUMIFS(BP_SOTIEN,BP_THANG,DU$2,BP_KM,$E92)/1000</f>
        <v>45143</v>
      </c>
      <c r="DV92" s="1091">
        <f t="shared" si="820"/>
        <v>0.01128575</v>
      </c>
      <c r="DW92" s="1091"/>
      <c r="DX92" s="1090">
        <f>IF(NOW()&gt;=DATE(YEAR(DU$2),MONTH(DU$2)+1,DAY(DU$2)),SUMIFS(TF_SOTIEN,TF_THANG,DU$2,TF_KM,$E92)/1000, EA92)</f>
        <v>45143</v>
      </c>
      <c r="DY92" s="1091">
        <f t="shared" si="821"/>
        <v>0.007474006672</v>
      </c>
      <c r="DZ92" s="1091"/>
      <c r="EA92" s="1090">
        <f>IF(NOW()&gt;=DATE(YEAR(DU$2),MONTH(DU$2)+1,DAY(DU$2)),SUMIFS(AC_SOTIEN,AC_THANG,DU$2,AC_KM,$E92),SUMIFS(TF_SOTIEN,TF_THANG,DU$2,TF_KM,$E92))/ 1000</f>
        <v>0</v>
      </c>
      <c r="EB92" s="1091" t="str">
        <f t="shared" si="822"/>
        <v/>
      </c>
      <c r="EC92" s="1091" t="str">
        <f t="shared" si="942"/>
        <v/>
      </c>
      <c r="ED92" s="1090">
        <f t="shared" si="599"/>
        <v>-45143</v>
      </c>
      <c r="EE92" s="1091">
        <f t="shared" si="80"/>
        <v>-1</v>
      </c>
      <c r="EF92" s="1090">
        <f t="shared" si="600"/>
        <v>-45143</v>
      </c>
      <c r="EG92" s="1091">
        <f t="shared" si="82"/>
        <v>-1</v>
      </c>
      <c r="EH92" s="1088">
        <f>SUMIFS(BP_SOTIEN,BP_THANG,EH$2,BP_KM,$E92)/1000</f>
        <v>45143</v>
      </c>
      <c r="EI92" s="1091">
        <f t="shared" si="823"/>
        <v>0.01128575</v>
      </c>
      <c r="EJ92" s="1091"/>
      <c r="EK92" s="1090">
        <f>IF(NOW()&gt;=DATE(YEAR(EH$2),MONTH(EH$2)+1,DAY(EH$2)),SUMIFS(TF_SOTIEN,TF_THANG,EH$2,TF_KM,$E92)/1000, EN92)</f>
        <v>45143</v>
      </c>
      <c r="EL92" s="1091">
        <f t="shared" si="824"/>
        <v>0.007474006672</v>
      </c>
      <c r="EM92" s="1091"/>
      <c r="EN92" s="1090">
        <f>IF(NOW()&gt;=DATE(YEAR(EH$2),MONTH(EH$2)+1,DAY(EH$2)),SUMIFS(AC_SOTIEN,AC_THANG,EH$2,AC_KM,$E92),SUMIFS(TF_SOTIEN,TF_THANG,EH$2,TF_KM,$E92))/ 1000</f>
        <v>0</v>
      </c>
      <c r="EO92" s="1091" t="str">
        <f t="shared" si="825"/>
        <v/>
      </c>
      <c r="EP92" s="1091" t="str">
        <f t="shared" si="943"/>
        <v/>
      </c>
      <c r="EQ92" s="1090">
        <f t="shared" si="607"/>
        <v>-45143</v>
      </c>
      <c r="ER92" s="1091">
        <f t="shared" si="87"/>
        <v>-1</v>
      </c>
      <c r="ES92" s="1090">
        <f t="shared" si="608"/>
        <v>-45143</v>
      </c>
      <c r="ET92" s="1091">
        <f t="shared" si="89"/>
        <v>-1</v>
      </c>
      <c r="EU92" s="1088">
        <f>SUMIFS(BP_SOTIEN,BP_THANG,EU$2,BP_KM,$E92)/1000</f>
        <v>45143</v>
      </c>
      <c r="EV92" s="1091">
        <f t="shared" si="826"/>
        <v>0.01128575</v>
      </c>
      <c r="EW92" s="1091"/>
      <c r="EX92" s="1090">
        <f>IF(NOW()&gt;=DATE(YEAR(EU$2),MONTH(EU$2)+1,DAY(EU$2)),SUMIFS(TF_SOTIEN,TF_THANG,EU$2,TF_KM,$E92)/1000, FA92)</f>
        <v>45143</v>
      </c>
      <c r="EY92" s="1091">
        <f t="shared" si="827"/>
        <v>0.007474006672</v>
      </c>
      <c r="EZ92" s="1091"/>
      <c r="FA92" s="1090">
        <f>IF(NOW()&gt;=DATE(YEAR(EU$2),MONTH(EU$2)+1,DAY(EU$2)),SUMIFS(AC_SOTIEN,AC_THANG,EU$2,AC_KM,$E92),SUMIFS(TF_SOTIEN,TF_THANG,EU$2,TF_KM,$E92))/ 1000</f>
        <v>0</v>
      </c>
      <c r="FB92" s="1091" t="str">
        <f t="shared" si="828"/>
        <v/>
      </c>
      <c r="FC92" s="1091" t="str">
        <f t="shared" si="944"/>
        <v/>
      </c>
      <c r="FD92" s="1090">
        <f t="shared" si="616"/>
        <v>-45143</v>
      </c>
      <c r="FE92" s="1091">
        <f t="shared" si="94"/>
        <v>-1</v>
      </c>
      <c r="FF92" s="1090">
        <f t="shared" si="617"/>
        <v>-45143</v>
      </c>
      <c r="FG92" s="1091">
        <f t="shared" si="96"/>
        <v>-1</v>
      </c>
      <c r="FH92" s="1088">
        <f t="shared" si="923"/>
        <v>135429</v>
      </c>
      <c r="FI92" s="1091">
        <f t="shared" si="829"/>
        <v>0.01128575</v>
      </c>
      <c r="FJ92" s="1091">
        <f t="shared" si="945"/>
        <v>0.1154466804</v>
      </c>
      <c r="FK92" s="1090">
        <f t="shared" si="621"/>
        <v>135429</v>
      </c>
      <c r="FL92" s="1091">
        <f t="shared" si="830"/>
        <v>0.007474006672</v>
      </c>
      <c r="FM92" s="1091">
        <f t="shared" si="946"/>
        <v>0.1154466804</v>
      </c>
      <c r="FN92" s="1090">
        <f t="shared" si="624"/>
        <v>0</v>
      </c>
      <c r="FO92" s="1091" t="str">
        <f t="shared" si="831"/>
        <v/>
      </c>
      <c r="FP92" s="1091" t="str">
        <f t="shared" si="947"/>
        <v/>
      </c>
      <c r="FQ92" s="1090">
        <f t="shared" si="627"/>
        <v>-135429</v>
      </c>
      <c r="FR92" s="1091">
        <f t="shared" si="104"/>
        <v>-1</v>
      </c>
      <c r="FS92" s="1090">
        <f t="shared" si="628"/>
        <v>-135429</v>
      </c>
      <c r="FT92" s="1091">
        <f t="shared" si="106"/>
        <v>-1</v>
      </c>
      <c r="FU92" s="1088">
        <f>SUMIFS(BP_SOTIEN,BP_THANG,FU$2,BP_KM,$E92)/1000</f>
        <v>45143</v>
      </c>
      <c r="FV92" s="1091">
        <f t="shared" si="832"/>
        <v>0.01128575</v>
      </c>
      <c r="FW92" s="1091"/>
      <c r="FX92" s="1090">
        <f>IF(NOW()&gt;=DATE(YEAR(FU$2),MONTH(FU$2)+1,DAY(FU$2)),SUMIFS(TF_SOTIEN,TF_THANG,FU$2,TF_KM,$E92)/1000, GA92)</f>
        <v>45143</v>
      </c>
      <c r="FY92" s="1091">
        <f t="shared" si="833"/>
        <v>0.007474006672</v>
      </c>
      <c r="FZ92" s="1091"/>
      <c r="GA92" s="1090">
        <f>IF(NOW()&gt;=DATE(YEAR(FU$2),MONTH(FU$2)+1,DAY(FU$2)),SUMIFS(AC_SOTIEN,AC_THANG,FU$2,AC_KM,$E92),SUMIFS(TF_SOTIEN,TF_THANG,FU$2,TF_KM,$E92))/ 1000</f>
        <v>0</v>
      </c>
      <c r="GB92" s="1091" t="str">
        <f t="shared" si="834"/>
        <v/>
      </c>
      <c r="GC92" s="1091" t="str">
        <f t="shared" si="948"/>
        <v/>
      </c>
      <c r="GD92" s="1090">
        <f t="shared" si="635"/>
        <v>-45143</v>
      </c>
      <c r="GE92" s="1091">
        <f t="shared" si="111"/>
        <v>-1</v>
      </c>
      <c r="GF92" s="1090">
        <f t="shared" si="636"/>
        <v>-45143</v>
      </c>
      <c r="GG92" s="1091">
        <f t="shared" si="113"/>
        <v>-1</v>
      </c>
      <c r="GH92" s="1088">
        <f>SUMIFS(BP_SOTIEN,BP_THANG,GH$2,BP_KM,$E92)/1000</f>
        <v>45143</v>
      </c>
      <c r="GI92" s="1091">
        <f t="shared" si="835"/>
        <v>0.01128575</v>
      </c>
      <c r="GJ92" s="1091"/>
      <c r="GK92" s="1090">
        <f>IF(NOW()&gt;=DATE(YEAR(GH$2),MONTH(GH$2)+1,DAY(GH$2)),SUMIFS(TF_SOTIEN,TF_THANG,GH$2,TF_KM,$E92)/1000, GN92)</f>
        <v>45143</v>
      </c>
      <c r="GL92" s="1091">
        <f t="shared" si="836"/>
        <v>0.007474006672</v>
      </c>
      <c r="GM92" s="1091"/>
      <c r="GN92" s="1090">
        <f>IF(NOW()&gt;=DATE(YEAR(GH$2),MONTH(GH$2)+1,DAY(GH$2)),SUMIFS(AC_SOTIEN,AC_THANG,GH$2,AC_KM,$E92),SUMIFS(TF_SOTIEN,TF_THANG,GH$2,TF_KM,$E92))/ 1000</f>
        <v>0</v>
      </c>
      <c r="GO92" s="1091" t="str">
        <f t="shared" si="837"/>
        <v/>
      </c>
      <c r="GP92" s="1091" t="str">
        <f t="shared" si="949"/>
        <v/>
      </c>
      <c r="GQ92" s="1090">
        <f t="shared" si="643"/>
        <v>-45143</v>
      </c>
      <c r="GR92" s="1091">
        <f t="shared" si="118"/>
        <v>-1</v>
      </c>
      <c r="GS92" s="1090">
        <f t="shared" si="644"/>
        <v>-45143</v>
      </c>
      <c r="GT92" s="1091">
        <f t="shared" si="120"/>
        <v>-1</v>
      </c>
      <c r="GU92" s="1088">
        <f>SUMIFS(BP_SOTIEN,BP_THANG,GU$2,BP_KM,$E92)/1000</f>
        <v>45143</v>
      </c>
      <c r="GV92" s="1091">
        <f t="shared" si="838"/>
        <v>0.01128575</v>
      </c>
      <c r="GW92" s="1091"/>
      <c r="GX92" s="1090">
        <f>IF(NOW()&gt;=DATE(YEAR(GU$2),MONTH(GU$2)+1,DAY(GU$2)),SUMIFS(TF_SOTIEN,TF_THANG,GU$2,TF_KM,$E92)/1000, HA92)</f>
        <v>45143</v>
      </c>
      <c r="GY92" s="1091">
        <f t="shared" si="839"/>
        <v>0.007474006672</v>
      </c>
      <c r="GZ92" s="1091"/>
      <c r="HA92" s="1090">
        <f>IF(NOW()&gt;=DATE(YEAR(GU$2),MONTH(GU$2)+1,DAY(GU$2)),SUMIFS(AC_SOTIEN,AC_THANG,GU$2,AC_KM,$E92),SUMIFS(TF_SOTIEN,TF_THANG,GU$2,TF_KM,$E92))/ 1000</f>
        <v>0</v>
      </c>
      <c r="HB92" s="1091" t="str">
        <f t="shared" si="840"/>
        <v/>
      </c>
      <c r="HC92" s="1091" t="str">
        <f t="shared" si="950"/>
        <v/>
      </c>
      <c r="HD92" s="1090">
        <f t="shared" si="651"/>
        <v>-45143</v>
      </c>
      <c r="HE92" s="1091">
        <f t="shared" si="125"/>
        <v>-1</v>
      </c>
      <c r="HF92" s="1090">
        <f t="shared" si="652"/>
        <v>-45143</v>
      </c>
      <c r="HG92" s="1091">
        <f t="shared" si="127"/>
        <v>-1</v>
      </c>
      <c r="HH92" s="1088">
        <f t="shared" si="924"/>
        <v>135429</v>
      </c>
      <c r="HI92" s="1091">
        <f t="shared" si="841"/>
        <v>0.01128575</v>
      </c>
      <c r="HJ92" s="1091">
        <f t="shared" si="951"/>
        <v>0.1154466804</v>
      </c>
      <c r="HK92" s="1090">
        <f t="shared" si="656"/>
        <v>135429</v>
      </c>
      <c r="HL92" s="1091">
        <f t="shared" si="842"/>
        <v>0.007474006672</v>
      </c>
      <c r="HM92" s="1091">
        <f t="shared" si="952"/>
        <v>0.1154466804</v>
      </c>
      <c r="HN92" s="1090">
        <f t="shared" si="659"/>
        <v>0</v>
      </c>
      <c r="HO92" s="1091" t="str">
        <f t="shared" si="843"/>
        <v/>
      </c>
      <c r="HP92" s="1091" t="str">
        <f t="shared" si="953"/>
        <v/>
      </c>
      <c r="HQ92" s="1090">
        <f t="shared" si="662"/>
        <v>-135429</v>
      </c>
      <c r="HR92" s="1091">
        <f t="shared" si="135"/>
        <v>-1</v>
      </c>
      <c r="HS92" s="1090">
        <f t="shared" si="663"/>
        <v>-135429</v>
      </c>
      <c r="HT92" s="1091">
        <f t="shared" si="137"/>
        <v>-1</v>
      </c>
      <c r="HU92" s="1088">
        <f t="shared" si="925"/>
        <v>270858</v>
      </c>
      <c r="HV92" s="1091">
        <f t="shared" si="844"/>
        <v>0.01128575</v>
      </c>
      <c r="HW92" s="1091">
        <f t="shared" si="954"/>
        <v>0.1154466804</v>
      </c>
      <c r="HX92" s="1090">
        <f t="shared" si="667"/>
        <v>270858</v>
      </c>
      <c r="HY92" s="1091">
        <f t="shared" si="845"/>
        <v>0.007474006672</v>
      </c>
      <c r="HZ92" s="1091">
        <f t="shared" si="955"/>
        <v>0.1154466804</v>
      </c>
      <c r="IA92" s="1090">
        <f t="shared" si="670"/>
        <v>0</v>
      </c>
      <c r="IB92" s="1091" t="str">
        <f t="shared" si="846"/>
        <v/>
      </c>
      <c r="IC92" s="1091" t="str">
        <f t="shared" si="956"/>
        <v/>
      </c>
      <c r="ID92" s="1090">
        <f t="shared" si="673"/>
        <v>-270858</v>
      </c>
      <c r="IE92" s="1091">
        <f t="shared" si="145"/>
        <v>-1</v>
      </c>
      <c r="IF92" s="1090">
        <f t="shared" si="674"/>
        <v>-270858</v>
      </c>
      <c r="IG92" s="1091">
        <f t="shared" si="147"/>
        <v>-1</v>
      </c>
      <c r="IH92" s="1088">
        <f t="shared" si="926"/>
        <v>541716</v>
      </c>
      <c r="II92" s="1091">
        <f t="shared" si="847"/>
        <v>0.01504766667</v>
      </c>
      <c r="IJ92" s="1091">
        <f t="shared" si="957"/>
        <v>0.1149650001</v>
      </c>
      <c r="IK92" s="1090">
        <f t="shared" si="678"/>
        <v>576483.662</v>
      </c>
      <c r="IL92" s="1091">
        <f t="shared" si="848"/>
        <v>0.01390643406</v>
      </c>
      <c r="IM92" s="1091">
        <f t="shared" si="958"/>
        <v>0.1499800229</v>
      </c>
      <c r="IN92" s="1090">
        <f t="shared" si="681"/>
        <v>241023.999</v>
      </c>
      <c r="IO92" s="1091">
        <f t="shared" si="849"/>
        <v>0.05547653024</v>
      </c>
      <c r="IP92" s="1091">
        <f t="shared" si="959"/>
        <v>0.2603597685</v>
      </c>
      <c r="IQ92" s="1090">
        <f t="shared" si="684"/>
        <v>-300692.001</v>
      </c>
      <c r="IR92" s="1091">
        <f t="shared" si="1"/>
        <v>-0.5550731398</v>
      </c>
      <c r="IS92" s="1090">
        <f t="shared" si="685"/>
        <v>-335459.663</v>
      </c>
      <c r="IT92" s="1091">
        <f t="shared" si="2"/>
        <v>-0.5819066265</v>
      </c>
    </row>
    <row r="93" outlineLevel="1">
      <c r="A93" s="1087"/>
      <c r="B93" s="1087"/>
      <c r="C93" s="1087"/>
      <c r="D93" s="1087" t="s">
        <v>2854</v>
      </c>
      <c r="E93" s="1087"/>
      <c r="F93" s="1086">
        <v>642.0</v>
      </c>
      <c r="G93" s="1086">
        <v>2.0</v>
      </c>
      <c r="H93" s="1088">
        <f>SUM(H94:H110)</f>
        <v>21825</v>
      </c>
      <c r="I93" s="1091" t="str">
        <f t="shared" si="791"/>
        <v/>
      </c>
      <c r="J93" s="1091">
        <f>IFERROR(H93/H$84,"")</f>
        <v>0.054809967</v>
      </c>
      <c r="K93" s="1090">
        <f>SUM(K94:K110)</f>
        <v>21825</v>
      </c>
      <c r="L93" s="1091">
        <f t="shared" si="792"/>
        <v>0.181875</v>
      </c>
      <c r="M93" s="1091">
        <f>IFERROR(K93/K$84,"")</f>
        <v>0.054809967</v>
      </c>
      <c r="N93" s="1088">
        <f>SUM(N94:N110)</f>
        <v>10171.79</v>
      </c>
      <c r="O93" s="1091">
        <f t="shared" si="793"/>
        <v>0.02991702941</v>
      </c>
      <c r="P93" s="1091">
        <f t="shared" si="927"/>
        <v>0.09020866212</v>
      </c>
      <c r="Q93" s="1130">
        <f t="shared" si="518"/>
        <v>-11653.21</v>
      </c>
      <c r="R93" s="1132">
        <f t="shared" si="8"/>
        <v>-0.5339386025</v>
      </c>
      <c r="S93" s="1130">
        <f t="shared" si="519"/>
        <v>-11653.21</v>
      </c>
      <c r="T93" s="1132">
        <f t="shared" si="10"/>
        <v>-0.5339386025</v>
      </c>
      <c r="U93" s="1088">
        <f>SUM(U94:U110)</f>
        <v>18825</v>
      </c>
      <c r="V93" s="1091" t="str">
        <f t="shared" si="794"/>
        <v/>
      </c>
      <c r="W93" s="1091">
        <f>IFERROR(U93/U$84,"")</f>
        <v>0.04763483251</v>
      </c>
      <c r="X93" s="1090">
        <f>SUM(X94:X110)</f>
        <v>12117.5</v>
      </c>
      <c r="Y93" s="1091" t="str">
        <f t="shared" si="795"/>
        <v/>
      </c>
      <c r="Z93" s="1091">
        <f>IFERROR(X93/X$84,"")</f>
        <v>0.08025604842</v>
      </c>
      <c r="AA93" s="1088">
        <f>SUM(AA94:AA110)</f>
        <v>10329.351</v>
      </c>
      <c r="AB93" s="1091">
        <f t="shared" si="796"/>
        <v>0.05738528333</v>
      </c>
      <c r="AC93" s="1091">
        <f t="shared" si="928"/>
        <v>0.07168489747</v>
      </c>
      <c r="AD93" s="1130">
        <f t="shared" si="526"/>
        <v>-8495.649</v>
      </c>
      <c r="AE93" s="1132">
        <f t="shared" si="15"/>
        <v>-0.4512960956</v>
      </c>
      <c r="AF93" s="1130">
        <f t="shared" si="527"/>
        <v>-1788.149</v>
      </c>
      <c r="AG93" s="1132">
        <f t="shared" si="17"/>
        <v>-0.147567485</v>
      </c>
      <c r="AH93" s="1088">
        <f>SUM(AH94:AH110)</f>
        <v>18825</v>
      </c>
      <c r="AI93" s="1091" t="str">
        <f t="shared" si="797"/>
        <v/>
      </c>
      <c r="AJ93" s="1091">
        <f>IFERROR(AH93/AH$84,"")</f>
        <v>0.04763483251</v>
      </c>
      <c r="AK93" s="1090">
        <f>SUM(AK94:AK110)</f>
        <v>12117.5</v>
      </c>
      <c r="AL93" s="1091">
        <f t="shared" si="798"/>
        <v>0.003365972222</v>
      </c>
      <c r="AM93" s="1091">
        <f>IFERROR(AK93/AK$84,"")</f>
        <v>0.08025604842</v>
      </c>
      <c r="AN93" s="1088">
        <f>SUM(AN94:AN110)</f>
        <v>18027.056</v>
      </c>
      <c r="AO93" s="1091">
        <f t="shared" si="799"/>
        <v>0.02698661078</v>
      </c>
      <c r="AP93" s="1091">
        <f t="shared" si="929"/>
        <v>0.08742097584</v>
      </c>
      <c r="AQ93" s="1130">
        <f t="shared" si="534"/>
        <v>-797.944</v>
      </c>
      <c r="AR93" s="1132">
        <f t="shared" si="22"/>
        <v>-0.04238746348</v>
      </c>
      <c r="AS93" s="1130">
        <f t="shared" si="535"/>
        <v>5909.556</v>
      </c>
      <c r="AT93" s="1132">
        <f t="shared" si="24"/>
        <v>0.4876877244</v>
      </c>
      <c r="AU93" s="1088">
        <f t="shared" si="916"/>
        <v>59475</v>
      </c>
      <c r="AV93" s="1091" t="str">
        <f t="shared" si="800"/>
        <v/>
      </c>
      <c r="AW93" s="1091">
        <f t="shared" si="930"/>
        <v>0.05003861744</v>
      </c>
      <c r="AX93" s="1090">
        <f t="shared" si="917"/>
        <v>46060</v>
      </c>
      <c r="AY93" s="1091">
        <f t="shared" si="801"/>
        <v>0.01238172043</v>
      </c>
      <c r="AZ93" s="1091">
        <f t="shared" si="931"/>
        <v>0.06578449272</v>
      </c>
      <c r="BA93" s="1090">
        <f t="shared" si="918"/>
        <v>38528.197</v>
      </c>
      <c r="BB93" s="1091">
        <f t="shared" si="802"/>
        <v>0.03243114226</v>
      </c>
      <c r="BC93" s="1091">
        <f t="shared" si="932"/>
        <v>0.08320310348</v>
      </c>
      <c r="BD93" s="1130">
        <f t="shared" si="545"/>
        <v>-20946.803</v>
      </c>
      <c r="BE93" s="1132">
        <f t="shared" si="32"/>
        <v>-0.3521950904</v>
      </c>
      <c r="BF93" s="1130">
        <f t="shared" si="546"/>
        <v>-7531.803</v>
      </c>
      <c r="BG93" s="1132">
        <f t="shared" si="34"/>
        <v>-0.1635215588</v>
      </c>
      <c r="BH93" s="1088">
        <f>SUM(BH94:BH110)</f>
        <v>18825</v>
      </c>
      <c r="BI93" s="1091">
        <f t="shared" si="803"/>
        <v>0.00470625</v>
      </c>
      <c r="BJ93" s="1091">
        <f>IFERROR(BH93/BH$84,"")</f>
        <v>0.04763483251</v>
      </c>
      <c r="BK93" s="1090">
        <f>SUM(BK94:BK110)</f>
        <v>15538.5</v>
      </c>
      <c r="BL93" s="1091" t="str">
        <f t="shared" si="804"/>
        <v/>
      </c>
      <c r="BM93" s="1091">
        <f>IFERROR(BK93/BK$84,"")</f>
        <v>0.05999656226</v>
      </c>
      <c r="BN93" s="1088">
        <f>SUM(BN94:BN110)</f>
        <v>17382.496</v>
      </c>
      <c r="BO93" s="1091">
        <f t="shared" si="805"/>
        <v>0.006682902224</v>
      </c>
      <c r="BP93" s="1091">
        <f t="shared" si="933"/>
        <v>0.08199754394</v>
      </c>
      <c r="BQ93" s="1130">
        <f t="shared" si="553"/>
        <v>-1442.504</v>
      </c>
      <c r="BR93" s="1132">
        <f t="shared" si="39"/>
        <v>-0.07662703851</v>
      </c>
      <c r="BS93" s="1130">
        <f t="shared" si="554"/>
        <v>1843.996</v>
      </c>
      <c r="BT93" s="1132">
        <f t="shared" si="41"/>
        <v>0.1186727162</v>
      </c>
      <c r="BU93" s="1088">
        <f>SUM(BU94:BU110)</f>
        <v>18825</v>
      </c>
      <c r="BV93" s="1091">
        <f t="shared" si="806"/>
        <v>0.00470625</v>
      </c>
      <c r="BW93" s="1091">
        <f>IFERROR(BU93/BU$84,"")</f>
        <v>0.0481422094</v>
      </c>
      <c r="BX93" s="1090">
        <f>SUM(BX94:BX110)</f>
        <v>19281.81</v>
      </c>
      <c r="BY93" s="1091">
        <f t="shared" si="807"/>
        <v>0.01290222249</v>
      </c>
      <c r="BZ93" s="1091">
        <f>IFERROR(BX93/BX$84,"")</f>
        <v>0.07235377875</v>
      </c>
      <c r="CA93" s="1088">
        <f>SUM(CA94:CA110)</f>
        <v>18092.625</v>
      </c>
      <c r="CB93" s="1091">
        <f t="shared" si="808"/>
        <v>0.03256576105</v>
      </c>
      <c r="CC93" s="1091">
        <f t="shared" si="934"/>
        <v>0.07217292143</v>
      </c>
      <c r="CD93" s="1130">
        <f t="shared" si="561"/>
        <v>-732.375</v>
      </c>
      <c r="CE93" s="1132">
        <f t="shared" si="46"/>
        <v>-0.03890438247</v>
      </c>
      <c r="CF93" s="1130">
        <f t="shared" si="562"/>
        <v>-1189.185</v>
      </c>
      <c r="CG93" s="1132">
        <f t="shared" si="48"/>
        <v>-0.06167392999</v>
      </c>
      <c r="CH93" s="1088">
        <f>SUM(CH94:CH110)</f>
        <v>18825</v>
      </c>
      <c r="CI93" s="1091">
        <f t="shared" si="809"/>
        <v>0.00470625</v>
      </c>
      <c r="CJ93" s="1091">
        <f>IFERROR(CH93/CH$84,"")</f>
        <v>0.0481422094</v>
      </c>
      <c r="CK93" s="1090">
        <f>SUM(CK94:CK110)</f>
        <v>21587</v>
      </c>
      <c r="CL93" s="1091" t="str">
        <f t="shared" si="810"/>
        <v/>
      </c>
      <c r="CM93" s="1091">
        <f>IFERROR(CK93/CK$84,"")</f>
        <v>0.07938907154</v>
      </c>
      <c r="CN93" s="1088">
        <f>SUM(CN94:CN110)</f>
        <v>0</v>
      </c>
      <c r="CO93" s="1091" t="str">
        <f t="shared" si="811"/>
        <v/>
      </c>
      <c r="CP93" s="1091" t="str">
        <f t="shared" si="935"/>
        <v/>
      </c>
      <c r="CQ93" s="1130">
        <f t="shared" si="569"/>
        <v>-18825</v>
      </c>
      <c r="CR93" s="1132">
        <f t="shared" si="53"/>
        <v>-1</v>
      </c>
      <c r="CS93" s="1130">
        <f t="shared" si="570"/>
        <v>-21587</v>
      </c>
      <c r="CT93" s="1132">
        <f t="shared" si="55"/>
        <v>-1</v>
      </c>
      <c r="CU93" s="1088">
        <f t="shared" si="919"/>
        <v>56475</v>
      </c>
      <c r="CV93" s="1091">
        <f t="shared" si="812"/>
        <v>0.00470625</v>
      </c>
      <c r="CW93" s="1091">
        <f t="shared" si="936"/>
        <v>0.04797188707</v>
      </c>
      <c r="CX93" s="1090">
        <f t="shared" si="920"/>
        <v>56407.31</v>
      </c>
      <c r="CY93" s="1091">
        <f t="shared" si="814"/>
        <v>0.03774436443</v>
      </c>
      <c r="CZ93" s="1091">
        <f t="shared" si="937"/>
        <v>0.07073927757</v>
      </c>
      <c r="DA93" s="1090">
        <f t="shared" si="921"/>
        <v>35475.121</v>
      </c>
      <c r="DB93" s="1091">
        <f t="shared" si="816"/>
        <v>0.01123835334</v>
      </c>
      <c r="DC93" s="1091">
        <f t="shared" si="938"/>
        <v>0.07667438326</v>
      </c>
      <c r="DD93" s="1130">
        <f t="shared" si="580"/>
        <v>-20999.879</v>
      </c>
      <c r="DE93" s="1132">
        <f t="shared" si="63"/>
        <v>-0.371843807</v>
      </c>
      <c r="DF93" s="1130">
        <f t="shared" si="581"/>
        <v>-20932.189</v>
      </c>
      <c r="DG93" s="1132">
        <f t="shared" si="65"/>
        <v>-0.3710900059</v>
      </c>
      <c r="DH93" s="1088">
        <f t="shared" si="922"/>
        <v>115950</v>
      </c>
      <c r="DI93" s="1091">
        <f t="shared" si="817"/>
        <v>0.0096625</v>
      </c>
      <c r="DJ93" s="1091">
        <f t="shared" si="939"/>
        <v>0.04901020105</v>
      </c>
      <c r="DK93" s="1090">
        <f t="shared" si="585"/>
        <v>102467.31</v>
      </c>
      <c r="DL93" s="1091">
        <f t="shared" si="818"/>
        <v>0.01965062138</v>
      </c>
      <c r="DM93" s="1091">
        <f t="shared" si="940"/>
        <v>0.06842273493</v>
      </c>
      <c r="DN93" s="1090">
        <f t="shared" si="588"/>
        <v>74003.318</v>
      </c>
      <c r="DO93" s="1091">
        <f t="shared" si="819"/>
        <v>0.01703335488</v>
      </c>
      <c r="DP93" s="1091">
        <f t="shared" si="941"/>
        <v>0.07994011725</v>
      </c>
      <c r="DQ93" s="1130">
        <f t="shared" si="591"/>
        <v>-41946.682</v>
      </c>
      <c r="DR93" s="1132">
        <f t="shared" si="73"/>
        <v>-0.3617652609</v>
      </c>
      <c r="DS93" s="1130">
        <f t="shared" si="592"/>
        <v>-28463.992</v>
      </c>
      <c r="DT93" s="1132">
        <f t="shared" si="75"/>
        <v>-0.2777860764</v>
      </c>
      <c r="DU93" s="1088">
        <f>SUM(DU94:DU110)</f>
        <v>18825</v>
      </c>
      <c r="DV93" s="1091">
        <f t="shared" si="820"/>
        <v>0.00470625</v>
      </c>
      <c r="DW93" s="1091">
        <f>IFERROR(DU93/DU$84,"")</f>
        <v>0.0481422094</v>
      </c>
      <c r="DX93" s="1090">
        <f>SUM(DX94:DX110)</f>
        <v>18825</v>
      </c>
      <c r="DY93" s="1091">
        <f t="shared" si="821"/>
        <v>0.003116721875</v>
      </c>
      <c r="DZ93" s="1091">
        <f>IFERROR(DX93/DX$84,"")</f>
        <v>0.0481422094</v>
      </c>
      <c r="EA93" s="1088">
        <f>SUM(EA94:EA110)</f>
        <v>0</v>
      </c>
      <c r="EB93" s="1091" t="str">
        <f t="shared" si="822"/>
        <v/>
      </c>
      <c r="EC93" s="1091" t="str">
        <f t="shared" si="942"/>
        <v/>
      </c>
      <c r="ED93" s="1130">
        <f t="shared" si="599"/>
        <v>-18825</v>
      </c>
      <c r="EE93" s="1132">
        <f t="shared" si="80"/>
        <v>-1</v>
      </c>
      <c r="EF93" s="1130">
        <f t="shared" si="600"/>
        <v>-18825</v>
      </c>
      <c r="EG93" s="1132">
        <f t="shared" si="82"/>
        <v>-1</v>
      </c>
      <c r="EH93" s="1088">
        <f>SUM(EH94:EH110)</f>
        <v>18825</v>
      </c>
      <c r="EI93" s="1091">
        <f t="shared" si="823"/>
        <v>0.00470625</v>
      </c>
      <c r="EJ93" s="1091">
        <f>IFERROR(EH93/EH$84,"")</f>
        <v>0.0481422094</v>
      </c>
      <c r="EK93" s="1090">
        <f>SUM(EK94:EK110)</f>
        <v>18825</v>
      </c>
      <c r="EL93" s="1091">
        <f t="shared" si="824"/>
        <v>0.003116721875</v>
      </c>
      <c r="EM93" s="1091">
        <f>IFERROR(EK93/EK$84,"")</f>
        <v>0.0481422094</v>
      </c>
      <c r="EN93" s="1088">
        <f>SUM(EN94:EN110)</f>
        <v>0</v>
      </c>
      <c r="EO93" s="1091" t="str">
        <f t="shared" si="825"/>
        <v/>
      </c>
      <c r="EP93" s="1091" t="str">
        <f t="shared" si="943"/>
        <v/>
      </c>
      <c r="EQ93" s="1130">
        <f t="shared" si="607"/>
        <v>-18825</v>
      </c>
      <c r="ER93" s="1132">
        <f t="shared" si="87"/>
        <v>-1</v>
      </c>
      <c r="ES93" s="1130">
        <f t="shared" si="608"/>
        <v>-18825</v>
      </c>
      <c r="ET93" s="1132">
        <f t="shared" si="89"/>
        <v>-1</v>
      </c>
      <c r="EU93" s="1088">
        <f>SUM(EU94:EU110)</f>
        <v>18825</v>
      </c>
      <c r="EV93" s="1091">
        <f t="shared" si="826"/>
        <v>0.00470625</v>
      </c>
      <c r="EW93" s="1091">
        <f>IFERROR(EU93/EU$84,"")</f>
        <v>0.0481422094</v>
      </c>
      <c r="EX93" s="1090">
        <f>SUM(EX94:EX110)</f>
        <v>18825</v>
      </c>
      <c r="EY93" s="1091">
        <f t="shared" si="827"/>
        <v>0.003116721875</v>
      </c>
      <c r="EZ93" s="1091">
        <f>IFERROR(EX93/EX$84,"")</f>
        <v>0.0481422094</v>
      </c>
      <c r="FA93" s="1088">
        <f>SUM(FA94:FA110)</f>
        <v>0</v>
      </c>
      <c r="FB93" s="1091" t="str">
        <f t="shared" si="828"/>
        <v/>
      </c>
      <c r="FC93" s="1091" t="str">
        <f t="shared" si="944"/>
        <v/>
      </c>
      <c r="FD93" s="1130">
        <f t="shared" si="616"/>
        <v>-18825</v>
      </c>
      <c r="FE93" s="1132">
        <f t="shared" si="94"/>
        <v>-1</v>
      </c>
      <c r="FF93" s="1130">
        <f t="shared" si="617"/>
        <v>-18825</v>
      </c>
      <c r="FG93" s="1132">
        <f t="shared" si="96"/>
        <v>-1</v>
      </c>
      <c r="FH93" s="1088">
        <f t="shared" si="923"/>
        <v>56475</v>
      </c>
      <c r="FI93" s="1091">
        <f t="shared" si="829"/>
        <v>0.00470625</v>
      </c>
      <c r="FJ93" s="1091">
        <f t="shared" si="945"/>
        <v>0.0481422094</v>
      </c>
      <c r="FK93" s="1090">
        <f t="shared" si="621"/>
        <v>56475</v>
      </c>
      <c r="FL93" s="1091">
        <f t="shared" si="830"/>
        <v>0.003116721875</v>
      </c>
      <c r="FM93" s="1091">
        <f t="shared" si="946"/>
        <v>0.0481422094</v>
      </c>
      <c r="FN93" s="1090">
        <f t="shared" si="624"/>
        <v>0</v>
      </c>
      <c r="FO93" s="1091" t="str">
        <f t="shared" si="831"/>
        <v/>
      </c>
      <c r="FP93" s="1091" t="str">
        <f t="shared" si="947"/>
        <v/>
      </c>
      <c r="FQ93" s="1130">
        <f t="shared" si="627"/>
        <v>-56475</v>
      </c>
      <c r="FR93" s="1132">
        <f t="shared" si="104"/>
        <v>-1</v>
      </c>
      <c r="FS93" s="1130">
        <f t="shared" si="628"/>
        <v>-56475</v>
      </c>
      <c r="FT93" s="1132">
        <f t="shared" si="106"/>
        <v>-1</v>
      </c>
      <c r="FU93" s="1088">
        <f>SUM(FU94:FU110)</f>
        <v>18825</v>
      </c>
      <c r="FV93" s="1091">
        <f t="shared" si="832"/>
        <v>0.00470625</v>
      </c>
      <c r="FW93" s="1091">
        <f>IFERROR(FU93/FU$84,"")</f>
        <v>0.0481422094</v>
      </c>
      <c r="FX93" s="1090">
        <f>SUM(FX94:FX110)</f>
        <v>18825</v>
      </c>
      <c r="FY93" s="1091">
        <f t="shared" si="833"/>
        <v>0.003116721875</v>
      </c>
      <c r="FZ93" s="1091">
        <f>IFERROR(FX93/FX$84,"")</f>
        <v>0.0481422094</v>
      </c>
      <c r="GA93" s="1088">
        <f>SUM(GA94:GA110)</f>
        <v>0</v>
      </c>
      <c r="GB93" s="1091" t="str">
        <f t="shared" si="834"/>
        <v/>
      </c>
      <c r="GC93" s="1091" t="str">
        <f t="shared" si="948"/>
        <v/>
      </c>
      <c r="GD93" s="1130">
        <f t="shared" si="635"/>
        <v>-18825</v>
      </c>
      <c r="GE93" s="1132">
        <f t="shared" si="111"/>
        <v>-1</v>
      </c>
      <c r="GF93" s="1130">
        <f t="shared" si="636"/>
        <v>-18825</v>
      </c>
      <c r="GG93" s="1132">
        <f t="shared" si="113"/>
        <v>-1</v>
      </c>
      <c r="GH93" s="1088">
        <f>SUM(GH94:GH110)</f>
        <v>18825</v>
      </c>
      <c r="GI93" s="1091">
        <f t="shared" si="835"/>
        <v>0.00470625</v>
      </c>
      <c r="GJ93" s="1091">
        <f>IFERROR(GH93/GH$84,"")</f>
        <v>0.0481422094</v>
      </c>
      <c r="GK93" s="1090">
        <f>SUM(GK94:GK110)</f>
        <v>18825</v>
      </c>
      <c r="GL93" s="1091">
        <f t="shared" si="836"/>
        <v>0.003116721875</v>
      </c>
      <c r="GM93" s="1091">
        <f>IFERROR(GK93/GK$84,"")</f>
        <v>0.0481422094</v>
      </c>
      <c r="GN93" s="1088">
        <f>SUM(GN94:GN110)</f>
        <v>0</v>
      </c>
      <c r="GO93" s="1091" t="str">
        <f t="shared" si="837"/>
        <v/>
      </c>
      <c r="GP93" s="1091" t="str">
        <f t="shared" si="949"/>
        <v/>
      </c>
      <c r="GQ93" s="1130">
        <f t="shared" si="643"/>
        <v>-18825</v>
      </c>
      <c r="GR93" s="1132">
        <f t="shared" si="118"/>
        <v>-1</v>
      </c>
      <c r="GS93" s="1130">
        <f t="shared" si="644"/>
        <v>-18825</v>
      </c>
      <c r="GT93" s="1132">
        <f t="shared" si="120"/>
        <v>-1</v>
      </c>
      <c r="GU93" s="1088">
        <f>SUM(GU94:GU110)</f>
        <v>18825</v>
      </c>
      <c r="GV93" s="1091">
        <f t="shared" si="838"/>
        <v>0.00470625</v>
      </c>
      <c r="GW93" s="1091">
        <f>IFERROR(GU93/GU$84,"")</f>
        <v>0.0481422094</v>
      </c>
      <c r="GX93" s="1090">
        <f>SUM(GX94:GX110)</f>
        <v>18825</v>
      </c>
      <c r="GY93" s="1091">
        <f t="shared" si="839"/>
        <v>0.003116721875</v>
      </c>
      <c r="GZ93" s="1091">
        <f>IFERROR(GX93/GX$84,"")</f>
        <v>0.0481422094</v>
      </c>
      <c r="HA93" s="1088">
        <f>SUM(HA94:HA110)</f>
        <v>0</v>
      </c>
      <c r="HB93" s="1091" t="str">
        <f t="shared" si="840"/>
        <v/>
      </c>
      <c r="HC93" s="1091" t="str">
        <f t="shared" si="950"/>
        <v/>
      </c>
      <c r="HD93" s="1130">
        <f t="shared" si="651"/>
        <v>-18825</v>
      </c>
      <c r="HE93" s="1132">
        <f t="shared" si="125"/>
        <v>-1</v>
      </c>
      <c r="HF93" s="1130">
        <f t="shared" si="652"/>
        <v>-18825</v>
      </c>
      <c r="HG93" s="1132">
        <f t="shared" si="127"/>
        <v>-1</v>
      </c>
      <c r="HH93" s="1088">
        <f t="shared" si="924"/>
        <v>56475</v>
      </c>
      <c r="HI93" s="1091">
        <f t="shared" si="841"/>
        <v>0.00470625</v>
      </c>
      <c r="HJ93" s="1091">
        <f t="shared" si="951"/>
        <v>0.0481422094</v>
      </c>
      <c r="HK93" s="1090">
        <f t="shared" si="656"/>
        <v>56475</v>
      </c>
      <c r="HL93" s="1091">
        <f t="shared" si="842"/>
        <v>0.003116721875</v>
      </c>
      <c r="HM93" s="1091">
        <f t="shared" si="952"/>
        <v>0.0481422094</v>
      </c>
      <c r="HN93" s="1090">
        <f t="shared" si="659"/>
        <v>0</v>
      </c>
      <c r="HO93" s="1091" t="str">
        <f t="shared" si="843"/>
        <v/>
      </c>
      <c r="HP93" s="1091" t="str">
        <f t="shared" si="953"/>
        <v/>
      </c>
      <c r="HQ93" s="1130">
        <f t="shared" si="662"/>
        <v>-56475</v>
      </c>
      <c r="HR93" s="1132">
        <f t="shared" si="135"/>
        <v>-1</v>
      </c>
      <c r="HS93" s="1130">
        <f t="shared" si="663"/>
        <v>-56475</v>
      </c>
      <c r="HT93" s="1132">
        <f t="shared" si="137"/>
        <v>-1</v>
      </c>
      <c r="HU93" s="1088">
        <f t="shared" si="925"/>
        <v>112950</v>
      </c>
      <c r="HV93" s="1091">
        <f t="shared" si="844"/>
        <v>0.00470625</v>
      </c>
      <c r="HW93" s="1091">
        <f t="shared" si="954"/>
        <v>0.0481422094</v>
      </c>
      <c r="HX93" s="1090">
        <f t="shared" si="667"/>
        <v>112950</v>
      </c>
      <c r="HY93" s="1091">
        <f t="shared" si="845"/>
        <v>0.003116721875</v>
      </c>
      <c r="HZ93" s="1091">
        <f t="shared" si="955"/>
        <v>0.0481422094</v>
      </c>
      <c r="IA93" s="1090">
        <f t="shared" si="670"/>
        <v>0</v>
      </c>
      <c r="IB93" s="1091" t="str">
        <f t="shared" si="846"/>
        <v/>
      </c>
      <c r="IC93" s="1091" t="str">
        <f t="shared" si="956"/>
        <v/>
      </c>
      <c r="ID93" s="1130">
        <f t="shared" si="673"/>
        <v>-112950</v>
      </c>
      <c r="IE93" s="1132">
        <f t="shared" si="145"/>
        <v>-1</v>
      </c>
      <c r="IF93" s="1130">
        <f t="shared" si="674"/>
        <v>-112950</v>
      </c>
      <c r="IG93" s="1132">
        <f t="shared" si="147"/>
        <v>-1</v>
      </c>
      <c r="IH93" s="1088">
        <f t="shared" si="926"/>
        <v>228900</v>
      </c>
      <c r="II93" s="1091">
        <f t="shared" si="847"/>
        <v>0.006358333333</v>
      </c>
      <c r="IJ93" s="1091">
        <f t="shared" si="957"/>
        <v>0.048578016</v>
      </c>
      <c r="IK93" s="1090">
        <f t="shared" si="678"/>
        <v>215417.31</v>
      </c>
      <c r="IL93" s="1091">
        <f t="shared" si="848"/>
        <v>0.005196481381</v>
      </c>
      <c r="IM93" s="1091">
        <f t="shared" si="958"/>
        <v>0.05604372719</v>
      </c>
      <c r="IN93" s="1090">
        <f t="shared" si="681"/>
        <v>74003.318</v>
      </c>
      <c r="IO93" s="1091">
        <f t="shared" si="849"/>
        <v>0.01703335488</v>
      </c>
      <c r="IP93" s="1091">
        <f t="shared" si="959"/>
        <v>0.07994011725</v>
      </c>
      <c r="IQ93" s="1130">
        <f t="shared" si="684"/>
        <v>-154896.682</v>
      </c>
      <c r="IR93" s="1132">
        <f t="shared" si="1"/>
        <v>-0.6767002272</v>
      </c>
      <c r="IS93" s="1130">
        <f t="shared" si="685"/>
        <v>-141413.992</v>
      </c>
      <c r="IT93" s="1132">
        <f t="shared" si="2"/>
        <v>-0.6564653138</v>
      </c>
    </row>
    <row r="94" outlineLevel="1">
      <c r="A94" s="737"/>
      <c r="B94" s="737"/>
      <c r="C94" s="737"/>
      <c r="D94" s="737" t="s">
        <v>2855</v>
      </c>
      <c r="E94" s="737" t="s">
        <v>2215</v>
      </c>
      <c r="F94" s="737"/>
      <c r="G94" s="748">
        <v>3.0</v>
      </c>
      <c r="H94" s="1146">
        <f>SUMIFS(BP_SOTIEN,BP_THANG,H$2,BP_KM,$E94)/1000</f>
        <v>43</v>
      </c>
      <c r="I94" s="1091" t="str">
        <f t="shared" si="791"/>
        <v/>
      </c>
      <c r="J94" s="1091"/>
      <c r="K94" s="1147">
        <f>IF(NOW()&gt;=DATE(YEAR(H$2),MONTH(H$2)+1,DAY(H$2)),SUMIFS(TF_SOTIEN,TF_THANG,H$2,TF_KM,$E94)/1000, N94)</f>
        <v>43</v>
      </c>
      <c r="L94" s="1091">
        <f t="shared" si="792"/>
        <v>0.0003583333333</v>
      </c>
      <c r="M94" s="1091"/>
      <c r="N94" s="1147">
        <f>IF(NOW()&gt;=DATE(YEAR(H$2),MONTH(H$2)+1,DAY(H$2)),SUMIFS(AC_SOTIEN,AC_THANG,H$2,AC_KM,$E94),SUMIFS(TF_SOTIEN,TF_THANG,H$2,TF_KM,$E94))/ 1000</f>
        <v>0</v>
      </c>
      <c r="O94" s="1091">
        <f t="shared" si="793"/>
        <v>0</v>
      </c>
      <c r="P94" s="1091">
        <f t="shared" ref="P94:P110" si="960">IFERROR(N94/N$93,"")</f>
        <v>0</v>
      </c>
      <c r="Q94" s="1147">
        <f t="shared" si="518"/>
        <v>-43</v>
      </c>
      <c r="R94" s="1091">
        <f t="shared" si="8"/>
        <v>-1</v>
      </c>
      <c r="S94" s="1147">
        <f t="shared" si="519"/>
        <v>-43</v>
      </c>
      <c r="T94" s="1091">
        <f t="shared" si="10"/>
        <v>-1</v>
      </c>
      <c r="U94" s="1146">
        <f>SUMIFS(BP_SOTIEN,BP_THANG,U$2,BP_KM,$E94)/1000</f>
        <v>43</v>
      </c>
      <c r="V94" s="1091" t="str">
        <f t="shared" si="794"/>
        <v/>
      </c>
      <c r="W94" s="1091"/>
      <c r="X94" s="1147">
        <f>IF(NOW()&gt;=DATE(YEAR(U$2),MONTH(U$2)+1,DAY(U$2)),SUMIFS(TF_SOTIEN,TF_THANG,U$2,TF_KM,$E94)/1000, AA94)</f>
        <v>0</v>
      </c>
      <c r="Y94" s="1091" t="str">
        <f t="shared" si="795"/>
        <v/>
      </c>
      <c r="Z94" s="1091"/>
      <c r="AA94" s="1147">
        <f>IF(NOW()&gt;=DATE(YEAR(U$2),MONTH(U$2)+1,DAY(U$2)),SUMIFS(AC_SOTIEN,AC_THANG,U$2,AC_KM,$E94),SUMIFS(TF_SOTIEN,TF_THANG,U$2,TF_KM,$E94))/ 1000</f>
        <v>0</v>
      </c>
      <c r="AB94" s="1091">
        <f t="shared" si="796"/>
        <v>0</v>
      </c>
      <c r="AC94" s="1091">
        <f t="shared" ref="AC94:AC110" si="961">IFERROR(AA94/AA$93,"")</f>
        <v>0</v>
      </c>
      <c r="AD94" s="1147">
        <f t="shared" si="526"/>
        <v>-43</v>
      </c>
      <c r="AE94" s="1091">
        <f t="shared" si="15"/>
        <v>-1</v>
      </c>
      <c r="AF94" s="1147">
        <f t="shared" si="527"/>
        <v>0</v>
      </c>
      <c r="AG94" s="1091" t="str">
        <f t="shared" si="17"/>
        <v/>
      </c>
      <c r="AH94" s="1146">
        <f>SUMIFS(BP_SOTIEN,BP_THANG,AH$2,BP_KM,$E94)/1000</f>
        <v>43</v>
      </c>
      <c r="AI94" s="1091" t="str">
        <f t="shared" si="797"/>
        <v/>
      </c>
      <c r="AJ94" s="1091"/>
      <c r="AK94" s="1147">
        <f>IF(NOW()&gt;=DATE(YEAR(AH$2),MONTH(AH$2)+1,DAY(AH$2)),SUMIFS(TF_SOTIEN,TF_THANG,AH$2,TF_KM,$E94)/1000, AN94)</f>
        <v>0</v>
      </c>
      <c r="AL94" s="1091">
        <f t="shared" si="798"/>
        <v>0</v>
      </c>
      <c r="AM94" s="1091"/>
      <c r="AN94" s="1147">
        <f>IF(NOW()&gt;=DATE(YEAR(AH$2),MONTH(AH$2)+1,DAY(AH$2)),SUMIFS(AC_SOTIEN,AC_THANG,AH$2,AC_KM,$E94),SUMIFS(TF_SOTIEN,TF_THANG,AH$2,TF_KM,$E94))/ 1000</f>
        <v>0</v>
      </c>
      <c r="AO94" s="1091">
        <f t="shared" si="799"/>
        <v>0</v>
      </c>
      <c r="AP94" s="1091">
        <f t="shared" ref="AP94:AP110" si="962">IFERROR(AN94/AN$93,"")</f>
        <v>0</v>
      </c>
      <c r="AQ94" s="1147">
        <f t="shared" si="534"/>
        <v>-43</v>
      </c>
      <c r="AR94" s="1091">
        <f t="shared" si="22"/>
        <v>-1</v>
      </c>
      <c r="AS94" s="1147">
        <f t="shared" si="535"/>
        <v>0</v>
      </c>
      <c r="AT94" s="1091" t="str">
        <f t="shared" si="24"/>
        <v/>
      </c>
      <c r="AU94" s="1146">
        <f t="shared" si="916"/>
        <v>129</v>
      </c>
      <c r="AV94" s="1091" t="str">
        <f t="shared" si="800"/>
        <v/>
      </c>
      <c r="AW94" s="1091">
        <f t="shared" ref="AW94:AW110" si="963">IFERROR(AU94/AU$93,"")</f>
        <v>0.002168978562</v>
      </c>
      <c r="AX94" s="1147">
        <f t="shared" si="917"/>
        <v>43</v>
      </c>
      <c r="AY94" s="1091">
        <f t="shared" si="801"/>
        <v>0.00001155913978</v>
      </c>
      <c r="AZ94" s="1091">
        <f t="shared" ref="AZ94:AZ110" si="964">IFERROR(AX94/AX$93,"")</f>
        <v>0.0009335649153</v>
      </c>
      <c r="BA94" s="1147">
        <f t="shared" si="918"/>
        <v>0</v>
      </c>
      <c r="BB94" s="1091">
        <f t="shared" si="802"/>
        <v>0</v>
      </c>
      <c r="BC94" s="1091">
        <f t="shared" ref="BC94:BC110" si="965">IFERROR(BA94/BA$93,"")</f>
        <v>0</v>
      </c>
      <c r="BD94" s="1147">
        <f t="shared" si="545"/>
        <v>-129</v>
      </c>
      <c r="BE94" s="1091">
        <f t="shared" si="32"/>
        <v>-1</v>
      </c>
      <c r="BF94" s="1147">
        <f t="shared" si="546"/>
        <v>-43</v>
      </c>
      <c r="BG94" s="1091">
        <f t="shared" si="34"/>
        <v>-1</v>
      </c>
      <c r="BH94" s="1146">
        <f>SUMIFS(BP_SOTIEN,BP_THANG,BH$2,BP_KM,$E94)/1000</f>
        <v>43</v>
      </c>
      <c r="BI94" s="1091">
        <f t="shared" si="803"/>
        <v>0.00001075</v>
      </c>
      <c r="BJ94" s="1091"/>
      <c r="BK94" s="1147">
        <f>IF(NOW()&gt;=DATE(YEAR(BH$2),MONTH(BH$2)+1,DAY(BH$2)),SUMIFS(TF_SOTIEN,TF_THANG,BH$2,TF_KM,$E94)/1000, BN94)</f>
        <v>0</v>
      </c>
      <c r="BL94" s="1091" t="str">
        <f t="shared" si="804"/>
        <v/>
      </c>
      <c r="BM94" s="1091"/>
      <c r="BN94" s="1147">
        <f>IF(NOW()&gt;=DATE(YEAR(BH$2),MONTH(BH$2)+1,DAY(BH$2)),SUMIFS(AC_SOTIEN,AC_THANG,BH$2,AC_KM,$E94),SUMIFS(TF_SOTIEN,TF_THANG,BH$2,TF_KM,$E94))/ 1000</f>
        <v>0</v>
      </c>
      <c r="BO94" s="1091">
        <f t="shared" si="805"/>
        <v>0</v>
      </c>
      <c r="BP94" s="1091">
        <f t="shared" ref="BP94:BP110" si="966">IFERROR(BN94/BN$93,"")</f>
        <v>0</v>
      </c>
      <c r="BQ94" s="1147">
        <f t="shared" si="553"/>
        <v>-43</v>
      </c>
      <c r="BR94" s="1091">
        <f t="shared" si="39"/>
        <v>-1</v>
      </c>
      <c r="BS94" s="1147">
        <f t="shared" si="554"/>
        <v>0</v>
      </c>
      <c r="BT94" s="1091" t="str">
        <f t="shared" si="41"/>
        <v/>
      </c>
      <c r="BU94" s="1146">
        <f>SUMIFS(BP_SOTIEN,BP_THANG,BU$2,BP_KM,$E94)/1000</f>
        <v>43</v>
      </c>
      <c r="BV94" s="1091">
        <f t="shared" si="806"/>
        <v>0.00001075</v>
      </c>
      <c r="BW94" s="1091"/>
      <c r="BX94" s="1147">
        <f>IF(NOW()&gt;=DATE(YEAR(BU$2),MONTH(BU$2)+1,DAY(BU$2)),SUMIFS(TF_SOTIEN,TF_THANG,BU$2,TF_KM,$E94)/1000, CA94)</f>
        <v>0</v>
      </c>
      <c r="BY94" s="1091">
        <f t="shared" si="807"/>
        <v>0</v>
      </c>
      <c r="BZ94" s="1091"/>
      <c r="CA94" s="1147">
        <f>IF(NOW()&gt;=DATE(YEAR(BU$2),MONTH(BU$2)+1,DAY(BU$2)),SUMIFS(AC_SOTIEN,AC_THANG,BU$2,AC_KM,$E94),SUMIFS(TF_SOTIEN,TF_THANG,BU$2,TF_KM,$E94))/ 1000</f>
        <v>0</v>
      </c>
      <c r="CB94" s="1091">
        <f t="shared" si="808"/>
        <v>0</v>
      </c>
      <c r="CC94" s="1091">
        <f t="shared" ref="CC94:CC110" si="967">IFERROR(CA94/CA$93,"")</f>
        <v>0</v>
      </c>
      <c r="CD94" s="1147">
        <f t="shared" si="561"/>
        <v>-43</v>
      </c>
      <c r="CE94" s="1091">
        <f t="shared" si="46"/>
        <v>-1</v>
      </c>
      <c r="CF94" s="1147">
        <f t="shared" si="562"/>
        <v>0</v>
      </c>
      <c r="CG94" s="1091" t="str">
        <f t="shared" si="48"/>
        <v/>
      </c>
      <c r="CH94" s="1146">
        <f>SUMIFS(BP_SOTIEN,BP_THANG,CH$2,BP_KM,$E94)/1000</f>
        <v>43</v>
      </c>
      <c r="CI94" s="1091">
        <f t="shared" si="809"/>
        <v>0.00001075</v>
      </c>
      <c r="CJ94" s="1091"/>
      <c r="CK94" s="1147">
        <f>IF(NOW()&gt;=DATE(YEAR(CH$2),MONTH(CH$2)+1,DAY(CH$2)),SUMIFS(TF_SOTIEN,TF_THANG,CH$2,TF_KM,$E94)/1000, CN94)</f>
        <v>43</v>
      </c>
      <c r="CL94" s="1091" t="str">
        <f t="shared" si="810"/>
        <v/>
      </c>
      <c r="CM94" s="1091"/>
      <c r="CN94" s="1147">
        <f>IF(NOW()&gt;=DATE(YEAR(CH$2),MONTH(CH$2)+1,DAY(CH$2)),SUMIFS(AC_SOTIEN,AC_THANG,CH$2,AC_KM,$E94),SUMIFS(TF_SOTIEN,TF_THANG,CH$2,TF_KM,$E94))/ 1000</f>
        <v>0</v>
      </c>
      <c r="CO94" s="1091" t="str">
        <f t="shared" si="811"/>
        <v/>
      </c>
      <c r="CP94" s="1091" t="str">
        <f t="shared" ref="CP94:CP110" si="968">IFERROR(CN94/CN$93,"")</f>
        <v/>
      </c>
      <c r="CQ94" s="1147">
        <f t="shared" si="569"/>
        <v>-43</v>
      </c>
      <c r="CR94" s="1091">
        <f t="shared" si="53"/>
        <v>-1</v>
      </c>
      <c r="CS94" s="1147">
        <f t="shared" si="570"/>
        <v>-43</v>
      </c>
      <c r="CT94" s="1091">
        <f t="shared" si="55"/>
        <v>-1</v>
      </c>
      <c r="CU94" s="1146">
        <f t="shared" si="919"/>
        <v>129</v>
      </c>
      <c r="CV94" s="1091">
        <f t="shared" si="812"/>
        <v>0.00001075</v>
      </c>
      <c r="CW94" s="1091">
        <f t="shared" ref="CW94:CW110" si="969">IFERROR(CU94/CU$93,"")</f>
        <v>0.002284196547</v>
      </c>
      <c r="CX94" s="1147">
        <f t="shared" si="920"/>
        <v>43</v>
      </c>
      <c r="CY94" s="1091">
        <f t="shared" si="814"/>
        <v>0.00002877300248</v>
      </c>
      <c r="CZ94" s="1091">
        <f t="shared" ref="CZ94:CZ110" si="970">IFERROR(CX94/CX$93,"")</f>
        <v>0.0007623125442</v>
      </c>
      <c r="DA94" s="1147">
        <f t="shared" si="921"/>
        <v>0</v>
      </c>
      <c r="DB94" s="1091">
        <f t="shared" si="816"/>
        <v>0</v>
      </c>
      <c r="DC94" s="1091">
        <f t="shared" ref="DC94:DC110" si="971">IFERROR(DA94/DA$93,"")</f>
        <v>0</v>
      </c>
      <c r="DD94" s="1147">
        <f t="shared" si="580"/>
        <v>-129</v>
      </c>
      <c r="DE94" s="1091">
        <f t="shared" si="63"/>
        <v>-1</v>
      </c>
      <c r="DF94" s="1147">
        <f t="shared" si="581"/>
        <v>-43</v>
      </c>
      <c r="DG94" s="1091">
        <f t="shared" si="65"/>
        <v>-1</v>
      </c>
      <c r="DH94" s="1146">
        <f t="shared" si="922"/>
        <v>258</v>
      </c>
      <c r="DI94" s="1091">
        <f t="shared" si="817"/>
        <v>0.0000215</v>
      </c>
      <c r="DJ94" s="1091">
        <f t="shared" ref="DJ94:DJ110" si="972">IFERROR(DH94/DH$93,"")</f>
        <v>0.002225097025</v>
      </c>
      <c r="DK94" s="1147">
        <f t="shared" si="585"/>
        <v>86</v>
      </c>
      <c r="DL94" s="1091">
        <f t="shared" si="818"/>
        <v>0.00001649261056</v>
      </c>
      <c r="DM94" s="1091">
        <f t="shared" ref="DM94:DM110" si="973">IFERROR(DK94/DK$93,"")</f>
        <v>0.000839292063</v>
      </c>
      <c r="DN94" s="1147">
        <f t="shared" si="588"/>
        <v>0</v>
      </c>
      <c r="DO94" s="1091">
        <f t="shared" si="819"/>
        <v>0</v>
      </c>
      <c r="DP94" s="1091">
        <f t="shared" ref="DP94:DP110" si="974">IFERROR(DN94/DN$93,"")</f>
        <v>0</v>
      </c>
      <c r="DQ94" s="1147">
        <f t="shared" si="591"/>
        <v>-258</v>
      </c>
      <c r="DR94" s="1091">
        <f t="shared" si="73"/>
        <v>-1</v>
      </c>
      <c r="DS94" s="1147">
        <f t="shared" si="592"/>
        <v>-86</v>
      </c>
      <c r="DT94" s="1091">
        <f t="shared" si="75"/>
        <v>-1</v>
      </c>
      <c r="DU94" s="1146">
        <f>SUMIFS(BP_SOTIEN,BP_THANG,DU$2,BP_KM,$E94)/1000</f>
        <v>43</v>
      </c>
      <c r="DV94" s="1091">
        <f t="shared" si="820"/>
        <v>0.00001075</v>
      </c>
      <c r="DW94" s="1091"/>
      <c r="DX94" s="1147">
        <f>IF(NOW()&gt;=DATE(YEAR(DU$2),MONTH(DU$2)+1,DAY(DU$2)),SUMIFS(TF_SOTIEN,TF_THANG,DU$2,TF_KM,$E94)/1000, EA94)</f>
        <v>43</v>
      </c>
      <c r="DY94" s="1091">
        <f t="shared" si="821"/>
        <v>0.000007119205345</v>
      </c>
      <c r="DZ94" s="1091"/>
      <c r="EA94" s="1147">
        <f>IF(NOW()&gt;=DATE(YEAR(DU$2),MONTH(DU$2)+1,DAY(DU$2)),SUMIFS(AC_SOTIEN,AC_THANG,DU$2,AC_KM,$E94),SUMIFS(TF_SOTIEN,TF_THANG,DU$2,TF_KM,$E94))/ 1000</f>
        <v>0</v>
      </c>
      <c r="EB94" s="1091" t="str">
        <f t="shared" si="822"/>
        <v/>
      </c>
      <c r="EC94" s="1091" t="str">
        <f t="shared" ref="EC94:EC110" si="975">IFERROR(EA94/EA$93,"")</f>
        <v/>
      </c>
      <c r="ED94" s="1147">
        <f t="shared" si="599"/>
        <v>-43</v>
      </c>
      <c r="EE94" s="1091">
        <f t="shared" si="80"/>
        <v>-1</v>
      </c>
      <c r="EF94" s="1147">
        <f t="shared" si="600"/>
        <v>-43</v>
      </c>
      <c r="EG94" s="1091">
        <f t="shared" si="82"/>
        <v>-1</v>
      </c>
      <c r="EH94" s="1146">
        <f>SUMIFS(BP_SOTIEN,BP_THANG,EH$2,BP_KM,$E94)/1000</f>
        <v>43</v>
      </c>
      <c r="EI94" s="1091">
        <f t="shared" si="823"/>
        <v>0.00001075</v>
      </c>
      <c r="EJ94" s="1091"/>
      <c r="EK94" s="1147">
        <f>IF(NOW()&gt;=DATE(YEAR(EH$2),MONTH(EH$2)+1,DAY(EH$2)),SUMIFS(TF_SOTIEN,TF_THANG,EH$2,TF_KM,$E94)/1000, EN94)</f>
        <v>43</v>
      </c>
      <c r="EL94" s="1091">
        <f t="shared" si="824"/>
        <v>0.000007119205345</v>
      </c>
      <c r="EM94" s="1091"/>
      <c r="EN94" s="1147">
        <f>IF(NOW()&gt;=DATE(YEAR(EH$2),MONTH(EH$2)+1,DAY(EH$2)),SUMIFS(AC_SOTIEN,AC_THANG,EH$2,AC_KM,$E94),SUMIFS(TF_SOTIEN,TF_THANG,EH$2,TF_KM,$E94))/ 1000</f>
        <v>0</v>
      </c>
      <c r="EO94" s="1091" t="str">
        <f t="shared" si="825"/>
        <v/>
      </c>
      <c r="EP94" s="1091" t="str">
        <f t="shared" ref="EP94:EP110" si="976">IFERROR(EN94/EN$93,"")</f>
        <v/>
      </c>
      <c r="EQ94" s="1147">
        <f t="shared" si="607"/>
        <v>-43</v>
      </c>
      <c r="ER94" s="1091">
        <f t="shared" si="87"/>
        <v>-1</v>
      </c>
      <c r="ES94" s="1147">
        <f t="shared" si="608"/>
        <v>-43</v>
      </c>
      <c r="ET94" s="1091">
        <f t="shared" si="89"/>
        <v>-1</v>
      </c>
      <c r="EU94" s="1146">
        <f>SUMIFS(BP_SOTIEN,BP_THANG,EU$2,BP_KM,$E94)/1000</f>
        <v>43</v>
      </c>
      <c r="EV94" s="1091">
        <f t="shared" si="826"/>
        <v>0.00001075</v>
      </c>
      <c r="EW94" s="1091"/>
      <c r="EX94" s="1147">
        <f>IF(NOW()&gt;=DATE(YEAR(EU$2),MONTH(EU$2)+1,DAY(EU$2)),SUMIFS(TF_SOTIEN,TF_THANG,EU$2,TF_KM,$E94)/1000, FA94)</f>
        <v>43</v>
      </c>
      <c r="EY94" s="1091">
        <f t="shared" si="827"/>
        <v>0.000007119205345</v>
      </c>
      <c r="EZ94" s="1091"/>
      <c r="FA94" s="1147">
        <f>IF(NOW()&gt;=DATE(YEAR(EU$2),MONTH(EU$2)+1,DAY(EU$2)),SUMIFS(AC_SOTIEN,AC_THANG,EU$2,AC_KM,$E94),SUMIFS(TF_SOTIEN,TF_THANG,EU$2,TF_KM,$E94))/ 1000</f>
        <v>0</v>
      </c>
      <c r="FB94" s="1091" t="str">
        <f t="shared" si="828"/>
        <v/>
      </c>
      <c r="FC94" s="1091" t="str">
        <f t="shared" ref="FC94:FC110" si="977">IFERROR(FA94/FA$93,"")</f>
        <v/>
      </c>
      <c r="FD94" s="1147">
        <f t="shared" si="616"/>
        <v>-43</v>
      </c>
      <c r="FE94" s="1091">
        <f t="shared" si="94"/>
        <v>-1</v>
      </c>
      <c r="FF94" s="1147">
        <f t="shared" si="617"/>
        <v>-43</v>
      </c>
      <c r="FG94" s="1091">
        <f t="shared" si="96"/>
        <v>-1</v>
      </c>
      <c r="FH94" s="1146">
        <f t="shared" si="923"/>
        <v>129</v>
      </c>
      <c r="FI94" s="1091">
        <f t="shared" si="829"/>
        <v>0.00001075</v>
      </c>
      <c r="FJ94" s="1091">
        <f t="shared" ref="FJ94:FJ110" si="978">IFERROR(FH94/FH$93,"")</f>
        <v>0.002284196547</v>
      </c>
      <c r="FK94" s="1147">
        <f t="shared" si="621"/>
        <v>129</v>
      </c>
      <c r="FL94" s="1091">
        <f t="shared" si="830"/>
        <v>0.000007119205345</v>
      </c>
      <c r="FM94" s="1091">
        <f t="shared" ref="FM94:FM110" si="979">IFERROR(FK94/FK$93,"")</f>
        <v>0.002284196547</v>
      </c>
      <c r="FN94" s="1147">
        <f t="shared" si="624"/>
        <v>0</v>
      </c>
      <c r="FO94" s="1091" t="str">
        <f t="shared" si="831"/>
        <v/>
      </c>
      <c r="FP94" s="1091" t="str">
        <f t="shared" ref="FP94:FP110" si="980">IFERROR(FN94/FN$93,"")</f>
        <v/>
      </c>
      <c r="FQ94" s="1147">
        <f t="shared" si="627"/>
        <v>-129</v>
      </c>
      <c r="FR94" s="1091">
        <f t="shared" si="104"/>
        <v>-1</v>
      </c>
      <c r="FS94" s="1147">
        <f t="shared" si="628"/>
        <v>-129</v>
      </c>
      <c r="FT94" s="1091">
        <f t="shared" si="106"/>
        <v>-1</v>
      </c>
      <c r="FU94" s="1146">
        <f>SUMIFS(BP_SOTIEN,BP_THANG,FU$2,BP_KM,$E94)/1000</f>
        <v>43</v>
      </c>
      <c r="FV94" s="1091">
        <f t="shared" si="832"/>
        <v>0.00001075</v>
      </c>
      <c r="FW94" s="1091"/>
      <c r="FX94" s="1147">
        <f>IF(NOW()&gt;=DATE(YEAR(FU$2),MONTH(FU$2)+1,DAY(FU$2)),SUMIFS(TF_SOTIEN,TF_THANG,FU$2,TF_KM,$E94)/1000, GA94)</f>
        <v>43</v>
      </c>
      <c r="FY94" s="1091">
        <f t="shared" si="833"/>
        <v>0.000007119205345</v>
      </c>
      <c r="FZ94" s="1091"/>
      <c r="GA94" s="1147">
        <f>IF(NOW()&gt;=DATE(YEAR(FU$2),MONTH(FU$2)+1,DAY(FU$2)),SUMIFS(AC_SOTIEN,AC_THANG,FU$2,AC_KM,$E94),SUMIFS(TF_SOTIEN,TF_THANG,FU$2,TF_KM,$E94))/ 1000</f>
        <v>0</v>
      </c>
      <c r="GB94" s="1091" t="str">
        <f t="shared" si="834"/>
        <v/>
      </c>
      <c r="GC94" s="1091" t="str">
        <f t="shared" ref="GC94:GC110" si="981">IFERROR(GA94/GA$93,"")</f>
        <v/>
      </c>
      <c r="GD94" s="1147">
        <f t="shared" si="635"/>
        <v>-43</v>
      </c>
      <c r="GE94" s="1091">
        <f t="shared" si="111"/>
        <v>-1</v>
      </c>
      <c r="GF94" s="1147">
        <f t="shared" si="636"/>
        <v>-43</v>
      </c>
      <c r="GG94" s="1091">
        <f t="shared" si="113"/>
        <v>-1</v>
      </c>
      <c r="GH94" s="1146">
        <f>SUMIFS(BP_SOTIEN,BP_THANG,GH$2,BP_KM,$E94)/1000</f>
        <v>43</v>
      </c>
      <c r="GI94" s="1091">
        <f t="shared" si="835"/>
        <v>0.00001075</v>
      </c>
      <c r="GJ94" s="1091"/>
      <c r="GK94" s="1147">
        <f>IF(NOW()&gt;=DATE(YEAR(GH$2),MONTH(GH$2)+1,DAY(GH$2)),SUMIFS(TF_SOTIEN,TF_THANG,GH$2,TF_KM,$E94)/1000, GN94)</f>
        <v>43</v>
      </c>
      <c r="GL94" s="1091">
        <f t="shared" si="836"/>
        <v>0.000007119205345</v>
      </c>
      <c r="GM94" s="1091"/>
      <c r="GN94" s="1147">
        <f>IF(NOW()&gt;=DATE(YEAR(GH$2),MONTH(GH$2)+1,DAY(GH$2)),SUMIFS(AC_SOTIEN,AC_THANG,GH$2,AC_KM,$E94),SUMIFS(TF_SOTIEN,TF_THANG,GH$2,TF_KM,$E94))/ 1000</f>
        <v>0</v>
      </c>
      <c r="GO94" s="1091" t="str">
        <f t="shared" si="837"/>
        <v/>
      </c>
      <c r="GP94" s="1091" t="str">
        <f t="shared" ref="GP94:GP110" si="982">IFERROR(GN94/GN$93,"")</f>
        <v/>
      </c>
      <c r="GQ94" s="1147">
        <f t="shared" si="643"/>
        <v>-43</v>
      </c>
      <c r="GR94" s="1091">
        <f t="shared" si="118"/>
        <v>-1</v>
      </c>
      <c r="GS94" s="1147">
        <f t="shared" si="644"/>
        <v>-43</v>
      </c>
      <c r="GT94" s="1091">
        <f t="shared" si="120"/>
        <v>-1</v>
      </c>
      <c r="GU94" s="1146">
        <f>SUMIFS(BP_SOTIEN,BP_THANG,GU$2,BP_KM,$E94)/1000</f>
        <v>43</v>
      </c>
      <c r="GV94" s="1091">
        <f t="shared" si="838"/>
        <v>0.00001075</v>
      </c>
      <c r="GW94" s="1091"/>
      <c r="GX94" s="1147">
        <f>IF(NOW()&gt;=DATE(YEAR(GU$2),MONTH(GU$2)+1,DAY(GU$2)),SUMIFS(TF_SOTIEN,TF_THANG,GU$2,TF_KM,$E94)/1000, HA94)</f>
        <v>43</v>
      </c>
      <c r="GY94" s="1091">
        <f t="shared" si="839"/>
        <v>0.000007119205345</v>
      </c>
      <c r="GZ94" s="1091"/>
      <c r="HA94" s="1147">
        <f>IF(NOW()&gt;=DATE(YEAR(GU$2),MONTH(GU$2)+1,DAY(GU$2)),SUMIFS(AC_SOTIEN,AC_THANG,GU$2,AC_KM,$E94),SUMIFS(TF_SOTIEN,TF_THANG,GU$2,TF_KM,$E94))/ 1000</f>
        <v>0</v>
      </c>
      <c r="HB94" s="1091" t="str">
        <f t="shared" si="840"/>
        <v/>
      </c>
      <c r="HC94" s="1091" t="str">
        <f t="shared" ref="HC94:HC110" si="983">IFERROR(HA94/HA$93,"")</f>
        <v/>
      </c>
      <c r="HD94" s="1147">
        <f t="shared" si="651"/>
        <v>-43</v>
      </c>
      <c r="HE94" s="1091">
        <f t="shared" si="125"/>
        <v>-1</v>
      </c>
      <c r="HF94" s="1147">
        <f t="shared" si="652"/>
        <v>-43</v>
      </c>
      <c r="HG94" s="1091">
        <f t="shared" si="127"/>
        <v>-1</v>
      </c>
      <c r="HH94" s="1146">
        <f t="shared" si="924"/>
        <v>129</v>
      </c>
      <c r="HI94" s="1091">
        <f t="shared" si="841"/>
        <v>0.00001075</v>
      </c>
      <c r="HJ94" s="1091">
        <f t="shared" ref="HJ94:HJ110" si="984">IFERROR(HH94/HH$93,"")</f>
        <v>0.002284196547</v>
      </c>
      <c r="HK94" s="1147">
        <f t="shared" si="656"/>
        <v>129</v>
      </c>
      <c r="HL94" s="1091">
        <f t="shared" si="842"/>
        <v>0.000007119205345</v>
      </c>
      <c r="HM94" s="1091">
        <f t="shared" ref="HM94:HM110" si="985">IFERROR(HK94/HK$93,"")</f>
        <v>0.002284196547</v>
      </c>
      <c r="HN94" s="1147">
        <f t="shared" si="659"/>
        <v>0</v>
      </c>
      <c r="HO94" s="1091" t="str">
        <f t="shared" si="843"/>
        <v/>
      </c>
      <c r="HP94" s="1091" t="str">
        <f t="shared" ref="HP94:HP110" si="986">IFERROR(HN94/HN$93,"")</f>
        <v/>
      </c>
      <c r="HQ94" s="1147">
        <f t="shared" si="662"/>
        <v>-129</v>
      </c>
      <c r="HR94" s="1091">
        <f t="shared" si="135"/>
        <v>-1</v>
      </c>
      <c r="HS94" s="1147">
        <f t="shared" si="663"/>
        <v>-129</v>
      </c>
      <c r="HT94" s="1091">
        <f t="shared" si="137"/>
        <v>-1</v>
      </c>
      <c r="HU94" s="1146">
        <f t="shared" si="925"/>
        <v>258</v>
      </c>
      <c r="HV94" s="1091">
        <f t="shared" si="844"/>
        <v>0.00001075</v>
      </c>
      <c r="HW94" s="1091">
        <f t="shared" ref="HW94:HW110" si="987">IFERROR(HU94/HU$93,"")</f>
        <v>0.002284196547</v>
      </c>
      <c r="HX94" s="1147">
        <f t="shared" si="667"/>
        <v>258</v>
      </c>
      <c r="HY94" s="1091">
        <f t="shared" si="845"/>
        <v>0.000007119205345</v>
      </c>
      <c r="HZ94" s="1091">
        <f t="shared" ref="HZ94:HZ110" si="988">IFERROR(HX94/HX$93,"")</f>
        <v>0.002284196547</v>
      </c>
      <c r="IA94" s="1147">
        <f t="shared" si="670"/>
        <v>0</v>
      </c>
      <c r="IB94" s="1091" t="str">
        <f t="shared" si="846"/>
        <v/>
      </c>
      <c r="IC94" s="1091" t="str">
        <f t="shared" ref="IC94:IC110" si="989">IFERROR(IA94/IA$93,"")</f>
        <v/>
      </c>
      <c r="ID94" s="1147">
        <f t="shared" si="673"/>
        <v>-258</v>
      </c>
      <c r="IE94" s="1091">
        <f t="shared" si="145"/>
        <v>-1</v>
      </c>
      <c r="IF94" s="1147">
        <f t="shared" si="674"/>
        <v>-258</v>
      </c>
      <c r="IG94" s="1091">
        <f t="shared" si="147"/>
        <v>-1</v>
      </c>
      <c r="IH94" s="1146">
        <f t="shared" si="926"/>
        <v>516</v>
      </c>
      <c r="II94" s="1091">
        <f t="shared" si="847"/>
        <v>0.00001433333333</v>
      </c>
      <c r="IJ94" s="1091">
        <f t="shared" ref="IJ94:IJ110" si="990">IFERROR(IH94/IH$93,"")</f>
        <v>0.002254259502</v>
      </c>
      <c r="IK94" s="1147">
        <f t="shared" si="678"/>
        <v>344</v>
      </c>
      <c r="IL94" s="1091">
        <f t="shared" si="848"/>
        <v>0.000008298263473</v>
      </c>
      <c r="IM94" s="1091">
        <f t="shared" ref="IM94:IM110" si="991">IFERROR(IK94/IK$93,"")</f>
        <v>0.001596900453</v>
      </c>
      <c r="IN94" s="1147">
        <f t="shared" si="681"/>
        <v>0</v>
      </c>
      <c r="IO94" s="1091">
        <f t="shared" si="849"/>
        <v>0</v>
      </c>
      <c r="IP94" s="1091">
        <f t="shared" ref="IP94:IP110" si="992">IFERROR(IN94/IN$93,"")</f>
        <v>0</v>
      </c>
      <c r="IQ94" s="1147">
        <f t="shared" si="684"/>
        <v>-516</v>
      </c>
      <c r="IR94" s="1091">
        <f t="shared" si="1"/>
        <v>-1</v>
      </c>
      <c r="IS94" s="1147">
        <f t="shared" si="685"/>
        <v>-344</v>
      </c>
      <c r="IT94" s="1091">
        <f t="shared" si="2"/>
        <v>-1</v>
      </c>
    </row>
    <row r="95" outlineLevel="1">
      <c r="A95" s="737"/>
      <c r="B95" s="737"/>
      <c r="C95" s="737"/>
      <c r="D95" s="737" t="s">
        <v>2856</v>
      </c>
      <c r="E95" s="737" t="s">
        <v>419</v>
      </c>
      <c r="F95" s="737"/>
      <c r="G95" s="748">
        <v>3.0</v>
      </c>
      <c r="H95" s="1146">
        <f>SUMIFS(BP_SOTIEN,BP_THANG,H$2,BP_KM,$E95)/1000</f>
        <v>166</v>
      </c>
      <c r="I95" s="1091" t="str">
        <f t="shared" si="791"/>
        <v/>
      </c>
      <c r="J95" s="1091"/>
      <c r="K95" s="1147">
        <f>IF(NOW()&gt;=DATE(YEAR(H$2),MONTH(H$2)+1,DAY(H$2)),SUMIFS(TF_SOTIEN,TF_THANG,H$2,TF_KM,$E95)/1000, N95)</f>
        <v>166</v>
      </c>
      <c r="L95" s="1091">
        <f t="shared" si="792"/>
        <v>0.001383333333</v>
      </c>
      <c r="M95" s="1091"/>
      <c r="N95" s="1147">
        <f>IF(NOW()&gt;=DATE(YEAR(H$2),MONTH(H$2)+1,DAY(H$2)),SUMIFS(AC_SOTIEN,AC_THANG,H$2,AC_KM,$E95),SUMIFS(TF_SOTIEN,TF_THANG,H$2,TF_KM,$E95))/ 1000</f>
        <v>0</v>
      </c>
      <c r="O95" s="1091">
        <f t="shared" si="793"/>
        <v>0</v>
      </c>
      <c r="P95" s="1091">
        <f t="shared" si="960"/>
        <v>0</v>
      </c>
      <c r="Q95" s="1147">
        <f t="shared" si="518"/>
        <v>-166</v>
      </c>
      <c r="R95" s="1091">
        <f t="shared" si="8"/>
        <v>-1</v>
      </c>
      <c r="S95" s="1147">
        <f t="shared" si="519"/>
        <v>-166</v>
      </c>
      <c r="T95" s="1091">
        <f t="shared" si="10"/>
        <v>-1</v>
      </c>
      <c r="U95" s="1146">
        <f>SUMIFS(BP_SOTIEN,BP_THANG,U$2,BP_KM,$E95)/1000</f>
        <v>166</v>
      </c>
      <c r="V95" s="1091" t="str">
        <f t="shared" si="794"/>
        <v/>
      </c>
      <c r="W95" s="1091"/>
      <c r="X95" s="1147">
        <f>IF(NOW()&gt;=DATE(YEAR(U$2),MONTH(U$2)+1,DAY(U$2)),SUMIFS(TF_SOTIEN,TF_THANG,U$2,TF_KM,$E95)/1000, AA95)</f>
        <v>137.5</v>
      </c>
      <c r="Y95" s="1091" t="str">
        <f t="shared" si="795"/>
        <v/>
      </c>
      <c r="Z95" s="1091"/>
      <c r="AA95" s="1147">
        <f>IF(NOW()&gt;=DATE(YEAR(U$2),MONTH(U$2)+1,DAY(U$2)),SUMIFS(AC_SOTIEN,AC_THANG,U$2,AC_KM,$E95),SUMIFS(TF_SOTIEN,TF_THANG,U$2,TF_KM,$E95))/ 1000</f>
        <v>361.75</v>
      </c>
      <c r="AB95" s="1091">
        <f t="shared" si="796"/>
        <v>0.002009722222</v>
      </c>
      <c r="AC95" s="1091">
        <f t="shared" si="961"/>
        <v>0.03502156137</v>
      </c>
      <c r="AD95" s="1147">
        <f t="shared" si="526"/>
        <v>195.75</v>
      </c>
      <c r="AE95" s="1091">
        <f t="shared" si="15"/>
        <v>1.179216867</v>
      </c>
      <c r="AF95" s="1147">
        <f t="shared" si="527"/>
        <v>224.25</v>
      </c>
      <c r="AG95" s="1091">
        <f t="shared" si="17"/>
        <v>1.630909091</v>
      </c>
      <c r="AH95" s="1146">
        <f>SUMIFS(BP_SOTIEN,BP_THANG,AH$2,BP_KM,$E95)/1000</f>
        <v>166</v>
      </c>
      <c r="AI95" s="1091" t="str">
        <f t="shared" si="797"/>
        <v/>
      </c>
      <c r="AJ95" s="1091"/>
      <c r="AK95" s="1147">
        <f>IF(NOW()&gt;=DATE(YEAR(AH$2),MONTH(AH$2)+1,DAY(AH$2)),SUMIFS(TF_SOTIEN,TF_THANG,AH$2,TF_KM,$E95)/1000, AN95)</f>
        <v>137.5</v>
      </c>
      <c r="AL95" s="1091">
        <f t="shared" si="798"/>
        <v>0.00003819444444</v>
      </c>
      <c r="AM95" s="1091"/>
      <c r="AN95" s="1147">
        <f>IF(NOW()&gt;=DATE(YEAR(AH$2),MONTH(AH$2)+1,DAY(AH$2)),SUMIFS(AC_SOTIEN,AC_THANG,AH$2,AC_KM,$E95),SUMIFS(TF_SOTIEN,TF_THANG,AH$2,TF_KM,$E95))/ 1000</f>
        <v>1000</v>
      </c>
      <c r="AO95" s="1091">
        <f t="shared" si="799"/>
        <v>0.001497005988</v>
      </c>
      <c r="AP95" s="1091">
        <f t="shared" si="962"/>
        <v>0.05547217471</v>
      </c>
      <c r="AQ95" s="1147">
        <f t="shared" si="534"/>
        <v>834</v>
      </c>
      <c r="AR95" s="1091">
        <f t="shared" si="22"/>
        <v>5.024096386</v>
      </c>
      <c r="AS95" s="1147">
        <f t="shared" si="535"/>
        <v>862.5</v>
      </c>
      <c r="AT95" s="1091">
        <f t="shared" si="24"/>
        <v>6.272727273</v>
      </c>
      <c r="AU95" s="1146">
        <f t="shared" si="916"/>
        <v>498</v>
      </c>
      <c r="AV95" s="1091" t="str">
        <f t="shared" si="800"/>
        <v/>
      </c>
      <c r="AW95" s="1091">
        <f t="shared" si="963"/>
        <v>0.008373266078</v>
      </c>
      <c r="AX95" s="1147">
        <f t="shared" si="917"/>
        <v>441</v>
      </c>
      <c r="AY95" s="1091">
        <f t="shared" si="801"/>
        <v>0.0001185483871</v>
      </c>
      <c r="AZ95" s="1091">
        <f t="shared" si="964"/>
        <v>0.009574468085</v>
      </c>
      <c r="BA95" s="1147">
        <f t="shared" si="918"/>
        <v>1361.75</v>
      </c>
      <c r="BB95" s="1091">
        <f t="shared" si="802"/>
        <v>0.001146254209</v>
      </c>
      <c r="BC95" s="1091">
        <f t="shared" si="965"/>
        <v>0.03534424411</v>
      </c>
      <c r="BD95" s="1147">
        <f t="shared" si="545"/>
        <v>863.75</v>
      </c>
      <c r="BE95" s="1091">
        <f t="shared" si="32"/>
        <v>1.734437751</v>
      </c>
      <c r="BF95" s="1147">
        <f t="shared" si="546"/>
        <v>920.75</v>
      </c>
      <c r="BG95" s="1091">
        <f t="shared" si="34"/>
        <v>2.087868481</v>
      </c>
      <c r="BH95" s="1146">
        <f>SUMIFS(BP_SOTIEN,BP_THANG,BH$2,BP_KM,$E95)/1000</f>
        <v>166</v>
      </c>
      <c r="BI95" s="1091">
        <f t="shared" si="803"/>
        <v>0.0000415</v>
      </c>
      <c r="BJ95" s="1091"/>
      <c r="BK95" s="1147">
        <f>IF(NOW()&gt;=DATE(YEAR(BH$2),MONTH(BH$2)+1,DAY(BH$2)),SUMIFS(TF_SOTIEN,TF_THANG,BH$2,TF_KM,$E95)/1000, BN95)</f>
        <v>137.5</v>
      </c>
      <c r="BL95" s="1091" t="str">
        <f t="shared" si="804"/>
        <v/>
      </c>
      <c r="BM95" s="1091"/>
      <c r="BN95" s="1147">
        <f>IF(NOW()&gt;=DATE(YEAR(BH$2),MONTH(BH$2)+1,DAY(BH$2)),SUMIFS(AC_SOTIEN,AC_THANG,BH$2,AC_KM,$E95),SUMIFS(TF_SOTIEN,TF_THANG,BH$2,TF_KM,$E95))/ 1000</f>
        <v>966</v>
      </c>
      <c r="BO95" s="1091">
        <f t="shared" si="805"/>
        <v>0.0003713899056</v>
      </c>
      <c r="BP95" s="1091">
        <f t="shared" si="966"/>
        <v>0.05557314669</v>
      </c>
      <c r="BQ95" s="1147">
        <f t="shared" si="553"/>
        <v>800</v>
      </c>
      <c r="BR95" s="1091">
        <f t="shared" si="39"/>
        <v>4.819277108</v>
      </c>
      <c r="BS95" s="1147">
        <f t="shared" si="554"/>
        <v>828.5</v>
      </c>
      <c r="BT95" s="1091">
        <f t="shared" si="41"/>
        <v>6.025454545</v>
      </c>
      <c r="BU95" s="1146">
        <f>SUMIFS(BP_SOTIEN,BP_THANG,BU$2,BP_KM,$E95)/1000</f>
        <v>166</v>
      </c>
      <c r="BV95" s="1091">
        <f t="shared" si="806"/>
        <v>0.0000415</v>
      </c>
      <c r="BW95" s="1091"/>
      <c r="BX95" s="1147">
        <f>IF(NOW()&gt;=DATE(YEAR(BU$2),MONTH(BU$2)+1,DAY(BU$2)),SUMIFS(TF_SOTIEN,TF_THANG,BU$2,TF_KM,$E95)/1000, CA95)</f>
        <v>166</v>
      </c>
      <c r="BY95" s="1091">
        <f t="shared" si="807"/>
        <v>0.0001110771724</v>
      </c>
      <c r="BZ95" s="1091"/>
      <c r="CA95" s="1147">
        <f>IF(NOW()&gt;=DATE(YEAR(BU$2),MONTH(BU$2)+1,DAY(BU$2)),SUMIFS(AC_SOTIEN,AC_THANG,BU$2,AC_KM,$E95),SUMIFS(TF_SOTIEN,TF_THANG,BU$2,TF_KM,$E95))/ 1000</f>
        <v>0</v>
      </c>
      <c r="CB95" s="1091">
        <f t="shared" si="808"/>
        <v>0</v>
      </c>
      <c r="CC95" s="1091">
        <f t="shared" si="967"/>
        <v>0</v>
      </c>
      <c r="CD95" s="1147">
        <f t="shared" si="561"/>
        <v>-166</v>
      </c>
      <c r="CE95" s="1091">
        <f t="shared" si="46"/>
        <v>-1</v>
      </c>
      <c r="CF95" s="1147">
        <f t="shared" si="562"/>
        <v>-166</v>
      </c>
      <c r="CG95" s="1091">
        <f t="shared" si="48"/>
        <v>-1</v>
      </c>
      <c r="CH95" s="1146">
        <f>SUMIFS(BP_SOTIEN,BP_THANG,CH$2,BP_KM,$E95)/1000</f>
        <v>166</v>
      </c>
      <c r="CI95" s="1091">
        <f t="shared" si="809"/>
        <v>0.0000415</v>
      </c>
      <c r="CJ95" s="1091"/>
      <c r="CK95" s="1147">
        <f>IF(NOW()&gt;=DATE(YEAR(CH$2),MONTH(CH$2)+1,DAY(CH$2)),SUMIFS(TF_SOTIEN,TF_THANG,CH$2,TF_KM,$E95)/1000, CN95)</f>
        <v>166</v>
      </c>
      <c r="CL95" s="1091" t="str">
        <f t="shared" si="810"/>
        <v/>
      </c>
      <c r="CM95" s="1091"/>
      <c r="CN95" s="1147">
        <f>IF(NOW()&gt;=DATE(YEAR(CH$2),MONTH(CH$2)+1,DAY(CH$2)),SUMIFS(AC_SOTIEN,AC_THANG,CH$2,AC_KM,$E95),SUMIFS(TF_SOTIEN,TF_THANG,CH$2,TF_KM,$E95))/ 1000</f>
        <v>0</v>
      </c>
      <c r="CO95" s="1091" t="str">
        <f t="shared" si="811"/>
        <v/>
      </c>
      <c r="CP95" s="1091" t="str">
        <f t="shared" si="968"/>
        <v/>
      </c>
      <c r="CQ95" s="1147">
        <f t="shared" si="569"/>
        <v>-166</v>
      </c>
      <c r="CR95" s="1091">
        <f t="shared" si="53"/>
        <v>-1</v>
      </c>
      <c r="CS95" s="1147">
        <f t="shared" si="570"/>
        <v>-166</v>
      </c>
      <c r="CT95" s="1091">
        <f t="shared" si="55"/>
        <v>-1</v>
      </c>
      <c r="CU95" s="1146">
        <f t="shared" si="919"/>
        <v>498</v>
      </c>
      <c r="CV95" s="1091">
        <f t="shared" si="812"/>
        <v>0.0000415</v>
      </c>
      <c r="CW95" s="1091">
        <f t="shared" si="969"/>
        <v>0.008818061089</v>
      </c>
      <c r="CX95" s="1147">
        <f t="shared" si="920"/>
        <v>469.5</v>
      </c>
      <c r="CY95" s="1091">
        <f t="shared" si="814"/>
        <v>0.0003141610387</v>
      </c>
      <c r="CZ95" s="1091">
        <f t="shared" si="970"/>
        <v>0.008323389291</v>
      </c>
      <c r="DA95" s="1147">
        <f t="shared" si="921"/>
        <v>966</v>
      </c>
      <c r="DB95" s="1091">
        <f t="shared" si="816"/>
        <v>0.0003060243071</v>
      </c>
      <c r="DC95" s="1091">
        <f t="shared" si="971"/>
        <v>0.0272303511</v>
      </c>
      <c r="DD95" s="1147">
        <f t="shared" si="580"/>
        <v>468</v>
      </c>
      <c r="DE95" s="1091">
        <f t="shared" si="63"/>
        <v>0.9397590361</v>
      </c>
      <c r="DF95" s="1147">
        <f t="shared" si="581"/>
        <v>496.5</v>
      </c>
      <c r="DG95" s="1091">
        <f t="shared" si="65"/>
        <v>1.057507987</v>
      </c>
      <c r="DH95" s="1146">
        <f t="shared" si="922"/>
        <v>996</v>
      </c>
      <c r="DI95" s="1091">
        <f t="shared" si="817"/>
        <v>0.000083</v>
      </c>
      <c r="DJ95" s="1091">
        <f t="shared" si="972"/>
        <v>0.008589909444</v>
      </c>
      <c r="DK95" s="1147">
        <f t="shared" si="585"/>
        <v>910.5</v>
      </c>
      <c r="DL95" s="1091">
        <f t="shared" si="818"/>
        <v>0.0001746107199</v>
      </c>
      <c r="DM95" s="1091">
        <f t="shared" si="973"/>
        <v>0.008885760737</v>
      </c>
      <c r="DN95" s="1147">
        <f t="shared" si="588"/>
        <v>2327.75</v>
      </c>
      <c r="DO95" s="1091">
        <f t="shared" si="819"/>
        <v>0.0005357785689</v>
      </c>
      <c r="DP95" s="1091">
        <f t="shared" si="974"/>
        <v>0.03145467072</v>
      </c>
      <c r="DQ95" s="1147">
        <f t="shared" si="591"/>
        <v>1331.75</v>
      </c>
      <c r="DR95" s="1091">
        <f t="shared" si="73"/>
        <v>1.337098394</v>
      </c>
      <c r="DS95" s="1147">
        <f t="shared" si="592"/>
        <v>1417.25</v>
      </c>
      <c r="DT95" s="1091">
        <f t="shared" si="75"/>
        <v>1.556562328</v>
      </c>
      <c r="DU95" s="1146">
        <f>SUMIFS(BP_SOTIEN,BP_THANG,DU$2,BP_KM,$E95)/1000</f>
        <v>166</v>
      </c>
      <c r="DV95" s="1091">
        <f t="shared" si="820"/>
        <v>0.0000415</v>
      </c>
      <c r="DW95" s="1091"/>
      <c r="DX95" s="1147">
        <f>IF(NOW()&gt;=DATE(YEAR(DU$2),MONTH(DU$2)+1,DAY(DU$2)),SUMIFS(TF_SOTIEN,TF_THANG,DU$2,TF_KM,$E95)/1000, EA95)</f>
        <v>166</v>
      </c>
      <c r="DY95" s="1091">
        <f t="shared" si="821"/>
        <v>0.00002748344389</v>
      </c>
      <c r="DZ95" s="1091"/>
      <c r="EA95" s="1147">
        <f>IF(NOW()&gt;=DATE(YEAR(DU$2),MONTH(DU$2)+1,DAY(DU$2)),SUMIFS(AC_SOTIEN,AC_THANG,DU$2,AC_KM,$E95),SUMIFS(TF_SOTIEN,TF_THANG,DU$2,TF_KM,$E95))/ 1000</f>
        <v>0</v>
      </c>
      <c r="EB95" s="1091" t="str">
        <f t="shared" si="822"/>
        <v/>
      </c>
      <c r="EC95" s="1091" t="str">
        <f t="shared" si="975"/>
        <v/>
      </c>
      <c r="ED95" s="1147">
        <f t="shared" si="599"/>
        <v>-166</v>
      </c>
      <c r="EE95" s="1091">
        <f t="shared" si="80"/>
        <v>-1</v>
      </c>
      <c r="EF95" s="1147">
        <f t="shared" si="600"/>
        <v>-166</v>
      </c>
      <c r="EG95" s="1091">
        <f t="shared" si="82"/>
        <v>-1</v>
      </c>
      <c r="EH95" s="1146">
        <f>SUMIFS(BP_SOTIEN,BP_THANG,EH$2,BP_KM,$E95)/1000</f>
        <v>166</v>
      </c>
      <c r="EI95" s="1091">
        <f t="shared" si="823"/>
        <v>0.0000415</v>
      </c>
      <c r="EJ95" s="1091"/>
      <c r="EK95" s="1147">
        <f>IF(NOW()&gt;=DATE(YEAR(EH$2),MONTH(EH$2)+1,DAY(EH$2)),SUMIFS(TF_SOTIEN,TF_THANG,EH$2,TF_KM,$E95)/1000, EN95)</f>
        <v>166</v>
      </c>
      <c r="EL95" s="1091">
        <f t="shared" si="824"/>
        <v>0.00002748344389</v>
      </c>
      <c r="EM95" s="1091"/>
      <c r="EN95" s="1147">
        <f>IF(NOW()&gt;=DATE(YEAR(EH$2),MONTH(EH$2)+1,DAY(EH$2)),SUMIFS(AC_SOTIEN,AC_THANG,EH$2,AC_KM,$E95),SUMIFS(TF_SOTIEN,TF_THANG,EH$2,TF_KM,$E95))/ 1000</f>
        <v>0</v>
      </c>
      <c r="EO95" s="1091" t="str">
        <f t="shared" si="825"/>
        <v/>
      </c>
      <c r="EP95" s="1091" t="str">
        <f t="shared" si="976"/>
        <v/>
      </c>
      <c r="EQ95" s="1147">
        <f t="shared" si="607"/>
        <v>-166</v>
      </c>
      <c r="ER95" s="1091">
        <f t="shared" si="87"/>
        <v>-1</v>
      </c>
      <c r="ES95" s="1147">
        <f t="shared" si="608"/>
        <v>-166</v>
      </c>
      <c r="ET95" s="1091">
        <f t="shared" si="89"/>
        <v>-1</v>
      </c>
      <c r="EU95" s="1146">
        <f>SUMIFS(BP_SOTIEN,BP_THANG,EU$2,BP_KM,$E95)/1000</f>
        <v>166</v>
      </c>
      <c r="EV95" s="1091">
        <f t="shared" si="826"/>
        <v>0.0000415</v>
      </c>
      <c r="EW95" s="1091"/>
      <c r="EX95" s="1147">
        <f>IF(NOW()&gt;=DATE(YEAR(EU$2),MONTH(EU$2)+1,DAY(EU$2)),SUMIFS(TF_SOTIEN,TF_THANG,EU$2,TF_KM,$E95)/1000, FA95)</f>
        <v>166</v>
      </c>
      <c r="EY95" s="1091">
        <f t="shared" si="827"/>
        <v>0.00002748344389</v>
      </c>
      <c r="EZ95" s="1091"/>
      <c r="FA95" s="1147">
        <f>IF(NOW()&gt;=DATE(YEAR(EU$2),MONTH(EU$2)+1,DAY(EU$2)),SUMIFS(AC_SOTIEN,AC_THANG,EU$2,AC_KM,$E95),SUMIFS(TF_SOTIEN,TF_THANG,EU$2,TF_KM,$E95))/ 1000</f>
        <v>0</v>
      </c>
      <c r="FB95" s="1091" t="str">
        <f t="shared" si="828"/>
        <v/>
      </c>
      <c r="FC95" s="1091" t="str">
        <f t="shared" si="977"/>
        <v/>
      </c>
      <c r="FD95" s="1147">
        <f t="shared" si="616"/>
        <v>-166</v>
      </c>
      <c r="FE95" s="1091">
        <f t="shared" si="94"/>
        <v>-1</v>
      </c>
      <c r="FF95" s="1147">
        <f t="shared" si="617"/>
        <v>-166</v>
      </c>
      <c r="FG95" s="1091">
        <f t="shared" si="96"/>
        <v>-1</v>
      </c>
      <c r="FH95" s="1146">
        <f t="shared" si="923"/>
        <v>498</v>
      </c>
      <c r="FI95" s="1091">
        <f t="shared" si="829"/>
        <v>0.0000415</v>
      </c>
      <c r="FJ95" s="1091">
        <f t="shared" si="978"/>
        <v>0.008818061089</v>
      </c>
      <c r="FK95" s="1147">
        <f t="shared" si="621"/>
        <v>498</v>
      </c>
      <c r="FL95" s="1091">
        <f t="shared" si="830"/>
        <v>0.00002748344389</v>
      </c>
      <c r="FM95" s="1091">
        <f t="shared" si="979"/>
        <v>0.008818061089</v>
      </c>
      <c r="FN95" s="1147">
        <f t="shared" si="624"/>
        <v>0</v>
      </c>
      <c r="FO95" s="1091" t="str">
        <f t="shared" si="831"/>
        <v/>
      </c>
      <c r="FP95" s="1091" t="str">
        <f t="shared" si="980"/>
        <v/>
      </c>
      <c r="FQ95" s="1147">
        <f t="shared" si="627"/>
        <v>-498</v>
      </c>
      <c r="FR95" s="1091">
        <f t="shared" si="104"/>
        <v>-1</v>
      </c>
      <c r="FS95" s="1147">
        <f t="shared" si="628"/>
        <v>-498</v>
      </c>
      <c r="FT95" s="1091">
        <f t="shared" si="106"/>
        <v>-1</v>
      </c>
      <c r="FU95" s="1146">
        <f>SUMIFS(BP_SOTIEN,BP_THANG,FU$2,BP_KM,$E95)/1000</f>
        <v>166</v>
      </c>
      <c r="FV95" s="1091">
        <f t="shared" si="832"/>
        <v>0.0000415</v>
      </c>
      <c r="FW95" s="1091"/>
      <c r="FX95" s="1147">
        <f>IF(NOW()&gt;=DATE(YEAR(FU$2),MONTH(FU$2)+1,DAY(FU$2)),SUMIFS(TF_SOTIEN,TF_THANG,FU$2,TF_KM,$E95)/1000, GA95)</f>
        <v>166</v>
      </c>
      <c r="FY95" s="1091">
        <f t="shared" si="833"/>
        <v>0.00002748344389</v>
      </c>
      <c r="FZ95" s="1091"/>
      <c r="GA95" s="1147">
        <f>IF(NOW()&gt;=DATE(YEAR(FU$2),MONTH(FU$2)+1,DAY(FU$2)),SUMIFS(AC_SOTIEN,AC_THANG,FU$2,AC_KM,$E95),SUMIFS(TF_SOTIEN,TF_THANG,FU$2,TF_KM,$E95))/ 1000</f>
        <v>0</v>
      </c>
      <c r="GB95" s="1091" t="str">
        <f t="shared" si="834"/>
        <v/>
      </c>
      <c r="GC95" s="1091" t="str">
        <f t="shared" si="981"/>
        <v/>
      </c>
      <c r="GD95" s="1147">
        <f t="shared" si="635"/>
        <v>-166</v>
      </c>
      <c r="GE95" s="1091">
        <f t="shared" si="111"/>
        <v>-1</v>
      </c>
      <c r="GF95" s="1147">
        <f t="shared" si="636"/>
        <v>-166</v>
      </c>
      <c r="GG95" s="1091">
        <f t="shared" si="113"/>
        <v>-1</v>
      </c>
      <c r="GH95" s="1146">
        <f>SUMIFS(BP_SOTIEN,BP_THANG,GH$2,BP_KM,$E95)/1000</f>
        <v>166</v>
      </c>
      <c r="GI95" s="1091">
        <f t="shared" si="835"/>
        <v>0.0000415</v>
      </c>
      <c r="GJ95" s="1091"/>
      <c r="GK95" s="1147">
        <f>IF(NOW()&gt;=DATE(YEAR(GH$2),MONTH(GH$2)+1,DAY(GH$2)),SUMIFS(TF_SOTIEN,TF_THANG,GH$2,TF_KM,$E95)/1000, GN95)</f>
        <v>166</v>
      </c>
      <c r="GL95" s="1091">
        <f t="shared" si="836"/>
        <v>0.00002748344389</v>
      </c>
      <c r="GM95" s="1091"/>
      <c r="GN95" s="1147">
        <f>IF(NOW()&gt;=DATE(YEAR(GH$2),MONTH(GH$2)+1,DAY(GH$2)),SUMIFS(AC_SOTIEN,AC_THANG,GH$2,AC_KM,$E95),SUMIFS(TF_SOTIEN,TF_THANG,GH$2,TF_KM,$E95))/ 1000</f>
        <v>0</v>
      </c>
      <c r="GO95" s="1091" t="str">
        <f t="shared" si="837"/>
        <v/>
      </c>
      <c r="GP95" s="1091" t="str">
        <f t="shared" si="982"/>
        <v/>
      </c>
      <c r="GQ95" s="1147">
        <f t="shared" si="643"/>
        <v>-166</v>
      </c>
      <c r="GR95" s="1091">
        <f t="shared" si="118"/>
        <v>-1</v>
      </c>
      <c r="GS95" s="1147">
        <f t="shared" si="644"/>
        <v>-166</v>
      </c>
      <c r="GT95" s="1091">
        <f t="shared" si="120"/>
        <v>-1</v>
      </c>
      <c r="GU95" s="1146">
        <f>SUMIFS(BP_SOTIEN,BP_THANG,GU$2,BP_KM,$E95)/1000</f>
        <v>166</v>
      </c>
      <c r="GV95" s="1091">
        <f t="shared" si="838"/>
        <v>0.0000415</v>
      </c>
      <c r="GW95" s="1091"/>
      <c r="GX95" s="1147">
        <f>IF(NOW()&gt;=DATE(YEAR(GU$2),MONTH(GU$2)+1,DAY(GU$2)),SUMIFS(TF_SOTIEN,TF_THANG,GU$2,TF_KM,$E95)/1000, HA95)</f>
        <v>166</v>
      </c>
      <c r="GY95" s="1091">
        <f t="shared" si="839"/>
        <v>0.00002748344389</v>
      </c>
      <c r="GZ95" s="1091"/>
      <c r="HA95" s="1147">
        <f>IF(NOW()&gt;=DATE(YEAR(GU$2),MONTH(GU$2)+1,DAY(GU$2)),SUMIFS(AC_SOTIEN,AC_THANG,GU$2,AC_KM,$E95),SUMIFS(TF_SOTIEN,TF_THANG,GU$2,TF_KM,$E95))/ 1000</f>
        <v>0</v>
      </c>
      <c r="HB95" s="1091" t="str">
        <f t="shared" si="840"/>
        <v/>
      </c>
      <c r="HC95" s="1091" t="str">
        <f t="shared" si="983"/>
        <v/>
      </c>
      <c r="HD95" s="1147">
        <f t="shared" si="651"/>
        <v>-166</v>
      </c>
      <c r="HE95" s="1091">
        <f t="shared" si="125"/>
        <v>-1</v>
      </c>
      <c r="HF95" s="1147">
        <f t="shared" si="652"/>
        <v>-166</v>
      </c>
      <c r="HG95" s="1091">
        <f t="shared" si="127"/>
        <v>-1</v>
      </c>
      <c r="HH95" s="1146">
        <f t="shared" si="924"/>
        <v>498</v>
      </c>
      <c r="HI95" s="1091">
        <f t="shared" si="841"/>
        <v>0.0000415</v>
      </c>
      <c r="HJ95" s="1091">
        <f t="shared" si="984"/>
        <v>0.008818061089</v>
      </c>
      <c r="HK95" s="1147">
        <f t="shared" si="656"/>
        <v>498</v>
      </c>
      <c r="HL95" s="1091">
        <f t="shared" si="842"/>
        <v>0.00002748344389</v>
      </c>
      <c r="HM95" s="1091">
        <f t="shared" si="985"/>
        <v>0.008818061089</v>
      </c>
      <c r="HN95" s="1147">
        <f t="shared" si="659"/>
        <v>0</v>
      </c>
      <c r="HO95" s="1091" t="str">
        <f t="shared" si="843"/>
        <v/>
      </c>
      <c r="HP95" s="1091" t="str">
        <f t="shared" si="986"/>
        <v/>
      </c>
      <c r="HQ95" s="1147">
        <f t="shared" si="662"/>
        <v>-498</v>
      </c>
      <c r="HR95" s="1091">
        <f t="shared" si="135"/>
        <v>-1</v>
      </c>
      <c r="HS95" s="1147">
        <f t="shared" si="663"/>
        <v>-498</v>
      </c>
      <c r="HT95" s="1091">
        <f t="shared" si="137"/>
        <v>-1</v>
      </c>
      <c r="HU95" s="1146">
        <f t="shared" si="925"/>
        <v>996</v>
      </c>
      <c r="HV95" s="1091">
        <f t="shared" si="844"/>
        <v>0.0000415</v>
      </c>
      <c r="HW95" s="1091">
        <f t="shared" si="987"/>
        <v>0.008818061089</v>
      </c>
      <c r="HX95" s="1147">
        <f t="shared" si="667"/>
        <v>996</v>
      </c>
      <c r="HY95" s="1091">
        <f t="shared" si="845"/>
        <v>0.00002748344389</v>
      </c>
      <c r="HZ95" s="1091">
        <f t="shared" si="988"/>
        <v>0.008818061089</v>
      </c>
      <c r="IA95" s="1147">
        <f t="shared" si="670"/>
        <v>0</v>
      </c>
      <c r="IB95" s="1091" t="str">
        <f t="shared" si="846"/>
        <v/>
      </c>
      <c r="IC95" s="1091" t="str">
        <f t="shared" si="989"/>
        <v/>
      </c>
      <c r="ID95" s="1147">
        <f t="shared" si="673"/>
        <v>-996</v>
      </c>
      <c r="IE95" s="1091">
        <f t="shared" si="145"/>
        <v>-1</v>
      </c>
      <c r="IF95" s="1147">
        <f t="shared" si="674"/>
        <v>-996</v>
      </c>
      <c r="IG95" s="1091">
        <f t="shared" si="147"/>
        <v>-1</v>
      </c>
      <c r="IH95" s="1146">
        <f t="shared" si="926"/>
        <v>1992</v>
      </c>
      <c r="II95" s="1091">
        <f t="shared" si="847"/>
        <v>0.00005533333333</v>
      </c>
      <c r="IJ95" s="1091">
        <f t="shared" si="990"/>
        <v>0.00870249017</v>
      </c>
      <c r="IK95" s="1147">
        <f t="shared" si="678"/>
        <v>1906.5</v>
      </c>
      <c r="IL95" s="1091">
        <f t="shared" si="848"/>
        <v>0.00004599023055</v>
      </c>
      <c r="IM95" s="1091">
        <f t="shared" si="991"/>
        <v>0.008850263704</v>
      </c>
      <c r="IN95" s="1147">
        <f t="shared" si="681"/>
        <v>2327.75</v>
      </c>
      <c r="IO95" s="1091">
        <f t="shared" si="849"/>
        <v>0.0005357785689</v>
      </c>
      <c r="IP95" s="1091">
        <f t="shared" si="992"/>
        <v>0.03145467072</v>
      </c>
      <c r="IQ95" s="1147">
        <f t="shared" si="684"/>
        <v>335.75</v>
      </c>
      <c r="IR95" s="1091">
        <f t="shared" si="1"/>
        <v>0.1685491968</v>
      </c>
      <c r="IS95" s="1147">
        <f t="shared" si="685"/>
        <v>421.25</v>
      </c>
      <c r="IT95" s="1091">
        <f t="shared" si="2"/>
        <v>0.2209546289</v>
      </c>
    </row>
    <row r="96" outlineLevel="1">
      <c r="A96" s="737"/>
      <c r="B96" s="737"/>
      <c r="C96" s="737"/>
      <c r="D96" s="737" t="s">
        <v>2857</v>
      </c>
      <c r="E96" s="737" t="s">
        <v>573</v>
      </c>
      <c r="F96" s="737"/>
      <c r="G96" s="748">
        <v>3.0</v>
      </c>
      <c r="H96" s="1146">
        <f>SUMIFS(BP_SOTIEN,BP_THANG,H$2,BP_KM,$E96)/1000</f>
        <v>250</v>
      </c>
      <c r="I96" s="1091" t="str">
        <f t="shared" si="791"/>
        <v/>
      </c>
      <c r="J96" s="1091"/>
      <c r="K96" s="1147">
        <f>IF(NOW()&gt;=DATE(YEAR(H$2),MONTH(H$2)+1,DAY(H$2)),SUMIFS(TF_SOTIEN,TF_THANG,H$2,TF_KM,$E96)/1000, N96)</f>
        <v>250</v>
      </c>
      <c r="L96" s="1091">
        <f t="shared" si="792"/>
        <v>0.002083333333</v>
      </c>
      <c r="M96" s="1091"/>
      <c r="N96" s="1147">
        <f>IF(NOW()&gt;=DATE(YEAR(H$2),MONTH(H$2)+1,DAY(H$2)),SUMIFS(AC_SOTIEN,AC_THANG,H$2,AC_KM,$E96),SUMIFS(TF_SOTIEN,TF_THANG,H$2,TF_KM,$E96))/ 1000</f>
        <v>0</v>
      </c>
      <c r="O96" s="1091">
        <f t="shared" si="793"/>
        <v>0</v>
      </c>
      <c r="P96" s="1091">
        <f t="shared" si="960"/>
        <v>0</v>
      </c>
      <c r="Q96" s="1147">
        <f t="shared" si="518"/>
        <v>-250</v>
      </c>
      <c r="R96" s="1091">
        <f t="shared" si="8"/>
        <v>-1</v>
      </c>
      <c r="S96" s="1147">
        <f t="shared" si="519"/>
        <v>-250</v>
      </c>
      <c r="T96" s="1091">
        <f t="shared" si="10"/>
        <v>-1</v>
      </c>
      <c r="U96" s="1146">
        <f>SUMIFS(BP_SOTIEN,BP_THANG,U$2,BP_KM,$E96)/1000</f>
        <v>250</v>
      </c>
      <c r="V96" s="1091" t="str">
        <f t="shared" si="794"/>
        <v/>
      </c>
      <c r="W96" s="1091"/>
      <c r="X96" s="1147">
        <f>IF(NOW()&gt;=DATE(YEAR(U$2),MONTH(U$2)+1,DAY(U$2)),SUMIFS(TF_SOTIEN,TF_THANG,U$2,TF_KM,$E96)/1000, AA96)</f>
        <v>0</v>
      </c>
      <c r="Y96" s="1091" t="str">
        <f t="shared" si="795"/>
        <v/>
      </c>
      <c r="Z96" s="1091"/>
      <c r="AA96" s="1147">
        <f>IF(NOW()&gt;=DATE(YEAR(U$2),MONTH(U$2)+1,DAY(U$2)),SUMIFS(AC_SOTIEN,AC_THANG,U$2,AC_KM,$E96),SUMIFS(TF_SOTIEN,TF_THANG,U$2,TF_KM,$E96))/ 1000</f>
        <v>0</v>
      </c>
      <c r="AB96" s="1091">
        <f t="shared" si="796"/>
        <v>0</v>
      </c>
      <c r="AC96" s="1091">
        <f t="shared" si="961"/>
        <v>0</v>
      </c>
      <c r="AD96" s="1147">
        <f t="shared" si="526"/>
        <v>-250</v>
      </c>
      <c r="AE96" s="1091">
        <f t="shared" si="15"/>
        <v>-1</v>
      </c>
      <c r="AF96" s="1147">
        <f t="shared" si="527"/>
        <v>0</v>
      </c>
      <c r="AG96" s="1091" t="str">
        <f t="shared" si="17"/>
        <v/>
      </c>
      <c r="AH96" s="1146">
        <f>SUMIFS(BP_SOTIEN,BP_THANG,AH$2,BP_KM,$E96)/1000</f>
        <v>250</v>
      </c>
      <c r="AI96" s="1091" t="str">
        <f t="shared" si="797"/>
        <v/>
      </c>
      <c r="AJ96" s="1091"/>
      <c r="AK96" s="1147">
        <f>IF(NOW()&gt;=DATE(YEAR(AH$2),MONTH(AH$2)+1,DAY(AH$2)),SUMIFS(TF_SOTIEN,TF_THANG,AH$2,TF_KM,$E96)/1000, AN96)</f>
        <v>0</v>
      </c>
      <c r="AL96" s="1091">
        <f t="shared" si="798"/>
        <v>0</v>
      </c>
      <c r="AM96" s="1091"/>
      <c r="AN96" s="1147">
        <f>IF(NOW()&gt;=DATE(YEAR(AH$2),MONTH(AH$2)+1,DAY(AH$2)),SUMIFS(AC_SOTIEN,AC_THANG,AH$2,AC_KM,$E96),SUMIFS(TF_SOTIEN,TF_THANG,AH$2,TF_KM,$E96))/ 1000</f>
        <v>153.999</v>
      </c>
      <c r="AO96" s="1091">
        <f t="shared" si="799"/>
        <v>0.0002305374251</v>
      </c>
      <c r="AP96" s="1091">
        <f t="shared" si="962"/>
        <v>0.008542659434</v>
      </c>
      <c r="AQ96" s="1147">
        <f t="shared" si="534"/>
        <v>-96.001</v>
      </c>
      <c r="AR96" s="1091">
        <f t="shared" si="22"/>
        <v>-0.384004</v>
      </c>
      <c r="AS96" s="1147">
        <f t="shared" si="535"/>
        <v>153.999</v>
      </c>
      <c r="AT96" s="1091" t="str">
        <f t="shared" si="24"/>
        <v/>
      </c>
      <c r="AU96" s="1146">
        <f t="shared" si="916"/>
        <v>750</v>
      </c>
      <c r="AV96" s="1091" t="str">
        <f t="shared" si="800"/>
        <v/>
      </c>
      <c r="AW96" s="1091">
        <f t="shared" si="963"/>
        <v>0.01261034048</v>
      </c>
      <c r="AX96" s="1147">
        <f t="shared" si="917"/>
        <v>250</v>
      </c>
      <c r="AY96" s="1091">
        <f t="shared" si="801"/>
        <v>0.00006720430108</v>
      </c>
      <c r="AZ96" s="1091">
        <f t="shared" si="964"/>
        <v>0.005427702996</v>
      </c>
      <c r="BA96" s="1147">
        <f t="shared" si="918"/>
        <v>153.999</v>
      </c>
      <c r="BB96" s="1091">
        <f t="shared" si="802"/>
        <v>0.0001296287879</v>
      </c>
      <c r="BC96" s="1091">
        <f t="shared" si="965"/>
        <v>0.003997046631</v>
      </c>
      <c r="BD96" s="1147">
        <f t="shared" si="545"/>
        <v>-596.001</v>
      </c>
      <c r="BE96" s="1091">
        <f t="shared" si="32"/>
        <v>-0.794668</v>
      </c>
      <c r="BF96" s="1147">
        <f t="shared" si="546"/>
        <v>-96.001</v>
      </c>
      <c r="BG96" s="1091">
        <f t="shared" si="34"/>
        <v>-0.384004</v>
      </c>
      <c r="BH96" s="1146">
        <f>SUMIFS(BP_SOTIEN,BP_THANG,BH$2,BP_KM,$E96)/1000</f>
        <v>250</v>
      </c>
      <c r="BI96" s="1091">
        <f t="shared" si="803"/>
        <v>0.0000625</v>
      </c>
      <c r="BJ96" s="1091"/>
      <c r="BK96" s="1147">
        <f>IF(NOW()&gt;=DATE(YEAR(BH$2),MONTH(BH$2)+1,DAY(BH$2)),SUMIFS(TF_SOTIEN,TF_THANG,BH$2,TF_KM,$E96)/1000, BN96)</f>
        <v>0</v>
      </c>
      <c r="BL96" s="1091" t="str">
        <f t="shared" si="804"/>
        <v/>
      </c>
      <c r="BM96" s="1091"/>
      <c r="BN96" s="1147">
        <f>IF(NOW()&gt;=DATE(YEAR(BH$2),MONTH(BH$2)+1,DAY(BH$2)),SUMIFS(AC_SOTIEN,AC_THANG,BH$2,AC_KM,$E96),SUMIFS(TF_SOTIEN,TF_THANG,BH$2,TF_KM,$E96))/ 1000</f>
        <v>900</v>
      </c>
      <c r="BO96" s="1091">
        <f t="shared" si="805"/>
        <v>0.00034601544</v>
      </c>
      <c r="BP96" s="1091">
        <f t="shared" si="966"/>
        <v>0.05177622362</v>
      </c>
      <c r="BQ96" s="1147">
        <f t="shared" si="553"/>
        <v>650</v>
      </c>
      <c r="BR96" s="1091">
        <f t="shared" si="39"/>
        <v>2.6</v>
      </c>
      <c r="BS96" s="1147">
        <f t="shared" si="554"/>
        <v>900</v>
      </c>
      <c r="BT96" s="1091" t="str">
        <f t="shared" si="41"/>
        <v/>
      </c>
      <c r="BU96" s="1146">
        <f>SUMIFS(BP_SOTIEN,BP_THANG,BU$2,BP_KM,$E96)/1000</f>
        <v>250</v>
      </c>
      <c r="BV96" s="1091">
        <f t="shared" si="806"/>
        <v>0.0000625</v>
      </c>
      <c r="BW96" s="1091"/>
      <c r="BX96" s="1147">
        <f>IF(NOW()&gt;=DATE(YEAR(BU$2),MONTH(BU$2)+1,DAY(BU$2)),SUMIFS(TF_SOTIEN,TF_THANG,BU$2,TF_KM,$E96)/1000, CA96)</f>
        <v>0</v>
      </c>
      <c r="BY96" s="1091">
        <f t="shared" si="807"/>
        <v>0</v>
      </c>
      <c r="BZ96" s="1091"/>
      <c r="CA96" s="1147">
        <f>IF(NOW()&gt;=DATE(YEAR(BU$2),MONTH(BU$2)+1,DAY(BU$2)),SUMIFS(AC_SOTIEN,AC_THANG,BU$2,AC_KM,$E96),SUMIFS(TF_SOTIEN,TF_THANG,BU$2,TF_KM,$E96))/ 1000</f>
        <v>0</v>
      </c>
      <c r="CB96" s="1091">
        <f t="shared" si="808"/>
        <v>0</v>
      </c>
      <c r="CC96" s="1091">
        <f t="shared" si="967"/>
        <v>0</v>
      </c>
      <c r="CD96" s="1147">
        <f t="shared" si="561"/>
        <v>-250</v>
      </c>
      <c r="CE96" s="1091">
        <f t="shared" si="46"/>
        <v>-1</v>
      </c>
      <c r="CF96" s="1147">
        <f t="shared" si="562"/>
        <v>0</v>
      </c>
      <c r="CG96" s="1091" t="str">
        <f t="shared" si="48"/>
        <v/>
      </c>
      <c r="CH96" s="1146">
        <f>SUMIFS(BP_SOTIEN,BP_THANG,CH$2,BP_KM,$E96)/1000</f>
        <v>250</v>
      </c>
      <c r="CI96" s="1091">
        <f t="shared" si="809"/>
        <v>0.0000625</v>
      </c>
      <c r="CJ96" s="1091"/>
      <c r="CK96" s="1147">
        <f>IF(NOW()&gt;=DATE(YEAR(CH$2),MONTH(CH$2)+1,DAY(CH$2)),SUMIFS(TF_SOTIEN,TF_THANG,CH$2,TF_KM,$E96)/1000, CN96)</f>
        <v>0</v>
      </c>
      <c r="CL96" s="1091" t="str">
        <f t="shared" si="810"/>
        <v/>
      </c>
      <c r="CM96" s="1091"/>
      <c r="CN96" s="1147">
        <f>IF(NOW()&gt;=DATE(YEAR(CH$2),MONTH(CH$2)+1,DAY(CH$2)),SUMIFS(AC_SOTIEN,AC_THANG,CH$2,AC_KM,$E96),SUMIFS(TF_SOTIEN,TF_THANG,CH$2,TF_KM,$E96))/ 1000</f>
        <v>0</v>
      </c>
      <c r="CO96" s="1091" t="str">
        <f t="shared" si="811"/>
        <v/>
      </c>
      <c r="CP96" s="1091" t="str">
        <f t="shared" si="968"/>
        <v/>
      </c>
      <c r="CQ96" s="1147">
        <f t="shared" si="569"/>
        <v>-250</v>
      </c>
      <c r="CR96" s="1091">
        <f t="shared" si="53"/>
        <v>-1</v>
      </c>
      <c r="CS96" s="1147">
        <f t="shared" si="570"/>
        <v>0</v>
      </c>
      <c r="CT96" s="1091" t="str">
        <f t="shared" si="55"/>
        <v/>
      </c>
      <c r="CU96" s="1146">
        <f t="shared" si="919"/>
        <v>750</v>
      </c>
      <c r="CV96" s="1091">
        <f t="shared" si="812"/>
        <v>0.0000625</v>
      </c>
      <c r="CW96" s="1091">
        <f t="shared" si="969"/>
        <v>0.01328021248</v>
      </c>
      <c r="CX96" s="1147">
        <f t="shared" si="920"/>
        <v>0</v>
      </c>
      <c r="CY96" s="1091">
        <f t="shared" si="814"/>
        <v>0</v>
      </c>
      <c r="CZ96" s="1091">
        <f t="shared" si="970"/>
        <v>0</v>
      </c>
      <c r="DA96" s="1147">
        <f t="shared" si="921"/>
        <v>900</v>
      </c>
      <c r="DB96" s="1091">
        <f t="shared" si="816"/>
        <v>0.000285115814</v>
      </c>
      <c r="DC96" s="1091">
        <f t="shared" si="971"/>
        <v>0.02536989233</v>
      </c>
      <c r="DD96" s="1147">
        <f t="shared" si="580"/>
        <v>150</v>
      </c>
      <c r="DE96" s="1091">
        <f t="shared" si="63"/>
        <v>0.2</v>
      </c>
      <c r="DF96" s="1147">
        <f t="shared" si="581"/>
        <v>900</v>
      </c>
      <c r="DG96" s="1091" t="str">
        <f t="shared" si="65"/>
        <v/>
      </c>
      <c r="DH96" s="1146">
        <f t="shared" si="922"/>
        <v>1500</v>
      </c>
      <c r="DI96" s="1091">
        <f t="shared" si="817"/>
        <v>0.000125</v>
      </c>
      <c r="DJ96" s="1091">
        <f t="shared" si="972"/>
        <v>0.01293661061</v>
      </c>
      <c r="DK96" s="1147">
        <f t="shared" si="585"/>
        <v>250</v>
      </c>
      <c r="DL96" s="1091">
        <f t="shared" si="818"/>
        <v>0.00004794363535</v>
      </c>
      <c r="DM96" s="1091">
        <f t="shared" si="973"/>
        <v>0.002439802509</v>
      </c>
      <c r="DN96" s="1147">
        <f t="shared" si="588"/>
        <v>1053.999</v>
      </c>
      <c r="DO96" s="1091">
        <f t="shared" si="819"/>
        <v>0.000242599109</v>
      </c>
      <c r="DP96" s="1091">
        <f t="shared" si="974"/>
        <v>0.01424259112</v>
      </c>
      <c r="DQ96" s="1147">
        <f t="shared" si="591"/>
        <v>-446.001</v>
      </c>
      <c r="DR96" s="1091">
        <f t="shared" si="73"/>
        <v>-0.297334</v>
      </c>
      <c r="DS96" s="1147">
        <f t="shared" si="592"/>
        <v>803.999</v>
      </c>
      <c r="DT96" s="1091">
        <f t="shared" si="75"/>
        <v>3.215996</v>
      </c>
      <c r="DU96" s="1146">
        <f>SUMIFS(BP_SOTIEN,BP_THANG,DU$2,BP_KM,$E96)/1000</f>
        <v>250</v>
      </c>
      <c r="DV96" s="1091">
        <f t="shared" si="820"/>
        <v>0.0000625</v>
      </c>
      <c r="DW96" s="1091"/>
      <c r="DX96" s="1147">
        <f>IF(NOW()&gt;=DATE(YEAR(DU$2),MONTH(DU$2)+1,DAY(DU$2)),SUMIFS(TF_SOTIEN,TF_THANG,DU$2,TF_KM,$E96)/1000, EA96)</f>
        <v>250</v>
      </c>
      <c r="DY96" s="1091">
        <f t="shared" si="821"/>
        <v>0.00004139072875</v>
      </c>
      <c r="DZ96" s="1091"/>
      <c r="EA96" s="1147">
        <f>IF(NOW()&gt;=DATE(YEAR(DU$2),MONTH(DU$2)+1,DAY(DU$2)),SUMIFS(AC_SOTIEN,AC_THANG,DU$2,AC_KM,$E96),SUMIFS(TF_SOTIEN,TF_THANG,DU$2,TF_KM,$E96))/ 1000</f>
        <v>0</v>
      </c>
      <c r="EB96" s="1091" t="str">
        <f t="shared" si="822"/>
        <v/>
      </c>
      <c r="EC96" s="1091" t="str">
        <f t="shared" si="975"/>
        <v/>
      </c>
      <c r="ED96" s="1147">
        <f t="shared" si="599"/>
        <v>-250</v>
      </c>
      <c r="EE96" s="1091">
        <f t="shared" si="80"/>
        <v>-1</v>
      </c>
      <c r="EF96" s="1147">
        <f t="shared" si="600"/>
        <v>-250</v>
      </c>
      <c r="EG96" s="1091">
        <f t="shared" si="82"/>
        <v>-1</v>
      </c>
      <c r="EH96" s="1146">
        <f>SUMIFS(BP_SOTIEN,BP_THANG,EH$2,BP_KM,$E96)/1000</f>
        <v>250</v>
      </c>
      <c r="EI96" s="1091">
        <f t="shared" si="823"/>
        <v>0.0000625</v>
      </c>
      <c r="EJ96" s="1091"/>
      <c r="EK96" s="1147">
        <f>IF(NOW()&gt;=DATE(YEAR(EH$2),MONTH(EH$2)+1,DAY(EH$2)),SUMIFS(TF_SOTIEN,TF_THANG,EH$2,TF_KM,$E96)/1000, EN96)</f>
        <v>250</v>
      </c>
      <c r="EL96" s="1091">
        <f t="shared" si="824"/>
        <v>0.00004139072875</v>
      </c>
      <c r="EM96" s="1091"/>
      <c r="EN96" s="1147">
        <f>IF(NOW()&gt;=DATE(YEAR(EH$2),MONTH(EH$2)+1,DAY(EH$2)),SUMIFS(AC_SOTIEN,AC_THANG,EH$2,AC_KM,$E96),SUMIFS(TF_SOTIEN,TF_THANG,EH$2,TF_KM,$E96))/ 1000</f>
        <v>0</v>
      </c>
      <c r="EO96" s="1091" t="str">
        <f t="shared" si="825"/>
        <v/>
      </c>
      <c r="EP96" s="1091" t="str">
        <f t="shared" si="976"/>
        <v/>
      </c>
      <c r="EQ96" s="1147">
        <f t="shared" si="607"/>
        <v>-250</v>
      </c>
      <c r="ER96" s="1091">
        <f t="shared" si="87"/>
        <v>-1</v>
      </c>
      <c r="ES96" s="1147">
        <f t="shared" si="608"/>
        <v>-250</v>
      </c>
      <c r="ET96" s="1091">
        <f t="shared" si="89"/>
        <v>-1</v>
      </c>
      <c r="EU96" s="1146">
        <f>SUMIFS(BP_SOTIEN,BP_THANG,EU$2,BP_KM,$E96)/1000</f>
        <v>250</v>
      </c>
      <c r="EV96" s="1091">
        <f t="shared" si="826"/>
        <v>0.0000625</v>
      </c>
      <c r="EW96" s="1091"/>
      <c r="EX96" s="1147">
        <f>IF(NOW()&gt;=DATE(YEAR(EU$2),MONTH(EU$2)+1,DAY(EU$2)),SUMIFS(TF_SOTIEN,TF_THANG,EU$2,TF_KM,$E96)/1000, FA96)</f>
        <v>250</v>
      </c>
      <c r="EY96" s="1091">
        <f t="shared" si="827"/>
        <v>0.00004139072875</v>
      </c>
      <c r="EZ96" s="1091"/>
      <c r="FA96" s="1147">
        <f>IF(NOW()&gt;=DATE(YEAR(EU$2),MONTH(EU$2)+1,DAY(EU$2)),SUMIFS(AC_SOTIEN,AC_THANG,EU$2,AC_KM,$E96),SUMIFS(TF_SOTIEN,TF_THANG,EU$2,TF_KM,$E96))/ 1000</f>
        <v>0</v>
      </c>
      <c r="FB96" s="1091" t="str">
        <f t="shared" si="828"/>
        <v/>
      </c>
      <c r="FC96" s="1091" t="str">
        <f t="shared" si="977"/>
        <v/>
      </c>
      <c r="FD96" s="1147">
        <f t="shared" si="616"/>
        <v>-250</v>
      </c>
      <c r="FE96" s="1091">
        <f t="shared" si="94"/>
        <v>-1</v>
      </c>
      <c r="FF96" s="1147">
        <f t="shared" si="617"/>
        <v>-250</v>
      </c>
      <c r="FG96" s="1091">
        <f t="shared" si="96"/>
        <v>-1</v>
      </c>
      <c r="FH96" s="1146">
        <f t="shared" si="923"/>
        <v>750</v>
      </c>
      <c r="FI96" s="1091">
        <f t="shared" si="829"/>
        <v>0.0000625</v>
      </c>
      <c r="FJ96" s="1091">
        <f t="shared" si="978"/>
        <v>0.01328021248</v>
      </c>
      <c r="FK96" s="1147">
        <f t="shared" si="621"/>
        <v>750</v>
      </c>
      <c r="FL96" s="1091">
        <f t="shared" si="830"/>
        <v>0.00004139072875</v>
      </c>
      <c r="FM96" s="1091">
        <f t="shared" si="979"/>
        <v>0.01328021248</v>
      </c>
      <c r="FN96" s="1147">
        <f t="shared" si="624"/>
        <v>0</v>
      </c>
      <c r="FO96" s="1091" t="str">
        <f t="shared" si="831"/>
        <v/>
      </c>
      <c r="FP96" s="1091" t="str">
        <f t="shared" si="980"/>
        <v/>
      </c>
      <c r="FQ96" s="1147">
        <f t="shared" si="627"/>
        <v>-750</v>
      </c>
      <c r="FR96" s="1091">
        <f t="shared" si="104"/>
        <v>-1</v>
      </c>
      <c r="FS96" s="1147">
        <f t="shared" si="628"/>
        <v>-750</v>
      </c>
      <c r="FT96" s="1091">
        <f t="shared" si="106"/>
        <v>-1</v>
      </c>
      <c r="FU96" s="1146">
        <f>SUMIFS(BP_SOTIEN,BP_THANG,FU$2,BP_KM,$E96)/1000</f>
        <v>250</v>
      </c>
      <c r="FV96" s="1091">
        <f t="shared" si="832"/>
        <v>0.0000625</v>
      </c>
      <c r="FW96" s="1091"/>
      <c r="FX96" s="1147">
        <f>IF(NOW()&gt;=DATE(YEAR(FU$2),MONTH(FU$2)+1,DAY(FU$2)),SUMIFS(TF_SOTIEN,TF_THANG,FU$2,TF_KM,$E96)/1000, GA96)</f>
        <v>250</v>
      </c>
      <c r="FY96" s="1091">
        <f t="shared" si="833"/>
        <v>0.00004139072875</v>
      </c>
      <c r="FZ96" s="1091"/>
      <c r="GA96" s="1147">
        <f>IF(NOW()&gt;=DATE(YEAR(FU$2),MONTH(FU$2)+1,DAY(FU$2)),SUMIFS(AC_SOTIEN,AC_THANG,FU$2,AC_KM,$E96),SUMIFS(TF_SOTIEN,TF_THANG,FU$2,TF_KM,$E96))/ 1000</f>
        <v>0</v>
      </c>
      <c r="GB96" s="1091" t="str">
        <f t="shared" si="834"/>
        <v/>
      </c>
      <c r="GC96" s="1091" t="str">
        <f t="shared" si="981"/>
        <v/>
      </c>
      <c r="GD96" s="1147">
        <f t="shared" si="635"/>
        <v>-250</v>
      </c>
      <c r="GE96" s="1091">
        <f t="shared" si="111"/>
        <v>-1</v>
      </c>
      <c r="GF96" s="1147">
        <f t="shared" si="636"/>
        <v>-250</v>
      </c>
      <c r="GG96" s="1091">
        <f t="shared" si="113"/>
        <v>-1</v>
      </c>
      <c r="GH96" s="1146">
        <f>SUMIFS(BP_SOTIEN,BP_THANG,GH$2,BP_KM,$E96)/1000</f>
        <v>250</v>
      </c>
      <c r="GI96" s="1091">
        <f t="shared" si="835"/>
        <v>0.0000625</v>
      </c>
      <c r="GJ96" s="1091"/>
      <c r="GK96" s="1147">
        <f>IF(NOW()&gt;=DATE(YEAR(GH$2),MONTH(GH$2)+1,DAY(GH$2)),SUMIFS(TF_SOTIEN,TF_THANG,GH$2,TF_KM,$E96)/1000, GN96)</f>
        <v>250</v>
      </c>
      <c r="GL96" s="1091">
        <f t="shared" si="836"/>
        <v>0.00004139072875</v>
      </c>
      <c r="GM96" s="1091"/>
      <c r="GN96" s="1147">
        <f>IF(NOW()&gt;=DATE(YEAR(GH$2),MONTH(GH$2)+1,DAY(GH$2)),SUMIFS(AC_SOTIEN,AC_THANG,GH$2,AC_KM,$E96),SUMIFS(TF_SOTIEN,TF_THANG,GH$2,TF_KM,$E96))/ 1000</f>
        <v>0</v>
      </c>
      <c r="GO96" s="1091" t="str">
        <f t="shared" si="837"/>
        <v/>
      </c>
      <c r="GP96" s="1091" t="str">
        <f t="shared" si="982"/>
        <v/>
      </c>
      <c r="GQ96" s="1147">
        <f t="shared" si="643"/>
        <v>-250</v>
      </c>
      <c r="GR96" s="1091">
        <f t="shared" si="118"/>
        <v>-1</v>
      </c>
      <c r="GS96" s="1147">
        <f t="shared" si="644"/>
        <v>-250</v>
      </c>
      <c r="GT96" s="1091">
        <f t="shared" si="120"/>
        <v>-1</v>
      </c>
      <c r="GU96" s="1146">
        <f>SUMIFS(BP_SOTIEN,BP_THANG,GU$2,BP_KM,$E96)/1000</f>
        <v>250</v>
      </c>
      <c r="GV96" s="1091">
        <f t="shared" si="838"/>
        <v>0.0000625</v>
      </c>
      <c r="GW96" s="1091"/>
      <c r="GX96" s="1147">
        <f>IF(NOW()&gt;=DATE(YEAR(GU$2),MONTH(GU$2)+1,DAY(GU$2)),SUMIFS(TF_SOTIEN,TF_THANG,GU$2,TF_KM,$E96)/1000, HA96)</f>
        <v>250</v>
      </c>
      <c r="GY96" s="1091">
        <f t="shared" si="839"/>
        <v>0.00004139072875</v>
      </c>
      <c r="GZ96" s="1091"/>
      <c r="HA96" s="1147">
        <f>IF(NOW()&gt;=DATE(YEAR(GU$2),MONTH(GU$2)+1,DAY(GU$2)),SUMIFS(AC_SOTIEN,AC_THANG,GU$2,AC_KM,$E96),SUMIFS(TF_SOTIEN,TF_THANG,GU$2,TF_KM,$E96))/ 1000</f>
        <v>0</v>
      </c>
      <c r="HB96" s="1091" t="str">
        <f t="shared" si="840"/>
        <v/>
      </c>
      <c r="HC96" s="1091" t="str">
        <f t="shared" si="983"/>
        <v/>
      </c>
      <c r="HD96" s="1147">
        <f t="shared" si="651"/>
        <v>-250</v>
      </c>
      <c r="HE96" s="1091">
        <f t="shared" si="125"/>
        <v>-1</v>
      </c>
      <c r="HF96" s="1147">
        <f t="shared" si="652"/>
        <v>-250</v>
      </c>
      <c r="HG96" s="1091">
        <f t="shared" si="127"/>
        <v>-1</v>
      </c>
      <c r="HH96" s="1146">
        <f t="shared" si="924"/>
        <v>750</v>
      </c>
      <c r="HI96" s="1091">
        <f t="shared" si="841"/>
        <v>0.0000625</v>
      </c>
      <c r="HJ96" s="1091">
        <f t="shared" si="984"/>
        <v>0.01328021248</v>
      </c>
      <c r="HK96" s="1147">
        <f t="shared" si="656"/>
        <v>750</v>
      </c>
      <c r="HL96" s="1091">
        <f t="shared" si="842"/>
        <v>0.00004139072875</v>
      </c>
      <c r="HM96" s="1091">
        <f t="shared" si="985"/>
        <v>0.01328021248</v>
      </c>
      <c r="HN96" s="1147">
        <f t="shared" si="659"/>
        <v>0</v>
      </c>
      <c r="HO96" s="1091" t="str">
        <f t="shared" si="843"/>
        <v/>
      </c>
      <c r="HP96" s="1091" t="str">
        <f t="shared" si="986"/>
        <v/>
      </c>
      <c r="HQ96" s="1147">
        <f t="shared" si="662"/>
        <v>-750</v>
      </c>
      <c r="HR96" s="1091">
        <f t="shared" si="135"/>
        <v>-1</v>
      </c>
      <c r="HS96" s="1147">
        <f t="shared" si="663"/>
        <v>-750</v>
      </c>
      <c r="HT96" s="1091">
        <f t="shared" si="137"/>
        <v>-1</v>
      </c>
      <c r="HU96" s="1146">
        <f t="shared" si="925"/>
        <v>1500</v>
      </c>
      <c r="HV96" s="1091">
        <f t="shared" si="844"/>
        <v>0.0000625</v>
      </c>
      <c r="HW96" s="1091">
        <f t="shared" si="987"/>
        <v>0.01328021248</v>
      </c>
      <c r="HX96" s="1147">
        <f t="shared" si="667"/>
        <v>1500</v>
      </c>
      <c r="HY96" s="1091">
        <f t="shared" si="845"/>
        <v>0.00004139072875</v>
      </c>
      <c r="HZ96" s="1091">
        <f t="shared" si="988"/>
        <v>0.01328021248</v>
      </c>
      <c r="IA96" s="1147">
        <f t="shared" si="670"/>
        <v>0</v>
      </c>
      <c r="IB96" s="1091" t="str">
        <f t="shared" si="846"/>
        <v/>
      </c>
      <c r="IC96" s="1091" t="str">
        <f t="shared" si="989"/>
        <v/>
      </c>
      <c r="ID96" s="1147">
        <f t="shared" si="673"/>
        <v>-1500</v>
      </c>
      <c r="IE96" s="1091">
        <f t="shared" si="145"/>
        <v>-1</v>
      </c>
      <c r="IF96" s="1147">
        <f t="shared" si="674"/>
        <v>-1500</v>
      </c>
      <c r="IG96" s="1091">
        <f t="shared" si="147"/>
        <v>-1</v>
      </c>
      <c r="IH96" s="1146">
        <f t="shared" si="926"/>
        <v>3000</v>
      </c>
      <c r="II96" s="1091">
        <f t="shared" si="847"/>
        <v>0.00008333333333</v>
      </c>
      <c r="IJ96" s="1091">
        <f t="shared" si="990"/>
        <v>0.0131061599</v>
      </c>
      <c r="IK96" s="1147">
        <f t="shared" si="678"/>
        <v>1750</v>
      </c>
      <c r="IL96" s="1091">
        <f t="shared" si="848"/>
        <v>0.00004221500313</v>
      </c>
      <c r="IM96" s="1091">
        <f t="shared" si="991"/>
        <v>0.008123766841</v>
      </c>
      <c r="IN96" s="1147">
        <f t="shared" si="681"/>
        <v>1053.999</v>
      </c>
      <c r="IO96" s="1091">
        <f t="shared" si="849"/>
        <v>0.000242599109</v>
      </c>
      <c r="IP96" s="1091">
        <f t="shared" si="992"/>
        <v>0.01424259112</v>
      </c>
      <c r="IQ96" s="1147">
        <f t="shared" si="684"/>
        <v>-1946.001</v>
      </c>
      <c r="IR96" s="1091">
        <f t="shared" si="1"/>
        <v>-0.648667</v>
      </c>
      <c r="IS96" s="1147">
        <f t="shared" si="685"/>
        <v>-696.001</v>
      </c>
      <c r="IT96" s="1091">
        <f t="shared" si="2"/>
        <v>-0.3977148571</v>
      </c>
    </row>
    <row r="97" outlineLevel="1">
      <c r="A97" s="737"/>
      <c r="B97" s="737"/>
      <c r="C97" s="737"/>
      <c r="D97" s="737" t="s">
        <v>2858</v>
      </c>
      <c r="E97" s="737" t="s">
        <v>2220</v>
      </c>
      <c r="F97" s="737"/>
      <c r="G97" s="748">
        <v>3.0</v>
      </c>
      <c r="H97" s="1146">
        <f>SUMIFS(BP_SOTIEN,BP_THANG,H$2,BP_KM,$E97)/1000</f>
        <v>416</v>
      </c>
      <c r="I97" s="1091" t="str">
        <f t="shared" si="791"/>
        <v/>
      </c>
      <c r="J97" s="1091"/>
      <c r="K97" s="1147">
        <f>IF(NOW()&gt;=DATE(YEAR(H$2),MONTH(H$2)+1,DAY(H$2)),SUMIFS(TF_SOTIEN,TF_THANG,H$2,TF_KM,$E97)/1000, N97)</f>
        <v>416</v>
      </c>
      <c r="L97" s="1091">
        <f t="shared" si="792"/>
        <v>0.003466666667</v>
      </c>
      <c r="M97" s="1091"/>
      <c r="N97" s="1147">
        <f>IF(NOW()&gt;=DATE(YEAR(H$2),MONTH(H$2)+1,DAY(H$2)),SUMIFS(AC_SOTIEN,AC_THANG,H$2,AC_KM,$E97),SUMIFS(TF_SOTIEN,TF_THANG,H$2,TF_KM,$E97))/ 1000</f>
        <v>0</v>
      </c>
      <c r="O97" s="1091">
        <f t="shared" si="793"/>
        <v>0</v>
      </c>
      <c r="P97" s="1091">
        <f t="shared" si="960"/>
        <v>0</v>
      </c>
      <c r="Q97" s="1147">
        <f t="shared" si="518"/>
        <v>-416</v>
      </c>
      <c r="R97" s="1091">
        <f t="shared" si="8"/>
        <v>-1</v>
      </c>
      <c r="S97" s="1147">
        <f t="shared" si="519"/>
        <v>-416</v>
      </c>
      <c r="T97" s="1091">
        <f t="shared" si="10"/>
        <v>-1</v>
      </c>
      <c r="U97" s="1146">
        <f>SUMIFS(BP_SOTIEN,BP_THANG,U$2,BP_KM,$E97)/1000</f>
        <v>416</v>
      </c>
      <c r="V97" s="1091" t="str">
        <f t="shared" si="794"/>
        <v/>
      </c>
      <c r="W97" s="1091"/>
      <c r="X97" s="1147">
        <f>IF(NOW()&gt;=DATE(YEAR(U$2),MONTH(U$2)+1,DAY(U$2)),SUMIFS(TF_SOTIEN,TF_THANG,U$2,TF_KM,$E97)/1000, AA97)</f>
        <v>0</v>
      </c>
      <c r="Y97" s="1091" t="str">
        <f t="shared" si="795"/>
        <v/>
      </c>
      <c r="Z97" s="1091"/>
      <c r="AA97" s="1147">
        <f>IF(NOW()&gt;=DATE(YEAR(U$2),MONTH(U$2)+1,DAY(U$2)),SUMIFS(AC_SOTIEN,AC_THANG,U$2,AC_KM,$E97),SUMIFS(TF_SOTIEN,TF_THANG,U$2,TF_KM,$E97))/ 1000</f>
        <v>0</v>
      </c>
      <c r="AB97" s="1091">
        <f t="shared" si="796"/>
        <v>0</v>
      </c>
      <c r="AC97" s="1091">
        <f t="shared" si="961"/>
        <v>0</v>
      </c>
      <c r="AD97" s="1147">
        <f t="shared" si="526"/>
        <v>-416</v>
      </c>
      <c r="AE97" s="1091">
        <f t="shared" si="15"/>
        <v>-1</v>
      </c>
      <c r="AF97" s="1147">
        <f t="shared" si="527"/>
        <v>0</v>
      </c>
      <c r="AG97" s="1091" t="str">
        <f t="shared" si="17"/>
        <v/>
      </c>
      <c r="AH97" s="1146">
        <f>SUMIFS(BP_SOTIEN,BP_THANG,AH$2,BP_KM,$E97)/1000</f>
        <v>416</v>
      </c>
      <c r="AI97" s="1091" t="str">
        <f t="shared" si="797"/>
        <v/>
      </c>
      <c r="AJ97" s="1091"/>
      <c r="AK97" s="1147">
        <f>IF(NOW()&gt;=DATE(YEAR(AH$2),MONTH(AH$2)+1,DAY(AH$2)),SUMIFS(TF_SOTIEN,TF_THANG,AH$2,TF_KM,$E97)/1000, AN97)</f>
        <v>0</v>
      </c>
      <c r="AL97" s="1091">
        <f t="shared" si="798"/>
        <v>0</v>
      </c>
      <c r="AM97" s="1091"/>
      <c r="AN97" s="1147">
        <f>IF(NOW()&gt;=DATE(YEAR(AH$2),MONTH(AH$2)+1,DAY(AH$2)),SUMIFS(AC_SOTIEN,AC_THANG,AH$2,AC_KM,$E97),SUMIFS(TF_SOTIEN,TF_THANG,AH$2,TF_KM,$E97))/ 1000</f>
        <v>0</v>
      </c>
      <c r="AO97" s="1091">
        <f t="shared" si="799"/>
        <v>0</v>
      </c>
      <c r="AP97" s="1091">
        <f t="shared" si="962"/>
        <v>0</v>
      </c>
      <c r="AQ97" s="1147">
        <f t="shared" si="534"/>
        <v>-416</v>
      </c>
      <c r="AR97" s="1091">
        <f t="shared" si="22"/>
        <v>-1</v>
      </c>
      <c r="AS97" s="1147">
        <f t="shared" si="535"/>
        <v>0</v>
      </c>
      <c r="AT97" s="1091" t="str">
        <f t="shared" si="24"/>
        <v/>
      </c>
      <c r="AU97" s="1146">
        <f t="shared" si="916"/>
        <v>1248</v>
      </c>
      <c r="AV97" s="1091" t="str">
        <f t="shared" si="800"/>
        <v/>
      </c>
      <c r="AW97" s="1091">
        <f t="shared" si="963"/>
        <v>0.02098360656</v>
      </c>
      <c r="AX97" s="1147">
        <f t="shared" si="917"/>
        <v>416</v>
      </c>
      <c r="AY97" s="1091">
        <f t="shared" si="801"/>
        <v>0.000111827957</v>
      </c>
      <c r="AZ97" s="1091">
        <f t="shared" si="964"/>
        <v>0.009031697785</v>
      </c>
      <c r="BA97" s="1147">
        <f t="shared" si="918"/>
        <v>0</v>
      </c>
      <c r="BB97" s="1091">
        <f t="shared" si="802"/>
        <v>0</v>
      </c>
      <c r="BC97" s="1091">
        <f t="shared" si="965"/>
        <v>0</v>
      </c>
      <c r="BD97" s="1147">
        <f t="shared" si="545"/>
        <v>-1248</v>
      </c>
      <c r="BE97" s="1091">
        <f t="shared" si="32"/>
        <v>-1</v>
      </c>
      <c r="BF97" s="1147">
        <f t="shared" si="546"/>
        <v>-416</v>
      </c>
      <c r="BG97" s="1091">
        <f t="shared" si="34"/>
        <v>-1</v>
      </c>
      <c r="BH97" s="1146">
        <f>SUMIFS(BP_SOTIEN,BP_THANG,BH$2,BP_KM,$E97)/1000</f>
        <v>416</v>
      </c>
      <c r="BI97" s="1091">
        <f t="shared" si="803"/>
        <v>0.000104</v>
      </c>
      <c r="BJ97" s="1091"/>
      <c r="BK97" s="1147">
        <f>IF(NOW()&gt;=DATE(YEAR(BH$2),MONTH(BH$2)+1,DAY(BH$2)),SUMIFS(TF_SOTIEN,TF_THANG,BH$2,TF_KM,$E97)/1000, BN97)</f>
        <v>0</v>
      </c>
      <c r="BL97" s="1091" t="str">
        <f t="shared" si="804"/>
        <v/>
      </c>
      <c r="BM97" s="1091"/>
      <c r="BN97" s="1147">
        <f>IF(NOW()&gt;=DATE(YEAR(BH$2),MONTH(BH$2)+1,DAY(BH$2)),SUMIFS(AC_SOTIEN,AC_THANG,BH$2,AC_KM,$E97),SUMIFS(TF_SOTIEN,TF_THANG,BH$2,TF_KM,$E97))/ 1000</f>
        <v>0</v>
      </c>
      <c r="BO97" s="1091">
        <f t="shared" si="805"/>
        <v>0</v>
      </c>
      <c r="BP97" s="1091">
        <f t="shared" si="966"/>
        <v>0</v>
      </c>
      <c r="BQ97" s="1147">
        <f t="shared" si="553"/>
        <v>-416</v>
      </c>
      <c r="BR97" s="1091">
        <f t="shared" si="39"/>
        <v>-1</v>
      </c>
      <c r="BS97" s="1147">
        <f t="shared" si="554"/>
        <v>0</v>
      </c>
      <c r="BT97" s="1091" t="str">
        <f t="shared" si="41"/>
        <v/>
      </c>
      <c r="BU97" s="1146">
        <f>SUMIFS(BP_SOTIEN,BP_THANG,BU$2,BP_KM,$E97)/1000</f>
        <v>416</v>
      </c>
      <c r="BV97" s="1091">
        <f t="shared" si="806"/>
        <v>0.000104</v>
      </c>
      <c r="BW97" s="1091"/>
      <c r="BX97" s="1147">
        <f>IF(NOW()&gt;=DATE(YEAR(BU$2),MONTH(BU$2)+1,DAY(BU$2)),SUMIFS(TF_SOTIEN,TF_THANG,BU$2,TF_KM,$E97)/1000, CA97)</f>
        <v>416</v>
      </c>
      <c r="BY97" s="1091">
        <f t="shared" si="807"/>
        <v>0.0002783620705</v>
      </c>
      <c r="BZ97" s="1091"/>
      <c r="CA97" s="1147">
        <f>IF(NOW()&gt;=DATE(YEAR(BU$2),MONTH(BU$2)+1,DAY(BU$2)),SUMIFS(AC_SOTIEN,AC_THANG,BU$2,AC_KM,$E97),SUMIFS(TF_SOTIEN,TF_THANG,BU$2,TF_KM,$E97))/ 1000</f>
        <v>0</v>
      </c>
      <c r="CB97" s="1091">
        <f t="shared" si="808"/>
        <v>0</v>
      </c>
      <c r="CC97" s="1091">
        <f t="shared" si="967"/>
        <v>0</v>
      </c>
      <c r="CD97" s="1147">
        <f t="shared" si="561"/>
        <v>-416</v>
      </c>
      <c r="CE97" s="1091">
        <f t="shared" si="46"/>
        <v>-1</v>
      </c>
      <c r="CF97" s="1147">
        <f t="shared" si="562"/>
        <v>-416</v>
      </c>
      <c r="CG97" s="1091">
        <f t="shared" si="48"/>
        <v>-1</v>
      </c>
      <c r="CH97" s="1146">
        <f>SUMIFS(BP_SOTIEN,BP_THANG,CH$2,BP_KM,$E97)/1000</f>
        <v>416</v>
      </c>
      <c r="CI97" s="1091">
        <f t="shared" si="809"/>
        <v>0.000104</v>
      </c>
      <c r="CJ97" s="1091"/>
      <c r="CK97" s="1147">
        <f>IF(NOW()&gt;=DATE(YEAR(CH$2),MONTH(CH$2)+1,DAY(CH$2)),SUMIFS(TF_SOTIEN,TF_THANG,CH$2,TF_KM,$E97)/1000, CN97)</f>
        <v>416</v>
      </c>
      <c r="CL97" s="1091" t="str">
        <f t="shared" si="810"/>
        <v/>
      </c>
      <c r="CM97" s="1091"/>
      <c r="CN97" s="1147">
        <f>IF(NOW()&gt;=DATE(YEAR(CH$2),MONTH(CH$2)+1,DAY(CH$2)),SUMIFS(AC_SOTIEN,AC_THANG,CH$2,AC_KM,$E97),SUMIFS(TF_SOTIEN,TF_THANG,CH$2,TF_KM,$E97))/ 1000</f>
        <v>0</v>
      </c>
      <c r="CO97" s="1091" t="str">
        <f t="shared" si="811"/>
        <v/>
      </c>
      <c r="CP97" s="1091" t="str">
        <f t="shared" si="968"/>
        <v/>
      </c>
      <c r="CQ97" s="1147">
        <f t="shared" si="569"/>
        <v>-416</v>
      </c>
      <c r="CR97" s="1091">
        <f t="shared" si="53"/>
        <v>-1</v>
      </c>
      <c r="CS97" s="1147">
        <f t="shared" si="570"/>
        <v>-416</v>
      </c>
      <c r="CT97" s="1091">
        <f t="shared" si="55"/>
        <v>-1</v>
      </c>
      <c r="CU97" s="1146">
        <f t="shared" si="919"/>
        <v>1248</v>
      </c>
      <c r="CV97" s="1091">
        <f t="shared" si="812"/>
        <v>0.000104</v>
      </c>
      <c r="CW97" s="1091">
        <f t="shared" si="969"/>
        <v>0.02209827357</v>
      </c>
      <c r="CX97" s="1147">
        <f t="shared" si="920"/>
        <v>832</v>
      </c>
      <c r="CY97" s="1091">
        <f t="shared" si="814"/>
        <v>0.0005567241409</v>
      </c>
      <c r="CZ97" s="1091">
        <f t="shared" si="970"/>
        <v>0.01474986132</v>
      </c>
      <c r="DA97" s="1147">
        <f t="shared" si="921"/>
        <v>0</v>
      </c>
      <c r="DB97" s="1091">
        <f t="shared" si="816"/>
        <v>0</v>
      </c>
      <c r="DC97" s="1091">
        <f t="shared" si="971"/>
        <v>0</v>
      </c>
      <c r="DD97" s="1147">
        <f t="shared" si="580"/>
        <v>-1248</v>
      </c>
      <c r="DE97" s="1091">
        <f t="shared" si="63"/>
        <v>-1</v>
      </c>
      <c r="DF97" s="1147">
        <f t="shared" si="581"/>
        <v>-832</v>
      </c>
      <c r="DG97" s="1091">
        <f t="shared" si="65"/>
        <v>-1</v>
      </c>
      <c r="DH97" s="1146">
        <f t="shared" si="922"/>
        <v>2496</v>
      </c>
      <c r="DI97" s="1091">
        <f t="shared" si="817"/>
        <v>0.000208</v>
      </c>
      <c r="DJ97" s="1091">
        <f t="shared" si="972"/>
        <v>0.02152652005</v>
      </c>
      <c r="DK97" s="1147">
        <f t="shared" si="585"/>
        <v>1248</v>
      </c>
      <c r="DL97" s="1091">
        <f t="shared" si="818"/>
        <v>0.0002393346276</v>
      </c>
      <c r="DM97" s="1091">
        <f t="shared" si="973"/>
        <v>0.01217949412</v>
      </c>
      <c r="DN97" s="1147">
        <f t="shared" si="588"/>
        <v>0</v>
      </c>
      <c r="DO97" s="1091">
        <f t="shared" si="819"/>
        <v>0</v>
      </c>
      <c r="DP97" s="1091">
        <f t="shared" si="974"/>
        <v>0</v>
      </c>
      <c r="DQ97" s="1147">
        <f t="shared" si="591"/>
        <v>-2496</v>
      </c>
      <c r="DR97" s="1091">
        <f t="shared" si="73"/>
        <v>-1</v>
      </c>
      <c r="DS97" s="1147">
        <f t="shared" si="592"/>
        <v>-1248</v>
      </c>
      <c r="DT97" s="1091">
        <f t="shared" si="75"/>
        <v>-1</v>
      </c>
      <c r="DU97" s="1146">
        <f>SUMIFS(BP_SOTIEN,BP_THANG,DU$2,BP_KM,$E97)/1000</f>
        <v>416</v>
      </c>
      <c r="DV97" s="1091">
        <f t="shared" si="820"/>
        <v>0.000104</v>
      </c>
      <c r="DW97" s="1091"/>
      <c r="DX97" s="1147">
        <f>IF(NOW()&gt;=DATE(YEAR(DU$2),MONTH(DU$2)+1,DAY(DU$2)),SUMIFS(TF_SOTIEN,TF_THANG,DU$2,TF_KM,$E97)/1000, EA97)</f>
        <v>416</v>
      </c>
      <c r="DY97" s="1091">
        <f t="shared" si="821"/>
        <v>0.00006887417264</v>
      </c>
      <c r="DZ97" s="1091"/>
      <c r="EA97" s="1147">
        <f>IF(NOW()&gt;=DATE(YEAR(DU$2),MONTH(DU$2)+1,DAY(DU$2)),SUMIFS(AC_SOTIEN,AC_THANG,DU$2,AC_KM,$E97),SUMIFS(TF_SOTIEN,TF_THANG,DU$2,TF_KM,$E97))/ 1000</f>
        <v>0</v>
      </c>
      <c r="EB97" s="1091" t="str">
        <f t="shared" si="822"/>
        <v/>
      </c>
      <c r="EC97" s="1091" t="str">
        <f t="shared" si="975"/>
        <v/>
      </c>
      <c r="ED97" s="1147">
        <f t="shared" si="599"/>
        <v>-416</v>
      </c>
      <c r="EE97" s="1091">
        <f t="shared" si="80"/>
        <v>-1</v>
      </c>
      <c r="EF97" s="1147">
        <f t="shared" si="600"/>
        <v>-416</v>
      </c>
      <c r="EG97" s="1091">
        <f t="shared" si="82"/>
        <v>-1</v>
      </c>
      <c r="EH97" s="1146">
        <f>SUMIFS(BP_SOTIEN,BP_THANG,EH$2,BP_KM,$E97)/1000</f>
        <v>416</v>
      </c>
      <c r="EI97" s="1091">
        <f t="shared" si="823"/>
        <v>0.000104</v>
      </c>
      <c r="EJ97" s="1091"/>
      <c r="EK97" s="1147">
        <f>IF(NOW()&gt;=DATE(YEAR(EH$2),MONTH(EH$2)+1,DAY(EH$2)),SUMIFS(TF_SOTIEN,TF_THANG,EH$2,TF_KM,$E97)/1000, EN97)</f>
        <v>416</v>
      </c>
      <c r="EL97" s="1091">
        <f t="shared" si="824"/>
        <v>0.00006887417264</v>
      </c>
      <c r="EM97" s="1091"/>
      <c r="EN97" s="1147">
        <f>IF(NOW()&gt;=DATE(YEAR(EH$2),MONTH(EH$2)+1,DAY(EH$2)),SUMIFS(AC_SOTIEN,AC_THANG,EH$2,AC_KM,$E97),SUMIFS(TF_SOTIEN,TF_THANG,EH$2,TF_KM,$E97))/ 1000</f>
        <v>0</v>
      </c>
      <c r="EO97" s="1091" t="str">
        <f t="shared" si="825"/>
        <v/>
      </c>
      <c r="EP97" s="1091" t="str">
        <f t="shared" si="976"/>
        <v/>
      </c>
      <c r="EQ97" s="1147">
        <f t="shared" si="607"/>
        <v>-416</v>
      </c>
      <c r="ER97" s="1091">
        <f t="shared" si="87"/>
        <v>-1</v>
      </c>
      <c r="ES97" s="1147">
        <f t="shared" si="608"/>
        <v>-416</v>
      </c>
      <c r="ET97" s="1091">
        <f t="shared" si="89"/>
        <v>-1</v>
      </c>
      <c r="EU97" s="1146">
        <f>SUMIFS(BP_SOTIEN,BP_THANG,EU$2,BP_KM,$E97)/1000</f>
        <v>416</v>
      </c>
      <c r="EV97" s="1091">
        <f t="shared" si="826"/>
        <v>0.000104</v>
      </c>
      <c r="EW97" s="1091"/>
      <c r="EX97" s="1147">
        <f>IF(NOW()&gt;=DATE(YEAR(EU$2),MONTH(EU$2)+1,DAY(EU$2)),SUMIFS(TF_SOTIEN,TF_THANG,EU$2,TF_KM,$E97)/1000, FA97)</f>
        <v>416</v>
      </c>
      <c r="EY97" s="1091">
        <f t="shared" si="827"/>
        <v>0.00006887417264</v>
      </c>
      <c r="EZ97" s="1091"/>
      <c r="FA97" s="1147">
        <f>IF(NOW()&gt;=DATE(YEAR(EU$2),MONTH(EU$2)+1,DAY(EU$2)),SUMIFS(AC_SOTIEN,AC_THANG,EU$2,AC_KM,$E97),SUMIFS(TF_SOTIEN,TF_THANG,EU$2,TF_KM,$E97))/ 1000</f>
        <v>0</v>
      </c>
      <c r="FB97" s="1091" t="str">
        <f t="shared" si="828"/>
        <v/>
      </c>
      <c r="FC97" s="1091" t="str">
        <f t="shared" si="977"/>
        <v/>
      </c>
      <c r="FD97" s="1147">
        <f t="shared" si="616"/>
        <v>-416</v>
      </c>
      <c r="FE97" s="1091">
        <f t="shared" si="94"/>
        <v>-1</v>
      </c>
      <c r="FF97" s="1147">
        <f t="shared" si="617"/>
        <v>-416</v>
      </c>
      <c r="FG97" s="1091">
        <f t="shared" si="96"/>
        <v>-1</v>
      </c>
      <c r="FH97" s="1146">
        <f t="shared" si="923"/>
        <v>1248</v>
      </c>
      <c r="FI97" s="1091">
        <f t="shared" si="829"/>
        <v>0.000104</v>
      </c>
      <c r="FJ97" s="1091">
        <f t="shared" si="978"/>
        <v>0.02209827357</v>
      </c>
      <c r="FK97" s="1147">
        <f t="shared" si="621"/>
        <v>1248</v>
      </c>
      <c r="FL97" s="1091">
        <f t="shared" si="830"/>
        <v>0.00006887417264</v>
      </c>
      <c r="FM97" s="1091">
        <f t="shared" si="979"/>
        <v>0.02209827357</v>
      </c>
      <c r="FN97" s="1147">
        <f t="shared" si="624"/>
        <v>0</v>
      </c>
      <c r="FO97" s="1091" t="str">
        <f t="shared" si="831"/>
        <v/>
      </c>
      <c r="FP97" s="1091" t="str">
        <f t="shared" si="980"/>
        <v/>
      </c>
      <c r="FQ97" s="1147">
        <f t="shared" si="627"/>
        <v>-1248</v>
      </c>
      <c r="FR97" s="1091">
        <f t="shared" si="104"/>
        <v>-1</v>
      </c>
      <c r="FS97" s="1147">
        <f t="shared" si="628"/>
        <v>-1248</v>
      </c>
      <c r="FT97" s="1091">
        <f t="shared" si="106"/>
        <v>-1</v>
      </c>
      <c r="FU97" s="1146">
        <f>SUMIFS(BP_SOTIEN,BP_THANG,FU$2,BP_KM,$E97)/1000</f>
        <v>416</v>
      </c>
      <c r="FV97" s="1091">
        <f t="shared" si="832"/>
        <v>0.000104</v>
      </c>
      <c r="FW97" s="1091"/>
      <c r="FX97" s="1147">
        <f>IF(NOW()&gt;=DATE(YEAR(FU$2),MONTH(FU$2)+1,DAY(FU$2)),SUMIFS(TF_SOTIEN,TF_THANG,FU$2,TF_KM,$E97)/1000, GA97)</f>
        <v>416</v>
      </c>
      <c r="FY97" s="1091">
        <f t="shared" si="833"/>
        <v>0.00006887417264</v>
      </c>
      <c r="FZ97" s="1091"/>
      <c r="GA97" s="1147">
        <f>IF(NOW()&gt;=DATE(YEAR(FU$2),MONTH(FU$2)+1,DAY(FU$2)),SUMIFS(AC_SOTIEN,AC_THANG,FU$2,AC_KM,$E97),SUMIFS(TF_SOTIEN,TF_THANG,FU$2,TF_KM,$E97))/ 1000</f>
        <v>0</v>
      </c>
      <c r="GB97" s="1091" t="str">
        <f t="shared" si="834"/>
        <v/>
      </c>
      <c r="GC97" s="1091" t="str">
        <f t="shared" si="981"/>
        <v/>
      </c>
      <c r="GD97" s="1147">
        <f t="shared" si="635"/>
        <v>-416</v>
      </c>
      <c r="GE97" s="1091">
        <f t="shared" si="111"/>
        <v>-1</v>
      </c>
      <c r="GF97" s="1147">
        <f t="shared" si="636"/>
        <v>-416</v>
      </c>
      <c r="GG97" s="1091">
        <f t="shared" si="113"/>
        <v>-1</v>
      </c>
      <c r="GH97" s="1146">
        <f>SUMIFS(BP_SOTIEN,BP_THANG,GH$2,BP_KM,$E97)/1000</f>
        <v>416</v>
      </c>
      <c r="GI97" s="1091">
        <f t="shared" si="835"/>
        <v>0.000104</v>
      </c>
      <c r="GJ97" s="1091"/>
      <c r="GK97" s="1147">
        <f>IF(NOW()&gt;=DATE(YEAR(GH$2),MONTH(GH$2)+1,DAY(GH$2)),SUMIFS(TF_SOTIEN,TF_THANG,GH$2,TF_KM,$E97)/1000, GN97)</f>
        <v>416</v>
      </c>
      <c r="GL97" s="1091">
        <f t="shared" si="836"/>
        <v>0.00006887417264</v>
      </c>
      <c r="GM97" s="1091"/>
      <c r="GN97" s="1147">
        <f>IF(NOW()&gt;=DATE(YEAR(GH$2),MONTH(GH$2)+1,DAY(GH$2)),SUMIFS(AC_SOTIEN,AC_THANG,GH$2,AC_KM,$E97),SUMIFS(TF_SOTIEN,TF_THANG,GH$2,TF_KM,$E97))/ 1000</f>
        <v>0</v>
      </c>
      <c r="GO97" s="1091" t="str">
        <f t="shared" si="837"/>
        <v/>
      </c>
      <c r="GP97" s="1091" t="str">
        <f t="shared" si="982"/>
        <v/>
      </c>
      <c r="GQ97" s="1147">
        <f t="shared" si="643"/>
        <v>-416</v>
      </c>
      <c r="GR97" s="1091">
        <f t="shared" si="118"/>
        <v>-1</v>
      </c>
      <c r="GS97" s="1147">
        <f t="shared" si="644"/>
        <v>-416</v>
      </c>
      <c r="GT97" s="1091">
        <f t="shared" si="120"/>
        <v>-1</v>
      </c>
      <c r="GU97" s="1146">
        <f>SUMIFS(BP_SOTIEN,BP_THANG,GU$2,BP_KM,$E97)/1000</f>
        <v>416</v>
      </c>
      <c r="GV97" s="1091">
        <f t="shared" si="838"/>
        <v>0.000104</v>
      </c>
      <c r="GW97" s="1091"/>
      <c r="GX97" s="1147">
        <f>IF(NOW()&gt;=DATE(YEAR(GU$2),MONTH(GU$2)+1,DAY(GU$2)),SUMIFS(TF_SOTIEN,TF_THANG,GU$2,TF_KM,$E97)/1000, HA97)</f>
        <v>416</v>
      </c>
      <c r="GY97" s="1091">
        <f t="shared" si="839"/>
        <v>0.00006887417264</v>
      </c>
      <c r="GZ97" s="1091"/>
      <c r="HA97" s="1147">
        <f>IF(NOW()&gt;=DATE(YEAR(GU$2),MONTH(GU$2)+1,DAY(GU$2)),SUMIFS(AC_SOTIEN,AC_THANG,GU$2,AC_KM,$E97),SUMIFS(TF_SOTIEN,TF_THANG,GU$2,TF_KM,$E97))/ 1000</f>
        <v>0</v>
      </c>
      <c r="HB97" s="1091" t="str">
        <f t="shared" si="840"/>
        <v/>
      </c>
      <c r="HC97" s="1091" t="str">
        <f t="shared" si="983"/>
        <v/>
      </c>
      <c r="HD97" s="1147">
        <f t="shared" si="651"/>
        <v>-416</v>
      </c>
      <c r="HE97" s="1091">
        <f t="shared" si="125"/>
        <v>-1</v>
      </c>
      <c r="HF97" s="1147">
        <f t="shared" si="652"/>
        <v>-416</v>
      </c>
      <c r="HG97" s="1091">
        <f t="shared" si="127"/>
        <v>-1</v>
      </c>
      <c r="HH97" s="1146">
        <f t="shared" si="924"/>
        <v>1248</v>
      </c>
      <c r="HI97" s="1091">
        <f t="shared" si="841"/>
        <v>0.000104</v>
      </c>
      <c r="HJ97" s="1091">
        <f t="shared" si="984"/>
        <v>0.02209827357</v>
      </c>
      <c r="HK97" s="1147">
        <f t="shared" si="656"/>
        <v>1248</v>
      </c>
      <c r="HL97" s="1091">
        <f t="shared" si="842"/>
        <v>0.00006887417264</v>
      </c>
      <c r="HM97" s="1091">
        <f t="shared" si="985"/>
        <v>0.02209827357</v>
      </c>
      <c r="HN97" s="1147">
        <f t="shared" si="659"/>
        <v>0</v>
      </c>
      <c r="HO97" s="1091" t="str">
        <f t="shared" si="843"/>
        <v/>
      </c>
      <c r="HP97" s="1091" t="str">
        <f t="shared" si="986"/>
        <v/>
      </c>
      <c r="HQ97" s="1147">
        <f t="shared" si="662"/>
        <v>-1248</v>
      </c>
      <c r="HR97" s="1091">
        <f t="shared" si="135"/>
        <v>-1</v>
      </c>
      <c r="HS97" s="1147">
        <f t="shared" si="663"/>
        <v>-1248</v>
      </c>
      <c r="HT97" s="1091">
        <f t="shared" si="137"/>
        <v>-1</v>
      </c>
      <c r="HU97" s="1146">
        <f t="shared" si="925"/>
        <v>2496</v>
      </c>
      <c r="HV97" s="1091">
        <f t="shared" si="844"/>
        <v>0.000104</v>
      </c>
      <c r="HW97" s="1091">
        <f t="shared" si="987"/>
        <v>0.02209827357</v>
      </c>
      <c r="HX97" s="1147">
        <f t="shared" si="667"/>
        <v>2496</v>
      </c>
      <c r="HY97" s="1091">
        <f t="shared" si="845"/>
        <v>0.00006887417264</v>
      </c>
      <c r="HZ97" s="1091">
        <f t="shared" si="988"/>
        <v>0.02209827357</v>
      </c>
      <c r="IA97" s="1147">
        <f t="shared" si="670"/>
        <v>0</v>
      </c>
      <c r="IB97" s="1091" t="str">
        <f t="shared" si="846"/>
        <v/>
      </c>
      <c r="IC97" s="1091" t="str">
        <f t="shared" si="989"/>
        <v/>
      </c>
      <c r="ID97" s="1147">
        <f t="shared" si="673"/>
        <v>-2496</v>
      </c>
      <c r="IE97" s="1091">
        <f t="shared" si="145"/>
        <v>-1</v>
      </c>
      <c r="IF97" s="1147">
        <f t="shared" si="674"/>
        <v>-2496</v>
      </c>
      <c r="IG97" s="1091">
        <f t="shared" si="147"/>
        <v>-1</v>
      </c>
      <c r="IH97" s="1146">
        <f t="shared" si="926"/>
        <v>4992</v>
      </c>
      <c r="II97" s="1091">
        <f t="shared" si="847"/>
        <v>0.0001386666667</v>
      </c>
      <c r="IJ97" s="1091">
        <f t="shared" si="990"/>
        <v>0.02180865007</v>
      </c>
      <c r="IK97" s="1147">
        <f t="shared" si="678"/>
        <v>3744</v>
      </c>
      <c r="IL97" s="1091">
        <f t="shared" si="848"/>
        <v>0.00009031598384</v>
      </c>
      <c r="IM97" s="1091">
        <f t="shared" si="991"/>
        <v>0.01738021889</v>
      </c>
      <c r="IN97" s="1147">
        <f t="shared" si="681"/>
        <v>0</v>
      </c>
      <c r="IO97" s="1091">
        <f t="shared" si="849"/>
        <v>0</v>
      </c>
      <c r="IP97" s="1091">
        <f t="shared" si="992"/>
        <v>0</v>
      </c>
      <c r="IQ97" s="1147">
        <f t="shared" si="684"/>
        <v>-4992</v>
      </c>
      <c r="IR97" s="1091">
        <f t="shared" si="1"/>
        <v>-1</v>
      </c>
      <c r="IS97" s="1147">
        <f t="shared" si="685"/>
        <v>-3744</v>
      </c>
      <c r="IT97" s="1091">
        <f t="shared" si="2"/>
        <v>-1</v>
      </c>
    </row>
    <row r="98" outlineLevel="1">
      <c r="A98" s="737"/>
      <c r="B98" s="737"/>
      <c r="C98" s="737"/>
      <c r="D98" s="737" t="s">
        <v>2859</v>
      </c>
      <c r="E98" s="737" t="s">
        <v>2236</v>
      </c>
      <c r="F98" s="737"/>
      <c r="G98" s="748">
        <v>3.0</v>
      </c>
      <c r="H98" s="1146">
        <f>SUMIFS(BP_SOTIEN,BP_THANG,H$2,BP_KM,$E98)/1000</f>
        <v>1666</v>
      </c>
      <c r="I98" s="1091" t="str">
        <f t="shared" si="791"/>
        <v/>
      </c>
      <c r="J98" s="1091"/>
      <c r="K98" s="1147">
        <f>IF(NOW()&gt;=DATE(YEAR(H$2),MONTH(H$2)+1,DAY(H$2)),SUMIFS(TF_SOTIEN,TF_THANG,H$2,TF_KM,$E98)/1000, N98)</f>
        <v>1666</v>
      </c>
      <c r="L98" s="1091">
        <f t="shared" si="792"/>
        <v>0.01388333333</v>
      </c>
      <c r="M98" s="1091"/>
      <c r="N98" s="1147">
        <f>IF(NOW()&gt;=DATE(YEAR(H$2),MONTH(H$2)+1,DAY(H$2)),SUMIFS(AC_SOTIEN,AC_THANG,H$2,AC_KM,$E98),SUMIFS(TF_SOTIEN,TF_THANG,H$2,TF_KM,$E98))/ 1000</f>
        <v>0</v>
      </c>
      <c r="O98" s="1091">
        <f t="shared" si="793"/>
        <v>0</v>
      </c>
      <c r="P98" s="1091">
        <f t="shared" si="960"/>
        <v>0</v>
      </c>
      <c r="Q98" s="1147">
        <f t="shared" si="518"/>
        <v>-1666</v>
      </c>
      <c r="R98" s="1091">
        <f t="shared" si="8"/>
        <v>-1</v>
      </c>
      <c r="S98" s="1147">
        <f t="shared" si="519"/>
        <v>-1666</v>
      </c>
      <c r="T98" s="1091">
        <f t="shared" si="10"/>
        <v>-1</v>
      </c>
      <c r="U98" s="1146">
        <f>SUMIFS(BP_SOTIEN,BP_THANG,U$2,BP_KM,$E98)/1000</f>
        <v>1666</v>
      </c>
      <c r="V98" s="1091" t="str">
        <f t="shared" si="794"/>
        <v/>
      </c>
      <c r="W98" s="1091"/>
      <c r="X98" s="1147">
        <f>IF(NOW()&gt;=DATE(YEAR(U$2),MONTH(U$2)+1,DAY(U$2)),SUMIFS(TF_SOTIEN,TF_THANG,U$2,TF_KM,$E98)/1000, AA98)</f>
        <v>0</v>
      </c>
      <c r="Y98" s="1091" t="str">
        <f t="shared" si="795"/>
        <v/>
      </c>
      <c r="Z98" s="1091"/>
      <c r="AA98" s="1147">
        <f>IF(NOW()&gt;=DATE(YEAR(U$2),MONTH(U$2)+1,DAY(U$2)),SUMIFS(AC_SOTIEN,AC_THANG,U$2,AC_KM,$E98),SUMIFS(TF_SOTIEN,TF_THANG,U$2,TF_KM,$E98))/ 1000</f>
        <v>0</v>
      </c>
      <c r="AB98" s="1091">
        <f t="shared" si="796"/>
        <v>0</v>
      </c>
      <c r="AC98" s="1091">
        <f t="shared" si="961"/>
        <v>0</v>
      </c>
      <c r="AD98" s="1147">
        <f t="shared" si="526"/>
        <v>-1666</v>
      </c>
      <c r="AE98" s="1091">
        <f t="shared" si="15"/>
        <v>-1</v>
      </c>
      <c r="AF98" s="1147">
        <f t="shared" si="527"/>
        <v>0</v>
      </c>
      <c r="AG98" s="1091" t="str">
        <f t="shared" si="17"/>
        <v/>
      </c>
      <c r="AH98" s="1146">
        <f>SUMIFS(BP_SOTIEN,BP_THANG,AH$2,BP_KM,$E98)/1000</f>
        <v>1666</v>
      </c>
      <c r="AI98" s="1091" t="str">
        <f t="shared" si="797"/>
        <v/>
      </c>
      <c r="AJ98" s="1091"/>
      <c r="AK98" s="1147">
        <f>IF(NOW()&gt;=DATE(YEAR(AH$2),MONTH(AH$2)+1,DAY(AH$2)),SUMIFS(TF_SOTIEN,TF_THANG,AH$2,TF_KM,$E98)/1000, AN98)</f>
        <v>0</v>
      </c>
      <c r="AL98" s="1091">
        <f t="shared" si="798"/>
        <v>0</v>
      </c>
      <c r="AM98" s="1091"/>
      <c r="AN98" s="1147">
        <f>IF(NOW()&gt;=DATE(YEAR(AH$2),MONTH(AH$2)+1,DAY(AH$2)),SUMIFS(AC_SOTIEN,AC_THANG,AH$2,AC_KM,$E98),SUMIFS(TF_SOTIEN,TF_THANG,AH$2,TF_KM,$E98))/ 1000</f>
        <v>0</v>
      </c>
      <c r="AO98" s="1091">
        <f t="shared" si="799"/>
        <v>0</v>
      </c>
      <c r="AP98" s="1091">
        <f t="shared" si="962"/>
        <v>0</v>
      </c>
      <c r="AQ98" s="1147">
        <f t="shared" si="534"/>
        <v>-1666</v>
      </c>
      <c r="AR98" s="1091">
        <f t="shared" si="22"/>
        <v>-1</v>
      </c>
      <c r="AS98" s="1147">
        <f t="shared" si="535"/>
        <v>0</v>
      </c>
      <c r="AT98" s="1091" t="str">
        <f t="shared" si="24"/>
        <v/>
      </c>
      <c r="AU98" s="1146">
        <f t="shared" si="916"/>
        <v>4998</v>
      </c>
      <c r="AV98" s="1091" t="str">
        <f t="shared" si="800"/>
        <v/>
      </c>
      <c r="AW98" s="1091">
        <f t="shared" si="963"/>
        <v>0.08403530895</v>
      </c>
      <c r="AX98" s="1147">
        <f t="shared" si="917"/>
        <v>1666</v>
      </c>
      <c r="AY98" s="1091">
        <f t="shared" si="801"/>
        <v>0.0004478494624</v>
      </c>
      <c r="AZ98" s="1091">
        <f t="shared" si="964"/>
        <v>0.03617021277</v>
      </c>
      <c r="BA98" s="1147">
        <f t="shared" si="918"/>
        <v>0</v>
      </c>
      <c r="BB98" s="1091">
        <f t="shared" si="802"/>
        <v>0</v>
      </c>
      <c r="BC98" s="1091">
        <f t="shared" si="965"/>
        <v>0</v>
      </c>
      <c r="BD98" s="1147">
        <f t="shared" si="545"/>
        <v>-4998</v>
      </c>
      <c r="BE98" s="1091">
        <f t="shared" si="32"/>
        <v>-1</v>
      </c>
      <c r="BF98" s="1147">
        <f t="shared" si="546"/>
        <v>-1666</v>
      </c>
      <c r="BG98" s="1091">
        <f t="shared" si="34"/>
        <v>-1</v>
      </c>
      <c r="BH98" s="1146">
        <f>SUMIFS(BP_SOTIEN,BP_THANG,BH$2,BP_KM,$E98)/1000</f>
        <v>1666</v>
      </c>
      <c r="BI98" s="1091">
        <f t="shared" si="803"/>
        <v>0.0004165</v>
      </c>
      <c r="BJ98" s="1091"/>
      <c r="BK98" s="1147">
        <f>IF(NOW()&gt;=DATE(YEAR(BH$2),MONTH(BH$2)+1,DAY(BH$2)),SUMIFS(TF_SOTIEN,TF_THANG,BH$2,TF_KM,$E98)/1000, BN98)</f>
        <v>0</v>
      </c>
      <c r="BL98" s="1091" t="str">
        <f t="shared" si="804"/>
        <v/>
      </c>
      <c r="BM98" s="1091"/>
      <c r="BN98" s="1147">
        <f>IF(NOW()&gt;=DATE(YEAR(BH$2),MONTH(BH$2)+1,DAY(BH$2)),SUMIFS(AC_SOTIEN,AC_THANG,BH$2,AC_KM,$E98),SUMIFS(TF_SOTIEN,TF_THANG,BH$2,TF_KM,$E98))/ 1000</f>
        <v>0</v>
      </c>
      <c r="BO98" s="1091">
        <f t="shared" si="805"/>
        <v>0</v>
      </c>
      <c r="BP98" s="1091">
        <f t="shared" si="966"/>
        <v>0</v>
      </c>
      <c r="BQ98" s="1147">
        <f t="shared" si="553"/>
        <v>-1666</v>
      </c>
      <c r="BR98" s="1091">
        <f t="shared" si="39"/>
        <v>-1</v>
      </c>
      <c r="BS98" s="1147">
        <f t="shared" si="554"/>
        <v>0</v>
      </c>
      <c r="BT98" s="1091" t="str">
        <f t="shared" si="41"/>
        <v/>
      </c>
      <c r="BU98" s="1146">
        <f>SUMIFS(BP_SOTIEN,BP_THANG,BU$2,BP_KM,$E98)/1000</f>
        <v>1666</v>
      </c>
      <c r="BV98" s="1091">
        <f t="shared" si="806"/>
        <v>0.0004165</v>
      </c>
      <c r="BW98" s="1091"/>
      <c r="BX98" s="1147">
        <f>IF(NOW()&gt;=DATE(YEAR(BU$2),MONTH(BU$2)+1,DAY(BU$2)),SUMIFS(TF_SOTIEN,TF_THANG,BU$2,TF_KM,$E98)/1000, CA98)</f>
        <v>1666</v>
      </c>
      <c r="BY98" s="1091">
        <f t="shared" si="807"/>
        <v>0.001114786561</v>
      </c>
      <c r="BZ98" s="1091"/>
      <c r="CA98" s="1147">
        <f>IF(NOW()&gt;=DATE(YEAR(BU$2),MONTH(BU$2)+1,DAY(BU$2)),SUMIFS(AC_SOTIEN,AC_THANG,BU$2,AC_KM,$E98),SUMIFS(TF_SOTIEN,TF_THANG,BU$2,TF_KM,$E98))/ 1000</f>
        <v>0</v>
      </c>
      <c r="CB98" s="1091">
        <f t="shared" si="808"/>
        <v>0</v>
      </c>
      <c r="CC98" s="1091">
        <f t="shared" si="967"/>
        <v>0</v>
      </c>
      <c r="CD98" s="1147">
        <f t="shared" si="561"/>
        <v>-1666</v>
      </c>
      <c r="CE98" s="1091">
        <f t="shared" si="46"/>
        <v>-1</v>
      </c>
      <c r="CF98" s="1147">
        <f t="shared" si="562"/>
        <v>-1666</v>
      </c>
      <c r="CG98" s="1091">
        <f t="shared" si="48"/>
        <v>-1</v>
      </c>
      <c r="CH98" s="1146">
        <f>SUMIFS(BP_SOTIEN,BP_THANG,CH$2,BP_KM,$E98)/1000</f>
        <v>1666</v>
      </c>
      <c r="CI98" s="1091">
        <f t="shared" si="809"/>
        <v>0.0004165</v>
      </c>
      <c r="CJ98" s="1091"/>
      <c r="CK98" s="1147">
        <f>IF(NOW()&gt;=DATE(YEAR(CH$2),MONTH(CH$2)+1,DAY(CH$2)),SUMIFS(TF_SOTIEN,TF_THANG,CH$2,TF_KM,$E98)/1000, CN98)</f>
        <v>1666</v>
      </c>
      <c r="CL98" s="1091" t="str">
        <f t="shared" si="810"/>
        <v/>
      </c>
      <c r="CM98" s="1091"/>
      <c r="CN98" s="1147">
        <f>IF(NOW()&gt;=DATE(YEAR(CH$2),MONTH(CH$2)+1,DAY(CH$2)),SUMIFS(AC_SOTIEN,AC_THANG,CH$2,AC_KM,$E98),SUMIFS(TF_SOTIEN,TF_THANG,CH$2,TF_KM,$E98))/ 1000</f>
        <v>0</v>
      </c>
      <c r="CO98" s="1091" t="str">
        <f t="shared" si="811"/>
        <v/>
      </c>
      <c r="CP98" s="1091" t="str">
        <f t="shared" si="968"/>
        <v/>
      </c>
      <c r="CQ98" s="1147">
        <f t="shared" si="569"/>
        <v>-1666</v>
      </c>
      <c r="CR98" s="1091">
        <f t="shared" si="53"/>
        <v>-1</v>
      </c>
      <c r="CS98" s="1147">
        <f t="shared" si="570"/>
        <v>-1666</v>
      </c>
      <c r="CT98" s="1091">
        <f t="shared" si="55"/>
        <v>-1</v>
      </c>
      <c r="CU98" s="1146">
        <f t="shared" si="919"/>
        <v>4998</v>
      </c>
      <c r="CV98" s="1091">
        <f t="shared" si="812"/>
        <v>0.0004165</v>
      </c>
      <c r="CW98" s="1091">
        <f t="shared" si="969"/>
        <v>0.08849933599</v>
      </c>
      <c r="CX98" s="1147">
        <f t="shared" si="920"/>
        <v>3332</v>
      </c>
      <c r="CY98" s="1091">
        <f t="shared" si="814"/>
        <v>0.002229573122</v>
      </c>
      <c r="CZ98" s="1091">
        <f t="shared" si="970"/>
        <v>0.05907035808</v>
      </c>
      <c r="DA98" s="1147">
        <f t="shared" si="921"/>
        <v>0</v>
      </c>
      <c r="DB98" s="1091">
        <f t="shared" si="816"/>
        <v>0</v>
      </c>
      <c r="DC98" s="1091">
        <f t="shared" si="971"/>
        <v>0</v>
      </c>
      <c r="DD98" s="1147">
        <f t="shared" si="580"/>
        <v>-4998</v>
      </c>
      <c r="DE98" s="1091">
        <f t="shared" si="63"/>
        <v>-1</v>
      </c>
      <c r="DF98" s="1147">
        <f t="shared" si="581"/>
        <v>-3332</v>
      </c>
      <c r="DG98" s="1091">
        <f t="shared" si="65"/>
        <v>-1</v>
      </c>
      <c r="DH98" s="1146">
        <f t="shared" si="922"/>
        <v>9996</v>
      </c>
      <c r="DI98" s="1091">
        <f t="shared" si="817"/>
        <v>0.000833</v>
      </c>
      <c r="DJ98" s="1091">
        <f t="shared" si="972"/>
        <v>0.08620957309</v>
      </c>
      <c r="DK98" s="1147">
        <f t="shared" si="585"/>
        <v>4998</v>
      </c>
      <c r="DL98" s="1091">
        <f t="shared" si="818"/>
        <v>0.0009584891578</v>
      </c>
      <c r="DM98" s="1091">
        <f t="shared" si="973"/>
        <v>0.04877653175</v>
      </c>
      <c r="DN98" s="1147">
        <f t="shared" si="588"/>
        <v>0</v>
      </c>
      <c r="DO98" s="1091">
        <f t="shared" si="819"/>
        <v>0</v>
      </c>
      <c r="DP98" s="1091">
        <f t="shared" si="974"/>
        <v>0</v>
      </c>
      <c r="DQ98" s="1147">
        <f t="shared" si="591"/>
        <v>-9996</v>
      </c>
      <c r="DR98" s="1091">
        <f t="shared" si="73"/>
        <v>-1</v>
      </c>
      <c r="DS98" s="1147">
        <f t="shared" si="592"/>
        <v>-4998</v>
      </c>
      <c r="DT98" s="1091">
        <f t="shared" si="75"/>
        <v>-1</v>
      </c>
      <c r="DU98" s="1146">
        <f>SUMIFS(BP_SOTIEN,BP_THANG,DU$2,BP_KM,$E98)/1000</f>
        <v>1666</v>
      </c>
      <c r="DV98" s="1091">
        <f t="shared" si="820"/>
        <v>0.0004165</v>
      </c>
      <c r="DW98" s="1091"/>
      <c r="DX98" s="1147">
        <f>IF(NOW()&gt;=DATE(YEAR(DU$2),MONTH(DU$2)+1,DAY(DU$2)),SUMIFS(TF_SOTIEN,TF_THANG,DU$2,TF_KM,$E98)/1000, EA98)</f>
        <v>1666</v>
      </c>
      <c r="DY98" s="1091">
        <f t="shared" si="821"/>
        <v>0.0002758278164</v>
      </c>
      <c r="DZ98" s="1091"/>
      <c r="EA98" s="1147">
        <f>IF(NOW()&gt;=DATE(YEAR(DU$2),MONTH(DU$2)+1,DAY(DU$2)),SUMIFS(AC_SOTIEN,AC_THANG,DU$2,AC_KM,$E98),SUMIFS(TF_SOTIEN,TF_THANG,DU$2,TF_KM,$E98))/ 1000</f>
        <v>0</v>
      </c>
      <c r="EB98" s="1091" t="str">
        <f t="shared" si="822"/>
        <v/>
      </c>
      <c r="EC98" s="1091" t="str">
        <f t="shared" si="975"/>
        <v/>
      </c>
      <c r="ED98" s="1147">
        <f t="shared" si="599"/>
        <v>-1666</v>
      </c>
      <c r="EE98" s="1091">
        <f t="shared" si="80"/>
        <v>-1</v>
      </c>
      <c r="EF98" s="1147">
        <f t="shared" si="600"/>
        <v>-1666</v>
      </c>
      <c r="EG98" s="1091">
        <f t="shared" si="82"/>
        <v>-1</v>
      </c>
      <c r="EH98" s="1146">
        <f>SUMIFS(BP_SOTIEN,BP_THANG,EH$2,BP_KM,$E98)/1000</f>
        <v>1666</v>
      </c>
      <c r="EI98" s="1091">
        <f t="shared" si="823"/>
        <v>0.0004165</v>
      </c>
      <c r="EJ98" s="1091"/>
      <c r="EK98" s="1147">
        <f>IF(NOW()&gt;=DATE(YEAR(EH$2),MONTH(EH$2)+1,DAY(EH$2)),SUMIFS(TF_SOTIEN,TF_THANG,EH$2,TF_KM,$E98)/1000, EN98)</f>
        <v>1666</v>
      </c>
      <c r="EL98" s="1091">
        <f t="shared" si="824"/>
        <v>0.0002758278164</v>
      </c>
      <c r="EM98" s="1091"/>
      <c r="EN98" s="1147">
        <f>IF(NOW()&gt;=DATE(YEAR(EH$2),MONTH(EH$2)+1,DAY(EH$2)),SUMIFS(AC_SOTIEN,AC_THANG,EH$2,AC_KM,$E98),SUMIFS(TF_SOTIEN,TF_THANG,EH$2,TF_KM,$E98))/ 1000</f>
        <v>0</v>
      </c>
      <c r="EO98" s="1091" t="str">
        <f t="shared" si="825"/>
        <v/>
      </c>
      <c r="EP98" s="1091" t="str">
        <f t="shared" si="976"/>
        <v/>
      </c>
      <c r="EQ98" s="1147">
        <f t="shared" si="607"/>
        <v>-1666</v>
      </c>
      <c r="ER98" s="1091">
        <f t="shared" si="87"/>
        <v>-1</v>
      </c>
      <c r="ES98" s="1147">
        <f t="shared" si="608"/>
        <v>-1666</v>
      </c>
      <c r="ET98" s="1091">
        <f t="shared" si="89"/>
        <v>-1</v>
      </c>
      <c r="EU98" s="1146">
        <f>SUMIFS(BP_SOTIEN,BP_THANG,EU$2,BP_KM,$E98)/1000</f>
        <v>1666</v>
      </c>
      <c r="EV98" s="1091">
        <f t="shared" si="826"/>
        <v>0.0004165</v>
      </c>
      <c r="EW98" s="1091"/>
      <c r="EX98" s="1147">
        <f>IF(NOW()&gt;=DATE(YEAR(EU$2),MONTH(EU$2)+1,DAY(EU$2)),SUMIFS(TF_SOTIEN,TF_THANG,EU$2,TF_KM,$E98)/1000, FA98)</f>
        <v>1666</v>
      </c>
      <c r="EY98" s="1091">
        <f t="shared" si="827"/>
        <v>0.0002758278164</v>
      </c>
      <c r="EZ98" s="1091"/>
      <c r="FA98" s="1147">
        <f>IF(NOW()&gt;=DATE(YEAR(EU$2),MONTH(EU$2)+1,DAY(EU$2)),SUMIFS(AC_SOTIEN,AC_THANG,EU$2,AC_KM,$E98),SUMIFS(TF_SOTIEN,TF_THANG,EU$2,TF_KM,$E98))/ 1000</f>
        <v>0</v>
      </c>
      <c r="FB98" s="1091" t="str">
        <f t="shared" si="828"/>
        <v/>
      </c>
      <c r="FC98" s="1091" t="str">
        <f t="shared" si="977"/>
        <v/>
      </c>
      <c r="FD98" s="1147">
        <f t="shared" si="616"/>
        <v>-1666</v>
      </c>
      <c r="FE98" s="1091">
        <f t="shared" si="94"/>
        <v>-1</v>
      </c>
      <c r="FF98" s="1147">
        <f t="shared" si="617"/>
        <v>-1666</v>
      </c>
      <c r="FG98" s="1091">
        <f t="shared" si="96"/>
        <v>-1</v>
      </c>
      <c r="FH98" s="1146">
        <f t="shared" si="923"/>
        <v>4998</v>
      </c>
      <c r="FI98" s="1091">
        <f t="shared" si="829"/>
        <v>0.0004165</v>
      </c>
      <c r="FJ98" s="1091">
        <f t="shared" si="978"/>
        <v>0.08849933599</v>
      </c>
      <c r="FK98" s="1147">
        <f t="shared" si="621"/>
        <v>4998</v>
      </c>
      <c r="FL98" s="1091">
        <f t="shared" si="830"/>
        <v>0.0002758278164</v>
      </c>
      <c r="FM98" s="1091">
        <f t="shared" si="979"/>
        <v>0.08849933599</v>
      </c>
      <c r="FN98" s="1147">
        <f t="shared" si="624"/>
        <v>0</v>
      </c>
      <c r="FO98" s="1091" t="str">
        <f t="shared" si="831"/>
        <v/>
      </c>
      <c r="FP98" s="1091" t="str">
        <f t="shared" si="980"/>
        <v/>
      </c>
      <c r="FQ98" s="1147">
        <f t="shared" si="627"/>
        <v>-4998</v>
      </c>
      <c r="FR98" s="1091">
        <f t="shared" si="104"/>
        <v>-1</v>
      </c>
      <c r="FS98" s="1147">
        <f t="shared" si="628"/>
        <v>-4998</v>
      </c>
      <c r="FT98" s="1091">
        <f t="shared" si="106"/>
        <v>-1</v>
      </c>
      <c r="FU98" s="1146">
        <f>SUMIFS(BP_SOTIEN,BP_THANG,FU$2,BP_KM,$E98)/1000</f>
        <v>1666</v>
      </c>
      <c r="FV98" s="1091">
        <f t="shared" si="832"/>
        <v>0.0004165</v>
      </c>
      <c r="FW98" s="1091"/>
      <c r="FX98" s="1147">
        <f>IF(NOW()&gt;=DATE(YEAR(FU$2),MONTH(FU$2)+1,DAY(FU$2)),SUMIFS(TF_SOTIEN,TF_THANG,FU$2,TF_KM,$E98)/1000, GA98)</f>
        <v>1666</v>
      </c>
      <c r="FY98" s="1091">
        <f t="shared" si="833"/>
        <v>0.0002758278164</v>
      </c>
      <c r="FZ98" s="1091"/>
      <c r="GA98" s="1147">
        <f>IF(NOW()&gt;=DATE(YEAR(FU$2),MONTH(FU$2)+1,DAY(FU$2)),SUMIFS(AC_SOTIEN,AC_THANG,FU$2,AC_KM,$E98),SUMIFS(TF_SOTIEN,TF_THANG,FU$2,TF_KM,$E98))/ 1000</f>
        <v>0</v>
      </c>
      <c r="GB98" s="1091" t="str">
        <f t="shared" si="834"/>
        <v/>
      </c>
      <c r="GC98" s="1091" t="str">
        <f t="shared" si="981"/>
        <v/>
      </c>
      <c r="GD98" s="1147">
        <f t="shared" si="635"/>
        <v>-1666</v>
      </c>
      <c r="GE98" s="1091">
        <f t="shared" si="111"/>
        <v>-1</v>
      </c>
      <c r="GF98" s="1147">
        <f t="shared" si="636"/>
        <v>-1666</v>
      </c>
      <c r="GG98" s="1091">
        <f t="shared" si="113"/>
        <v>-1</v>
      </c>
      <c r="GH98" s="1146">
        <f>SUMIFS(BP_SOTIEN,BP_THANG,GH$2,BP_KM,$E98)/1000</f>
        <v>1666</v>
      </c>
      <c r="GI98" s="1091">
        <f t="shared" si="835"/>
        <v>0.0004165</v>
      </c>
      <c r="GJ98" s="1091"/>
      <c r="GK98" s="1147">
        <f>IF(NOW()&gt;=DATE(YEAR(GH$2),MONTH(GH$2)+1,DAY(GH$2)),SUMIFS(TF_SOTIEN,TF_THANG,GH$2,TF_KM,$E98)/1000, GN98)</f>
        <v>1666</v>
      </c>
      <c r="GL98" s="1091">
        <f t="shared" si="836"/>
        <v>0.0002758278164</v>
      </c>
      <c r="GM98" s="1091"/>
      <c r="GN98" s="1147">
        <f>IF(NOW()&gt;=DATE(YEAR(GH$2),MONTH(GH$2)+1,DAY(GH$2)),SUMIFS(AC_SOTIEN,AC_THANG,GH$2,AC_KM,$E98),SUMIFS(TF_SOTIEN,TF_THANG,GH$2,TF_KM,$E98))/ 1000</f>
        <v>0</v>
      </c>
      <c r="GO98" s="1091" t="str">
        <f t="shared" si="837"/>
        <v/>
      </c>
      <c r="GP98" s="1091" t="str">
        <f t="shared" si="982"/>
        <v/>
      </c>
      <c r="GQ98" s="1147">
        <f t="shared" si="643"/>
        <v>-1666</v>
      </c>
      <c r="GR98" s="1091">
        <f t="shared" si="118"/>
        <v>-1</v>
      </c>
      <c r="GS98" s="1147">
        <f t="shared" si="644"/>
        <v>-1666</v>
      </c>
      <c r="GT98" s="1091">
        <f t="shared" si="120"/>
        <v>-1</v>
      </c>
      <c r="GU98" s="1146">
        <f>SUMIFS(BP_SOTIEN,BP_THANG,GU$2,BP_KM,$E98)/1000</f>
        <v>1666</v>
      </c>
      <c r="GV98" s="1091">
        <f t="shared" si="838"/>
        <v>0.0004165</v>
      </c>
      <c r="GW98" s="1091"/>
      <c r="GX98" s="1147">
        <f>IF(NOW()&gt;=DATE(YEAR(GU$2),MONTH(GU$2)+1,DAY(GU$2)),SUMIFS(TF_SOTIEN,TF_THANG,GU$2,TF_KM,$E98)/1000, HA98)</f>
        <v>1666</v>
      </c>
      <c r="GY98" s="1091">
        <f t="shared" si="839"/>
        <v>0.0002758278164</v>
      </c>
      <c r="GZ98" s="1091"/>
      <c r="HA98" s="1147">
        <f>IF(NOW()&gt;=DATE(YEAR(GU$2),MONTH(GU$2)+1,DAY(GU$2)),SUMIFS(AC_SOTIEN,AC_THANG,GU$2,AC_KM,$E98),SUMIFS(TF_SOTIEN,TF_THANG,GU$2,TF_KM,$E98))/ 1000</f>
        <v>0</v>
      </c>
      <c r="HB98" s="1091" t="str">
        <f t="shared" si="840"/>
        <v/>
      </c>
      <c r="HC98" s="1091" t="str">
        <f t="shared" si="983"/>
        <v/>
      </c>
      <c r="HD98" s="1147">
        <f t="shared" si="651"/>
        <v>-1666</v>
      </c>
      <c r="HE98" s="1091">
        <f t="shared" si="125"/>
        <v>-1</v>
      </c>
      <c r="HF98" s="1147">
        <f t="shared" si="652"/>
        <v>-1666</v>
      </c>
      <c r="HG98" s="1091">
        <f t="shared" si="127"/>
        <v>-1</v>
      </c>
      <c r="HH98" s="1146">
        <f t="shared" si="924"/>
        <v>4998</v>
      </c>
      <c r="HI98" s="1091">
        <f t="shared" si="841"/>
        <v>0.0004165</v>
      </c>
      <c r="HJ98" s="1091">
        <f t="shared" si="984"/>
        <v>0.08849933599</v>
      </c>
      <c r="HK98" s="1147">
        <f t="shared" si="656"/>
        <v>4998</v>
      </c>
      <c r="HL98" s="1091">
        <f t="shared" si="842"/>
        <v>0.0002758278164</v>
      </c>
      <c r="HM98" s="1091">
        <f t="shared" si="985"/>
        <v>0.08849933599</v>
      </c>
      <c r="HN98" s="1147">
        <f t="shared" si="659"/>
        <v>0</v>
      </c>
      <c r="HO98" s="1091" t="str">
        <f t="shared" si="843"/>
        <v/>
      </c>
      <c r="HP98" s="1091" t="str">
        <f t="shared" si="986"/>
        <v/>
      </c>
      <c r="HQ98" s="1147">
        <f t="shared" si="662"/>
        <v>-4998</v>
      </c>
      <c r="HR98" s="1091">
        <f t="shared" si="135"/>
        <v>-1</v>
      </c>
      <c r="HS98" s="1147">
        <f t="shared" si="663"/>
        <v>-4998</v>
      </c>
      <c r="HT98" s="1091">
        <f t="shared" si="137"/>
        <v>-1</v>
      </c>
      <c r="HU98" s="1146">
        <f t="shared" si="925"/>
        <v>9996</v>
      </c>
      <c r="HV98" s="1091">
        <f t="shared" si="844"/>
        <v>0.0004165</v>
      </c>
      <c r="HW98" s="1091">
        <f t="shared" si="987"/>
        <v>0.08849933599</v>
      </c>
      <c r="HX98" s="1147">
        <f t="shared" si="667"/>
        <v>9996</v>
      </c>
      <c r="HY98" s="1091">
        <f t="shared" si="845"/>
        <v>0.0002758278164</v>
      </c>
      <c r="HZ98" s="1091">
        <f t="shared" si="988"/>
        <v>0.08849933599</v>
      </c>
      <c r="IA98" s="1147">
        <f t="shared" si="670"/>
        <v>0</v>
      </c>
      <c r="IB98" s="1091" t="str">
        <f t="shared" si="846"/>
        <v/>
      </c>
      <c r="IC98" s="1091" t="str">
        <f t="shared" si="989"/>
        <v/>
      </c>
      <c r="ID98" s="1147">
        <f t="shared" si="673"/>
        <v>-9996</v>
      </c>
      <c r="IE98" s="1091">
        <f t="shared" si="145"/>
        <v>-1</v>
      </c>
      <c r="IF98" s="1147">
        <f t="shared" si="674"/>
        <v>-9996</v>
      </c>
      <c r="IG98" s="1091">
        <f t="shared" si="147"/>
        <v>-1</v>
      </c>
      <c r="IH98" s="1146">
        <f t="shared" si="926"/>
        <v>19992</v>
      </c>
      <c r="II98" s="1091">
        <f t="shared" si="847"/>
        <v>0.0005553333333</v>
      </c>
      <c r="IJ98" s="1091">
        <f t="shared" si="990"/>
        <v>0.08733944954</v>
      </c>
      <c r="IK98" s="1147">
        <f t="shared" si="678"/>
        <v>14994</v>
      </c>
      <c r="IL98" s="1091">
        <f t="shared" si="848"/>
        <v>0.0003616981468</v>
      </c>
      <c r="IM98" s="1091">
        <f t="shared" si="991"/>
        <v>0.0696044343</v>
      </c>
      <c r="IN98" s="1147">
        <f t="shared" si="681"/>
        <v>0</v>
      </c>
      <c r="IO98" s="1091">
        <f t="shared" si="849"/>
        <v>0</v>
      </c>
      <c r="IP98" s="1091">
        <f t="shared" si="992"/>
        <v>0</v>
      </c>
      <c r="IQ98" s="1147">
        <f t="shared" si="684"/>
        <v>-19992</v>
      </c>
      <c r="IR98" s="1091">
        <f t="shared" si="1"/>
        <v>-1</v>
      </c>
      <c r="IS98" s="1147">
        <f t="shared" si="685"/>
        <v>-14994</v>
      </c>
      <c r="IT98" s="1091">
        <f t="shared" si="2"/>
        <v>-1</v>
      </c>
    </row>
    <row r="99" outlineLevel="1">
      <c r="A99" s="737"/>
      <c r="B99" s="737"/>
      <c r="C99" s="737"/>
      <c r="D99" s="737" t="s">
        <v>2860</v>
      </c>
      <c r="E99" s="737" t="s">
        <v>413</v>
      </c>
      <c r="F99" s="737"/>
      <c r="G99" s="748">
        <v>3.0</v>
      </c>
      <c r="H99" s="1146">
        <f>SUMIFS(BP_SOTIEN,BP_THANG,H$2,BP_KM,$E99)/1000</f>
        <v>0</v>
      </c>
      <c r="I99" s="1091" t="str">
        <f t="shared" si="791"/>
        <v/>
      </c>
      <c r="J99" s="1091"/>
      <c r="K99" s="1147">
        <f>IF(NOW()&gt;=DATE(YEAR(H$2),MONTH(H$2)+1,DAY(H$2)),SUMIFS(TF_SOTIEN,TF_THANG,H$2,TF_KM,$E99)/1000, N99)</f>
        <v>0</v>
      </c>
      <c r="L99" s="1091">
        <f t="shared" si="792"/>
        <v>0</v>
      </c>
      <c r="M99" s="1091"/>
      <c r="N99" s="1147">
        <f>IF(NOW()&gt;=DATE(YEAR(H$2),MONTH(H$2)+1,DAY(H$2)),SUMIFS(AC_SOTIEN,AC_THANG,H$2,AC_KM,$E99),SUMIFS(TF_SOTIEN,TF_THANG,H$2,TF_KM,$E99))/ 1000</f>
        <v>0</v>
      </c>
      <c r="O99" s="1091">
        <f t="shared" si="793"/>
        <v>0</v>
      </c>
      <c r="P99" s="1091">
        <f t="shared" si="960"/>
        <v>0</v>
      </c>
      <c r="Q99" s="1147">
        <f t="shared" si="518"/>
        <v>0</v>
      </c>
      <c r="R99" s="1091" t="str">
        <f t="shared" si="8"/>
        <v/>
      </c>
      <c r="S99" s="1147">
        <f t="shared" si="519"/>
        <v>0</v>
      </c>
      <c r="T99" s="1091" t="str">
        <f t="shared" si="10"/>
        <v/>
      </c>
      <c r="U99" s="1146">
        <f>SUMIFS(BP_SOTIEN,BP_THANG,U$2,BP_KM,$E99)/1000</f>
        <v>0</v>
      </c>
      <c r="V99" s="1091" t="str">
        <f t="shared" si="794"/>
        <v/>
      </c>
      <c r="W99" s="1091"/>
      <c r="X99" s="1147">
        <f>IF(NOW()&gt;=DATE(YEAR(U$2),MONTH(U$2)+1,DAY(U$2)),SUMIFS(TF_SOTIEN,TF_THANG,U$2,TF_KM,$E99)/1000, AA99)</f>
        <v>1830</v>
      </c>
      <c r="Y99" s="1091" t="str">
        <f t="shared" si="795"/>
        <v/>
      </c>
      <c r="Z99" s="1091"/>
      <c r="AA99" s="1147">
        <f>IF(NOW()&gt;=DATE(YEAR(U$2),MONTH(U$2)+1,DAY(U$2)),SUMIFS(AC_SOTIEN,AC_THANG,U$2,AC_KM,$E99),SUMIFS(TF_SOTIEN,TF_THANG,U$2,TF_KM,$E99))/ 1000</f>
        <v>1830</v>
      </c>
      <c r="AB99" s="1091">
        <f t="shared" si="796"/>
        <v>0.01016666667</v>
      </c>
      <c r="AC99" s="1091">
        <f t="shared" si="961"/>
        <v>0.1771650513</v>
      </c>
      <c r="AD99" s="1147">
        <f t="shared" si="526"/>
        <v>1830</v>
      </c>
      <c r="AE99" s="1091" t="str">
        <f t="shared" si="15"/>
        <v/>
      </c>
      <c r="AF99" s="1147">
        <f t="shared" si="527"/>
        <v>0</v>
      </c>
      <c r="AG99" s="1091">
        <f t="shared" si="17"/>
        <v>0</v>
      </c>
      <c r="AH99" s="1146">
        <f>SUMIFS(BP_SOTIEN,BP_THANG,AH$2,BP_KM,$E99)/1000</f>
        <v>0</v>
      </c>
      <c r="AI99" s="1091" t="str">
        <f t="shared" si="797"/>
        <v/>
      </c>
      <c r="AJ99" s="1091"/>
      <c r="AK99" s="1147">
        <f>IF(NOW()&gt;=DATE(YEAR(AH$2),MONTH(AH$2)+1,DAY(AH$2)),SUMIFS(TF_SOTIEN,TF_THANG,AH$2,TF_KM,$E99)/1000, AN99)</f>
        <v>1830</v>
      </c>
      <c r="AL99" s="1091">
        <f t="shared" si="798"/>
        <v>0.0005083333333</v>
      </c>
      <c r="AM99" s="1091"/>
      <c r="AN99" s="1147">
        <f>IF(NOW()&gt;=DATE(YEAR(AH$2),MONTH(AH$2)+1,DAY(AH$2)),SUMIFS(AC_SOTIEN,AC_THANG,AH$2,AC_KM,$E99),SUMIFS(TF_SOTIEN,TF_THANG,AH$2,TF_KM,$E99))/ 1000</f>
        <v>500.001</v>
      </c>
      <c r="AO99" s="1091">
        <f t="shared" si="799"/>
        <v>0.000748504491</v>
      </c>
      <c r="AP99" s="1091">
        <f t="shared" si="962"/>
        <v>0.02773614283</v>
      </c>
      <c r="AQ99" s="1147">
        <f t="shared" si="534"/>
        <v>500.001</v>
      </c>
      <c r="AR99" s="1091" t="str">
        <f t="shared" si="22"/>
        <v/>
      </c>
      <c r="AS99" s="1147">
        <f t="shared" si="535"/>
        <v>-1329.999</v>
      </c>
      <c r="AT99" s="1091">
        <f t="shared" si="24"/>
        <v>-0.7267754098</v>
      </c>
      <c r="AU99" s="1146">
        <f t="shared" si="916"/>
        <v>0</v>
      </c>
      <c r="AV99" s="1091" t="str">
        <f t="shared" si="800"/>
        <v/>
      </c>
      <c r="AW99" s="1091">
        <f t="shared" si="963"/>
        <v>0</v>
      </c>
      <c r="AX99" s="1147">
        <f t="shared" si="917"/>
        <v>3660</v>
      </c>
      <c r="AY99" s="1091">
        <f t="shared" si="801"/>
        <v>0.0009838709677</v>
      </c>
      <c r="AZ99" s="1091">
        <f t="shared" si="964"/>
        <v>0.07946157186</v>
      </c>
      <c r="BA99" s="1147">
        <f t="shared" si="918"/>
        <v>2330.001</v>
      </c>
      <c r="BB99" s="1091">
        <f t="shared" si="802"/>
        <v>0.001961280303</v>
      </c>
      <c r="BC99" s="1091">
        <f t="shared" si="965"/>
        <v>0.06047521507</v>
      </c>
      <c r="BD99" s="1147">
        <f t="shared" si="545"/>
        <v>2330.001</v>
      </c>
      <c r="BE99" s="1091" t="str">
        <f t="shared" si="32"/>
        <v/>
      </c>
      <c r="BF99" s="1147">
        <f t="shared" si="546"/>
        <v>-1329.999</v>
      </c>
      <c r="BG99" s="1091">
        <f t="shared" si="34"/>
        <v>-0.3633877049</v>
      </c>
      <c r="BH99" s="1146">
        <f>SUMIFS(BP_SOTIEN,BP_THANG,BH$2,BP_KM,$E99)/1000</f>
        <v>0</v>
      </c>
      <c r="BI99" s="1091">
        <f t="shared" si="803"/>
        <v>0</v>
      </c>
      <c r="BJ99" s="1091"/>
      <c r="BK99" s="1147">
        <f>IF(NOW()&gt;=DATE(YEAR(BH$2),MONTH(BH$2)+1,DAY(BH$2)),SUMIFS(TF_SOTIEN,TF_THANG,BH$2,TF_KM,$E99)/1000, BN99)</f>
        <v>1830</v>
      </c>
      <c r="BL99" s="1091" t="str">
        <f t="shared" si="804"/>
        <v/>
      </c>
      <c r="BM99" s="1091"/>
      <c r="BN99" s="1147">
        <f>IF(NOW()&gt;=DATE(YEAR(BH$2),MONTH(BH$2)+1,DAY(BH$2)),SUMIFS(AC_SOTIEN,AC_THANG,BH$2,AC_KM,$E99),SUMIFS(TF_SOTIEN,TF_THANG,BH$2,TF_KM,$E99))/ 1000</f>
        <v>0</v>
      </c>
      <c r="BO99" s="1091">
        <f t="shared" si="805"/>
        <v>0</v>
      </c>
      <c r="BP99" s="1091">
        <f t="shared" si="966"/>
        <v>0</v>
      </c>
      <c r="BQ99" s="1147">
        <f t="shared" si="553"/>
        <v>0</v>
      </c>
      <c r="BR99" s="1091" t="str">
        <f t="shared" si="39"/>
        <v/>
      </c>
      <c r="BS99" s="1147">
        <f t="shared" si="554"/>
        <v>-1830</v>
      </c>
      <c r="BT99" s="1091">
        <f t="shared" si="41"/>
        <v>-1</v>
      </c>
      <c r="BU99" s="1146">
        <f>SUMIFS(BP_SOTIEN,BP_THANG,BU$2,BP_KM,$E99)/1000</f>
        <v>0</v>
      </c>
      <c r="BV99" s="1091">
        <f t="shared" si="806"/>
        <v>0</v>
      </c>
      <c r="BW99" s="1091"/>
      <c r="BX99" s="1147">
        <f>IF(NOW()&gt;=DATE(YEAR(BU$2),MONTH(BU$2)+1,DAY(BU$2)),SUMIFS(TF_SOTIEN,TF_THANG,BU$2,TF_KM,$E99)/1000, CA99)</f>
        <v>0</v>
      </c>
      <c r="BY99" s="1091">
        <f t="shared" si="807"/>
        <v>0</v>
      </c>
      <c r="BZ99" s="1091"/>
      <c r="CA99" s="1147">
        <f>IF(NOW()&gt;=DATE(YEAR(BU$2),MONTH(BU$2)+1,DAY(BU$2)),SUMIFS(AC_SOTIEN,AC_THANG,BU$2,AC_KM,$E99),SUMIFS(TF_SOTIEN,TF_THANG,BU$2,TF_KM,$E99))/ 1000</f>
        <v>3050</v>
      </c>
      <c r="CB99" s="1091">
        <f t="shared" si="808"/>
        <v>0.005489837501</v>
      </c>
      <c r="CC99" s="1091">
        <f t="shared" si="967"/>
        <v>0.1685769754</v>
      </c>
      <c r="CD99" s="1147">
        <f t="shared" si="561"/>
        <v>3050</v>
      </c>
      <c r="CE99" s="1091" t="str">
        <f t="shared" si="46"/>
        <v/>
      </c>
      <c r="CF99" s="1147">
        <f t="shared" si="562"/>
        <v>3050</v>
      </c>
      <c r="CG99" s="1091" t="str">
        <f t="shared" si="48"/>
        <v/>
      </c>
      <c r="CH99" s="1146">
        <f>SUMIFS(BP_SOTIEN,BP_THANG,CH$2,BP_KM,$E99)/1000</f>
        <v>0</v>
      </c>
      <c r="CI99" s="1091">
        <f t="shared" si="809"/>
        <v>0</v>
      </c>
      <c r="CJ99" s="1091"/>
      <c r="CK99" s="1147">
        <f>IF(NOW()&gt;=DATE(YEAR(CH$2),MONTH(CH$2)+1,DAY(CH$2)),SUMIFS(TF_SOTIEN,TF_THANG,CH$2,TF_KM,$E99)/1000, CN99)</f>
        <v>0</v>
      </c>
      <c r="CL99" s="1091" t="str">
        <f t="shared" si="810"/>
        <v/>
      </c>
      <c r="CM99" s="1091"/>
      <c r="CN99" s="1147">
        <f>IF(NOW()&gt;=DATE(YEAR(CH$2),MONTH(CH$2)+1,DAY(CH$2)),SUMIFS(AC_SOTIEN,AC_THANG,CH$2,AC_KM,$E99),SUMIFS(TF_SOTIEN,TF_THANG,CH$2,TF_KM,$E99))/ 1000</f>
        <v>0</v>
      </c>
      <c r="CO99" s="1091" t="str">
        <f t="shared" si="811"/>
        <v/>
      </c>
      <c r="CP99" s="1091" t="str">
        <f t="shared" si="968"/>
        <v/>
      </c>
      <c r="CQ99" s="1147">
        <f t="shared" si="569"/>
        <v>0</v>
      </c>
      <c r="CR99" s="1091" t="str">
        <f t="shared" si="53"/>
        <v/>
      </c>
      <c r="CS99" s="1147">
        <f t="shared" si="570"/>
        <v>0</v>
      </c>
      <c r="CT99" s="1091" t="str">
        <f t="shared" si="55"/>
        <v/>
      </c>
      <c r="CU99" s="1146">
        <f t="shared" si="919"/>
        <v>0</v>
      </c>
      <c r="CV99" s="1091">
        <f t="shared" si="812"/>
        <v>0</v>
      </c>
      <c r="CW99" s="1091">
        <f t="shared" si="969"/>
        <v>0</v>
      </c>
      <c r="CX99" s="1147">
        <f t="shared" si="920"/>
        <v>1830</v>
      </c>
      <c r="CY99" s="1091">
        <f t="shared" si="814"/>
        <v>0.001224525454</v>
      </c>
      <c r="CZ99" s="1091">
        <f t="shared" si="970"/>
        <v>0.03244260363</v>
      </c>
      <c r="DA99" s="1147">
        <f t="shared" si="921"/>
        <v>3050</v>
      </c>
      <c r="DB99" s="1091">
        <f t="shared" si="816"/>
        <v>0.0009662258143</v>
      </c>
      <c r="DC99" s="1091">
        <f t="shared" si="971"/>
        <v>0.08597574621</v>
      </c>
      <c r="DD99" s="1147">
        <f t="shared" si="580"/>
        <v>3050</v>
      </c>
      <c r="DE99" s="1091" t="str">
        <f t="shared" si="63"/>
        <v/>
      </c>
      <c r="DF99" s="1147">
        <f t="shared" si="581"/>
        <v>1220</v>
      </c>
      <c r="DG99" s="1091">
        <f t="shared" si="65"/>
        <v>0.6666666667</v>
      </c>
      <c r="DH99" s="1146">
        <f t="shared" si="922"/>
        <v>0</v>
      </c>
      <c r="DI99" s="1091">
        <f t="shared" si="817"/>
        <v>0</v>
      </c>
      <c r="DJ99" s="1091">
        <f t="shared" si="972"/>
        <v>0</v>
      </c>
      <c r="DK99" s="1147">
        <f t="shared" si="585"/>
        <v>5490</v>
      </c>
      <c r="DL99" s="1091">
        <f t="shared" si="818"/>
        <v>0.001052842232</v>
      </c>
      <c r="DM99" s="1091">
        <f t="shared" si="973"/>
        <v>0.05357806309</v>
      </c>
      <c r="DN99" s="1147">
        <f t="shared" si="588"/>
        <v>5380.001</v>
      </c>
      <c r="DO99" s="1091">
        <f t="shared" si="819"/>
        <v>0.001238315642</v>
      </c>
      <c r="DP99" s="1091">
        <f t="shared" si="974"/>
        <v>0.07269945653</v>
      </c>
      <c r="DQ99" s="1147">
        <f t="shared" si="591"/>
        <v>5380.001</v>
      </c>
      <c r="DR99" s="1091" t="str">
        <f t="shared" si="73"/>
        <v/>
      </c>
      <c r="DS99" s="1147">
        <f t="shared" si="592"/>
        <v>-109.999</v>
      </c>
      <c r="DT99" s="1091">
        <f t="shared" si="75"/>
        <v>-0.02003624772</v>
      </c>
      <c r="DU99" s="1146">
        <f>SUMIFS(BP_SOTIEN,BP_THANG,DU$2,BP_KM,$E99)/1000</f>
        <v>0</v>
      </c>
      <c r="DV99" s="1091">
        <f t="shared" si="820"/>
        <v>0</v>
      </c>
      <c r="DW99" s="1091"/>
      <c r="DX99" s="1147">
        <f>IF(NOW()&gt;=DATE(YEAR(DU$2),MONTH(DU$2)+1,DAY(DU$2)),SUMIFS(TF_SOTIEN,TF_THANG,DU$2,TF_KM,$E99)/1000, EA99)</f>
        <v>0</v>
      </c>
      <c r="DY99" s="1091">
        <f t="shared" si="821"/>
        <v>0</v>
      </c>
      <c r="DZ99" s="1091"/>
      <c r="EA99" s="1147">
        <f>IF(NOW()&gt;=DATE(YEAR(DU$2),MONTH(DU$2)+1,DAY(DU$2)),SUMIFS(AC_SOTIEN,AC_THANG,DU$2,AC_KM,$E99),SUMIFS(TF_SOTIEN,TF_THANG,DU$2,TF_KM,$E99))/ 1000</f>
        <v>0</v>
      </c>
      <c r="EB99" s="1091" t="str">
        <f t="shared" si="822"/>
        <v/>
      </c>
      <c r="EC99" s="1091" t="str">
        <f t="shared" si="975"/>
        <v/>
      </c>
      <c r="ED99" s="1147">
        <f t="shared" si="599"/>
        <v>0</v>
      </c>
      <c r="EE99" s="1091" t="str">
        <f t="shared" si="80"/>
        <v/>
      </c>
      <c r="EF99" s="1147">
        <f t="shared" si="600"/>
        <v>0</v>
      </c>
      <c r="EG99" s="1091" t="str">
        <f t="shared" si="82"/>
        <v/>
      </c>
      <c r="EH99" s="1146">
        <f>SUMIFS(BP_SOTIEN,BP_THANG,EH$2,BP_KM,$E99)/1000</f>
        <v>0</v>
      </c>
      <c r="EI99" s="1091">
        <f t="shared" si="823"/>
        <v>0</v>
      </c>
      <c r="EJ99" s="1091"/>
      <c r="EK99" s="1147">
        <f>IF(NOW()&gt;=DATE(YEAR(EH$2),MONTH(EH$2)+1,DAY(EH$2)),SUMIFS(TF_SOTIEN,TF_THANG,EH$2,TF_KM,$E99)/1000, EN99)</f>
        <v>0</v>
      </c>
      <c r="EL99" s="1091">
        <f t="shared" si="824"/>
        <v>0</v>
      </c>
      <c r="EM99" s="1091"/>
      <c r="EN99" s="1147">
        <f>IF(NOW()&gt;=DATE(YEAR(EH$2),MONTH(EH$2)+1,DAY(EH$2)),SUMIFS(AC_SOTIEN,AC_THANG,EH$2,AC_KM,$E99),SUMIFS(TF_SOTIEN,TF_THANG,EH$2,TF_KM,$E99))/ 1000</f>
        <v>0</v>
      </c>
      <c r="EO99" s="1091" t="str">
        <f t="shared" si="825"/>
        <v/>
      </c>
      <c r="EP99" s="1091" t="str">
        <f t="shared" si="976"/>
        <v/>
      </c>
      <c r="EQ99" s="1147">
        <f t="shared" si="607"/>
        <v>0</v>
      </c>
      <c r="ER99" s="1091" t="str">
        <f t="shared" si="87"/>
        <v/>
      </c>
      <c r="ES99" s="1147">
        <f t="shared" si="608"/>
        <v>0</v>
      </c>
      <c r="ET99" s="1091" t="str">
        <f t="shared" si="89"/>
        <v/>
      </c>
      <c r="EU99" s="1146">
        <f>SUMIFS(BP_SOTIEN,BP_THANG,EU$2,BP_KM,$E99)/1000</f>
        <v>0</v>
      </c>
      <c r="EV99" s="1091">
        <f t="shared" si="826"/>
        <v>0</v>
      </c>
      <c r="EW99" s="1091"/>
      <c r="EX99" s="1147">
        <f>IF(NOW()&gt;=DATE(YEAR(EU$2),MONTH(EU$2)+1,DAY(EU$2)),SUMIFS(TF_SOTIEN,TF_THANG,EU$2,TF_KM,$E99)/1000, FA99)</f>
        <v>0</v>
      </c>
      <c r="EY99" s="1091">
        <f t="shared" si="827"/>
        <v>0</v>
      </c>
      <c r="EZ99" s="1091"/>
      <c r="FA99" s="1147">
        <f>IF(NOW()&gt;=DATE(YEAR(EU$2),MONTH(EU$2)+1,DAY(EU$2)),SUMIFS(AC_SOTIEN,AC_THANG,EU$2,AC_KM,$E99),SUMIFS(TF_SOTIEN,TF_THANG,EU$2,TF_KM,$E99))/ 1000</f>
        <v>0</v>
      </c>
      <c r="FB99" s="1091" t="str">
        <f t="shared" si="828"/>
        <v/>
      </c>
      <c r="FC99" s="1091" t="str">
        <f t="shared" si="977"/>
        <v/>
      </c>
      <c r="FD99" s="1147">
        <f t="shared" si="616"/>
        <v>0</v>
      </c>
      <c r="FE99" s="1091" t="str">
        <f t="shared" si="94"/>
        <v/>
      </c>
      <c r="FF99" s="1147">
        <f t="shared" si="617"/>
        <v>0</v>
      </c>
      <c r="FG99" s="1091" t="str">
        <f t="shared" si="96"/>
        <v/>
      </c>
      <c r="FH99" s="1146">
        <f t="shared" si="923"/>
        <v>0</v>
      </c>
      <c r="FI99" s="1091">
        <f t="shared" si="829"/>
        <v>0</v>
      </c>
      <c r="FJ99" s="1091">
        <f t="shared" si="978"/>
        <v>0</v>
      </c>
      <c r="FK99" s="1147">
        <f t="shared" si="621"/>
        <v>0</v>
      </c>
      <c r="FL99" s="1091">
        <f t="shared" si="830"/>
        <v>0</v>
      </c>
      <c r="FM99" s="1091">
        <f t="shared" si="979"/>
        <v>0</v>
      </c>
      <c r="FN99" s="1147">
        <f t="shared" si="624"/>
        <v>0</v>
      </c>
      <c r="FO99" s="1091" t="str">
        <f t="shared" si="831"/>
        <v/>
      </c>
      <c r="FP99" s="1091" t="str">
        <f t="shared" si="980"/>
        <v/>
      </c>
      <c r="FQ99" s="1147">
        <f t="shared" si="627"/>
        <v>0</v>
      </c>
      <c r="FR99" s="1091" t="str">
        <f t="shared" si="104"/>
        <v/>
      </c>
      <c r="FS99" s="1147">
        <f t="shared" si="628"/>
        <v>0</v>
      </c>
      <c r="FT99" s="1091" t="str">
        <f t="shared" si="106"/>
        <v/>
      </c>
      <c r="FU99" s="1146">
        <f>SUMIFS(BP_SOTIEN,BP_THANG,FU$2,BP_KM,$E99)/1000</f>
        <v>0</v>
      </c>
      <c r="FV99" s="1091">
        <f t="shared" si="832"/>
        <v>0</v>
      </c>
      <c r="FW99" s="1091"/>
      <c r="FX99" s="1147">
        <f>IF(NOW()&gt;=DATE(YEAR(FU$2),MONTH(FU$2)+1,DAY(FU$2)),SUMIFS(TF_SOTIEN,TF_THANG,FU$2,TF_KM,$E99)/1000, GA99)</f>
        <v>0</v>
      </c>
      <c r="FY99" s="1091">
        <f t="shared" si="833"/>
        <v>0</v>
      </c>
      <c r="FZ99" s="1091"/>
      <c r="GA99" s="1147">
        <f>IF(NOW()&gt;=DATE(YEAR(FU$2),MONTH(FU$2)+1,DAY(FU$2)),SUMIFS(AC_SOTIEN,AC_THANG,FU$2,AC_KM,$E99),SUMIFS(TF_SOTIEN,TF_THANG,FU$2,TF_KM,$E99))/ 1000</f>
        <v>0</v>
      </c>
      <c r="GB99" s="1091" t="str">
        <f t="shared" si="834"/>
        <v/>
      </c>
      <c r="GC99" s="1091" t="str">
        <f t="shared" si="981"/>
        <v/>
      </c>
      <c r="GD99" s="1147">
        <f t="shared" si="635"/>
        <v>0</v>
      </c>
      <c r="GE99" s="1091" t="str">
        <f t="shared" si="111"/>
        <v/>
      </c>
      <c r="GF99" s="1147">
        <f t="shared" si="636"/>
        <v>0</v>
      </c>
      <c r="GG99" s="1091" t="str">
        <f t="shared" si="113"/>
        <v/>
      </c>
      <c r="GH99" s="1146">
        <f>SUMIFS(BP_SOTIEN,BP_THANG,GH$2,BP_KM,$E99)/1000</f>
        <v>0</v>
      </c>
      <c r="GI99" s="1091">
        <f t="shared" si="835"/>
        <v>0</v>
      </c>
      <c r="GJ99" s="1091"/>
      <c r="GK99" s="1147">
        <f>IF(NOW()&gt;=DATE(YEAR(GH$2),MONTH(GH$2)+1,DAY(GH$2)),SUMIFS(TF_SOTIEN,TF_THANG,GH$2,TF_KM,$E99)/1000, GN99)</f>
        <v>0</v>
      </c>
      <c r="GL99" s="1091">
        <f t="shared" si="836"/>
        <v>0</v>
      </c>
      <c r="GM99" s="1091"/>
      <c r="GN99" s="1147">
        <f>IF(NOW()&gt;=DATE(YEAR(GH$2),MONTH(GH$2)+1,DAY(GH$2)),SUMIFS(AC_SOTIEN,AC_THANG,GH$2,AC_KM,$E99),SUMIFS(TF_SOTIEN,TF_THANG,GH$2,TF_KM,$E99))/ 1000</f>
        <v>0</v>
      </c>
      <c r="GO99" s="1091" t="str">
        <f t="shared" si="837"/>
        <v/>
      </c>
      <c r="GP99" s="1091" t="str">
        <f t="shared" si="982"/>
        <v/>
      </c>
      <c r="GQ99" s="1147">
        <f t="shared" si="643"/>
        <v>0</v>
      </c>
      <c r="GR99" s="1091" t="str">
        <f t="shared" si="118"/>
        <v/>
      </c>
      <c r="GS99" s="1147">
        <f t="shared" si="644"/>
        <v>0</v>
      </c>
      <c r="GT99" s="1091" t="str">
        <f t="shared" si="120"/>
        <v/>
      </c>
      <c r="GU99" s="1146">
        <f>SUMIFS(BP_SOTIEN,BP_THANG,GU$2,BP_KM,$E99)/1000</f>
        <v>0</v>
      </c>
      <c r="GV99" s="1091">
        <f t="shared" si="838"/>
        <v>0</v>
      </c>
      <c r="GW99" s="1091"/>
      <c r="GX99" s="1147">
        <f>IF(NOW()&gt;=DATE(YEAR(GU$2),MONTH(GU$2)+1,DAY(GU$2)),SUMIFS(TF_SOTIEN,TF_THANG,GU$2,TF_KM,$E99)/1000, HA99)</f>
        <v>0</v>
      </c>
      <c r="GY99" s="1091">
        <f t="shared" si="839"/>
        <v>0</v>
      </c>
      <c r="GZ99" s="1091"/>
      <c r="HA99" s="1147">
        <f>IF(NOW()&gt;=DATE(YEAR(GU$2),MONTH(GU$2)+1,DAY(GU$2)),SUMIFS(AC_SOTIEN,AC_THANG,GU$2,AC_KM,$E99),SUMIFS(TF_SOTIEN,TF_THANG,GU$2,TF_KM,$E99))/ 1000</f>
        <v>0</v>
      </c>
      <c r="HB99" s="1091" t="str">
        <f t="shared" si="840"/>
        <v/>
      </c>
      <c r="HC99" s="1091" t="str">
        <f t="shared" si="983"/>
        <v/>
      </c>
      <c r="HD99" s="1147">
        <f t="shared" si="651"/>
        <v>0</v>
      </c>
      <c r="HE99" s="1091" t="str">
        <f t="shared" si="125"/>
        <v/>
      </c>
      <c r="HF99" s="1147">
        <f t="shared" si="652"/>
        <v>0</v>
      </c>
      <c r="HG99" s="1091" t="str">
        <f t="shared" si="127"/>
        <v/>
      </c>
      <c r="HH99" s="1146">
        <f t="shared" si="924"/>
        <v>0</v>
      </c>
      <c r="HI99" s="1091">
        <f t="shared" si="841"/>
        <v>0</v>
      </c>
      <c r="HJ99" s="1091">
        <f t="shared" si="984"/>
        <v>0</v>
      </c>
      <c r="HK99" s="1147">
        <f t="shared" si="656"/>
        <v>0</v>
      </c>
      <c r="HL99" s="1091">
        <f t="shared" si="842"/>
        <v>0</v>
      </c>
      <c r="HM99" s="1091">
        <f t="shared" si="985"/>
        <v>0</v>
      </c>
      <c r="HN99" s="1147">
        <f t="shared" si="659"/>
        <v>0</v>
      </c>
      <c r="HO99" s="1091" t="str">
        <f t="shared" si="843"/>
        <v/>
      </c>
      <c r="HP99" s="1091" t="str">
        <f t="shared" si="986"/>
        <v/>
      </c>
      <c r="HQ99" s="1147">
        <f t="shared" si="662"/>
        <v>0</v>
      </c>
      <c r="HR99" s="1091" t="str">
        <f t="shared" si="135"/>
        <v/>
      </c>
      <c r="HS99" s="1147">
        <f t="shared" si="663"/>
        <v>0</v>
      </c>
      <c r="HT99" s="1091" t="str">
        <f t="shared" si="137"/>
        <v/>
      </c>
      <c r="HU99" s="1146">
        <f t="shared" si="925"/>
        <v>0</v>
      </c>
      <c r="HV99" s="1091">
        <f t="shared" si="844"/>
        <v>0</v>
      </c>
      <c r="HW99" s="1091">
        <f t="shared" si="987"/>
        <v>0</v>
      </c>
      <c r="HX99" s="1147">
        <f t="shared" si="667"/>
        <v>0</v>
      </c>
      <c r="HY99" s="1091">
        <f t="shared" si="845"/>
        <v>0</v>
      </c>
      <c r="HZ99" s="1091">
        <f t="shared" si="988"/>
        <v>0</v>
      </c>
      <c r="IA99" s="1147">
        <f t="shared" si="670"/>
        <v>0</v>
      </c>
      <c r="IB99" s="1091" t="str">
        <f t="shared" si="846"/>
        <v/>
      </c>
      <c r="IC99" s="1091" t="str">
        <f t="shared" si="989"/>
        <v/>
      </c>
      <c r="ID99" s="1147">
        <f t="shared" si="673"/>
        <v>0</v>
      </c>
      <c r="IE99" s="1091" t="str">
        <f t="shared" si="145"/>
        <v/>
      </c>
      <c r="IF99" s="1147">
        <f t="shared" si="674"/>
        <v>0</v>
      </c>
      <c r="IG99" s="1091" t="str">
        <f t="shared" si="147"/>
        <v/>
      </c>
      <c r="IH99" s="1146">
        <f t="shared" si="926"/>
        <v>0</v>
      </c>
      <c r="II99" s="1091">
        <f t="shared" si="847"/>
        <v>0</v>
      </c>
      <c r="IJ99" s="1091">
        <f t="shared" si="990"/>
        <v>0</v>
      </c>
      <c r="IK99" s="1147">
        <f t="shared" si="678"/>
        <v>5490</v>
      </c>
      <c r="IL99" s="1091">
        <f t="shared" si="848"/>
        <v>0.0001324344955</v>
      </c>
      <c r="IM99" s="1091">
        <f t="shared" si="991"/>
        <v>0.02548541712</v>
      </c>
      <c r="IN99" s="1147">
        <f t="shared" si="681"/>
        <v>5380.001</v>
      </c>
      <c r="IO99" s="1091">
        <f t="shared" si="849"/>
        <v>0.001238315642</v>
      </c>
      <c r="IP99" s="1091">
        <f t="shared" si="992"/>
        <v>0.07269945653</v>
      </c>
      <c r="IQ99" s="1147">
        <f t="shared" si="684"/>
        <v>5380.001</v>
      </c>
      <c r="IR99" s="1091" t="str">
        <f t="shared" si="1"/>
        <v/>
      </c>
      <c r="IS99" s="1147">
        <f t="shared" si="685"/>
        <v>-109.999</v>
      </c>
      <c r="IT99" s="1091">
        <f t="shared" si="2"/>
        <v>-0.02003624772</v>
      </c>
    </row>
    <row r="100" outlineLevel="1">
      <c r="A100" s="737"/>
      <c r="B100" s="737"/>
      <c r="C100" s="737"/>
      <c r="D100" s="737" t="s">
        <v>2861</v>
      </c>
      <c r="E100" s="737" t="s">
        <v>262</v>
      </c>
      <c r="F100" s="737"/>
      <c r="G100" s="748">
        <v>3.0</v>
      </c>
      <c r="H100" s="1146">
        <f>SUMIFS(BP_SOTIEN,BP_THANG,H$2,BP_KM,$E100)/1000</f>
        <v>833</v>
      </c>
      <c r="I100" s="1091" t="str">
        <f t="shared" si="791"/>
        <v/>
      </c>
      <c r="J100" s="1091"/>
      <c r="K100" s="1147">
        <f>IF(NOW()&gt;=DATE(YEAR(H$2),MONTH(H$2)+1,DAY(H$2)),SUMIFS(TF_SOTIEN,TF_THANG,H$2,TF_KM,$E100)/1000, N100)</f>
        <v>833</v>
      </c>
      <c r="L100" s="1091">
        <f t="shared" si="792"/>
        <v>0.006941666667</v>
      </c>
      <c r="M100" s="1091"/>
      <c r="N100" s="1147">
        <f>IF(NOW()&gt;=DATE(YEAR(H$2),MONTH(H$2)+1,DAY(H$2)),SUMIFS(AC_SOTIEN,AC_THANG,H$2,AC_KM,$E100),SUMIFS(TF_SOTIEN,TF_THANG,H$2,TF_KM,$E100))/ 1000</f>
        <v>1100.001</v>
      </c>
      <c r="O100" s="1091">
        <f t="shared" si="793"/>
        <v>0.003235297059</v>
      </c>
      <c r="P100" s="1091">
        <f t="shared" si="960"/>
        <v>0.108142323</v>
      </c>
      <c r="Q100" s="1147">
        <f t="shared" si="518"/>
        <v>267.001</v>
      </c>
      <c r="R100" s="1091">
        <f t="shared" si="8"/>
        <v>0.3205294118</v>
      </c>
      <c r="S100" s="1147">
        <f t="shared" si="519"/>
        <v>267.001</v>
      </c>
      <c r="T100" s="1091">
        <f t="shared" si="10"/>
        <v>0.3205294118</v>
      </c>
      <c r="U100" s="1146">
        <f>SUMIFS(BP_SOTIEN,BP_THANG,U$2,BP_KM,$E100)/1000</f>
        <v>833</v>
      </c>
      <c r="V100" s="1091" t="str">
        <f t="shared" si="794"/>
        <v/>
      </c>
      <c r="W100" s="1091"/>
      <c r="X100" s="1147">
        <f>IF(NOW()&gt;=DATE(YEAR(U$2),MONTH(U$2)+1,DAY(U$2)),SUMIFS(TF_SOTIEN,TF_THANG,U$2,TF_KM,$E100)/1000, AA100)</f>
        <v>1080</v>
      </c>
      <c r="Y100" s="1091" t="str">
        <f t="shared" si="795"/>
        <v/>
      </c>
      <c r="Z100" s="1091"/>
      <c r="AA100" s="1147">
        <f>IF(NOW()&gt;=DATE(YEAR(U$2),MONTH(U$2)+1,DAY(U$2)),SUMIFS(AC_SOTIEN,AC_THANG,U$2,AC_KM,$E100),SUMIFS(TF_SOTIEN,TF_THANG,U$2,TF_KM,$E100))/ 1000</f>
        <v>1080</v>
      </c>
      <c r="AB100" s="1091">
        <f t="shared" si="796"/>
        <v>0.006</v>
      </c>
      <c r="AC100" s="1091">
        <f t="shared" si="961"/>
        <v>0.1045564237</v>
      </c>
      <c r="AD100" s="1147">
        <f t="shared" si="526"/>
        <v>247</v>
      </c>
      <c r="AE100" s="1091">
        <f t="shared" si="15"/>
        <v>0.2965186074</v>
      </c>
      <c r="AF100" s="1147">
        <f t="shared" si="527"/>
        <v>0</v>
      </c>
      <c r="AG100" s="1091">
        <f t="shared" si="17"/>
        <v>0</v>
      </c>
      <c r="AH100" s="1146">
        <f>SUMIFS(BP_SOTIEN,BP_THANG,AH$2,BP_KM,$E100)/1000</f>
        <v>833</v>
      </c>
      <c r="AI100" s="1091" t="str">
        <f t="shared" si="797"/>
        <v/>
      </c>
      <c r="AJ100" s="1091"/>
      <c r="AK100" s="1147">
        <f>IF(NOW()&gt;=DATE(YEAR(AH$2),MONTH(AH$2)+1,DAY(AH$2)),SUMIFS(TF_SOTIEN,TF_THANG,AH$2,TF_KM,$E100)/1000, AN100)</f>
        <v>1080</v>
      </c>
      <c r="AL100" s="1091">
        <f t="shared" si="798"/>
        <v>0.0003</v>
      </c>
      <c r="AM100" s="1091"/>
      <c r="AN100" s="1147">
        <f>IF(NOW()&gt;=DATE(YEAR(AH$2),MONTH(AH$2)+1,DAY(AH$2)),SUMIFS(AC_SOTIEN,AC_THANG,AH$2,AC_KM,$E100),SUMIFS(TF_SOTIEN,TF_THANG,AH$2,TF_KM,$E100))/ 1000</f>
        <v>1329.927</v>
      </c>
      <c r="AO100" s="1091">
        <f t="shared" si="799"/>
        <v>0.001990908683</v>
      </c>
      <c r="AP100" s="1091">
        <f t="shared" si="962"/>
        <v>0.0737739429</v>
      </c>
      <c r="AQ100" s="1147">
        <f t="shared" si="534"/>
        <v>496.927</v>
      </c>
      <c r="AR100" s="1091">
        <f t="shared" si="22"/>
        <v>0.5965510204</v>
      </c>
      <c r="AS100" s="1147">
        <f t="shared" si="535"/>
        <v>249.927</v>
      </c>
      <c r="AT100" s="1091">
        <f t="shared" si="24"/>
        <v>0.2314138889</v>
      </c>
      <c r="AU100" s="1146">
        <f t="shared" si="916"/>
        <v>2499</v>
      </c>
      <c r="AV100" s="1091" t="str">
        <f t="shared" si="800"/>
        <v/>
      </c>
      <c r="AW100" s="1091">
        <f t="shared" si="963"/>
        <v>0.04201765448</v>
      </c>
      <c r="AX100" s="1147">
        <f t="shared" si="917"/>
        <v>2993</v>
      </c>
      <c r="AY100" s="1091">
        <f t="shared" si="801"/>
        <v>0.0008045698925</v>
      </c>
      <c r="AZ100" s="1091">
        <f t="shared" si="964"/>
        <v>0.06498046027</v>
      </c>
      <c r="BA100" s="1147">
        <f t="shared" si="918"/>
        <v>3509.928</v>
      </c>
      <c r="BB100" s="1091">
        <f t="shared" si="802"/>
        <v>0.002954484848</v>
      </c>
      <c r="BC100" s="1091">
        <f t="shared" si="965"/>
        <v>0.09110024017</v>
      </c>
      <c r="BD100" s="1147">
        <f t="shared" si="545"/>
        <v>1010.928</v>
      </c>
      <c r="BE100" s="1091">
        <f t="shared" si="32"/>
        <v>0.4045330132</v>
      </c>
      <c r="BF100" s="1147">
        <f t="shared" si="546"/>
        <v>516.928</v>
      </c>
      <c r="BG100" s="1091">
        <f t="shared" si="34"/>
        <v>0.1727123288</v>
      </c>
      <c r="BH100" s="1146">
        <f>SUMIFS(BP_SOTIEN,BP_THANG,BH$2,BP_KM,$E100)/1000</f>
        <v>833</v>
      </c>
      <c r="BI100" s="1091">
        <f t="shared" si="803"/>
        <v>0.00020825</v>
      </c>
      <c r="BJ100" s="1091"/>
      <c r="BK100" s="1147">
        <f>IF(NOW()&gt;=DATE(YEAR(BH$2),MONTH(BH$2)+1,DAY(BH$2)),SUMIFS(TF_SOTIEN,TF_THANG,BH$2,TF_KM,$E100)/1000, BN100)</f>
        <v>1500</v>
      </c>
      <c r="BL100" s="1091" t="str">
        <f t="shared" si="804"/>
        <v/>
      </c>
      <c r="BM100" s="1091"/>
      <c r="BN100" s="1147">
        <f>IF(NOW()&gt;=DATE(YEAR(BH$2),MONTH(BH$2)+1,DAY(BH$2)),SUMIFS(AC_SOTIEN,AC_THANG,BH$2,AC_KM,$E100),SUMIFS(TF_SOTIEN,TF_THANG,BH$2,TF_KM,$E100))/ 1000</f>
        <v>3295.999</v>
      </c>
      <c r="BO100" s="1091">
        <f t="shared" si="805"/>
        <v>0.001267185049</v>
      </c>
      <c r="BP100" s="1091">
        <f t="shared" si="966"/>
        <v>0.1896159792</v>
      </c>
      <c r="BQ100" s="1147">
        <f t="shared" si="553"/>
        <v>2462.999</v>
      </c>
      <c r="BR100" s="1091">
        <f t="shared" si="39"/>
        <v>2.956781513</v>
      </c>
      <c r="BS100" s="1147">
        <f t="shared" si="554"/>
        <v>1795.999</v>
      </c>
      <c r="BT100" s="1091">
        <f t="shared" si="41"/>
        <v>1.197332667</v>
      </c>
      <c r="BU100" s="1146">
        <f>SUMIFS(BP_SOTIEN,BP_THANG,BU$2,BP_KM,$E100)/1000</f>
        <v>833</v>
      </c>
      <c r="BV100" s="1091">
        <f t="shared" si="806"/>
        <v>0.00020825</v>
      </c>
      <c r="BW100" s="1091"/>
      <c r="BX100" s="1147">
        <f>IF(NOW()&gt;=DATE(YEAR(BU$2),MONTH(BU$2)+1,DAY(BU$2)),SUMIFS(TF_SOTIEN,TF_THANG,BU$2,TF_KM,$E100)/1000, CA100)</f>
        <v>1971.81</v>
      </c>
      <c r="BY100" s="1091">
        <f t="shared" si="807"/>
        <v>0.00131941614</v>
      </c>
      <c r="BZ100" s="1091"/>
      <c r="CA100" s="1147">
        <f>IF(NOW()&gt;=DATE(YEAR(BU$2),MONTH(BU$2)+1,DAY(BU$2)),SUMIFS(AC_SOTIEN,AC_THANG,BU$2,AC_KM,$E100),SUMIFS(TF_SOTIEN,TF_THANG,BU$2,TF_KM,$E100))/ 1000</f>
        <v>1971.811</v>
      </c>
      <c r="CB100" s="1091">
        <f t="shared" si="808"/>
        <v>0.003549154745</v>
      </c>
      <c r="CC100" s="1091">
        <f t="shared" si="967"/>
        <v>0.1089842408</v>
      </c>
      <c r="CD100" s="1147">
        <f t="shared" si="561"/>
        <v>1138.811</v>
      </c>
      <c r="CE100" s="1091">
        <f t="shared" si="46"/>
        <v>1.367120048</v>
      </c>
      <c r="CF100" s="1147">
        <f t="shared" si="562"/>
        <v>0.001</v>
      </c>
      <c r="CG100" s="1091">
        <f t="shared" si="48"/>
        <v>0.0000005071482546</v>
      </c>
      <c r="CH100" s="1146">
        <f>SUMIFS(BP_SOTIEN,BP_THANG,CH$2,BP_KM,$E100)/1000</f>
        <v>833</v>
      </c>
      <c r="CI100" s="1091">
        <f t="shared" si="809"/>
        <v>0.00020825</v>
      </c>
      <c r="CJ100" s="1091"/>
      <c r="CK100" s="1147">
        <f>IF(NOW()&gt;=DATE(YEAR(CH$2),MONTH(CH$2)+1,DAY(CH$2)),SUMIFS(TF_SOTIEN,TF_THANG,CH$2,TF_KM,$E100)/1000, CN100)</f>
        <v>2000</v>
      </c>
      <c r="CL100" s="1091" t="str">
        <f t="shared" si="810"/>
        <v/>
      </c>
      <c r="CM100" s="1091"/>
      <c r="CN100" s="1147">
        <f>IF(NOW()&gt;=DATE(YEAR(CH$2),MONTH(CH$2)+1,DAY(CH$2)),SUMIFS(AC_SOTIEN,AC_THANG,CH$2,AC_KM,$E100),SUMIFS(TF_SOTIEN,TF_THANG,CH$2,TF_KM,$E100))/ 1000</f>
        <v>0</v>
      </c>
      <c r="CO100" s="1091" t="str">
        <f t="shared" si="811"/>
        <v/>
      </c>
      <c r="CP100" s="1091" t="str">
        <f t="shared" si="968"/>
        <v/>
      </c>
      <c r="CQ100" s="1147">
        <f t="shared" si="569"/>
        <v>-833</v>
      </c>
      <c r="CR100" s="1091">
        <f t="shared" si="53"/>
        <v>-1</v>
      </c>
      <c r="CS100" s="1147">
        <f t="shared" si="570"/>
        <v>-2000</v>
      </c>
      <c r="CT100" s="1091">
        <f t="shared" si="55"/>
        <v>-1</v>
      </c>
      <c r="CU100" s="1146">
        <f t="shared" si="919"/>
        <v>2499</v>
      </c>
      <c r="CV100" s="1091">
        <f t="shared" si="812"/>
        <v>0.00020825</v>
      </c>
      <c r="CW100" s="1091">
        <f t="shared" si="969"/>
        <v>0.04424966799</v>
      </c>
      <c r="CX100" s="1147">
        <f t="shared" si="920"/>
        <v>5471.81</v>
      </c>
      <c r="CY100" s="1091">
        <f t="shared" si="814"/>
        <v>0.003661404714</v>
      </c>
      <c r="CZ100" s="1091">
        <f t="shared" si="970"/>
        <v>0.09700533495</v>
      </c>
      <c r="DA100" s="1147">
        <f t="shared" si="921"/>
        <v>5267.81</v>
      </c>
      <c r="DB100" s="1091">
        <f t="shared" si="816"/>
        <v>0.001668817707</v>
      </c>
      <c r="DC100" s="1091">
        <f t="shared" si="971"/>
        <v>0.1484930805</v>
      </c>
      <c r="DD100" s="1147">
        <f t="shared" si="580"/>
        <v>2768.81</v>
      </c>
      <c r="DE100" s="1091">
        <f t="shared" si="63"/>
        <v>1.107967187</v>
      </c>
      <c r="DF100" s="1147">
        <f t="shared" si="581"/>
        <v>-204</v>
      </c>
      <c r="DG100" s="1091">
        <f t="shared" si="65"/>
        <v>-0.03728199627</v>
      </c>
      <c r="DH100" s="1146">
        <f t="shared" si="922"/>
        <v>4998</v>
      </c>
      <c r="DI100" s="1091">
        <f t="shared" si="817"/>
        <v>0.0004165</v>
      </c>
      <c r="DJ100" s="1091">
        <f t="shared" si="972"/>
        <v>0.04310478655</v>
      </c>
      <c r="DK100" s="1147">
        <f t="shared" si="585"/>
        <v>8464.81</v>
      </c>
      <c r="DL100" s="1091">
        <f t="shared" si="818"/>
        <v>0.001623335056</v>
      </c>
      <c r="DM100" s="1091">
        <f t="shared" si="973"/>
        <v>0.0826098587</v>
      </c>
      <c r="DN100" s="1147">
        <f t="shared" si="588"/>
        <v>8777.738</v>
      </c>
      <c r="DO100" s="1091">
        <f t="shared" si="819"/>
        <v>0.002020373281</v>
      </c>
      <c r="DP100" s="1091">
        <f t="shared" si="974"/>
        <v>0.1186127627</v>
      </c>
      <c r="DQ100" s="1147">
        <f t="shared" si="591"/>
        <v>3779.738</v>
      </c>
      <c r="DR100" s="1091">
        <f t="shared" si="73"/>
        <v>0.7562501</v>
      </c>
      <c r="DS100" s="1147">
        <f t="shared" si="592"/>
        <v>312.928</v>
      </c>
      <c r="DT100" s="1091">
        <f t="shared" si="75"/>
        <v>0.03696810679</v>
      </c>
      <c r="DU100" s="1146">
        <f>SUMIFS(BP_SOTIEN,BP_THANG,DU$2,BP_KM,$E100)/1000</f>
        <v>833</v>
      </c>
      <c r="DV100" s="1091">
        <f t="shared" si="820"/>
        <v>0.00020825</v>
      </c>
      <c r="DW100" s="1091"/>
      <c r="DX100" s="1147">
        <f>IF(NOW()&gt;=DATE(YEAR(DU$2),MONTH(DU$2)+1,DAY(DU$2)),SUMIFS(TF_SOTIEN,TF_THANG,DU$2,TF_KM,$E100)/1000, EA100)</f>
        <v>833</v>
      </c>
      <c r="DY100" s="1091">
        <f t="shared" si="821"/>
        <v>0.0001379139082</v>
      </c>
      <c r="DZ100" s="1091"/>
      <c r="EA100" s="1147">
        <f>IF(NOW()&gt;=DATE(YEAR(DU$2),MONTH(DU$2)+1,DAY(DU$2)),SUMIFS(AC_SOTIEN,AC_THANG,DU$2,AC_KM,$E100),SUMIFS(TF_SOTIEN,TF_THANG,DU$2,TF_KM,$E100))/ 1000</f>
        <v>0</v>
      </c>
      <c r="EB100" s="1091" t="str">
        <f t="shared" si="822"/>
        <v/>
      </c>
      <c r="EC100" s="1091" t="str">
        <f t="shared" si="975"/>
        <v/>
      </c>
      <c r="ED100" s="1147">
        <f t="shared" si="599"/>
        <v>-833</v>
      </c>
      <c r="EE100" s="1091">
        <f t="shared" si="80"/>
        <v>-1</v>
      </c>
      <c r="EF100" s="1147">
        <f t="shared" si="600"/>
        <v>-833</v>
      </c>
      <c r="EG100" s="1091">
        <f t="shared" si="82"/>
        <v>-1</v>
      </c>
      <c r="EH100" s="1146">
        <f>SUMIFS(BP_SOTIEN,BP_THANG,EH$2,BP_KM,$E100)/1000</f>
        <v>833</v>
      </c>
      <c r="EI100" s="1091">
        <f t="shared" si="823"/>
        <v>0.00020825</v>
      </c>
      <c r="EJ100" s="1091"/>
      <c r="EK100" s="1147">
        <f>IF(NOW()&gt;=DATE(YEAR(EH$2),MONTH(EH$2)+1,DAY(EH$2)),SUMIFS(TF_SOTIEN,TF_THANG,EH$2,TF_KM,$E100)/1000, EN100)</f>
        <v>833</v>
      </c>
      <c r="EL100" s="1091">
        <f t="shared" si="824"/>
        <v>0.0001379139082</v>
      </c>
      <c r="EM100" s="1091"/>
      <c r="EN100" s="1147">
        <f>IF(NOW()&gt;=DATE(YEAR(EH$2),MONTH(EH$2)+1,DAY(EH$2)),SUMIFS(AC_SOTIEN,AC_THANG,EH$2,AC_KM,$E100),SUMIFS(TF_SOTIEN,TF_THANG,EH$2,TF_KM,$E100))/ 1000</f>
        <v>0</v>
      </c>
      <c r="EO100" s="1091" t="str">
        <f t="shared" si="825"/>
        <v/>
      </c>
      <c r="EP100" s="1091" t="str">
        <f t="shared" si="976"/>
        <v/>
      </c>
      <c r="EQ100" s="1147">
        <f t="shared" si="607"/>
        <v>-833</v>
      </c>
      <c r="ER100" s="1091">
        <f t="shared" si="87"/>
        <v>-1</v>
      </c>
      <c r="ES100" s="1147">
        <f t="shared" si="608"/>
        <v>-833</v>
      </c>
      <c r="ET100" s="1091">
        <f t="shared" si="89"/>
        <v>-1</v>
      </c>
      <c r="EU100" s="1146">
        <f>SUMIFS(BP_SOTIEN,BP_THANG,EU$2,BP_KM,$E100)/1000</f>
        <v>833</v>
      </c>
      <c r="EV100" s="1091">
        <f t="shared" si="826"/>
        <v>0.00020825</v>
      </c>
      <c r="EW100" s="1091"/>
      <c r="EX100" s="1147">
        <f>IF(NOW()&gt;=DATE(YEAR(EU$2),MONTH(EU$2)+1,DAY(EU$2)),SUMIFS(TF_SOTIEN,TF_THANG,EU$2,TF_KM,$E100)/1000, FA100)</f>
        <v>833</v>
      </c>
      <c r="EY100" s="1091">
        <f t="shared" si="827"/>
        <v>0.0001379139082</v>
      </c>
      <c r="EZ100" s="1091"/>
      <c r="FA100" s="1147">
        <f>IF(NOW()&gt;=DATE(YEAR(EU$2),MONTH(EU$2)+1,DAY(EU$2)),SUMIFS(AC_SOTIEN,AC_THANG,EU$2,AC_KM,$E100),SUMIFS(TF_SOTIEN,TF_THANG,EU$2,TF_KM,$E100))/ 1000</f>
        <v>0</v>
      </c>
      <c r="FB100" s="1091" t="str">
        <f t="shared" si="828"/>
        <v/>
      </c>
      <c r="FC100" s="1091" t="str">
        <f t="shared" si="977"/>
        <v/>
      </c>
      <c r="FD100" s="1147">
        <f t="shared" si="616"/>
        <v>-833</v>
      </c>
      <c r="FE100" s="1091">
        <f t="shared" si="94"/>
        <v>-1</v>
      </c>
      <c r="FF100" s="1147">
        <f t="shared" si="617"/>
        <v>-833</v>
      </c>
      <c r="FG100" s="1091">
        <f t="shared" si="96"/>
        <v>-1</v>
      </c>
      <c r="FH100" s="1146">
        <f t="shared" si="923"/>
        <v>2499</v>
      </c>
      <c r="FI100" s="1091">
        <f t="shared" si="829"/>
        <v>0.00020825</v>
      </c>
      <c r="FJ100" s="1091">
        <f t="shared" si="978"/>
        <v>0.04424966799</v>
      </c>
      <c r="FK100" s="1147">
        <f t="shared" si="621"/>
        <v>2499</v>
      </c>
      <c r="FL100" s="1091">
        <f t="shared" si="830"/>
        <v>0.0001379139082</v>
      </c>
      <c r="FM100" s="1091">
        <f t="shared" si="979"/>
        <v>0.04424966799</v>
      </c>
      <c r="FN100" s="1147">
        <f t="shared" si="624"/>
        <v>0</v>
      </c>
      <c r="FO100" s="1091" t="str">
        <f t="shared" si="831"/>
        <v/>
      </c>
      <c r="FP100" s="1091" t="str">
        <f t="shared" si="980"/>
        <v/>
      </c>
      <c r="FQ100" s="1147">
        <f t="shared" si="627"/>
        <v>-2499</v>
      </c>
      <c r="FR100" s="1091">
        <f t="shared" si="104"/>
        <v>-1</v>
      </c>
      <c r="FS100" s="1147">
        <f t="shared" si="628"/>
        <v>-2499</v>
      </c>
      <c r="FT100" s="1091">
        <f t="shared" si="106"/>
        <v>-1</v>
      </c>
      <c r="FU100" s="1146">
        <f>SUMIFS(BP_SOTIEN,BP_THANG,FU$2,BP_KM,$E100)/1000</f>
        <v>833</v>
      </c>
      <c r="FV100" s="1091">
        <f t="shared" si="832"/>
        <v>0.00020825</v>
      </c>
      <c r="FW100" s="1091"/>
      <c r="FX100" s="1147">
        <f>IF(NOW()&gt;=DATE(YEAR(FU$2),MONTH(FU$2)+1,DAY(FU$2)),SUMIFS(TF_SOTIEN,TF_THANG,FU$2,TF_KM,$E100)/1000, GA100)</f>
        <v>833</v>
      </c>
      <c r="FY100" s="1091">
        <f t="shared" si="833"/>
        <v>0.0001379139082</v>
      </c>
      <c r="FZ100" s="1091"/>
      <c r="GA100" s="1147">
        <f>IF(NOW()&gt;=DATE(YEAR(FU$2),MONTH(FU$2)+1,DAY(FU$2)),SUMIFS(AC_SOTIEN,AC_THANG,FU$2,AC_KM,$E100),SUMIFS(TF_SOTIEN,TF_THANG,FU$2,TF_KM,$E100))/ 1000</f>
        <v>0</v>
      </c>
      <c r="GB100" s="1091" t="str">
        <f t="shared" si="834"/>
        <v/>
      </c>
      <c r="GC100" s="1091" t="str">
        <f t="shared" si="981"/>
        <v/>
      </c>
      <c r="GD100" s="1147">
        <f t="shared" si="635"/>
        <v>-833</v>
      </c>
      <c r="GE100" s="1091">
        <f t="shared" si="111"/>
        <v>-1</v>
      </c>
      <c r="GF100" s="1147">
        <f t="shared" si="636"/>
        <v>-833</v>
      </c>
      <c r="GG100" s="1091">
        <f t="shared" si="113"/>
        <v>-1</v>
      </c>
      <c r="GH100" s="1146">
        <f>SUMIFS(BP_SOTIEN,BP_THANG,GH$2,BP_KM,$E100)/1000</f>
        <v>833</v>
      </c>
      <c r="GI100" s="1091">
        <f t="shared" si="835"/>
        <v>0.00020825</v>
      </c>
      <c r="GJ100" s="1091"/>
      <c r="GK100" s="1147">
        <f>IF(NOW()&gt;=DATE(YEAR(GH$2),MONTH(GH$2)+1,DAY(GH$2)),SUMIFS(TF_SOTIEN,TF_THANG,GH$2,TF_KM,$E100)/1000, GN100)</f>
        <v>833</v>
      </c>
      <c r="GL100" s="1091">
        <f t="shared" si="836"/>
        <v>0.0001379139082</v>
      </c>
      <c r="GM100" s="1091"/>
      <c r="GN100" s="1147">
        <f>IF(NOW()&gt;=DATE(YEAR(GH$2),MONTH(GH$2)+1,DAY(GH$2)),SUMIFS(AC_SOTIEN,AC_THANG,GH$2,AC_KM,$E100),SUMIFS(TF_SOTIEN,TF_THANG,GH$2,TF_KM,$E100))/ 1000</f>
        <v>0</v>
      </c>
      <c r="GO100" s="1091" t="str">
        <f t="shared" si="837"/>
        <v/>
      </c>
      <c r="GP100" s="1091" t="str">
        <f t="shared" si="982"/>
        <v/>
      </c>
      <c r="GQ100" s="1147">
        <f t="shared" si="643"/>
        <v>-833</v>
      </c>
      <c r="GR100" s="1091">
        <f t="shared" si="118"/>
        <v>-1</v>
      </c>
      <c r="GS100" s="1147">
        <f t="shared" si="644"/>
        <v>-833</v>
      </c>
      <c r="GT100" s="1091">
        <f t="shared" si="120"/>
        <v>-1</v>
      </c>
      <c r="GU100" s="1146">
        <f>SUMIFS(BP_SOTIEN,BP_THANG,GU$2,BP_KM,$E100)/1000</f>
        <v>833</v>
      </c>
      <c r="GV100" s="1091">
        <f t="shared" si="838"/>
        <v>0.00020825</v>
      </c>
      <c r="GW100" s="1091"/>
      <c r="GX100" s="1147">
        <f>IF(NOW()&gt;=DATE(YEAR(GU$2),MONTH(GU$2)+1,DAY(GU$2)),SUMIFS(TF_SOTIEN,TF_THANG,GU$2,TF_KM,$E100)/1000, HA100)</f>
        <v>833</v>
      </c>
      <c r="GY100" s="1091">
        <f t="shared" si="839"/>
        <v>0.0001379139082</v>
      </c>
      <c r="GZ100" s="1091"/>
      <c r="HA100" s="1147">
        <f>IF(NOW()&gt;=DATE(YEAR(GU$2),MONTH(GU$2)+1,DAY(GU$2)),SUMIFS(AC_SOTIEN,AC_THANG,GU$2,AC_KM,$E100),SUMIFS(TF_SOTIEN,TF_THANG,GU$2,TF_KM,$E100))/ 1000</f>
        <v>0</v>
      </c>
      <c r="HB100" s="1091" t="str">
        <f t="shared" si="840"/>
        <v/>
      </c>
      <c r="HC100" s="1091" t="str">
        <f t="shared" si="983"/>
        <v/>
      </c>
      <c r="HD100" s="1147">
        <f t="shared" si="651"/>
        <v>-833</v>
      </c>
      <c r="HE100" s="1091">
        <f t="shared" si="125"/>
        <v>-1</v>
      </c>
      <c r="HF100" s="1147">
        <f t="shared" si="652"/>
        <v>-833</v>
      </c>
      <c r="HG100" s="1091">
        <f t="shared" si="127"/>
        <v>-1</v>
      </c>
      <c r="HH100" s="1146">
        <f t="shared" si="924"/>
        <v>2499</v>
      </c>
      <c r="HI100" s="1091">
        <f t="shared" si="841"/>
        <v>0.00020825</v>
      </c>
      <c r="HJ100" s="1091">
        <f t="shared" si="984"/>
        <v>0.04424966799</v>
      </c>
      <c r="HK100" s="1147">
        <f t="shared" si="656"/>
        <v>2499</v>
      </c>
      <c r="HL100" s="1091">
        <f t="shared" si="842"/>
        <v>0.0001379139082</v>
      </c>
      <c r="HM100" s="1091">
        <f t="shared" si="985"/>
        <v>0.04424966799</v>
      </c>
      <c r="HN100" s="1147">
        <f t="shared" si="659"/>
        <v>0</v>
      </c>
      <c r="HO100" s="1091" t="str">
        <f t="shared" si="843"/>
        <v/>
      </c>
      <c r="HP100" s="1091" t="str">
        <f t="shared" si="986"/>
        <v/>
      </c>
      <c r="HQ100" s="1147">
        <f t="shared" si="662"/>
        <v>-2499</v>
      </c>
      <c r="HR100" s="1091">
        <f t="shared" si="135"/>
        <v>-1</v>
      </c>
      <c r="HS100" s="1147">
        <f t="shared" si="663"/>
        <v>-2499</v>
      </c>
      <c r="HT100" s="1091">
        <f t="shared" si="137"/>
        <v>-1</v>
      </c>
      <c r="HU100" s="1146">
        <f t="shared" si="925"/>
        <v>4998</v>
      </c>
      <c r="HV100" s="1091">
        <f t="shared" si="844"/>
        <v>0.00020825</v>
      </c>
      <c r="HW100" s="1091">
        <f t="shared" si="987"/>
        <v>0.04424966799</v>
      </c>
      <c r="HX100" s="1147">
        <f t="shared" si="667"/>
        <v>4998</v>
      </c>
      <c r="HY100" s="1091">
        <f t="shared" si="845"/>
        <v>0.0001379139082</v>
      </c>
      <c r="HZ100" s="1091">
        <f t="shared" si="988"/>
        <v>0.04424966799</v>
      </c>
      <c r="IA100" s="1147">
        <f t="shared" si="670"/>
        <v>0</v>
      </c>
      <c r="IB100" s="1091" t="str">
        <f t="shared" si="846"/>
        <v/>
      </c>
      <c r="IC100" s="1091" t="str">
        <f t="shared" si="989"/>
        <v/>
      </c>
      <c r="ID100" s="1147">
        <f t="shared" si="673"/>
        <v>-4998</v>
      </c>
      <c r="IE100" s="1091">
        <f t="shared" si="145"/>
        <v>-1</v>
      </c>
      <c r="IF100" s="1147">
        <f t="shared" si="674"/>
        <v>-4998</v>
      </c>
      <c r="IG100" s="1091">
        <f t="shared" si="147"/>
        <v>-1</v>
      </c>
      <c r="IH100" s="1146">
        <f t="shared" si="926"/>
        <v>9996</v>
      </c>
      <c r="II100" s="1091">
        <f t="shared" si="847"/>
        <v>0.0002776666667</v>
      </c>
      <c r="IJ100" s="1091">
        <f t="shared" si="990"/>
        <v>0.04366972477</v>
      </c>
      <c r="IK100" s="1147">
        <f t="shared" si="678"/>
        <v>13462.81</v>
      </c>
      <c r="IL100" s="1091">
        <f t="shared" si="848"/>
        <v>0.0003247614665</v>
      </c>
      <c r="IM100" s="1091">
        <f t="shared" si="991"/>
        <v>0.06249641684</v>
      </c>
      <c r="IN100" s="1147">
        <f t="shared" si="681"/>
        <v>8777.738</v>
      </c>
      <c r="IO100" s="1091">
        <f t="shared" si="849"/>
        <v>0.002020373281</v>
      </c>
      <c r="IP100" s="1091">
        <f t="shared" si="992"/>
        <v>0.1186127627</v>
      </c>
      <c r="IQ100" s="1147">
        <f t="shared" si="684"/>
        <v>-1218.262</v>
      </c>
      <c r="IR100" s="1091">
        <f t="shared" si="1"/>
        <v>-0.12187495</v>
      </c>
      <c r="IS100" s="1147">
        <f t="shared" si="685"/>
        <v>-4685.072</v>
      </c>
      <c r="IT100" s="1091">
        <f t="shared" si="2"/>
        <v>-0.3480010488</v>
      </c>
    </row>
    <row r="101" outlineLevel="1">
      <c r="A101" s="737"/>
      <c r="B101" s="737"/>
      <c r="C101" s="737"/>
      <c r="D101" s="737" t="s">
        <v>2862</v>
      </c>
      <c r="E101" s="737" t="s">
        <v>2223</v>
      </c>
      <c r="F101" s="737"/>
      <c r="G101" s="748">
        <v>3.0</v>
      </c>
      <c r="H101" s="1146">
        <f>SUMIFS(BP_SOTIEN,BP_THANG,H$2,BP_KM,$E101)/1000</f>
        <v>4166</v>
      </c>
      <c r="I101" s="1091" t="str">
        <f t="shared" si="791"/>
        <v/>
      </c>
      <c r="J101" s="1091"/>
      <c r="K101" s="1147">
        <f>IF(NOW()&gt;=DATE(YEAR(H$2),MONTH(H$2)+1,DAY(H$2)),SUMIFS(TF_SOTIEN,TF_THANG,H$2,TF_KM,$E101)/1000, N101)</f>
        <v>4166</v>
      </c>
      <c r="L101" s="1091">
        <f t="shared" si="792"/>
        <v>0.03471666667</v>
      </c>
      <c r="M101" s="1091"/>
      <c r="N101" s="1147">
        <f>IF(NOW()&gt;=DATE(YEAR(H$2),MONTH(H$2)+1,DAY(H$2)),SUMIFS(AC_SOTIEN,AC_THANG,H$2,AC_KM,$E101),SUMIFS(TF_SOTIEN,TF_THANG,H$2,TF_KM,$E101))/ 1000</f>
        <v>0</v>
      </c>
      <c r="O101" s="1091">
        <f t="shared" si="793"/>
        <v>0</v>
      </c>
      <c r="P101" s="1091">
        <f t="shared" si="960"/>
        <v>0</v>
      </c>
      <c r="Q101" s="1147">
        <f t="shared" si="518"/>
        <v>-4166</v>
      </c>
      <c r="R101" s="1091">
        <f t="shared" si="8"/>
        <v>-1</v>
      </c>
      <c r="S101" s="1147">
        <f t="shared" si="519"/>
        <v>-4166</v>
      </c>
      <c r="T101" s="1091">
        <f t="shared" si="10"/>
        <v>-1</v>
      </c>
      <c r="U101" s="1146">
        <f>SUMIFS(BP_SOTIEN,BP_THANG,U$2,BP_KM,$E101)/1000</f>
        <v>4166</v>
      </c>
      <c r="V101" s="1091" t="str">
        <f t="shared" si="794"/>
        <v/>
      </c>
      <c r="W101" s="1091"/>
      <c r="X101" s="1147">
        <f>IF(NOW()&gt;=DATE(YEAR(U$2),MONTH(U$2)+1,DAY(U$2)),SUMIFS(TF_SOTIEN,TF_THANG,U$2,TF_KM,$E101)/1000, AA101)</f>
        <v>0</v>
      </c>
      <c r="Y101" s="1091" t="str">
        <f t="shared" si="795"/>
        <v/>
      </c>
      <c r="Z101" s="1091"/>
      <c r="AA101" s="1147">
        <f>IF(NOW()&gt;=DATE(YEAR(U$2),MONTH(U$2)+1,DAY(U$2)),SUMIFS(AC_SOTIEN,AC_THANG,U$2,AC_KM,$E101),SUMIFS(TF_SOTIEN,TF_THANG,U$2,TF_KM,$E101))/ 1000</f>
        <v>0</v>
      </c>
      <c r="AB101" s="1091">
        <f t="shared" si="796"/>
        <v>0</v>
      </c>
      <c r="AC101" s="1091">
        <f t="shared" si="961"/>
        <v>0</v>
      </c>
      <c r="AD101" s="1147">
        <f t="shared" si="526"/>
        <v>-4166</v>
      </c>
      <c r="AE101" s="1091">
        <f t="shared" si="15"/>
        <v>-1</v>
      </c>
      <c r="AF101" s="1147">
        <f t="shared" si="527"/>
        <v>0</v>
      </c>
      <c r="AG101" s="1091" t="str">
        <f t="shared" si="17"/>
        <v/>
      </c>
      <c r="AH101" s="1146">
        <f>SUMIFS(BP_SOTIEN,BP_THANG,AH$2,BP_KM,$E101)/1000</f>
        <v>4166</v>
      </c>
      <c r="AI101" s="1091" t="str">
        <f t="shared" si="797"/>
        <v/>
      </c>
      <c r="AJ101" s="1091"/>
      <c r="AK101" s="1147">
        <f>IF(NOW()&gt;=DATE(YEAR(AH$2),MONTH(AH$2)+1,DAY(AH$2)),SUMIFS(TF_SOTIEN,TF_THANG,AH$2,TF_KM,$E101)/1000, AN101)</f>
        <v>0</v>
      </c>
      <c r="AL101" s="1091">
        <f t="shared" si="798"/>
        <v>0</v>
      </c>
      <c r="AM101" s="1091"/>
      <c r="AN101" s="1147">
        <f>IF(NOW()&gt;=DATE(YEAR(AH$2),MONTH(AH$2)+1,DAY(AH$2)),SUMIFS(AC_SOTIEN,AC_THANG,AH$2,AC_KM,$E101),SUMIFS(TF_SOTIEN,TF_THANG,AH$2,TF_KM,$E101))/ 1000</f>
        <v>0</v>
      </c>
      <c r="AO101" s="1091">
        <f t="shared" si="799"/>
        <v>0</v>
      </c>
      <c r="AP101" s="1091">
        <f t="shared" si="962"/>
        <v>0</v>
      </c>
      <c r="AQ101" s="1147">
        <f t="shared" si="534"/>
        <v>-4166</v>
      </c>
      <c r="AR101" s="1091">
        <f t="shared" si="22"/>
        <v>-1</v>
      </c>
      <c r="AS101" s="1147">
        <f t="shared" si="535"/>
        <v>0</v>
      </c>
      <c r="AT101" s="1091" t="str">
        <f t="shared" si="24"/>
        <v/>
      </c>
      <c r="AU101" s="1146">
        <f t="shared" si="916"/>
        <v>12498</v>
      </c>
      <c r="AV101" s="1091" t="str">
        <f t="shared" si="800"/>
        <v/>
      </c>
      <c r="AW101" s="1091">
        <f t="shared" si="963"/>
        <v>0.2101387137</v>
      </c>
      <c r="AX101" s="1147">
        <f t="shared" si="917"/>
        <v>4166</v>
      </c>
      <c r="AY101" s="1091">
        <f t="shared" si="801"/>
        <v>0.001119892473</v>
      </c>
      <c r="AZ101" s="1091">
        <f t="shared" si="964"/>
        <v>0.09044724273</v>
      </c>
      <c r="BA101" s="1147">
        <f t="shared" si="918"/>
        <v>0</v>
      </c>
      <c r="BB101" s="1091">
        <f t="shared" si="802"/>
        <v>0</v>
      </c>
      <c r="BC101" s="1091">
        <f t="shared" si="965"/>
        <v>0</v>
      </c>
      <c r="BD101" s="1147">
        <f t="shared" si="545"/>
        <v>-12498</v>
      </c>
      <c r="BE101" s="1091">
        <f t="shared" si="32"/>
        <v>-1</v>
      </c>
      <c r="BF101" s="1147">
        <f t="shared" si="546"/>
        <v>-4166</v>
      </c>
      <c r="BG101" s="1091">
        <f t="shared" si="34"/>
        <v>-1</v>
      </c>
      <c r="BH101" s="1146">
        <f>SUMIFS(BP_SOTIEN,BP_THANG,BH$2,BP_KM,$E101)/1000</f>
        <v>4166</v>
      </c>
      <c r="BI101" s="1091">
        <f t="shared" si="803"/>
        <v>0.0010415</v>
      </c>
      <c r="BJ101" s="1091"/>
      <c r="BK101" s="1147">
        <f>IF(NOW()&gt;=DATE(YEAR(BH$2),MONTH(BH$2)+1,DAY(BH$2)),SUMIFS(TF_SOTIEN,TF_THANG,BH$2,TF_KM,$E101)/1000, BN101)</f>
        <v>0</v>
      </c>
      <c r="BL101" s="1091" t="str">
        <f t="shared" si="804"/>
        <v/>
      </c>
      <c r="BM101" s="1091"/>
      <c r="BN101" s="1147">
        <f>IF(NOW()&gt;=DATE(YEAR(BH$2),MONTH(BH$2)+1,DAY(BH$2)),SUMIFS(AC_SOTIEN,AC_THANG,BH$2,AC_KM,$E101),SUMIFS(TF_SOTIEN,TF_THANG,BH$2,TF_KM,$E101))/ 1000</f>
        <v>0</v>
      </c>
      <c r="BO101" s="1091">
        <f t="shared" si="805"/>
        <v>0</v>
      </c>
      <c r="BP101" s="1091">
        <f t="shared" si="966"/>
        <v>0</v>
      </c>
      <c r="BQ101" s="1147">
        <f t="shared" si="553"/>
        <v>-4166</v>
      </c>
      <c r="BR101" s="1091">
        <f t="shared" si="39"/>
        <v>-1</v>
      </c>
      <c r="BS101" s="1147">
        <f t="shared" si="554"/>
        <v>0</v>
      </c>
      <c r="BT101" s="1091" t="str">
        <f t="shared" si="41"/>
        <v/>
      </c>
      <c r="BU101" s="1146">
        <f>SUMIFS(BP_SOTIEN,BP_THANG,BU$2,BP_KM,$E101)/1000</f>
        <v>4166</v>
      </c>
      <c r="BV101" s="1091">
        <f t="shared" si="806"/>
        <v>0.0010415</v>
      </c>
      <c r="BW101" s="1091"/>
      <c r="BX101" s="1147">
        <f>IF(NOW()&gt;=DATE(YEAR(BU$2),MONTH(BU$2)+1,DAY(BU$2)),SUMIFS(TF_SOTIEN,TF_THANG,BU$2,TF_KM,$E101)/1000, CA101)</f>
        <v>4166</v>
      </c>
      <c r="BY101" s="1091">
        <f t="shared" si="807"/>
        <v>0.002787635542</v>
      </c>
      <c r="BZ101" s="1091"/>
      <c r="CA101" s="1147">
        <f>IF(NOW()&gt;=DATE(YEAR(BU$2),MONTH(BU$2)+1,DAY(BU$2)),SUMIFS(AC_SOTIEN,AC_THANG,BU$2,AC_KM,$E101),SUMIFS(TF_SOTIEN,TF_THANG,BU$2,TF_KM,$E101))/ 1000</f>
        <v>0</v>
      </c>
      <c r="CB101" s="1091">
        <f t="shared" si="808"/>
        <v>0</v>
      </c>
      <c r="CC101" s="1091">
        <f t="shared" si="967"/>
        <v>0</v>
      </c>
      <c r="CD101" s="1147">
        <f t="shared" si="561"/>
        <v>-4166</v>
      </c>
      <c r="CE101" s="1091">
        <f t="shared" si="46"/>
        <v>-1</v>
      </c>
      <c r="CF101" s="1147">
        <f t="shared" si="562"/>
        <v>-4166</v>
      </c>
      <c r="CG101" s="1091">
        <f t="shared" si="48"/>
        <v>-1</v>
      </c>
      <c r="CH101" s="1146">
        <f>SUMIFS(BP_SOTIEN,BP_THANG,CH$2,BP_KM,$E101)/1000</f>
        <v>4166</v>
      </c>
      <c r="CI101" s="1091">
        <f t="shared" si="809"/>
        <v>0.0010415</v>
      </c>
      <c r="CJ101" s="1091"/>
      <c r="CK101" s="1147">
        <f>IF(NOW()&gt;=DATE(YEAR(CH$2),MONTH(CH$2)+1,DAY(CH$2)),SUMIFS(TF_SOTIEN,TF_THANG,CH$2,TF_KM,$E101)/1000, CN101)</f>
        <v>4166</v>
      </c>
      <c r="CL101" s="1091" t="str">
        <f t="shared" si="810"/>
        <v/>
      </c>
      <c r="CM101" s="1091"/>
      <c r="CN101" s="1147">
        <f>IF(NOW()&gt;=DATE(YEAR(CH$2),MONTH(CH$2)+1,DAY(CH$2)),SUMIFS(AC_SOTIEN,AC_THANG,CH$2,AC_KM,$E101),SUMIFS(TF_SOTIEN,TF_THANG,CH$2,TF_KM,$E101))/ 1000</f>
        <v>0</v>
      </c>
      <c r="CO101" s="1091" t="str">
        <f t="shared" si="811"/>
        <v/>
      </c>
      <c r="CP101" s="1091" t="str">
        <f t="shared" si="968"/>
        <v/>
      </c>
      <c r="CQ101" s="1147">
        <f t="shared" si="569"/>
        <v>-4166</v>
      </c>
      <c r="CR101" s="1091">
        <f t="shared" si="53"/>
        <v>-1</v>
      </c>
      <c r="CS101" s="1147">
        <f t="shared" si="570"/>
        <v>-4166</v>
      </c>
      <c r="CT101" s="1091">
        <f t="shared" si="55"/>
        <v>-1</v>
      </c>
      <c r="CU101" s="1146">
        <f t="shared" si="919"/>
        <v>12498</v>
      </c>
      <c r="CV101" s="1091">
        <f t="shared" si="812"/>
        <v>0.0010415</v>
      </c>
      <c r="CW101" s="1091">
        <f t="shared" si="969"/>
        <v>0.2213014608</v>
      </c>
      <c r="CX101" s="1147">
        <f t="shared" si="920"/>
        <v>8332</v>
      </c>
      <c r="CY101" s="1091">
        <f t="shared" si="814"/>
        <v>0.005575271085</v>
      </c>
      <c r="CZ101" s="1091">
        <f t="shared" si="970"/>
        <v>0.1477113516</v>
      </c>
      <c r="DA101" s="1147">
        <f t="shared" si="921"/>
        <v>0</v>
      </c>
      <c r="DB101" s="1091">
        <f t="shared" si="816"/>
        <v>0</v>
      </c>
      <c r="DC101" s="1091">
        <f t="shared" si="971"/>
        <v>0</v>
      </c>
      <c r="DD101" s="1147">
        <f t="shared" si="580"/>
        <v>-12498</v>
      </c>
      <c r="DE101" s="1091">
        <f t="shared" si="63"/>
        <v>-1</v>
      </c>
      <c r="DF101" s="1147">
        <f t="shared" si="581"/>
        <v>-8332</v>
      </c>
      <c r="DG101" s="1091">
        <f t="shared" si="65"/>
        <v>-1</v>
      </c>
      <c r="DH101" s="1146">
        <f t="shared" si="922"/>
        <v>24996</v>
      </c>
      <c r="DI101" s="1091">
        <f t="shared" si="817"/>
        <v>0.002083</v>
      </c>
      <c r="DJ101" s="1091">
        <f t="shared" si="972"/>
        <v>0.2155756792</v>
      </c>
      <c r="DK101" s="1147">
        <f t="shared" si="585"/>
        <v>12498</v>
      </c>
      <c r="DL101" s="1091">
        <f t="shared" si="818"/>
        <v>0.002396798218</v>
      </c>
      <c r="DM101" s="1091">
        <f t="shared" si="973"/>
        <v>0.121970607</v>
      </c>
      <c r="DN101" s="1147">
        <f t="shared" si="588"/>
        <v>0</v>
      </c>
      <c r="DO101" s="1091">
        <f t="shared" si="819"/>
        <v>0</v>
      </c>
      <c r="DP101" s="1091">
        <f t="shared" si="974"/>
        <v>0</v>
      </c>
      <c r="DQ101" s="1147">
        <f t="shared" si="591"/>
        <v>-24996</v>
      </c>
      <c r="DR101" s="1091">
        <f t="shared" si="73"/>
        <v>-1</v>
      </c>
      <c r="DS101" s="1147">
        <f t="shared" si="592"/>
        <v>-12498</v>
      </c>
      <c r="DT101" s="1091">
        <f t="shared" si="75"/>
        <v>-1</v>
      </c>
      <c r="DU101" s="1146">
        <f>SUMIFS(BP_SOTIEN,BP_THANG,DU$2,BP_KM,$E101)/1000</f>
        <v>4166</v>
      </c>
      <c r="DV101" s="1091">
        <f t="shared" si="820"/>
        <v>0.0010415</v>
      </c>
      <c r="DW101" s="1091"/>
      <c r="DX101" s="1147">
        <f>IF(NOW()&gt;=DATE(YEAR(DU$2),MONTH(DU$2)+1,DAY(DU$2)),SUMIFS(TF_SOTIEN,TF_THANG,DU$2,TF_KM,$E101)/1000, EA101)</f>
        <v>4166</v>
      </c>
      <c r="DY101" s="1091">
        <f t="shared" si="821"/>
        <v>0.0006897351039</v>
      </c>
      <c r="DZ101" s="1091"/>
      <c r="EA101" s="1147">
        <f>IF(NOW()&gt;=DATE(YEAR(DU$2),MONTH(DU$2)+1,DAY(DU$2)),SUMIFS(AC_SOTIEN,AC_THANG,DU$2,AC_KM,$E101),SUMIFS(TF_SOTIEN,TF_THANG,DU$2,TF_KM,$E101))/ 1000</f>
        <v>0</v>
      </c>
      <c r="EB101" s="1091" t="str">
        <f t="shared" si="822"/>
        <v/>
      </c>
      <c r="EC101" s="1091" t="str">
        <f t="shared" si="975"/>
        <v/>
      </c>
      <c r="ED101" s="1147">
        <f t="shared" si="599"/>
        <v>-4166</v>
      </c>
      <c r="EE101" s="1091">
        <f t="shared" si="80"/>
        <v>-1</v>
      </c>
      <c r="EF101" s="1147">
        <f t="shared" si="600"/>
        <v>-4166</v>
      </c>
      <c r="EG101" s="1091">
        <f t="shared" si="82"/>
        <v>-1</v>
      </c>
      <c r="EH101" s="1146">
        <f>SUMIFS(BP_SOTIEN,BP_THANG,EH$2,BP_KM,$E101)/1000</f>
        <v>4166</v>
      </c>
      <c r="EI101" s="1091">
        <f t="shared" si="823"/>
        <v>0.0010415</v>
      </c>
      <c r="EJ101" s="1091"/>
      <c r="EK101" s="1147">
        <f>IF(NOW()&gt;=DATE(YEAR(EH$2),MONTH(EH$2)+1,DAY(EH$2)),SUMIFS(TF_SOTIEN,TF_THANG,EH$2,TF_KM,$E101)/1000, EN101)</f>
        <v>4166</v>
      </c>
      <c r="EL101" s="1091">
        <f t="shared" si="824"/>
        <v>0.0006897351039</v>
      </c>
      <c r="EM101" s="1091"/>
      <c r="EN101" s="1147">
        <f>IF(NOW()&gt;=DATE(YEAR(EH$2),MONTH(EH$2)+1,DAY(EH$2)),SUMIFS(AC_SOTIEN,AC_THANG,EH$2,AC_KM,$E101),SUMIFS(TF_SOTIEN,TF_THANG,EH$2,TF_KM,$E101))/ 1000</f>
        <v>0</v>
      </c>
      <c r="EO101" s="1091" t="str">
        <f t="shared" si="825"/>
        <v/>
      </c>
      <c r="EP101" s="1091" t="str">
        <f t="shared" si="976"/>
        <v/>
      </c>
      <c r="EQ101" s="1147">
        <f t="shared" si="607"/>
        <v>-4166</v>
      </c>
      <c r="ER101" s="1091">
        <f t="shared" si="87"/>
        <v>-1</v>
      </c>
      <c r="ES101" s="1147">
        <f t="shared" si="608"/>
        <v>-4166</v>
      </c>
      <c r="ET101" s="1091">
        <f t="shared" si="89"/>
        <v>-1</v>
      </c>
      <c r="EU101" s="1146">
        <f>SUMIFS(BP_SOTIEN,BP_THANG,EU$2,BP_KM,$E101)/1000</f>
        <v>4166</v>
      </c>
      <c r="EV101" s="1091">
        <f t="shared" si="826"/>
        <v>0.0010415</v>
      </c>
      <c r="EW101" s="1091"/>
      <c r="EX101" s="1147">
        <f>IF(NOW()&gt;=DATE(YEAR(EU$2),MONTH(EU$2)+1,DAY(EU$2)),SUMIFS(TF_SOTIEN,TF_THANG,EU$2,TF_KM,$E101)/1000, FA101)</f>
        <v>4166</v>
      </c>
      <c r="EY101" s="1091">
        <f t="shared" si="827"/>
        <v>0.0006897351039</v>
      </c>
      <c r="EZ101" s="1091"/>
      <c r="FA101" s="1147">
        <f>IF(NOW()&gt;=DATE(YEAR(EU$2),MONTH(EU$2)+1,DAY(EU$2)),SUMIFS(AC_SOTIEN,AC_THANG,EU$2,AC_KM,$E101),SUMIFS(TF_SOTIEN,TF_THANG,EU$2,TF_KM,$E101))/ 1000</f>
        <v>0</v>
      </c>
      <c r="FB101" s="1091" t="str">
        <f t="shared" si="828"/>
        <v/>
      </c>
      <c r="FC101" s="1091" t="str">
        <f t="shared" si="977"/>
        <v/>
      </c>
      <c r="FD101" s="1147">
        <f t="shared" si="616"/>
        <v>-4166</v>
      </c>
      <c r="FE101" s="1091">
        <f t="shared" si="94"/>
        <v>-1</v>
      </c>
      <c r="FF101" s="1147">
        <f t="shared" si="617"/>
        <v>-4166</v>
      </c>
      <c r="FG101" s="1091">
        <f t="shared" si="96"/>
        <v>-1</v>
      </c>
      <c r="FH101" s="1146">
        <f t="shared" si="923"/>
        <v>12498</v>
      </c>
      <c r="FI101" s="1091">
        <f t="shared" si="829"/>
        <v>0.0010415</v>
      </c>
      <c r="FJ101" s="1091">
        <f t="shared" si="978"/>
        <v>0.2213014608</v>
      </c>
      <c r="FK101" s="1147">
        <f t="shared" si="621"/>
        <v>12498</v>
      </c>
      <c r="FL101" s="1091">
        <f t="shared" si="830"/>
        <v>0.0006897351039</v>
      </c>
      <c r="FM101" s="1091">
        <f t="shared" si="979"/>
        <v>0.2213014608</v>
      </c>
      <c r="FN101" s="1147">
        <f t="shared" si="624"/>
        <v>0</v>
      </c>
      <c r="FO101" s="1091" t="str">
        <f t="shared" si="831"/>
        <v/>
      </c>
      <c r="FP101" s="1091" t="str">
        <f t="shared" si="980"/>
        <v/>
      </c>
      <c r="FQ101" s="1147">
        <f t="shared" si="627"/>
        <v>-12498</v>
      </c>
      <c r="FR101" s="1091">
        <f t="shared" si="104"/>
        <v>-1</v>
      </c>
      <c r="FS101" s="1147">
        <f t="shared" si="628"/>
        <v>-12498</v>
      </c>
      <c r="FT101" s="1091">
        <f t="shared" si="106"/>
        <v>-1</v>
      </c>
      <c r="FU101" s="1146">
        <f>SUMIFS(BP_SOTIEN,BP_THANG,FU$2,BP_KM,$E101)/1000</f>
        <v>4166</v>
      </c>
      <c r="FV101" s="1091">
        <f t="shared" si="832"/>
        <v>0.0010415</v>
      </c>
      <c r="FW101" s="1091"/>
      <c r="FX101" s="1147">
        <f>IF(NOW()&gt;=DATE(YEAR(FU$2),MONTH(FU$2)+1,DAY(FU$2)),SUMIFS(TF_SOTIEN,TF_THANG,FU$2,TF_KM,$E101)/1000, GA101)</f>
        <v>4166</v>
      </c>
      <c r="FY101" s="1091">
        <f t="shared" si="833"/>
        <v>0.0006897351039</v>
      </c>
      <c r="FZ101" s="1091"/>
      <c r="GA101" s="1147">
        <f>IF(NOW()&gt;=DATE(YEAR(FU$2),MONTH(FU$2)+1,DAY(FU$2)),SUMIFS(AC_SOTIEN,AC_THANG,FU$2,AC_KM,$E101),SUMIFS(TF_SOTIEN,TF_THANG,FU$2,TF_KM,$E101))/ 1000</f>
        <v>0</v>
      </c>
      <c r="GB101" s="1091" t="str">
        <f t="shared" si="834"/>
        <v/>
      </c>
      <c r="GC101" s="1091" t="str">
        <f t="shared" si="981"/>
        <v/>
      </c>
      <c r="GD101" s="1147">
        <f t="shared" si="635"/>
        <v>-4166</v>
      </c>
      <c r="GE101" s="1091">
        <f t="shared" si="111"/>
        <v>-1</v>
      </c>
      <c r="GF101" s="1147">
        <f t="shared" si="636"/>
        <v>-4166</v>
      </c>
      <c r="GG101" s="1091">
        <f t="shared" si="113"/>
        <v>-1</v>
      </c>
      <c r="GH101" s="1146">
        <f>SUMIFS(BP_SOTIEN,BP_THANG,GH$2,BP_KM,$E101)/1000</f>
        <v>4166</v>
      </c>
      <c r="GI101" s="1091">
        <f t="shared" si="835"/>
        <v>0.0010415</v>
      </c>
      <c r="GJ101" s="1091"/>
      <c r="GK101" s="1147">
        <f>IF(NOW()&gt;=DATE(YEAR(GH$2),MONTH(GH$2)+1,DAY(GH$2)),SUMIFS(TF_SOTIEN,TF_THANG,GH$2,TF_KM,$E101)/1000, GN101)</f>
        <v>4166</v>
      </c>
      <c r="GL101" s="1091">
        <f t="shared" si="836"/>
        <v>0.0006897351039</v>
      </c>
      <c r="GM101" s="1091"/>
      <c r="GN101" s="1147">
        <f>IF(NOW()&gt;=DATE(YEAR(GH$2),MONTH(GH$2)+1,DAY(GH$2)),SUMIFS(AC_SOTIEN,AC_THANG,GH$2,AC_KM,$E101),SUMIFS(TF_SOTIEN,TF_THANG,GH$2,TF_KM,$E101))/ 1000</f>
        <v>0</v>
      </c>
      <c r="GO101" s="1091" t="str">
        <f t="shared" si="837"/>
        <v/>
      </c>
      <c r="GP101" s="1091" t="str">
        <f t="shared" si="982"/>
        <v/>
      </c>
      <c r="GQ101" s="1147">
        <f t="shared" si="643"/>
        <v>-4166</v>
      </c>
      <c r="GR101" s="1091">
        <f t="shared" si="118"/>
        <v>-1</v>
      </c>
      <c r="GS101" s="1147">
        <f t="shared" si="644"/>
        <v>-4166</v>
      </c>
      <c r="GT101" s="1091">
        <f t="shared" si="120"/>
        <v>-1</v>
      </c>
      <c r="GU101" s="1146">
        <f>SUMIFS(BP_SOTIEN,BP_THANG,GU$2,BP_KM,$E101)/1000</f>
        <v>4166</v>
      </c>
      <c r="GV101" s="1091">
        <f t="shared" si="838"/>
        <v>0.0010415</v>
      </c>
      <c r="GW101" s="1091"/>
      <c r="GX101" s="1147">
        <f>IF(NOW()&gt;=DATE(YEAR(GU$2),MONTH(GU$2)+1,DAY(GU$2)),SUMIFS(TF_SOTIEN,TF_THANG,GU$2,TF_KM,$E101)/1000, HA101)</f>
        <v>4166</v>
      </c>
      <c r="GY101" s="1091">
        <f t="shared" si="839"/>
        <v>0.0006897351039</v>
      </c>
      <c r="GZ101" s="1091"/>
      <c r="HA101" s="1147">
        <f>IF(NOW()&gt;=DATE(YEAR(GU$2),MONTH(GU$2)+1,DAY(GU$2)),SUMIFS(AC_SOTIEN,AC_THANG,GU$2,AC_KM,$E101),SUMIFS(TF_SOTIEN,TF_THANG,GU$2,TF_KM,$E101))/ 1000</f>
        <v>0</v>
      </c>
      <c r="HB101" s="1091" t="str">
        <f t="shared" si="840"/>
        <v/>
      </c>
      <c r="HC101" s="1091" t="str">
        <f t="shared" si="983"/>
        <v/>
      </c>
      <c r="HD101" s="1147">
        <f t="shared" si="651"/>
        <v>-4166</v>
      </c>
      <c r="HE101" s="1091">
        <f t="shared" si="125"/>
        <v>-1</v>
      </c>
      <c r="HF101" s="1147">
        <f t="shared" si="652"/>
        <v>-4166</v>
      </c>
      <c r="HG101" s="1091">
        <f t="shared" si="127"/>
        <v>-1</v>
      </c>
      <c r="HH101" s="1146">
        <f t="shared" si="924"/>
        <v>12498</v>
      </c>
      <c r="HI101" s="1091">
        <f t="shared" si="841"/>
        <v>0.0010415</v>
      </c>
      <c r="HJ101" s="1091">
        <f t="shared" si="984"/>
        <v>0.2213014608</v>
      </c>
      <c r="HK101" s="1147">
        <f t="shared" si="656"/>
        <v>12498</v>
      </c>
      <c r="HL101" s="1091">
        <f t="shared" si="842"/>
        <v>0.0006897351039</v>
      </c>
      <c r="HM101" s="1091">
        <f t="shared" si="985"/>
        <v>0.2213014608</v>
      </c>
      <c r="HN101" s="1147">
        <f t="shared" si="659"/>
        <v>0</v>
      </c>
      <c r="HO101" s="1091" t="str">
        <f t="shared" si="843"/>
        <v/>
      </c>
      <c r="HP101" s="1091" t="str">
        <f t="shared" si="986"/>
        <v/>
      </c>
      <c r="HQ101" s="1147">
        <f t="shared" si="662"/>
        <v>-12498</v>
      </c>
      <c r="HR101" s="1091">
        <f t="shared" si="135"/>
        <v>-1</v>
      </c>
      <c r="HS101" s="1147">
        <f t="shared" si="663"/>
        <v>-12498</v>
      </c>
      <c r="HT101" s="1091">
        <f t="shared" si="137"/>
        <v>-1</v>
      </c>
      <c r="HU101" s="1146">
        <f t="shared" si="925"/>
        <v>24996</v>
      </c>
      <c r="HV101" s="1091">
        <f t="shared" si="844"/>
        <v>0.0010415</v>
      </c>
      <c r="HW101" s="1091">
        <f t="shared" si="987"/>
        <v>0.2213014608</v>
      </c>
      <c r="HX101" s="1147">
        <f t="shared" si="667"/>
        <v>24996</v>
      </c>
      <c r="HY101" s="1091">
        <f t="shared" si="845"/>
        <v>0.0006897351039</v>
      </c>
      <c r="HZ101" s="1091">
        <f t="shared" si="988"/>
        <v>0.2213014608</v>
      </c>
      <c r="IA101" s="1147">
        <f t="shared" si="670"/>
        <v>0</v>
      </c>
      <c r="IB101" s="1091" t="str">
        <f t="shared" si="846"/>
        <v/>
      </c>
      <c r="IC101" s="1091" t="str">
        <f t="shared" si="989"/>
        <v/>
      </c>
      <c r="ID101" s="1147">
        <f t="shared" si="673"/>
        <v>-24996</v>
      </c>
      <c r="IE101" s="1091">
        <f t="shared" si="145"/>
        <v>-1</v>
      </c>
      <c r="IF101" s="1147">
        <f t="shared" si="674"/>
        <v>-24996</v>
      </c>
      <c r="IG101" s="1091">
        <f t="shared" si="147"/>
        <v>-1</v>
      </c>
      <c r="IH101" s="1146">
        <f t="shared" si="926"/>
        <v>49992</v>
      </c>
      <c r="II101" s="1091">
        <f t="shared" si="847"/>
        <v>0.001388666667</v>
      </c>
      <c r="IJ101" s="1091">
        <f t="shared" si="990"/>
        <v>0.2184010485</v>
      </c>
      <c r="IK101" s="1147">
        <f t="shared" si="678"/>
        <v>37494</v>
      </c>
      <c r="IL101" s="1091">
        <f t="shared" si="848"/>
        <v>0.0009044624728</v>
      </c>
      <c r="IM101" s="1091">
        <f t="shared" si="991"/>
        <v>0.1740528651</v>
      </c>
      <c r="IN101" s="1147">
        <f t="shared" si="681"/>
        <v>0</v>
      </c>
      <c r="IO101" s="1091">
        <f t="shared" si="849"/>
        <v>0</v>
      </c>
      <c r="IP101" s="1091">
        <f t="shared" si="992"/>
        <v>0</v>
      </c>
      <c r="IQ101" s="1147">
        <f t="shared" si="684"/>
        <v>-49992</v>
      </c>
      <c r="IR101" s="1091">
        <f t="shared" si="1"/>
        <v>-1</v>
      </c>
      <c r="IS101" s="1147">
        <f t="shared" si="685"/>
        <v>-37494</v>
      </c>
      <c r="IT101" s="1091">
        <f t="shared" si="2"/>
        <v>-1</v>
      </c>
    </row>
    <row r="102" outlineLevel="1">
      <c r="A102" s="737"/>
      <c r="B102" s="737"/>
      <c r="C102" s="737"/>
      <c r="D102" s="737" t="s">
        <v>2863</v>
      </c>
      <c r="E102" s="737" t="s">
        <v>272</v>
      </c>
      <c r="F102" s="737"/>
      <c r="G102" s="748">
        <v>3.0</v>
      </c>
      <c r="H102" s="1146">
        <f>SUMIFS(BP_SOTIEN,BP_THANG,H$2,BP_KM,$E102)/1000</f>
        <v>6666</v>
      </c>
      <c r="I102" s="1091" t="str">
        <f t="shared" si="791"/>
        <v/>
      </c>
      <c r="J102" s="1091"/>
      <c r="K102" s="1147">
        <f>IF(NOW()&gt;=DATE(YEAR(H$2),MONTH(H$2)+1,DAY(H$2)),SUMIFS(TF_SOTIEN,TF_THANG,H$2,TF_KM,$E102)/1000, N102)</f>
        <v>6666</v>
      </c>
      <c r="L102" s="1091">
        <f t="shared" si="792"/>
        <v>0.05555</v>
      </c>
      <c r="M102" s="1091"/>
      <c r="N102" s="1147">
        <f>IF(NOW()&gt;=DATE(YEAR(H$2),MONTH(H$2)+1,DAY(H$2)),SUMIFS(AC_SOTIEN,AC_THANG,H$2,AC_KM,$E102),SUMIFS(TF_SOTIEN,TF_THANG,H$2,TF_KM,$E102))/ 1000</f>
        <v>5345.848</v>
      </c>
      <c r="O102" s="1091">
        <f t="shared" si="793"/>
        <v>0.01572308235</v>
      </c>
      <c r="P102" s="1091">
        <f t="shared" si="960"/>
        <v>0.5255562689</v>
      </c>
      <c r="Q102" s="1147">
        <f t="shared" si="518"/>
        <v>-1320.152</v>
      </c>
      <c r="R102" s="1091">
        <f t="shared" si="8"/>
        <v>-0.1980426043</v>
      </c>
      <c r="S102" s="1147">
        <f t="shared" si="519"/>
        <v>-1320.152</v>
      </c>
      <c r="T102" s="1091">
        <f t="shared" si="10"/>
        <v>-0.1980426043</v>
      </c>
      <c r="U102" s="1146">
        <f>SUMIFS(BP_SOTIEN,BP_THANG,U$2,BP_KM,$E102)/1000</f>
        <v>6666</v>
      </c>
      <c r="V102" s="1091" t="str">
        <f t="shared" si="794"/>
        <v/>
      </c>
      <c r="W102" s="1091"/>
      <c r="X102" s="1147">
        <f>IF(NOW()&gt;=DATE(YEAR(U$2),MONTH(U$2)+1,DAY(U$2)),SUMIFS(TF_SOTIEN,TF_THANG,U$2,TF_KM,$E102)/1000, AA102)</f>
        <v>1829</v>
      </c>
      <c r="Y102" s="1091" t="str">
        <f t="shared" si="795"/>
        <v/>
      </c>
      <c r="Z102" s="1091"/>
      <c r="AA102" s="1147">
        <f>IF(NOW()&gt;=DATE(YEAR(U$2),MONTH(U$2)+1,DAY(U$2)),SUMIFS(AC_SOTIEN,AC_THANG,U$2,AC_KM,$E102),SUMIFS(TF_SOTIEN,TF_THANG,U$2,TF_KM,$E102))/ 1000</f>
        <v>1828.999</v>
      </c>
      <c r="AB102" s="1091">
        <f t="shared" si="796"/>
        <v>0.01016110556</v>
      </c>
      <c r="AC102" s="1091">
        <f t="shared" si="961"/>
        <v>0.177068143</v>
      </c>
      <c r="AD102" s="1147">
        <f t="shared" si="526"/>
        <v>-4837.001</v>
      </c>
      <c r="AE102" s="1091">
        <f t="shared" si="15"/>
        <v>-0.7256227123</v>
      </c>
      <c r="AF102" s="1147">
        <f t="shared" si="527"/>
        <v>-0.001</v>
      </c>
      <c r="AG102" s="1091">
        <f t="shared" si="17"/>
        <v>-0.0000005467468562</v>
      </c>
      <c r="AH102" s="1146">
        <f>SUMIFS(BP_SOTIEN,BP_THANG,AH$2,BP_KM,$E102)/1000</f>
        <v>6666</v>
      </c>
      <c r="AI102" s="1091" t="str">
        <f t="shared" si="797"/>
        <v/>
      </c>
      <c r="AJ102" s="1091"/>
      <c r="AK102" s="1147">
        <f>IF(NOW()&gt;=DATE(YEAR(AH$2),MONTH(AH$2)+1,DAY(AH$2)),SUMIFS(TF_SOTIEN,TF_THANG,AH$2,TF_KM,$E102)/1000, AN102)</f>
        <v>1829</v>
      </c>
      <c r="AL102" s="1091">
        <f t="shared" si="798"/>
        <v>0.0005080555556</v>
      </c>
      <c r="AM102" s="1091"/>
      <c r="AN102" s="1147">
        <f>IF(NOW()&gt;=DATE(YEAR(AH$2),MONTH(AH$2)+1,DAY(AH$2)),SUMIFS(AC_SOTIEN,AC_THANG,AH$2,AC_KM,$E102),SUMIFS(TF_SOTIEN,TF_THANG,AH$2,TF_KM,$E102))/ 1000</f>
        <v>6022.356</v>
      </c>
      <c r="AO102" s="1091">
        <f t="shared" si="799"/>
        <v>0.009015502994</v>
      </c>
      <c r="AP102" s="1091">
        <f t="shared" si="962"/>
        <v>0.3340731842</v>
      </c>
      <c r="AQ102" s="1147">
        <f t="shared" si="534"/>
        <v>-643.644</v>
      </c>
      <c r="AR102" s="1091">
        <f t="shared" si="22"/>
        <v>-0.09655625563</v>
      </c>
      <c r="AS102" s="1147">
        <f t="shared" si="535"/>
        <v>4193.356</v>
      </c>
      <c r="AT102" s="1091">
        <f t="shared" si="24"/>
        <v>2.29270421</v>
      </c>
      <c r="AU102" s="1146">
        <f t="shared" si="916"/>
        <v>19998</v>
      </c>
      <c r="AV102" s="1091" t="str">
        <f t="shared" si="800"/>
        <v/>
      </c>
      <c r="AW102" s="1091">
        <f t="shared" si="963"/>
        <v>0.3362421185</v>
      </c>
      <c r="AX102" s="1147">
        <f t="shared" si="917"/>
        <v>10324</v>
      </c>
      <c r="AY102" s="1091">
        <f t="shared" si="801"/>
        <v>0.002775268817</v>
      </c>
      <c r="AZ102" s="1091">
        <f t="shared" si="964"/>
        <v>0.2241424229</v>
      </c>
      <c r="BA102" s="1147">
        <f t="shared" si="918"/>
        <v>13197.203</v>
      </c>
      <c r="BB102" s="1091">
        <f t="shared" si="802"/>
        <v>0.01110875673</v>
      </c>
      <c r="BC102" s="1091">
        <f t="shared" si="965"/>
        <v>0.3425336254</v>
      </c>
      <c r="BD102" s="1147">
        <f t="shared" si="545"/>
        <v>-6800.797</v>
      </c>
      <c r="BE102" s="1091">
        <f t="shared" si="32"/>
        <v>-0.3400738574</v>
      </c>
      <c r="BF102" s="1147">
        <f t="shared" si="546"/>
        <v>2873.203</v>
      </c>
      <c r="BG102" s="1091">
        <f t="shared" si="34"/>
        <v>0.2783032739</v>
      </c>
      <c r="BH102" s="1146">
        <f>SUMIFS(BP_SOTIEN,BP_THANG,BH$2,BP_KM,$E102)/1000</f>
        <v>6666</v>
      </c>
      <c r="BI102" s="1091">
        <f t="shared" si="803"/>
        <v>0.0016665</v>
      </c>
      <c r="BJ102" s="1091"/>
      <c r="BK102" s="1147">
        <f>IF(NOW()&gt;=DATE(YEAR(BH$2),MONTH(BH$2)+1,DAY(BH$2)),SUMIFS(TF_SOTIEN,TF_THANG,BH$2,TF_KM,$E102)/1000, BN102)</f>
        <v>6000</v>
      </c>
      <c r="BL102" s="1091" t="str">
        <f t="shared" si="804"/>
        <v/>
      </c>
      <c r="BM102" s="1091"/>
      <c r="BN102" s="1147">
        <f>IF(NOW()&gt;=DATE(YEAR(BH$2),MONTH(BH$2)+1,DAY(BH$2)),SUMIFS(AC_SOTIEN,AC_THANG,BH$2,AC_KM,$E102),SUMIFS(TF_SOTIEN,TF_THANG,BH$2,TF_KM,$E102))/ 1000</f>
        <v>7272.5</v>
      </c>
      <c r="BO102" s="1091">
        <f t="shared" si="805"/>
        <v>0.002795996986</v>
      </c>
      <c r="BP102" s="1091">
        <f t="shared" si="966"/>
        <v>0.4183806514</v>
      </c>
      <c r="BQ102" s="1147">
        <f t="shared" si="553"/>
        <v>606.5</v>
      </c>
      <c r="BR102" s="1091">
        <f t="shared" si="39"/>
        <v>0.09098409841</v>
      </c>
      <c r="BS102" s="1147">
        <f t="shared" si="554"/>
        <v>1272.5</v>
      </c>
      <c r="BT102" s="1091">
        <f t="shared" si="41"/>
        <v>0.2120833333</v>
      </c>
      <c r="BU102" s="1146">
        <f>SUMIFS(BP_SOTIEN,BP_THANG,BU$2,BP_KM,$E102)/1000</f>
        <v>6666</v>
      </c>
      <c r="BV102" s="1091">
        <f t="shared" si="806"/>
        <v>0.0016665</v>
      </c>
      <c r="BW102" s="1091"/>
      <c r="BX102" s="1147">
        <f>IF(NOW()&gt;=DATE(YEAR(BU$2),MONTH(BU$2)+1,DAY(BU$2)),SUMIFS(TF_SOTIEN,TF_THANG,BU$2,TF_KM,$E102)/1000, CA102)</f>
        <v>6666</v>
      </c>
      <c r="BY102" s="1091">
        <f t="shared" si="807"/>
        <v>0.004460484523</v>
      </c>
      <c r="BZ102" s="1091"/>
      <c r="CA102" s="1147">
        <f>IF(NOW()&gt;=DATE(YEAR(BU$2),MONTH(BU$2)+1,DAY(BU$2)),SUMIFS(AC_SOTIEN,AC_THANG,BU$2,AC_KM,$E102),SUMIFS(TF_SOTIEN,TF_THANG,BU$2,TF_KM,$E102))/ 1000</f>
        <v>8868.815</v>
      </c>
      <c r="CB102" s="1091">
        <f t="shared" si="808"/>
        <v>0.01596339448</v>
      </c>
      <c r="CC102" s="1091">
        <f t="shared" si="967"/>
        <v>0.4901895109</v>
      </c>
      <c r="CD102" s="1147">
        <f t="shared" si="561"/>
        <v>2202.815</v>
      </c>
      <c r="CE102" s="1091">
        <f t="shared" si="46"/>
        <v>0.3304552955</v>
      </c>
      <c r="CF102" s="1147">
        <f t="shared" si="562"/>
        <v>2202.815</v>
      </c>
      <c r="CG102" s="1091">
        <f t="shared" si="48"/>
        <v>0.3304552955</v>
      </c>
      <c r="CH102" s="1146">
        <f>SUMIFS(BP_SOTIEN,BP_THANG,CH$2,BP_KM,$E102)/1000</f>
        <v>6666</v>
      </c>
      <c r="CI102" s="1091">
        <f t="shared" si="809"/>
        <v>0.0016665</v>
      </c>
      <c r="CJ102" s="1091"/>
      <c r="CK102" s="1147">
        <f>IF(NOW()&gt;=DATE(YEAR(CH$2),MONTH(CH$2)+1,DAY(CH$2)),SUMIFS(TF_SOTIEN,TF_THANG,CH$2,TF_KM,$E102)/1000, CN102)</f>
        <v>9000</v>
      </c>
      <c r="CL102" s="1091" t="str">
        <f t="shared" si="810"/>
        <v/>
      </c>
      <c r="CM102" s="1091"/>
      <c r="CN102" s="1147">
        <f>IF(NOW()&gt;=DATE(YEAR(CH$2),MONTH(CH$2)+1,DAY(CH$2)),SUMIFS(AC_SOTIEN,AC_THANG,CH$2,AC_KM,$E102),SUMIFS(TF_SOTIEN,TF_THANG,CH$2,TF_KM,$E102))/ 1000</f>
        <v>0</v>
      </c>
      <c r="CO102" s="1091" t="str">
        <f t="shared" si="811"/>
        <v/>
      </c>
      <c r="CP102" s="1091" t="str">
        <f t="shared" si="968"/>
        <v/>
      </c>
      <c r="CQ102" s="1147">
        <f t="shared" si="569"/>
        <v>-6666</v>
      </c>
      <c r="CR102" s="1091">
        <f t="shared" si="53"/>
        <v>-1</v>
      </c>
      <c r="CS102" s="1147">
        <f t="shared" si="570"/>
        <v>-9000</v>
      </c>
      <c r="CT102" s="1091">
        <f t="shared" si="55"/>
        <v>-1</v>
      </c>
      <c r="CU102" s="1146">
        <f t="shared" si="919"/>
        <v>19998</v>
      </c>
      <c r="CV102" s="1091">
        <f t="shared" si="812"/>
        <v>0.0016665</v>
      </c>
      <c r="CW102" s="1091">
        <f t="shared" si="969"/>
        <v>0.3541035857</v>
      </c>
      <c r="CX102" s="1147">
        <f t="shared" si="920"/>
        <v>21666</v>
      </c>
      <c r="CY102" s="1091">
        <f t="shared" si="814"/>
        <v>0.01449757841</v>
      </c>
      <c r="CZ102" s="1091">
        <f t="shared" si="970"/>
        <v>0.3840991531</v>
      </c>
      <c r="DA102" s="1147">
        <f t="shared" si="921"/>
        <v>16141.315</v>
      </c>
      <c r="DB102" s="1091">
        <f t="shared" si="816"/>
        <v>0.005113493518</v>
      </c>
      <c r="DC102" s="1091">
        <f t="shared" si="971"/>
        <v>0.4550038039</v>
      </c>
      <c r="DD102" s="1147">
        <f t="shared" si="580"/>
        <v>-3856.685</v>
      </c>
      <c r="DE102" s="1091">
        <f t="shared" si="63"/>
        <v>-0.1928535354</v>
      </c>
      <c r="DF102" s="1147">
        <f t="shared" si="581"/>
        <v>-5524.685</v>
      </c>
      <c r="DG102" s="1091">
        <f t="shared" si="65"/>
        <v>-0.2549933075</v>
      </c>
      <c r="DH102" s="1146">
        <f t="shared" si="922"/>
        <v>39996</v>
      </c>
      <c r="DI102" s="1091">
        <f t="shared" si="817"/>
        <v>0.003333</v>
      </c>
      <c r="DJ102" s="1091">
        <f t="shared" si="972"/>
        <v>0.3449417853</v>
      </c>
      <c r="DK102" s="1147">
        <f t="shared" si="585"/>
        <v>31990</v>
      </c>
      <c r="DL102" s="1091">
        <f t="shared" si="818"/>
        <v>0.006134867579</v>
      </c>
      <c r="DM102" s="1091">
        <f t="shared" si="973"/>
        <v>0.312197129</v>
      </c>
      <c r="DN102" s="1147">
        <f t="shared" si="588"/>
        <v>29338.518</v>
      </c>
      <c r="DO102" s="1091">
        <f t="shared" si="819"/>
        <v>0.006752851118</v>
      </c>
      <c r="DP102" s="1091">
        <f t="shared" si="974"/>
        <v>0.3964486836</v>
      </c>
      <c r="DQ102" s="1147">
        <f t="shared" si="591"/>
        <v>-10657.482</v>
      </c>
      <c r="DR102" s="1091">
        <f t="shared" si="73"/>
        <v>-0.2664636964</v>
      </c>
      <c r="DS102" s="1147">
        <f t="shared" si="592"/>
        <v>-2651.482</v>
      </c>
      <c r="DT102" s="1091">
        <f t="shared" si="75"/>
        <v>-0.08288471397</v>
      </c>
      <c r="DU102" s="1146">
        <f>SUMIFS(BP_SOTIEN,BP_THANG,DU$2,BP_KM,$E102)/1000</f>
        <v>6666</v>
      </c>
      <c r="DV102" s="1091">
        <f t="shared" si="820"/>
        <v>0.0016665</v>
      </c>
      <c r="DW102" s="1091"/>
      <c r="DX102" s="1147">
        <f>IF(NOW()&gt;=DATE(YEAR(DU$2),MONTH(DU$2)+1,DAY(DU$2)),SUMIFS(TF_SOTIEN,TF_THANG,DU$2,TF_KM,$E102)/1000, EA102)</f>
        <v>6666</v>
      </c>
      <c r="DY102" s="1091">
        <f t="shared" si="821"/>
        <v>0.001103642391</v>
      </c>
      <c r="DZ102" s="1091"/>
      <c r="EA102" s="1147">
        <f>IF(NOW()&gt;=DATE(YEAR(DU$2),MONTH(DU$2)+1,DAY(DU$2)),SUMIFS(AC_SOTIEN,AC_THANG,DU$2,AC_KM,$E102),SUMIFS(TF_SOTIEN,TF_THANG,DU$2,TF_KM,$E102))/ 1000</f>
        <v>0</v>
      </c>
      <c r="EB102" s="1091" t="str">
        <f t="shared" si="822"/>
        <v/>
      </c>
      <c r="EC102" s="1091" t="str">
        <f t="shared" si="975"/>
        <v/>
      </c>
      <c r="ED102" s="1147">
        <f t="shared" si="599"/>
        <v>-6666</v>
      </c>
      <c r="EE102" s="1091">
        <f t="shared" si="80"/>
        <v>-1</v>
      </c>
      <c r="EF102" s="1147">
        <f t="shared" si="600"/>
        <v>-6666</v>
      </c>
      <c r="EG102" s="1091">
        <f t="shared" si="82"/>
        <v>-1</v>
      </c>
      <c r="EH102" s="1146">
        <f>SUMIFS(BP_SOTIEN,BP_THANG,EH$2,BP_KM,$E102)/1000</f>
        <v>6666</v>
      </c>
      <c r="EI102" s="1091">
        <f t="shared" si="823"/>
        <v>0.0016665</v>
      </c>
      <c r="EJ102" s="1091"/>
      <c r="EK102" s="1147">
        <f>IF(NOW()&gt;=DATE(YEAR(EH$2),MONTH(EH$2)+1,DAY(EH$2)),SUMIFS(TF_SOTIEN,TF_THANG,EH$2,TF_KM,$E102)/1000, EN102)</f>
        <v>6666</v>
      </c>
      <c r="EL102" s="1091">
        <f t="shared" si="824"/>
        <v>0.001103642391</v>
      </c>
      <c r="EM102" s="1091"/>
      <c r="EN102" s="1147">
        <f>IF(NOW()&gt;=DATE(YEAR(EH$2),MONTH(EH$2)+1,DAY(EH$2)),SUMIFS(AC_SOTIEN,AC_THANG,EH$2,AC_KM,$E102),SUMIFS(TF_SOTIEN,TF_THANG,EH$2,TF_KM,$E102))/ 1000</f>
        <v>0</v>
      </c>
      <c r="EO102" s="1091" t="str">
        <f t="shared" si="825"/>
        <v/>
      </c>
      <c r="EP102" s="1091" t="str">
        <f t="shared" si="976"/>
        <v/>
      </c>
      <c r="EQ102" s="1147">
        <f t="shared" si="607"/>
        <v>-6666</v>
      </c>
      <c r="ER102" s="1091">
        <f t="shared" si="87"/>
        <v>-1</v>
      </c>
      <c r="ES102" s="1147">
        <f t="shared" si="608"/>
        <v>-6666</v>
      </c>
      <c r="ET102" s="1091">
        <f t="shared" si="89"/>
        <v>-1</v>
      </c>
      <c r="EU102" s="1146">
        <f>SUMIFS(BP_SOTIEN,BP_THANG,EU$2,BP_KM,$E102)/1000</f>
        <v>6666</v>
      </c>
      <c r="EV102" s="1091">
        <f t="shared" si="826"/>
        <v>0.0016665</v>
      </c>
      <c r="EW102" s="1091"/>
      <c r="EX102" s="1147">
        <f>IF(NOW()&gt;=DATE(YEAR(EU$2),MONTH(EU$2)+1,DAY(EU$2)),SUMIFS(TF_SOTIEN,TF_THANG,EU$2,TF_KM,$E102)/1000, FA102)</f>
        <v>6666</v>
      </c>
      <c r="EY102" s="1091">
        <f t="shared" si="827"/>
        <v>0.001103642391</v>
      </c>
      <c r="EZ102" s="1091"/>
      <c r="FA102" s="1147">
        <f>IF(NOW()&gt;=DATE(YEAR(EU$2),MONTH(EU$2)+1,DAY(EU$2)),SUMIFS(AC_SOTIEN,AC_THANG,EU$2,AC_KM,$E102),SUMIFS(TF_SOTIEN,TF_THANG,EU$2,TF_KM,$E102))/ 1000</f>
        <v>0</v>
      </c>
      <c r="FB102" s="1091" t="str">
        <f t="shared" si="828"/>
        <v/>
      </c>
      <c r="FC102" s="1091" t="str">
        <f t="shared" si="977"/>
        <v/>
      </c>
      <c r="FD102" s="1147">
        <f t="shared" si="616"/>
        <v>-6666</v>
      </c>
      <c r="FE102" s="1091">
        <f t="shared" si="94"/>
        <v>-1</v>
      </c>
      <c r="FF102" s="1147">
        <f t="shared" si="617"/>
        <v>-6666</v>
      </c>
      <c r="FG102" s="1091">
        <f t="shared" si="96"/>
        <v>-1</v>
      </c>
      <c r="FH102" s="1146">
        <f t="shared" si="923"/>
        <v>19998</v>
      </c>
      <c r="FI102" s="1091">
        <f t="shared" si="829"/>
        <v>0.0016665</v>
      </c>
      <c r="FJ102" s="1091">
        <f t="shared" si="978"/>
        <v>0.3541035857</v>
      </c>
      <c r="FK102" s="1147">
        <f t="shared" si="621"/>
        <v>19998</v>
      </c>
      <c r="FL102" s="1091">
        <f t="shared" si="830"/>
        <v>0.001103642391</v>
      </c>
      <c r="FM102" s="1091">
        <f t="shared" si="979"/>
        <v>0.3541035857</v>
      </c>
      <c r="FN102" s="1147">
        <f t="shared" si="624"/>
        <v>0</v>
      </c>
      <c r="FO102" s="1091" t="str">
        <f t="shared" si="831"/>
        <v/>
      </c>
      <c r="FP102" s="1091" t="str">
        <f t="shared" si="980"/>
        <v/>
      </c>
      <c r="FQ102" s="1147">
        <f t="shared" si="627"/>
        <v>-19998</v>
      </c>
      <c r="FR102" s="1091">
        <f t="shared" si="104"/>
        <v>-1</v>
      </c>
      <c r="FS102" s="1147">
        <f t="shared" si="628"/>
        <v>-19998</v>
      </c>
      <c r="FT102" s="1091">
        <f t="shared" si="106"/>
        <v>-1</v>
      </c>
      <c r="FU102" s="1146">
        <f>SUMIFS(BP_SOTIEN,BP_THANG,FU$2,BP_KM,$E102)/1000</f>
        <v>6666</v>
      </c>
      <c r="FV102" s="1091">
        <f t="shared" si="832"/>
        <v>0.0016665</v>
      </c>
      <c r="FW102" s="1091"/>
      <c r="FX102" s="1147">
        <f>IF(NOW()&gt;=DATE(YEAR(FU$2),MONTH(FU$2)+1,DAY(FU$2)),SUMIFS(TF_SOTIEN,TF_THANG,FU$2,TF_KM,$E102)/1000, GA102)</f>
        <v>6666</v>
      </c>
      <c r="FY102" s="1091">
        <f t="shared" si="833"/>
        <v>0.001103642391</v>
      </c>
      <c r="FZ102" s="1091"/>
      <c r="GA102" s="1147">
        <f>IF(NOW()&gt;=DATE(YEAR(FU$2),MONTH(FU$2)+1,DAY(FU$2)),SUMIFS(AC_SOTIEN,AC_THANG,FU$2,AC_KM,$E102),SUMIFS(TF_SOTIEN,TF_THANG,FU$2,TF_KM,$E102))/ 1000</f>
        <v>0</v>
      </c>
      <c r="GB102" s="1091" t="str">
        <f t="shared" si="834"/>
        <v/>
      </c>
      <c r="GC102" s="1091" t="str">
        <f t="shared" si="981"/>
        <v/>
      </c>
      <c r="GD102" s="1147">
        <f t="shared" si="635"/>
        <v>-6666</v>
      </c>
      <c r="GE102" s="1091">
        <f t="shared" si="111"/>
        <v>-1</v>
      </c>
      <c r="GF102" s="1147">
        <f t="shared" si="636"/>
        <v>-6666</v>
      </c>
      <c r="GG102" s="1091">
        <f t="shared" si="113"/>
        <v>-1</v>
      </c>
      <c r="GH102" s="1146">
        <f>SUMIFS(BP_SOTIEN,BP_THANG,GH$2,BP_KM,$E102)/1000</f>
        <v>6666</v>
      </c>
      <c r="GI102" s="1091">
        <f t="shared" si="835"/>
        <v>0.0016665</v>
      </c>
      <c r="GJ102" s="1091"/>
      <c r="GK102" s="1147">
        <f>IF(NOW()&gt;=DATE(YEAR(GH$2),MONTH(GH$2)+1,DAY(GH$2)),SUMIFS(TF_SOTIEN,TF_THANG,GH$2,TF_KM,$E102)/1000, GN102)</f>
        <v>6666</v>
      </c>
      <c r="GL102" s="1091">
        <f t="shared" si="836"/>
        <v>0.001103642391</v>
      </c>
      <c r="GM102" s="1091"/>
      <c r="GN102" s="1147">
        <f>IF(NOW()&gt;=DATE(YEAR(GH$2),MONTH(GH$2)+1,DAY(GH$2)),SUMIFS(AC_SOTIEN,AC_THANG,GH$2,AC_KM,$E102),SUMIFS(TF_SOTIEN,TF_THANG,GH$2,TF_KM,$E102))/ 1000</f>
        <v>0</v>
      </c>
      <c r="GO102" s="1091" t="str">
        <f t="shared" si="837"/>
        <v/>
      </c>
      <c r="GP102" s="1091" t="str">
        <f t="shared" si="982"/>
        <v/>
      </c>
      <c r="GQ102" s="1147">
        <f t="shared" si="643"/>
        <v>-6666</v>
      </c>
      <c r="GR102" s="1091">
        <f t="shared" si="118"/>
        <v>-1</v>
      </c>
      <c r="GS102" s="1147">
        <f t="shared" si="644"/>
        <v>-6666</v>
      </c>
      <c r="GT102" s="1091">
        <f t="shared" si="120"/>
        <v>-1</v>
      </c>
      <c r="GU102" s="1146">
        <f>SUMIFS(BP_SOTIEN,BP_THANG,GU$2,BP_KM,$E102)/1000</f>
        <v>6666</v>
      </c>
      <c r="GV102" s="1091">
        <f t="shared" si="838"/>
        <v>0.0016665</v>
      </c>
      <c r="GW102" s="1091"/>
      <c r="GX102" s="1147">
        <f>IF(NOW()&gt;=DATE(YEAR(GU$2),MONTH(GU$2)+1,DAY(GU$2)),SUMIFS(TF_SOTIEN,TF_THANG,GU$2,TF_KM,$E102)/1000, HA102)</f>
        <v>6666</v>
      </c>
      <c r="GY102" s="1091">
        <f t="shared" si="839"/>
        <v>0.001103642391</v>
      </c>
      <c r="GZ102" s="1091"/>
      <c r="HA102" s="1147">
        <f>IF(NOW()&gt;=DATE(YEAR(GU$2),MONTH(GU$2)+1,DAY(GU$2)),SUMIFS(AC_SOTIEN,AC_THANG,GU$2,AC_KM,$E102),SUMIFS(TF_SOTIEN,TF_THANG,GU$2,TF_KM,$E102))/ 1000</f>
        <v>0</v>
      </c>
      <c r="HB102" s="1091" t="str">
        <f t="shared" si="840"/>
        <v/>
      </c>
      <c r="HC102" s="1091" t="str">
        <f t="shared" si="983"/>
        <v/>
      </c>
      <c r="HD102" s="1147">
        <f t="shared" si="651"/>
        <v>-6666</v>
      </c>
      <c r="HE102" s="1091">
        <f t="shared" si="125"/>
        <v>-1</v>
      </c>
      <c r="HF102" s="1147">
        <f t="shared" si="652"/>
        <v>-6666</v>
      </c>
      <c r="HG102" s="1091">
        <f t="shared" si="127"/>
        <v>-1</v>
      </c>
      <c r="HH102" s="1146">
        <f t="shared" si="924"/>
        <v>19998</v>
      </c>
      <c r="HI102" s="1091">
        <f t="shared" si="841"/>
        <v>0.0016665</v>
      </c>
      <c r="HJ102" s="1091">
        <f t="shared" si="984"/>
        <v>0.3541035857</v>
      </c>
      <c r="HK102" s="1147">
        <f t="shared" si="656"/>
        <v>19998</v>
      </c>
      <c r="HL102" s="1091">
        <f t="shared" si="842"/>
        <v>0.001103642391</v>
      </c>
      <c r="HM102" s="1091">
        <f t="shared" si="985"/>
        <v>0.3541035857</v>
      </c>
      <c r="HN102" s="1147">
        <f t="shared" si="659"/>
        <v>0</v>
      </c>
      <c r="HO102" s="1091" t="str">
        <f t="shared" si="843"/>
        <v/>
      </c>
      <c r="HP102" s="1091" t="str">
        <f t="shared" si="986"/>
        <v/>
      </c>
      <c r="HQ102" s="1147">
        <f t="shared" si="662"/>
        <v>-19998</v>
      </c>
      <c r="HR102" s="1091">
        <f t="shared" si="135"/>
        <v>-1</v>
      </c>
      <c r="HS102" s="1147">
        <f t="shared" si="663"/>
        <v>-19998</v>
      </c>
      <c r="HT102" s="1091">
        <f t="shared" si="137"/>
        <v>-1</v>
      </c>
      <c r="HU102" s="1146">
        <f t="shared" si="925"/>
        <v>39996</v>
      </c>
      <c r="HV102" s="1091">
        <f t="shared" si="844"/>
        <v>0.0016665</v>
      </c>
      <c r="HW102" s="1091">
        <f t="shared" si="987"/>
        <v>0.3541035857</v>
      </c>
      <c r="HX102" s="1147">
        <f t="shared" si="667"/>
        <v>39996</v>
      </c>
      <c r="HY102" s="1091">
        <f t="shared" si="845"/>
        <v>0.001103642391</v>
      </c>
      <c r="HZ102" s="1091">
        <f t="shared" si="988"/>
        <v>0.3541035857</v>
      </c>
      <c r="IA102" s="1147">
        <f t="shared" si="670"/>
        <v>0</v>
      </c>
      <c r="IB102" s="1091" t="str">
        <f t="shared" si="846"/>
        <v/>
      </c>
      <c r="IC102" s="1091" t="str">
        <f t="shared" si="989"/>
        <v/>
      </c>
      <c r="ID102" s="1147">
        <f t="shared" si="673"/>
        <v>-39996</v>
      </c>
      <c r="IE102" s="1091">
        <f t="shared" si="145"/>
        <v>-1</v>
      </c>
      <c r="IF102" s="1147">
        <f t="shared" si="674"/>
        <v>-39996</v>
      </c>
      <c r="IG102" s="1091">
        <f t="shared" si="147"/>
        <v>-1</v>
      </c>
      <c r="IH102" s="1146">
        <f t="shared" si="926"/>
        <v>79992</v>
      </c>
      <c r="II102" s="1091">
        <f t="shared" si="847"/>
        <v>0.002222</v>
      </c>
      <c r="IJ102" s="1091">
        <f t="shared" si="990"/>
        <v>0.3494626474</v>
      </c>
      <c r="IK102" s="1147">
        <f t="shared" si="678"/>
        <v>71986</v>
      </c>
      <c r="IL102" s="1091">
        <f t="shared" si="848"/>
        <v>0.001736508123</v>
      </c>
      <c r="IM102" s="1091">
        <f t="shared" si="991"/>
        <v>0.3341699885</v>
      </c>
      <c r="IN102" s="1147">
        <f t="shared" si="681"/>
        <v>29338.518</v>
      </c>
      <c r="IO102" s="1091">
        <f t="shared" si="849"/>
        <v>0.006752851118</v>
      </c>
      <c r="IP102" s="1091">
        <f t="shared" si="992"/>
        <v>0.3964486836</v>
      </c>
      <c r="IQ102" s="1147">
        <f t="shared" si="684"/>
        <v>-50653.482</v>
      </c>
      <c r="IR102" s="1091">
        <f t="shared" si="1"/>
        <v>-0.6332318482</v>
      </c>
      <c r="IS102" s="1147">
        <f t="shared" si="685"/>
        <v>-42647.482</v>
      </c>
      <c r="IT102" s="1091">
        <f t="shared" si="2"/>
        <v>-0.5924413358</v>
      </c>
    </row>
    <row r="103" outlineLevel="1">
      <c r="A103" s="737"/>
      <c r="B103" s="737"/>
      <c r="C103" s="737"/>
      <c r="D103" s="737" t="s">
        <v>2864</v>
      </c>
      <c r="E103" s="737" t="s">
        <v>219</v>
      </c>
      <c r="F103" s="737"/>
      <c r="G103" s="748">
        <v>3.0</v>
      </c>
      <c r="H103" s="1146">
        <f>SUMIFS(BP_SOTIEN,BP_THANG,H$2,BP_KM,$E103)/1000</f>
        <v>0</v>
      </c>
      <c r="I103" s="1091" t="str">
        <f t="shared" si="791"/>
        <v/>
      </c>
      <c r="J103" s="1091"/>
      <c r="K103" s="1147">
        <f>IF(NOW()&gt;=DATE(YEAR(H$2),MONTH(H$2)+1,DAY(H$2)),SUMIFS(TF_SOTIEN,TF_THANG,H$2,TF_KM,$E103)/1000, N103)</f>
        <v>0</v>
      </c>
      <c r="L103" s="1091">
        <f t="shared" si="792"/>
        <v>0</v>
      </c>
      <c r="M103" s="1091"/>
      <c r="N103" s="1147">
        <f>IF(NOW()&gt;=DATE(YEAR(H$2),MONTH(H$2)+1,DAY(H$2)),SUMIFS(AC_SOTIEN,AC_THANG,H$2,AC_KM,$E103),SUMIFS(TF_SOTIEN,TF_THANG,H$2,TF_KM,$E103))/ 1000</f>
        <v>653.999</v>
      </c>
      <c r="O103" s="1091">
        <f t="shared" si="793"/>
        <v>0.001923526471</v>
      </c>
      <c r="P103" s="1091">
        <f t="shared" si="960"/>
        <v>0.06429536984</v>
      </c>
      <c r="Q103" s="1147">
        <f t="shared" si="518"/>
        <v>653.999</v>
      </c>
      <c r="R103" s="1091" t="str">
        <f t="shared" si="8"/>
        <v/>
      </c>
      <c r="S103" s="1147">
        <f t="shared" si="519"/>
        <v>653.999</v>
      </c>
      <c r="T103" s="1091" t="str">
        <f t="shared" si="10"/>
        <v/>
      </c>
      <c r="U103" s="1146">
        <f>SUMIFS(BP_SOTIEN,BP_THANG,U$2,BP_KM,$E103)/1000</f>
        <v>0</v>
      </c>
      <c r="V103" s="1091" t="str">
        <f t="shared" si="794"/>
        <v/>
      </c>
      <c r="W103" s="1091"/>
      <c r="X103" s="1147">
        <f>IF(NOW()&gt;=DATE(YEAR(U$2),MONTH(U$2)+1,DAY(U$2)),SUMIFS(TF_SOTIEN,TF_THANG,U$2,TF_KM,$E103)/1000, AA103)</f>
        <v>2170</v>
      </c>
      <c r="Y103" s="1091" t="str">
        <f t="shared" si="795"/>
        <v/>
      </c>
      <c r="Z103" s="1091"/>
      <c r="AA103" s="1147">
        <f>IF(NOW()&gt;=DATE(YEAR(U$2),MONTH(U$2)+1,DAY(U$2)),SUMIFS(AC_SOTIEN,AC_THANG,U$2,AC_KM,$E103),SUMIFS(TF_SOTIEN,TF_THANG,U$2,TF_KM,$E103))/ 1000</f>
        <v>195</v>
      </c>
      <c r="AB103" s="1091">
        <f t="shared" si="796"/>
        <v>0.001083333333</v>
      </c>
      <c r="AC103" s="1091">
        <f t="shared" si="961"/>
        <v>0.01887824317</v>
      </c>
      <c r="AD103" s="1147">
        <f t="shared" si="526"/>
        <v>195</v>
      </c>
      <c r="AE103" s="1091" t="str">
        <f t="shared" si="15"/>
        <v/>
      </c>
      <c r="AF103" s="1147">
        <f t="shared" si="527"/>
        <v>-1975</v>
      </c>
      <c r="AG103" s="1091">
        <f t="shared" si="17"/>
        <v>-0.9101382488</v>
      </c>
      <c r="AH103" s="1146">
        <f>SUMIFS(BP_SOTIEN,BP_THANG,AH$2,BP_KM,$E103)/1000</f>
        <v>0</v>
      </c>
      <c r="AI103" s="1091" t="str">
        <f t="shared" si="797"/>
        <v/>
      </c>
      <c r="AJ103" s="1091"/>
      <c r="AK103" s="1147">
        <f>IF(NOW()&gt;=DATE(YEAR(AH$2),MONTH(AH$2)+1,DAY(AH$2)),SUMIFS(TF_SOTIEN,TF_THANG,AH$2,TF_KM,$E103)/1000, AN103)</f>
        <v>2170</v>
      </c>
      <c r="AL103" s="1091">
        <f t="shared" si="798"/>
        <v>0.0006027777778</v>
      </c>
      <c r="AM103" s="1091"/>
      <c r="AN103" s="1147">
        <f>IF(NOW()&gt;=DATE(YEAR(AH$2),MONTH(AH$2)+1,DAY(AH$2)),SUMIFS(AC_SOTIEN,AC_THANG,AH$2,AC_KM,$E103),SUMIFS(TF_SOTIEN,TF_THANG,AH$2,TF_KM,$E103))/ 1000</f>
        <v>387.001</v>
      </c>
      <c r="AO103" s="1091">
        <f t="shared" si="799"/>
        <v>0.0005793428144</v>
      </c>
      <c r="AP103" s="1091">
        <f t="shared" si="962"/>
        <v>0.02146778709</v>
      </c>
      <c r="AQ103" s="1147">
        <f t="shared" si="534"/>
        <v>387.001</v>
      </c>
      <c r="AR103" s="1091" t="str">
        <f t="shared" si="22"/>
        <v/>
      </c>
      <c r="AS103" s="1147">
        <f t="shared" si="535"/>
        <v>-1782.999</v>
      </c>
      <c r="AT103" s="1091">
        <f t="shared" si="24"/>
        <v>-0.8216585253</v>
      </c>
      <c r="AU103" s="1146">
        <f t="shared" si="916"/>
        <v>0</v>
      </c>
      <c r="AV103" s="1091" t="str">
        <f t="shared" si="800"/>
        <v/>
      </c>
      <c r="AW103" s="1091">
        <f t="shared" si="963"/>
        <v>0</v>
      </c>
      <c r="AX103" s="1147">
        <f t="shared" si="917"/>
        <v>4340</v>
      </c>
      <c r="AY103" s="1091">
        <f t="shared" si="801"/>
        <v>0.001166666667</v>
      </c>
      <c r="AZ103" s="1091">
        <f t="shared" si="964"/>
        <v>0.09422492401</v>
      </c>
      <c r="BA103" s="1147">
        <f t="shared" si="918"/>
        <v>1236</v>
      </c>
      <c r="BB103" s="1091">
        <f t="shared" si="802"/>
        <v>0.00104040404</v>
      </c>
      <c r="BC103" s="1091">
        <f t="shared" si="965"/>
        <v>0.03208040075</v>
      </c>
      <c r="BD103" s="1147">
        <f t="shared" si="545"/>
        <v>1236</v>
      </c>
      <c r="BE103" s="1091" t="str">
        <f t="shared" si="32"/>
        <v/>
      </c>
      <c r="BF103" s="1147">
        <f t="shared" si="546"/>
        <v>-3104</v>
      </c>
      <c r="BG103" s="1091">
        <f t="shared" si="34"/>
        <v>-0.7152073733</v>
      </c>
      <c r="BH103" s="1146">
        <f>SUMIFS(BP_SOTIEN,BP_THANG,BH$2,BP_KM,$E103)/1000</f>
        <v>0</v>
      </c>
      <c r="BI103" s="1091">
        <f t="shared" si="803"/>
        <v>0</v>
      </c>
      <c r="BJ103" s="1091"/>
      <c r="BK103" s="1147">
        <f>IF(NOW()&gt;=DATE(YEAR(BH$2),MONTH(BH$2)+1,DAY(BH$2)),SUMIFS(TF_SOTIEN,TF_THANG,BH$2,TF_KM,$E103)/1000, BN103)</f>
        <v>1000</v>
      </c>
      <c r="BL103" s="1091" t="str">
        <f t="shared" si="804"/>
        <v/>
      </c>
      <c r="BM103" s="1091"/>
      <c r="BN103" s="1147">
        <f>IF(NOW()&gt;=DATE(YEAR(BH$2),MONTH(BH$2)+1,DAY(BH$2)),SUMIFS(AC_SOTIEN,AC_THANG,BH$2,AC_KM,$E103),SUMIFS(TF_SOTIEN,TF_THANG,BH$2,TF_KM,$E103))/ 1000</f>
        <v>933.998</v>
      </c>
      <c r="BO103" s="1091">
        <f t="shared" si="805"/>
        <v>0.0003590863655</v>
      </c>
      <c r="BP103" s="1091">
        <f t="shared" si="966"/>
        <v>0.05373209923</v>
      </c>
      <c r="BQ103" s="1147">
        <f t="shared" si="553"/>
        <v>933.998</v>
      </c>
      <c r="BR103" s="1091" t="str">
        <f t="shared" si="39"/>
        <v/>
      </c>
      <c r="BS103" s="1147">
        <f t="shared" si="554"/>
        <v>-66.002</v>
      </c>
      <c r="BT103" s="1091">
        <f t="shared" si="41"/>
        <v>-0.066002</v>
      </c>
      <c r="BU103" s="1146">
        <f>SUMIFS(BP_SOTIEN,BP_THANG,BU$2,BP_KM,$E103)/1000</f>
        <v>0</v>
      </c>
      <c r="BV103" s="1091">
        <f t="shared" si="806"/>
        <v>0</v>
      </c>
      <c r="BW103" s="1091"/>
      <c r="BX103" s="1147">
        <f>IF(NOW()&gt;=DATE(YEAR(BU$2),MONTH(BU$2)+1,DAY(BU$2)),SUMIFS(TF_SOTIEN,TF_THANG,BU$2,TF_KM,$E103)/1000, CA103)</f>
        <v>0</v>
      </c>
      <c r="BY103" s="1091">
        <f t="shared" si="807"/>
        <v>0</v>
      </c>
      <c r="BZ103" s="1091"/>
      <c r="CA103" s="1147">
        <f>IF(NOW()&gt;=DATE(YEAR(BU$2),MONTH(BU$2)+1,DAY(BU$2)),SUMIFS(AC_SOTIEN,AC_THANG,BU$2,AC_KM,$E103),SUMIFS(TF_SOTIEN,TF_THANG,BU$2,TF_KM,$E103))/ 1000</f>
        <v>540</v>
      </c>
      <c r="CB103" s="1091">
        <f t="shared" si="808"/>
        <v>0.0009719712297</v>
      </c>
      <c r="CC103" s="1091">
        <f t="shared" si="967"/>
        <v>0.02984641532</v>
      </c>
      <c r="CD103" s="1147">
        <f t="shared" si="561"/>
        <v>540</v>
      </c>
      <c r="CE103" s="1091" t="str">
        <f t="shared" si="46"/>
        <v/>
      </c>
      <c r="CF103" s="1147">
        <f t="shared" si="562"/>
        <v>540</v>
      </c>
      <c r="CG103" s="1091" t="str">
        <f t="shared" si="48"/>
        <v/>
      </c>
      <c r="CH103" s="1146">
        <f>SUMIFS(BP_SOTIEN,BP_THANG,CH$2,BP_KM,$E103)/1000</f>
        <v>0</v>
      </c>
      <c r="CI103" s="1091">
        <f t="shared" si="809"/>
        <v>0</v>
      </c>
      <c r="CJ103" s="1091"/>
      <c r="CK103" s="1147">
        <f>IF(NOW()&gt;=DATE(YEAR(CH$2),MONTH(CH$2)+1,DAY(CH$2)),SUMIFS(TF_SOTIEN,TF_THANG,CH$2,TF_KM,$E103)/1000, CN103)</f>
        <v>0</v>
      </c>
      <c r="CL103" s="1091" t="str">
        <f t="shared" si="810"/>
        <v/>
      </c>
      <c r="CM103" s="1091"/>
      <c r="CN103" s="1147">
        <f>IF(NOW()&gt;=DATE(YEAR(CH$2),MONTH(CH$2)+1,DAY(CH$2)),SUMIFS(AC_SOTIEN,AC_THANG,CH$2,AC_KM,$E103),SUMIFS(TF_SOTIEN,TF_THANG,CH$2,TF_KM,$E103))/ 1000</f>
        <v>0</v>
      </c>
      <c r="CO103" s="1091" t="str">
        <f t="shared" si="811"/>
        <v/>
      </c>
      <c r="CP103" s="1091" t="str">
        <f t="shared" si="968"/>
        <v/>
      </c>
      <c r="CQ103" s="1147">
        <f t="shared" si="569"/>
        <v>0</v>
      </c>
      <c r="CR103" s="1091" t="str">
        <f t="shared" si="53"/>
        <v/>
      </c>
      <c r="CS103" s="1147">
        <f t="shared" si="570"/>
        <v>0</v>
      </c>
      <c r="CT103" s="1091" t="str">
        <f t="shared" si="55"/>
        <v/>
      </c>
      <c r="CU103" s="1146">
        <f t="shared" si="919"/>
        <v>0</v>
      </c>
      <c r="CV103" s="1091">
        <f t="shared" si="812"/>
        <v>0</v>
      </c>
      <c r="CW103" s="1091">
        <f t="shared" si="969"/>
        <v>0</v>
      </c>
      <c r="CX103" s="1147">
        <f t="shared" si="920"/>
        <v>1000</v>
      </c>
      <c r="CY103" s="1091">
        <f t="shared" si="814"/>
        <v>0.0006691395925</v>
      </c>
      <c r="CZ103" s="1091">
        <f t="shared" si="970"/>
        <v>0.0177281987</v>
      </c>
      <c r="DA103" s="1147">
        <f t="shared" si="921"/>
        <v>1473.998</v>
      </c>
      <c r="DB103" s="1091">
        <f t="shared" si="816"/>
        <v>0.0004669557107</v>
      </c>
      <c r="DC103" s="1091">
        <f t="shared" si="971"/>
        <v>0.0415501895</v>
      </c>
      <c r="DD103" s="1147">
        <f t="shared" si="580"/>
        <v>1473.998</v>
      </c>
      <c r="DE103" s="1091" t="str">
        <f t="shared" si="63"/>
        <v/>
      </c>
      <c r="DF103" s="1147">
        <f t="shared" si="581"/>
        <v>473.998</v>
      </c>
      <c r="DG103" s="1091">
        <f t="shared" si="65"/>
        <v>0.473998</v>
      </c>
      <c r="DH103" s="1146">
        <f t="shared" si="922"/>
        <v>0</v>
      </c>
      <c r="DI103" s="1091">
        <f t="shared" si="817"/>
        <v>0</v>
      </c>
      <c r="DJ103" s="1091">
        <f t="shared" si="972"/>
        <v>0</v>
      </c>
      <c r="DK103" s="1147">
        <f t="shared" si="585"/>
        <v>5340</v>
      </c>
      <c r="DL103" s="1091">
        <f t="shared" si="818"/>
        <v>0.001024076051</v>
      </c>
      <c r="DM103" s="1091">
        <f t="shared" si="973"/>
        <v>0.05211418159</v>
      </c>
      <c r="DN103" s="1147">
        <f t="shared" si="588"/>
        <v>2709.998</v>
      </c>
      <c r="DO103" s="1091">
        <f t="shared" si="819"/>
        <v>0.0006237606488</v>
      </c>
      <c r="DP103" s="1091">
        <f t="shared" si="974"/>
        <v>0.03661995264</v>
      </c>
      <c r="DQ103" s="1147">
        <f t="shared" si="591"/>
        <v>2709.998</v>
      </c>
      <c r="DR103" s="1091" t="str">
        <f t="shared" si="73"/>
        <v/>
      </c>
      <c r="DS103" s="1147">
        <f t="shared" si="592"/>
        <v>-2630.002</v>
      </c>
      <c r="DT103" s="1091">
        <f t="shared" si="75"/>
        <v>-0.4925097378</v>
      </c>
      <c r="DU103" s="1146">
        <f>SUMIFS(BP_SOTIEN,BP_THANG,DU$2,BP_KM,$E103)/1000</f>
        <v>0</v>
      </c>
      <c r="DV103" s="1091">
        <f t="shared" si="820"/>
        <v>0</v>
      </c>
      <c r="DW103" s="1091"/>
      <c r="DX103" s="1147">
        <f>IF(NOW()&gt;=DATE(YEAR(DU$2),MONTH(DU$2)+1,DAY(DU$2)),SUMIFS(TF_SOTIEN,TF_THANG,DU$2,TF_KM,$E103)/1000, EA103)</f>
        <v>0</v>
      </c>
      <c r="DY103" s="1091">
        <f t="shared" si="821"/>
        <v>0</v>
      </c>
      <c r="DZ103" s="1091"/>
      <c r="EA103" s="1147">
        <f>IF(NOW()&gt;=DATE(YEAR(DU$2),MONTH(DU$2)+1,DAY(DU$2)),SUMIFS(AC_SOTIEN,AC_THANG,DU$2,AC_KM,$E103),SUMIFS(TF_SOTIEN,TF_THANG,DU$2,TF_KM,$E103))/ 1000</f>
        <v>0</v>
      </c>
      <c r="EB103" s="1091" t="str">
        <f t="shared" si="822"/>
        <v/>
      </c>
      <c r="EC103" s="1091" t="str">
        <f t="shared" si="975"/>
        <v/>
      </c>
      <c r="ED103" s="1147">
        <f t="shared" si="599"/>
        <v>0</v>
      </c>
      <c r="EE103" s="1091" t="str">
        <f t="shared" si="80"/>
        <v/>
      </c>
      <c r="EF103" s="1147">
        <f t="shared" si="600"/>
        <v>0</v>
      </c>
      <c r="EG103" s="1091" t="str">
        <f t="shared" si="82"/>
        <v/>
      </c>
      <c r="EH103" s="1146">
        <f>SUMIFS(BP_SOTIEN,BP_THANG,EH$2,BP_KM,$E103)/1000</f>
        <v>0</v>
      </c>
      <c r="EI103" s="1091">
        <f t="shared" si="823"/>
        <v>0</v>
      </c>
      <c r="EJ103" s="1091"/>
      <c r="EK103" s="1147">
        <f>IF(NOW()&gt;=DATE(YEAR(EH$2),MONTH(EH$2)+1,DAY(EH$2)),SUMIFS(TF_SOTIEN,TF_THANG,EH$2,TF_KM,$E103)/1000, EN103)</f>
        <v>0</v>
      </c>
      <c r="EL103" s="1091">
        <f t="shared" si="824"/>
        <v>0</v>
      </c>
      <c r="EM103" s="1091"/>
      <c r="EN103" s="1147">
        <f>IF(NOW()&gt;=DATE(YEAR(EH$2),MONTH(EH$2)+1,DAY(EH$2)),SUMIFS(AC_SOTIEN,AC_THANG,EH$2,AC_KM,$E103),SUMIFS(TF_SOTIEN,TF_THANG,EH$2,TF_KM,$E103))/ 1000</f>
        <v>0</v>
      </c>
      <c r="EO103" s="1091" t="str">
        <f t="shared" si="825"/>
        <v/>
      </c>
      <c r="EP103" s="1091" t="str">
        <f t="shared" si="976"/>
        <v/>
      </c>
      <c r="EQ103" s="1147">
        <f t="shared" si="607"/>
        <v>0</v>
      </c>
      <c r="ER103" s="1091" t="str">
        <f t="shared" si="87"/>
        <v/>
      </c>
      <c r="ES103" s="1147">
        <f t="shared" si="608"/>
        <v>0</v>
      </c>
      <c r="ET103" s="1091" t="str">
        <f t="shared" si="89"/>
        <v/>
      </c>
      <c r="EU103" s="1146">
        <f>SUMIFS(BP_SOTIEN,BP_THANG,EU$2,BP_KM,$E103)/1000</f>
        <v>0</v>
      </c>
      <c r="EV103" s="1091">
        <f t="shared" si="826"/>
        <v>0</v>
      </c>
      <c r="EW103" s="1091"/>
      <c r="EX103" s="1147">
        <f>IF(NOW()&gt;=DATE(YEAR(EU$2),MONTH(EU$2)+1,DAY(EU$2)),SUMIFS(TF_SOTIEN,TF_THANG,EU$2,TF_KM,$E103)/1000, FA103)</f>
        <v>0</v>
      </c>
      <c r="EY103" s="1091">
        <f t="shared" si="827"/>
        <v>0</v>
      </c>
      <c r="EZ103" s="1091"/>
      <c r="FA103" s="1147">
        <f>IF(NOW()&gt;=DATE(YEAR(EU$2),MONTH(EU$2)+1,DAY(EU$2)),SUMIFS(AC_SOTIEN,AC_THANG,EU$2,AC_KM,$E103),SUMIFS(TF_SOTIEN,TF_THANG,EU$2,TF_KM,$E103))/ 1000</f>
        <v>0</v>
      </c>
      <c r="FB103" s="1091" t="str">
        <f t="shared" si="828"/>
        <v/>
      </c>
      <c r="FC103" s="1091" t="str">
        <f t="shared" si="977"/>
        <v/>
      </c>
      <c r="FD103" s="1147">
        <f t="shared" si="616"/>
        <v>0</v>
      </c>
      <c r="FE103" s="1091" t="str">
        <f t="shared" si="94"/>
        <v/>
      </c>
      <c r="FF103" s="1147">
        <f t="shared" si="617"/>
        <v>0</v>
      </c>
      <c r="FG103" s="1091" t="str">
        <f t="shared" si="96"/>
        <v/>
      </c>
      <c r="FH103" s="1146">
        <f t="shared" si="923"/>
        <v>0</v>
      </c>
      <c r="FI103" s="1091">
        <f t="shared" si="829"/>
        <v>0</v>
      </c>
      <c r="FJ103" s="1091">
        <f t="shared" si="978"/>
        <v>0</v>
      </c>
      <c r="FK103" s="1147">
        <f t="shared" si="621"/>
        <v>0</v>
      </c>
      <c r="FL103" s="1091">
        <f t="shared" si="830"/>
        <v>0</v>
      </c>
      <c r="FM103" s="1091">
        <f t="shared" si="979"/>
        <v>0</v>
      </c>
      <c r="FN103" s="1147">
        <f t="shared" si="624"/>
        <v>0</v>
      </c>
      <c r="FO103" s="1091" t="str">
        <f t="shared" si="831"/>
        <v/>
      </c>
      <c r="FP103" s="1091" t="str">
        <f t="shared" si="980"/>
        <v/>
      </c>
      <c r="FQ103" s="1147">
        <f t="shared" si="627"/>
        <v>0</v>
      </c>
      <c r="FR103" s="1091" t="str">
        <f t="shared" si="104"/>
        <v/>
      </c>
      <c r="FS103" s="1147">
        <f t="shared" si="628"/>
        <v>0</v>
      </c>
      <c r="FT103" s="1091" t="str">
        <f t="shared" si="106"/>
        <v/>
      </c>
      <c r="FU103" s="1146">
        <f>SUMIFS(BP_SOTIEN,BP_THANG,FU$2,BP_KM,$E103)/1000</f>
        <v>0</v>
      </c>
      <c r="FV103" s="1091">
        <f t="shared" si="832"/>
        <v>0</v>
      </c>
      <c r="FW103" s="1091"/>
      <c r="FX103" s="1147">
        <f>IF(NOW()&gt;=DATE(YEAR(FU$2),MONTH(FU$2)+1,DAY(FU$2)),SUMIFS(TF_SOTIEN,TF_THANG,FU$2,TF_KM,$E103)/1000, GA103)</f>
        <v>0</v>
      </c>
      <c r="FY103" s="1091">
        <f t="shared" si="833"/>
        <v>0</v>
      </c>
      <c r="FZ103" s="1091"/>
      <c r="GA103" s="1147">
        <f>IF(NOW()&gt;=DATE(YEAR(FU$2),MONTH(FU$2)+1,DAY(FU$2)),SUMIFS(AC_SOTIEN,AC_THANG,FU$2,AC_KM,$E103),SUMIFS(TF_SOTIEN,TF_THANG,FU$2,TF_KM,$E103))/ 1000</f>
        <v>0</v>
      </c>
      <c r="GB103" s="1091" t="str">
        <f t="shared" si="834"/>
        <v/>
      </c>
      <c r="GC103" s="1091" t="str">
        <f t="shared" si="981"/>
        <v/>
      </c>
      <c r="GD103" s="1147">
        <f t="shared" si="635"/>
        <v>0</v>
      </c>
      <c r="GE103" s="1091" t="str">
        <f t="shared" si="111"/>
        <v/>
      </c>
      <c r="GF103" s="1147">
        <f t="shared" si="636"/>
        <v>0</v>
      </c>
      <c r="GG103" s="1091" t="str">
        <f t="shared" si="113"/>
        <v/>
      </c>
      <c r="GH103" s="1146">
        <f>SUMIFS(BP_SOTIEN,BP_THANG,GH$2,BP_KM,$E103)/1000</f>
        <v>0</v>
      </c>
      <c r="GI103" s="1091">
        <f t="shared" si="835"/>
        <v>0</v>
      </c>
      <c r="GJ103" s="1091"/>
      <c r="GK103" s="1147">
        <f>IF(NOW()&gt;=DATE(YEAR(GH$2),MONTH(GH$2)+1,DAY(GH$2)),SUMIFS(TF_SOTIEN,TF_THANG,GH$2,TF_KM,$E103)/1000, GN103)</f>
        <v>0</v>
      </c>
      <c r="GL103" s="1091">
        <f t="shared" si="836"/>
        <v>0</v>
      </c>
      <c r="GM103" s="1091"/>
      <c r="GN103" s="1147">
        <f>IF(NOW()&gt;=DATE(YEAR(GH$2),MONTH(GH$2)+1,DAY(GH$2)),SUMIFS(AC_SOTIEN,AC_THANG,GH$2,AC_KM,$E103),SUMIFS(TF_SOTIEN,TF_THANG,GH$2,TF_KM,$E103))/ 1000</f>
        <v>0</v>
      </c>
      <c r="GO103" s="1091" t="str">
        <f t="shared" si="837"/>
        <v/>
      </c>
      <c r="GP103" s="1091" t="str">
        <f t="shared" si="982"/>
        <v/>
      </c>
      <c r="GQ103" s="1147">
        <f t="shared" si="643"/>
        <v>0</v>
      </c>
      <c r="GR103" s="1091" t="str">
        <f t="shared" si="118"/>
        <v/>
      </c>
      <c r="GS103" s="1147">
        <f t="shared" si="644"/>
        <v>0</v>
      </c>
      <c r="GT103" s="1091" t="str">
        <f t="shared" si="120"/>
        <v/>
      </c>
      <c r="GU103" s="1146">
        <f>SUMIFS(BP_SOTIEN,BP_THANG,GU$2,BP_KM,$E103)/1000</f>
        <v>0</v>
      </c>
      <c r="GV103" s="1091">
        <f t="shared" si="838"/>
        <v>0</v>
      </c>
      <c r="GW103" s="1091"/>
      <c r="GX103" s="1147">
        <f>IF(NOW()&gt;=DATE(YEAR(GU$2),MONTH(GU$2)+1,DAY(GU$2)),SUMIFS(TF_SOTIEN,TF_THANG,GU$2,TF_KM,$E103)/1000, HA103)</f>
        <v>0</v>
      </c>
      <c r="GY103" s="1091">
        <f t="shared" si="839"/>
        <v>0</v>
      </c>
      <c r="GZ103" s="1091"/>
      <c r="HA103" s="1147">
        <f>IF(NOW()&gt;=DATE(YEAR(GU$2),MONTH(GU$2)+1,DAY(GU$2)),SUMIFS(AC_SOTIEN,AC_THANG,GU$2,AC_KM,$E103),SUMIFS(TF_SOTIEN,TF_THANG,GU$2,TF_KM,$E103))/ 1000</f>
        <v>0</v>
      </c>
      <c r="HB103" s="1091" t="str">
        <f t="shared" si="840"/>
        <v/>
      </c>
      <c r="HC103" s="1091" t="str">
        <f t="shared" si="983"/>
        <v/>
      </c>
      <c r="HD103" s="1147">
        <f t="shared" si="651"/>
        <v>0</v>
      </c>
      <c r="HE103" s="1091" t="str">
        <f t="shared" si="125"/>
        <v/>
      </c>
      <c r="HF103" s="1147">
        <f t="shared" si="652"/>
        <v>0</v>
      </c>
      <c r="HG103" s="1091" t="str">
        <f t="shared" si="127"/>
        <v/>
      </c>
      <c r="HH103" s="1146">
        <f t="shared" si="924"/>
        <v>0</v>
      </c>
      <c r="HI103" s="1091">
        <f t="shared" si="841"/>
        <v>0</v>
      </c>
      <c r="HJ103" s="1091">
        <f t="shared" si="984"/>
        <v>0</v>
      </c>
      <c r="HK103" s="1147">
        <f t="shared" si="656"/>
        <v>0</v>
      </c>
      <c r="HL103" s="1091">
        <f t="shared" si="842"/>
        <v>0</v>
      </c>
      <c r="HM103" s="1091">
        <f t="shared" si="985"/>
        <v>0</v>
      </c>
      <c r="HN103" s="1147">
        <f t="shared" si="659"/>
        <v>0</v>
      </c>
      <c r="HO103" s="1091" t="str">
        <f t="shared" si="843"/>
        <v/>
      </c>
      <c r="HP103" s="1091" t="str">
        <f t="shared" si="986"/>
        <v/>
      </c>
      <c r="HQ103" s="1147">
        <f t="shared" si="662"/>
        <v>0</v>
      </c>
      <c r="HR103" s="1091" t="str">
        <f t="shared" si="135"/>
        <v/>
      </c>
      <c r="HS103" s="1147">
        <f t="shared" si="663"/>
        <v>0</v>
      </c>
      <c r="HT103" s="1091" t="str">
        <f t="shared" si="137"/>
        <v/>
      </c>
      <c r="HU103" s="1146">
        <f t="shared" si="925"/>
        <v>0</v>
      </c>
      <c r="HV103" s="1091">
        <f t="shared" si="844"/>
        <v>0</v>
      </c>
      <c r="HW103" s="1091">
        <f t="shared" si="987"/>
        <v>0</v>
      </c>
      <c r="HX103" s="1147">
        <f t="shared" si="667"/>
        <v>0</v>
      </c>
      <c r="HY103" s="1091">
        <f t="shared" si="845"/>
        <v>0</v>
      </c>
      <c r="HZ103" s="1091">
        <f t="shared" si="988"/>
        <v>0</v>
      </c>
      <c r="IA103" s="1147">
        <f t="shared" si="670"/>
        <v>0</v>
      </c>
      <c r="IB103" s="1091" t="str">
        <f t="shared" si="846"/>
        <v/>
      </c>
      <c r="IC103" s="1091" t="str">
        <f t="shared" si="989"/>
        <v/>
      </c>
      <c r="ID103" s="1147">
        <f t="shared" si="673"/>
        <v>0</v>
      </c>
      <c r="IE103" s="1091" t="str">
        <f t="shared" si="145"/>
        <v/>
      </c>
      <c r="IF103" s="1147">
        <f t="shared" si="674"/>
        <v>0</v>
      </c>
      <c r="IG103" s="1091" t="str">
        <f t="shared" si="147"/>
        <v/>
      </c>
      <c r="IH103" s="1146">
        <f t="shared" si="926"/>
        <v>0</v>
      </c>
      <c r="II103" s="1091">
        <f t="shared" si="847"/>
        <v>0</v>
      </c>
      <c r="IJ103" s="1091">
        <f t="shared" si="990"/>
        <v>0</v>
      </c>
      <c r="IK103" s="1147">
        <f t="shared" si="678"/>
        <v>5340</v>
      </c>
      <c r="IL103" s="1091">
        <f t="shared" si="848"/>
        <v>0.0001288160667</v>
      </c>
      <c r="IM103" s="1091">
        <f t="shared" si="991"/>
        <v>0.02478909425</v>
      </c>
      <c r="IN103" s="1147">
        <f t="shared" si="681"/>
        <v>2709.998</v>
      </c>
      <c r="IO103" s="1091">
        <f t="shared" si="849"/>
        <v>0.0006237606488</v>
      </c>
      <c r="IP103" s="1091">
        <f t="shared" si="992"/>
        <v>0.03661995264</v>
      </c>
      <c r="IQ103" s="1147">
        <f t="shared" si="684"/>
        <v>2709.998</v>
      </c>
      <c r="IR103" s="1091" t="str">
        <f t="shared" si="1"/>
        <v/>
      </c>
      <c r="IS103" s="1147">
        <f t="shared" si="685"/>
        <v>-2630.002</v>
      </c>
      <c r="IT103" s="1091">
        <f t="shared" si="2"/>
        <v>-0.4925097378</v>
      </c>
    </row>
    <row r="104" outlineLevel="1">
      <c r="A104" s="737"/>
      <c r="B104" s="737"/>
      <c r="C104" s="737"/>
      <c r="D104" s="737" t="s">
        <v>2865</v>
      </c>
      <c r="E104" s="737" t="s">
        <v>222</v>
      </c>
      <c r="F104" s="737"/>
      <c r="G104" s="748">
        <v>3.0</v>
      </c>
      <c r="H104" s="1146">
        <f>SUMIFS(BP_SOTIEN,BP_THANG,H$2,BP_KM,$E104)/1000</f>
        <v>416</v>
      </c>
      <c r="I104" s="1091" t="str">
        <f t="shared" si="791"/>
        <v/>
      </c>
      <c r="J104" s="1091"/>
      <c r="K104" s="1147">
        <f>IF(NOW()&gt;=DATE(YEAR(H$2),MONTH(H$2)+1,DAY(H$2)),SUMIFS(TF_SOTIEN,TF_THANG,H$2,TF_KM,$E104)/1000, N104)</f>
        <v>416</v>
      </c>
      <c r="L104" s="1091">
        <f t="shared" si="792"/>
        <v>0.003466666667</v>
      </c>
      <c r="M104" s="1091"/>
      <c r="N104" s="1147">
        <f>IF(NOW()&gt;=DATE(YEAR(H$2),MONTH(H$2)+1,DAY(H$2)),SUMIFS(AC_SOTIEN,AC_THANG,H$2,AC_KM,$E104),SUMIFS(TF_SOTIEN,TF_THANG,H$2,TF_KM,$E104))/ 1000</f>
        <v>464.998</v>
      </c>
      <c r="O104" s="1091">
        <f t="shared" si="793"/>
        <v>0.001367641176</v>
      </c>
      <c r="P104" s="1091">
        <f t="shared" si="960"/>
        <v>0.0457144711</v>
      </c>
      <c r="Q104" s="1147">
        <f t="shared" si="518"/>
        <v>48.998</v>
      </c>
      <c r="R104" s="1091">
        <f t="shared" si="8"/>
        <v>0.1177836538</v>
      </c>
      <c r="S104" s="1147">
        <f t="shared" si="519"/>
        <v>48.998</v>
      </c>
      <c r="T104" s="1091">
        <f t="shared" si="10"/>
        <v>0.1177836538</v>
      </c>
      <c r="U104" s="1146">
        <f>SUMIFS(BP_SOTIEN,BP_THANG,U$2,BP_KM,$E104)/1000</f>
        <v>416</v>
      </c>
      <c r="V104" s="1091" t="str">
        <f t="shared" si="794"/>
        <v/>
      </c>
      <c r="W104" s="1091"/>
      <c r="X104" s="1147">
        <f>IF(NOW()&gt;=DATE(YEAR(U$2),MONTH(U$2)+1,DAY(U$2)),SUMIFS(TF_SOTIEN,TF_THANG,U$2,TF_KM,$E104)/1000, AA104)</f>
        <v>855</v>
      </c>
      <c r="Y104" s="1091" t="str">
        <f t="shared" si="795"/>
        <v/>
      </c>
      <c r="Z104" s="1091"/>
      <c r="AA104" s="1147">
        <f>IF(NOW()&gt;=DATE(YEAR(U$2),MONTH(U$2)+1,DAY(U$2)),SUMIFS(AC_SOTIEN,AC_THANG,U$2,AC_KM,$E104),SUMIFS(TF_SOTIEN,TF_THANG,U$2,TF_KM,$E104))/ 1000</f>
        <v>1130</v>
      </c>
      <c r="AB104" s="1091">
        <f t="shared" si="796"/>
        <v>0.006277777778</v>
      </c>
      <c r="AC104" s="1091">
        <f t="shared" si="961"/>
        <v>0.1093969989</v>
      </c>
      <c r="AD104" s="1147">
        <f t="shared" si="526"/>
        <v>714</v>
      </c>
      <c r="AE104" s="1091">
        <f t="shared" si="15"/>
        <v>1.716346154</v>
      </c>
      <c r="AF104" s="1147">
        <f t="shared" si="527"/>
        <v>275</v>
      </c>
      <c r="AG104" s="1091">
        <f t="shared" si="17"/>
        <v>0.3216374269</v>
      </c>
      <c r="AH104" s="1146">
        <f>SUMIFS(BP_SOTIEN,BP_THANG,AH$2,BP_KM,$E104)/1000</f>
        <v>416</v>
      </c>
      <c r="AI104" s="1091" t="str">
        <f t="shared" si="797"/>
        <v/>
      </c>
      <c r="AJ104" s="1091"/>
      <c r="AK104" s="1147">
        <f>IF(NOW()&gt;=DATE(YEAR(AH$2),MONTH(AH$2)+1,DAY(AH$2)),SUMIFS(TF_SOTIEN,TF_THANG,AH$2,TF_KM,$E104)/1000, AN104)</f>
        <v>855</v>
      </c>
      <c r="AL104" s="1091">
        <f t="shared" si="798"/>
        <v>0.0002375</v>
      </c>
      <c r="AM104" s="1091"/>
      <c r="AN104" s="1147">
        <f>IF(NOW()&gt;=DATE(YEAR(AH$2),MONTH(AH$2)+1,DAY(AH$2)),SUMIFS(AC_SOTIEN,AC_THANG,AH$2,AC_KM,$E104),SUMIFS(TF_SOTIEN,TF_THANG,AH$2,TF_KM,$E104))/ 1000</f>
        <v>989.788</v>
      </c>
      <c r="AO104" s="1091">
        <f t="shared" si="799"/>
        <v>0.001481718563</v>
      </c>
      <c r="AP104" s="1091">
        <f t="shared" si="962"/>
        <v>0.05490569287</v>
      </c>
      <c r="AQ104" s="1147">
        <f t="shared" si="534"/>
        <v>573.788</v>
      </c>
      <c r="AR104" s="1091">
        <f t="shared" si="22"/>
        <v>1.379298077</v>
      </c>
      <c r="AS104" s="1147">
        <f t="shared" si="535"/>
        <v>134.788</v>
      </c>
      <c r="AT104" s="1091">
        <f t="shared" si="24"/>
        <v>0.1576467836</v>
      </c>
      <c r="AU104" s="1146">
        <f t="shared" si="916"/>
        <v>1248</v>
      </c>
      <c r="AV104" s="1091" t="str">
        <f t="shared" si="800"/>
        <v/>
      </c>
      <c r="AW104" s="1091">
        <f t="shared" si="963"/>
        <v>0.02098360656</v>
      </c>
      <c r="AX104" s="1147">
        <f t="shared" si="917"/>
        <v>2126</v>
      </c>
      <c r="AY104" s="1091">
        <f t="shared" si="801"/>
        <v>0.0005715053763</v>
      </c>
      <c r="AZ104" s="1091">
        <f t="shared" si="964"/>
        <v>0.04615718628</v>
      </c>
      <c r="BA104" s="1147">
        <f t="shared" si="918"/>
        <v>2584.786</v>
      </c>
      <c r="BB104" s="1091">
        <f t="shared" si="802"/>
        <v>0.002175745791</v>
      </c>
      <c r="BC104" s="1091">
        <f t="shared" si="965"/>
        <v>0.06708816403</v>
      </c>
      <c r="BD104" s="1147">
        <f t="shared" si="545"/>
        <v>1336.786</v>
      </c>
      <c r="BE104" s="1091">
        <f t="shared" si="32"/>
        <v>1.071142628</v>
      </c>
      <c r="BF104" s="1147">
        <f t="shared" si="546"/>
        <v>458.786</v>
      </c>
      <c r="BG104" s="1091">
        <f t="shared" si="34"/>
        <v>0.2157977422</v>
      </c>
      <c r="BH104" s="1146">
        <f>SUMIFS(BP_SOTIEN,BP_THANG,BH$2,BP_KM,$E104)/1000</f>
        <v>416</v>
      </c>
      <c r="BI104" s="1091">
        <f t="shared" si="803"/>
        <v>0.000104</v>
      </c>
      <c r="BJ104" s="1091"/>
      <c r="BK104" s="1147">
        <f>IF(NOW()&gt;=DATE(YEAR(BH$2),MONTH(BH$2)+1,DAY(BH$2)),SUMIFS(TF_SOTIEN,TF_THANG,BH$2,TF_KM,$E104)/1000, BN104)</f>
        <v>855</v>
      </c>
      <c r="BL104" s="1091" t="str">
        <f t="shared" si="804"/>
        <v/>
      </c>
      <c r="BM104" s="1091"/>
      <c r="BN104" s="1147">
        <f>IF(NOW()&gt;=DATE(YEAR(BH$2),MONTH(BH$2)+1,DAY(BH$2)),SUMIFS(AC_SOTIEN,AC_THANG,BH$2,AC_KM,$E104),SUMIFS(TF_SOTIEN,TF_THANG,BH$2,TF_KM,$E104))/ 1000</f>
        <v>580</v>
      </c>
      <c r="BO104" s="1091">
        <f t="shared" si="805"/>
        <v>0.000222987728</v>
      </c>
      <c r="BP104" s="1091">
        <f t="shared" si="966"/>
        <v>0.03336689967</v>
      </c>
      <c r="BQ104" s="1147">
        <f t="shared" si="553"/>
        <v>164</v>
      </c>
      <c r="BR104" s="1091">
        <f t="shared" si="39"/>
        <v>0.3942307692</v>
      </c>
      <c r="BS104" s="1147">
        <f t="shared" si="554"/>
        <v>-275</v>
      </c>
      <c r="BT104" s="1091">
        <f t="shared" si="41"/>
        <v>-0.3216374269</v>
      </c>
      <c r="BU104" s="1146">
        <f>SUMIFS(BP_SOTIEN,BP_THANG,BU$2,BP_KM,$E104)/1000</f>
        <v>416</v>
      </c>
      <c r="BV104" s="1091">
        <f t="shared" si="806"/>
        <v>0.000104</v>
      </c>
      <c r="BW104" s="1091"/>
      <c r="BX104" s="1147">
        <f>IF(NOW()&gt;=DATE(YEAR(BU$2),MONTH(BU$2)+1,DAY(BU$2)),SUMIFS(TF_SOTIEN,TF_THANG,BU$2,TF_KM,$E104)/1000, CA104)</f>
        <v>650</v>
      </c>
      <c r="BY104" s="1091">
        <f t="shared" si="807"/>
        <v>0.0004349407351</v>
      </c>
      <c r="BZ104" s="1091"/>
      <c r="CA104" s="1147">
        <f>IF(NOW()&gt;=DATE(YEAR(BU$2),MONTH(BU$2)+1,DAY(BU$2)),SUMIFS(AC_SOTIEN,AC_THANG,BU$2,AC_KM,$E104),SUMIFS(TF_SOTIEN,TF_THANG,BU$2,TF_KM,$E104))/ 1000</f>
        <v>625.999</v>
      </c>
      <c r="CB104" s="1091">
        <f t="shared" si="808"/>
        <v>0.001126764848</v>
      </c>
      <c r="CC104" s="1091">
        <f t="shared" si="967"/>
        <v>0.03459967805</v>
      </c>
      <c r="CD104" s="1147">
        <f t="shared" si="561"/>
        <v>209.999</v>
      </c>
      <c r="CE104" s="1091">
        <f t="shared" si="46"/>
        <v>0.5048052885</v>
      </c>
      <c r="CF104" s="1147">
        <f t="shared" si="562"/>
        <v>-24.001</v>
      </c>
      <c r="CG104" s="1091">
        <f t="shared" si="48"/>
        <v>-0.03692461538</v>
      </c>
      <c r="CH104" s="1146">
        <f>SUMIFS(BP_SOTIEN,BP_THANG,CH$2,BP_KM,$E104)/1000</f>
        <v>416</v>
      </c>
      <c r="CI104" s="1091">
        <f t="shared" si="809"/>
        <v>0.000104</v>
      </c>
      <c r="CJ104" s="1091"/>
      <c r="CK104" s="1147">
        <f>IF(NOW()&gt;=DATE(YEAR(CH$2),MONTH(CH$2)+1,DAY(CH$2)),SUMIFS(TF_SOTIEN,TF_THANG,CH$2,TF_KM,$E104)/1000, CN104)</f>
        <v>650</v>
      </c>
      <c r="CL104" s="1091" t="str">
        <f t="shared" si="810"/>
        <v/>
      </c>
      <c r="CM104" s="1091"/>
      <c r="CN104" s="1147">
        <f>IF(NOW()&gt;=DATE(YEAR(CH$2),MONTH(CH$2)+1,DAY(CH$2)),SUMIFS(AC_SOTIEN,AC_THANG,CH$2,AC_KM,$E104),SUMIFS(TF_SOTIEN,TF_THANG,CH$2,TF_KM,$E104))/ 1000</f>
        <v>0</v>
      </c>
      <c r="CO104" s="1091" t="str">
        <f t="shared" si="811"/>
        <v/>
      </c>
      <c r="CP104" s="1091" t="str">
        <f t="shared" si="968"/>
        <v/>
      </c>
      <c r="CQ104" s="1147">
        <f t="shared" si="569"/>
        <v>-416</v>
      </c>
      <c r="CR104" s="1091">
        <f t="shared" si="53"/>
        <v>-1</v>
      </c>
      <c r="CS104" s="1147">
        <f t="shared" si="570"/>
        <v>-650</v>
      </c>
      <c r="CT104" s="1091">
        <f t="shared" si="55"/>
        <v>-1</v>
      </c>
      <c r="CU104" s="1146">
        <f t="shared" si="919"/>
        <v>1248</v>
      </c>
      <c r="CV104" s="1091">
        <f t="shared" si="812"/>
        <v>0.000104</v>
      </c>
      <c r="CW104" s="1091">
        <f t="shared" si="969"/>
        <v>0.02209827357</v>
      </c>
      <c r="CX104" s="1147">
        <f t="shared" si="920"/>
        <v>2155</v>
      </c>
      <c r="CY104" s="1091">
        <f t="shared" si="814"/>
        <v>0.001441995822</v>
      </c>
      <c r="CZ104" s="1091">
        <f t="shared" si="970"/>
        <v>0.03820426821</v>
      </c>
      <c r="DA104" s="1147">
        <f t="shared" si="921"/>
        <v>1205.999</v>
      </c>
      <c r="DB104" s="1091">
        <f t="shared" si="816"/>
        <v>0.000382054874</v>
      </c>
      <c r="DC104" s="1091">
        <f t="shared" si="971"/>
        <v>0.03399562753</v>
      </c>
      <c r="DD104" s="1147">
        <f t="shared" si="580"/>
        <v>-42.001</v>
      </c>
      <c r="DE104" s="1091">
        <f t="shared" si="63"/>
        <v>-0.03365464744</v>
      </c>
      <c r="DF104" s="1147">
        <f t="shared" si="581"/>
        <v>-949.001</v>
      </c>
      <c r="DG104" s="1091">
        <f t="shared" si="65"/>
        <v>-0.4403716937</v>
      </c>
      <c r="DH104" s="1146">
        <f t="shared" si="922"/>
        <v>2496</v>
      </c>
      <c r="DI104" s="1091">
        <f t="shared" si="817"/>
        <v>0.000208</v>
      </c>
      <c r="DJ104" s="1091">
        <f t="shared" si="972"/>
        <v>0.02152652005</v>
      </c>
      <c r="DK104" s="1147">
        <f t="shared" si="585"/>
        <v>4281</v>
      </c>
      <c r="DL104" s="1091">
        <f t="shared" si="818"/>
        <v>0.0008209868116</v>
      </c>
      <c r="DM104" s="1091">
        <f t="shared" si="973"/>
        <v>0.04177917816</v>
      </c>
      <c r="DN104" s="1147">
        <f t="shared" si="588"/>
        <v>3790.785</v>
      </c>
      <c r="DO104" s="1091">
        <f t="shared" si="819"/>
        <v>0.0008725255558</v>
      </c>
      <c r="DP104" s="1091">
        <f t="shared" si="974"/>
        <v>0.05122452753</v>
      </c>
      <c r="DQ104" s="1147">
        <f t="shared" si="591"/>
        <v>1294.785</v>
      </c>
      <c r="DR104" s="1091">
        <f t="shared" si="73"/>
        <v>0.5187439904</v>
      </c>
      <c r="DS104" s="1147">
        <f t="shared" si="592"/>
        <v>-490.215</v>
      </c>
      <c r="DT104" s="1091">
        <f t="shared" si="75"/>
        <v>-0.1145094604</v>
      </c>
      <c r="DU104" s="1146">
        <f>SUMIFS(BP_SOTIEN,BP_THANG,DU$2,BP_KM,$E104)/1000</f>
        <v>416</v>
      </c>
      <c r="DV104" s="1091">
        <f t="shared" si="820"/>
        <v>0.000104</v>
      </c>
      <c r="DW104" s="1091"/>
      <c r="DX104" s="1147">
        <f>IF(NOW()&gt;=DATE(YEAR(DU$2),MONTH(DU$2)+1,DAY(DU$2)),SUMIFS(TF_SOTIEN,TF_THANG,DU$2,TF_KM,$E104)/1000, EA104)</f>
        <v>416</v>
      </c>
      <c r="DY104" s="1091">
        <f t="shared" si="821"/>
        <v>0.00006887417264</v>
      </c>
      <c r="DZ104" s="1091"/>
      <c r="EA104" s="1147">
        <f>IF(NOW()&gt;=DATE(YEAR(DU$2),MONTH(DU$2)+1,DAY(DU$2)),SUMIFS(AC_SOTIEN,AC_THANG,DU$2,AC_KM,$E104),SUMIFS(TF_SOTIEN,TF_THANG,DU$2,TF_KM,$E104))/ 1000</f>
        <v>0</v>
      </c>
      <c r="EB104" s="1091" t="str">
        <f t="shared" si="822"/>
        <v/>
      </c>
      <c r="EC104" s="1091" t="str">
        <f t="shared" si="975"/>
        <v/>
      </c>
      <c r="ED104" s="1147">
        <f t="shared" si="599"/>
        <v>-416</v>
      </c>
      <c r="EE104" s="1091">
        <f t="shared" si="80"/>
        <v>-1</v>
      </c>
      <c r="EF104" s="1147">
        <f t="shared" si="600"/>
        <v>-416</v>
      </c>
      <c r="EG104" s="1091">
        <f t="shared" si="82"/>
        <v>-1</v>
      </c>
      <c r="EH104" s="1146">
        <f>SUMIFS(BP_SOTIEN,BP_THANG,EH$2,BP_KM,$E104)/1000</f>
        <v>416</v>
      </c>
      <c r="EI104" s="1091">
        <f t="shared" si="823"/>
        <v>0.000104</v>
      </c>
      <c r="EJ104" s="1091"/>
      <c r="EK104" s="1147">
        <f>IF(NOW()&gt;=DATE(YEAR(EH$2),MONTH(EH$2)+1,DAY(EH$2)),SUMIFS(TF_SOTIEN,TF_THANG,EH$2,TF_KM,$E104)/1000, EN104)</f>
        <v>416</v>
      </c>
      <c r="EL104" s="1091">
        <f t="shared" si="824"/>
        <v>0.00006887417264</v>
      </c>
      <c r="EM104" s="1091"/>
      <c r="EN104" s="1147">
        <f>IF(NOW()&gt;=DATE(YEAR(EH$2),MONTH(EH$2)+1,DAY(EH$2)),SUMIFS(AC_SOTIEN,AC_THANG,EH$2,AC_KM,$E104),SUMIFS(TF_SOTIEN,TF_THANG,EH$2,TF_KM,$E104))/ 1000</f>
        <v>0</v>
      </c>
      <c r="EO104" s="1091" t="str">
        <f t="shared" si="825"/>
        <v/>
      </c>
      <c r="EP104" s="1091" t="str">
        <f t="shared" si="976"/>
        <v/>
      </c>
      <c r="EQ104" s="1147">
        <f t="shared" si="607"/>
        <v>-416</v>
      </c>
      <c r="ER104" s="1091">
        <f t="shared" si="87"/>
        <v>-1</v>
      </c>
      <c r="ES104" s="1147">
        <f t="shared" si="608"/>
        <v>-416</v>
      </c>
      <c r="ET104" s="1091">
        <f t="shared" si="89"/>
        <v>-1</v>
      </c>
      <c r="EU104" s="1146">
        <f>SUMIFS(BP_SOTIEN,BP_THANG,EU$2,BP_KM,$E104)/1000</f>
        <v>416</v>
      </c>
      <c r="EV104" s="1091">
        <f t="shared" si="826"/>
        <v>0.000104</v>
      </c>
      <c r="EW104" s="1091"/>
      <c r="EX104" s="1147">
        <f>IF(NOW()&gt;=DATE(YEAR(EU$2),MONTH(EU$2)+1,DAY(EU$2)),SUMIFS(TF_SOTIEN,TF_THANG,EU$2,TF_KM,$E104)/1000, FA104)</f>
        <v>416</v>
      </c>
      <c r="EY104" s="1091">
        <f t="shared" si="827"/>
        <v>0.00006887417264</v>
      </c>
      <c r="EZ104" s="1091"/>
      <c r="FA104" s="1147">
        <f>IF(NOW()&gt;=DATE(YEAR(EU$2),MONTH(EU$2)+1,DAY(EU$2)),SUMIFS(AC_SOTIEN,AC_THANG,EU$2,AC_KM,$E104),SUMIFS(TF_SOTIEN,TF_THANG,EU$2,TF_KM,$E104))/ 1000</f>
        <v>0</v>
      </c>
      <c r="FB104" s="1091" t="str">
        <f t="shared" si="828"/>
        <v/>
      </c>
      <c r="FC104" s="1091" t="str">
        <f t="shared" si="977"/>
        <v/>
      </c>
      <c r="FD104" s="1147">
        <f t="shared" si="616"/>
        <v>-416</v>
      </c>
      <c r="FE104" s="1091">
        <f t="shared" si="94"/>
        <v>-1</v>
      </c>
      <c r="FF104" s="1147">
        <f t="shared" si="617"/>
        <v>-416</v>
      </c>
      <c r="FG104" s="1091">
        <f t="shared" si="96"/>
        <v>-1</v>
      </c>
      <c r="FH104" s="1146">
        <f t="shared" si="923"/>
        <v>1248</v>
      </c>
      <c r="FI104" s="1091">
        <f t="shared" si="829"/>
        <v>0.000104</v>
      </c>
      <c r="FJ104" s="1091">
        <f t="shared" si="978"/>
        <v>0.02209827357</v>
      </c>
      <c r="FK104" s="1147">
        <f t="shared" si="621"/>
        <v>1248</v>
      </c>
      <c r="FL104" s="1091">
        <f t="shared" si="830"/>
        <v>0.00006887417264</v>
      </c>
      <c r="FM104" s="1091">
        <f t="shared" si="979"/>
        <v>0.02209827357</v>
      </c>
      <c r="FN104" s="1147">
        <f t="shared" si="624"/>
        <v>0</v>
      </c>
      <c r="FO104" s="1091" t="str">
        <f t="shared" si="831"/>
        <v/>
      </c>
      <c r="FP104" s="1091" t="str">
        <f t="shared" si="980"/>
        <v/>
      </c>
      <c r="FQ104" s="1147">
        <f t="shared" si="627"/>
        <v>-1248</v>
      </c>
      <c r="FR104" s="1091">
        <f t="shared" si="104"/>
        <v>-1</v>
      </c>
      <c r="FS104" s="1147">
        <f t="shared" si="628"/>
        <v>-1248</v>
      </c>
      <c r="FT104" s="1091">
        <f t="shared" si="106"/>
        <v>-1</v>
      </c>
      <c r="FU104" s="1146">
        <f>SUMIFS(BP_SOTIEN,BP_THANG,FU$2,BP_KM,$E104)/1000</f>
        <v>416</v>
      </c>
      <c r="FV104" s="1091">
        <f t="shared" si="832"/>
        <v>0.000104</v>
      </c>
      <c r="FW104" s="1091"/>
      <c r="FX104" s="1147">
        <f>IF(NOW()&gt;=DATE(YEAR(FU$2),MONTH(FU$2)+1,DAY(FU$2)),SUMIFS(TF_SOTIEN,TF_THANG,FU$2,TF_KM,$E104)/1000, GA104)</f>
        <v>416</v>
      </c>
      <c r="FY104" s="1091">
        <f t="shared" si="833"/>
        <v>0.00006887417264</v>
      </c>
      <c r="FZ104" s="1091"/>
      <c r="GA104" s="1147">
        <f>IF(NOW()&gt;=DATE(YEAR(FU$2),MONTH(FU$2)+1,DAY(FU$2)),SUMIFS(AC_SOTIEN,AC_THANG,FU$2,AC_KM,$E104),SUMIFS(TF_SOTIEN,TF_THANG,FU$2,TF_KM,$E104))/ 1000</f>
        <v>0</v>
      </c>
      <c r="GB104" s="1091" t="str">
        <f t="shared" si="834"/>
        <v/>
      </c>
      <c r="GC104" s="1091" t="str">
        <f t="shared" si="981"/>
        <v/>
      </c>
      <c r="GD104" s="1147">
        <f t="shared" si="635"/>
        <v>-416</v>
      </c>
      <c r="GE104" s="1091">
        <f t="shared" si="111"/>
        <v>-1</v>
      </c>
      <c r="GF104" s="1147">
        <f t="shared" si="636"/>
        <v>-416</v>
      </c>
      <c r="GG104" s="1091">
        <f t="shared" si="113"/>
        <v>-1</v>
      </c>
      <c r="GH104" s="1146">
        <f>SUMIFS(BP_SOTIEN,BP_THANG,GH$2,BP_KM,$E104)/1000</f>
        <v>416</v>
      </c>
      <c r="GI104" s="1091">
        <f t="shared" si="835"/>
        <v>0.000104</v>
      </c>
      <c r="GJ104" s="1091"/>
      <c r="GK104" s="1147">
        <f>IF(NOW()&gt;=DATE(YEAR(GH$2),MONTH(GH$2)+1,DAY(GH$2)),SUMIFS(TF_SOTIEN,TF_THANG,GH$2,TF_KM,$E104)/1000, GN104)</f>
        <v>416</v>
      </c>
      <c r="GL104" s="1091">
        <f t="shared" si="836"/>
        <v>0.00006887417264</v>
      </c>
      <c r="GM104" s="1091"/>
      <c r="GN104" s="1147">
        <f>IF(NOW()&gt;=DATE(YEAR(GH$2),MONTH(GH$2)+1,DAY(GH$2)),SUMIFS(AC_SOTIEN,AC_THANG,GH$2,AC_KM,$E104),SUMIFS(TF_SOTIEN,TF_THANG,GH$2,TF_KM,$E104))/ 1000</f>
        <v>0</v>
      </c>
      <c r="GO104" s="1091" t="str">
        <f t="shared" si="837"/>
        <v/>
      </c>
      <c r="GP104" s="1091" t="str">
        <f t="shared" si="982"/>
        <v/>
      </c>
      <c r="GQ104" s="1147">
        <f t="shared" si="643"/>
        <v>-416</v>
      </c>
      <c r="GR104" s="1091">
        <f t="shared" si="118"/>
        <v>-1</v>
      </c>
      <c r="GS104" s="1147">
        <f t="shared" si="644"/>
        <v>-416</v>
      </c>
      <c r="GT104" s="1091">
        <f t="shared" si="120"/>
        <v>-1</v>
      </c>
      <c r="GU104" s="1146">
        <f>SUMIFS(BP_SOTIEN,BP_THANG,GU$2,BP_KM,$E104)/1000</f>
        <v>416</v>
      </c>
      <c r="GV104" s="1091">
        <f t="shared" si="838"/>
        <v>0.000104</v>
      </c>
      <c r="GW104" s="1091"/>
      <c r="GX104" s="1147">
        <f>IF(NOW()&gt;=DATE(YEAR(GU$2),MONTH(GU$2)+1,DAY(GU$2)),SUMIFS(TF_SOTIEN,TF_THANG,GU$2,TF_KM,$E104)/1000, HA104)</f>
        <v>416</v>
      </c>
      <c r="GY104" s="1091">
        <f t="shared" si="839"/>
        <v>0.00006887417264</v>
      </c>
      <c r="GZ104" s="1091"/>
      <c r="HA104" s="1147">
        <f>IF(NOW()&gt;=DATE(YEAR(GU$2),MONTH(GU$2)+1,DAY(GU$2)),SUMIFS(AC_SOTIEN,AC_THANG,GU$2,AC_KM,$E104),SUMIFS(TF_SOTIEN,TF_THANG,GU$2,TF_KM,$E104))/ 1000</f>
        <v>0</v>
      </c>
      <c r="HB104" s="1091" t="str">
        <f t="shared" si="840"/>
        <v/>
      </c>
      <c r="HC104" s="1091" t="str">
        <f t="shared" si="983"/>
        <v/>
      </c>
      <c r="HD104" s="1147">
        <f t="shared" si="651"/>
        <v>-416</v>
      </c>
      <c r="HE104" s="1091">
        <f t="shared" si="125"/>
        <v>-1</v>
      </c>
      <c r="HF104" s="1147">
        <f t="shared" si="652"/>
        <v>-416</v>
      </c>
      <c r="HG104" s="1091">
        <f t="shared" si="127"/>
        <v>-1</v>
      </c>
      <c r="HH104" s="1146">
        <f t="shared" si="924"/>
        <v>1248</v>
      </c>
      <c r="HI104" s="1091">
        <f t="shared" si="841"/>
        <v>0.000104</v>
      </c>
      <c r="HJ104" s="1091">
        <f t="shared" si="984"/>
        <v>0.02209827357</v>
      </c>
      <c r="HK104" s="1147">
        <f t="shared" si="656"/>
        <v>1248</v>
      </c>
      <c r="HL104" s="1091">
        <f t="shared" si="842"/>
        <v>0.00006887417264</v>
      </c>
      <c r="HM104" s="1091">
        <f t="shared" si="985"/>
        <v>0.02209827357</v>
      </c>
      <c r="HN104" s="1147">
        <f t="shared" si="659"/>
        <v>0</v>
      </c>
      <c r="HO104" s="1091" t="str">
        <f t="shared" si="843"/>
        <v/>
      </c>
      <c r="HP104" s="1091" t="str">
        <f t="shared" si="986"/>
        <v/>
      </c>
      <c r="HQ104" s="1147">
        <f t="shared" si="662"/>
        <v>-1248</v>
      </c>
      <c r="HR104" s="1091">
        <f t="shared" si="135"/>
        <v>-1</v>
      </c>
      <c r="HS104" s="1147">
        <f t="shared" si="663"/>
        <v>-1248</v>
      </c>
      <c r="HT104" s="1091">
        <f t="shared" si="137"/>
        <v>-1</v>
      </c>
      <c r="HU104" s="1146">
        <f t="shared" si="925"/>
        <v>2496</v>
      </c>
      <c r="HV104" s="1091">
        <f t="shared" si="844"/>
        <v>0.000104</v>
      </c>
      <c r="HW104" s="1091">
        <f t="shared" si="987"/>
        <v>0.02209827357</v>
      </c>
      <c r="HX104" s="1147">
        <f t="shared" si="667"/>
        <v>2496</v>
      </c>
      <c r="HY104" s="1091">
        <f t="shared" si="845"/>
        <v>0.00006887417264</v>
      </c>
      <c r="HZ104" s="1091">
        <f t="shared" si="988"/>
        <v>0.02209827357</v>
      </c>
      <c r="IA104" s="1147">
        <f t="shared" si="670"/>
        <v>0</v>
      </c>
      <c r="IB104" s="1091" t="str">
        <f t="shared" si="846"/>
        <v/>
      </c>
      <c r="IC104" s="1091" t="str">
        <f t="shared" si="989"/>
        <v/>
      </c>
      <c r="ID104" s="1147">
        <f t="shared" si="673"/>
        <v>-2496</v>
      </c>
      <c r="IE104" s="1091">
        <f t="shared" si="145"/>
        <v>-1</v>
      </c>
      <c r="IF104" s="1147">
        <f t="shared" si="674"/>
        <v>-2496</v>
      </c>
      <c r="IG104" s="1091">
        <f t="shared" si="147"/>
        <v>-1</v>
      </c>
      <c r="IH104" s="1146">
        <f t="shared" si="926"/>
        <v>4992</v>
      </c>
      <c r="II104" s="1091">
        <f t="shared" si="847"/>
        <v>0.0001386666667</v>
      </c>
      <c r="IJ104" s="1091">
        <f t="shared" si="990"/>
        <v>0.02180865007</v>
      </c>
      <c r="IK104" s="1147">
        <f t="shared" si="678"/>
        <v>6777</v>
      </c>
      <c r="IL104" s="1091">
        <f t="shared" si="848"/>
        <v>0.000163480615</v>
      </c>
      <c r="IM104" s="1091">
        <f t="shared" si="991"/>
        <v>0.03145986736</v>
      </c>
      <c r="IN104" s="1147">
        <f t="shared" si="681"/>
        <v>3790.785</v>
      </c>
      <c r="IO104" s="1091">
        <f t="shared" si="849"/>
        <v>0.0008725255558</v>
      </c>
      <c r="IP104" s="1091">
        <f t="shared" si="992"/>
        <v>0.05122452753</v>
      </c>
      <c r="IQ104" s="1147">
        <f t="shared" si="684"/>
        <v>-1201.215</v>
      </c>
      <c r="IR104" s="1091">
        <f t="shared" si="1"/>
        <v>-0.2406280048</v>
      </c>
      <c r="IS104" s="1147">
        <f t="shared" si="685"/>
        <v>-2986.215</v>
      </c>
      <c r="IT104" s="1091">
        <f t="shared" si="2"/>
        <v>-0.4406396636</v>
      </c>
    </row>
    <row r="105" outlineLevel="1">
      <c r="A105" s="737"/>
      <c r="B105" s="737"/>
      <c r="C105" s="737"/>
      <c r="D105" s="737" t="s">
        <v>2866</v>
      </c>
      <c r="E105" s="737" t="s">
        <v>410</v>
      </c>
      <c r="F105" s="737"/>
      <c r="G105" s="748">
        <v>3.0</v>
      </c>
      <c r="H105" s="1146">
        <f>SUMIFS(BP_SOTIEN,BP_THANG,H$2,BP_KM,$E105)/1000</f>
        <v>1250</v>
      </c>
      <c r="I105" s="1091" t="str">
        <f t="shared" si="791"/>
        <v/>
      </c>
      <c r="J105" s="1091"/>
      <c r="K105" s="1147">
        <f>IF(NOW()&gt;=DATE(YEAR(H$2),MONTH(H$2)+1,DAY(H$2)),SUMIFS(TF_SOTIEN,TF_THANG,H$2,TF_KM,$E105)/1000, N105)</f>
        <v>1250</v>
      </c>
      <c r="L105" s="1091">
        <f t="shared" si="792"/>
        <v>0.01041666667</v>
      </c>
      <c r="M105" s="1091"/>
      <c r="N105" s="1147">
        <f>IF(NOW()&gt;=DATE(YEAR(H$2),MONTH(H$2)+1,DAY(H$2)),SUMIFS(AC_SOTIEN,AC_THANG,H$2,AC_KM,$E105),SUMIFS(TF_SOTIEN,TF_THANG,H$2,TF_KM,$E105))/ 1000</f>
        <v>0</v>
      </c>
      <c r="O105" s="1091">
        <f t="shared" si="793"/>
        <v>0</v>
      </c>
      <c r="P105" s="1091">
        <f t="shared" si="960"/>
        <v>0</v>
      </c>
      <c r="Q105" s="1147">
        <f t="shared" si="518"/>
        <v>-1250</v>
      </c>
      <c r="R105" s="1091">
        <f t="shared" si="8"/>
        <v>-1</v>
      </c>
      <c r="S105" s="1147">
        <f t="shared" si="519"/>
        <v>-1250</v>
      </c>
      <c r="T105" s="1091">
        <f t="shared" si="10"/>
        <v>-1</v>
      </c>
      <c r="U105" s="1146">
        <f>SUMIFS(BP_SOTIEN,BP_THANG,U$2,BP_KM,$E105)/1000</f>
        <v>1250</v>
      </c>
      <c r="V105" s="1091" t="str">
        <f t="shared" si="794"/>
        <v/>
      </c>
      <c r="W105" s="1091"/>
      <c r="X105" s="1147">
        <f>IF(NOW()&gt;=DATE(YEAR(U$2),MONTH(U$2)+1,DAY(U$2)),SUMIFS(TF_SOTIEN,TF_THANG,U$2,TF_KM,$E105)/1000, AA105)</f>
        <v>1499</v>
      </c>
      <c r="Y105" s="1091" t="str">
        <f t="shared" si="795"/>
        <v/>
      </c>
      <c r="Z105" s="1091"/>
      <c r="AA105" s="1147">
        <f>IF(NOW()&gt;=DATE(YEAR(U$2),MONTH(U$2)+1,DAY(U$2)),SUMIFS(AC_SOTIEN,AC_THANG,U$2,AC_KM,$E105),SUMIFS(TF_SOTIEN,TF_THANG,U$2,TF_KM,$E105))/ 1000</f>
        <v>1499.001</v>
      </c>
      <c r="AB105" s="1091">
        <f t="shared" si="796"/>
        <v>0.008327783333</v>
      </c>
      <c r="AC105" s="1091">
        <f t="shared" si="961"/>
        <v>0.1451205405</v>
      </c>
      <c r="AD105" s="1147">
        <f t="shared" si="526"/>
        <v>249.001</v>
      </c>
      <c r="AE105" s="1091">
        <f t="shared" si="15"/>
        <v>0.1992008</v>
      </c>
      <c r="AF105" s="1147">
        <f t="shared" si="527"/>
        <v>0.001</v>
      </c>
      <c r="AG105" s="1091">
        <f t="shared" si="17"/>
        <v>0.0000006671114076</v>
      </c>
      <c r="AH105" s="1146">
        <f>SUMIFS(BP_SOTIEN,BP_THANG,AH$2,BP_KM,$E105)/1000</f>
        <v>1250</v>
      </c>
      <c r="AI105" s="1091" t="str">
        <f t="shared" si="797"/>
        <v/>
      </c>
      <c r="AJ105" s="1091"/>
      <c r="AK105" s="1147">
        <f>IF(NOW()&gt;=DATE(YEAR(AH$2),MONTH(AH$2)+1,DAY(AH$2)),SUMIFS(TF_SOTIEN,TF_THANG,AH$2,TF_KM,$E105)/1000, AN105)</f>
        <v>1499</v>
      </c>
      <c r="AL105" s="1091">
        <f t="shared" si="798"/>
        <v>0.0004163888889</v>
      </c>
      <c r="AM105" s="1091"/>
      <c r="AN105" s="1147">
        <f>IF(NOW()&gt;=DATE(YEAR(AH$2),MONTH(AH$2)+1,DAY(AH$2)),SUMIFS(AC_SOTIEN,AC_THANG,AH$2,AC_KM,$E105),SUMIFS(TF_SOTIEN,TF_THANG,AH$2,TF_KM,$E105))/ 1000</f>
        <v>997.91</v>
      </c>
      <c r="AO105" s="1091">
        <f t="shared" si="799"/>
        <v>0.001493877246</v>
      </c>
      <c r="AP105" s="1091">
        <f t="shared" si="962"/>
        <v>0.05535623787</v>
      </c>
      <c r="AQ105" s="1147">
        <f t="shared" si="534"/>
        <v>-252.09</v>
      </c>
      <c r="AR105" s="1091">
        <f t="shared" si="22"/>
        <v>-0.201672</v>
      </c>
      <c r="AS105" s="1147">
        <f t="shared" si="535"/>
        <v>-501.09</v>
      </c>
      <c r="AT105" s="1091">
        <f t="shared" si="24"/>
        <v>-0.3342828552</v>
      </c>
      <c r="AU105" s="1146">
        <f t="shared" si="916"/>
        <v>3750</v>
      </c>
      <c r="AV105" s="1091" t="str">
        <f t="shared" si="800"/>
        <v/>
      </c>
      <c r="AW105" s="1091">
        <f t="shared" si="963"/>
        <v>0.0630517024</v>
      </c>
      <c r="AX105" s="1147">
        <f t="shared" si="917"/>
        <v>4248</v>
      </c>
      <c r="AY105" s="1091">
        <f t="shared" si="801"/>
        <v>0.001141935484</v>
      </c>
      <c r="AZ105" s="1091">
        <f t="shared" si="964"/>
        <v>0.09222752931</v>
      </c>
      <c r="BA105" s="1147">
        <f t="shared" si="918"/>
        <v>2496.911</v>
      </c>
      <c r="BB105" s="1091">
        <f t="shared" si="802"/>
        <v>0.002101776936</v>
      </c>
      <c r="BC105" s="1091">
        <f t="shared" si="965"/>
        <v>0.06480736693</v>
      </c>
      <c r="BD105" s="1147">
        <f t="shared" si="545"/>
        <v>-1253.089</v>
      </c>
      <c r="BE105" s="1091">
        <f t="shared" si="32"/>
        <v>-0.3341570667</v>
      </c>
      <c r="BF105" s="1147">
        <f t="shared" si="546"/>
        <v>-1751.089</v>
      </c>
      <c r="BG105" s="1091">
        <f t="shared" si="34"/>
        <v>-0.4122149247</v>
      </c>
      <c r="BH105" s="1146">
        <f>SUMIFS(BP_SOTIEN,BP_THANG,BH$2,BP_KM,$E105)/1000</f>
        <v>1250</v>
      </c>
      <c r="BI105" s="1091">
        <f t="shared" si="803"/>
        <v>0.0003125</v>
      </c>
      <c r="BJ105" s="1091"/>
      <c r="BK105" s="1147">
        <f>IF(NOW()&gt;=DATE(YEAR(BH$2),MONTH(BH$2)+1,DAY(BH$2)),SUMIFS(TF_SOTIEN,TF_THANG,BH$2,TF_KM,$E105)/1000, BN105)</f>
        <v>1499</v>
      </c>
      <c r="BL105" s="1091" t="str">
        <f t="shared" si="804"/>
        <v/>
      </c>
      <c r="BM105" s="1091"/>
      <c r="BN105" s="1147">
        <f>IF(NOW()&gt;=DATE(YEAR(BH$2),MONTH(BH$2)+1,DAY(BH$2)),SUMIFS(AC_SOTIEN,AC_THANG,BH$2,AC_KM,$E105),SUMIFS(TF_SOTIEN,TF_THANG,BH$2,TF_KM,$E105))/ 1000</f>
        <v>1054</v>
      </c>
      <c r="BO105" s="1091">
        <f t="shared" si="805"/>
        <v>0.0004052225264</v>
      </c>
      <c r="BP105" s="1091">
        <f t="shared" si="966"/>
        <v>0.06063571077</v>
      </c>
      <c r="BQ105" s="1147">
        <f t="shared" si="553"/>
        <v>-196</v>
      </c>
      <c r="BR105" s="1091">
        <f t="shared" si="39"/>
        <v>-0.1568</v>
      </c>
      <c r="BS105" s="1147">
        <f t="shared" si="554"/>
        <v>-445</v>
      </c>
      <c r="BT105" s="1091">
        <f t="shared" si="41"/>
        <v>-0.2968645764</v>
      </c>
      <c r="BU105" s="1146">
        <f>SUMIFS(BP_SOTIEN,BP_THANG,BU$2,BP_KM,$E105)/1000</f>
        <v>1250</v>
      </c>
      <c r="BV105" s="1091">
        <f t="shared" si="806"/>
        <v>0.0003125</v>
      </c>
      <c r="BW105" s="1091"/>
      <c r="BX105" s="1147">
        <f>IF(NOW()&gt;=DATE(YEAR(BU$2),MONTH(BU$2)+1,DAY(BU$2)),SUMIFS(TF_SOTIEN,TF_THANG,BU$2,TF_KM,$E105)/1000, CA105)</f>
        <v>1250</v>
      </c>
      <c r="BY105" s="1091">
        <f t="shared" si="807"/>
        <v>0.0008364244906</v>
      </c>
      <c r="BZ105" s="1091"/>
      <c r="CA105" s="1147">
        <f>IF(NOW()&gt;=DATE(YEAR(BU$2),MONTH(BU$2)+1,DAY(BU$2)),SUMIFS(AC_SOTIEN,AC_THANG,BU$2,AC_KM,$E105),SUMIFS(TF_SOTIEN,TF_THANG,BU$2,TF_KM,$E105))/ 1000</f>
        <v>96</v>
      </c>
      <c r="CB105" s="1091">
        <f t="shared" si="808"/>
        <v>0.0001727948853</v>
      </c>
      <c r="CC105" s="1091">
        <f t="shared" si="967"/>
        <v>0.00530602939</v>
      </c>
      <c r="CD105" s="1147">
        <f t="shared" si="561"/>
        <v>-1154</v>
      </c>
      <c r="CE105" s="1091">
        <f t="shared" si="46"/>
        <v>-0.9232</v>
      </c>
      <c r="CF105" s="1147">
        <f t="shared" si="562"/>
        <v>-1154</v>
      </c>
      <c r="CG105" s="1091">
        <f t="shared" si="48"/>
        <v>-0.9232</v>
      </c>
      <c r="CH105" s="1146">
        <f>SUMIFS(BP_SOTIEN,BP_THANG,CH$2,BP_KM,$E105)/1000</f>
        <v>1250</v>
      </c>
      <c r="CI105" s="1091">
        <f t="shared" si="809"/>
        <v>0.0003125</v>
      </c>
      <c r="CJ105" s="1091"/>
      <c r="CK105" s="1147">
        <f>IF(NOW()&gt;=DATE(YEAR(CH$2),MONTH(CH$2)+1,DAY(CH$2)),SUMIFS(TF_SOTIEN,TF_THANG,CH$2,TF_KM,$E105)/1000, CN105)</f>
        <v>1250</v>
      </c>
      <c r="CL105" s="1091" t="str">
        <f t="shared" si="810"/>
        <v/>
      </c>
      <c r="CM105" s="1091"/>
      <c r="CN105" s="1147">
        <f>IF(NOW()&gt;=DATE(YEAR(CH$2),MONTH(CH$2)+1,DAY(CH$2)),SUMIFS(AC_SOTIEN,AC_THANG,CH$2,AC_KM,$E105),SUMIFS(TF_SOTIEN,TF_THANG,CH$2,TF_KM,$E105))/ 1000</f>
        <v>0</v>
      </c>
      <c r="CO105" s="1091" t="str">
        <f t="shared" si="811"/>
        <v/>
      </c>
      <c r="CP105" s="1091" t="str">
        <f t="shared" si="968"/>
        <v/>
      </c>
      <c r="CQ105" s="1147">
        <f t="shared" si="569"/>
        <v>-1250</v>
      </c>
      <c r="CR105" s="1091">
        <f t="shared" si="53"/>
        <v>-1</v>
      </c>
      <c r="CS105" s="1147">
        <f t="shared" si="570"/>
        <v>-1250</v>
      </c>
      <c r="CT105" s="1091">
        <f t="shared" si="55"/>
        <v>-1</v>
      </c>
      <c r="CU105" s="1146">
        <f t="shared" si="919"/>
        <v>3750</v>
      </c>
      <c r="CV105" s="1091">
        <f t="shared" si="812"/>
        <v>0.0003125</v>
      </c>
      <c r="CW105" s="1091">
        <f t="shared" si="969"/>
        <v>0.06640106242</v>
      </c>
      <c r="CX105" s="1147">
        <f t="shared" si="920"/>
        <v>3999</v>
      </c>
      <c r="CY105" s="1091">
        <f t="shared" si="814"/>
        <v>0.00267588923</v>
      </c>
      <c r="CZ105" s="1091">
        <f t="shared" si="970"/>
        <v>0.07089506661</v>
      </c>
      <c r="DA105" s="1147">
        <f t="shared" si="921"/>
        <v>1150</v>
      </c>
      <c r="DB105" s="1091">
        <f t="shared" si="816"/>
        <v>0.0003643146513</v>
      </c>
      <c r="DC105" s="1091">
        <f t="shared" si="971"/>
        <v>0.03241708464</v>
      </c>
      <c r="DD105" s="1147">
        <f t="shared" si="580"/>
        <v>-2600</v>
      </c>
      <c r="DE105" s="1091">
        <f t="shared" si="63"/>
        <v>-0.6933333333</v>
      </c>
      <c r="DF105" s="1147">
        <f t="shared" si="581"/>
        <v>-2849</v>
      </c>
      <c r="DG105" s="1091">
        <f t="shared" si="65"/>
        <v>-0.712428107</v>
      </c>
      <c r="DH105" s="1146">
        <f t="shared" si="922"/>
        <v>7500</v>
      </c>
      <c r="DI105" s="1091">
        <f t="shared" si="817"/>
        <v>0.000625</v>
      </c>
      <c r="DJ105" s="1091">
        <f t="shared" si="972"/>
        <v>0.06468305304</v>
      </c>
      <c r="DK105" s="1147">
        <f t="shared" si="585"/>
        <v>8247</v>
      </c>
      <c r="DL105" s="1091">
        <f t="shared" si="818"/>
        <v>0.001581564643</v>
      </c>
      <c r="DM105" s="1091">
        <f t="shared" si="973"/>
        <v>0.08048420516</v>
      </c>
      <c r="DN105" s="1147">
        <f t="shared" si="588"/>
        <v>3646.911</v>
      </c>
      <c r="DO105" s="1091">
        <f t="shared" si="819"/>
        <v>0.0008394100555</v>
      </c>
      <c r="DP105" s="1091">
        <f t="shared" si="974"/>
        <v>0.04928037146</v>
      </c>
      <c r="DQ105" s="1147">
        <f t="shared" si="591"/>
        <v>-3853.089</v>
      </c>
      <c r="DR105" s="1091">
        <f t="shared" si="73"/>
        <v>-0.5137452</v>
      </c>
      <c r="DS105" s="1147">
        <f t="shared" si="592"/>
        <v>-4600.089</v>
      </c>
      <c r="DT105" s="1091">
        <f t="shared" si="75"/>
        <v>-0.557789378</v>
      </c>
      <c r="DU105" s="1146">
        <f>SUMIFS(BP_SOTIEN,BP_THANG,DU$2,BP_KM,$E105)/1000</f>
        <v>1250</v>
      </c>
      <c r="DV105" s="1091">
        <f t="shared" si="820"/>
        <v>0.0003125</v>
      </c>
      <c r="DW105" s="1091"/>
      <c r="DX105" s="1147">
        <f>IF(NOW()&gt;=DATE(YEAR(DU$2),MONTH(DU$2)+1,DAY(DU$2)),SUMIFS(TF_SOTIEN,TF_THANG,DU$2,TF_KM,$E105)/1000, EA105)</f>
        <v>1250</v>
      </c>
      <c r="DY105" s="1091">
        <f t="shared" si="821"/>
        <v>0.0002069536438</v>
      </c>
      <c r="DZ105" s="1091"/>
      <c r="EA105" s="1147">
        <f>IF(NOW()&gt;=DATE(YEAR(DU$2),MONTH(DU$2)+1,DAY(DU$2)),SUMIFS(AC_SOTIEN,AC_THANG,DU$2,AC_KM,$E105),SUMIFS(TF_SOTIEN,TF_THANG,DU$2,TF_KM,$E105))/ 1000</f>
        <v>0</v>
      </c>
      <c r="EB105" s="1091" t="str">
        <f t="shared" si="822"/>
        <v/>
      </c>
      <c r="EC105" s="1091" t="str">
        <f t="shared" si="975"/>
        <v/>
      </c>
      <c r="ED105" s="1147">
        <f t="shared" si="599"/>
        <v>-1250</v>
      </c>
      <c r="EE105" s="1091">
        <f t="shared" si="80"/>
        <v>-1</v>
      </c>
      <c r="EF105" s="1147">
        <f t="shared" si="600"/>
        <v>-1250</v>
      </c>
      <c r="EG105" s="1091">
        <f t="shared" si="82"/>
        <v>-1</v>
      </c>
      <c r="EH105" s="1146">
        <f>SUMIFS(BP_SOTIEN,BP_THANG,EH$2,BP_KM,$E105)/1000</f>
        <v>1250</v>
      </c>
      <c r="EI105" s="1091">
        <f t="shared" si="823"/>
        <v>0.0003125</v>
      </c>
      <c r="EJ105" s="1091"/>
      <c r="EK105" s="1147">
        <f>IF(NOW()&gt;=DATE(YEAR(EH$2),MONTH(EH$2)+1,DAY(EH$2)),SUMIFS(TF_SOTIEN,TF_THANG,EH$2,TF_KM,$E105)/1000, EN105)</f>
        <v>1250</v>
      </c>
      <c r="EL105" s="1091">
        <f t="shared" si="824"/>
        <v>0.0002069536438</v>
      </c>
      <c r="EM105" s="1091"/>
      <c r="EN105" s="1147">
        <f>IF(NOW()&gt;=DATE(YEAR(EH$2),MONTH(EH$2)+1,DAY(EH$2)),SUMIFS(AC_SOTIEN,AC_THANG,EH$2,AC_KM,$E105),SUMIFS(TF_SOTIEN,TF_THANG,EH$2,TF_KM,$E105))/ 1000</f>
        <v>0</v>
      </c>
      <c r="EO105" s="1091" t="str">
        <f t="shared" si="825"/>
        <v/>
      </c>
      <c r="EP105" s="1091" t="str">
        <f t="shared" si="976"/>
        <v/>
      </c>
      <c r="EQ105" s="1147">
        <f t="shared" si="607"/>
        <v>-1250</v>
      </c>
      <c r="ER105" s="1091">
        <f t="shared" si="87"/>
        <v>-1</v>
      </c>
      <c r="ES105" s="1147">
        <f t="shared" si="608"/>
        <v>-1250</v>
      </c>
      <c r="ET105" s="1091">
        <f t="shared" si="89"/>
        <v>-1</v>
      </c>
      <c r="EU105" s="1146">
        <f>SUMIFS(BP_SOTIEN,BP_THANG,EU$2,BP_KM,$E105)/1000</f>
        <v>1250</v>
      </c>
      <c r="EV105" s="1091">
        <f t="shared" si="826"/>
        <v>0.0003125</v>
      </c>
      <c r="EW105" s="1091"/>
      <c r="EX105" s="1147">
        <f>IF(NOW()&gt;=DATE(YEAR(EU$2),MONTH(EU$2)+1,DAY(EU$2)),SUMIFS(TF_SOTIEN,TF_THANG,EU$2,TF_KM,$E105)/1000, FA105)</f>
        <v>1250</v>
      </c>
      <c r="EY105" s="1091">
        <f t="shared" si="827"/>
        <v>0.0002069536438</v>
      </c>
      <c r="EZ105" s="1091"/>
      <c r="FA105" s="1147">
        <f>IF(NOW()&gt;=DATE(YEAR(EU$2),MONTH(EU$2)+1,DAY(EU$2)),SUMIFS(AC_SOTIEN,AC_THANG,EU$2,AC_KM,$E105),SUMIFS(TF_SOTIEN,TF_THANG,EU$2,TF_KM,$E105))/ 1000</f>
        <v>0</v>
      </c>
      <c r="FB105" s="1091" t="str">
        <f t="shared" si="828"/>
        <v/>
      </c>
      <c r="FC105" s="1091" t="str">
        <f t="shared" si="977"/>
        <v/>
      </c>
      <c r="FD105" s="1147">
        <f t="shared" si="616"/>
        <v>-1250</v>
      </c>
      <c r="FE105" s="1091">
        <f t="shared" si="94"/>
        <v>-1</v>
      </c>
      <c r="FF105" s="1147">
        <f t="shared" si="617"/>
        <v>-1250</v>
      </c>
      <c r="FG105" s="1091">
        <f t="shared" si="96"/>
        <v>-1</v>
      </c>
      <c r="FH105" s="1146">
        <f t="shared" si="923"/>
        <v>3750</v>
      </c>
      <c r="FI105" s="1091">
        <f t="shared" si="829"/>
        <v>0.0003125</v>
      </c>
      <c r="FJ105" s="1091">
        <f t="shared" si="978"/>
        <v>0.06640106242</v>
      </c>
      <c r="FK105" s="1147">
        <f t="shared" si="621"/>
        <v>3750</v>
      </c>
      <c r="FL105" s="1091">
        <f t="shared" si="830"/>
        <v>0.0002069536438</v>
      </c>
      <c r="FM105" s="1091">
        <f t="shared" si="979"/>
        <v>0.06640106242</v>
      </c>
      <c r="FN105" s="1147">
        <f t="shared" si="624"/>
        <v>0</v>
      </c>
      <c r="FO105" s="1091" t="str">
        <f t="shared" si="831"/>
        <v/>
      </c>
      <c r="FP105" s="1091" t="str">
        <f t="shared" si="980"/>
        <v/>
      </c>
      <c r="FQ105" s="1147">
        <f t="shared" si="627"/>
        <v>-3750</v>
      </c>
      <c r="FR105" s="1091">
        <f t="shared" si="104"/>
        <v>-1</v>
      </c>
      <c r="FS105" s="1147">
        <f t="shared" si="628"/>
        <v>-3750</v>
      </c>
      <c r="FT105" s="1091">
        <f t="shared" si="106"/>
        <v>-1</v>
      </c>
      <c r="FU105" s="1146">
        <f>SUMIFS(BP_SOTIEN,BP_THANG,FU$2,BP_KM,$E105)/1000</f>
        <v>1250</v>
      </c>
      <c r="FV105" s="1091">
        <f t="shared" si="832"/>
        <v>0.0003125</v>
      </c>
      <c r="FW105" s="1091"/>
      <c r="FX105" s="1147">
        <f>IF(NOW()&gt;=DATE(YEAR(FU$2),MONTH(FU$2)+1,DAY(FU$2)),SUMIFS(TF_SOTIEN,TF_THANG,FU$2,TF_KM,$E105)/1000, GA105)</f>
        <v>1250</v>
      </c>
      <c r="FY105" s="1091">
        <f t="shared" si="833"/>
        <v>0.0002069536438</v>
      </c>
      <c r="FZ105" s="1091"/>
      <c r="GA105" s="1147">
        <f>IF(NOW()&gt;=DATE(YEAR(FU$2),MONTH(FU$2)+1,DAY(FU$2)),SUMIFS(AC_SOTIEN,AC_THANG,FU$2,AC_KM,$E105),SUMIFS(TF_SOTIEN,TF_THANG,FU$2,TF_KM,$E105))/ 1000</f>
        <v>0</v>
      </c>
      <c r="GB105" s="1091" t="str">
        <f t="shared" si="834"/>
        <v/>
      </c>
      <c r="GC105" s="1091" t="str">
        <f t="shared" si="981"/>
        <v/>
      </c>
      <c r="GD105" s="1147">
        <f t="shared" si="635"/>
        <v>-1250</v>
      </c>
      <c r="GE105" s="1091">
        <f t="shared" si="111"/>
        <v>-1</v>
      </c>
      <c r="GF105" s="1147">
        <f t="shared" si="636"/>
        <v>-1250</v>
      </c>
      <c r="GG105" s="1091">
        <f t="shared" si="113"/>
        <v>-1</v>
      </c>
      <c r="GH105" s="1146">
        <f>SUMIFS(BP_SOTIEN,BP_THANG,GH$2,BP_KM,$E105)/1000</f>
        <v>1250</v>
      </c>
      <c r="GI105" s="1091">
        <f t="shared" si="835"/>
        <v>0.0003125</v>
      </c>
      <c r="GJ105" s="1091"/>
      <c r="GK105" s="1147">
        <f>IF(NOW()&gt;=DATE(YEAR(GH$2),MONTH(GH$2)+1,DAY(GH$2)),SUMIFS(TF_SOTIEN,TF_THANG,GH$2,TF_KM,$E105)/1000, GN105)</f>
        <v>1250</v>
      </c>
      <c r="GL105" s="1091">
        <f t="shared" si="836"/>
        <v>0.0002069536438</v>
      </c>
      <c r="GM105" s="1091"/>
      <c r="GN105" s="1147">
        <f>IF(NOW()&gt;=DATE(YEAR(GH$2),MONTH(GH$2)+1,DAY(GH$2)),SUMIFS(AC_SOTIEN,AC_THANG,GH$2,AC_KM,$E105),SUMIFS(TF_SOTIEN,TF_THANG,GH$2,TF_KM,$E105))/ 1000</f>
        <v>0</v>
      </c>
      <c r="GO105" s="1091" t="str">
        <f t="shared" si="837"/>
        <v/>
      </c>
      <c r="GP105" s="1091" t="str">
        <f t="shared" si="982"/>
        <v/>
      </c>
      <c r="GQ105" s="1147">
        <f t="shared" si="643"/>
        <v>-1250</v>
      </c>
      <c r="GR105" s="1091">
        <f t="shared" si="118"/>
        <v>-1</v>
      </c>
      <c r="GS105" s="1147">
        <f t="shared" si="644"/>
        <v>-1250</v>
      </c>
      <c r="GT105" s="1091">
        <f t="shared" si="120"/>
        <v>-1</v>
      </c>
      <c r="GU105" s="1146">
        <f>SUMIFS(BP_SOTIEN,BP_THANG,GU$2,BP_KM,$E105)/1000</f>
        <v>1250</v>
      </c>
      <c r="GV105" s="1091">
        <f t="shared" si="838"/>
        <v>0.0003125</v>
      </c>
      <c r="GW105" s="1091"/>
      <c r="GX105" s="1147">
        <f>IF(NOW()&gt;=DATE(YEAR(GU$2),MONTH(GU$2)+1,DAY(GU$2)),SUMIFS(TF_SOTIEN,TF_THANG,GU$2,TF_KM,$E105)/1000, HA105)</f>
        <v>1250</v>
      </c>
      <c r="GY105" s="1091">
        <f t="shared" si="839"/>
        <v>0.0002069536438</v>
      </c>
      <c r="GZ105" s="1091"/>
      <c r="HA105" s="1147">
        <f>IF(NOW()&gt;=DATE(YEAR(GU$2),MONTH(GU$2)+1,DAY(GU$2)),SUMIFS(AC_SOTIEN,AC_THANG,GU$2,AC_KM,$E105),SUMIFS(TF_SOTIEN,TF_THANG,GU$2,TF_KM,$E105))/ 1000</f>
        <v>0</v>
      </c>
      <c r="HB105" s="1091" t="str">
        <f t="shared" si="840"/>
        <v/>
      </c>
      <c r="HC105" s="1091" t="str">
        <f t="shared" si="983"/>
        <v/>
      </c>
      <c r="HD105" s="1147">
        <f t="shared" si="651"/>
        <v>-1250</v>
      </c>
      <c r="HE105" s="1091">
        <f t="shared" si="125"/>
        <v>-1</v>
      </c>
      <c r="HF105" s="1147">
        <f t="shared" si="652"/>
        <v>-1250</v>
      </c>
      <c r="HG105" s="1091">
        <f t="shared" si="127"/>
        <v>-1</v>
      </c>
      <c r="HH105" s="1146">
        <f t="shared" si="924"/>
        <v>3750</v>
      </c>
      <c r="HI105" s="1091">
        <f t="shared" si="841"/>
        <v>0.0003125</v>
      </c>
      <c r="HJ105" s="1091">
        <f t="shared" si="984"/>
        <v>0.06640106242</v>
      </c>
      <c r="HK105" s="1147">
        <f t="shared" si="656"/>
        <v>3750</v>
      </c>
      <c r="HL105" s="1091">
        <f t="shared" si="842"/>
        <v>0.0002069536438</v>
      </c>
      <c r="HM105" s="1091">
        <f t="shared" si="985"/>
        <v>0.06640106242</v>
      </c>
      <c r="HN105" s="1147">
        <f t="shared" si="659"/>
        <v>0</v>
      </c>
      <c r="HO105" s="1091" t="str">
        <f t="shared" si="843"/>
        <v/>
      </c>
      <c r="HP105" s="1091" t="str">
        <f t="shared" si="986"/>
        <v/>
      </c>
      <c r="HQ105" s="1147">
        <f t="shared" si="662"/>
        <v>-3750</v>
      </c>
      <c r="HR105" s="1091">
        <f t="shared" si="135"/>
        <v>-1</v>
      </c>
      <c r="HS105" s="1147">
        <f t="shared" si="663"/>
        <v>-3750</v>
      </c>
      <c r="HT105" s="1091">
        <f t="shared" si="137"/>
        <v>-1</v>
      </c>
      <c r="HU105" s="1146">
        <f t="shared" si="925"/>
        <v>7500</v>
      </c>
      <c r="HV105" s="1091">
        <f t="shared" si="844"/>
        <v>0.0003125</v>
      </c>
      <c r="HW105" s="1091">
        <f t="shared" si="987"/>
        <v>0.06640106242</v>
      </c>
      <c r="HX105" s="1147">
        <f t="shared" si="667"/>
        <v>7500</v>
      </c>
      <c r="HY105" s="1091">
        <f t="shared" si="845"/>
        <v>0.0002069536438</v>
      </c>
      <c r="HZ105" s="1091">
        <f t="shared" si="988"/>
        <v>0.06640106242</v>
      </c>
      <c r="IA105" s="1147">
        <f t="shared" si="670"/>
        <v>0</v>
      </c>
      <c r="IB105" s="1091" t="str">
        <f t="shared" si="846"/>
        <v/>
      </c>
      <c r="IC105" s="1091" t="str">
        <f t="shared" si="989"/>
        <v/>
      </c>
      <c r="ID105" s="1147">
        <f t="shared" si="673"/>
        <v>-7500</v>
      </c>
      <c r="IE105" s="1091">
        <f t="shared" si="145"/>
        <v>-1</v>
      </c>
      <c r="IF105" s="1147">
        <f t="shared" si="674"/>
        <v>-7500</v>
      </c>
      <c r="IG105" s="1091">
        <f t="shared" si="147"/>
        <v>-1</v>
      </c>
      <c r="IH105" s="1146">
        <f t="shared" si="926"/>
        <v>15000</v>
      </c>
      <c r="II105" s="1091">
        <f t="shared" si="847"/>
        <v>0.0004166666667</v>
      </c>
      <c r="IJ105" s="1091">
        <f t="shared" si="990"/>
        <v>0.06553079948</v>
      </c>
      <c r="IK105" s="1147">
        <f t="shared" si="678"/>
        <v>15747</v>
      </c>
      <c r="IL105" s="1091">
        <f t="shared" si="848"/>
        <v>0.0003798626596</v>
      </c>
      <c r="IM105" s="1091">
        <f t="shared" si="991"/>
        <v>0.07309997511</v>
      </c>
      <c r="IN105" s="1147">
        <f t="shared" si="681"/>
        <v>3646.911</v>
      </c>
      <c r="IO105" s="1091">
        <f t="shared" si="849"/>
        <v>0.0008394100555</v>
      </c>
      <c r="IP105" s="1091">
        <f t="shared" si="992"/>
        <v>0.04928037146</v>
      </c>
      <c r="IQ105" s="1147">
        <f t="shared" si="684"/>
        <v>-11353.089</v>
      </c>
      <c r="IR105" s="1091">
        <f t="shared" si="1"/>
        <v>-0.7568726</v>
      </c>
      <c r="IS105" s="1147">
        <f t="shared" si="685"/>
        <v>-12100.089</v>
      </c>
      <c r="IT105" s="1091">
        <f t="shared" si="2"/>
        <v>-0.7684059821</v>
      </c>
    </row>
    <row r="106" outlineLevel="1">
      <c r="A106" s="737"/>
      <c r="B106" s="737"/>
      <c r="C106" s="737"/>
      <c r="D106" s="737" t="s">
        <v>2867</v>
      </c>
      <c r="E106" s="737" t="s">
        <v>226</v>
      </c>
      <c r="F106" s="737"/>
      <c r="G106" s="748">
        <v>3.0</v>
      </c>
      <c r="H106" s="1146">
        <f>SUMIFS(BP_SOTIEN,BP_THANG,H$2,BP_KM,$E106)/1000</f>
        <v>1250</v>
      </c>
      <c r="I106" s="1091" t="str">
        <f t="shared" si="791"/>
        <v/>
      </c>
      <c r="J106" s="1091"/>
      <c r="K106" s="1147">
        <f>IF(NOW()&gt;=DATE(YEAR(H$2),MONTH(H$2)+1,DAY(H$2)),SUMIFS(TF_SOTIEN,TF_THANG,H$2,TF_KM,$E106)/1000, N106)</f>
        <v>1250</v>
      </c>
      <c r="L106" s="1091">
        <f t="shared" si="792"/>
        <v>0.01041666667</v>
      </c>
      <c r="M106" s="1091"/>
      <c r="N106" s="1147">
        <f>IF(NOW()&gt;=DATE(YEAR(H$2),MONTH(H$2)+1,DAY(H$2)),SUMIFS(AC_SOTIEN,AC_THANG,H$2,AC_KM,$E106),SUMIFS(TF_SOTIEN,TF_THANG,H$2,TF_KM,$E106))/ 1000</f>
        <v>306.944</v>
      </c>
      <c r="O106" s="1091">
        <f t="shared" si="793"/>
        <v>0.0009027764706</v>
      </c>
      <c r="P106" s="1091">
        <f t="shared" si="960"/>
        <v>0.03017600639</v>
      </c>
      <c r="Q106" s="1147">
        <f t="shared" si="518"/>
        <v>-943.056</v>
      </c>
      <c r="R106" s="1091">
        <f t="shared" si="8"/>
        <v>-0.7544448</v>
      </c>
      <c r="S106" s="1147">
        <f t="shared" si="519"/>
        <v>-943.056</v>
      </c>
      <c r="T106" s="1091">
        <f t="shared" si="10"/>
        <v>-0.7544448</v>
      </c>
      <c r="U106" s="1146">
        <f>SUMIFS(BP_SOTIEN,BP_THANG,U$2,BP_KM,$E106)/1000</f>
        <v>1250</v>
      </c>
      <c r="V106" s="1091" t="str">
        <f t="shared" si="794"/>
        <v/>
      </c>
      <c r="W106" s="1091"/>
      <c r="X106" s="1147">
        <f>IF(NOW()&gt;=DATE(YEAR(U$2),MONTH(U$2)+1,DAY(U$2)),SUMIFS(TF_SOTIEN,TF_THANG,U$2,TF_KM,$E106)/1000, AA106)</f>
        <v>491</v>
      </c>
      <c r="Y106" s="1091" t="str">
        <f t="shared" si="795"/>
        <v/>
      </c>
      <c r="Z106" s="1091"/>
      <c r="AA106" s="1147">
        <f>IF(NOW()&gt;=DATE(YEAR(U$2),MONTH(U$2)+1,DAY(U$2)),SUMIFS(AC_SOTIEN,AC_THANG,U$2,AC_KM,$E106),SUMIFS(TF_SOTIEN,TF_THANG,U$2,TF_KM,$E106))/ 1000</f>
        <v>491</v>
      </c>
      <c r="AB106" s="1091">
        <f t="shared" si="796"/>
        <v>0.002727777778</v>
      </c>
      <c r="AC106" s="1091">
        <f t="shared" si="961"/>
        <v>0.0475344482</v>
      </c>
      <c r="AD106" s="1147">
        <f t="shared" si="526"/>
        <v>-759</v>
      </c>
      <c r="AE106" s="1091">
        <f t="shared" si="15"/>
        <v>-0.6072</v>
      </c>
      <c r="AF106" s="1147">
        <f t="shared" si="527"/>
        <v>0</v>
      </c>
      <c r="AG106" s="1091">
        <f t="shared" si="17"/>
        <v>0</v>
      </c>
      <c r="AH106" s="1146">
        <f>SUMIFS(BP_SOTIEN,BP_THANG,AH$2,BP_KM,$E106)/1000</f>
        <v>1250</v>
      </c>
      <c r="AI106" s="1091" t="str">
        <f t="shared" si="797"/>
        <v/>
      </c>
      <c r="AJ106" s="1091"/>
      <c r="AK106" s="1147">
        <f>IF(NOW()&gt;=DATE(YEAR(AH$2),MONTH(AH$2)+1,DAY(AH$2)),SUMIFS(TF_SOTIEN,TF_THANG,AH$2,TF_KM,$E106)/1000, AN106)</f>
        <v>491</v>
      </c>
      <c r="AL106" s="1091">
        <f t="shared" si="798"/>
        <v>0.0001363888889</v>
      </c>
      <c r="AM106" s="1091"/>
      <c r="AN106" s="1147">
        <f>IF(NOW()&gt;=DATE(YEAR(AH$2),MONTH(AH$2)+1,DAY(AH$2)),SUMIFS(AC_SOTIEN,AC_THANG,AH$2,AC_KM,$E106),SUMIFS(TF_SOTIEN,TF_THANG,AH$2,TF_KM,$E106))/ 1000</f>
        <v>1229.966</v>
      </c>
      <c r="AO106" s="1091">
        <f t="shared" si="799"/>
        <v>0.001841266467</v>
      </c>
      <c r="AP106" s="1091">
        <f t="shared" si="962"/>
        <v>0.06822888884</v>
      </c>
      <c r="AQ106" s="1147">
        <f t="shared" si="534"/>
        <v>-20.034</v>
      </c>
      <c r="AR106" s="1091">
        <f t="shared" si="22"/>
        <v>-0.0160272</v>
      </c>
      <c r="AS106" s="1147">
        <f t="shared" si="535"/>
        <v>738.966</v>
      </c>
      <c r="AT106" s="1091">
        <f t="shared" si="24"/>
        <v>1.505022403</v>
      </c>
      <c r="AU106" s="1146">
        <f t="shared" si="916"/>
        <v>3750</v>
      </c>
      <c r="AV106" s="1091" t="str">
        <f t="shared" si="800"/>
        <v/>
      </c>
      <c r="AW106" s="1091">
        <f t="shared" si="963"/>
        <v>0.0630517024</v>
      </c>
      <c r="AX106" s="1147">
        <f t="shared" si="917"/>
        <v>2232</v>
      </c>
      <c r="AY106" s="1091">
        <f t="shared" si="801"/>
        <v>0.0006</v>
      </c>
      <c r="AZ106" s="1091">
        <f t="shared" si="964"/>
        <v>0.04845853235</v>
      </c>
      <c r="BA106" s="1147">
        <f t="shared" si="918"/>
        <v>2027.91</v>
      </c>
      <c r="BB106" s="1091">
        <f t="shared" si="802"/>
        <v>0.001706994949</v>
      </c>
      <c r="BC106" s="1091">
        <f t="shared" si="965"/>
        <v>0.0526344381</v>
      </c>
      <c r="BD106" s="1147">
        <f t="shared" si="545"/>
        <v>-1722.09</v>
      </c>
      <c r="BE106" s="1091">
        <f t="shared" si="32"/>
        <v>-0.459224</v>
      </c>
      <c r="BF106" s="1147">
        <f t="shared" si="546"/>
        <v>-204.09</v>
      </c>
      <c r="BG106" s="1091">
        <f t="shared" si="34"/>
        <v>-0.09143817204</v>
      </c>
      <c r="BH106" s="1146">
        <f>SUMIFS(BP_SOTIEN,BP_THANG,BH$2,BP_KM,$E106)/1000</f>
        <v>1250</v>
      </c>
      <c r="BI106" s="1091">
        <f t="shared" si="803"/>
        <v>0.0003125</v>
      </c>
      <c r="BJ106" s="1091"/>
      <c r="BK106" s="1147">
        <f>IF(NOW()&gt;=DATE(YEAR(BH$2),MONTH(BH$2)+1,DAY(BH$2)),SUMIFS(TF_SOTIEN,TF_THANG,BH$2,TF_KM,$E106)/1000, BN106)</f>
        <v>491</v>
      </c>
      <c r="BL106" s="1091" t="str">
        <f t="shared" si="804"/>
        <v/>
      </c>
      <c r="BM106" s="1091"/>
      <c r="BN106" s="1147">
        <f>IF(NOW()&gt;=DATE(YEAR(BH$2),MONTH(BH$2)+1,DAY(BH$2)),SUMIFS(AC_SOTIEN,AC_THANG,BH$2,AC_KM,$E106),SUMIFS(TF_SOTIEN,TF_THANG,BH$2,TF_KM,$E106))/ 1000</f>
        <v>1300</v>
      </c>
      <c r="BO106" s="1091">
        <f t="shared" si="805"/>
        <v>0.00049980008</v>
      </c>
      <c r="BP106" s="1091">
        <f t="shared" si="966"/>
        <v>0.07478787856</v>
      </c>
      <c r="BQ106" s="1147">
        <f t="shared" si="553"/>
        <v>50</v>
      </c>
      <c r="BR106" s="1091">
        <f t="shared" si="39"/>
        <v>0.04</v>
      </c>
      <c r="BS106" s="1147">
        <f t="shared" si="554"/>
        <v>809</v>
      </c>
      <c r="BT106" s="1091">
        <f t="shared" si="41"/>
        <v>1.647657841</v>
      </c>
      <c r="BU106" s="1146">
        <f>SUMIFS(BP_SOTIEN,BP_THANG,BU$2,BP_KM,$E106)/1000</f>
        <v>1250</v>
      </c>
      <c r="BV106" s="1091">
        <f t="shared" si="806"/>
        <v>0.0003125</v>
      </c>
      <c r="BW106" s="1091"/>
      <c r="BX106" s="1147">
        <f>IF(NOW()&gt;=DATE(YEAR(BU$2),MONTH(BU$2)+1,DAY(BU$2)),SUMIFS(TF_SOTIEN,TF_THANG,BU$2,TF_KM,$E106)/1000, CA106)</f>
        <v>1250</v>
      </c>
      <c r="BY106" s="1091">
        <f t="shared" si="807"/>
        <v>0.0008364244906</v>
      </c>
      <c r="BZ106" s="1091"/>
      <c r="CA106" s="1147">
        <f>IF(NOW()&gt;=DATE(YEAR(BU$2),MONTH(BU$2)+1,DAY(BU$2)),SUMIFS(AC_SOTIEN,AC_THANG,BU$2,AC_KM,$E106),SUMIFS(TF_SOTIEN,TF_THANG,BU$2,TF_KM,$E106))/ 1000</f>
        <v>600</v>
      </c>
      <c r="CB106" s="1091">
        <f t="shared" si="808"/>
        <v>0.001079968033</v>
      </c>
      <c r="CC106" s="1091">
        <f t="shared" si="967"/>
        <v>0.03316268369</v>
      </c>
      <c r="CD106" s="1147">
        <f t="shared" si="561"/>
        <v>-650</v>
      </c>
      <c r="CE106" s="1091">
        <f t="shared" si="46"/>
        <v>-0.52</v>
      </c>
      <c r="CF106" s="1147">
        <f t="shared" si="562"/>
        <v>-650</v>
      </c>
      <c r="CG106" s="1091">
        <f t="shared" si="48"/>
        <v>-0.52</v>
      </c>
      <c r="CH106" s="1146">
        <f>SUMIFS(BP_SOTIEN,BP_THANG,CH$2,BP_KM,$E106)/1000</f>
        <v>1250</v>
      </c>
      <c r="CI106" s="1091">
        <f t="shared" si="809"/>
        <v>0.0003125</v>
      </c>
      <c r="CJ106" s="1091"/>
      <c r="CK106" s="1147">
        <f>IF(NOW()&gt;=DATE(YEAR(CH$2),MONTH(CH$2)+1,DAY(CH$2)),SUMIFS(TF_SOTIEN,TF_THANG,CH$2,TF_KM,$E106)/1000, CN106)</f>
        <v>950</v>
      </c>
      <c r="CL106" s="1091" t="str">
        <f t="shared" si="810"/>
        <v/>
      </c>
      <c r="CM106" s="1091"/>
      <c r="CN106" s="1147">
        <f>IF(NOW()&gt;=DATE(YEAR(CH$2),MONTH(CH$2)+1,DAY(CH$2)),SUMIFS(AC_SOTIEN,AC_THANG,CH$2,AC_KM,$E106),SUMIFS(TF_SOTIEN,TF_THANG,CH$2,TF_KM,$E106))/ 1000</f>
        <v>0</v>
      </c>
      <c r="CO106" s="1091" t="str">
        <f t="shared" si="811"/>
        <v/>
      </c>
      <c r="CP106" s="1091" t="str">
        <f t="shared" si="968"/>
        <v/>
      </c>
      <c r="CQ106" s="1147">
        <f t="shared" si="569"/>
        <v>-1250</v>
      </c>
      <c r="CR106" s="1091">
        <f t="shared" si="53"/>
        <v>-1</v>
      </c>
      <c r="CS106" s="1147">
        <f t="shared" si="570"/>
        <v>-950</v>
      </c>
      <c r="CT106" s="1091">
        <f t="shared" si="55"/>
        <v>-1</v>
      </c>
      <c r="CU106" s="1146">
        <f t="shared" si="919"/>
        <v>3750</v>
      </c>
      <c r="CV106" s="1091">
        <f t="shared" si="812"/>
        <v>0.0003125</v>
      </c>
      <c r="CW106" s="1091">
        <f t="shared" si="969"/>
        <v>0.06640106242</v>
      </c>
      <c r="CX106" s="1147">
        <f t="shared" si="920"/>
        <v>2691</v>
      </c>
      <c r="CY106" s="1091">
        <f t="shared" si="814"/>
        <v>0.001800654643</v>
      </c>
      <c r="CZ106" s="1091">
        <f t="shared" si="970"/>
        <v>0.04770658271</v>
      </c>
      <c r="DA106" s="1147">
        <f t="shared" si="921"/>
        <v>1900</v>
      </c>
      <c r="DB106" s="1091">
        <f t="shared" si="816"/>
        <v>0.000601911163</v>
      </c>
      <c r="DC106" s="1091">
        <f t="shared" si="971"/>
        <v>0.05355866158</v>
      </c>
      <c r="DD106" s="1147">
        <f t="shared" si="580"/>
        <v>-1850</v>
      </c>
      <c r="DE106" s="1091">
        <f t="shared" si="63"/>
        <v>-0.4933333333</v>
      </c>
      <c r="DF106" s="1147">
        <f t="shared" si="581"/>
        <v>-791</v>
      </c>
      <c r="DG106" s="1091">
        <f t="shared" si="65"/>
        <v>-0.2939427722</v>
      </c>
      <c r="DH106" s="1146">
        <f t="shared" si="922"/>
        <v>7500</v>
      </c>
      <c r="DI106" s="1091">
        <f t="shared" si="817"/>
        <v>0.000625</v>
      </c>
      <c r="DJ106" s="1091">
        <f t="shared" si="972"/>
        <v>0.06468305304</v>
      </c>
      <c r="DK106" s="1147">
        <f t="shared" si="585"/>
        <v>4923</v>
      </c>
      <c r="DL106" s="1091">
        <f t="shared" si="818"/>
        <v>0.0009441060672</v>
      </c>
      <c r="DM106" s="1091">
        <f t="shared" si="973"/>
        <v>0.048044591</v>
      </c>
      <c r="DN106" s="1147">
        <f t="shared" si="588"/>
        <v>3927.91</v>
      </c>
      <c r="DO106" s="1091">
        <f t="shared" si="819"/>
        <v>0.0009040876377</v>
      </c>
      <c r="DP106" s="1091">
        <f t="shared" si="974"/>
        <v>0.05307748499</v>
      </c>
      <c r="DQ106" s="1147">
        <f t="shared" si="591"/>
        <v>-3572.09</v>
      </c>
      <c r="DR106" s="1091">
        <f t="shared" si="73"/>
        <v>-0.4762786667</v>
      </c>
      <c r="DS106" s="1147">
        <f t="shared" si="592"/>
        <v>-995.09</v>
      </c>
      <c r="DT106" s="1091">
        <f t="shared" si="75"/>
        <v>-0.2021308145</v>
      </c>
      <c r="DU106" s="1146">
        <f>SUMIFS(BP_SOTIEN,BP_THANG,DU$2,BP_KM,$E106)/1000</f>
        <v>1250</v>
      </c>
      <c r="DV106" s="1091">
        <f t="shared" si="820"/>
        <v>0.0003125</v>
      </c>
      <c r="DW106" s="1091"/>
      <c r="DX106" s="1147">
        <f>IF(NOW()&gt;=DATE(YEAR(DU$2),MONTH(DU$2)+1,DAY(DU$2)),SUMIFS(TF_SOTIEN,TF_THANG,DU$2,TF_KM,$E106)/1000, EA106)</f>
        <v>1250</v>
      </c>
      <c r="DY106" s="1091">
        <f t="shared" si="821"/>
        <v>0.0002069536438</v>
      </c>
      <c r="DZ106" s="1091"/>
      <c r="EA106" s="1147">
        <f>IF(NOW()&gt;=DATE(YEAR(DU$2),MONTH(DU$2)+1,DAY(DU$2)),SUMIFS(AC_SOTIEN,AC_THANG,DU$2,AC_KM,$E106),SUMIFS(TF_SOTIEN,TF_THANG,DU$2,TF_KM,$E106))/ 1000</f>
        <v>0</v>
      </c>
      <c r="EB106" s="1091" t="str">
        <f t="shared" si="822"/>
        <v/>
      </c>
      <c r="EC106" s="1091" t="str">
        <f t="shared" si="975"/>
        <v/>
      </c>
      <c r="ED106" s="1147">
        <f t="shared" si="599"/>
        <v>-1250</v>
      </c>
      <c r="EE106" s="1091">
        <f t="shared" si="80"/>
        <v>-1</v>
      </c>
      <c r="EF106" s="1147">
        <f t="shared" si="600"/>
        <v>-1250</v>
      </c>
      <c r="EG106" s="1091">
        <f t="shared" si="82"/>
        <v>-1</v>
      </c>
      <c r="EH106" s="1146">
        <f>SUMIFS(BP_SOTIEN,BP_THANG,EH$2,BP_KM,$E106)/1000</f>
        <v>1250</v>
      </c>
      <c r="EI106" s="1091">
        <f t="shared" si="823"/>
        <v>0.0003125</v>
      </c>
      <c r="EJ106" s="1091"/>
      <c r="EK106" s="1147">
        <f>IF(NOW()&gt;=DATE(YEAR(EH$2),MONTH(EH$2)+1,DAY(EH$2)),SUMIFS(TF_SOTIEN,TF_THANG,EH$2,TF_KM,$E106)/1000, EN106)</f>
        <v>1250</v>
      </c>
      <c r="EL106" s="1091">
        <f t="shared" si="824"/>
        <v>0.0002069536438</v>
      </c>
      <c r="EM106" s="1091"/>
      <c r="EN106" s="1147">
        <f>IF(NOW()&gt;=DATE(YEAR(EH$2),MONTH(EH$2)+1,DAY(EH$2)),SUMIFS(AC_SOTIEN,AC_THANG,EH$2,AC_KM,$E106),SUMIFS(TF_SOTIEN,TF_THANG,EH$2,TF_KM,$E106))/ 1000</f>
        <v>0</v>
      </c>
      <c r="EO106" s="1091" t="str">
        <f t="shared" si="825"/>
        <v/>
      </c>
      <c r="EP106" s="1091" t="str">
        <f t="shared" si="976"/>
        <v/>
      </c>
      <c r="EQ106" s="1147">
        <f t="shared" si="607"/>
        <v>-1250</v>
      </c>
      <c r="ER106" s="1091">
        <f t="shared" si="87"/>
        <v>-1</v>
      </c>
      <c r="ES106" s="1147">
        <f t="shared" si="608"/>
        <v>-1250</v>
      </c>
      <c r="ET106" s="1091">
        <f t="shared" si="89"/>
        <v>-1</v>
      </c>
      <c r="EU106" s="1146">
        <f>SUMIFS(BP_SOTIEN,BP_THANG,EU$2,BP_KM,$E106)/1000</f>
        <v>1250</v>
      </c>
      <c r="EV106" s="1091">
        <f t="shared" si="826"/>
        <v>0.0003125</v>
      </c>
      <c r="EW106" s="1091"/>
      <c r="EX106" s="1147">
        <f>IF(NOW()&gt;=DATE(YEAR(EU$2),MONTH(EU$2)+1,DAY(EU$2)),SUMIFS(TF_SOTIEN,TF_THANG,EU$2,TF_KM,$E106)/1000, FA106)</f>
        <v>1250</v>
      </c>
      <c r="EY106" s="1091">
        <f t="shared" si="827"/>
        <v>0.0002069536438</v>
      </c>
      <c r="EZ106" s="1091"/>
      <c r="FA106" s="1147">
        <f>IF(NOW()&gt;=DATE(YEAR(EU$2),MONTH(EU$2)+1,DAY(EU$2)),SUMIFS(AC_SOTIEN,AC_THANG,EU$2,AC_KM,$E106),SUMIFS(TF_SOTIEN,TF_THANG,EU$2,TF_KM,$E106))/ 1000</f>
        <v>0</v>
      </c>
      <c r="FB106" s="1091" t="str">
        <f t="shared" si="828"/>
        <v/>
      </c>
      <c r="FC106" s="1091" t="str">
        <f t="shared" si="977"/>
        <v/>
      </c>
      <c r="FD106" s="1147">
        <f t="shared" si="616"/>
        <v>-1250</v>
      </c>
      <c r="FE106" s="1091">
        <f t="shared" si="94"/>
        <v>-1</v>
      </c>
      <c r="FF106" s="1147">
        <f t="shared" si="617"/>
        <v>-1250</v>
      </c>
      <c r="FG106" s="1091">
        <f t="shared" si="96"/>
        <v>-1</v>
      </c>
      <c r="FH106" s="1146">
        <f t="shared" si="923"/>
        <v>3750</v>
      </c>
      <c r="FI106" s="1091">
        <f t="shared" si="829"/>
        <v>0.0003125</v>
      </c>
      <c r="FJ106" s="1091">
        <f t="shared" si="978"/>
        <v>0.06640106242</v>
      </c>
      <c r="FK106" s="1147">
        <f t="shared" si="621"/>
        <v>3750</v>
      </c>
      <c r="FL106" s="1091">
        <f t="shared" si="830"/>
        <v>0.0002069536438</v>
      </c>
      <c r="FM106" s="1091">
        <f t="shared" si="979"/>
        <v>0.06640106242</v>
      </c>
      <c r="FN106" s="1147">
        <f t="shared" si="624"/>
        <v>0</v>
      </c>
      <c r="FO106" s="1091" t="str">
        <f t="shared" si="831"/>
        <v/>
      </c>
      <c r="FP106" s="1091" t="str">
        <f t="shared" si="980"/>
        <v/>
      </c>
      <c r="FQ106" s="1147">
        <f t="shared" si="627"/>
        <v>-3750</v>
      </c>
      <c r="FR106" s="1091">
        <f t="shared" si="104"/>
        <v>-1</v>
      </c>
      <c r="FS106" s="1147">
        <f t="shared" si="628"/>
        <v>-3750</v>
      </c>
      <c r="FT106" s="1091">
        <f t="shared" si="106"/>
        <v>-1</v>
      </c>
      <c r="FU106" s="1146">
        <f>SUMIFS(BP_SOTIEN,BP_THANG,FU$2,BP_KM,$E106)/1000</f>
        <v>1250</v>
      </c>
      <c r="FV106" s="1091">
        <f t="shared" si="832"/>
        <v>0.0003125</v>
      </c>
      <c r="FW106" s="1091"/>
      <c r="FX106" s="1147">
        <f>IF(NOW()&gt;=DATE(YEAR(FU$2),MONTH(FU$2)+1,DAY(FU$2)),SUMIFS(TF_SOTIEN,TF_THANG,FU$2,TF_KM,$E106)/1000, GA106)</f>
        <v>1250</v>
      </c>
      <c r="FY106" s="1091">
        <f t="shared" si="833"/>
        <v>0.0002069536438</v>
      </c>
      <c r="FZ106" s="1091"/>
      <c r="GA106" s="1147">
        <f>IF(NOW()&gt;=DATE(YEAR(FU$2),MONTH(FU$2)+1,DAY(FU$2)),SUMIFS(AC_SOTIEN,AC_THANG,FU$2,AC_KM,$E106),SUMIFS(TF_SOTIEN,TF_THANG,FU$2,TF_KM,$E106))/ 1000</f>
        <v>0</v>
      </c>
      <c r="GB106" s="1091" t="str">
        <f t="shared" si="834"/>
        <v/>
      </c>
      <c r="GC106" s="1091" t="str">
        <f t="shared" si="981"/>
        <v/>
      </c>
      <c r="GD106" s="1147">
        <f t="shared" si="635"/>
        <v>-1250</v>
      </c>
      <c r="GE106" s="1091">
        <f t="shared" si="111"/>
        <v>-1</v>
      </c>
      <c r="GF106" s="1147">
        <f t="shared" si="636"/>
        <v>-1250</v>
      </c>
      <c r="GG106" s="1091">
        <f t="shared" si="113"/>
        <v>-1</v>
      </c>
      <c r="GH106" s="1146">
        <f>SUMIFS(BP_SOTIEN,BP_THANG,GH$2,BP_KM,$E106)/1000</f>
        <v>1250</v>
      </c>
      <c r="GI106" s="1091">
        <f t="shared" si="835"/>
        <v>0.0003125</v>
      </c>
      <c r="GJ106" s="1091"/>
      <c r="GK106" s="1147">
        <f>IF(NOW()&gt;=DATE(YEAR(GH$2),MONTH(GH$2)+1,DAY(GH$2)),SUMIFS(TF_SOTIEN,TF_THANG,GH$2,TF_KM,$E106)/1000, GN106)</f>
        <v>1250</v>
      </c>
      <c r="GL106" s="1091">
        <f t="shared" si="836"/>
        <v>0.0002069536438</v>
      </c>
      <c r="GM106" s="1091"/>
      <c r="GN106" s="1147">
        <f>IF(NOW()&gt;=DATE(YEAR(GH$2),MONTH(GH$2)+1,DAY(GH$2)),SUMIFS(AC_SOTIEN,AC_THANG,GH$2,AC_KM,$E106),SUMIFS(TF_SOTIEN,TF_THANG,GH$2,TF_KM,$E106))/ 1000</f>
        <v>0</v>
      </c>
      <c r="GO106" s="1091" t="str">
        <f t="shared" si="837"/>
        <v/>
      </c>
      <c r="GP106" s="1091" t="str">
        <f t="shared" si="982"/>
        <v/>
      </c>
      <c r="GQ106" s="1147">
        <f t="shared" si="643"/>
        <v>-1250</v>
      </c>
      <c r="GR106" s="1091">
        <f t="shared" si="118"/>
        <v>-1</v>
      </c>
      <c r="GS106" s="1147">
        <f t="shared" si="644"/>
        <v>-1250</v>
      </c>
      <c r="GT106" s="1091">
        <f t="shared" si="120"/>
        <v>-1</v>
      </c>
      <c r="GU106" s="1146">
        <f>SUMIFS(BP_SOTIEN,BP_THANG,GU$2,BP_KM,$E106)/1000</f>
        <v>1250</v>
      </c>
      <c r="GV106" s="1091">
        <f t="shared" si="838"/>
        <v>0.0003125</v>
      </c>
      <c r="GW106" s="1091"/>
      <c r="GX106" s="1147">
        <f>IF(NOW()&gt;=DATE(YEAR(GU$2),MONTH(GU$2)+1,DAY(GU$2)),SUMIFS(TF_SOTIEN,TF_THANG,GU$2,TF_KM,$E106)/1000, HA106)</f>
        <v>1250</v>
      </c>
      <c r="GY106" s="1091">
        <f t="shared" si="839"/>
        <v>0.0002069536438</v>
      </c>
      <c r="GZ106" s="1091"/>
      <c r="HA106" s="1147">
        <f>IF(NOW()&gt;=DATE(YEAR(GU$2),MONTH(GU$2)+1,DAY(GU$2)),SUMIFS(AC_SOTIEN,AC_THANG,GU$2,AC_KM,$E106),SUMIFS(TF_SOTIEN,TF_THANG,GU$2,TF_KM,$E106))/ 1000</f>
        <v>0</v>
      </c>
      <c r="HB106" s="1091" t="str">
        <f t="shared" si="840"/>
        <v/>
      </c>
      <c r="HC106" s="1091" t="str">
        <f t="shared" si="983"/>
        <v/>
      </c>
      <c r="HD106" s="1147">
        <f t="shared" si="651"/>
        <v>-1250</v>
      </c>
      <c r="HE106" s="1091">
        <f t="shared" si="125"/>
        <v>-1</v>
      </c>
      <c r="HF106" s="1147">
        <f t="shared" si="652"/>
        <v>-1250</v>
      </c>
      <c r="HG106" s="1091">
        <f t="shared" si="127"/>
        <v>-1</v>
      </c>
      <c r="HH106" s="1146">
        <f t="shared" si="924"/>
        <v>3750</v>
      </c>
      <c r="HI106" s="1091">
        <f t="shared" si="841"/>
        <v>0.0003125</v>
      </c>
      <c r="HJ106" s="1091">
        <f t="shared" si="984"/>
        <v>0.06640106242</v>
      </c>
      <c r="HK106" s="1147">
        <f t="shared" si="656"/>
        <v>3750</v>
      </c>
      <c r="HL106" s="1091">
        <f t="shared" si="842"/>
        <v>0.0002069536438</v>
      </c>
      <c r="HM106" s="1091">
        <f t="shared" si="985"/>
        <v>0.06640106242</v>
      </c>
      <c r="HN106" s="1147">
        <f t="shared" si="659"/>
        <v>0</v>
      </c>
      <c r="HO106" s="1091" t="str">
        <f t="shared" si="843"/>
        <v/>
      </c>
      <c r="HP106" s="1091" t="str">
        <f t="shared" si="986"/>
        <v/>
      </c>
      <c r="HQ106" s="1147">
        <f t="shared" si="662"/>
        <v>-3750</v>
      </c>
      <c r="HR106" s="1091">
        <f t="shared" si="135"/>
        <v>-1</v>
      </c>
      <c r="HS106" s="1147">
        <f t="shared" si="663"/>
        <v>-3750</v>
      </c>
      <c r="HT106" s="1091">
        <f t="shared" si="137"/>
        <v>-1</v>
      </c>
      <c r="HU106" s="1146">
        <f t="shared" si="925"/>
        <v>7500</v>
      </c>
      <c r="HV106" s="1091">
        <f t="shared" si="844"/>
        <v>0.0003125</v>
      </c>
      <c r="HW106" s="1091">
        <f t="shared" si="987"/>
        <v>0.06640106242</v>
      </c>
      <c r="HX106" s="1147">
        <f t="shared" si="667"/>
        <v>7500</v>
      </c>
      <c r="HY106" s="1091">
        <f t="shared" si="845"/>
        <v>0.0002069536438</v>
      </c>
      <c r="HZ106" s="1091">
        <f t="shared" si="988"/>
        <v>0.06640106242</v>
      </c>
      <c r="IA106" s="1147">
        <f t="shared" si="670"/>
        <v>0</v>
      </c>
      <c r="IB106" s="1091" t="str">
        <f t="shared" si="846"/>
        <v/>
      </c>
      <c r="IC106" s="1091" t="str">
        <f t="shared" si="989"/>
        <v/>
      </c>
      <c r="ID106" s="1147">
        <f t="shared" si="673"/>
        <v>-7500</v>
      </c>
      <c r="IE106" s="1091">
        <f t="shared" si="145"/>
        <v>-1</v>
      </c>
      <c r="IF106" s="1147">
        <f t="shared" si="674"/>
        <v>-7500</v>
      </c>
      <c r="IG106" s="1091">
        <f t="shared" si="147"/>
        <v>-1</v>
      </c>
      <c r="IH106" s="1146">
        <f t="shared" si="926"/>
        <v>15000</v>
      </c>
      <c r="II106" s="1091">
        <f t="shared" si="847"/>
        <v>0.0004166666667</v>
      </c>
      <c r="IJ106" s="1091">
        <f t="shared" si="990"/>
        <v>0.06553079948</v>
      </c>
      <c r="IK106" s="1147">
        <f t="shared" si="678"/>
        <v>12423</v>
      </c>
      <c r="IL106" s="1091">
        <f t="shared" si="848"/>
        <v>0.0002996782765</v>
      </c>
      <c r="IM106" s="1091">
        <f t="shared" si="991"/>
        <v>0.05766946027</v>
      </c>
      <c r="IN106" s="1147">
        <f t="shared" si="681"/>
        <v>3927.91</v>
      </c>
      <c r="IO106" s="1091">
        <f t="shared" si="849"/>
        <v>0.0009040876377</v>
      </c>
      <c r="IP106" s="1091">
        <f t="shared" si="992"/>
        <v>0.05307748499</v>
      </c>
      <c r="IQ106" s="1147">
        <f t="shared" si="684"/>
        <v>-11072.09</v>
      </c>
      <c r="IR106" s="1091">
        <f t="shared" si="1"/>
        <v>-0.7381393333</v>
      </c>
      <c r="IS106" s="1147">
        <f t="shared" si="685"/>
        <v>-8495.09</v>
      </c>
      <c r="IT106" s="1091">
        <f t="shared" si="2"/>
        <v>-0.6838195283</v>
      </c>
    </row>
    <row r="107" outlineLevel="1">
      <c r="A107" s="737"/>
      <c r="B107" s="737"/>
      <c r="C107" s="737"/>
      <c r="D107" s="744" t="s">
        <v>2868</v>
      </c>
      <c r="E107" s="744" t="s">
        <v>206</v>
      </c>
      <c r="F107" s="737"/>
      <c r="G107" s="748">
        <v>3.0</v>
      </c>
      <c r="H107" s="1146">
        <f>SUMIFS(BP_SOTIEN,BP_THANG,H$2,BP_KM,$E107)/1000</f>
        <v>1703</v>
      </c>
      <c r="I107" s="1091" t="str">
        <f t="shared" si="791"/>
        <v/>
      </c>
      <c r="J107" s="1091"/>
      <c r="K107" s="1147">
        <f>IF(NOW()&gt;=DATE(YEAR(H$2),MONTH(H$2)+1,DAY(H$2)),SUMIFS(TF_SOTIEN,TF_THANG,H$2,TF_KM,$E107)/1000, N107)</f>
        <v>1703</v>
      </c>
      <c r="L107" s="1091">
        <f t="shared" si="792"/>
        <v>0.01419166667</v>
      </c>
      <c r="M107" s="1091"/>
      <c r="N107" s="1147">
        <f>IF(NOW()&gt;=DATE(YEAR(H$2),MONTH(H$2)+1,DAY(H$2)),SUMIFS(AC_SOTIEN,AC_THANG,H$2,AC_KM,$E107),SUMIFS(TF_SOTIEN,TF_THANG,H$2,TF_KM,$E107))/ 1000</f>
        <v>1300</v>
      </c>
      <c r="O107" s="1091">
        <f t="shared" si="793"/>
        <v>0.003823529412</v>
      </c>
      <c r="P107" s="1091">
        <f t="shared" si="960"/>
        <v>0.1278044474</v>
      </c>
      <c r="Q107" s="1147">
        <f t="shared" si="518"/>
        <v>-403</v>
      </c>
      <c r="R107" s="1091">
        <f t="shared" si="8"/>
        <v>-0.2366412214</v>
      </c>
      <c r="S107" s="1147">
        <f t="shared" si="519"/>
        <v>-403</v>
      </c>
      <c r="T107" s="1091">
        <f t="shared" si="10"/>
        <v>-0.2366412214</v>
      </c>
      <c r="U107" s="1146">
        <f>SUMIFS(BP_SOTIEN,BP_THANG,U$2,BP_KM,$E107)/1000</f>
        <v>1703</v>
      </c>
      <c r="V107" s="1091" t="str">
        <f t="shared" si="794"/>
        <v/>
      </c>
      <c r="W107" s="1091"/>
      <c r="X107" s="1147">
        <f>IF(NOW()&gt;=DATE(YEAR(U$2),MONTH(U$2)+1,DAY(U$2)),SUMIFS(TF_SOTIEN,TF_THANG,U$2,TF_KM,$E107)/1000, AA107)</f>
        <v>1806</v>
      </c>
      <c r="Y107" s="1091" t="str">
        <f t="shared" si="795"/>
        <v/>
      </c>
      <c r="Z107" s="1091"/>
      <c r="AA107" s="1147">
        <f>IF(NOW()&gt;=DATE(YEAR(U$2),MONTH(U$2)+1,DAY(U$2)),SUMIFS(AC_SOTIEN,AC_THANG,U$2,AC_KM,$E107),SUMIFS(TF_SOTIEN,TF_THANG,U$2,TF_KM,$E107))/ 1000</f>
        <v>1443.001</v>
      </c>
      <c r="AB107" s="1091">
        <f t="shared" si="796"/>
        <v>0.008016672222</v>
      </c>
      <c r="AC107" s="1091">
        <f t="shared" si="961"/>
        <v>0.1396990963</v>
      </c>
      <c r="AD107" s="1147">
        <f t="shared" si="526"/>
        <v>-259.999</v>
      </c>
      <c r="AE107" s="1091">
        <f t="shared" si="15"/>
        <v>-0.1526711685</v>
      </c>
      <c r="AF107" s="1147">
        <f t="shared" si="527"/>
        <v>-362.999</v>
      </c>
      <c r="AG107" s="1091">
        <f t="shared" si="17"/>
        <v>-0.200996124</v>
      </c>
      <c r="AH107" s="1146">
        <f>SUMIFS(BP_SOTIEN,BP_THANG,AH$2,BP_KM,$E107)/1000</f>
        <v>1703</v>
      </c>
      <c r="AI107" s="1091" t="str">
        <f t="shared" si="797"/>
        <v/>
      </c>
      <c r="AJ107" s="1091"/>
      <c r="AK107" s="1147">
        <f>IF(NOW()&gt;=DATE(YEAR(AH$2),MONTH(AH$2)+1,DAY(AH$2)),SUMIFS(TF_SOTIEN,TF_THANG,AH$2,TF_KM,$E107)/1000, AN107)</f>
        <v>1806</v>
      </c>
      <c r="AL107" s="1091">
        <f t="shared" si="798"/>
        <v>0.0005016666667</v>
      </c>
      <c r="AM107" s="1091"/>
      <c r="AN107" s="1147">
        <f>IF(NOW()&gt;=DATE(YEAR(AH$2),MONTH(AH$2)+1,DAY(AH$2)),SUMIFS(AC_SOTIEN,AC_THANG,AH$2,AC_KM,$E107),SUMIFS(TF_SOTIEN,TF_THANG,AH$2,TF_KM,$E107))/ 1000</f>
        <v>1706.608</v>
      </c>
      <c r="AO107" s="1091">
        <f t="shared" si="799"/>
        <v>0.002554802395</v>
      </c>
      <c r="AP107" s="1091">
        <f t="shared" si="962"/>
        <v>0.09466925714</v>
      </c>
      <c r="AQ107" s="1147">
        <f t="shared" si="534"/>
        <v>3.608</v>
      </c>
      <c r="AR107" s="1091">
        <f t="shared" si="22"/>
        <v>0.00211861421</v>
      </c>
      <c r="AS107" s="1147">
        <f t="shared" si="535"/>
        <v>-99.392</v>
      </c>
      <c r="AT107" s="1091">
        <f t="shared" si="24"/>
        <v>-0.05503433001</v>
      </c>
      <c r="AU107" s="1146">
        <f t="shared" si="916"/>
        <v>5109</v>
      </c>
      <c r="AV107" s="1091" t="str">
        <f t="shared" si="800"/>
        <v/>
      </c>
      <c r="AW107" s="1091">
        <f t="shared" si="963"/>
        <v>0.08590163934</v>
      </c>
      <c r="AX107" s="1147">
        <f t="shared" si="917"/>
        <v>5315</v>
      </c>
      <c r="AY107" s="1091">
        <f t="shared" si="801"/>
        <v>0.001428763441</v>
      </c>
      <c r="AZ107" s="1091">
        <f t="shared" si="964"/>
        <v>0.1153929657</v>
      </c>
      <c r="BA107" s="1147">
        <f t="shared" si="918"/>
        <v>4449.609</v>
      </c>
      <c r="BB107" s="1091">
        <f t="shared" si="802"/>
        <v>0.003745462121</v>
      </c>
      <c r="BC107" s="1091">
        <f t="shared" si="965"/>
        <v>0.1154896763</v>
      </c>
      <c r="BD107" s="1147">
        <f t="shared" si="545"/>
        <v>-659.391</v>
      </c>
      <c r="BE107" s="1091">
        <f t="shared" si="32"/>
        <v>-0.1290645919</v>
      </c>
      <c r="BF107" s="1147">
        <f t="shared" si="546"/>
        <v>-865.391</v>
      </c>
      <c r="BG107" s="1091">
        <f t="shared" si="34"/>
        <v>-0.162820508</v>
      </c>
      <c r="BH107" s="1146">
        <f>SUMIFS(BP_SOTIEN,BP_THANG,BH$2,BP_KM,$E107)/1000</f>
        <v>1703</v>
      </c>
      <c r="BI107" s="1091">
        <f t="shared" si="803"/>
        <v>0.00042575</v>
      </c>
      <c r="BJ107" s="1091"/>
      <c r="BK107" s="1147">
        <f>IF(NOW()&gt;=DATE(YEAR(BH$2),MONTH(BH$2)+1,DAY(BH$2)),SUMIFS(TF_SOTIEN,TF_THANG,BH$2,TF_KM,$E107)/1000, BN107)</f>
        <v>1806</v>
      </c>
      <c r="BL107" s="1091" t="str">
        <f t="shared" si="804"/>
        <v/>
      </c>
      <c r="BM107" s="1091"/>
      <c r="BN107" s="1147">
        <f>IF(NOW()&gt;=DATE(YEAR(BH$2),MONTH(BH$2)+1,DAY(BH$2)),SUMIFS(AC_SOTIEN,AC_THANG,BH$2,AC_KM,$E107),SUMIFS(TF_SOTIEN,TF_THANG,BH$2,TF_KM,$E107))/ 1000</f>
        <v>1079.999</v>
      </c>
      <c r="BO107" s="1091">
        <f t="shared" si="805"/>
        <v>0.0004152181435</v>
      </c>
      <c r="BP107" s="1091">
        <f t="shared" si="966"/>
        <v>0.06213141082</v>
      </c>
      <c r="BQ107" s="1147">
        <f t="shared" si="553"/>
        <v>-623.001</v>
      </c>
      <c r="BR107" s="1091">
        <f t="shared" si="39"/>
        <v>-0.3658256019</v>
      </c>
      <c r="BS107" s="1147">
        <f t="shared" si="554"/>
        <v>-726.001</v>
      </c>
      <c r="BT107" s="1091">
        <f t="shared" si="41"/>
        <v>-0.4019939092</v>
      </c>
      <c r="BU107" s="1146">
        <f>SUMIFS(BP_SOTIEN,BP_THANG,BU$2,BP_KM,$E107)/1000</f>
        <v>1703</v>
      </c>
      <c r="BV107" s="1091">
        <f t="shared" si="806"/>
        <v>0.00042575</v>
      </c>
      <c r="BW107" s="1091"/>
      <c r="BX107" s="1147">
        <f>IF(NOW()&gt;=DATE(YEAR(BU$2),MONTH(BU$2)+1,DAY(BU$2)),SUMIFS(TF_SOTIEN,TF_THANG,BU$2,TF_KM,$E107)/1000, CA107)</f>
        <v>1080</v>
      </c>
      <c r="BY107" s="1091">
        <f t="shared" si="807"/>
        <v>0.0007226707599</v>
      </c>
      <c r="BZ107" s="1091"/>
      <c r="CA107" s="1147">
        <f>IF(NOW()&gt;=DATE(YEAR(BU$2),MONTH(BU$2)+1,DAY(BU$2)),SUMIFS(AC_SOTIEN,AC_THANG,BU$2,AC_KM,$E107),SUMIFS(TF_SOTIEN,TF_THANG,BU$2,TF_KM,$E107))/ 1000</f>
        <v>1080</v>
      </c>
      <c r="CB107" s="1091">
        <f t="shared" si="808"/>
        <v>0.001943942459</v>
      </c>
      <c r="CC107" s="1091">
        <f t="shared" si="967"/>
        <v>0.05969283064</v>
      </c>
      <c r="CD107" s="1147">
        <f t="shared" si="561"/>
        <v>-623</v>
      </c>
      <c r="CE107" s="1091">
        <f t="shared" si="46"/>
        <v>-0.3658250147</v>
      </c>
      <c r="CF107" s="1147">
        <f t="shared" si="562"/>
        <v>0</v>
      </c>
      <c r="CG107" s="1091">
        <f t="shared" si="48"/>
        <v>0</v>
      </c>
      <c r="CH107" s="1146">
        <f>SUMIFS(BP_SOTIEN,BP_THANG,CH$2,BP_KM,$E107)/1000</f>
        <v>1703</v>
      </c>
      <c r="CI107" s="1091">
        <f t="shared" si="809"/>
        <v>0.00042575</v>
      </c>
      <c r="CJ107" s="1091"/>
      <c r="CK107" s="1147">
        <f>IF(NOW()&gt;=DATE(YEAR(CH$2),MONTH(CH$2)+1,DAY(CH$2)),SUMIFS(TF_SOTIEN,TF_THANG,CH$2,TF_KM,$E107)/1000, CN107)</f>
        <v>1280</v>
      </c>
      <c r="CL107" s="1091" t="str">
        <f t="shared" si="810"/>
        <v/>
      </c>
      <c r="CM107" s="1091"/>
      <c r="CN107" s="1147">
        <f>IF(NOW()&gt;=DATE(YEAR(CH$2),MONTH(CH$2)+1,DAY(CH$2)),SUMIFS(AC_SOTIEN,AC_THANG,CH$2,AC_KM,$E107),SUMIFS(TF_SOTIEN,TF_THANG,CH$2,TF_KM,$E107))/ 1000</f>
        <v>0</v>
      </c>
      <c r="CO107" s="1091" t="str">
        <f t="shared" si="811"/>
        <v/>
      </c>
      <c r="CP107" s="1091" t="str">
        <f t="shared" si="968"/>
        <v/>
      </c>
      <c r="CQ107" s="1147">
        <f t="shared" si="569"/>
        <v>-1703</v>
      </c>
      <c r="CR107" s="1091">
        <f t="shared" si="53"/>
        <v>-1</v>
      </c>
      <c r="CS107" s="1147">
        <f t="shared" si="570"/>
        <v>-1280</v>
      </c>
      <c r="CT107" s="1091">
        <f t="shared" si="55"/>
        <v>-1</v>
      </c>
      <c r="CU107" s="1146">
        <f t="shared" si="919"/>
        <v>5109</v>
      </c>
      <c r="CV107" s="1091">
        <f t="shared" si="812"/>
        <v>0.00042575</v>
      </c>
      <c r="CW107" s="1091">
        <f t="shared" si="969"/>
        <v>0.09046480744</v>
      </c>
      <c r="CX107" s="1147">
        <f t="shared" si="920"/>
        <v>4166</v>
      </c>
      <c r="CY107" s="1091">
        <f t="shared" si="814"/>
        <v>0.002787635542</v>
      </c>
      <c r="CZ107" s="1091">
        <f t="shared" si="970"/>
        <v>0.0738556758</v>
      </c>
      <c r="DA107" s="1147">
        <f t="shared" si="921"/>
        <v>2159.999</v>
      </c>
      <c r="DB107" s="1091">
        <f t="shared" si="816"/>
        <v>0.0006842776369</v>
      </c>
      <c r="DC107" s="1091">
        <f t="shared" si="971"/>
        <v>0.06088771339</v>
      </c>
      <c r="DD107" s="1147">
        <f t="shared" si="580"/>
        <v>-2949.001</v>
      </c>
      <c r="DE107" s="1091">
        <f t="shared" si="63"/>
        <v>-0.5772168722</v>
      </c>
      <c r="DF107" s="1147">
        <f t="shared" si="581"/>
        <v>-2006.001</v>
      </c>
      <c r="DG107" s="1091">
        <f t="shared" si="65"/>
        <v>-0.4815172828</v>
      </c>
      <c r="DH107" s="1146">
        <f t="shared" si="922"/>
        <v>10218</v>
      </c>
      <c r="DI107" s="1091">
        <f t="shared" si="817"/>
        <v>0.0008515</v>
      </c>
      <c r="DJ107" s="1091">
        <f t="shared" si="972"/>
        <v>0.08812419146</v>
      </c>
      <c r="DK107" s="1147">
        <f t="shared" si="585"/>
        <v>9481</v>
      </c>
      <c r="DL107" s="1091">
        <f t="shared" si="818"/>
        <v>0.001818214427</v>
      </c>
      <c r="DM107" s="1091">
        <f t="shared" si="973"/>
        <v>0.09252707034</v>
      </c>
      <c r="DN107" s="1147">
        <f t="shared" si="588"/>
        <v>6609.608</v>
      </c>
      <c r="DO107" s="1091">
        <f t="shared" si="819"/>
        <v>0.001521334471</v>
      </c>
      <c r="DP107" s="1091">
        <f t="shared" si="974"/>
        <v>0.08931502233</v>
      </c>
      <c r="DQ107" s="1147">
        <f t="shared" si="591"/>
        <v>-3608.392</v>
      </c>
      <c r="DR107" s="1091">
        <f t="shared" si="73"/>
        <v>-0.353140732</v>
      </c>
      <c r="DS107" s="1147">
        <f t="shared" si="592"/>
        <v>-2871.392</v>
      </c>
      <c r="DT107" s="1091">
        <f t="shared" si="75"/>
        <v>-0.3028575045</v>
      </c>
      <c r="DU107" s="1146">
        <f>SUMIFS(BP_SOTIEN,BP_THANG,DU$2,BP_KM,$E107)/1000</f>
        <v>1703</v>
      </c>
      <c r="DV107" s="1091">
        <f t="shared" si="820"/>
        <v>0.00042575</v>
      </c>
      <c r="DW107" s="1091"/>
      <c r="DX107" s="1147">
        <f>IF(NOW()&gt;=DATE(YEAR(DU$2),MONTH(DU$2)+1,DAY(DU$2)),SUMIFS(TF_SOTIEN,TF_THANG,DU$2,TF_KM,$E107)/1000, EA107)</f>
        <v>1703</v>
      </c>
      <c r="DY107" s="1091">
        <f t="shared" si="821"/>
        <v>0.0002819536443</v>
      </c>
      <c r="DZ107" s="1091"/>
      <c r="EA107" s="1147">
        <f>IF(NOW()&gt;=DATE(YEAR(DU$2),MONTH(DU$2)+1,DAY(DU$2)),SUMIFS(AC_SOTIEN,AC_THANG,DU$2,AC_KM,$E107),SUMIFS(TF_SOTIEN,TF_THANG,DU$2,TF_KM,$E107))/ 1000</f>
        <v>0</v>
      </c>
      <c r="EB107" s="1091" t="str">
        <f t="shared" si="822"/>
        <v/>
      </c>
      <c r="EC107" s="1091" t="str">
        <f t="shared" si="975"/>
        <v/>
      </c>
      <c r="ED107" s="1147">
        <f t="shared" si="599"/>
        <v>-1703</v>
      </c>
      <c r="EE107" s="1091">
        <f t="shared" si="80"/>
        <v>-1</v>
      </c>
      <c r="EF107" s="1147">
        <f t="shared" si="600"/>
        <v>-1703</v>
      </c>
      <c r="EG107" s="1091">
        <f t="shared" si="82"/>
        <v>-1</v>
      </c>
      <c r="EH107" s="1146">
        <f>SUMIFS(BP_SOTIEN,BP_THANG,EH$2,BP_KM,$E107)/1000</f>
        <v>1703</v>
      </c>
      <c r="EI107" s="1091">
        <f t="shared" si="823"/>
        <v>0.00042575</v>
      </c>
      <c r="EJ107" s="1091"/>
      <c r="EK107" s="1147">
        <f>IF(NOW()&gt;=DATE(YEAR(EH$2),MONTH(EH$2)+1,DAY(EH$2)),SUMIFS(TF_SOTIEN,TF_THANG,EH$2,TF_KM,$E107)/1000, EN107)</f>
        <v>1703</v>
      </c>
      <c r="EL107" s="1091">
        <f t="shared" si="824"/>
        <v>0.0002819536443</v>
      </c>
      <c r="EM107" s="1091"/>
      <c r="EN107" s="1147">
        <f>IF(NOW()&gt;=DATE(YEAR(EH$2),MONTH(EH$2)+1,DAY(EH$2)),SUMIFS(AC_SOTIEN,AC_THANG,EH$2,AC_KM,$E107),SUMIFS(TF_SOTIEN,TF_THANG,EH$2,TF_KM,$E107))/ 1000</f>
        <v>0</v>
      </c>
      <c r="EO107" s="1091" t="str">
        <f t="shared" si="825"/>
        <v/>
      </c>
      <c r="EP107" s="1091" t="str">
        <f t="shared" si="976"/>
        <v/>
      </c>
      <c r="EQ107" s="1147">
        <f t="shared" si="607"/>
        <v>-1703</v>
      </c>
      <c r="ER107" s="1091">
        <f t="shared" si="87"/>
        <v>-1</v>
      </c>
      <c r="ES107" s="1147">
        <f t="shared" si="608"/>
        <v>-1703</v>
      </c>
      <c r="ET107" s="1091">
        <f t="shared" si="89"/>
        <v>-1</v>
      </c>
      <c r="EU107" s="1146">
        <f>SUMIFS(BP_SOTIEN,BP_THANG,EU$2,BP_KM,$E107)/1000</f>
        <v>1703</v>
      </c>
      <c r="EV107" s="1091">
        <f t="shared" si="826"/>
        <v>0.00042575</v>
      </c>
      <c r="EW107" s="1091"/>
      <c r="EX107" s="1147">
        <f>IF(NOW()&gt;=DATE(YEAR(EU$2),MONTH(EU$2)+1,DAY(EU$2)),SUMIFS(TF_SOTIEN,TF_THANG,EU$2,TF_KM,$E107)/1000, FA107)</f>
        <v>1703</v>
      </c>
      <c r="EY107" s="1091">
        <f t="shared" si="827"/>
        <v>0.0002819536443</v>
      </c>
      <c r="EZ107" s="1091"/>
      <c r="FA107" s="1147">
        <f>IF(NOW()&gt;=DATE(YEAR(EU$2),MONTH(EU$2)+1,DAY(EU$2)),SUMIFS(AC_SOTIEN,AC_THANG,EU$2,AC_KM,$E107),SUMIFS(TF_SOTIEN,TF_THANG,EU$2,TF_KM,$E107))/ 1000</f>
        <v>0</v>
      </c>
      <c r="FB107" s="1091" t="str">
        <f t="shared" si="828"/>
        <v/>
      </c>
      <c r="FC107" s="1091" t="str">
        <f t="shared" si="977"/>
        <v/>
      </c>
      <c r="FD107" s="1147">
        <f t="shared" si="616"/>
        <v>-1703</v>
      </c>
      <c r="FE107" s="1091">
        <f t="shared" si="94"/>
        <v>-1</v>
      </c>
      <c r="FF107" s="1147">
        <f t="shared" si="617"/>
        <v>-1703</v>
      </c>
      <c r="FG107" s="1091">
        <f t="shared" si="96"/>
        <v>-1</v>
      </c>
      <c r="FH107" s="1146">
        <f t="shared" si="923"/>
        <v>5109</v>
      </c>
      <c r="FI107" s="1091">
        <f t="shared" si="829"/>
        <v>0.00042575</v>
      </c>
      <c r="FJ107" s="1091">
        <f t="shared" si="978"/>
        <v>0.09046480744</v>
      </c>
      <c r="FK107" s="1147">
        <f t="shared" si="621"/>
        <v>5109</v>
      </c>
      <c r="FL107" s="1091">
        <f t="shared" si="830"/>
        <v>0.0002819536443</v>
      </c>
      <c r="FM107" s="1091">
        <f t="shared" si="979"/>
        <v>0.09046480744</v>
      </c>
      <c r="FN107" s="1147">
        <f t="shared" si="624"/>
        <v>0</v>
      </c>
      <c r="FO107" s="1091" t="str">
        <f t="shared" si="831"/>
        <v/>
      </c>
      <c r="FP107" s="1091" t="str">
        <f t="shared" si="980"/>
        <v/>
      </c>
      <c r="FQ107" s="1147">
        <f t="shared" si="627"/>
        <v>-5109</v>
      </c>
      <c r="FR107" s="1091">
        <f t="shared" si="104"/>
        <v>-1</v>
      </c>
      <c r="FS107" s="1147">
        <f t="shared" si="628"/>
        <v>-5109</v>
      </c>
      <c r="FT107" s="1091">
        <f t="shared" si="106"/>
        <v>-1</v>
      </c>
      <c r="FU107" s="1146">
        <f>SUMIFS(BP_SOTIEN,BP_THANG,FU$2,BP_KM,$E107)/1000</f>
        <v>1703</v>
      </c>
      <c r="FV107" s="1091">
        <f t="shared" si="832"/>
        <v>0.00042575</v>
      </c>
      <c r="FW107" s="1091"/>
      <c r="FX107" s="1147">
        <f>IF(NOW()&gt;=DATE(YEAR(FU$2),MONTH(FU$2)+1,DAY(FU$2)),SUMIFS(TF_SOTIEN,TF_THANG,FU$2,TF_KM,$E107)/1000, GA107)</f>
        <v>1703</v>
      </c>
      <c r="FY107" s="1091">
        <f t="shared" si="833"/>
        <v>0.0002819536443</v>
      </c>
      <c r="FZ107" s="1091"/>
      <c r="GA107" s="1147">
        <f>IF(NOW()&gt;=DATE(YEAR(FU$2),MONTH(FU$2)+1,DAY(FU$2)),SUMIFS(AC_SOTIEN,AC_THANG,FU$2,AC_KM,$E107),SUMIFS(TF_SOTIEN,TF_THANG,FU$2,TF_KM,$E107))/ 1000</f>
        <v>0</v>
      </c>
      <c r="GB107" s="1091" t="str">
        <f t="shared" si="834"/>
        <v/>
      </c>
      <c r="GC107" s="1091" t="str">
        <f t="shared" si="981"/>
        <v/>
      </c>
      <c r="GD107" s="1147">
        <f t="shared" si="635"/>
        <v>-1703</v>
      </c>
      <c r="GE107" s="1091">
        <f t="shared" si="111"/>
        <v>-1</v>
      </c>
      <c r="GF107" s="1147">
        <f t="shared" si="636"/>
        <v>-1703</v>
      </c>
      <c r="GG107" s="1091">
        <f t="shared" si="113"/>
        <v>-1</v>
      </c>
      <c r="GH107" s="1146">
        <f>SUMIFS(BP_SOTIEN,BP_THANG,GH$2,BP_KM,$E107)/1000</f>
        <v>1703</v>
      </c>
      <c r="GI107" s="1091">
        <f t="shared" si="835"/>
        <v>0.00042575</v>
      </c>
      <c r="GJ107" s="1091"/>
      <c r="GK107" s="1147">
        <f>IF(NOW()&gt;=DATE(YEAR(GH$2),MONTH(GH$2)+1,DAY(GH$2)),SUMIFS(TF_SOTIEN,TF_THANG,GH$2,TF_KM,$E107)/1000, GN107)</f>
        <v>1703</v>
      </c>
      <c r="GL107" s="1091">
        <f t="shared" si="836"/>
        <v>0.0002819536443</v>
      </c>
      <c r="GM107" s="1091"/>
      <c r="GN107" s="1147">
        <f>IF(NOW()&gt;=DATE(YEAR(GH$2),MONTH(GH$2)+1,DAY(GH$2)),SUMIFS(AC_SOTIEN,AC_THANG,GH$2,AC_KM,$E107),SUMIFS(TF_SOTIEN,TF_THANG,GH$2,TF_KM,$E107))/ 1000</f>
        <v>0</v>
      </c>
      <c r="GO107" s="1091" t="str">
        <f t="shared" si="837"/>
        <v/>
      </c>
      <c r="GP107" s="1091" t="str">
        <f t="shared" si="982"/>
        <v/>
      </c>
      <c r="GQ107" s="1147">
        <f t="shared" si="643"/>
        <v>-1703</v>
      </c>
      <c r="GR107" s="1091">
        <f t="shared" si="118"/>
        <v>-1</v>
      </c>
      <c r="GS107" s="1147">
        <f t="shared" si="644"/>
        <v>-1703</v>
      </c>
      <c r="GT107" s="1091">
        <f t="shared" si="120"/>
        <v>-1</v>
      </c>
      <c r="GU107" s="1146">
        <f>SUMIFS(BP_SOTIEN,BP_THANG,GU$2,BP_KM,$E107)/1000</f>
        <v>1703</v>
      </c>
      <c r="GV107" s="1091">
        <f t="shared" si="838"/>
        <v>0.00042575</v>
      </c>
      <c r="GW107" s="1091"/>
      <c r="GX107" s="1147">
        <f>IF(NOW()&gt;=DATE(YEAR(GU$2),MONTH(GU$2)+1,DAY(GU$2)),SUMIFS(TF_SOTIEN,TF_THANG,GU$2,TF_KM,$E107)/1000, HA107)</f>
        <v>1703</v>
      </c>
      <c r="GY107" s="1091">
        <f t="shared" si="839"/>
        <v>0.0002819536443</v>
      </c>
      <c r="GZ107" s="1091"/>
      <c r="HA107" s="1147">
        <f>IF(NOW()&gt;=DATE(YEAR(GU$2),MONTH(GU$2)+1,DAY(GU$2)),SUMIFS(AC_SOTIEN,AC_THANG,GU$2,AC_KM,$E107),SUMIFS(TF_SOTIEN,TF_THANG,GU$2,TF_KM,$E107))/ 1000</f>
        <v>0</v>
      </c>
      <c r="HB107" s="1091" t="str">
        <f t="shared" si="840"/>
        <v/>
      </c>
      <c r="HC107" s="1091" t="str">
        <f t="shared" si="983"/>
        <v/>
      </c>
      <c r="HD107" s="1147">
        <f t="shared" si="651"/>
        <v>-1703</v>
      </c>
      <c r="HE107" s="1091">
        <f t="shared" si="125"/>
        <v>-1</v>
      </c>
      <c r="HF107" s="1147">
        <f t="shared" si="652"/>
        <v>-1703</v>
      </c>
      <c r="HG107" s="1091">
        <f t="shared" si="127"/>
        <v>-1</v>
      </c>
      <c r="HH107" s="1146">
        <f t="shared" si="924"/>
        <v>5109</v>
      </c>
      <c r="HI107" s="1091">
        <f t="shared" si="841"/>
        <v>0.00042575</v>
      </c>
      <c r="HJ107" s="1091">
        <f t="shared" si="984"/>
        <v>0.09046480744</v>
      </c>
      <c r="HK107" s="1147">
        <f t="shared" si="656"/>
        <v>5109</v>
      </c>
      <c r="HL107" s="1091">
        <f t="shared" si="842"/>
        <v>0.0002819536443</v>
      </c>
      <c r="HM107" s="1091">
        <f t="shared" si="985"/>
        <v>0.09046480744</v>
      </c>
      <c r="HN107" s="1147">
        <f t="shared" si="659"/>
        <v>0</v>
      </c>
      <c r="HO107" s="1091" t="str">
        <f t="shared" si="843"/>
        <v/>
      </c>
      <c r="HP107" s="1091" t="str">
        <f t="shared" si="986"/>
        <v/>
      </c>
      <c r="HQ107" s="1147">
        <f t="shared" si="662"/>
        <v>-5109</v>
      </c>
      <c r="HR107" s="1091">
        <f t="shared" si="135"/>
        <v>-1</v>
      </c>
      <c r="HS107" s="1147">
        <f t="shared" si="663"/>
        <v>-5109</v>
      </c>
      <c r="HT107" s="1091">
        <f t="shared" si="137"/>
        <v>-1</v>
      </c>
      <c r="HU107" s="1146">
        <f t="shared" si="925"/>
        <v>10218</v>
      </c>
      <c r="HV107" s="1091">
        <f t="shared" si="844"/>
        <v>0.00042575</v>
      </c>
      <c r="HW107" s="1091">
        <f t="shared" si="987"/>
        <v>0.09046480744</v>
      </c>
      <c r="HX107" s="1147">
        <f t="shared" si="667"/>
        <v>10218</v>
      </c>
      <c r="HY107" s="1091">
        <f t="shared" si="845"/>
        <v>0.0002819536443</v>
      </c>
      <c r="HZ107" s="1091">
        <f t="shared" si="988"/>
        <v>0.09046480744</v>
      </c>
      <c r="IA107" s="1147">
        <f t="shared" si="670"/>
        <v>0</v>
      </c>
      <c r="IB107" s="1091" t="str">
        <f t="shared" si="846"/>
        <v/>
      </c>
      <c r="IC107" s="1091" t="str">
        <f t="shared" si="989"/>
        <v/>
      </c>
      <c r="ID107" s="1147">
        <f t="shared" si="673"/>
        <v>-10218</v>
      </c>
      <c r="IE107" s="1091">
        <f t="shared" si="145"/>
        <v>-1</v>
      </c>
      <c r="IF107" s="1147">
        <f t="shared" si="674"/>
        <v>-10218</v>
      </c>
      <c r="IG107" s="1091">
        <f t="shared" si="147"/>
        <v>-1</v>
      </c>
      <c r="IH107" s="1146">
        <f t="shared" si="926"/>
        <v>20436</v>
      </c>
      <c r="II107" s="1091">
        <f t="shared" si="847"/>
        <v>0.0005676666667</v>
      </c>
      <c r="IJ107" s="1091">
        <f t="shared" si="990"/>
        <v>0.08927916121</v>
      </c>
      <c r="IK107" s="1147">
        <f t="shared" si="678"/>
        <v>19699</v>
      </c>
      <c r="IL107" s="1091">
        <f t="shared" si="848"/>
        <v>0.0004751961981</v>
      </c>
      <c r="IM107" s="1091">
        <f t="shared" si="991"/>
        <v>0.09144576172</v>
      </c>
      <c r="IN107" s="1147">
        <f t="shared" si="681"/>
        <v>6609.608</v>
      </c>
      <c r="IO107" s="1091">
        <f t="shared" si="849"/>
        <v>0.001521334471</v>
      </c>
      <c r="IP107" s="1091">
        <f t="shared" si="992"/>
        <v>0.08931502233</v>
      </c>
      <c r="IQ107" s="1147">
        <f t="shared" si="684"/>
        <v>-13826.392</v>
      </c>
      <c r="IR107" s="1091">
        <f t="shared" si="1"/>
        <v>-0.676570366</v>
      </c>
      <c r="IS107" s="1147">
        <f t="shared" si="685"/>
        <v>-13089.392</v>
      </c>
      <c r="IT107" s="1091">
        <f t="shared" si="2"/>
        <v>-0.6644698716</v>
      </c>
    </row>
    <row r="108" outlineLevel="1">
      <c r="A108" s="737"/>
      <c r="B108" s="737"/>
      <c r="C108" s="737"/>
      <c r="D108" s="1148" t="s">
        <v>2869</v>
      </c>
      <c r="E108" s="1148" t="s">
        <v>377</v>
      </c>
      <c r="F108" s="737"/>
      <c r="G108" s="748">
        <v>3.0</v>
      </c>
      <c r="H108" s="1146">
        <f>SUMIFS(BP_SOTIEN,BP_THANG,H$2,BP_KM,$E108)/1000</f>
        <v>0</v>
      </c>
      <c r="I108" s="1091" t="str">
        <f t="shared" si="791"/>
        <v/>
      </c>
      <c r="J108" s="1091"/>
      <c r="K108" s="1147">
        <f>IF(NOW()&gt;=DATE(YEAR(H$2),MONTH(H$2)+1,DAY(H$2)),SUMIFS(TF_SOTIEN,TF_THANG,H$2,TF_KM,$E108)/1000, N108)</f>
        <v>0</v>
      </c>
      <c r="L108" s="1091">
        <f t="shared" si="792"/>
        <v>0</v>
      </c>
      <c r="M108" s="1091"/>
      <c r="N108" s="1147">
        <f>IF(NOW()&gt;=DATE(YEAR(H$2),MONTH(H$2)+1,DAY(H$2)),SUMIFS(AC_SOTIEN,AC_THANG,H$2,AC_KM,$E108),SUMIFS(TF_SOTIEN,TF_THANG,H$2,TF_KM,$E108))/ 1000</f>
        <v>0</v>
      </c>
      <c r="O108" s="1091">
        <f t="shared" si="793"/>
        <v>0</v>
      </c>
      <c r="P108" s="1091">
        <f t="shared" si="960"/>
        <v>0</v>
      </c>
      <c r="Q108" s="1147">
        <f t="shared" si="518"/>
        <v>0</v>
      </c>
      <c r="R108" s="1091" t="str">
        <f t="shared" si="8"/>
        <v/>
      </c>
      <c r="S108" s="1147">
        <f t="shared" si="519"/>
        <v>0</v>
      </c>
      <c r="T108" s="1091" t="str">
        <f t="shared" si="10"/>
        <v/>
      </c>
      <c r="U108" s="1146">
        <f>SUMIFS(BP_SOTIEN,BP_THANG,U$2,BP_KM,$E108)/1000</f>
        <v>0</v>
      </c>
      <c r="V108" s="1091" t="str">
        <f t="shared" si="794"/>
        <v/>
      </c>
      <c r="W108" s="1091"/>
      <c r="X108" s="1147">
        <f>IF(NOW()&gt;=DATE(YEAR(U$2),MONTH(U$2)+1,DAY(U$2)),SUMIFS(TF_SOTIEN,TF_THANG,U$2,TF_KM,$E108)/1000, AA108)</f>
        <v>420</v>
      </c>
      <c r="Y108" s="1091" t="str">
        <f t="shared" si="795"/>
        <v/>
      </c>
      <c r="Z108" s="1091"/>
      <c r="AA108" s="1147">
        <f>IF(NOW()&gt;=DATE(YEAR(U$2),MONTH(U$2)+1,DAY(U$2)),SUMIFS(AC_SOTIEN,AC_THANG,U$2,AC_KM,$E108),SUMIFS(TF_SOTIEN,TF_THANG,U$2,TF_KM,$E108))/ 1000</f>
        <v>470.6</v>
      </c>
      <c r="AB108" s="1091">
        <f t="shared" si="796"/>
        <v>0.002614444444</v>
      </c>
      <c r="AC108" s="1091">
        <f t="shared" si="961"/>
        <v>0.04555949352</v>
      </c>
      <c r="AD108" s="1147">
        <f t="shared" si="526"/>
        <v>470.6</v>
      </c>
      <c r="AE108" s="1091" t="str">
        <f t="shared" si="15"/>
        <v/>
      </c>
      <c r="AF108" s="1147">
        <f t="shared" si="527"/>
        <v>50.6</v>
      </c>
      <c r="AG108" s="1091">
        <f t="shared" si="17"/>
        <v>0.1204761905</v>
      </c>
      <c r="AH108" s="1146">
        <f>SUMIFS(BP_SOTIEN,BP_THANG,AH$2,BP_KM,$E108)/1000</f>
        <v>0</v>
      </c>
      <c r="AI108" s="1091" t="str">
        <f t="shared" si="797"/>
        <v/>
      </c>
      <c r="AJ108" s="1091"/>
      <c r="AK108" s="1147">
        <f>IF(NOW()&gt;=DATE(YEAR(AH$2),MONTH(AH$2)+1,DAY(AH$2)),SUMIFS(TF_SOTIEN,TF_THANG,AH$2,TF_KM,$E108)/1000, AN108)</f>
        <v>420</v>
      </c>
      <c r="AL108" s="1091">
        <f t="shared" si="798"/>
        <v>0.0001166666667</v>
      </c>
      <c r="AM108" s="1091"/>
      <c r="AN108" s="1147">
        <f>IF(NOW()&gt;=DATE(YEAR(AH$2),MONTH(AH$2)+1,DAY(AH$2)),SUMIFS(AC_SOTIEN,AC_THANG,AH$2,AC_KM,$E108),SUMIFS(TF_SOTIEN,TF_THANG,AH$2,TF_KM,$E108))/ 1000</f>
        <v>2709.5</v>
      </c>
      <c r="AO108" s="1091">
        <f t="shared" si="799"/>
        <v>0.004056137725</v>
      </c>
      <c r="AP108" s="1091">
        <f t="shared" si="962"/>
        <v>0.1503018574</v>
      </c>
      <c r="AQ108" s="1147">
        <f t="shared" si="534"/>
        <v>2709.5</v>
      </c>
      <c r="AR108" s="1091" t="str">
        <f t="shared" si="22"/>
        <v/>
      </c>
      <c r="AS108" s="1147">
        <f t="shared" si="535"/>
        <v>2289.5</v>
      </c>
      <c r="AT108" s="1091">
        <f t="shared" si="24"/>
        <v>5.451190476</v>
      </c>
      <c r="AU108" s="1146">
        <f t="shared" si="916"/>
        <v>0</v>
      </c>
      <c r="AV108" s="1091" t="str">
        <f t="shared" si="800"/>
        <v/>
      </c>
      <c r="AW108" s="1091">
        <f t="shared" si="963"/>
        <v>0</v>
      </c>
      <c r="AX108" s="1147">
        <f t="shared" si="917"/>
        <v>840</v>
      </c>
      <c r="AY108" s="1091">
        <f t="shared" si="801"/>
        <v>0.0002258064516</v>
      </c>
      <c r="AZ108" s="1091">
        <f t="shared" si="964"/>
        <v>0.01823708207</v>
      </c>
      <c r="BA108" s="1147">
        <f t="shared" si="918"/>
        <v>3180.1</v>
      </c>
      <c r="BB108" s="1091">
        <f t="shared" si="802"/>
        <v>0.002676851852</v>
      </c>
      <c r="BC108" s="1091">
        <f t="shared" si="965"/>
        <v>0.08253954889</v>
      </c>
      <c r="BD108" s="1147">
        <f t="shared" si="545"/>
        <v>3180.1</v>
      </c>
      <c r="BE108" s="1091" t="str">
        <f t="shared" si="32"/>
        <v/>
      </c>
      <c r="BF108" s="1147">
        <f t="shared" si="546"/>
        <v>2340.1</v>
      </c>
      <c r="BG108" s="1091">
        <f t="shared" si="34"/>
        <v>2.785833333</v>
      </c>
      <c r="BH108" s="1146">
        <f>SUMIFS(BP_SOTIEN,BP_THANG,BH$2,BP_KM,$E108)/1000</f>
        <v>0</v>
      </c>
      <c r="BI108" s="1091">
        <f t="shared" si="803"/>
        <v>0</v>
      </c>
      <c r="BJ108" s="1091"/>
      <c r="BK108" s="1147">
        <f>IF(NOW()&gt;=DATE(YEAR(BH$2),MONTH(BH$2)+1,DAY(BH$2)),SUMIFS(TF_SOTIEN,TF_THANG,BH$2,TF_KM,$E108)/1000, BN108)</f>
        <v>420</v>
      </c>
      <c r="BL108" s="1091" t="str">
        <f t="shared" si="804"/>
        <v/>
      </c>
      <c r="BM108" s="1091"/>
      <c r="BN108" s="1147">
        <f>IF(NOW()&gt;=DATE(YEAR(BH$2),MONTH(BH$2)+1,DAY(BH$2)),SUMIFS(AC_SOTIEN,AC_THANG,BH$2,AC_KM,$E108),SUMIFS(TF_SOTIEN,TF_THANG,BH$2,TF_KM,$E108))/ 1000</f>
        <v>0</v>
      </c>
      <c r="BO108" s="1091">
        <f t="shared" si="805"/>
        <v>0</v>
      </c>
      <c r="BP108" s="1091">
        <f t="shared" si="966"/>
        <v>0</v>
      </c>
      <c r="BQ108" s="1147">
        <f t="shared" si="553"/>
        <v>0</v>
      </c>
      <c r="BR108" s="1091" t="str">
        <f t="shared" si="39"/>
        <v/>
      </c>
      <c r="BS108" s="1147">
        <f t="shared" si="554"/>
        <v>-420</v>
      </c>
      <c r="BT108" s="1091">
        <f t="shared" si="41"/>
        <v>-1</v>
      </c>
      <c r="BU108" s="1146">
        <f>SUMIFS(BP_SOTIEN,BP_THANG,BU$2,BP_KM,$E108)/1000</f>
        <v>0</v>
      </c>
      <c r="BV108" s="1091">
        <f t="shared" si="806"/>
        <v>0</v>
      </c>
      <c r="BW108" s="1091"/>
      <c r="BX108" s="1147">
        <f>IF(NOW()&gt;=DATE(YEAR(BU$2),MONTH(BU$2)+1,DAY(BU$2)),SUMIFS(TF_SOTIEN,TF_THANG,BU$2,TF_KM,$E108)/1000, CA108)</f>
        <v>0</v>
      </c>
      <c r="BY108" s="1091">
        <f t="shared" si="807"/>
        <v>0</v>
      </c>
      <c r="BZ108" s="1091"/>
      <c r="CA108" s="1147">
        <f>IF(NOW()&gt;=DATE(YEAR(BU$2),MONTH(BU$2)+1,DAY(BU$2)),SUMIFS(AC_SOTIEN,AC_THANG,BU$2,AC_KM,$E108),SUMIFS(TF_SOTIEN,TF_THANG,BU$2,TF_KM,$E108))/ 1000</f>
        <v>1260</v>
      </c>
      <c r="CB108" s="1091">
        <f t="shared" si="808"/>
        <v>0.002267932869</v>
      </c>
      <c r="CC108" s="1091">
        <f t="shared" si="967"/>
        <v>0.06964163575</v>
      </c>
      <c r="CD108" s="1147">
        <f t="shared" si="561"/>
        <v>1260</v>
      </c>
      <c r="CE108" s="1091" t="str">
        <f t="shared" si="46"/>
        <v/>
      </c>
      <c r="CF108" s="1147">
        <f t="shared" si="562"/>
        <v>1260</v>
      </c>
      <c r="CG108" s="1091" t="str">
        <f t="shared" si="48"/>
        <v/>
      </c>
      <c r="CH108" s="1146">
        <f>SUMIFS(BP_SOTIEN,BP_THANG,CH$2,BP_KM,$E108)/1000</f>
        <v>0</v>
      </c>
      <c r="CI108" s="1091">
        <f t="shared" si="809"/>
        <v>0</v>
      </c>
      <c r="CJ108" s="1091"/>
      <c r="CK108" s="1147">
        <f>IF(NOW()&gt;=DATE(YEAR(CH$2),MONTH(CH$2)+1,DAY(CH$2)),SUMIFS(TF_SOTIEN,TF_THANG,CH$2,TF_KM,$E108)/1000, CN108)</f>
        <v>0</v>
      </c>
      <c r="CL108" s="1091" t="str">
        <f t="shared" si="810"/>
        <v/>
      </c>
      <c r="CM108" s="1091"/>
      <c r="CN108" s="1147">
        <f>IF(NOW()&gt;=DATE(YEAR(CH$2),MONTH(CH$2)+1,DAY(CH$2)),SUMIFS(AC_SOTIEN,AC_THANG,CH$2,AC_KM,$E108),SUMIFS(TF_SOTIEN,TF_THANG,CH$2,TF_KM,$E108))/ 1000</f>
        <v>0</v>
      </c>
      <c r="CO108" s="1091" t="str">
        <f t="shared" si="811"/>
        <v/>
      </c>
      <c r="CP108" s="1091" t="str">
        <f t="shared" si="968"/>
        <v/>
      </c>
      <c r="CQ108" s="1147">
        <f t="shared" si="569"/>
        <v>0</v>
      </c>
      <c r="CR108" s="1091" t="str">
        <f t="shared" si="53"/>
        <v/>
      </c>
      <c r="CS108" s="1147">
        <f t="shared" si="570"/>
        <v>0</v>
      </c>
      <c r="CT108" s="1091" t="str">
        <f t="shared" si="55"/>
        <v/>
      </c>
      <c r="CU108" s="1146">
        <f t="shared" si="919"/>
        <v>0</v>
      </c>
      <c r="CV108" s="1091">
        <f t="shared" si="812"/>
        <v>0</v>
      </c>
      <c r="CW108" s="1091">
        <f t="shared" si="969"/>
        <v>0</v>
      </c>
      <c r="CX108" s="1147">
        <f t="shared" si="920"/>
        <v>420</v>
      </c>
      <c r="CY108" s="1091">
        <f t="shared" si="814"/>
        <v>0.0002810386288</v>
      </c>
      <c r="CZ108" s="1091">
        <f t="shared" si="970"/>
        <v>0.007445843455</v>
      </c>
      <c r="DA108" s="1147">
        <f t="shared" si="921"/>
        <v>1260</v>
      </c>
      <c r="DB108" s="1091">
        <f t="shared" si="816"/>
        <v>0.0003991621397</v>
      </c>
      <c r="DC108" s="1091">
        <f t="shared" si="971"/>
        <v>0.03551784926</v>
      </c>
      <c r="DD108" s="1147">
        <f t="shared" si="580"/>
        <v>1260</v>
      </c>
      <c r="DE108" s="1091" t="str">
        <f t="shared" si="63"/>
        <v/>
      </c>
      <c r="DF108" s="1147">
        <f t="shared" si="581"/>
        <v>840</v>
      </c>
      <c r="DG108" s="1091">
        <f t="shared" si="65"/>
        <v>2</v>
      </c>
      <c r="DH108" s="1146">
        <f t="shared" si="922"/>
        <v>0</v>
      </c>
      <c r="DI108" s="1091">
        <f t="shared" si="817"/>
        <v>0</v>
      </c>
      <c r="DJ108" s="1091">
        <f t="shared" si="972"/>
        <v>0</v>
      </c>
      <c r="DK108" s="1147">
        <f t="shared" si="585"/>
        <v>1260</v>
      </c>
      <c r="DL108" s="1091">
        <f t="shared" si="818"/>
        <v>0.0002416359221</v>
      </c>
      <c r="DM108" s="1091">
        <f t="shared" si="973"/>
        <v>0.01229660464</v>
      </c>
      <c r="DN108" s="1147">
        <f t="shared" si="588"/>
        <v>4440.1</v>
      </c>
      <c r="DO108" s="1091">
        <f t="shared" si="819"/>
        <v>0.001021978487</v>
      </c>
      <c r="DP108" s="1091">
        <f t="shared" si="974"/>
        <v>0.05999866114</v>
      </c>
      <c r="DQ108" s="1147">
        <f t="shared" si="591"/>
        <v>4440.1</v>
      </c>
      <c r="DR108" s="1091" t="str">
        <f t="shared" si="73"/>
        <v/>
      </c>
      <c r="DS108" s="1147">
        <f t="shared" si="592"/>
        <v>3180.1</v>
      </c>
      <c r="DT108" s="1091">
        <f t="shared" si="75"/>
        <v>2.523888889</v>
      </c>
      <c r="DU108" s="1146">
        <f>SUMIFS(BP_SOTIEN,BP_THANG,DU$2,BP_KM,$E108)/1000</f>
        <v>0</v>
      </c>
      <c r="DV108" s="1091">
        <f t="shared" si="820"/>
        <v>0</v>
      </c>
      <c r="DW108" s="1091"/>
      <c r="DX108" s="1147">
        <f>IF(NOW()&gt;=DATE(YEAR(DU$2),MONTH(DU$2)+1,DAY(DU$2)),SUMIFS(TF_SOTIEN,TF_THANG,DU$2,TF_KM,$E108)/1000, EA108)</f>
        <v>0</v>
      </c>
      <c r="DY108" s="1091">
        <f t="shared" si="821"/>
        <v>0</v>
      </c>
      <c r="DZ108" s="1091"/>
      <c r="EA108" s="1147">
        <f>IF(NOW()&gt;=DATE(YEAR(DU$2),MONTH(DU$2)+1,DAY(DU$2)),SUMIFS(AC_SOTIEN,AC_THANG,DU$2,AC_KM,$E108),SUMIFS(TF_SOTIEN,TF_THANG,DU$2,TF_KM,$E108))/ 1000</f>
        <v>0</v>
      </c>
      <c r="EB108" s="1091" t="str">
        <f t="shared" si="822"/>
        <v/>
      </c>
      <c r="EC108" s="1091" t="str">
        <f t="shared" si="975"/>
        <v/>
      </c>
      <c r="ED108" s="1147">
        <f t="shared" si="599"/>
        <v>0</v>
      </c>
      <c r="EE108" s="1091" t="str">
        <f t="shared" si="80"/>
        <v/>
      </c>
      <c r="EF108" s="1147">
        <f t="shared" si="600"/>
        <v>0</v>
      </c>
      <c r="EG108" s="1091" t="str">
        <f t="shared" si="82"/>
        <v/>
      </c>
      <c r="EH108" s="1146">
        <f>SUMIFS(BP_SOTIEN,BP_THANG,EH$2,BP_KM,$E108)/1000</f>
        <v>0</v>
      </c>
      <c r="EI108" s="1091">
        <f t="shared" si="823"/>
        <v>0</v>
      </c>
      <c r="EJ108" s="1091"/>
      <c r="EK108" s="1147">
        <f>IF(NOW()&gt;=DATE(YEAR(EH$2),MONTH(EH$2)+1,DAY(EH$2)),SUMIFS(TF_SOTIEN,TF_THANG,EH$2,TF_KM,$E108)/1000, EN108)</f>
        <v>0</v>
      </c>
      <c r="EL108" s="1091">
        <f t="shared" si="824"/>
        <v>0</v>
      </c>
      <c r="EM108" s="1091"/>
      <c r="EN108" s="1147">
        <f>IF(NOW()&gt;=DATE(YEAR(EH$2),MONTH(EH$2)+1,DAY(EH$2)),SUMIFS(AC_SOTIEN,AC_THANG,EH$2,AC_KM,$E108),SUMIFS(TF_SOTIEN,TF_THANG,EH$2,TF_KM,$E108))/ 1000</f>
        <v>0</v>
      </c>
      <c r="EO108" s="1091" t="str">
        <f t="shared" si="825"/>
        <v/>
      </c>
      <c r="EP108" s="1091" t="str">
        <f t="shared" si="976"/>
        <v/>
      </c>
      <c r="EQ108" s="1147">
        <f t="shared" si="607"/>
        <v>0</v>
      </c>
      <c r="ER108" s="1091" t="str">
        <f t="shared" si="87"/>
        <v/>
      </c>
      <c r="ES108" s="1147">
        <f t="shared" si="608"/>
        <v>0</v>
      </c>
      <c r="ET108" s="1091" t="str">
        <f t="shared" si="89"/>
        <v/>
      </c>
      <c r="EU108" s="1146">
        <f>SUMIFS(BP_SOTIEN,BP_THANG,EU$2,BP_KM,$E108)/1000</f>
        <v>0</v>
      </c>
      <c r="EV108" s="1091">
        <f t="shared" si="826"/>
        <v>0</v>
      </c>
      <c r="EW108" s="1091"/>
      <c r="EX108" s="1147">
        <f>IF(NOW()&gt;=DATE(YEAR(EU$2),MONTH(EU$2)+1,DAY(EU$2)),SUMIFS(TF_SOTIEN,TF_THANG,EU$2,TF_KM,$E108)/1000, FA108)</f>
        <v>0</v>
      </c>
      <c r="EY108" s="1091">
        <f t="shared" si="827"/>
        <v>0</v>
      </c>
      <c r="EZ108" s="1091"/>
      <c r="FA108" s="1147">
        <f>IF(NOW()&gt;=DATE(YEAR(EU$2),MONTH(EU$2)+1,DAY(EU$2)),SUMIFS(AC_SOTIEN,AC_THANG,EU$2,AC_KM,$E108),SUMIFS(TF_SOTIEN,TF_THANG,EU$2,TF_KM,$E108))/ 1000</f>
        <v>0</v>
      </c>
      <c r="FB108" s="1091" t="str">
        <f t="shared" si="828"/>
        <v/>
      </c>
      <c r="FC108" s="1091" t="str">
        <f t="shared" si="977"/>
        <v/>
      </c>
      <c r="FD108" s="1147">
        <f t="shared" si="616"/>
        <v>0</v>
      </c>
      <c r="FE108" s="1091" t="str">
        <f t="shared" si="94"/>
        <v/>
      </c>
      <c r="FF108" s="1147">
        <f t="shared" si="617"/>
        <v>0</v>
      </c>
      <c r="FG108" s="1091" t="str">
        <f t="shared" si="96"/>
        <v/>
      </c>
      <c r="FH108" s="1146">
        <f t="shared" si="923"/>
        <v>0</v>
      </c>
      <c r="FI108" s="1091">
        <f t="shared" si="829"/>
        <v>0</v>
      </c>
      <c r="FJ108" s="1091">
        <f t="shared" si="978"/>
        <v>0</v>
      </c>
      <c r="FK108" s="1147">
        <f t="shared" si="621"/>
        <v>0</v>
      </c>
      <c r="FL108" s="1091">
        <f t="shared" si="830"/>
        <v>0</v>
      </c>
      <c r="FM108" s="1091">
        <f t="shared" si="979"/>
        <v>0</v>
      </c>
      <c r="FN108" s="1147">
        <f t="shared" si="624"/>
        <v>0</v>
      </c>
      <c r="FO108" s="1091" t="str">
        <f t="shared" si="831"/>
        <v/>
      </c>
      <c r="FP108" s="1091" t="str">
        <f t="shared" si="980"/>
        <v/>
      </c>
      <c r="FQ108" s="1147">
        <f t="shared" si="627"/>
        <v>0</v>
      </c>
      <c r="FR108" s="1091" t="str">
        <f t="shared" si="104"/>
        <v/>
      </c>
      <c r="FS108" s="1147">
        <f t="shared" si="628"/>
        <v>0</v>
      </c>
      <c r="FT108" s="1091" t="str">
        <f t="shared" si="106"/>
        <v/>
      </c>
      <c r="FU108" s="1146">
        <f>SUMIFS(BP_SOTIEN,BP_THANG,FU$2,BP_KM,$E108)/1000</f>
        <v>0</v>
      </c>
      <c r="FV108" s="1091">
        <f t="shared" si="832"/>
        <v>0</v>
      </c>
      <c r="FW108" s="1091"/>
      <c r="FX108" s="1147">
        <f>IF(NOW()&gt;=DATE(YEAR(FU$2),MONTH(FU$2)+1,DAY(FU$2)),SUMIFS(TF_SOTIEN,TF_THANG,FU$2,TF_KM,$E108)/1000, GA108)</f>
        <v>0</v>
      </c>
      <c r="FY108" s="1091">
        <f t="shared" si="833"/>
        <v>0</v>
      </c>
      <c r="FZ108" s="1091"/>
      <c r="GA108" s="1147">
        <f>IF(NOW()&gt;=DATE(YEAR(FU$2),MONTH(FU$2)+1,DAY(FU$2)),SUMIFS(AC_SOTIEN,AC_THANG,FU$2,AC_KM,$E108),SUMIFS(TF_SOTIEN,TF_THANG,FU$2,TF_KM,$E108))/ 1000</f>
        <v>0</v>
      </c>
      <c r="GB108" s="1091" t="str">
        <f t="shared" si="834"/>
        <v/>
      </c>
      <c r="GC108" s="1091" t="str">
        <f t="shared" si="981"/>
        <v/>
      </c>
      <c r="GD108" s="1147">
        <f t="shared" si="635"/>
        <v>0</v>
      </c>
      <c r="GE108" s="1091" t="str">
        <f t="shared" si="111"/>
        <v/>
      </c>
      <c r="GF108" s="1147">
        <f t="shared" si="636"/>
        <v>0</v>
      </c>
      <c r="GG108" s="1091" t="str">
        <f t="shared" si="113"/>
        <v/>
      </c>
      <c r="GH108" s="1146">
        <f>SUMIFS(BP_SOTIEN,BP_THANG,GH$2,BP_KM,$E108)/1000</f>
        <v>0</v>
      </c>
      <c r="GI108" s="1091">
        <f t="shared" si="835"/>
        <v>0</v>
      </c>
      <c r="GJ108" s="1091"/>
      <c r="GK108" s="1147">
        <f>IF(NOW()&gt;=DATE(YEAR(GH$2),MONTH(GH$2)+1,DAY(GH$2)),SUMIFS(TF_SOTIEN,TF_THANG,GH$2,TF_KM,$E108)/1000, GN108)</f>
        <v>0</v>
      </c>
      <c r="GL108" s="1091">
        <f t="shared" si="836"/>
        <v>0</v>
      </c>
      <c r="GM108" s="1091"/>
      <c r="GN108" s="1147">
        <f>IF(NOW()&gt;=DATE(YEAR(GH$2),MONTH(GH$2)+1,DAY(GH$2)),SUMIFS(AC_SOTIEN,AC_THANG,GH$2,AC_KM,$E108),SUMIFS(TF_SOTIEN,TF_THANG,GH$2,TF_KM,$E108))/ 1000</f>
        <v>0</v>
      </c>
      <c r="GO108" s="1091" t="str">
        <f t="shared" si="837"/>
        <v/>
      </c>
      <c r="GP108" s="1091" t="str">
        <f t="shared" si="982"/>
        <v/>
      </c>
      <c r="GQ108" s="1147">
        <f t="shared" si="643"/>
        <v>0</v>
      </c>
      <c r="GR108" s="1091" t="str">
        <f t="shared" si="118"/>
        <v/>
      </c>
      <c r="GS108" s="1147">
        <f t="shared" si="644"/>
        <v>0</v>
      </c>
      <c r="GT108" s="1091" t="str">
        <f t="shared" si="120"/>
        <v/>
      </c>
      <c r="GU108" s="1146">
        <f>SUMIFS(BP_SOTIEN,BP_THANG,GU$2,BP_KM,$E108)/1000</f>
        <v>0</v>
      </c>
      <c r="GV108" s="1091">
        <f t="shared" si="838"/>
        <v>0</v>
      </c>
      <c r="GW108" s="1091"/>
      <c r="GX108" s="1147">
        <f>IF(NOW()&gt;=DATE(YEAR(GU$2),MONTH(GU$2)+1,DAY(GU$2)),SUMIFS(TF_SOTIEN,TF_THANG,GU$2,TF_KM,$E108)/1000, HA108)</f>
        <v>0</v>
      </c>
      <c r="GY108" s="1091">
        <f t="shared" si="839"/>
        <v>0</v>
      </c>
      <c r="GZ108" s="1091"/>
      <c r="HA108" s="1147">
        <f>IF(NOW()&gt;=DATE(YEAR(GU$2),MONTH(GU$2)+1,DAY(GU$2)),SUMIFS(AC_SOTIEN,AC_THANG,GU$2,AC_KM,$E108),SUMIFS(TF_SOTIEN,TF_THANG,GU$2,TF_KM,$E108))/ 1000</f>
        <v>0</v>
      </c>
      <c r="HB108" s="1091" t="str">
        <f t="shared" si="840"/>
        <v/>
      </c>
      <c r="HC108" s="1091" t="str">
        <f t="shared" si="983"/>
        <v/>
      </c>
      <c r="HD108" s="1147">
        <f t="shared" si="651"/>
        <v>0</v>
      </c>
      <c r="HE108" s="1091" t="str">
        <f t="shared" si="125"/>
        <v/>
      </c>
      <c r="HF108" s="1147">
        <f t="shared" si="652"/>
        <v>0</v>
      </c>
      <c r="HG108" s="1091" t="str">
        <f t="shared" si="127"/>
        <v/>
      </c>
      <c r="HH108" s="1146">
        <f t="shared" si="924"/>
        <v>0</v>
      </c>
      <c r="HI108" s="1091">
        <f t="shared" si="841"/>
        <v>0</v>
      </c>
      <c r="HJ108" s="1091">
        <f t="shared" si="984"/>
        <v>0</v>
      </c>
      <c r="HK108" s="1147">
        <f t="shared" si="656"/>
        <v>0</v>
      </c>
      <c r="HL108" s="1091">
        <f t="shared" si="842"/>
        <v>0</v>
      </c>
      <c r="HM108" s="1091">
        <f t="shared" si="985"/>
        <v>0</v>
      </c>
      <c r="HN108" s="1147">
        <f t="shared" si="659"/>
        <v>0</v>
      </c>
      <c r="HO108" s="1091" t="str">
        <f t="shared" si="843"/>
        <v/>
      </c>
      <c r="HP108" s="1091" t="str">
        <f t="shared" si="986"/>
        <v/>
      </c>
      <c r="HQ108" s="1147">
        <f t="shared" si="662"/>
        <v>0</v>
      </c>
      <c r="HR108" s="1091" t="str">
        <f t="shared" si="135"/>
        <v/>
      </c>
      <c r="HS108" s="1147">
        <f t="shared" si="663"/>
        <v>0</v>
      </c>
      <c r="HT108" s="1091" t="str">
        <f t="shared" si="137"/>
        <v/>
      </c>
      <c r="HU108" s="1146">
        <f t="shared" si="925"/>
        <v>0</v>
      </c>
      <c r="HV108" s="1091">
        <f t="shared" si="844"/>
        <v>0</v>
      </c>
      <c r="HW108" s="1091">
        <f t="shared" si="987"/>
        <v>0</v>
      </c>
      <c r="HX108" s="1147">
        <f t="shared" si="667"/>
        <v>0</v>
      </c>
      <c r="HY108" s="1091">
        <f t="shared" si="845"/>
        <v>0</v>
      </c>
      <c r="HZ108" s="1091">
        <f t="shared" si="988"/>
        <v>0</v>
      </c>
      <c r="IA108" s="1147">
        <f t="shared" si="670"/>
        <v>0</v>
      </c>
      <c r="IB108" s="1091" t="str">
        <f t="shared" si="846"/>
        <v/>
      </c>
      <c r="IC108" s="1091" t="str">
        <f t="shared" si="989"/>
        <v/>
      </c>
      <c r="ID108" s="1147">
        <f t="shared" si="673"/>
        <v>0</v>
      </c>
      <c r="IE108" s="1091" t="str">
        <f t="shared" si="145"/>
        <v/>
      </c>
      <c r="IF108" s="1147">
        <f t="shared" si="674"/>
        <v>0</v>
      </c>
      <c r="IG108" s="1091" t="str">
        <f t="shared" si="147"/>
        <v/>
      </c>
      <c r="IH108" s="1146">
        <f t="shared" si="926"/>
        <v>0</v>
      </c>
      <c r="II108" s="1091">
        <f t="shared" si="847"/>
        <v>0</v>
      </c>
      <c r="IJ108" s="1091">
        <f t="shared" si="990"/>
        <v>0</v>
      </c>
      <c r="IK108" s="1147">
        <f t="shared" si="678"/>
        <v>1260</v>
      </c>
      <c r="IL108" s="1091">
        <f t="shared" si="848"/>
        <v>0.00003039480225</v>
      </c>
      <c r="IM108" s="1091">
        <f t="shared" si="991"/>
        <v>0.005849112126</v>
      </c>
      <c r="IN108" s="1147">
        <f t="shared" si="681"/>
        <v>4440.1</v>
      </c>
      <c r="IO108" s="1091">
        <f t="shared" si="849"/>
        <v>0.001021978487</v>
      </c>
      <c r="IP108" s="1091">
        <f t="shared" si="992"/>
        <v>0.05999866114</v>
      </c>
      <c r="IQ108" s="1147">
        <f t="shared" si="684"/>
        <v>4440.1</v>
      </c>
      <c r="IR108" s="1091" t="str">
        <f t="shared" si="1"/>
        <v/>
      </c>
      <c r="IS108" s="1147">
        <f t="shared" si="685"/>
        <v>3180.1</v>
      </c>
      <c r="IT108" s="1091">
        <f t="shared" si="2"/>
        <v>2.523888889</v>
      </c>
    </row>
    <row r="109" outlineLevel="1">
      <c r="A109" s="737"/>
      <c r="B109" s="737"/>
      <c r="C109" s="737"/>
      <c r="D109" s="737" t="s">
        <v>2870</v>
      </c>
      <c r="E109" s="737" t="s">
        <v>307</v>
      </c>
      <c r="F109" s="737"/>
      <c r="G109" s="748">
        <v>3.0</v>
      </c>
      <c r="H109" s="1146">
        <f>SUMIFS(BP_SOTIEN,BP_THANG,H$2,BP_KM,$E109)/1000</f>
        <v>3000</v>
      </c>
      <c r="I109" s="1091" t="str">
        <f t="shared" si="791"/>
        <v/>
      </c>
      <c r="J109" s="1091"/>
      <c r="K109" s="1147">
        <f>IF(NOW()&gt;=DATE(YEAR(H$2),MONTH(H$2)+1,DAY(H$2)),SUMIFS(TF_SOTIEN,TF_THANG,H$2,TF_KM,$E109)/1000, N109)</f>
        <v>3000</v>
      </c>
      <c r="L109" s="1091">
        <f t="shared" si="792"/>
        <v>0.025</v>
      </c>
      <c r="M109" s="1091"/>
      <c r="N109" s="1147">
        <f>IF(NOW()&gt;=DATE(YEAR(H$2),MONTH(H$2)+1,DAY(H$2)),SUMIFS(AC_SOTIEN,AC_THANG,H$2,AC_KM,$E109),SUMIFS(TF_SOTIEN,TF_THANG,H$2,TF_KM,$E109))/ 1000</f>
        <v>1000</v>
      </c>
      <c r="O109" s="1091">
        <f t="shared" si="793"/>
        <v>0.002941176471</v>
      </c>
      <c r="P109" s="1091">
        <f t="shared" si="960"/>
        <v>0.09831111338</v>
      </c>
      <c r="Q109" s="1147">
        <f t="shared" si="518"/>
        <v>-2000</v>
      </c>
      <c r="R109" s="1091">
        <f t="shared" si="8"/>
        <v>-0.6666666667</v>
      </c>
      <c r="S109" s="1147">
        <f t="shared" si="519"/>
        <v>-2000</v>
      </c>
      <c r="T109" s="1091">
        <f t="shared" si="10"/>
        <v>-0.6666666667</v>
      </c>
      <c r="U109" s="1146">
        <f>SUMIFS(BP_SOTIEN,BP_THANG,U$2,BP_KM,$E109)/1000</f>
        <v>0</v>
      </c>
      <c r="V109" s="1091" t="str">
        <f t="shared" si="794"/>
        <v/>
      </c>
      <c r="W109" s="1091"/>
      <c r="X109" s="1147">
        <f>IF(NOW()&gt;=DATE(YEAR(U$2),MONTH(U$2)+1,DAY(U$2)),SUMIFS(TF_SOTIEN,TF_THANG,U$2,TF_KM,$E109)/1000, AA109)</f>
        <v>0</v>
      </c>
      <c r="Y109" s="1091" t="str">
        <f t="shared" si="795"/>
        <v/>
      </c>
      <c r="Z109" s="1091"/>
      <c r="AA109" s="1147">
        <f>IF(NOW()&gt;=DATE(YEAR(U$2),MONTH(U$2)+1,DAY(U$2)),SUMIFS(AC_SOTIEN,AC_THANG,U$2,AC_KM,$E109),SUMIFS(TF_SOTIEN,TF_THANG,U$2,TF_KM,$E109))/ 1000</f>
        <v>0</v>
      </c>
      <c r="AB109" s="1091">
        <f t="shared" si="796"/>
        <v>0</v>
      </c>
      <c r="AC109" s="1091">
        <f t="shared" si="961"/>
        <v>0</v>
      </c>
      <c r="AD109" s="1147">
        <f t="shared" si="526"/>
        <v>0</v>
      </c>
      <c r="AE109" s="1091" t="str">
        <f t="shared" si="15"/>
        <v/>
      </c>
      <c r="AF109" s="1147">
        <f t="shared" si="527"/>
        <v>0</v>
      </c>
      <c r="AG109" s="1091" t="str">
        <f t="shared" si="17"/>
        <v/>
      </c>
      <c r="AH109" s="1146">
        <f>SUMIFS(BP_SOTIEN,BP_THANG,AH$2,BP_KM,$E109)/1000</f>
        <v>0</v>
      </c>
      <c r="AI109" s="1091" t="str">
        <f t="shared" si="797"/>
        <v/>
      </c>
      <c r="AJ109" s="1091"/>
      <c r="AK109" s="1147">
        <f>IF(NOW()&gt;=DATE(YEAR(AH$2),MONTH(AH$2)+1,DAY(AH$2)),SUMIFS(TF_SOTIEN,TF_THANG,AH$2,TF_KM,$E109)/1000, AN109)</f>
        <v>0</v>
      </c>
      <c r="AL109" s="1091">
        <f t="shared" si="798"/>
        <v>0</v>
      </c>
      <c r="AM109" s="1091"/>
      <c r="AN109" s="1147">
        <f>IF(NOW()&gt;=DATE(YEAR(AH$2),MONTH(AH$2)+1,DAY(AH$2)),SUMIFS(AC_SOTIEN,AC_THANG,AH$2,AC_KM,$E109),SUMIFS(TF_SOTIEN,TF_THANG,AH$2,TF_KM,$E109))/ 1000</f>
        <v>1000</v>
      </c>
      <c r="AO109" s="1091">
        <f t="shared" si="799"/>
        <v>0.001497005988</v>
      </c>
      <c r="AP109" s="1091">
        <f t="shared" si="962"/>
        <v>0.05547217471</v>
      </c>
      <c r="AQ109" s="1147">
        <f t="shared" si="534"/>
        <v>1000</v>
      </c>
      <c r="AR109" s="1091" t="str">
        <f t="shared" si="22"/>
        <v/>
      </c>
      <c r="AS109" s="1147">
        <f t="shared" si="535"/>
        <v>1000</v>
      </c>
      <c r="AT109" s="1091" t="str">
        <f t="shared" si="24"/>
        <v/>
      </c>
      <c r="AU109" s="1146">
        <f t="shared" si="916"/>
        <v>3000</v>
      </c>
      <c r="AV109" s="1091" t="str">
        <f t="shared" si="800"/>
        <v/>
      </c>
      <c r="AW109" s="1091">
        <f t="shared" si="963"/>
        <v>0.05044136192</v>
      </c>
      <c r="AX109" s="1147">
        <f t="shared" si="917"/>
        <v>3000</v>
      </c>
      <c r="AY109" s="1091">
        <f t="shared" si="801"/>
        <v>0.0008064516129</v>
      </c>
      <c r="AZ109" s="1091">
        <f t="shared" si="964"/>
        <v>0.06513243595</v>
      </c>
      <c r="BA109" s="1147">
        <f t="shared" si="918"/>
        <v>2000</v>
      </c>
      <c r="BB109" s="1091">
        <f t="shared" si="802"/>
        <v>0.001683501684</v>
      </c>
      <c r="BC109" s="1091">
        <f t="shared" si="965"/>
        <v>0.05191003358</v>
      </c>
      <c r="BD109" s="1147">
        <f t="shared" si="545"/>
        <v>-1000</v>
      </c>
      <c r="BE109" s="1091">
        <f t="shared" si="32"/>
        <v>-0.3333333333</v>
      </c>
      <c r="BF109" s="1147">
        <f t="shared" si="546"/>
        <v>-1000</v>
      </c>
      <c r="BG109" s="1091">
        <f t="shared" si="34"/>
        <v>-0.3333333333</v>
      </c>
      <c r="BH109" s="1146">
        <f>SUMIFS(BP_SOTIEN,BP_THANG,BH$2,BP_KM,$E109)/1000</f>
        <v>0</v>
      </c>
      <c r="BI109" s="1091">
        <f t="shared" si="803"/>
        <v>0</v>
      </c>
      <c r="BJ109" s="1091"/>
      <c r="BK109" s="1147">
        <f>IF(NOW()&gt;=DATE(YEAR(BH$2),MONTH(BH$2)+1,DAY(BH$2)),SUMIFS(TF_SOTIEN,TF_THANG,BH$2,TF_KM,$E109)/1000, BN109)</f>
        <v>0</v>
      </c>
      <c r="BL109" s="1091" t="str">
        <f t="shared" si="804"/>
        <v/>
      </c>
      <c r="BM109" s="1091"/>
      <c r="BN109" s="1147">
        <f>IF(NOW()&gt;=DATE(YEAR(BH$2),MONTH(BH$2)+1,DAY(BH$2)),SUMIFS(AC_SOTIEN,AC_THANG,BH$2,AC_KM,$E109),SUMIFS(TF_SOTIEN,TF_THANG,BH$2,TF_KM,$E109))/ 1000</f>
        <v>0</v>
      </c>
      <c r="BO109" s="1091">
        <f t="shared" si="805"/>
        <v>0</v>
      </c>
      <c r="BP109" s="1091">
        <f t="shared" si="966"/>
        <v>0</v>
      </c>
      <c r="BQ109" s="1147">
        <f t="shared" si="553"/>
        <v>0</v>
      </c>
      <c r="BR109" s="1091" t="str">
        <f t="shared" si="39"/>
        <v/>
      </c>
      <c r="BS109" s="1147">
        <f t="shared" si="554"/>
        <v>0</v>
      </c>
      <c r="BT109" s="1091" t="str">
        <f t="shared" si="41"/>
        <v/>
      </c>
      <c r="BU109" s="1146">
        <f>SUMIFS(BP_SOTIEN,BP_THANG,BU$2,BP_KM,$E109)/1000</f>
        <v>0</v>
      </c>
      <c r="BV109" s="1091">
        <f t="shared" si="806"/>
        <v>0</v>
      </c>
      <c r="BW109" s="1091"/>
      <c r="BX109" s="1147">
        <f>IF(NOW()&gt;=DATE(YEAR(BU$2),MONTH(BU$2)+1,DAY(BU$2)),SUMIFS(TF_SOTIEN,TF_THANG,BU$2,TF_KM,$E109)/1000, CA109)</f>
        <v>0</v>
      </c>
      <c r="BY109" s="1091">
        <f t="shared" si="807"/>
        <v>0</v>
      </c>
      <c r="BZ109" s="1091"/>
      <c r="CA109" s="1147">
        <f>IF(NOW()&gt;=DATE(YEAR(BU$2),MONTH(BU$2)+1,DAY(BU$2)),SUMIFS(AC_SOTIEN,AC_THANG,BU$2,AC_KM,$E109),SUMIFS(TF_SOTIEN,TF_THANG,BU$2,TF_KM,$E109))/ 1000</f>
        <v>0</v>
      </c>
      <c r="CB109" s="1091">
        <f t="shared" si="808"/>
        <v>0</v>
      </c>
      <c r="CC109" s="1091">
        <f t="shared" si="967"/>
        <v>0</v>
      </c>
      <c r="CD109" s="1147">
        <f t="shared" si="561"/>
        <v>0</v>
      </c>
      <c r="CE109" s="1091" t="str">
        <f t="shared" si="46"/>
        <v/>
      </c>
      <c r="CF109" s="1147">
        <f t="shared" si="562"/>
        <v>0</v>
      </c>
      <c r="CG109" s="1091" t="str">
        <f t="shared" si="48"/>
        <v/>
      </c>
      <c r="CH109" s="1146">
        <f>SUMIFS(BP_SOTIEN,BP_THANG,CH$2,BP_KM,$E109)/1000</f>
        <v>0</v>
      </c>
      <c r="CI109" s="1091">
        <f t="shared" si="809"/>
        <v>0</v>
      </c>
      <c r="CJ109" s="1091"/>
      <c r="CK109" s="1147">
        <f>IF(NOW()&gt;=DATE(YEAR(CH$2),MONTH(CH$2)+1,DAY(CH$2)),SUMIFS(TF_SOTIEN,TF_THANG,CH$2,TF_KM,$E109)/1000, CN109)</f>
        <v>0</v>
      </c>
      <c r="CL109" s="1091" t="str">
        <f t="shared" si="810"/>
        <v/>
      </c>
      <c r="CM109" s="1091"/>
      <c r="CN109" s="1147">
        <f>IF(NOW()&gt;=DATE(YEAR(CH$2),MONTH(CH$2)+1,DAY(CH$2)),SUMIFS(AC_SOTIEN,AC_THANG,CH$2,AC_KM,$E109),SUMIFS(TF_SOTIEN,TF_THANG,CH$2,TF_KM,$E109))/ 1000</f>
        <v>0</v>
      </c>
      <c r="CO109" s="1091" t="str">
        <f t="shared" si="811"/>
        <v/>
      </c>
      <c r="CP109" s="1091" t="str">
        <f t="shared" si="968"/>
        <v/>
      </c>
      <c r="CQ109" s="1147">
        <f t="shared" si="569"/>
        <v>0</v>
      </c>
      <c r="CR109" s="1091" t="str">
        <f t="shared" si="53"/>
        <v/>
      </c>
      <c r="CS109" s="1147">
        <f t="shared" si="570"/>
        <v>0</v>
      </c>
      <c r="CT109" s="1091" t="str">
        <f t="shared" si="55"/>
        <v/>
      </c>
      <c r="CU109" s="1146">
        <f t="shared" si="919"/>
        <v>0</v>
      </c>
      <c r="CV109" s="1091">
        <f t="shared" si="812"/>
        <v>0</v>
      </c>
      <c r="CW109" s="1091">
        <f t="shared" si="969"/>
        <v>0</v>
      </c>
      <c r="CX109" s="1147">
        <f t="shared" si="920"/>
        <v>0</v>
      </c>
      <c r="CY109" s="1091">
        <f t="shared" si="814"/>
        <v>0</v>
      </c>
      <c r="CZ109" s="1091">
        <f t="shared" si="970"/>
        <v>0</v>
      </c>
      <c r="DA109" s="1147">
        <f t="shared" si="921"/>
        <v>0</v>
      </c>
      <c r="DB109" s="1091">
        <f t="shared" si="816"/>
        <v>0</v>
      </c>
      <c r="DC109" s="1091">
        <f t="shared" si="971"/>
        <v>0</v>
      </c>
      <c r="DD109" s="1147">
        <f t="shared" si="580"/>
        <v>0</v>
      </c>
      <c r="DE109" s="1091" t="str">
        <f t="shared" si="63"/>
        <v/>
      </c>
      <c r="DF109" s="1147">
        <f t="shared" si="581"/>
        <v>0</v>
      </c>
      <c r="DG109" s="1091" t="str">
        <f t="shared" si="65"/>
        <v/>
      </c>
      <c r="DH109" s="1146">
        <f t="shared" si="922"/>
        <v>3000</v>
      </c>
      <c r="DI109" s="1091">
        <f t="shared" si="817"/>
        <v>0.00025</v>
      </c>
      <c r="DJ109" s="1091">
        <f t="shared" si="972"/>
        <v>0.02587322122</v>
      </c>
      <c r="DK109" s="1147">
        <f t="shared" si="585"/>
        <v>3000</v>
      </c>
      <c r="DL109" s="1091">
        <f t="shared" si="818"/>
        <v>0.0005753236241</v>
      </c>
      <c r="DM109" s="1091">
        <f t="shared" si="973"/>
        <v>0.0292776301</v>
      </c>
      <c r="DN109" s="1147">
        <f t="shared" si="588"/>
        <v>2000</v>
      </c>
      <c r="DO109" s="1091">
        <f t="shared" si="819"/>
        <v>0.000460340302</v>
      </c>
      <c r="DP109" s="1091">
        <f t="shared" si="974"/>
        <v>0.02702581525</v>
      </c>
      <c r="DQ109" s="1147">
        <f t="shared" si="591"/>
        <v>-1000</v>
      </c>
      <c r="DR109" s="1091">
        <f t="shared" si="73"/>
        <v>-0.3333333333</v>
      </c>
      <c r="DS109" s="1147">
        <f t="shared" si="592"/>
        <v>-1000</v>
      </c>
      <c r="DT109" s="1091">
        <f t="shared" si="75"/>
        <v>-0.3333333333</v>
      </c>
      <c r="DU109" s="1146">
        <f>SUMIFS(BP_SOTIEN,BP_THANG,DU$2,BP_KM,$E109)/1000</f>
        <v>0</v>
      </c>
      <c r="DV109" s="1091">
        <f t="shared" si="820"/>
        <v>0</v>
      </c>
      <c r="DW109" s="1091"/>
      <c r="DX109" s="1147">
        <f>IF(NOW()&gt;=DATE(YEAR(DU$2),MONTH(DU$2)+1,DAY(DU$2)),SUMIFS(TF_SOTIEN,TF_THANG,DU$2,TF_KM,$E109)/1000, EA109)</f>
        <v>0</v>
      </c>
      <c r="DY109" s="1091">
        <f t="shared" si="821"/>
        <v>0</v>
      </c>
      <c r="DZ109" s="1091"/>
      <c r="EA109" s="1147">
        <f>IF(NOW()&gt;=DATE(YEAR(DU$2),MONTH(DU$2)+1,DAY(DU$2)),SUMIFS(AC_SOTIEN,AC_THANG,DU$2,AC_KM,$E109),SUMIFS(TF_SOTIEN,TF_THANG,DU$2,TF_KM,$E109))/ 1000</f>
        <v>0</v>
      </c>
      <c r="EB109" s="1091" t="str">
        <f t="shared" si="822"/>
        <v/>
      </c>
      <c r="EC109" s="1091" t="str">
        <f t="shared" si="975"/>
        <v/>
      </c>
      <c r="ED109" s="1147">
        <f t="shared" si="599"/>
        <v>0</v>
      </c>
      <c r="EE109" s="1091" t="str">
        <f t="shared" si="80"/>
        <v/>
      </c>
      <c r="EF109" s="1147">
        <f t="shared" si="600"/>
        <v>0</v>
      </c>
      <c r="EG109" s="1091" t="str">
        <f t="shared" si="82"/>
        <v/>
      </c>
      <c r="EH109" s="1146">
        <f>SUMIFS(BP_SOTIEN,BP_THANG,EH$2,BP_KM,$E109)/1000</f>
        <v>0</v>
      </c>
      <c r="EI109" s="1091">
        <f t="shared" si="823"/>
        <v>0</v>
      </c>
      <c r="EJ109" s="1091"/>
      <c r="EK109" s="1147">
        <f>IF(NOW()&gt;=DATE(YEAR(EH$2),MONTH(EH$2)+1,DAY(EH$2)),SUMIFS(TF_SOTIEN,TF_THANG,EH$2,TF_KM,$E109)/1000, EN109)</f>
        <v>0</v>
      </c>
      <c r="EL109" s="1091">
        <f t="shared" si="824"/>
        <v>0</v>
      </c>
      <c r="EM109" s="1091"/>
      <c r="EN109" s="1147">
        <f>IF(NOW()&gt;=DATE(YEAR(EH$2),MONTH(EH$2)+1,DAY(EH$2)),SUMIFS(AC_SOTIEN,AC_THANG,EH$2,AC_KM,$E109),SUMIFS(TF_SOTIEN,TF_THANG,EH$2,TF_KM,$E109))/ 1000</f>
        <v>0</v>
      </c>
      <c r="EO109" s="1091" t="str">
        <f t="shared" si="825"/>
        <v/>
      </c>
      <c r="EP109" s="1091" t="str">
        <f t="shared" si="976"/>
        <v/>
      </c>
      <c r="EQ109" s="1147">
        <f t="shared" si="607"/>
        <v>0</v>
      </c>
      <c r="ER109" s="1091" t="str">
        <f t="shared" si="87"/>
        <v/>
      </c>
      <c r="ES109" s="1147">
        <f t="shared" si="608"/>
        <v>0</v>
      </c>
      <c r="ET109" s="1091" t="str">
        <f t="shared" si="89"/>
        <v/>
      </c>
      <c r="EU109" s="1146">
        <f>SUMIFS(BP_SOTIEN,BP_THANG,EU$2,BP_KM,$E109)/1000</f>
        <v>0</v>
      </c>
      <c r="EV109" s="1091">
        <f t="shared" si="826"/>
        <v>0</v>
      </c>
      <c r="EW109" s="1091"/>
      <c r="EX109" s="1147">
        <f>IF(NOW()&gt;=DATE(YEAR(EU$2),MONTH(EU$2)+1,DAY(EU$2)),SUMIFS(TF_SOTIEN,TF_THANG,EU$2,TF_KM,$E109)/1000, FA109)</f>
        <v>0</v>
      </c>
      <c r="EY109" s="1091">
        <f t="shared" si="827"/>
        <v>0</v>
      </c>
      <c r="EZ109" s="1091"/>
      <c r="FA109" s="1147">
        <f>IF(NOW()&gt;=DATE(YEAR(EU$2),MONTH(EU$2)+1,DAY(EU$2)),SUMIFS(AC_SOTIEN,AC_THANG,EU$2,AC_KM,$E109),SUMIFS(TF_SOTIEN,TF_THANG,EU$2,TF_KM,$E109))/ 1000</f>
        <v>0</v>
      </c>
      <c r="FB109" s="1091" t="str">
        <f t="shared" si="828"/>
        <v/>
      </c>
      <c r="FC109" s="1091" t="str">
        <f t="shared" si="977"/>
        <v/>
      </c>
      <c r="FD109" s="1147">
        <f t="shared" si="616"/>
        <v>0</v>
      </c>
      <c r="FE109" s="1091" t="str">
        <f t="shared" si="94"/>
        <v/>
      </c>
      <c r="FF109" s="1147">
        <f t="shared" si="617"/>
        <v>0</v>
      </c>
      <c r="FG109" s="1091" t="str">
        <f t="shared" si="96"/>
        <v/>
      </c>
      <c r="FH109" s="1146">
        <f t="shared" si="923"/>
        <v>0</v>
      </c>
      <c r="FI109" s="1091">
        <f t="shared" si="829"/>
        <v>0</v>
      </c>
      <c r="FJ109" s="1091">
        <f t="shared" si="978"/>
        <v>0</v>
      </c>
      <c r="FK109" s="1147">
        <f t="shared" si="621"/>
        <v>0</v>
      </c>
      <c r="FL109" s="1091">
        <f t="shared" si="830"/>
        <v>0</v>
      </c>
      <c r="FM109" s="1091">
        <f t="shared" si="979"/>
        <v>0</v>
      </c>
      <c r="FN109" s="1147">
        <f t="shared" si="624"/>
        <v>0</v>
      </c>
      <c r="FO109" s="1091" t="str">
        <f t="shared" si="831"/>
        <v/>
      </c>
      <c r="FP109" s="1091" t="str">
        <f t="shared" si="980"/>
        <v/>
      </c>
      <c r="FQ109" s="1147">
        <f t="shared" si="627"/>
        <v>0</v>
      </c>
      <c r="FR109" s="1091" t="str">
        <f t="shared" si="104"/>
        <v/>
      </c>
      <c r="FS109" s="1147">
        <f t="shared" si="628"/>
        <v>0</v>
      </c>
      <c r="FT109" s="1091" t="str">
        <f t="shared" si="106"/>
        <v/>
      </c>
      <c r="FU109" s="1146">
        <f>SUMIFS(BP_SOTIEN,BP_THANG,FU$2,BP_KM,$E109)/1000</f>
        <v>0</v>
      </c>
      <c r="FV109" s="1091">
        <f t="shared" si="832"/>
        <v>0</v>
      </c>
      <c r="FW109" s="1091"/>
      <c r="FX109" s="1147">
        <f>IF(NOW()&gt;=DATE(YEAR(FU$2),MONTH(FU$2)+1,DAY(FU$2)),SUMIFS(TF_SOTIEN,TF_THANG,FU$2,TF_KM,$E109)/1000, GA109)</f>
        <v>0</v>
      </c>
      <c r="FY109" s="1091">
        <f t="shared" si="833"/>
        <v>0</v>
      </c>
      <c r="FZ109" s="1091"/>
      <c r="GA109" s="1147">
        <f>IF(NOW()&gt;=DATE(YEAR(FU$2),MONTH(FU$2)+1,DAY(FU$2)),SUMIFS(AC_SOTIEN,AC_THANG,FU$2,AC_KM,$E109),SUMIFS(TF_SOTIEN,TF_THANG,FU$2,TF_KM,$E109))/ 1000</f>
        <v>0</v>
      </c>
      <c r="GB109" s="1091" t="str">
        <f t="shared" si="834"/>
        <v/>
      </c>
      <c r="GC109" s="1091" t="str">
        <f t="shared" si="981"/>
        <v/>
      </c>
      <c r="GD109" s="1147">
        <f t="shared" si="635"/>
        <v>0</v>
      </c>
      <c r="GE109" s="1091" t="str">
        <f t="shared" si="111"/>
        <v/>
      </c>
      <c r="GF109" s="1147">
        <f t="shared" si="636"/>
        <v>0</v>
      </c>
      <c r="GG109" s="1091" t="str">
        <f t="shared" si="113"/>
        <v/>
      </c>
      <c r="GH109" s="1146">
        <f>SUMIFS(BP_SOTIEN,BP_THANG,GH$2,BP_KM,$E109)/1000</f>
        <v>0</v>
      </c>
      <c r="GI109" s="1091">
        <f t="shared" si="835"/>
        <v>0</v>
      </c>
      <c r="GJ109" s="1091"/>
      <c r="GK109" s="1147">
        <f>IF(NOW()&gt;=DATE(YEAR(GH$2),MONTH(GH$2)+1,DAY(GH$2)),SUMIFS(TF_SOTIEN,TF_THANG,GH$2,TF_KM,$E109)/1000, GN109)</f>
        <v>0</v>
      </c>
      <c r="GL109" s="1091">
        <f t="shared" si="836"/>
        <v>0</v>
      </c>
      <c r="GM109" s="1091"/>
      <c r="GN109" s="1147">
        <f>IF(NOW()&gt;=DATE(YEAR(GH$2),MONTH(GH$2)+1,DAY(GH$2)),SUMIFS(AC_SOTIEN,AC_THANG,GH$2,AC_KM,$E109),SUMIFS(TF_SOTIEN,TF_THANG,GH$2,TF_KM,$E109))/ 1000</f>
        <v>0</v>
      </c>
      <c r="GO109" s="1091" t="str">
        <f t="shared" si="837"/>
        <v/>
      </c>
      <c r="GP109" s="1091" t="str">
        <f t="shared" si="982"/>
        <v/>
      </c>
      <c r="GQ109" s="1147">
        <f t="shared" si="643"/>
        <v>0</v>
      </c>
      <c r="GR109" s="1091" t="str">
        <f t="shared" si="118"/>
        <v/>
      </c>
      <c r="GS109" s="1147">
        <f t="shared" si="644"/>
        <v>0</v>
      </c>
      <c r="GT109" s="1091" t="str">
        <f t="shared" si="120"/>
        <v/>
      </c>
      <c r="GU109" s="1146">
        <f>SUMIFS(BP_SOTIEN,BP_THANG,GU$2,BP_KM,$E109)/1000</f>
        <v>0</v>
      </c>
      <c r="GV109" s="1091">
        <f t="shared" si="838"/>
        <v>0</v>
      </c>
      <c r="GW109" s="1091"/>
      <c r="GX109" s="1147">
        <f>IF(NOW()&gt;=DATE(YEAR(GU$2),MONTH(GU$2)+1,DAY(GU$2)),SUMIFS(TF_SOTIEN,TF_THANG,GU$2,TF_KM,$E109)/1000, HA109)</f>
        <v>0</v>
      </c>
      <c r="GY109" s="1091">
        <f t="shared" si="839"/>
        <v>0</v>
      </c>
      <c r="GZ109" s="1091"/>
      <c r="HA109" s="1147">
        <f>IF(NOW()&gt;=DATE(YEAR(GU$2),MONTH(GU$2)+1,DAY(GU$2)),SUMIFS(AC_SOTIEN,AC_THANG,GU$2,AC_KM,$E109),SUMIFS(TF_SOTIEN,TF_THANG,GU$2,TF_KM,$E109))/ 1000</f>
        <v>0</v>
      </c>
      <c r="HB109" s="1091" t="str">
        <f t="shared" si="840"/>
        <v/>
      </c>
      <c r="HC109" s="1091" t="str">
        <f t="shared" si="983"/>
        <v/>
      </c>
      <c r="HD109" s="1147">
        <f t="shared" si="651"/>
        <v>0</v>
      </c>
      <c r="HE109" s="1091" t="str">
        <f t="shared" si="125"/>
        <v/>
      </c>
      <c r="HF109" s="1147">
        <f t="shared" si="652"/>
        <v>0</v>
      </c>
      <c r="HG109" s="1091" t="str">
        <f t="shared" si="127"/>
        <v/>
      </c>
      <c r="HH109" s="1146">
        <f t="shared" si="924"/>
        <v>0</v>
      </c>
      <c r="HI109" s="1091">
        <f t="shared" si="841"/>
        <v>0</v>
      </c>
      <c r="HJ109" s="1091">
        <f t="shared" si="984"/>
        <v>0</v>
      </c>
      <c r="HK109" s="1147">
        <f t="shared" si="656"/>
        <v>0</v>
      </c>
      <c r="HL109" s="1091">
        <f t="shared" si="842"/>
        <v>0</v>
      </c>
      <c r="HM109" s="1091">
        <f t="shared" si="985"/>
        <v>0</v>
      </c>
      <c r="HN109" s="1147">
        <f t="shared" si="659"/>
        <v>0</v>
      </c>
      <c r="HO109" s="1091" t="str">
        <f t="shared" si="843"/>
        <v/>
      </c>
      <c r="HP109" s="1091" t="str">
        <f t="shared" si="986"/>
        <v/>
      </c>
      <c r="HQ109" s="1147">
        <f t="shared" si="662"/>
        <v>0</v>
      </c>
      <c r="HR109" s="1091" t="str">
        <f t="shared" si="135"/>
        <v/>
      </c>
      <c r="HS109" s="1147">
        <f t="shared" si="663"/>
        <v>0</v>
      </c>
      <c r="HT109" s="1091" t="str">
        <f t="shared" si="137"/>
        <v/>
      </c>
      <c r="HU109" s="1146">
        <f t="shared" si="925"/>
        <v>0</v>
      </c>
      <c r="HV109" s="1091">
        <f t="shared" si="844"/>
        <v>0</v>
      </c>
      <c r="HW109" s="1091">
        <f t="shared" si="987"/>
        <v>0</v>
      </c>
      <c r="HX109" s="1147">
        <f t="shared" si="667"/>
        <v>0</v>
      </c>
      <c r="HY109" s="1091">
        <f t="shared" si="845"/>
        <v>0</v>
      </c>
      <c r="HZ109" s="1091">
        <f t="shared" si="988"/>
        <v>0</v>
      </c>
      <c r="IA109" s="1147">
        <f t="shared" si="670"/>
        <v>0</v>
      </c>
      <c r="IB109" s="1091" t="str">
        <f t="shared" si="846"/>
        <v/>
      </c>
      <c r="IC109" s="1091" t="str">
        <f t="shared" si="989"/>
        <v/>
      </c>
      <c r="ID109" s="1147">
        <f t="shared" si="673"/>
        <v>0</v>
      </c>
      <c r="IE109" s="1091" t="str">
        <f t="shared" si="145"/>
        <v/>
      </c>
      <c r="IF109" s="1147">
        <f t="shared" si="674"/>
        <v>0</v>
      </c>
      <c r="IG109" s="1091" t="str">
        <f t="shared" si="147"/>
        <v/>
      </c>
      <c r="IH109" s="1146">
        <f t="shared" si="926"/>
        <v>3000</v>
      </c>
      <c r="II109" s="1091">
        <f t="shared" si="847"/>
        <v>0.00008333333333</v>
      </c>
      <c r="IJ109" s="1091">
        <f t="shared" si="990"/>
        <v>0.0131061599</v>
      </c>
      <c r="IK109" s="1147">
        <f t="shared" si="678"/>
        <v>3000</v>
      </c>
      <c r="IL109" s="1091">
        <f t="shared" si="848"/>
        <v>0.0000723685768</v>
      </c>
      <c r="IM109" s="1091">
        <f t="shared" si="991"/>
        <v>0.01392645744</v>
      </c>
      <c r="IN109" s="1147">
        <f t="shared" si="681"/>
        <v>2000</v>
      </c>
      <c r="IO109" s="1091">
        <f t="shared" si="849"/>
        <v>0.000460340302</v>
      </c>
      <c r="IP109" s="1091">
        <f t="shared" si="992"/>
        <v>0.02702581525</v>
      </c>
      <c r="IQ109" s="1147">
        <f t="shared" si="684"/>
        <v>-1000</v>
      </c>
      <c r="IR109" s="1091">
        <f t="shared" si="1"/>
        <v>-0.3333333333</v>
      </c>
      <c r="IS109" s="1147">
        <f t="shared" si="685"/>
        <v>-1000</v>
      </c>
      <c r="IT109" s="1091">
        <f t="shared" si="2"/>
        <v>-0.3333333333</v>
      </c>
    </row>
    <row r="110" outlineLevel="1">
      <c r="A110" s="737"/>
      <c r="B110" s="737"/>
      <c r="C110" s="737"/>
      <c r="D110" s="737"/>
      <c r="E110" s="737"/>
      <c r="F110" s="737"/>
      <c r="G110" s="748">
        <v>3.0</v>
      </c>
      <c r="H110" s="1146">
        <f>SUMIFS(BP_SOTIEN,BP_THANG,H$2,BP_KM,$E110)/1000</f>
        <v>0</v>
      </c>
      <c r="I110" s="1091" t="str">
        <f t="shared" si="791"/>
        <v/>
      </c>
      <c r="J110" s="1091"/>
      <c r="K110" s="1147">
        <f>IF(NOW()&gt;=DATE(YEAR(H$2),MONTH(H$2)+1,DAY(H$2)),SUMIFS(TF_SOTIEN,TF_THANG,H$2,TF_KM,$E110)/1000, N110)</f>
        <v>0</v>
      </c>
      <c r="L110" s="1091">
        <f t="shared" si="792"/>
        <v>0</v>
      </c>
      <c r="M110" s="1091"/>
      <c r="N110" s="1147">
        <f>IF(NOW()&gt;=DATE(YEAR(H$2),MONTH(H$2)+1,DAY(H$2)),SUMIFS(AC_SOTIEN,AC_THANG,H$2,AC_KM,$E110),SUMIFS(TF_SOTIEN,TF_THANG,H$2,TF_KM,$E110))/ 1000</f>
        <v>0</v>
      </c>
      <c r="O110" s="1091">
        <f t="shared" si="793"/>
        <v>0</v>
      </c>
      <c r="P110" s="1091">
        <f t="shared" si="960"/>
        <v>0</v>
      </c>
      <c r="Q110" s="1147">
        <f t="shared" si="518"/>
        <v>0</v>
      </c>
      <c r="R110" s="1091" t="str">
        <f t="shared" si="8"/>
        <v/>
      </c>
      <c r="S110" s="1147">
        <f t="shared" si="519"/>
        <v>0</v>
      </c>
      <c r="T110" s="1091" t="str">
        <f t="shared" si="10"/>
        <v/>
      </c>
      <c r="U110" s="1146">
        <f>SUMIFS(BP_SOTIEN,BP_THANG,U$2,BP_KM,$E110)/1000</f>
        <v>0</v>
      </c>
      <c r="V110" s="1091" t="str">
        <f t="shared" si="794"/>
        <v/>
      </c>
      <c r="W110" s="1091"/>
      <c r="X110" s="1147">
        <f>IF(NOW()&gt;=DATE(YEAR(U$2),MONTH(U$2)+1,DAY(U$2)),SUMIFS(TF_SOTIEN,TF_THANG,U$2,TF_KM,$E110)/1000, AA110)</f>
        <v>0</v>
      </c>
      <c r="Y110" s="1091" t="str">
        <f t="shared" si="795"/>
        <v/>
      </c>
      <c r="Z110" s="1091"/>
      <c r="AA110" s="1147">
        <f>IF(NOW()&gt;=DATE(YEAR(U$2),MONTH(U$2)+1,DAY(U$2)),SUMIFS(AC_SOTIEN,AC_THANG,U$2,AC_KM,$E110),SUMIFS(TF_SOTIEN,TF_THANG,U$2,TF_KM,$E110))/ 1000</f>
        <v>0</v>
      </c>
      <c r="AB110" s="1091">
        <f t="shared" si="796"/>
        <v>0</v>
      </c>
      <c r="AC110" s="1091">
        <f t="shared" si="961"/>
        <v>0</v>
      </c>
      <c r="AD110" s="1147">
        <f t="shared" si="526"/>
        <v>0</v>
      </c>
      <c r="AE110" s="1091" t="str">
        <f t="shared" si="15"/>
        <v/>
      </c>
      <c r="AF110" s="1147">
        <f t="shared" si="527"/>
        <v>0</v>
      </c>
      <c r="AG110" s="1091" t="str">
        <f t="shared" si="17"/>
        <v/>
      </c>
      <c r="AH110" s="1146">
        <f>SUMIFS(BP_SOTIEN,BP_THANG,AH$2,BP_KM,$E110)/1000</f>
        <v>0</v>
      </c>
      <c r="AI110" s="1091" t="str">
        <f t="shared" si="797"/>
        <v/>
      </c>
      <c r="AJ110" s="1091"/>
      <c r="AK110" s="1147">
        <f>IF(NOW()&gt;=DATE(YEAR(AH$2),MONTH(AH$2)+1,DAY(AH$2)),SUMIFS(TF_SOTIEN,TF_THANG,AH$2,TF_KM,$E110)/1000, AN110)</f>
        <v>0</v>
      </c>
      <c r="AL110" s="1091">
        <f t="shared" si="798"/>
        <v>0</v>
      </c>
      <c r="AM110" s="1091"/>
      <c r="AN110" s="1147">
        <f>IF(NOW()&gt;=DATE(YEAR(AH$2),MONTH(AH$2)+1,DAY(AH$2)),SUMIFS(AC_SOTIEN,AC_THANG,AH$2,AC_KM,$E110),SUMIFS(TF_SOTIEN,TF_THANG,AH$2,TF_KM,$E110))/ 1000</f>
        <v>0</v>
      </c>
      <c r="AO110" s="1091">
        <f t="shared" si="799"/>
        <v>0</v>
      </c>
      <c r="AP110" s="1091">
        <f t="shared" si="962"/>
        <v>0</v>
      </c>
      <c r="AQ110" s="1147">
        <f t="shared" si="534"/>
        <v>0</v>
      </c>
      <c r="AR110" s="1091" t="str">
        <f t="shared" si="22"/>
        <v/>
      </c>
      <c r="AS110" s="1147">
        <f t="shared" si="535"/>
        <v>0</v>
      </c>
      <c r="AT110" s="1091" t="str">
        <f t="shared" si="24"/>
        <v/>
      </c>
      <c r="AU110" s="1146">
        <f t="shared" si="916"/>
        <v>0</v>
      </c>
      <c r="AV110" s="1091" t="str">
        <f t="shared" si="800"/>
        <v/>
      </c>
      <c r="AW110" s="1091">
        <f t="shared" si="963"/>
        <v>0</v>
      </c>
      <c r="AX110" s="1147">
        <f t="shared" si="917"/>
        <v>0</v>
      </c>
      <c r="AY110" s="1091">
        <f t="shared" si="801"/>
        <v>0</v>
      </c>
      <c r="AZ110" s="1091">
        <f t="shared" si="964"/>
        <v>0</v>
      </c>
      <c r="BA110" s="1147">
        <f t="shared" si="918"/>
        <v>0</v>
      </c>
      <c r="BB110" s="1091">
        <f t="shared" si="802"/>
        <v>0</v>
      </c>
      <c r="BC110" s="1091">
        <f t="shared" si="965"/>
        <v>0</v>
      </c>
      <c r="BD110" s="1147">
        <f t="shared" si="545"/>
        <v>0</v>
      </c>
      <c r="BE110" s="1091" t="str">
        <f t="shared" si="32"/>
        <v/>
      </c>
      <c r="BF110" s="1147">
        <f t="shared" si="546"/>
        <v>0</v>
      </c>
      <c r="BG110" s="1091" t="str">
        <f t="shared" si="34"/>
        <v/>
      </c>
      <c r="BH110" s="1146">
        <f>SUMIFS(BP_SOTIEN,BP_THANG,BH$2,BP_KM,$E110)/1000</f>
        <v>0</v>
      </c>
      <c r="BI110" s="1091">
        <f t="shared" si="803"/>
        <v>0</v>
      </c>
      <c r="BJ110" s="1091"/>
      <c r="BK110" s="1147">
        <f>IF(NOW()&gt;=DATE(YEAR(BH$2),MONTH(BH$2)+1,DAY(BH$2)),SUMIFS(TF_SOTIEN,TF_THANG,BH$2,TF_KM,$E110)/1000, BN110)</f>
        <v>0</v>
      </c>
      <c r="BL110" s="1091" t="str">
        <f t="shared" si="804"/>
        <v/>
      </c>
      <c r="BM110" s="1091"/>
      <c r="BN110" s="1147">
        <f>IF(NOW()&gt;=DATE(YEAR(BH$2),MONTH(BH$2)+1,DAY(BH$2)),SUMIFS(AC_SOTIEN,AC_THANG,BH$2,AC_KM,$E110),SUMIFS(TF_SOTIEN,TF_THANG,BH$2,TF_KM,$E110))/ 1000</f>
        <v>0</v>
      </c>
      <c r="BO110" s="1091">
        <f t="shared" si="805"/>
        <v>0</v>
      </c>
      <c r="BP110" s="1091">
        <f t="shared" si="966"/>
        <v>0</v>
      </c>
      <c r="BQ110" s="1147">
        <f t="shared" si="553"/>
        <v>0</v>
      </c>
      <c r="BR110" s="1091" t="str">
        <f t="shared" si="39"/>
        <v/>
      </c>
      <c r="BS110" s="1147">
        <f t="shared" si="554"/>
        <v>0</v>
      </c>
      <c r="BT110" s="1091" t="str">
        <f t="shared" si="41"/>
        <v/>
      </c>
      <c r="BU110" s="1146">
        <f>SUMIFS(BP_SOTIEN,BP_THANG,BU$2,BP_KM,$E110)/1000</f>
        <v>0</v>
      </c>
      <c r="BV110" s="1091">
        <f t="shared" si="806"/>
        <v>0</v>
      </c>
      <c r="BW110" s="1091"/>
      <c r="BX110" s="1147">
        <f>IF(NOW()&gt;=DATE(YEAR(BU$2),MONTH(BU$2)+1,DAY(BU$2)),SUMIFS(TF_SOTIEN,TF_THANG,BU$2,TF_KM,$E110)/1000, CA110)</f>
        <v>0</v>
      </c>
      <c r="BY110" s="1091">
        <f t="shared" si="807"/>
        <v>0</v>
      </c>
      <c r="BZ110" s="1091"/>
      <c r="CA110" s="1147">
        <f>IF(NOW()&gt;=DATE(YEAR(BU$2),MONTH(BU$2)+1,DAY(BU$2)),SUMIFS(AC_SOTIEN,AC_THANG,BU$2,AC_KM,$E110),SUMIFS(TF_SOTIEN,TF_THANG,BU$2,TF_KM,$E110))/ 1000</f>
        <v>0</v>
      </c>
      <c r="CB110" s="1091">
        <f t="shared" si="808"/>
        <v>0</v>
      </c>
      <c r="CC110" s="1091">
        <f t="shared" si="967"/>
        <v>0</v>
      </c>
      <c r="CD110" s="1147">
        <f t="shared" si="561"/>
        <v>0</v>
      </c>
      <c r="CE110" s="1091" t="str">
        <f t="shared" si="46"/>
        <v/>
      </c>
      <c r="CF110" s="1147">
        <f t="shared" si="562"/>
        <v>0</v>
      </c>
      <c r="CG110" s="1091" t="str">
        <f t="shared" si="48"/>
        <v/>
      </c>
      <c r="CH110" s="1146">
        <f>SUMIFS(BP_SOTIEN,BP_THANG,CH$2,BP_KM,$E110)/1000</f>
        <v>0</v>
      </c>
      <c r="CI110" s="1091">
        <f t="shared" si="809"/>
        <v>0</v>
      </c>
      <c r="CJ110" s="1091"/>
      <c r="CK110" s="1147">
        <f>IF(NOW()&gt;=DATE(YEAR(CH$2),MONTH(CH$2)+1,DAY(CH$2)),SUMIFS(TF_SOTIEN,TF_THANG,CH$2,TF_KM,$E110)/1000, CN110)</f>
        <v>0</v>
      </c>
      <c r="CL110" s="1091" t="str">
        <f t="shared" si="810"/>
        <v/>
      </c>
      <c r="CM110" s="1091"/>
      <c r="CN110" s="1147">
        <f>IF(NOW()&gt;=DATE(YEAR(CH$2),MONTH(CH$2)+1,DAY(CH$2)),SUMIFS(AC_SOTIEN,AC_THANG,CH$2,AC_KM,$E110),SUMIFS(TF_SOTIEN,TF_THANG,CH$2,TF_KM,$E110))/ 1000</f>
        <v>0</v>
      </c>
      <c r="CO110" s="1091" t="str">
        <f t="shared" si="811"/>
        <v/>
      </c>
      <c r="CP110" s="1091" t="str">
        <f t="shared" si="968"/>
        <v/>
      </c>
      <c r="CQ110" s="1147">
        <f t="shared" si="569"/>
        <v>0</v>
      </c>
      <c r="CR110" s="1091" t="str">
        <f t="shared" si="53"/>
        <v/>
      </c>
      <c r="CS110" s="1147">
        <f t="shared" si="570"/>
        <v>0</v>
      </c>
      <c r="CT110" s="1091" t="str">
        <f t="shared" si="55"/>
        <v/>
      </c>
      <c r="CU110" s="1146">
        <f t="shared" si="919"/>
        <v>0</v>
      </c>
      <c r="CV110" s="1091">
        <f t="shared" si="812"/>
        <v>0</v>
      </c>
      <c r="CW110" s="1091">
        <f t="shared" si="969"/>
        <v>0</v>
      </c>
      <c r="CX110" s="1147">
        <f t="shared" si="920"/>
        <v>0</v>
      </c>
      <c r="CY110" s="1091">
        <f t="shared" si="814"/>
        <v>0</v>
      </c>
      <c r="CZ110" s="1091">
        <f t="shared" si="970"/>
        <v>0</v>
      </c>
      <c r="DA110" s="1147">
        <f t="shared" si="921"/>
        <v>0</v>
      </c>
      <c r="DB110" s="1091">
        <f t="shared" si="816"/>
        <v>0</v>
      </c>
      <c r="DC110" s="1091">
        <f t="shared" si="971"/>
        <v>0</v>
      </c>
      <c r="DD110" s="1147">
        <f t="shared" si="580"/>
        <v>0</v>
      </c>
      <c r="DE110" s="1091" t="str">
        <f t="shared" si="63"/>
        <v/>
      </c>
      <c r="DF110" s="1147">
        <f t="shared" si="581"/>
        <v>0</v>
      </c>
      <c r="DG110" s="1091" t="str">
        <f t="shared" si="65"/>
        <v/>
      </c>
      <c r="DH110" s="1146">
        <f t="shared" si="922"/>
        <v>0</v>
      </c>
      <c r="DI110" s="1091">
        <f t="shared" si="817"/>
        <v>0</v>
      </c>
      <c r="DJ110" s="1091">
        <f t="shared" si="972"/>
        <v>0</v>
      </c>
      <c r="DK110" s="1147">
        <f t="shared" si="585"/>
        <v>0</v>
      </c>
      <c r="DL110" s="1091">
        <f t="shared" si="818"/>
        <v>0</v>
      </c>
      <c r="DM110" s="1091">
        <f t="shared" si="973"/>
        <v>0</v>
      </c>
      <c r="DN110" s="1147">
        <f t="shared" si="588"/>
        <v>0</v>
      </c>
      <c r="DO110" s="1091">
        <f t="shared" si="819"/>
        <v>0</v>
      </c>
      <c r="DP110" s="1091">
        <f t="shared" si="974"/>
        <v>0</v>
      </c>
      <c r="DQ110" s="1147">
        <f t="shared" si="591"/>
        <v>0</v>
      </c>
      <c r="DR110" s="1091" t="str">
        <f t="shared" si="73"/>
        <v/>
      </c>
      <c r="DS110" s="1147">
        <f t="shared" si="592"/>
        <v>0</v>
      </c>
      <c r="DT110" s="1091" t="str">
        <f t="shared" si="75"/>
        <v/>
      </c>
      <c r="DU110" s="1146">
        <f>SUMIFS(BP_SOTIEN,BP_THANG,DU$2,BP_KM,$E110)/1000</f>
        <v>0</v>
      </c>
      <c r="DV110" s="1091">
        <f t="shared" si="820"/>
        <v>0</v>
      </c>
      <c r="DW110" s="1091"/>
      <c r="DX110" s="1147">
        <f>IF(NOW()&gt;=DATE(YEAR(DU$2),MONTH(DU$2)+1,DAY(DU$2)),SUMIFS(TF_SOTIEN,TF_THANG,DU$2,TF_KM,$E110)/1000, EA110)</f>
        <v>0</v>
      </c>
      <c r="DY110" s="1091">
        <f t="shared" si="821"/>
        <v>0</v>
      </c>
      <c r="DZ110" s="1091"/>
      <c r="EA110" s="1147">
        <f>IF(NOW()&gt;=DATE(YEAR(DU$2),MONTH(DU$2)+1,DAY(DU$2)),SUMIFS(AC_SOTIEN,AC_THANG,DU$2,AC_KM,$E110),SUMIFS(TF_SOTIEN,TF_THANG,DU$2,TF_KM,$E110))/ 1000</f>
        <v>0</v>
      </c>
      <c r="EB110" s="1091" t="str">
        <f t="shared" si="822"/>
        <v/>
      </c>
      <c r="EC110" s="1091" t="str">
        <f t="shared" si="975"/>
        <v/>
      </c>
      <c r="ED110" s="1147">
        <f t="shared" si="599"/>
        <v>0</v>
      </c>
      <c r="EE110" s="1091" t="str">
        <f t="shared" si="80"/>
        <v/>
      </c>
      <c r="EF110" s="1147">
        <f t="shared" si="600"/>
        <v>0</v>
      </c>
      <c r="EG110" s="1091" t="str">
        <f t="shared" si="82"/>
        <v/>
      </c>
      <c r="EH110" s="1146">
        <f>SUMIFS(BP_SOTIEN,BP_THANG,EH$2,BP_KM,$E110)/1000</f>
        <v>0</v>
      </c>
      <c r="EI110" s="1091">
        <f t="shared" si="823"/>
        <v>0</v>
      </c>
      <c r="EJ110" s="1091"/>
      <c r="EK110" s="1147">
        <f>IF(NOW()&gt;=DATE(YEAR(EH$2),MONTH(EH$2)+1,DAY(EH$2)),SUMIFS(TF_SOTIEN,TF_THANG,EH$2,TF_KM,$E110)/1000, EN110)</f>
        <v>0</v>
      </c>
      <c r="EL110" s="1091">
        <f t="shared" si="824"/>
        <v>0</v>
      </c>
      <c r="EM110" s="1091"/>
      <c r="EN110" s="1147">
        <f>IF(NOW()&gt;=DATE(YEAR(EH$2),MONTH(EH$2)+1,DAY(EH$2)),SUMIFS(AC_SOTIEN,AC_THANG,EH$2,AC_KM,$E110),SUMIFS(TF_SOTIEN,TF_THANG,EH$2,TF_KM,$E110))/ 1000</f>
        <v>0</v>
      </c>
      <c r="EO110" s="1091" t="str">
        <f t="shared" si="825"/>
        <v/>
      </c>
      <c r="EP110" s="1091" t="str">
        <f t="shared" si="976"/>
        <v/>
      </c>
      <c r="EQ110" s="1147">
        <f t="shared" si="607"/>
        <v>0</v>
      </c>
      <c r="ER110" s="1091" t="str">
        <f t="shared" si="87"/>
        <v/>
      </c>
      <c r="ES110" s="1147">
        <f t="shared" si="608"/>
        <v>0</v>
      </c>
      <c r="ET110" s="1091" t="str">
        <f t="shared" si="89"/>
        <v/>
      </c>
      <c r="EU110" s="1146">
        <f>SUMIFS(BP_SOTIEN,BP_THANG,EU$2,BP_KM,$E110)/1000</f>
        <v>0</v>
      </c>
      <c r="EV110" s="1091">
        <f t="shared" si="826"/>
        <v>0</v>
      </c>
      <c r="EW110" s="1091"/>
      <c r="EX110" s="1147">
        <f>IF(NOW()&gt;=DATE(YEAR(EU$2),MONTH(EU$2)+1,DAY(EU$2)),SUMIFS(TF_SOTIEN,TF_THANG,EU$2,TF_KM,$E110)/1000, FA110)</f>
        <v>0</v>
      </c>
      <c r="EY110" s="1091">
        <f t="shared" si="827"/>
        <v>0</v>
      </c>
      <c r="EZ110" s="1091"/>
      <c r="FA110" s="1147">
        <f>IF(NOW()&gt;=DATE(YEAR(EU$2),MONTH(EU$2)+1,DAY(EU$2)),SUMIFS(AC_SOTIEN,AC_THANG,EU$2,AC_KM,$E110),SUMIFS(TF_SOTIEN,TF_THANG,EU$2,TF_KM,$E110))/ 1000</f>
        <v>0</v>
      </c>
      <c r="FB110" s="1091" t="str">
        <f t="shared" si="828"/>
        <v/>
      </c>
      <c r="FC110" s="1091" t="str">
        <f t="shared" si="977"/>
        <v/>
      </c>
      <c r="FD110" s="1147">
        <f t="shared" si="616"/>
        <v>0</v>
      </c>
      <c r="FE110" s="1091" t="str">
        <f t="shared" si="94"/>
        <v/>
      </c>
      <c r="FF110" s="1147">
        <f t="shared" si="617"/>
        <v>0</v>
      </c>
      <c r="FG110" s="1091" t="str">
        <f t="shared" si="96"/>
        <v/>
      </c>
      <c r="FH110" s="1146">
        <f t="shared" si="923"/>
        <v>0</v>
      </c>
      <c r="FI110" s="1091">
        <f t="shared" si="829"/>
        <v>0</v>
      </c>
      <c r="FJ110" s="1091">
        <f t="shared" si="978"/>
        <v>0</v>
      </c>
      <c r="FK110" s="1147">
        <f t="shared" si="621"/>
        <v>0</v>
      </c>
      <c r="FL110" s="1091">
        <f t="shared" si="830"/>
        <v>0</v>
      </c>
      <c r="FM110" s="1091">
        <f t="shared" si="979"/>
        <v>0</v>
      </c>
      <c r="FN110" s="1147">
        <f t="shared" si="624"/>
        <v>0</v>
      </c>
      <c r="FO110" s="1091" t="str">
        <f t="shared" si="831"/>
        <v/>
      </c>
      <c r="FP110" s="1091" t="str">
        <f t="shared" si="980"/>
        <v/>
      </c>
      <c r="FQ110" s="1147">
        <f t="shared" si="627"/>
        <v>0</v>
      </c>
      <c r="FR110" s="1091" t="str">
        <f t="shared" si="104"/>
        <v/>
      </c>
      <c r="FS110" s="1147">
        <f t="shared" si="628"/>
        <v>0</v>
      </c>
      <c r="FT110" s="1091" t="str">
        <f t="shared" si="106"/>
        <v/>
      </c>
      <c r="FU110" s="1146">
        <f>SUMIFS(BP_SOTIEN,BP_THANG,FU$2,BP_KM,$E110)/1000</f>
        <v>0</v>
      </c>
      <c r="FV110" s="1091">
        <f t="shared" si="832"/>
        <v>0</v>
      </c>
      <c r="FW110" s="1091"/>
      <c r="FX110" s="1147">
        <f>IF(NOW()&gt;=DATE(YEAR(FU$2),MONTH(FU$2)+1,DAY(FU$2)),SUMIFS(TF_SOTIEN,TF_THANG,FU$2,TF_KM,$E110)/1000, GA110)</f>
        <v>0</v>
      </c>
      <c r="FY110" s="1091">
        <f t="shared" si="833"/>
        <v>0</v>
      </c>
      <c r="FZ110" s="1091"/>
      <c r="GA110" s="1147">
        <f>IF(NOW()&gt;=DATE(YEAR(FU$2),MONTH(FU$2)+1,DAY(FU$2)),SUMIFS(AC_SOTIEN,AC_THANG,FU$2,AC_KM,$E110),SUMIFS(TF_SOTIEN,TF_THANG,FU$2,TF_KM,$E110))/ 1000</f>
        <v>0</v>
      </c>
      <c r="GB110" s="1091" t="str">
        <f t="shared" si="834"/>
        <v/>
      </c>
      <c r="GC110" s="1091" t="str">
        <f t="shared" si="981"/>
        <v/>
      </c>
      <c r="GD110" s="1147">
        <f t="shared" si="635"/>
        <v>0</v>
      </c>
      <c r="GE110" s="1091" t="str">
        <f t="shared" si="111"/>
        <v/>
      </c>
      <c r="GF110" s="1147">
        <f t="shared" si="636"/>
        <v>0</v>
      </c>
      <c r="GG110" s="1091" t="str">
        <f t="shared" si="113"/>
        <v/>
      </c>
      <c r="GH110" s="1146">
        <f>SUMIFS(BP_SOTIEN,BP_THANG,GH$2,BP_KM,$E110)/1000</f>
        <v>0</v>
      </c>
      <c r="GI110" s="1091">
        <f t="shared" si="835"/>
        <v>0</v>
      </c>
      <c r="GJ110" s="1091"/>
      <c r="GK110" s="1147">
        <f>IF(NOW()&gt;=DATE(YEAR(GH$2),MONTH(GH$2)+1,DAY(GH$2)),SUMIFS(TF_SOTIEN,TF_THANG,GH$2,TF_KM,$E110)/1000, GN110)</f>
        <v>0</v>
      </c>
      <c r="GL110" s="1091">
        <f t="shared" si="836"/>
        <v>0</v>
      </c>
      <c r="GM110" s="1091"/>
      <c r="GN110" s="1147">
        <f>IF(NOW()&gt;=DATE(YEAR(GH$2),MONTH(GH$2)+1,DAY(GH$2)),SUMIFS(AC_SOTIEN,AC_THANG,GH$2,AC_KM,$E110),SUMIFS(TF_SOTIEN,TF_THANG,GH$2,TF_KM,$E110))/ 1000</f>
        <v>0</v>
      </c>
      <c r="GO110" s="1091" t="str">
        <f t="shared" si="837"/>
        <v/>
      </c>
      <c r="GP110" s="1091" t="str">
        <f t="shared" si="982"/>
        <v/>
      </c>
      <c r="GQ110" s="1147">
        <f t="shared" si="643"/>
        <v>0</v>
      </c>
      <c r="GR110" s="1091" t="str">
        <f t="shared" si="118"/>
        <v/>
      </c>
      <c r="GS110" s="1147">
        <f t="shared" si="644"/>
        <v>0</v>
      </c>
      <c r="GT110" s="1091" t="str">
        <f t="shared" si="120"/>
        <v/>
      </c>
      <c r="GU110" s="1146">
        <f>SUMIFS(BP_SOTIEN,BP_THANG,GU$2,BP_KM,$E110)/1000</f>
        <v>0</v>
      </c>
      <c r="GV110" s="1091">
        <f t="shared" si="838"/>
        <v>0</v>
      </c>
      <c r="GW110" s="1091"/>
      <c r="GX110" s="1147">
        <f>IF(NOW()&gt;=DATE(YEAR(GU$2),MONTH(GU$2)+1,DAY(GU$2)),SUMIFS(TF_SOTIEN,TF_THANG,GU$2,TF_KM,$E110)/1000, HA110)</f>
        <v>0</v>
      </c>
      <c r="GY110" s="1091">
        <f t="shared" si="839"/>
        <v>0</v>
      </c>
      <c r="GZ110" s="1091"/>
      <c r="HA110" s="1147">
        <f>IF(NOW()&gt;=DATE(YEAR(GU$2),MONTH(GU$2)+1,DAY(GU$2)),SUMIFS(AC_SOTIEN,AC_THANG,GU$2,AC_KM,$E110),SUMIFS(TF_SOTIEN,TF_THANG,GU$2,TF_KM,$E110))/ 1000</f>
        <v>0</v>
      </c>
      <c r="HB110" s="1091" t="str">
        <f t="shared" si="840"/>
        <v/>
      </c>
      <c r="HC110" s="1091" t="str">
        <f t="shared" si="983"/>
        <v/>
      </c>
      <c r="HD110" s="1147">
        <f t="shared" si="651"/>
        <v>0</v>
      </c>
      <c r="HE110" s="1091" t="str">
        <f t="shared" si="125"/>
        <v/>
      </c>
      <c r="HF110" s="1147">
        <f t="shared" si="652"/>
        <v>0</v>
      </c>
      <c r="HG110" s="1091" t="str">
        <f t="shared" si="127"/>
        <v/>
      </c>
      <c r="HH110" s="1146">
        <f t="shared" si="924"/>
        <v>0</v>
      </c>
      <c r="HI110" s="1091">
        <f t="shared" si="841"/>
        <v>0</v>
      </c>
      <c r="HJ110" s="1091">
        <f t="shared" si="984"/>
        <v>0</v>
      </c>
      <c r="HK110" s="1147">
        <f t="shared" si="656"/>
        <v>0</v>
      </c>
      <c r="HL110" s="1091">
        <f t="shared" si="842"/>
        <v>0</v>
      </c>
      <c r="HM110" s="1091">
        <f t="shared" si="985"/>
        <v>0</v>
      </c>
      <c r="HN110" s="1147">
        <f t="shared" si="659"/>
        <v>0</v>
      </c>
      <c r="HO110" s="1091" t="str">
        <f t="shared" si="843"/>
        <v/>
      </c>
      <c r="HP110" s="1091" t="str">
        <f t="shared" si="986"/>
        <v/>
      </c>
      <c r="HQ110" s="1147">
        <f t="shared" si="662"/>
        <v>0</v>
      </c>
      <c r="HR110" s="1091" t="str">
        <f t="shared" si="135"/>
        <v/>
      </c>
      <c r="HS110" s="1147">
        <f t="shared" si="663"/>
        <v>0</v>
      </c>
      <c r="HT110" s="1091" t="str">
        <f t="shared" si="137"/>
        <v/>
      </c>
      <c r="HU110" s="1146">
        <f t="shared" si="925"/>
        <v>0</v>
      </c>
      <c r="HV110" s="1091">
        <f t="shared" si="844"/>
        <v>0</v>
      </c>
      <c r="HW110" s="1091">
        <f t="shared" si="987"/>
        <v>0</v>
      </c>
      <c r="HX110" s="1147">
        <f t="shared" si="667"/>
        <v>0</v>
      </c>
      <c r="HY110" s="1091">
        <f t="shared" si="845"/>
        <v>0</v>
      </c>
      <c r="HZ110" s="1091">
        <f t="shared" si="988"/>
        <v>0</v>
      </c>
      <c r="IA110" s="1147">
        <f t="shared" si="670"/>
        <v>0</v>
      </c>
      <c r="IB110" s="1091" t="str">
        <f t="shared" si="846"/>
        <v/>
      </c>
      <c r="IC110" s="1091" t="str">
        <f t="shared" si="989"/>
        <v/>
      </c>
      <c r="ID110" s="1147">
        <f t="shared" si="673"/>
        <v>0</v>
      </c>
      <c r="IE110" s="1091" t="str">
        <f t="shared" si="145"/>
        <v/>
      </c>
      <c r="IF110" s="1147">
        <f t="shared" si="674"/>
        <v>0</v>
      </c>
      <c r="IG110" s="1091" t="str">
        <f t="shared" si="147"/>
        <v/>
      </c>
      <c r="IH110" s="1146">
        <f t="shared" si="926"/>
        <v>0</v>
      </c>
      <c r="II110" s="1091">
        <f t="shared" si="847"/>
        <v>0</v>
      </c>
      <c r="IJ110" s="1091">
        <f t="shared" si="990"/>
        <v>0</v>
      </c>
      <c r="IK110" s="1147">
        <f t="shared" si="678"/>
        <v>0</v>
      </c>
      <c r="IL110" s="1091">
        <f t="shared" si="848"/>
        <v>0</v>
      </c>
      <c r="IM110" s="1091">
        <f t="shared" si="991"/>
        <v>0</v>
      </c>
      <c r="IN110" s="1147">
        <f t="shared" si="681"/>
        <v>0</v>
      </c>
      <c r="IO110" s="1091">
        <f t="shared" si="849"/>
        <v>0</v>
      </c>
      <c r="IP110" s="1091">
        <f t="shared" si="992"/>
        <v>0</v>
      </c>
      <c r="IQ110" s="1147">
        <f t="shared" si="684"/>
        <v>0</v>
      </c>
      <c r="IR110" s="1091" t="str">
        <f t="shared" si="1"/>
        <v/>
      </c>
      <c r="IS110" s="1147">
        <f t="shared" si="685"/>
        <v>0</v>
      </c>
      <c r="IT110" s="1091" t="str">
        <f t="shared" si="2"/>
        <v/>
      </c>
    </row>
    <row r="111" outlineLevel="1">
      <c r="A111" s="737"/>
      <c r="B111" s="737"/>
      <c r="C111" s="737"/>
      <c r="D111" s="737" t="s">
        <v>2871</v>
      </c>
      <c r="E111" s="737" t="s">
        <v>2872</v>
      </c>
      <c r="F111" s="1086">
        <v>642.0</v>
      </c>
      <c r="G111" s="1086">
        <v>2.0</v>
      </c>
      <c r="H111" s="1088">
        <f>SUMIFS(BP_SOTIEN,BP_THANG,H$2,BP_KM,$E111)/1000</f>
        <v>0</v>
      </c>
      <c r="I111" s="1091" t="str">
        <f t="shared" si="791"/>
        <v/>
      </c>
      <c r="J111" s="1091"/>
      <c r="K111" s="1090">
        <f>IF(NOW()&gt;=DATE(YEAR(H$2),MONTH(H$2)+1,DAY(H$2)),SUMIFS(TF_SOTIEN,TF_THANG,H$2,TF_KM,$E111)/1000, N111)</f>
        <v>0</v>
      </c>
      <c r="L111" s="1091">
        <f t="shared" si="792"/>
        <v>0</v>
      </c>
      <c r="M111" s="1091"/>
      <c r="N111" s="1090">
        <f>IF(NOW()&gt;=DATE(YEAR(H$2),MONTH(H$2)+1,DAY(H$2)),SUMIFS(AC_SOTIEN,AC_THANG,H$2,AC_KM,$E111),SUMIFS(TF_SOTIEN,TF_THANG,H$2,TF_KM,$E111))/ 1000</f>
        <v>0</v>
      </c>
      <c r="O111" s="1091">
        <f t="shared" si="793"/>
        <v>0</v>
      </c>
      <c r="P111" s="1091">
        <f t="shared" ref="P111:P112" si="993">IFERROR(N111/N$84,"")</f>
        <v>0</v>
      </c>
      <c r="Q111" s="1090">
        <f t="shared" si="518"/>
        <v>0</v>
      </c>
      <c r="R111" s="1091" t="str">
        <f t="shared" si="8"/>
        <v/>
      </c>
      <c r="S111" s="1090">
        <f t="shared" si="519"/>
        <v>0</v>
      </c>
      <c r="T111" s="1091" t="str">
        <f t="shared" si="10"/>
        <v/>
      </c>
      <c r="U111" s="1088">
        <f>SUMIFS(BP_SOTIEN,BP_THANG,U$2,BP_KM,$E111)/1000</f>
        <v>0</v>
      </c>
      <c r="V111" s="1091" t="str">
        <f t="shared" si="794"/>
        <v/>
      </c>
      <c r="W111" s="1091"/>
      <c r="X111" s="1090">
        <f>IF(NOW()&gt;=DATE(YEAR(U$2),MONTH(U$2)+1,DAY(U$2)),SUMIFS(TF_SOTIEN,TF_THANG,U$2,TF_KM,$E111)/1000, AA111)</f>
        <v>0</v>
      </c>
      <c r="Y111" s="1091" t="str">
        <f t="shared" si="795"/>
        <v/>
      </c>
      <c r="Z111" s="1091"/>
      <c r="AA111" s="1090">
        <f>IF(NOW()&gt;=DATE(YEAR(U$2),MONTH(U$2)+1,DAY(U$2)),SUMIFS(AC_SOTIEN,AC_THANG,U$2,AC_KM,$E111),SUMIFS(TF_SOTIEN,TF_THANG,U$2,TF_KM,$E111))/ 1000</f>
        <v>0</v>
      </c>
      <c r="AB111" s="1091">
        <f t="shared" si="796"/>
        <v>0</v>
      </c>
      <c r="AC111" s="1091">
        <f t="shared" ref="AC111:AC112" si="994">IFERROR(AA111/AA$84,"")</f>
        <v>0</v>
      </c>
      <c r="AD111" s="1090">
        <f t="shared" si="526"/>
        <v>0</v>
      </c>
      <c r="AE111" s="1091" t="str">
        <f t="shared" si="15"/>
        <v/>
      </c>
      <c r="AF111" s="1090">
        <f t="shared" si="527"/>
        <v>0</v>
      </c>
      <c r="AG111" s="1091" t="str">
        <f t="shared" si="17"/>
        <v/>
      </c>
      <c r="AH111" s="1088">
        <f>SUMIFS(BP_SOTIEN,BP_THANG,AH$2,BP_KM,$E111)/1000</f>
        <v>0</v>
      </c>
      <c r="AI111" s="1091" t="str">
        <f t="shared" si="797"/>
        <v/>
      </c>
      <c r="AJ111" s="1091"/>
      <c r="AK111" s="1090">
        <f>IF(NOW()&gt;=DATE(YEAR(AH$2),MONTH(AH$2)+1,DAY(AH$2)),SUMIFS(TF_SOTIEN,TF_THANG,AH$2,TF_KM,$E111)/1000, AN111)</f>
        <v>0</v>
      </c>
      <c r="AL111" s="1091">
        <f t="shared" si="798"/>
        <v>0</v>
      </c>
      <c r="AM111" s="1091"/>
      <c r="AN111" s="1090">
        <f>IF(NOW()&gt;=DATE(YEAR(AH$2),MONTH(AH$2)+1,DAY(AH$2)),SUMIFS(AC_SOTIEN,AC_THANG,AH$2,AC_KM,$E111),SUMIFS(TF_SOTIEN,TF_THANG,AH$2,TF_KM,$E111))/ 1000</f>
        <v>0</v>
      </c>
      <c r="AO111" s="1091">
        <f t="shared" si="799"/>
        <v>0</v>
      </c>
      <c r="AP111" s="1091">
        <f t="shared" ref="AP111:AP112" si="995">IFERROR(AN111/AN$84,"")</f>
        <v>0</v>
      </c>
      <c r="AQ111" s="1090">
        <f t="shared" si="534"/>
        <v>0</v>
      </c>
      <c r="AR111" s="1091" t="str">
        <f t="shared" si="22"/>
        <v/>
      </c>
      <c r="AS111" s="1090">
        <f t="shared" si="535"/>
        <v>0</v>
      </c>
      <c r="AT111" s="1091" t="str">
        <f t="shared" si="24"/>
        <v/>
      </c>
      <c r="AU111" s="1088">
        <f t="shared" si="916"/>
        <v>0</v>
      </c>
      <c r="AV111" s="1091" t="str">
        <f t="shared" si="800"/>
        <v/>
      </c>
      <c r="AW111" s="1091">
        <f t="shared" ref="AW111:AW112" si="996">IFERROR(AU111/AU$84,"")</f>
        <v>0</v>
      </c>
      <c r="AX111" s="1090">
        <f t="shared" si="917"/>
        <v>0</v>
      </c>
      <c r="AY111" s="1091">
        <f t="shared" si="801"/>
        <v>0</v>
      </c>
      <c r="AZ111" s="1091">
        <f t="shared" ref="AZ111:AZ112" si="997">IFERROR(AX111/AX$84,"")</f>
        <v>0</v>
      </c>
      <c r="BA111" s="1090">
        <f t="shared" si="918"/>
        <v>0</v>
      </c>
      <c r="BB111" s="1091">
        <f t="shared" si="802"/>
        <v>0</v>
      </c>
      <c r="BC111" s="1091">
        <f t="shared" ref="BC111:BC112" si="998">IFERROR(BA111/BA$84,"")</f>
        <v>0</v>
      </c>
      <c r="BD111" s="1090">
        <f t="shared" si="545"/>
        <v>0</v>
      </c>
      <c r="BE111" s="1091" t="str">
        <f t="shared" si="32"/>
        <v/>
      </c>
      <c r="BF111" s="1090">
        <f t="shared" si="546"/>
        <v>0</v>
      </c>
      <c r="BG111" s="1091" t="str">
        <f t="shared" si="34"/>
        <v/>
      </c>
      <c r="BH111" s="1088">
        <f>SUMIFS(BP_SOTIEN,BP_THANG,BH$2,BP_KM,$E111)/1000</f>
        <v>0</v>
      </c>
      <c r="BI111" s="1091">
        <f t="shared" si="803"/>
        <v>0</v>
      </c>
      <c r="BJ111" s="1091"/>
      <c r="BK111" s="1090">
        <f>IF(NOW()&gt;=DATE(YEAR(BH$2),MONTH(BH$2)+1,DAY(BH$2)),SUMIFS(TF_SOTIEN,TF_THANG,BH$2,TF_KM,$E111)/1000, BN111)</f>
        <v>0</v>
      </c>
      <c r="BL111" s="1091" t="str">
        <f t="shared" si="804"/>
        <v/>
      </c>
      <c r="BM111" s="1091"/>
      <c r="BN111" s="1090">
        <f>IF(NOW()&gt;=DATE(YEAR(BH$2),MONTH(BH$2)+1,DAY(BH$2)),SUMIFS(AC_SOTIEN,AC_THANG,BH$2,AC_KM,$E111),SUMIFS(TF_SOTIEN,TF_THANG,BH$2,TF_KM,$E111))/ 1000</f>
        <v>0</v>
      </c>
      <c r="BO111" s="1091">
        <f t="shared" si="805"/>
        <v>0</v>
      </c>
      <c r="BP111" s="1091">
        <f t="shared" ref="BP111:BP112" si="999">IFERROR(BN111/BN$84,"")</f>
        <v>0</v>
      </c>
      <c r="BQ111" s="1090">
        <f t="shared" si="553"/>
        <v>0</v>
      </c>
      <c r="BR111" s="1091" t="str">
        <f t="shared" si="39"/>
        <v/>
      </c>
      <c r="BS111" s="1090">
        <f t="shared" si="554"/>
        <v>0</v>
      </c>
      <c r="BT111" s="1091" t="str">
        <f t="shared" si="41"/>
        <v/>
      </c>
      <c r="BU111" s="1088">
        <f>SUMIFS(BP_SOTIEN,BP_THANG,BU$2,BP_KM,$E111)/1000</f>
        <v>0</v>
      </c>
      <c r="BV111" s="1091">
        <f t="shared" si="806"/>
        <v>0</v>
      </c>
      <c r="BW111" s="1091"/>
      <c r="BX111" s="1090">
        <f>IF(NOW()&gt;=DATE(YEAR(BU$2),MONTH(BU$2)+1,DAY(BU$2)),SUMIFS(TF_SOTIEN,TF_THANG,BU$2,TF_KM,$E111)/1000, CA111)</f>
        <v>0</v>
      </c>
      <c r="BY111" s="1091">
        <f t="shared" si="807"/>
        <v>0</v>
      </c>
      <c r="BZ111" s="1091"/>
      <c r="CA111" s="1090">
        <f>IF(NOW()&gt;=DATE(YEAR(BU$2),MONTH(BU$2)+1,DAY(BU$2)),SUMIFS(AC_SOTIEN,AC_THANG,BU$2,AC_KM,$E111),SUMIFS(TF_SOTIEN,TF_THANG,BU$2,TF_KM,$E111))/ 1000</f>
        <v>0</v>
      </c>
      <c r="CB111" s="1091">
        <f t="shared" si="808"/>
        <v>0</v>
      </c>
      <c r="CC111" s="1091">
        <f t="shared" ref="CC111:CC112" si="1000">IFERROR(CA111/CA$84,"")</f>
        <v>0</v>
      </c>
      <c r="CD111" s="1090">
        <f t="shared" si="561"/>
        <v>0</v>
      </c>
      <c r="CE111" s="1091" t="str">
        <f t="shared" si="46"/>
        <v/>
      </c>
      <c r="CF111" s="1090">
        <f t="shared" si="562"/>
        <v>0</v>
      </c>
      <c r="CG111" s="1091" t="str">
        <f t="shared" si="48"/>
        <v/>
      </c>
      <c r="CH111" s="1088">
        <f>SUMIFS(BP_SOTIEN,BP_THANG,CH$2,BP_KM,$E111)/1000</f>
        <v>0</v>
      </c>
      <c r="CI111" s="1091">
        <f t="shared" si="809"/>
        <v>0</v>
      </c>
      <c r="CJ111" s="1091"/>
      <c r="CK111" s="1090">
        <f>IF(NOW()&gt;=DATE(YEAR(CH$2),MONTH(CH$2)+1,DAY(CH$2)),SUMIFS(TF_SOTIEN,TF_THANG,CH$2,TF_KM,$E111)/1000, CN111)</f>
        <v>0</v>
      </c>
      <c r="CL111" s="1091" t="str">
        <f t="shared" si="810"/>
        <v/>
      </c>
      <c r="CM111" s="1091"/>
      <c r="CN111" s="1090">
        <f>IF(NOW()&gt;=DATE(YEAR(CH$2),MONTH(CH$2)+1,DAY(CH$2)),SUMIFS(AC_SOTIEN,AC_THANG,CH$2,AC_KM,$E111),SUMIFS(TF_SOTIEN,TF_THANG,CH$2,TF_KM,$E111))/ 1000</f>
        <v>0</v>
      </c>
      <c r="CO111" s="1091" t="str">
        <f t="shared" si="811"/>
        <v/>
      </c>
      <c r="CP111" s="1091" t="str">
        <f t="shared" ref="CP111:CP112" si="1001">IFERROR(CN111/CN$84,"")</f>
        <v/>
      </c>
      <c r="CQ111" s="1090">
        <f t="shared" si="569"/>
        <v>0</v>
      </c>
      <c r="CR111" s="1091" t="str">
        <f t="shared" si="53"/>
        <v/>
      </c>
      <c r="CS111" s="1090">
        <f t="shared" si="570"/>
        <v>0</v>
      </c>
      <c r="CT111" s="1091" t="str">
        <f t="shared" si="55"/>
        <v/>
      </c>
      <c r="CU111" s="1088">
        <f t="shared" si="919"/>
        <v>0</v>
      </c>
      <c r="CV111" s="1091">
        <f t="shared" si="812"/>
        <v>0</v>
      </c>
      <c r="CW111" s="1091">
        <f t="shared" ref="CW111:CW112" si="1002">IFERROR(CU111/CU$84,"")</f>
        <v>0</v>
      </c>
      <c r="CX111" s="1090">
        <f t="shared" si="920"/>
        <v>0</v>
      </c>
      <c r="CY111" s="1091">
        <f t="shared" si="814"/>
        <v>0</v>
      </c>
      <c r="CZ111" s="1091">
        <f t="shared" ref="CZ111:CZ112" si="1003">IFERROR(CX111/CX$84,"")</f>
        <v>0</v>
      </c>
      <c r="DA111" s="1090">
        <f t="shared" si="921"/>
        <v>0</v>
      </c>
      <c r="DB111" s="1091">
        <f t="shared" si="816"/>
        <v>0</v>
      </c>
      <c r="DC111" s="1091">
        <f t="shared" ref="DC111:DC112" si="1004">IFERROR(DA111/DA$84,"")</f>
        <v>0</v>
      </c>
      <c r="DD111" s="1090">
        <f t="shared" si="580"/>
        <v>0</v>
      </c>
      <c r="DE111" s="1091" t="str">
        <f t="shared" si="63"/>
        <v/>
      </c>
      <c r="DF111" s="1090">
        <f t="shared" si="581"/>
        <v>0</v>
      </c>
      <c r="DG111" s="1091" t="str">
        <f t="shared" si="65"/>
        <v/>
      </c>
      <c r="DH111" s="1088">
        <f t="shared" si="922"/>
        <v>0</v>
      </c>
      <c r="DI111" s="1091">
        <f t="shared" si="817"/>
        <v>0</v>
      </c>
      <c r="DJ111" s="1091">
        <f t="shared" ref="DJ111:DJ112" si="1005">IFERROR(DH111/DH$84,"")</f>
        <v>0</v>
      </c>
      <c r="DK111" s="1090">
        <f t="shared" si="585"/>
        <v>0</v>
      </c>
      <c r="DL111" s="1091">
        <f t="shared" si="818"/>
        <v>0</v>
      </c>
      <c r="DM111" s="1091">
        <f t="shared" ref="DM111:DM112" si="1006">IFERROR(DK111/DK$84,"")</f>
        <v>0</v>
      </c>
      <c r="DN111" s="1090">
        <f t="shared" si="588"/>
        <v>0</v>
      </c>
      <c r="DO111" s="1091">
        <f t="shared" si="819"/>
        <v>0</v>
      </c>
      <c r="DP111" s="1091">
        <f t="shared" ref="DP111:DP112" si="1007">IFERROR(DN111/DN$84,"")</f>
        <v>0</v>
      </c>
      <c r="DQ111" s="1090">
        <f t="shared" si="591"/>
        <v>0</v>
      </c>
      <c r="DR111" s="1091" t="str">
        <f t="shared" si="73"/>
        <v/>
      </c>
      <c r="DS111" s="1090">
        <f t="shared" si="592"/>
        <v>0</v>
      </c>
      <c r="DT111" s="1091" t="str">
        <f t="shared" si="75"/>
        <v/>
      </c>
      <c r="DU111" s="1088">
        <f>SUMIFS(BP_SOTIEN,BP_THANG,DU$2,BP_KM,$E111)/1000</f>
        <v>0</v>
      </c>
      <c r="DV111" s="1091">
        <f t="shared" si="820"/>
        <v>0</v>
      </c>
      <c r="DW111" s="1091"/>
      <c r="DX111" s="1090">
        <f>IF(NOW()&gt;=DATE(YEAR(DU$2),MONTH(DU$2)+1,DAY(DU$2)),SUMIFS(TF_SOTIEN,TF_THANG,DU$2,TF_KM,$E111)/1000, EA111)</f>
        <v>0</v>
      </c>
      <c r="DY111" s="1091">
        <f t="shared" si="821"/>
        <v>0</v>
      </c>
      <c r="DZ111" s="1091"/>
      <c r="EA111" s="1090">
        <f>IF(NOW()&gt;=DATE(YEAR(DU$2),MONTH(DU$2)+1,DAY(DU$2)),SUMIFS(AC_SOTIEN,AC_THANG,DU$2,AC_KM,$E111),SUMIFS(TF_SOTIEN,TF_THANG,DU$2,TF_KM,$E111))/ 1000</f>
        <v>0</v>
      </c>
      <c r="EB111" s="1091" t="str">
        <f t="shared" si="822"/>
        <v/>
      </c>
      <c r="EC111" s="1091" t="str">
        <f t="shared" ref="EC111:EC112" si="1008">IFERROR(EA111/EA$84,"")</f>
        <v/>
      </c>
      <c r="ED111" s="1090">
        <f t="shared" si="599"/>
        <v>0</v>
      </c>
      <c r="EE111" s="1091" t="str">
        <f t="shared" si="80"/>
        <v/>
      </c>
      <c r="EF111" s="1090">
        <f t="shared" si="600"/>
        <v>0</v>
      </c>
      <c r="EG111" s="1091" t="str">
        <f t="shared" si="82"/>
        <v/>
      </c>
      <c r="EH111" s="1088">
        <f>SUMIFS(BP_SOTIEN,BP_THANG,EH$2,BP_KM,$E111)/1000</f>
        <v>0</v>
      </c>
      <c r="EI111" s="1091">
        <f t="shared" si="823"/>
        <v>0</v>
      </c>
      <c r="EJ111" s="1091"/>
      <c r="EK111" s="1090">
        <f>IF(NOW()&gt;=DATE(YEAR(EH$2),MONTH(EH$2)+1,DAY(EH$2)),SUMIFS(TF_SOTIEN,TF_THANG,EH$2,TF_KM,$E111)/1000, EN111)</f>
        <v>0</v>
      </c>
      <c r="EL111" s="1091">
        <f t="shared" si="824"/>
        <v>0</v>
      </c>
      <c r="EM111" s="1091"/>
      <c r="EN111" s="1090">
        <f>IF(NOW()&gt;=DATE(YEAR(EH$2),MONTH(EH$2)+1,DAY(EH$2)),SUMIFS(AC_SOTIEN,AC_THANG,EH$2,AC_KM,$E111),SUMIFS(TF_SOTIEN,TF_THANG,EH$2,TF_KM,$E111))/ 1000</f>
        <v>0</v>
      </c>
      <c r="EO111" s="1091" t="str">
        <f t="shared" si="825"/>
        <v/>
      </c>
      <c r="EP111" s="1091" t="str">
        <f t="shared" ref="EP111:EP112" si="1009">IFERROR(EN111/EN$84,"")</f>
        <v/>
      </c>
      <c r="EQ111" s="1090">
        <f t="shared" si="607"/>
        <v>0</v>
      </c>
      <c r="ER111" s="1091" t="str">
        <f t="shared" si="87"/>
        <v/>
      </c>
      <c r="ES111" s="1090">
        <f t="shared" si="608"/>
        <v>0</v>
      </c>
      <c r="ET111" s="1091" t="str">
        <f t="shared" si="89"/>
        <v/>
      </c>
      <c r="EU111" s="1088">
        <f>SUMIFS(BP_SOTIEN,BP_THANG,EU$2,BP_KM,$E111)/1000</f>
        <v>0</v>
      </c>
      <c r="EV111" s="1091">
        <f t="shared" si="826"/>
        <v>0</v>
      </c>
      <c r="EW111" s="1091"/>
      <c r="EX111" s="1090">
        <f>IF(NOW()&gt;=DATE(YEAR(EU$2),MONTH(EU$2)+1,DAY(EU$2)),SUMIFS(TF_SOTIEN,TF_THANG,EU$2,TF_KM,$E111)/1000, FA111)</f>
        <v>0</v>
      </c>
      <c r="EY111" s="1091">
        <f t="shared" si="827"/>
        <v>0</v>
      </c>
      <c r="EZ111" s="1091"/>
      <c r="FA111" s="1090">
        <f>IF(NOW()&gt;=DATE(YEAR(EU$2),MONTH(EU$2)+1,DAY(EU$2)),SUMIFS(AC_SOTIEN,AC_THANG,EU$2,AC_KM,$E111),SUMIFS(TF_SOTIEN,TF_THANG,EU$2,TF_KM,$E111))/ 1000</f>
        <v>0</v>
      </c>
      <c r="FB111" s="1091" t="str">
        <f t="shared" si="828"/>
        <v/>
      </c>
      <c r="FC111" s="1091" t="str">
        <f t="shared" ref="FC111:FC112" si="1010">IFERROR(FA111/FA$84,"")</f>
        <v/>
      </c>
      <c r="FD111" s="1090">
        <f t="shared" si="616"/>
        <v>0</v>
      </c>
      <c r="FE111" s="1091" t="str">
        <f t="shared" si="94"/>
        <v/>
      </c>
      <c r="FF111" s="1090">
        <f t="shared" si="617"/>
        <v>0</v>
      </c>
      <c r="FG111" s="1091" t="str">
        <f t="shared" si="96"/>
        <v/>
      </c>
      <c r="FH111" s="1088">
        <f t="shared" si="923"/>
        <v>0</v>
      </c>
      <c r="FI111" s="1091">
        <f t="shared" si="829"/>
        <v>0</v>
      </c>
      <c r="FJ111" s="1091">
        <f t="shared" ref="FJ111:FJ112" si="1011">IFERROR(FH111/FH$84,"")</f>
        <v>0</v>
      </c>
      <c r="FK111" s="1090">
        <f t="shared" si="621"/>
        <v>0</v>
      </c>
      <c r="FL111" s="1091">
        <f t="shared" si="830"/>
        <v>0</v>
      </c>
      <c r="FM111" s="1091">
        <f t="shared" ref="FM111:FM112" si="1012">IFERROR(FK111/FK$84,"")</f>
        <v>0</v>
      </c>
      <c r="FN111" s="1090">
        <f t="shared" si="624"/>
        <v>0</v>
      </c>
      <c r="FO111" s="1091" t="str">
        <f t="shared" si="831"/>
        <v/>
      </c>
      <c r="FP111" s="1091" t="str">
        <f t="shared" ref="FP111:FP112" si="1013">IFERROR(FN111/FN$84,"")</f>
        <v/>
      </c>
      <c r="FQ111" s="1090">
        <f t="shared" si="627"/>
        <v>0</v>
      </c>
      <c r="FR111" s="1091" t="str">
        <f t="shared" si="104"/>
        <v/>
      </c>
      <c r="FS111" s="1090">
        <f t="shared" si="628"/>
        <v>0</v>
      </c>
      <c r="FT111" s="1091" t="str">
        <f t="shared" si="106"/>
        <v/>
      </c>
      <c r="FU111" s="1088">
        <f>SUMIFS(BP_SOTIEN,BP_THANG,FU$2,BP_KM,$E111)/1000</f>
        <v>0</v>
      </c>
      <c r="FV111" s="1091">
        <f t="shared" si="832"/>
        <v>0</v>
      </c>
      <c r="FW111" s="1091"/>
      <c r="FX111" s="1090">
        <f>IF(NOW()&gt;=DATE(YEAR(FU$2),MONTH(FU$2)+1,DAY(FU$2)),SUMIFS(TF_SOTIEN,TF_THANG,FU$2,TF_KM,$E111)/1000, GA111)</f>
        <v>0</v>
      </c>
      <c r="FY111" s="1091">
        <f t="shared" si="833"/>
        <v>0</v>
      </c>
      <c r="FZ111" s="1091"/>
      <c r="GA111" s="1090">
        <f>IF(NOW()&gt;=DATE(YEAR(FU$2),MONTH(FU$2)+1,DAY(FU$2)),SUMIFS(AC_SOTIEN,AC_THANG,FU$2,AC_KM,$E111),SUMIFS(TF_SOTIEN,TF_THANG,FU$2,TF_KM,$E111))/ 1000</f>
        <v>0</v>
      </c>
      <c r="GB111" s="1091" t="str">
        <f t="shared" si="834"/>
        <v/>
      </c>
      <c r="GC111" s="1091" t="str">
        <f t="shared" ref="GC111:GC112" si="1014">IFERROR(GA111/GA$84,"")</f>
        <v/>
      </c>
      <c r="GD111" s="1090">
        <f t="shared" si="635"/>
        <v>0</v>
      </c>
      <c r="GE111" s="1091" t="str">
        <f t="shared" si="111"/>
        <v/>
      </c>
      <c r="GF111" s="1090">
        <f t="shared" si="636"/>
        <v>0</v>
      </c>
      <c r="GG111" s="1091" t="str">
        <f t="shared" si="113"/>
        <v/>
      </c>
      <c r="GH111" s="1088">
        <f>SUMIFS(BP_SOTIEN,BP_THANG,GH$2,BP_KM,$E111)/1000</f>
        <v>0</v>
      </c>
      <c r="GI111" s="1091">
        <f t="shared" si="835"/>
        <v>0</v>
      </c>
      <c r="GJ111" s="1091"/>
      <c r="GK111" s="1090">
        <f>IF(NOW()&gt;=DATE(YEAR(GH$2),MONTH(GH$2)+1,DAY(GH$2)),SUMIFS(TF_SOTIEN,TF_THANG,GH$2,TF_KM,$E111)/1000, GN111)</f>
        <v>0</v>
      </c>
      <c r="GL111" s="1091">
        <f t="shared" si="836"/>
        <v>0</v>
      </c>
      <c r="GM111" s="1091"/>
      <c r="GN111" s="1090">
        <f>IF(NOW()&gt;=DATE(YEAR(GH$2),MONTH(GH$2)+1,DAY(GH$2)),SUMIFS(AC_SOTIEN,AC_THANG,GH$2,AC_KM,$E111),SUMIFS(TF_SOTIEN,TF_THANG,GH$2,TF_KM,$E111))/ 1000</f>
        <v>0</v>
      </c>
      <c r="GO111" s="1091" t="str">
        <f t="shared" si="837"/>
        <v/>
      </c>
      <c r="GP111" s="1091" t="str">
        <f t="shared" ref="GP111:GP112" si="1015">IFERROR(GN111/GN$84,"")</f>
        <v/>
      </c>
      <c r="GQ111" s="1090">
        <f t="shared" si="643"/>
        <v>0</v>
      </c>
      <c r="GR111" s="1091" t="str">
        <f t="shared" si="118"/>
        <v/>
      </c>
      <c r="GS111" s="1090">
        <f t="shared" si="644"/>
        <v>0</v>
      </c>
      <c r="GT111" s="1091" t="str">
        <f t="shared" si="120"/>
        <v/>
      </c>
      <c r="GU111" s="1088">
        <f>SUMIFS(BP_SOTIEN,BP_THANG,GU$2,BP_KM,$E111)/1000</f>
        <v>0</v>
      </c>
      <c r="GV111" s="1091">
        <f t="shared" si="838"/>
        <v>0</v>
      </c>
      <c r="GW111" s="1091"/>
      <c r="GX111" s="1090">
        <f>IF(NOW()&gt;=DATE(YEAR(GU$2),MONTH(GU$2)+1,DAY(GU$2)),SUMIFS(TF_SOTIEN,TF_THANG,GU$2,TF_KM,$E111)/1000, HA111)</f>
        <v>0</v>
      </c>
      <c r="GY111" s="1091">
        <f t="shared" si="839"/>
        <v>0</v>
      </c>
      <c r="GZ111" s="1091"/>
      <c r="HA111" s="1090">
        <f>IF(NOW()&gt;=DATE(YEAR(GU$2),MONTH(GU$2)+1,DAY(GU$2)),SUMIFS(AC_SOTIEN,AC_THANG,GU$2,AC_KM,$E111),SUMIFS(TF_SOTIEN,TF_THANG,GU$2,TF_KM,$E111))/ 1000</f>
        <v>0</v>
      </c>
      <c r="HB111" s="1091" t="str">
        <f t="shared" si="840"/>
        <v/>
      </c>
      <c r="HC111" s="1091" t="str">
        <f t="shared" ref="HC111:HC112" si="1016">IFERROR(HA111/HA$84,"")</f>
        <v/>
      </c>
      <c r="HD111" s="1090">
        <f t="shared" si="651"/>
        <v>0</v>
      </c>
      <c r="HE111" s="1091" t="str">
        <f t="shared" si="125"/>
        <v/>
      </c>
      <c r="HF111" s="1090">
        <f t="shared" si="652"/>
        <v>0</v>
      </c>
      <c r="HG111" s="1091" t="str">
        <f t="shared" si="127"/>
        <v/>
      </c>
      <c r="HH111" s="1088">
        <f t="shared" si="924"/>
        <v>0</v>
      </c>
      <c r="HI111" s="1091">
        <f t="shared" si="841"/>
        <v>0</v>
      </c>
      <c r="HJ111" s="1091">
        <f t="shared" ref="HJ111:HJ112" si="1017">IFERROR(HH111/HH$84,"")</f>
        <v>0</v>
      </c>
      <c r="HK111" s="1090">
        <f t="shared" si="656"/>
        <v>0</v>
      </c>
      <c r="HL111" s="1091">
        <f t="shared" si="842"/>
        <v>0</v>
      </c>
      <c r="HM111" s="1091">
        <f t="shared" ref="HM111:HM112" si="1018">IFERROR(HK111/HK$84,"")</f>
        <v>0</v>
      </c>
      <c r="HN111" s="1090">
        <f t="shared" si="659"/>
        <v>0</v>
      </c>
      <c r="HO111" s="1091" t="str">
        <f t="shared" si="843"/>
        <v/>
      </c>
      <c r="HP111" s="1091" t="str">
        <f t="shared" ref="HP111:HP112" si="1019">IFERROR(HN111/HN$84,"")</f>
        <v/>
      </c>
      <c r="HQ111" s="1090">
        <f t="shared" si="662"/>
        <v>0</v>
      </c>
      <c r="HR111" s="1091" t="str">
        <f t="shared" si="135"/>
        <v/>
      </c>
      <c r="HS111" s="1090">
        <f t="shared" si="663"/>
        <v>0</v>
      </c>
      <c r="HT111" s="1091" t="str">
        <f t="shared" si="137"/>
        <v/>
      </c>
      <c r="HU111" s="1088">
        <f t="shared" si="925"/>
        <v>0</v>
      </c>
      <c r="HV111" s="1091">
        <f t="shared" si="844"/>
        <v>0</v>
      </c>
      <c r="HW111" s="1091">
        <f t="shared" ref="HW111:HW112" si="1020">IFERROR(HU111/HU$84,"")</f>
        <v>0</v>
      </c>
      <c r="HX111" s="1090">
        <f t="shared" si="667"/>
        <v>0</v>
      </c>
      <c r="HY111" s="1091">
        <f t="shared" si="845"/>
        <v>0</v>
      </c>
      <c r="HZ111" s="1091">
        <f t="shared" ref="HZ111:HZ112" si="1021">IFERROR(HX111/HX$84,"")</f>
        <v>0</v>
      </c>
      <c r="IA111" s="1090">
        <f t="shared" si="670"/>
        <v>0</v>
      </c>
      <c r="IB111" s="1091" t="str">
        <f t="shared" si="846"/>
        <v/>
      </c>
      <c r="IC111" s="1091" t="str">
        <f t="shared" ref="IC111:IC112" si="1022">IFERROR(IA111/IA$84,"")</f>
        <v/>
      </c>
      <c r="ID111" s="1090">
        <f t="shared" si="673"/>
        <v>0</v>
      </c>
      <c r="IE111" s="1091" t="str">
        <f t="shared" si="145"/>
        <v/>
      </c>
      <c r="IF111" s="1090">
        <f t="shared" si="674"/>
        <v>0</v>
      </c>
      <c r="IG111" s="1091" t="str">
        <f t="shared" si="147"/>
        <v/>
      </c>
      <c r="IH111" s="1088">
        <f t="shared" si="926"/>
        <v>0</v>
      </c>
      <c r="II111" s="1091">
        <f t="shared" si="847"/>
        <v>0</v>
      </c>
      <c r="IJ111" s="1091">
        <f t="shared" ref="IJ111:IJ112" si="1023">IFERROR(IH111/IH$84,"")</f>
        <v>0</v>
      </c>
      <c r="IK111" s="1090">
        <f t="shared" si="678"/>
        <v>0</v>
      </c>
      <c r="IL111" s="1091">
        <f t="shared" si="848"/>
        <v>0</v>
      </c>
      <c r="IM111" s="1091">
        <f t="shared" ref="IM111:IM112" si="1024">IFERROR(IK111/IK$84,"")</f>
        <v>0</v>
      </c>
      <c r="IN111" s="1090">
        <f t="shared" si="681"/>
        <v>0</v>
      </c>
      <c r="IO111" s="1091">
        <f t="shared" si="849"/>
        <v>0</v>
      </c>
      <c r="IP111" s="1091">
        <f t="shared" ref="IP111:IP112" si="1025">IFERROR(IN111/IN$84,"")</f>
        <v>0</v>
      </c>
      <c r="IQ111" s="1090">
        <f t="shared" si="684"/>
        <v>0</v>
      </c>
      <c r="IR111" s="1091" t="str">
        <f t="shared" si="1"/>
        <v/>
      </c>
      <c r="IS111" s="1090">
        <f t="shared" si="685"/>
        <v>0</v>
      </c>
      <c r="IT111" s="1091" t="str">
        <f t="shared" si="2"/>
        <v/>
      </c>
    </row>
    <row r="112" outlineLevel="1">
      <c r="A112" s="737"/>
      <c r="B112" s="737"/>
      <c r="C112" s="737"/>
      <c r="D112" s="737" t="s">
        <v>2873</v>
      </c>
      <c r="E112" s="737" t="s">
        <v>382</v>
      </c>
      <c r="F112" s="1086">
        <v>642.0</v>
      </c>
      <c r="G112" s="1086">
        <v>2.0</v>
      </c>
      <c r="H112" s="1088">
        <f>SUMIFS(BP_SOTIEN,BP_THANG,H$2,BP_KM,$E112)/1000</f>
        <v>4165</v>
      </c>
      <c r="I112" s="1091" t="str">
        <f t="shared" si="791"/>
        <v/>
      </c>
      <c r="J112" s="1091"/>
      <c r="K112" s="1090">
        <f>IF(NOW()&gt;=DATE(YEAR(H$2),MONTH(H$2)+1,DAY(H$2)),SUMIFS(TF_SOTIEN,TF_THANG,H$2,TF_KM,$E112)/1000, N112)</f>
        <v>4165</v>
      </c>
      <c r="L112" s="1091">
        <f t="shared" si="792"/>
        <v>0.03470833333</v>
      </c>
      <c r="M112" s="1091"/>
      <c r="N112" s="1090">
        <f>IF(NOW()&gt;=DATE(YEAR(H$2),MONTH(H$2)+1,DAY(H$2)),SUMIFS(AC_SOTIEN,AC_THANG,H$2,AC_KM,$E112),SUMIFS(TF_SOTIEN,TF_THANG,H$2,TF_KM,$E112))/ 1000</f>
        <v>0</v>
      </c>
      <c r="O112" s="1091">
        <f t="shared" si="793"/>
        <v>0</v>
      </c>
      <c r="P112" s="1091">
        <f t="shared" si="993"/>
        <v>0</v>
      </c>
      <c r="Q112" s="1090">
        <f t="shared" si="518"/>
        <v>-4165</v>
      </c>
      <c r="R112" s="1091">
        <f t="shared" si="8"/>
        <v>-1</v>
      </c>
      <c r="S112" s="1090">
        <f t="shared" si="519"/>
        <v>-4165</v>
      </c>
      <c r="T112" s="1091">
        <f t="shared" si="10"/>
        <v>-1</v>
      </c>
      <c r="U112" s="1088">
        <f>SUMIFS(BP_SOTIEN,BP_THANG,U$2,BP_KM,$E112)/1000</f>
        <v>4165</v>
      </c>
      <c r="V112" s="1091" t="str">
        <f t="shared" si="794"/>
        <v/>
      </c>
      <c r="W112" s="1091"/>
      <c r="X112" s="1090">
        <f>IF(NOW()&gt;=DATE(YEAR(U$2),MONTH(U$2)+1,DAY(U$2)),SUMIFS(TF_SOTIEN,TF_THANG,U$2,TF_KM,$E112)/1000, AA112)</f>
        <v>0</v>
      </c>
      <c r="Y112" s="1091" t="str">
        <f t="shared" si="795"/>
        <v/>
      </c>
      <c r="Z112" s="1091"/>
      <c r="AA112" s="1090">
        <f>IF(NOW()&gt;=DATE(YEAR(U$2),MONTH(U$2)+1,DAY(U$2)),SUMIFS(AC_SOTIEN,AC_THANG,U$2,AC_KM,$E112),SUMIFS(TF_SOTIEN,TF_THANG,U$2,TF_KM,$E112))/ 1000</f>
        <v>310</v>
      </c>
      <c r="AB112" s="1091">
        <f t="shared" si="796"/>
        <v>0.001722222222</v>
      </c>
      <c r="AC112" s="1091">
        <f t="shared" si="994"/>
        <v>0.002151376037</v>
      </c>
      <c r="AD112" s="1090">
        <f t="shared" si="526"/>
        <v>-3855</v>
      </c>
      <c r="AE112" s="1091">
        <f t="shared" si="15"/>
        <v>-0.9255702281</v>
      </c>
      <c r="AF112" s="1090">
        <f t="shared" si="527"/>
        <v>310</v>
      </c>
      <c r="AG112" s="1091" t="str">
        <f t="shared" si="17"/>
        <v/>
      </c>
      <c r="AH112" s="1088">
        <f>SUMIFS(BP_SOTIEN,BP_THANG,AH$2,BP_KM,$E112)/1000</f>
        <v>4165</v>
      </c>
      <c r="AI112" s="1091" t="str">
        <f t="shared" si="797"/>
        <v/>
      </c>
      <c r="AJ112" s="1091"/>
      <c r="AK112" s="1090">
        <f>IF(NOW()&gt;=DATE(YEAR(AH$2),MONTH(AH$2)+1,DAY(AH$2)),SUMIFS(TF_SOTIEN,TF_THANG,AH$2,TF_KM,$E112)/1000, AN112)</f>
        <v>0</v>
      </c>
      <c r="AL112" s="1091">
        <f t="shared" si="798"/>
        <v>0</v>
      </c>
      <c r="AM112" s="1091"/>
      <c r="AN112" s="1090">
        <f>IF(NOW()&gt;=DATE(YEAR(AH$2),MONTH(AH$2)+1,DAY(AH$2)),SUMIFS(AC_SOTIEN,AC_THANG,AH$2,AC_KM,$E112),SUMIFS(TF_SOTIEN,TF_THANG,AH$2,TF_KM,$E112))/ 1000</f>
        <v>8320.678</v>
      </c>
      <c r="AO112" s="1091">
        <f t="shared" si="799"/>
        <v>0.01245610479</v>
      </c>
      <c r="AP112" s="1091">
        <f t="shared" si="995"/>
        <v>0.04035055921</v>
      </c>
      <c r="AQ112" s="1090">
        <f t="shared" si="534"/>
        <v>4155.678</v>
      </c>
      <c r="AR112" s="1091">
        <f t="shared" si="22"/>
        <v>0.9977618247</v>
      </c>
      <c r="AS112" s="1090">
        <f t="shared" si="535"/>
        <v>8320.678</v>
      </c>
      <c r="AT112" s="1091" t="str">
        <f t="shared" si="24"/>
        <v/>
      </c>
      <c r="AU112" s="1088">
        <f t="shared" si="916"/>
        <v>12495</v>
      </c>
      <c r="AV112" s="1091" t="str">
        <f t="shared" si="800"/>
        <v/>
      </c>
      <c r="AW112" s="1091">
        <f t="shared" si="996"/>
        <v>0.01051252669</v>
      </c>
      <c r="AX112" s="1090">
        <f t="shared" si="917"/>
        <v>4165</v>
      </c>
      <c r="AY112" s="1091">
        <f t="shared" si="801"/>
        <v>0.001119623656</v>
      </c>
      <c r="AZ112" s="1091">
        <f t="shared" si="997"/>
        <v>0.005948597746</v>
      </c>
      <c r="BA112" s="1090">
        <f t="shared" si="918"/>
        <v>8630.678</v>
      </c>
      <c r="BB112" s="1091">
        <f t="shared" si="802"/>
        <v>0.007264880471</v>
      </c>
      <c r="BC112" s="1091">
        <f t="shared" si="998"/>
        <v>0.01863827666</v>
      </c>
      <c r="BD112" s="1090">
        <f t="shared" si="545"/>
        <v>-3864.322</v>
      </c>
      <c r="BE112" s="1091">
        <f t="shared" si="32"/>
        <v>-0.3092694678</v>
      </c>
      <c r="BF112" s="1090">
        <f t="shared" si="546"/>
        <v>4465.678</v>
      </c>
      <c r="BG112" s="1091">
        <f t="shared" si="34"/>
        <v>1.072191597</v>
      </c>
      <c r="BH112" s="1088">
        <f>SUMIFS(BP_SOTIEN,BP_THANG,BH$2,BP_KM,$E112)/1000</f>
        <v>4165</v>
      </c>
      <c r="BI112" s="1091">
        <f t="shared" si="803"/>
        <v>0.00104125</v>
      </c>
      <c r="BJ112" s="1091"/>
      <c r="BK112" s="1090">
        <f>IF(NOW()&gt;=DATE(YEAR(BH$2),MONTH(BH$2)+1,DAY(BH$2)),SUMIFS(TF_SOTIEN,TF_THANG,BH$2,TF_KM,$E112)/1000, BN112)</f>
        <v>0</v>
      </c>
      <c r="BL112" s="1091" t="str">
        <f t="shared" si="804"/>
        <v/>
      </c>
      <c r="BM112" s="1091"/>
      <c r="BN112" s="1090">
        <f>IF(NOW()&gt;=DATE(YEAR(BH$2),MONTH(BH$2)+1,DAY(BH$2)),SUMIFS(AC_SOTIEN,AC_THANG,BH$2,AC_KM,$E112),SUMIFS(TF_SOTIEN,TF_THANG,BH$2,TF_KM,$E112))/ 1000</f>
        <v>160</v>
      </c>
      <c r="BO112" s="1091">
        <f t="shared" si="805"/>
        <v>0.000061513856</v>
      </c>
      <c r="BP112" s="1091">
        <f t="shared" si="999"/>
        <v>0.0007547596749</v>
      </c>
      <c r="BQ112" s="1090">
        <f t="shared" si="553"/>
        <v>-4005</v>
      </c>
      <c r="BR112" s="1091">
        <f t="shared" si="39"/>
        <v>-0.9615846339</v>
      </c>
      <c r="BS112" s="1090">
        <f t="shared" si="554"/>
        <v>160</v>
      </c>
      <c r="BT112" s="1091" t="str">
        <f t="shared" si="41"/>
        <v/>
      </c>
      <c r="BU112" s="1088">
        <f>SUMIFS(BP_SOTIEN,BP_THANG,BU$2,BP_KM,$E112)/1000</f>
        <v>0</v>
      </c>
      <c r="BV112" s="1091">
        <f t="shared" si="806"/>
        <v>0</v>
      </c>
      <c r="BW112" s="1091"/>
      <c r="BX112" s="1090">
        <f>IF(NOW()&gt;=DATE(YEAR(BU$2),MONTH(BU$2)+1,DAY(BU$2)),SUMIFS(TF_SOTIEN,TF_THANG,BU$2,TF_KM,$E112)/1000, CA112)</f>
        <v>0</v>
      </c>
      <c r="BY112" s="1091">
        <f t="shared" si="807"/>
        <v>0</v>
      </c>
      <c r="BZ112" s="1091"/>
      <c r="CA112" s="1090">
        <f>IF(NOW()&gt;=DATE(YEAR(BU$2),MONTH(BU$2)+1,DAY(BU$2)),SUMIFS(AC_SOTIEN,AC_THANG,BU$2,AC_KM,$E112),SUMIFS(TF_SOTIEN,TF_THANG,BU$2,TF_KM,$E112))/ 1000</f>
        <v>5541</v>
      </c>
      <c r="CB112" s="1091">
        <f t="shared" si="808"/>
        <v>0.009973504784</v>
      </c>
      <c r="CC112" s="1091">
        <f t="shared" si="1000"/>
        <v>0.0221034901</v>
      </c>
      <c r="CD112" s="1090">
        <f t="shared" si="561"/>
        <v>5541</v>
      </c>
      <c r="CE112" s="1091" t="str">
        <f t="shared" si="46"/>
        <v/>
      </c>
      <c r="CF112" s="1090">
        <f t="shared" si="562"/>
        <v>5541</v>
      </c>
      <c r="CG112" s="1091" t="str">
        <f t="shared" si="48"/>
        <v/>
      </c>
      <c r="CH112" s="1088">
        <f>SUMIFS(BP_SOTIEN,BP_THANG,CH$2,BP_KM,$E112)/1000</f>
        <v>0</v>
      </c>
      <c r="CI112" s="1091">
        <f t="shared" si="809"/>
        <v>0</v>
      </c>
      <c r="CJ112" s="1091"/>
      <c r="CK112" s="1090">
        <f>IF(NOW()&gt;=DATE(YEAR(CH$2),MONTH(CH$2)+1,DAY(CH$2)),SUMIFS(TF_SOTIEN,TF_THANG,CH$2,TF_KM,$E112)/1000, CN112)</f>
        <v>0</v>
      </c>
      <c r="CL112" s="1091" t="str">
        <f t="shared" si="810"/>
        <v/>
      </c>
      <c r="CM112" s="1091"/>
      <c r="CN112" s="1090">
        <f>IF(NOW()&gt;=DATE(YEAR(CH$2),MONTH(CH$2)+1,DAY(CH$2)),SUMIFS(AC_SOTIEN,AC_THANG,CH$2,AC_KM,$E112),SUMIFS(TF_SOTIEN,TF_THANG,CH$2,TF_KM,$E112))/ 1000</f>
        <v>0</v>
      </c>
      <c r="CO112" s="1091" t="str">
        <f t="shared" si="811"/>
        <v/>
      </c>
      <c r="CP112" s="1091" t="str">
        <f t="shared" si="1001"/>
        <v/>
      </c>
      <c r="CQ112" s="1090">
        <f t="shared" si="569"/>
        <v>0</v>
      </c>
      <c r="CR112" s="1091" t="str">
        <f t="shared" si="53"/>
        <v/>
      </c>
      <c r="CS112" s="1090">
        <f t="shared" si="570"/>
        <v>0</v>
      </c>
      <c r="CT112" s="1091" t="str">
        <f t="shared" si="55"/>
        <v/>
      </c>
      <c r="CU112" s="1088">
        <f t="shared" si="919"/>
        <v>4165</v>
      </c>
      <c r="CV112" s="1091">
        <f t="shared" si="812"/>
        <v>0.0003470833333</v>
      </c>
      <c r="CW112" s="1091">
        <f t="shared" si="1002"/>
        <v>0.003537900127</v>
      </c>
      <c r="CX112" s="1090">
        <f t="shared" si="920"/>
        <v>0</v>
      </c>
      <c r="CY112" s="1091">
        <f t="shared" si="814"/>
        <v>0</v>
      </c>
      <c r="CZ112" s="1091">
        <f t="shared" si="1003"/>
        <v>0</v>
      </c>
      <c r="DA112" s="1090">
        <f t="shared" si="921"/>
        <v>5701</v>
      </c>
      <c r="DB112" s="1091">
        <f t="shared" si="816"/>
        <v>0.001806050284</v>
      </c>
      <c r="DC112" s="1091">
        <f t="shared" si="1004"/>
        <v>0.01232189339</v>
      </c>
      <c r="DD112" s="1090">
        <f t="shared" si="580"/>
        <v>1536</v>
      </c>
      <c r="DE112" s="1091">
        <f t="shared" si="63"/>
        <v>0.368787515</v>
      </c>
      <c r="DF112" s="1090">
        <f t="shared" si="581"/>
        <v>5701</v>
      </c>
      <c r="DG112" s="1091" t="str">
        <f t="shared" si="65"/>
        <v/>
      </c>
      <c r="DH112" s="1088">
        <f t="shared" si="922"/>
        <v>16660</v>
      </c>
      <c r="DI112" s="1091">
        <f t="shared" si="817"/>
        <v>0.001388333333</v>
      </c>
      <c r="DJ112" s="1091">
        <f t="shared" si="1005"/>
        <v>0.007041914183</v>
      </c>
      <c r="DK112" s="1090">
        <f t="shared" si="585"/>
        <v>4165</v>
      </c>
      <c r="DL112" s="1091">
        <f t="shared" si="818"/>
        <v>0.0007987409648</v>
      </c>
      <c r="DM112" s="1091">
        <f t="shared" si="1006"/>
        <v>0.002781186419</v>
      </c>
      <c r="DN112" s="1090">
        <f t="shared" si="588"/>
        <v>14331.678</v>
      </c>
      <c r="DO112" s="1091">
        <f t="shared" si="819"/>
        <v>0.003298724489</v>
      </c>
      <c r="DP112" s="1091">
        <f t="shared" si="1007"/>
        <v>0.01548141422</v>
      </c>
      <c r="DQ112" s="1090">
        <f t="shared" si="591"/>
        <v>-2328.322</v>
      </c>
      <c r="DR112" s="1091">
        <f t="shared" si="73"/>
        <v>-0.1397552221</v>
      </c>
      <c r="DS112" s="1090">
        <f t="shared" si="592"/>
        <v>10166.678</v>
      </c>
      <c r="DT112" s="1091">
        <f t="shared" si="75"/>
        <v>2.440979112</v>
      </c>
      <c r="DU112" s="1088">
        <f>SUMIFS(BP_SOTIEN,BP_THANG,DU$2,BP_KM,$E112)/1000</f>
        <v>0</v>
      </c>
      <c r="DV112" s="1091">
        <f t="shared" si="820"/>
        <v>0</v>
      </c>
      <c r="DW112" s="1091"/>
      <c r="DX112" s="1090">
        <f>IF(NOW()&gt;=DATE(YEAR(DU$2),MONTH(DU$2)+1,DAY(DU$2)),SUMIFS(TF_SOTIEN,TF_THANG,DU$2,TF_KM,$E112)/1000, EA112)</f>
        <v>0</v>
      </c>
      <c r="DY112" s="1091">
        <f t="shared" si="821"/>
        <v>0</v>
      </c>
      <c r="DZ112" s="1091"/>
      <c r="EA112" s="1090">
        <f>IF(NOW()&gt;=DATE(YEAR(DU$2),MONTH(DU$2)+1,DAY(DU$2)),SUMIFS(AC_SOTIEN,AC_THANG,DU$2,AC_KM,$E112),SUMIFS(TF_SOTIEN,TF_THANG,DU$2,TF_KM,$E112))/ 1000</f>
        <v>0</v>
      </c>
      <c r="EB112" s="1091" t="str">
        <f t="shared" si="822"/>
        <v/>
      </c>
      <c r="EC112" s="1091" t="str">
        <f t="shared" si="1008"/>
        <v/>
      </c>
      <c r="ED112" s="1090">
        <f t="shared" si="599"/>
        <v>0</v>
      </c>
      <c r="EE112" s="1091" t="str">
        <f t="shared" si="80"/>
        <v/>
      </c>
      <c r="EF112" s="1090">
        <f t="shared" si="600"/>
        <v>0</v>
      </c>
      <c r="EG112" s="1091" t="str">
        <f t="shared" si="82"/>
        <v/>
      </c>
      <c r="EH112" s="1088">
        <f>SUMIFS(BP_SOTIEN,BP_THANG,EH$2,BP_KM,$E112)/1000</f>
        <v>0</v>
      </c>
      <c r="EI112" s="1091">
        <f t="shared" si="823"/>
        <v>0</v>
      </c>
      <c r="EJ112" s="1091"/>
      <c r="EK112" s="1090">
        <f>IF(NOW()&gt;=DATE(YEAR(EH$2),MONTH(EH$2)+1,DAY(EH$2)),SUMIFS(TF_SOTIEN,TF_THANG,EH$2,TF_KM,$E112)/1000, EN112)</f>
        <v>0</v>
      </c>
      <c r="EL112" s="1091">
        <f t="shared" si="824"/>
        <v>0</v>
      </c>
      <c r="EM112" s="1091"/>
      <c r="EN112" s="1090">
        <f>IF(NOW()&gt;=DATE(YEAR(EH$2),MONTH(EH$2)+1,DAY(EH$2)),SUMIFS(AC_SOTIEN,AC_THANG,EH$2,AC_KM,$E112),SUMIFS(TF_SOTIEN,TF_THANG,EH$2,TF_KM,$E112))/ 1000</f>
        <v>0</v>
      </c>
      <c r="EO112" s="1091" t="str">
        <f t="shared" si="825"/>
        <v/>
      </c>
      <c r="EP112" s="1091" t="str">
        <f t="shared" si="1009"/>
        <v/>
      </c>
      <c r="EQ112" s="1090">
        <f t="shared" si="607"/>
        <v>0</v>
      </c>
      <c r="ER112" s="1091" t="str">
        <f t="shared" si="87"/>
        <v/>
      </c>
      <c r="ES112" s="1090">
        <f t="shared" si="608"/>
        <v>0</v>
      </c>
      <c r="ET112" s="1091" t="str">
        <f t="shared" si="89"/>
        <v/>
      </c>
      <c r="EU112" s="1088">
        <f>SUMIFS(BP_SOTIEN,BP_THANG,EU$2,BP_KM,$E112)/1000</f>
        <v>0</v>
      </c>
      <c r="EV112" s="1091">
        <f t="shared" si="826"/>
        <v>0</v>
      </c>
      <c r="EW112" s="1091"/>
      <c r="EX112" s="1090">
        <f>IF(NOW()&gt;=DATE(YEAR(EU$2),MONTH(EU$2)+1,DAY(EU$2)),SUMIFS(TF_SOTIEN,TF_THANG,EU$2,TF_KM,$E112)/1000, FA112)</f>
        <v>0</v>
      </c>
      <c r="EY112" s="1091">
        <f t="shared" si="827"/>
        <v>0</v>
      </c>
      <c r="EZ112" s="1091"/>
      <c r="FA112" s="1090">
        <f>IF(NOW()&gt;=DATE(YEAR(EU$2),MONTH(EU$2)+1,DAY(EU$2)),SUMIFS(AC_SOTIEN,AC_THANG,EU$2,AC_KM,$E112),SUMIFS(TF_SOTIEN,TF_THANG,EU$2,TF_KM,$E112))/ 1000</f>
        <v>0</v>
      </c>
      <c r="FB112" s="1091" t="str">
        <f t="shared" si="828"/>
        <v/>
      </c>
      <c r="FC112" s="1091" t="str">
        <f t="shared" si="1010"/>
        <v/>
      </c>
      <c r="FD112" s="1090">
        <f t="shared" si="616"/>
        <v>0</v>
      </c>
      <c r="FE112" s="1091" t="str">
        <f t="shared" si="94"/>
        <v/>
      </c>
      <c r="FF112" s="1090">
        <f t="shared" si="617"/>
        <v>0</v>
      </c>
      <c r="FG112" s="1091" t="str">
        <f t="shared" si="96"/>
        <v/>
      </c>
      <c r="FH112" s="1088">
        <f t="shared" si="923"/>
        <v>0</v>
      </c>
      <c r="FI112" s="1091">
        <f t="shared" si="829"/>
        <v>0</v>
      </c>
      <c r="FJ112" s="1091">
        <f t="shared" si="1011"/>
        <v>0</v>
      </c>
      <c r="FK112" s="1090">
        <f t="shared" si="621"/>
        <v>0</v>
      </c>
      <c r="FL112" s="1091">
        <f t="shared" si="830"/>
        <v>0</v>
      </c>
      <c r="FM112" s="1091">
        <f t="shared" si="1012"/>
        <v>0</v>
      </c>
      <c r="FN112" s="1090">
        <f t="shared" si="624"/>
        <v>0</v>
      </c>
      <c r="FO112" s="1091" t="str">
        <f t="shared" si="831"/>
        <v/>
      </c>
      <c r="FP112" s="1091" t="str">
        <f t="shared" si="1013"/>
        <v/>
      </c>
      <c r="FQ112" s="1090">
        <f t="shared" si="627"/>
        <v>0</v>
      </c>
      <c r="FR112" s="1091" t="str">
        <f t="shared" si="104"/>
        <v/>
      </c>
      <c r="FS112" s="1090">
        <f t="shared" si="628"/>
        <v>0</v>
      </c>
      <c r="FT112" s="1091" t="str">
        <f t="shared" si="106"/>
        <v/>
      </c>
      <c r="FU112" s="1088">
        <f>SUMIFS(BP_SOTIEN,BP_THANG,FU$2,BP_KM,$E112)/1000</f>
        <v>0</v>
      </c>
      <c r="FV112" s="1091">
        <f t="shared" si="832"/>
        <v>0</v>
      </c>
      <c r="FW112" s="1091"/>
      <c r="FX112" s="1090">
        <f>IF(NOW()&gt;=DATE(YEAR(FU$2),MONTH(FU$2)+1,DAY(FU$2)),SUMIFS(TF_SOTIEN,TF_THANG,FU$2,TF_KM,$E112)/1000, GA112)</f>
        <v>0</v>
      </c>
      <c r="FY112" s="1091">
        <f t="shared" si="833"/>
        <v>0</v>
      </c>
      <c r="FZ112" s="1091"/>
      <c r="GA112" s="1090">
        <f>IF(NOW()&gt;=DATE(YEAR(FU$2),MONTH(FU$2)+1,DAY(FU$2)),SUMIFS(AC_SOTIEN,AC_THANG,FU$2,AC_KM,$E112),SUMIFS(TF_SOTIEN,TF_THANG,FU$2,TF_KM,$E112))/ 1000</f>
        <v>0</v>
      </c>
      <c r="GB112" s="1091" t="str">
        <f t="shared" si="834"/>
        <v/>
      </c>
      <c r="GC112" s="1091" t="str">
        <f t="shared" si="1014"/>
        <v/>
      </c>
      <c r="GD112" s="1090">
        <f t="shared" si="635"/>
        <v>0</v>
      </c>
      <c r="GE112" s="1091" t="str">
        <f t="shared" si="111"/>
        <v/>
      </c>
      <c r="GF112" s="1090">
        <f t="shared" si="636"/>
        <v>0</v>
      </c>
      <c r="GG112" s="1091" t="str">
        <f t="shared" si="113"/>
        <v/>
      </c>
      <c r="GH112" s="1088">
        <f>SUMIFS(BP_SOTIEN,BP_THANG,GH$2,BP_KM,$E112)/1000</f>
        <v>0</v>
      </c>
      <c r="GI112" s="1091">
        <f t="shared" si="835"/>
        <v>0</v>
      </c>
      <c r="GJ112" s="1091"/>
      <c r="GK112" s="1090">
        <f>IF(NOW()&gt;=DATE(YEAR(GH$2),MONTH(GH$2)+1,DAY(GH$2)),SUMIFS(TF_SOTIEN,TF_THANG,GH$2,TF_KM,$E112)/1000, GN112)</f>
        <v>0</v>
      </c>
      <c r="GL112" s="1091">
        <f t="shared" si="836"/>
        <v>0</v>
      </c>
      <c r="GM112" s="1091"/>
      <c r="GN112" s="1090">
        <f>IF(NOW()&gt;=DATE(YEAR(GH$2),MONTH(GH$2)+1,DAY(GH$2)),SUMIFS(AC_SOTIEN,AC_THANG,GH$2,AC_KM,$E112),SUMIFS(TF_SOTIEN,TF_THANG,GH$2,TF_KM,$E112))/ 1000</f>
        <v>0</v>
      </c>
      <c r="GO112" s="1091" t="str">
        <f t="shared" si="837"/>
        <v/>
      </c>
      <c r="GP112" s="1091" t="str">
        <f t="shared" si="1015"/>
        <v/>
      </c>
      <c r="GQ112" s="1090">
        <f t="shared" si="643"/>
        <v>0</v>
      </c>
      <c r="GR112" s="1091" t="str">
        <f t="shared" si="118"/>
        <v/>
      </c>
      <c r="GS112" s="1090">
        <f t="shared" si="644"/>
        <v>0</v>
      </c>
      <c r="GT112" s="1091" t="str">
        <f t="shared" si="120"/>
        <v/>
      </c>
      <c r="GU112" s="1088">
        <f>SUMIFS(BP_SOTIEN,BP_THANG,GU$2,BP_KM,$E112)/1000</f>
        <v>0</v>
      </c>
      <c r="GV112" s="1091">
        <f t="shared" si="838"/>
        <v>0</v>
      </c>
      <c r="GW112" s="1091"/>
      <c r="GX112" s="1090">
        <f>IF(NOW()&gt;=DATE(YEAR(GU$2),MONTH(GU$2)+1,DAY(GU$2)),SUMIFS(TF_SOTIEN,TF_THANG,GU$2,TF_KM,$E112)/1000, HA112)</f>
        <v>0</v>
      </c>
      <c r="GY112" s="1091">
        <f t="shared" si="839"/>
        <v>0</v>
      </c>
      <c r="GZ112" s="1091"/>
      <c r="HA112" s="1090">
        <f>IF(NOW()&gt;=DATE(YEAR(GU$2),MONTH(GU$2)+1,DAY(GU$2)),SUMIFS(AC_SOTIEN,AC_THANG,GU$2,AC_KM,$E112),SUMIFS(TF_SOTIEN,TF_THANG,GU$2,TF_KM,$E112))/ 1000</f>
        <v>0</v>
      </c>
      <c r="HB112" s="1091" t="str">
        <f t="shared" si="840"/>
        <v/>
      </c>
      <c r="HC112" s="1091" t="str">
        <f t="shared" si="1016"/>
        <v/>
      </c>
      <c r="HD112" s="1090">
        <f t="shared" si="651"/>
        <v>0</v>
      </c>
      <c r="HE112" s="1091" t="str">
        <f t="shared" si="125"/>
        <v/>
      </c>
      <c r="HF112" s="1090">
        <f t="shared" si="652"/>
        <v>0</v>
      </c>
      <c r="HG112" s="1091" t="str">
        <f t="shared" si="127"/>
        <v/>
      </c>
      <c r="HH112" s="1088">
        <f t="shared" si="924"/>
        <v>0</v>
      </c>
      <c r="HI112" s="1091">
        <f t="shared" si="841"/>
        <v>0</v>
      </c>
      <c r="HJ112" s="1091">
        <f t="shared" si="1017"/>
        <v>0</v>
      </c>
      <c r="HK112" s="1090">
        <f t="shared" si="656"/>
        <v>0</v>
      </c>
      <c r="HL112" s="1091">
        <f t="shared" si="842"/>
        <v>0</v>
      </c>
      <c r="HM112" s="1091">
        <f t="shared" si="1018"/>
        <v>0</v>
      </c>
      <c r="HN112" s="1090">
        <f t="shared" si="659"/>
        <v>0</v>
      </c>
      <c r="HO112" s="1091" t="str">
        <f t="shared" si="843"/>
        <v/>
      </c>
      <c r="HP112" s="1091" t="str">
        <f t="shared" si="1019"/>
        <v/>
      </c>
      <c r="HQ112" s="1090">
        <f t="shared" si="662"/>
        <v>0</v>
      </c>
      <c r="HR112" s="1091" t="str">
        <f t="shared" si="135"/>
        <v/>
      </c>
      <c r="HS112" s="1090">
        <f t="shared" si="663"/>
        <v>0</v>
      </c>
      <c r="HT112" s="1091" t="str">
        <f t="shared" si="137"/>
        <v/>
      </c>
      <c r="HU112" s="1088">
        <f t="shared" si="925"/>
        <v>0</v>
      </c>
      <c r="HV112" s="1091">
        <f t="shared" si="844"/>
        <v>0</v>
      </c>
      <c r="HW112" s="1091">
        <f t="shared" si="1020"/>
        <v>0</v>
      </c>
      <c r="HX112" s="1090">
        <f t="shared" si="667"/>
        <v>0</v>
      </c>
      <c r="HY112" s="1091">
        <f t="shared" si="845"/>
        <v>0</v>
      </c>
      <c r="HZ112" s="1091">
        <f t="shared" si="1021"/>
        <v>0</v>
      </c>
      <c r="IA112" s="1090">
        <f t="shared" si="670"/>
        <v>0</v>
      </c>
      <c r="IB112" s="1091" t="str">
        <f t="shared" si="846"/>
        <v/>
      </c>
      <c r="IC112" s="1091" t="str">
        <f t="shared" si="1022"/>
        <v/>
      </c>
      <c r="ID112" s="1090">
        <f t="shared" si="673"/>
        <v>0</v>
      </c>
      <c r="IE112" s="1091" t="str">
        <f t="shared" si="145"/>
        <v/>
      </c>
      <c r="IF112" s="1090">
        <f t="shared" si="674"/>
        <v>0</v>
      </c>
      <c r="IG112" s="1091" t="str">
        <f t="shared" si="147"/>
        <v/>
      </c>
      <c r="IH112" s="1088">
        <f t="shared" si="926"/>
        <v>16660</v>
      </c>
      <c r="II112" s="1091">
        <f t="shared" si="847"/>
        <v>0.0004627777778</v>
      </c>
      <c r="IJ112" s="1091">
        <f t="shared" si="1023"/>
        <v>0.003535647647</v>
      </c>
      <c r="IK112" s="1090">
        <f t="shared" si="678"/>
        <v>4165</v>
      </c>
      <c r="IL112" s="1091">
        <f t="shared" si="848"/>
        <v>0.0001004717075</v>
      </c>
      <c r="IM112" s="1091">
        <f t="shared" si="1024"/>
        <v>0.001083581091</v>
      </c>
      <c r="IN112" s="1090">
        <f t="shared" si="681"/>
        <v>14331.678</v>
      </c>
      <c r="IO112" s="1091">
        <f t="shared" si="849"/>
        <v>0.003298724489</v>
      </c>
      <c r="IP112" s="1091">
        <f t="shared" si="1025"/>
        <v>0.01548141422</v>
      </c>
      <c r="IQ112" s="1090">
        <f t="shared" si="684"/>
        <v>-2328.322</v>
      </c>
      <c r="IR112" s="1091">
        <f t="shared" si="1"/>
        <v>-0.1397552221</v>
      </c>
      <c r="IS112" s="1090">
        <f t="shared" si="685"/>
        <v>10166.678</v>
      </c>
      <c r="IT112" s="1091">
        <f t="shared" si="2"/>
        <v>2.440979112</v>
      </c>
    </row>
    <row r="113">
      <c r="A113" s="1149" t="s">
        <v>2874</v>
      </c>
      <c r="B113" s="1150"/>
      <c r="C113" s="1150"/>
      <c r="D113" s="1150"/>
      <c r="E113" s="1150"/>
      <c r="F113" s="1150"/>
      <c r="G113" s="1150"/>
      <c r="H113" s="1151">
        <f>H84+H66+H65</f>
        <v>451364</v>
      </c>
      <c r="I113" s="1152" t="str">
        <f t="shared" si="791"/>
        <v/>
      </c>
      <c r="J113" s="3"/>
      <c r="K113" s="1151">
        <f>K84+K66+K65</f>
        <v>451364</v>
      </c>
      <c r="L113" s="1152">
        <f t="shared" si="792"/>
        <v>3.761366667</v>
      </c>
      <c r="M113" s="3"/>
      <c r="N113" s="1151">
        <f>N84+N66+N65</f>
        <v>829084.07</v>
      </c>
      <c r="O113" s="1152">
        <f t="shared" si="793"/>
        <v>2.438482559</v>
      </c>
      <c r="P113" s="3"/>
      <c r="Q113" s="1153">
        <f t="shared" si="518"/>
        <v>377720.07</v>
      </c>
      <c r="R113" s="1154">
        <f t="shared" si="8"/>
        <v>0.8368413741</v>
      </c>
      <c r="S113" s="1153">
        <f t="shared" si="519"/>
        <v>377720.07</v>
      </c>
      <c r="T113" s="1154">
        <f t="shared" si="10"/>
        <v>0.8368413741</v>
      </c>
      <c r="U113" s="1151">
        <f>U84+U66+U65</f>
        <v>448364</v>
      </c>
      <c r="V113" s="1152" t="str">
        <f t="shared" si="794"/>
        <v/>
      </c>
      <c r="W113" s="3"/>
      <c r="X113" s="1151">
        <f>X84+X66+X65</f>
        <v>240717.972</v>
      </c>
      <c r="Y113" s="1152" t="str">
        <f t="shared" si="795"/>
        <v/>
      </c>
      <c r="Z113" s="3"/>
      <c r="AA113" s="1151">
        <f>AA84+AA66+AA65</f>
        <v>311482.391</v>
      </c>
      <c r="AB113" s="1152">
        <f t="shared" si="796"/>
        <v>1.730457728</v>
      </c>
      <c r="AC113" s="3"/>
      <c r="AD113" s="1153">
        <f t="shared" si="526"/>
        <v>-136881.609</v>
      </c>
      <c r="AE113" s="1154">
        <f t="shared" si="15"/>
        <v>-0.3052912567</v>
      </c>
      <c r="AF113" s="1153">
        <f t="shared" si="527"/>
        <v>70764.419</v>
      </c>
      <c r="AG113" s="1154">
        <f t="shared" si="17"/>
        <v>0.293972313</v>
      </c>
      <c r="AH113" s="1151">
        <f>AH84+AH66+AH65</f>
        <v>448364</v>
      </c>
      <c r="AI113" s="1152" t="str">
        <f t="shared" si="797"/>
        <v/>
      </c>
      <c r="AJ113" s="3"/>
      <c r="AK113" s="1151">
        <f>AK84+AK66+AK65</f>
        <v>380077.972</v>
      </c>
      <c r="AL113" s="1152">
        <f t="shared" si="798"/>
        <v>0.1055772144</v>
      </c>
      <c r="AM113" s="3"/>
      <c r="AN113" s="1151">
        <f>AN84+AN66+AN65</f>
        <v>815508.526</v>
      </c>
      <c r="AO113" s="1152">
        <f t="shared" si="799"/>
        <v>1.220821147</v>
      </c>
      <c r="AP113" s="3"/>
      <c r="AQ113" s="1153">
        <f t="shared" si="534"/>
        <v>367144.526</v>
      </c>
      <c r="AR113" s="1154">
        <f t="shared" si="22"/>
        <v>0.8188537126</v>
      </c>
      <c r="AS113" s="1153">
        <f t="shared" si="535"/>
        <v>435430.554</v>
      </c>
      <c r="AT113" s="1154">
        <f t="shared" si="24"/>
        <v>1.145634807</v>
      </c>
      <c r="AU113" s="1151">
        <f t="shared" si="916"/>
        <v>1348092</v>
      </c>
      <c r="AV113" s="1152" t="str">
        <f t="shared" si="800"/>
        <v/>
      </c>
      <c r="AW113" s="3"/>
      <c r="AX113" s="1151">
        <f t="shared" si="917"/>
        <v>1072159.944</v>
      </c>
      <c r="AY113" s="1152">
        <f t="shared" si="801"/>
        <v>0.2882150387</v>
      </c>
      <c r="AZ113" s="3"/>
      <c r="BA113" s="1151">
        <f t="shared" si="918"/>
        <v>1956074.987</v>
      </c>
      <c r="BB113" s="1152">
        <f t="shared" si="802"/>
        <v>1.646527767</v>
      </c>
      <c r="BC113" s="3"/>
      <c r="BD113" s="1153">
        <f t="shared" si="545"/>
        <v>607982.987</v>
      </c>
      <c r="BE113" s="1154">
        <f t="shared" si="32"/>
        <v>0.4509951747</v>
      </c>
      <c r="BF113" s="1153">
        <f t="shared" si="546"/>
        <v>883915.043</v>
      </c>
      <c r="BG113" s="1154">
        <f t="shared" si="34"/>
        <v>0.8244246094</v>
      </c>
      <c r="BH113" s="1151">
        <f>BH84+BH66+BH65</f>
        <v>8105364</v>
      </c>
      <c r="BI113" s="1152">
        <f t="shared" si="803"/>
        <v>2.026341</v>
      </c>
      <c r="BJ113" s="3"/>
      <c r="BK113" s="1151">
        <f>BK84+BK66+BK65</f>
        <v>589920.506</v>
      </c>
      <c r="BL113" s="1152" t="str">
        <f t="shared" si="804"/>
        <v/>
      </c>
      <c r="BM113" s="3"/>
      <c r="BN113" s="1151">
        <f>BN84+BN66+BN65</f>
        <v>1397101.091</v>
      </c>
      <c r="BO113" s="1152">
        <f t="shared" si="805"/>
        <v>0.5371317208</v>
      </c>
      <c r="BP113" s="3"/>
      <c r="BQ113" s="1153">
        <f t="shared" si="553"/>
        <v>-6708262.909</v>
      </c>
      <c r="BR113" s="1154">
        <f t="shared" si="39"/>
        <v>-0.8276325294</v>
      </c>
      <c r="BS113" s="1153">
        <f t="shared" si="554"/>
        <v>807180.585</v>
      </c>
      <c r="BT113" s="1154">
        <f t="shared" si="41"/>
        <v>1.368287043</v>
      </c>
      <c r="BU113" s="1151">
        <f>BU84+BU66+BU65</f>
        <v>8101199</v>
      </c>
      <c r="BV113" s="1152">
        <f t="shared" si="806"/>
        <v>2.02529975</v>
      </c>
      <c r="BW113" s="3"/>
      <c r="BX113" s="1151">
        <f>BX84+BX66+BX65</f>
        <v>1055850.412</v>
      </c>
      <c r="BY113" s="1152">
        <f t="shared" si="807"/>
        <v>0.7065113144</v>
      </c>
      <c r="BZ113" s="3"/>
      <c r="CA113" s="1151">
        <f>CA84+CA66+CA65</f>
        <v>788310.917</v>
      </c>
      <c r="CB113" s="1152">
        <f t="shared" si="808"/>
        <v>1.418917651</v>
      </c>
      <c r="CC113" s="3"/>
      <c r="CD113" s="1153">
        <f t="shared" si="561"/>
        <v>-7312888.083</v>
      </c>
      <c r="CE113" s="1154">
        <f t="shared" si="46"/>
        <v>-0.9026920685</v>
      </c>
      <c r="CF113" s="1153">
        <f t="shared" si="562"/>
        <v>-267539.495</v>
      </c>
      <c r="CG113" s="1154">
        <f t="shared" si="48"/>
        <v>-0.2533876882</v>
      </c>
      <c r="CH113" s="1151">
        <f>CH84+CH66+CH65</f>
        <v>8101199</v>
      </c>
      <c r="CI113" s="1152">
        <f t="shared" si="809"/>
        <v>2.02529975</v>
      </c>
      <c r="CJ113" s="3"/>
      <c r="CK113" s="1151">
        <f>CK84+CK66+CK65</f>
        <v>6734084</v>
      </c>
      <c r="CL113" s="1152" t="str">
        <f t="shared" si="810"/>
        <v/>
      </c>
      <c r="CM113" s="3"/>
      <c r="CN113" s="1151">
        <f>CN84+CN66+CN65</f>
        <v>0</v>
      </c>
      <c r="CO113" s="1152" t="str">
        <f t="shared" si="811"/>
        <v/>
      </c>
      <c r="CP113" s="3"/>
      <c r="CQ113" s="1153">
        <f t="shared" si="569"/>
        <v>-8101199</v>
      </c>
      <c r="CR113" s="1154">
        <f t="shared" si="53"/>
        <v>-1</v>
      </c>
      <c r="CS113" s="1153">
        <f t="shared" si="570"/>
        <v>-6734084</v>
      </c>
      <c r="CT113" s="1154">
        <f t="shared" si="55"/>
        <v>-1</v>
      </c>
      <c r="CU113" s="1151">
        <f t="shared" si="919"/>
        <v>24307762</v>
      </c>
      <c r="CV113" s="1152">
        <f t="shared" si="812"/>
        <v>2.025646833</v>
      </c>
      <c r="CW113" s="3"/>
      <c r="CX113" s="1151">
        <f t="shared" si="920"/>
        <v>8379854.918</v>
      </c>
      <c r="CY113" s="1152">
        <f t="shared" si="814"/>
        <v>5.607292705</v>
      </c>
      <c r="CZ113" s="3"/>
      <c r="DA113" s="1151">
        <f t="shared" si="921"/>
        <v>2185412.008</v>
      </c>
      <c r="DB113" s="1152">
        <f t="shared" si="816"/>
        <v>0.6923283596</v>
      </c>
      <c r="DC113" s="3"/>
      <c r="DD113" s="1153">
        <f t="shared" si="580"/>
        <v>-22122349.99</v>
      </c>
      <c r="DE113" s="1154">
        <f t="shared" si="63"/>
        <v>-0.9100940676</v>
      </c>
      <c r="DF113" s="1153">
        <f t="shared" si="581"/>
        <v>-6194442.91</v>
      </c>
      <c r="DG113" s="1154">
        <f t="shared" si="65"/>
        <v>-0.7392064625</v>
      </c>
      <c r="DH113" s="1151">
        <f t="shared" si="922"/>
        <v>25655854</v>
      </c>
      <c r="DI113" s="1152">
        <f t="shared" si="817"/>
        <v>2.137987833</v>
      </c>
      <c r="DJ113" s="3"/>
      <c r="DK113" s="1151">
        <f t="shared" si="585"/>
        <v>9452014.862</v>
      </c>
      <c r="DL113" s="1152">
        <f t="shared" si="818"/>
        <v>1.812655815</v>
      </c>
      <c r="DM113" s="3"/>
      <c r="DN113" s="1151">
        <f t="shared" si="588"/>
        <v>4141486.995</v>
      </c>
      <c r="DO113" s="1152">
        <f t="shared" si="819"/>
        <v>0.9532466869</v>
      </c>
      <c r="DP113" s="3"/>
      <c r="DQ113" s="1153">
        <f t="shared" si="591"/>
        <v>-21514367.01</v>
      </c>
      <c r="DR113" s="1154">
        <f t="shared" si="73"/>
        <v>-0.83857536</v>
      </c>
      <c r="DS113" s="1153">
        <f t="shared" si="592"/>
        <v>-5310527.867</v>
      </c>
      <c r="DT113" s="1154">
        <f t="shared" si="75"/>
        <v>-0.5618408291</v>
      </c>
      <c r="DU113" s="1151">
        <f>DU84+DU66+DU65</f>
        <v>8101199</v>
      </c>
      <c r="DV113" s="1152">
        <f t="shared" si="820"/>
        <v>2.02529975</v>
      </c>
      <c r="DW113" s="3"/>
      <c r="DX113" s="1151">
        <f>DX84+DX66+DX65</f>
        <v>8101199</v>
      </c>
      <c r="DY113" s="1152">
        <f t="shared" si="821"/>
        <v>1.341258121</v>
      </c>
      <c r="DZ113" s="3"/>
      <c r="EA113" s="1151">
        <f>EA84+EA66+EA65</f>
        <v>0</v>
      </c>
      <c r="EB113" s="1152" t="str">
        <f t="shared" si="822"/>
        <v/>
      </c>
      <c r="EC113" s="3"/>
      <c r="ED113" s="1153">
        <f t="shared" si="599"/>
        <v>-8101199</v>
      </c>
      <c r="EE113" s="1154">
        <f t="shared" si="80"/>
        <v>-1</v>
      </c>
      <c r="EF113" s="1153">
        <f t="shared" si="600"/>
        <v>-8101199</v>
      </c>
      <c r="EG113" s="1154">
        <f t="shared" si="82"/>
        <v>-1</v>
      </c>
      <c r="EH113" s="1151">
        <f>EH84+EH66+EH65</f>
        <v>8101199</v>
      </c>
      <c r="EI113" s="1152">
        <f t="shared" si="823"/>
        <v>2.02529975</v>
      </c>
      <c r="EJ113" s="3"/>
      <c r="EK113" s="1151">
        <f>EK84+EK66+EK65</f>
        <v>8101199</v>
      </c>
      <c r="EL113" s="1152">
        <f t="shared" si="824"/>
        <v>1.341258121</v>
      </c>
      <c r="EM113" s="3"/>
      <c r="EN113" s="1151">
        <f>EN84+EN66+EN65</f>
        <v>0</v>
      </c>
      <c r="EO113" s="1152" t="str">
        <f t="shared" si="825"/>
        <v/>
      </c>
      <c r="EP113" s="3"/>
      <c r="EQ113" s="1153">
        <f t="shared" si="607"/>
        <v>-8101199</v>
      </c>
      <c r="ER113" s="1154">
        <f t="shared" si="87"/>
        <v>-1</v>
      </c>
      <c r="ES113" s="1153">
        <f t="shared" si="608"/>
        <v>-8101199</v>
      </c>
      <c r="ET113" s="1154">
        <f t="shared" si="89"/>
        <v>-1</v>
      </c>
      <c r="EU113" s="1151">
        <f>EU84+EU66+EU65</f>
        <v>8101199</v>
      </c>
      <c r="EV113" s="1152">
        <f t="shared" si="826"/>
        <v>2.02529975</v>
      </c>
      <c r="EW113" s="3"/>
      <c r="EX113" s="1151">
        <f>EX84+EX66+EX65</f>
        <v>8101199</v>
      </c>
      <c r="EY113" s="1152">
        <f t="shared" si="827"/>
        <v>1.341258121</v>
      </c>
      <c r="EZ113" s="3"/>
      <c r="FA113" s="1151">
        <f>FA84+FA66+FA65</f>
        <v>0</v>
      </c>
      <c r="FB113" s="1152" t="str">
        <f t="shared" si="828"/>
        <v/>
      </c>
      <c r="FC113" s="3"/>
      <c r="FD113" s="1153">
        <f t="shared" si="616"/>
        <v>-8101199</v>
      </c>
      <c r="FE113" s="1154">
        <f t="shared" si="94"/>
        <v>-1</v>
      </c>
      <c r="FF113" s="1153">
        <f t="shared" si="617"/>
        <v>-8101199</v>
      </c>
      <c r="FG113" s="1154">
        <f t="shared" si="96"/>
        <v>-1</v>
      </c>
      <c r="FH113" s="1151">
        <f t="shared" si="923"/>
        <v>24303597</v>
      </c>
      <c r="FI113" s="1152">
        <f t="shared" si="829"/>
        <v>2.02529975</v>
      </c>
      <c r="FJ113" s="3"/>
      <c r="FK113" s="1151">
        <f t="shared" si="621"/>
        <v>24303597</v>
      </c>
      <c r="FL113" s="1152">
        <f t="shared" si="830"/>
        <v>1.341258121</v>
      </c>
      <c r="FM113" s="3"/>
      <c r="FN113" s="1151">
        <f t="shared" si="624"/>
        <v>0</v>
      </c>
      <c r="FO113" s="1152" t="str">
        <f t="shared" si="831"/>
        <v/>
      </c>
      <c r="FP113" s="3"/>
      <c r="FQ113" s="1153">
        <f t="shared" si="627"/>
        <v>-24303597</v>
      </c>
      <c r="FR113" s="1154">
        <f t="shared" si="104"/>
        <v>-1</v>
      </c>
      <c r="FS113" s="1153">
        <f t="shared" si="628"/>
        <v>-24303597</v>
      </c>
      <c r="FT113" s="1154">
        <f t="shared" si="106"/>
        <v>-1</v>
      </c>
      <c r="FU113" s="1151">
        <f>FU84+FU66+FU65</f>
        <v>8101199</v>
      </c>
      <c r="FV113" s="1152">
        <f t="shared" si="832"/>
        <v>2.02529975</v>
      </c>
      <c r="FW113" s="3"/>
      <c r="FX113" s="1151">
        <f>FX84+FX66+FX65</f>
        <v>8101199</v>
      </c>
      <c r="FY113" s="1152">
        <f t="shared" si="833"/>
        <v>1.341258121</v>
      </c>
      <c r="FZ113" s="3"/>
      <c r="GA113" s="1151">
        <f>GA84+GA66+GA65</f>
        <v>0</v>
      </c>
      <c r="GB113" s="1152" t="str">
        <f t="shared" si="834"/>
        <v/>
      </c>
      <c r="GC113" s="3"/>
      <c r="GD113" s="1153">
        <f t="shared" si="635"/>
        <v>-8101199</v>
      </c>
      <c r="GE113" s="1154">
        <f t="shared" si="111"/>
        <v>-1</v>
      </c>
      <c r="GF113" s="1153">
        <f t="shared" si="636"/>
        <v>-8101199</v>
      </c>
      <c r="GG113" s="1154">
        <f t="shared" si="113"/>
        <v>-1</v>
      </c>
      <c r="GH113" s="1151">
        <f>GH84+GH66+GH65</f>
        <v>8101199</v>
      </c>
      <c r="GI113" s="1152">
        <f t="shared" si="835"/>
        <v>2.02529975</v>
      </c>
      <c r="GJ113" s="3"/>
      <c r="GK113" s="1151">
        <f>GK84+GK66+GK65</f>
        <v>8101199</v>
      </c>
      <c r="GL113" s="1152">
        <f t="shared" si="836"/>
        <v>1.341258121</v>
      </c>
      <c r="GM113" s="3"/>
      <c r="GN113" s="1151">
        <f>GN84+GN66+GN65</f>
        <v>0</v>
      </c>
      <c r="GO113" s="1152" t="str">
        <f t="shared" si="837"/>
        <v/>
      </c>
      <c r="GP113" s="3"/>
      <c r="GQ113" s="1153">
        <f t="shared" si="643"/>
        <v>-8101199</v>
      </c>
      <c r="GR113" s="1154">
        <f t="shared" si="118"/>
        <v>-1</v>
      </c>
      <c r="GS113" s="1153">
        <f t="shared" si="644"/>
        <v>-8101199</v>
      </c>
      <c r="GT113" s="1154">
        <f t="shared" si="120"/>
        <v>-1</v>
      </c>
      <c r="GU113" s="1151">
        <f>GU84+GU66+GU65</f>
        <v>8101199</v>
      </c>
      <c r="GV113" s="1152">
        <f t="shared" si="838"/>
        <v>2.02529975</v>
      </c>
      <c r="GW113" s="3"/>
      <c r="GX113" s="1151">
        <f>GX84+GX66+GX65</f>
        <v>8101199</v>
      </c>
      <c r="GY113" s="1152">
        <f t="shared" si="839"/>
        <v>1.341258121</v>
      </c>
      <c r="GZ113" s="3"/>
      <c r="HA113" s="1151">
        <f>HA84+HA66+HA65</f>
        <v>0</v>
      </c>
      <c r="HB113" s="1152" t="str">
        <f t="shared" si="840"/>
        <v/>
      </c>
      <c r="HC113" s="3"/>
      <c r="HD113" s="1153">
        <f t="shared" si="651"/>
        <v>-8101199</v>
      </c>
      <c r="HE113" s="1154">
        <f t="shared" si="125"/>
        <v>-1</v>
      </c>
      <c r="HF113" s="1153">
        <f t="shared" si="652"/>
        <v>-8101199</v>
      </c>
      <c r="HG113" s="1154">
        <f t="shared" si="127"/>
        <v>-1</v>
      </c>
      <c r="HH113" s="1151">
        <f t="shared" si="924"/>
        <v>24303597</v>
      </c>
      <c r="HI113" s="1152">
        <f t="shared" si="841"/>
        <v>2.02529975</v>
      </c>
      <c r="HJ113" s="3"/>
      <c r="HK113" s="1151">
        <f t="shared" si="656"/>
        <v>24303597</v>
      </c>
      <c r="HL113" s="1152">
        <f t="shared" si="842"/>
        <v>1.341258121</v>
      </c>
      <c r="HM113" s="3"/>
      <c r="HN113" s="1151">
        <f t="shared" si="659"/>
        <v>0</v>
      </c>
      <c r="HO113" s="1152" t="str">
        <f t="shared" si="843"/>
        <v/>
      </c>
      <c r="HP113" s="3"/>
      <c r="HQ113" s="1153">
        <f t="shared" si="662"/>
        <v>-24303597</v>
      </c>
      <c r="HR113" s="1154">
        <f t="shared" si="135"/>
        <v>-1</v>
      </c>
      <c r="HS113" s="1153">
        <f t="shared" si="663"/>
        <v>-24303597</v>
      </c>
      <c r="HT113" s="1154">
        <f t="shared" si="137"/>
        <v>-1</v>
      </c>
      <c r="HU113" s="1151">
        <f t="shared" si="925"/>
        <v>48607194</v>
      </c>
      <c r="HV113" s="1152">
        <f t="shared" si="844"/>
        <v>2.02529975</v>
      </c>
      <c r="HW113" s="3"/>
      <c r="HX113" s="1151">
        <f t="shared" si="667"/>
        <v>48607194</v>
      </c>
      <c r="HY113" s="1152">
        <f t="shared" si="845"/>
        <v>1.341258121</v>
      </c>
      <c r="HZ113" s="3"/>
      <c r="IA113" s="1151">
        <f t="shared" si="670"/>
        <v>0</v>
      </c>
      <c r="IB113" s="1152" t="str">
        <f t="shared" si="846"/>
        <v/>
      </c>
      <c r="IC113" s="3"/>
      <c r="ID113" s="1153">
        <f t="shared" si="673"/>
        <v>-48607194</v>
      </c>
      <c r="IE113" s="1154">
        <f t="shared" si="145"/>
        <v>-1</v>
      </c>
      <c r="IF113" s="1153">
        <f t="shared" si="674"/>
        <v>-48607194</v>
      </c>
      <c r="IG113" s="1154">
        <f t="shared" si="147"/>
        <v>-1</v>
      </c>
      <c r="IH113" s="1151">
        <f t="shared" si="926"/>
        <v>74263048</v>
      </c>
      <c r="II113" s="1152">
        <f t="shared" si="847"/>
        <v>2.062862444</v>
      </c>
      <c r="IJ113" s="3"/>
      <c r="IK113" s="1151">
        <f t="shared" si="678"/>
        <v>58059208.86</v>
      </c>
      <c r="IL113" s="1152">
        <f t="shared" si="848"/>
        <v>1.400554105</v>
      </c>
      <c r="IM113" s="3"/>
      <c r="IN113" s="1151">
        <f t="shared" si="681"/>
        <v>4141486.995</v>
      </c>
      <c r="IO113" s="1152">
        <f t="shared" si="849"/>
        <v>0.9532466869</v>
      </c>
      <c r="IP113" s="3"/>
      <c r="IQ113" s="1153">
        <f t="shared" si="684"/>
        <v>-70121561.01</v>
      </c>
      <c r="IR113" s="1154">
        <f t="shared" si="1"/>
        <v>-0.9442321975</v>
      </c>
      <c r="IS113" s="1153">
        <f t="shared" si="685"/>
        <v>-53917721.87</v>
      </c>
      <c r="IT113" s="1154">
        <f t="shared" si="2"/>
        <v>-0.9286678707</v>
      </c>
    </row>
    <row r="114">
      <c r="A114" s="1155" t="s">
        <v>2875</v>
      </c>
      <c r="B114" s="1156"/>
      <c r="C114" s="1156"/>
      <c r="D114" s="1156"/>
      <c r="E114" s="1156"/>
      <c r="F114" s="1156"/>
      <c r="G114" s="1157">
        <v>1.0</v>
      </c>
      <c r="H114" s="1158">
        <f>H49+H64-H113</f>
        <v>-451364</v>
      </c>
      <c r="I114" s="1159" t="str">
        <f t="shared" si="791"/>
        <v/>
      </c>
      <c r="J114" s="3"/>
      <c r="K114" s="1160">
        <f>K49+K64-K113</f>
        <v>-331364</v>
      </c>
      <c r="L114" s="1159">
        <f t="shared" si="792"/>
        <v>-2.761366667</v>
      </c>
      <c r="M114" s="3"/>
      <c r="N114" s="1160">
        <f>N49+N64-N113</f>
        <v>-489084.07</v>
      </c>
      <c r="O114" s="1159">
        <f t="shared" si="793"/>
        <v>-1.438482559</v>
      </c>
      <c r="P114" s="3"/>
      <c r="Q114" s="1161">
        <f t="shared" si="518"/>
        <v>-37720.07</v>
      </c>
      <c r="R114" s="1162">
        <f t="shared" si="8"/>
        <v>0.08356907064</v>
      </c>
      <c r="S114" s="1161">
        <f t="shared" si="519"/>
        <v>-157720.07</v>
      </c>
      <c r="T114" s="1162">
        <f t="shared" si="10"/>
        <v>0.4759722541</v>
      </c>
      <c r="U114" s="1158">
        <f>U49+U64-U113</f>
        <v>-448364</v>
      </c>
      <c r="V114" s="1159" t="str">
        <f t="shared" si="794"/>
        <v/>
      </c>
      <c r="W114" s="3"/>
      <c r="X114" s="1160">
        <f>X49+X64-X113</f>
        <v>-240717.972</v>
      </c>
      <c r="Y114" s="1159" t="str">
        <f t="shared" si="795"/>
        <v/>
      </c>
      <c r="Z114" s="3"/>
      <c r="AA114" s="1160">
        <f>AA49+AA64-AA113</f>
        <v>-131482.391</v>
      </c>
      <c r="AB114" s="1159">
        <f t="shared" si="796"/>
        <v>-0.7304577278</v>
      </c>
      <c r="AC114" s="3"/>
      <c r="AD114" s="1161">
        <f t="shared" si="526"/>
        <v>316881.609</v>
      </c>
      <c r="AE114" s="1162">
        <f t="shared" si="15"/>
        <v>-0.7067507851</v>
      </c>
      <c r="AF114" s="1161">
        <f t="shared" si="527"/>
        <v>109235.581</v>
      </c>
      <c r="AG114" s="1162">
        <f t="shared" si="17"/>
        <v>-0.4537907165</v>
      </c>
      <c r="AH114" s="1158">
        <f>AH49+AH64-AH113</f>
        <v>-448364</v>
      </c>
      <c r="AI114" s="1159" t="str">
        <f t="shared" si="797"/>
        <v/>
      </c>
      <c r="AJ114" s="3"/>
      <c r="AK114" s="1160">
        <f>AK49+AK64-AK113</f>
        <v>3219922.028</v>
      </c>
      <c r="AL114" s="1159">
        <f t="shared" si="798"/>
        <v>0.8944227856</v>
      </c>
      <c r="AM114" s="3"/>
      <c r="AN114" s="1160">
        <f>AN49+AN64-AN113</f>
        <v>-147508.526</v>
      </c>
      <c r="AO114" s="1159">
        <f t="shared" si="799"/>
        <v>-0.2208211467</v>
      </c>
      <c r="AP114" s="3"/>
      <c r="AQ114" s="1161">
        <f t="shared" si="534"/>
        <v>300855.474</v>
      </c>
      <c r="AR114" s="1162">
        <f t="shared" si="22"/>
        <v>-0.671007204</v>
      </c>
      <c r="AS114" s="1161">
        <f t="shared" si="535"/>
        <v>-3367430.554</v>
      </c>
      <c r="AT114" s="1162">
        <f t="shared" si="24"/>
        <v>-1.045811211</v>
      </c>
      <c r="AU114" s="1158">
        <f t="shared" si="916"/>
        <v>-1348092</v>
      </c>
      <c r="AV114" s="1159" t="str">
        <f t="shared" si="800"/>
        <v/>
      </c>
      <c r="AW114" s="3"/>
      <c r="AX114" s="1160">
        <f t="shared" si="917"/>
        <v>2647840.056</v>
      </c>
      <c r="AY114" s="1159">
        <f t="shared" si="801"/>
        <v>0.7117849613</v>
      </c>
      <c r="AZ114" s="3"/>
      <c r="BA114" s="1160">
        <f t="shared" si="918"/>
        <v>-768074.987</v>
      </c>
      <c r="BB114" s="1159">
        <f t="shared" si="802"/>
        <v>-0.6465277668</v>
      </c>
      <c r="BC114" s="3"/>
      <c r="BD114" s="1161">
        <f t="shared" si="545"/>
        <v>580017.013</v>
      </c>
      <c r="BE114" s="1162">
        <f t="shared" si="32"/>
        <v>-0.430250319</v>
      </c>
      <c r="BF114" s="1161">
        <f t="shared" si="546"/>
        <v>-3415915.043</v>
      </c>
      <c r="BG114" s="1162">
        <f t="shared" si="34"/>
        <v>-1.290076051</v>
      </c>
      <c r="BH114" s="1158">
        <f>BH49+BH64-BH113</f>
        <v>-4105364</v>
      </c>
      <c r="BI114" s="1159">
        <f t="shared" si="803"/>
        <v>-1.026341</v>
      </c>
      <c r="BJ114" s="3"/>
      <c r="BK114" s="1160">
        <f>BK49+BK64-BK113</f>
        <v>-589920.506</v>
      </c>
      <c r="BL114" s="1159" t="str">
        <f t="shared" si="804"/>
        <v/>
      </c>
      <c r="BM114" s="3"/>
      <c r="BN114" s="1160">
        <f>BN49+BN64-BN113</f>
        <v>1203938.909</v>
      </c>
      <c r="BO114" s="1159">
        <f t="shared" si="805"/>
        <v>0.4628682792</v>
      </c>
      <c r="BP114" s="3"/>
      <c r="BQ114" s="1161">
        <f t="shared" si="553"/>
        <v>5309302.909</v>
      </c>
      <c r="BR114" s="1162">
        <f t="shared" si="39"/>
        <v>-1.293259966</v>
      </c>
      <c r="BS114" s="1161">
        <f t="shared" si="554"/>
        <v>1793859.415</v>
      </c>
      <c r="BT114" s="1162">
        <f t="shared" si="41"/>
        <v>-3.040849397</v>
      </c>
      <c r="BU114" s="1158">
        <f>BU49+BU64-BU113</f>
        <v>-4101199</v>
      </c>
      <c r="BV114" s="1159">
        <f t="shared" si="806"/>
        <v>-1.02529975</v>
      </c>
      <c r="BW114" s="3"/>
      <c r="BX114" s="1160">
        <f>BX49+BX64-BX113</f>
        <v>438606.068</v>
      </c>
      <c r="BY114" s="1159">
        <f t="shared" si="807"/>
        <v>0.2934886856</v>
      </c>
      <c r="BZ114" s="3"/>
      <c r="CA114" s="1160">
        <f>CA49+CA64-CA113</f>
        <v>-232738.917</v>
      </c>
      <c r="CB114" s="1159">
        <f t="shared" si="808"/>
        <v>-0.4189176506</v>
      </c>
      <c r="CC114" s="3"/>
      <c r="CD114" s="1161">
        <f t="shared" si="561"/>
        <v>3868460.083</v>
      </c>
      <c r="CE114" s="1162">
        <f t="shared" si="46"/>
        <v>-0.9432510061</v>
      </c>
      <c r="CF114" s="1161">
        <f t="shared" si="562"/>
        <v>-671344.985</v>
      </c>
      <c r="CG114" s="1162">
        <f t="shared" si="48"/>
        <v>-1.530633144</v>
      </c>
      <c r="CH114" s="1158">
        <f>CH49+CH64-CH113</f>
        <v>-4101199</v>
      </c>
      <c r="CI114" s="1159">
        <f t="shared" si="809"/>
        <v>-1.02529975</v>
      </c>
      <c r="CJ114" s="3"/>
      <c r="CK114" s="1160">
        <f>CK49+CK64-CK113</f>
        <v>-6734084</v>
      </c>
      <c r="CL114" s="1159" t="str">
        <f t="shared" si="810"/>
        <v/>
      </c>
      <c r="CM114" s="3"/>
      <c r="CN114" s="1160">
        <f>CN49+CN64-CN113</f>
        <v>0</v>
      </c>
      <c r="CO114" s="1159" t="str">
        <f t="shared" si="811"/>
        <v/>
      </c>
      <c r="CP114" s="3"/>
      <c r="CQ114" s="1161">
        <f t="shared" si="569"/>
        <v>4101199</v>
      </c>
      <c r="CR114" s="1162">
        <f t="shared" si="53"/>
        <v>-1</v>
      </c>
      <c r="CS114" s="1161">
        <f t="shared" si="570"/>
        <v>6734084</v>
      </c>
      <c r="CT114" s="1162">
        <f t="shared" si="55"/>
        <v>-1</v>
      </c>
      <c r="CU114" s="1158">
        <f t="shared" si="919"/>
        <v>-12307762</v>
      </c>
      <c r="CV114" s="1159">
        <f t="shared" si="812"/>
        <v>-1.025646833</v>
      </c>
      <c r="CW114" s="3"/>
      <c r="CX114" s="1160">
        <f t="shared" si="920"/>
        <v>-6885398.438</v>
      </c>
      <c r="CY114" s="1159">
        <f t="shared" si="814"/>
        <v>-4.607292705</v>
      </c>
      <c r="CZ114" s="3"/>
      <c r="DA114" s="1160">
        <f t="shared" si="921"/>
        <v>971199.992</v>
      </c>
      <c r="DB114" s="1159">
        <f t="shared" si="816"/>
        <v>0.3076716404</v>
      </c>
      <c r="DC114" s="3"/>
      <c r="DD114" s="1161">
        <f t="shared" si="580"/>
        <v>13278961.99</v>
      </c>
      <c r="DE114" s="1162">
        <f t="shared" si="63"/>
        <v>-1.078909553</v>
      </c>
      <c r="DF114" s="1161">
        <f t="shared" si="581"/>
        <v>7856598.43</v>
      </c>
      <c r="DG114" s="1162">
        <f t="shared" si="65"/>
        <v>-1.141052112</v>
      </c>
      <c r="DH114" s="1158">
        <f t="shared" si="922"/>
        <v>-13655854</v>
      </c>
      <c r="DI114" s="1159">
        <f t="shared" si="817"/>
        <v>-1.137987833</v>
      </c>
      <c r="DJ114" s="3"/>
      <c r="DK114" s="1160">
        <f t="shared" si="585"/>
        <v>-4237558.382</v>
      </c>
      <c r="DL114" s="1159">
        <f t="shared" si="818"/>
        <v>-0.8126558153</v>
      </c>
      <c r="DM114" s="3"/>
      <c r="DN114" s="1160">
        <f t="shared" si="588"/>
        <v>203125.005</v>
      </c>
      <c r="DO114" s="1159">
        <f t="shared" si="819"/>
        <v>0.04675331307</v>
      </c>
      <c r="DP114" s="3"/>
      <c r="DQ114" s="1161">
        <f t="shared" si="591"/>
        <v>13858979.01</v>
      </c>
      <c r="DR114" s="1162">
        <f t="shared" si="73"/>
        <v>-1.014874574</v>
      </c>
      <c r="DS114" s="1161">
        <f t="shared" si="592"/>
        <v>4440683.387</v>
      </c>
      <c r="DT114" s="1162">
        <f t="shared" si="75"/>
        <v>-1.047934444</v>
      </c>
      <c r="DU114" s="1158">
        <f>DU49+DU64-DU113</f>
        <v>-4101199</v>
      </c>
      <c r="DV114" s="1159">
        <f t="shared" si="820"/>
        <v>-1.02529975</v>
      </c>
      <c r="DW114" s="3"/>
      <c r="DX114" s="1160">
        <f>DX49+DX64-DX113</f>
        <v>-2061199.04</v>
      </c>
      <c r="DY114" s="1159">
        <f t="shared" si="821"/>
        <v>-0.3412581215</v>
      </c>
      <c r="DZ114" s="3"/>
      <c r="EA114" s="1160">
        <f>EA49+EA64-EA113</f>
        <v>0</v>
      </c>
      <c r="EB114" s="1159" t="str">
        <f t="shared" si="822"/>
        <v/>
      </c>
      <c r="EC114" s="3"/>
      <c r="ED114" s="1161">
        <f t="shared" si="599"/>
        <v>4101199</v>
      </c>
      <c r="EE114" s="1162">
        <f t="shared" si="80"/>
        <v>-1</v>
      </c>
      <c r="EF114" s="1161">
        <f t="shared" si="600"/>
        <v>2061199.04</v>
      </c>
      <c r="EG114" s="1162">
        <f t="shared" si="82"/>
        <v>-1</v>
      </c>
      <c r="EH114" s="1158">
        <f>EH49+EH64-EH113</f>
        <v>-4101199</v>
      </c>
      <c r="EI114" s="1159">
        <f t="shared" si="823"/>
        <v>-1.02529975</v>
      </c>
      <c r="EJ114" s="3"/>
      <c r="EK114" s="1160">
        <f>EK49+EK64-EK113</f>
        <v>-2061199.04</v>
      </c>
      <c r="EL114" s="1159">
        <f t="shared" si="824"/>
        <v>-0.3412581215</v>
      </c>
      <c r="EM114" s="3"/>
      <c r="EN114" s="1160">
        <f>EN49+EN64-EN113</f>
        <v>0</v>
      </c>
      <c r="EO114" s="1159" t="str">
        <f t="shared" si="825"/>
        <v/>
      </c>
      <c r="EP114" s="3"/>
      <c r="EQ114" s="1161">
        <f t="shared" si="607"/>
        <v>4101199</v>
      </c>
      <c r="ER114" s="1162">
        <f t="shared" si="87"/>
        <v>-1</v>
      </c>
      <c r="ES114" s="1161">
        <f t="shared" si="608"/>
        <v>2061199.04</v>
      </c>
      <c r="ET114" s="1162">
        <f t="shared" si="89"/>
        <v>-1</v>
      </c>
      <c r="EU114" s="1158">
        <f>EU49+EU64-EU113</f>
        <v>-4101199</v>
      </c>
      <c r="EV114" s="1159">
        <f t="shared" si="826"/>
        <v>-1.02529975</v>
      </c>
      <c r="EW114" s="3"/>
      <c r="EX114" s="1160">
        <f>EX49+EX64-EX113</f>
        <v>-2061199.04</v>
      </c>
      <c r="EY114" s="1159">
        <f t="shared" si="827"/>
        <v>-0.3412581215</v>
      </c>
      <c r="EZ114" s="3"/>
      <c r="FA114" s="1160">
        <f>FA49+FA64-FA113</f>
        <v>0</v>
      </c>
      <c r="FB114" s="1159" t="str">
        <f t="shared" si="828"/>
        <v/>
      </c>
      <c r="FC114" s="3"/>
      <c r="FD114" s="1161">
        <f t="shared" si="616"/>
        <v>4101199</v>
      </c>
      <c r="FE114" s="1162">
        <f t="shared" si="94"/>
        <v>-1</v>
      </c>
      <c r="FF114" s="1161">
        <f t="shared" si="617"/>
        <v>2061199.04</v>
      </c>
      <c r="FG114" s="1162">
        <f t="shared" si="96"/>
        <v>-1</v>
      </c>
      <c r="FH114" s="1158">
        <f t="shared" si="923"/>
        <v>-12303597</v>
      </c>
      <c r="FI114" s="1159">
        <f t="shared" si="829"/>
        <v>-1.02529975</v>
      </c>
      <c r="FJ114" s="3"/>
      <c r="FK114" s="1160">
        <f t="shared" si="621"/>
        <v>-6183597.12</v>
      </c>
      <c r="FL114" s="1159">
        <f t="shared" si="830"/>
        <v>-0.3412581215</v>
      </c>
      <c r="FM114" s="3"/>
      <c r="FN114" s="1160">
        <f t="shared" si="624"/>
        <v>0</v>
      </c>
      <c r="FO114" s="1159" t="str">
        <f t="shared" si="831"/>
        <v/>
      </c>
      <c r="FP114" s="3"/>
      <c r="FQ114" s="1161">
        <f t="shared" si="627"/>
        <v>12303597</v>
      </c>
      <c r="FR114" s="1162">
        <f t="shared" si="104"/>
        <v>-1</v>
      </c>
      <c r="FS114" s="1161">
        <f t="shared" si="628"/>
        <v>6183597.12</v>
      </c>
      <c r="FT114" s="1162">
        <f t="shared" si="106"/>
        <v>-1</v>
      </c>
      <c r="FU114" s="1158">
        <f>FU49+FU64-FU113</f>
        <v>-4101199</v>
      </c>
      <c r="FV114" s="1159">
        <f t="shared" si="832"/>
        <v>-1.02529975</v>
      </c>
      <c r="FW114" s="3"/>
      <c r="FX114" s="1160">
        <f>FX49+FX64-FX113</f>
        <v>-2061199.04</v>
      </c>
      <c r="FY114" s="1159">
        <f t="shared" si="833"/>
        <v>-0.3412581215</v>
      </c>
      <c r="FZ114" s="3"/>
      <c r="GA114" s="1160">
        <f>GA49+GA64-GA113</f>
        <v>0</v>
      </c>
      <c r="GB114" s="1159" t="str">
        <f t="shared" si="834"/>
        <v/>
      </c>
      <c r="GC114" s="3"/>
      <c r="GD114" s="1161">
        <f t="shared" si="635"/>
        <v>4101199</v>
      </c>
      <c r="GE114" s="1162">
        <f t="shared" si="111"/>
        <v>-1</v>
      </c>
      <c r="GF114" s="1161">
        <f t="shared" si="636"/>
        <v>2061199.04</v>
      </c>
      <c r="GG114" s="1162">
        <f t="shared" si="113"/>
        <v>-1</v>
      </c>
      <c r="GH114" s="1158">
        <f>GH49+GH64-GH113</f>
        <v>-4101199</v>
      </c>
      <c r="GI114" s="1159">
        <f t="shared" si="835"/>
        <v>-1.02529975</v>
      </c>
      <c r="GJ114" s="3"/>
      <c r="GK114" s="1160">
        <f>GK49+GK64-GK113</f>
        <v>-2061199.04</v>
      </c>
      <c r="GL114" s="1159">
        <f t="shared" si="836"/>
        <v>-0.3412581215</v>
      </c>
      <c r="GM114" s="3"/>
      <c r="GN114" s="1160">
        <f>GN49+GN64-GN113</f>
        <v>0</v>
      </c>
      <c r="GO114" s="1159" t="str">
        <f t="shared" si="837"/>
        <v/>
      </c>
      <c r="GP114" s="3"/>
      <c r="GQ114" s="1161">
        <f t="shared" si="643"/>
        <v>4101199</v>
      </c>
      <c r="GR114" s="1162">
        <f t="shared" si="118"/>
        <v>-1</v>
      </c>
      <c r="GS114" s="1161">
        <f t="shared" si="644"/>
        <v>2061199.04</v>
      </c>
      <c r="GT114" s="1162">
        <f t="shared" si="120"/>
        <v>-1</v>
      </c>
      <c r="GU114" s="1158">
        <f>GU49+GU64-GU113</f>
        <v>-4101199</v>
      </c>
      <c r="GV114" s="1159">
        <f t="shared" si="838"/>
        <v>-1.02529975</v>
      </c>
      <c r="GW114" s="3"/>
      <c r="GX114" s="1160">
        <f>GX49+GX64-GX113</f>
        <v>-2061199.04</v>
      </c>
      <c r="GY114" s="1159">
        <f t="shared" si="839"/>
        <v>-0.3412581215</v>
      </c>
      <c r="GZ114" s="3"/>
      <c r="HA114" s="1160">
        <f>HA49+HA64-HA113</f>
        <v>0</v>
      </c>
      <c r="HB114" s="1159" t="str">
        <f t="shared" si="840"/>
        <v/>
      </c>
      <c r="HC114" s="3"/>
      <c r="HD114" s="1161">
        <f t="shared" si="651"/>
        <v>4101199</v>
      </c>
      <c r="HE114" s="1162">
        <f t="shared" si="125"/>
        <v>-1</v>
      </c>
      <c r="HF114" s="1161">
        <f t="shared" si="652"/>
        <v>2061199.04</v>
      </c>
      <c r="HG114" s="1162">
        <f t="shared" si="127"/>
        <v>-1</v>
      </c>
      <c r="HH114" s="1158">
        <f t="shared" si="924"/>
        <v>-12303597</v>
      </c>
      <c r="HI114" s="1159">
        <f t="shared" si="841"/>
        <v>-1.02529975</v>
      </c>
      <c r="HJ114" s="3"/>
      <c r="HK114" s="1160">
        <f t="shared" si="656"/>
        <v>-6183597.12</v>
      </c>
      <c r="HL114" s="1159">
        <f t="shared" si="842"/>
        <v>-0.3412581215</v>
      </c>
      <c r="HM114" s="3"/>
      <c r="HN114" s="1160">
        <f t="shared" si="659"/>
        <v>0</v>
      </c>
      <c r="HO114" s="1159" t="str">
        <f t="shared" si="843"/>
        <v/>
      </c>
      <c r="HP114" s="3"/>
      <c r="HQ114" s="1161">
        <f t="shared" si="662"/>
        <v>12303597</v>
      </c>
      <c r="HR114" s="1162">
        <f t="shared" si="135"/>
        <v>-1</v>
      </c>
      <c r="HS114" s="1161">
        <f t="shared" si="663"/>
        <v>6183597.12</v>
      </c>
      <c r="HT114" s="1162">
        <f t="shared" si="137"/>
        <v>-1</v>
      </c>
      <c r="HU114" s="1158">
        <f t="shared" si="925"/>
        <v>-24607194</v>
      </c>
      <c r="HV114" s="1159">
        <f t="shared" si="844"/>
        <v>-1.02529975</v>
      </c>
      <c r="HW114" s="3"/>
      <c r="HX114" s="1160">
        <f t="shared" si="667"/>
        <v>-12367194.24</v>
      </c>
      <c r="HY114" s="1159">
        <f t="shared" si="845"/>
        <v>-0.3412581215</v>
      </c>
      <c r="HZ114" s="3"/>
      <c r="IA114" s="1160">
        <f t="shared" si="670"/>
        <v>0</v>
      </c>
      <c r="IB114" s="1159" t="str">
        <f t="shared" si="846"/>
        <v/>
      </c>
      <c r="IC114" s="3"/>
      <c r="ID114" s="1161">
        <f t="shared" si="673"/>
        <v>24607194</v>
      </c>
      <c r="IE114" s="1162">
        <f t="shared" si="145"/>
        <v>-1</v>
      </c>
      <c r="IF114" s="1161">
        <f t="shared" si="674"/>
        <v>12367194.24</v>
      </c>
      <c r="IG114" s="1162">
        <f t="shared" si="147"/>
        <v>-1</v>
      </c>
      <c r="IH114" s="1158">
        <f t="shared" si="926"/>
        <v>-38263048</v>
      </c>
      <c r="II114" s="1159">
        <f t="shared" si="847"/>
        <v>-1.062862444</v>
      </c>
      <c r="IJ114" s="3"/>
      <c r="IK114" s="1160">
        <f t="shared" si="678"/>
        <v>-16604752.62</v>
      </c>
      <c r="IL114" s="1159">
        <f t="shared" si="848"/>
        <v>-0.4005541051</v>
      </c>
      <c r="IM114" s="3"/>
      <c r="IN114" s="1160">
        <f t="shared" si="681"/>
        <v>203125.005</v>
      </c>
      <c r="IO114" s="1159">
        <f t="shared" si="849"/>
        <v>0.04675331307</v>
      </c>
      <c r="IP114" s="3"/>
      <c r="IQ114" s="1161">
        <f t="shared" si="684"/>
        <v>38466173.01</v>
      </c>
      <c r="IR114" s="1162">
        <f t="shared" si="1"/>
        <v>-1.005308647</v>
      </c>
      <c r="IS114" s="1161">
        <f t="shared" si="685"/>
        <v>16807877.63</v>
      </c>
      <c r="IT114" s="1162">
        <f t="shared" si="2"/>
        <v>-1.012232944</v>
      </c>
    </row>
    <row r="115">
      <c r="A115" s="1135"/>
      <c r="B115" s="1135"/>
      <c r="C115" s="1135"/>
      <c r="D115" s="1135" t="s">
        <v>2876</v>
      </c>
      <c r="E115" s="1135" t="s">
        <v>2877</v>
      </c>
      <c r="F115" s="1136">
        <v>711.0</v>
      </c>
      <c r="G115" s="1136">
        <v>2.0</v>
      </c>
      <c r="H115" s="1137">
        <f>SUMIFS(BP_SOTIEN,BP_THANG,H$2,BP_KM,$E115)/1000</f>
        <v>0</v>
      </c>
      <c r="I115" s="1138" t="str">
        <f t="shared" si="791"/>
        <v/>
      </c>
      <c r="J115" s="3"/>
      <c r="K115" s="1139">
        <f>IF(NOW()&gt;=DATE(YEAR(H$2),MONTH(H$2)+1,DAY(H$2)),SUMIFS(TF_SOTIEN,TF_THANG,H$2,TF_KM,$E115)/1000, N115)</f>
        <v>0</v>
      </c>
      <c r="L115" s="1138">
        <f t="shared" si="792"/>
        <v>0</v>
      </c>
      <c r="M115" s="3"/>
      <c r="N115" s="1139">
        <f>IF(NOW()&gt;=DATE(YEAR(H$2),MONTH(H$2)+1,DAY(H$2)),SUMIFS(AC_SOTIEN,AC_THANG,H$2,AC_KM,$E115),SUMIFS(TF_SOTIEN,TF_THANG,H$2,TF_KM,$E115))/ 1000</f>
        <v>0</v>
      </c>
      <c r="O115" s="1138">
        <f t="shared" si="793"/>
        <v>0</v>
      </c>
      <c r="P115" s="3"/>
      <c r="Q115" s="1163">
        <f t="shared" si="518"/>
        <v>0</v>
      </c>
      <c r="R115" s="1140" t="str">
        <f t="shared" si="8"/>
        <v/>
      </c>
      <c r="S115" s="1163">
        <f t="shared" si="519"/>
        <v>0</v>
      </c>
      <c r="T115" s="1140" t="str">
        <f t="shared" si="10"/>
        <v/>
      </c>
      <c r="U115" s="1137">
        <f>SUMIFS(BP_SOTIEN,BP_THANG,U$2,BP_KM,$E115)/1000</f>
        <v>0</v>
      </c>
      <c r="V115" s="1138" t="str">
        <f t="shared" si="794"/>
        <v/>
      </c>
      <c r="W115" s="3"/>
      <c r="X115" s="1139">
        <f>IF(NOW()&gt;=DATE(YEAR(U$2),MONTH(U$2)+1,DAY(U$2)),SUMIFS(TF_SOTIEN,TF_THANG,U$2,TF_KM,$E115)/1000, AA115)</f>
        <v>0</v>
      </c>
      <c r="Y115" s="1138" t="str">
        <f t="shared" si="795"/>
        <v/>
      </c>
      <c r="Z115" s="3"/>
      <c r="AA115" s="1139">
        <f>IF(NOW()&gt;=DATE(YEAR(U$2),MONTH(U$2)+1,DAY(U$2)),SUMIFS(AC_SOTIEN,AC_THANG,U$2,AC_KM,$E115),SUMIFS(TF_SOTIEN,TF_THANG,U$2,TF_KM,$E115))/ 1000</f>
        <v>0</v>
      </c>
      <c r="AB115" s="1138">
        <f t="shared" si="796"/>
        <v>0</v>
      </c>
      <c r="AC115" s="3"/>
      <c r="AD115" s="1163">
        <f t="shared" si="526"/>
        <v>0</v>
      </c>
      <c r="AE115" s="1140" t="str">
        <f t="shared" si="15"/>
        <v/>
      </c>
      <c r="AF115" s="1163">
        <f t="shared" si="527"/>
        <v>0</v>
      </c>
      <c r="AG115" s="1140" t="str">
        <f t="shared" si="17"/>
        <v/>
      </c>
      <c r="AH115" s="1137">
        <f>SUMIFS(BP_SOTIEN,BP_THANG,AH$2,BP_KM,$E115)/1000</f>
        <v>0</v>
      </c>
      <c r="AI115" s="1138" t="str">
        <f t="shared" si="797"/>
        <v/>
      </c>
      <c r="AJ115" s="3"/>
      <c r="AK115" s="1139">
        <f>IF(NOW()&gt;=DATE(YEAR(AH$2),MONTH(AH$2)+1,DAY(AH$2)),SUMIFS(TF_SOTIEN,TF_THANG,AH$2,TF_KM,$E115)/1000, AN115)</f>
        <v>0</v>
      </c>
      <c r="AL115" s="1138">
        <f t="shared" si="798"/>
        <v>0</v>
      </c>
      <c r="AM115" s="3"/>
      <c r="AN115" s="1139">
        <f>IF(NOW()&gt;=DATE(YEAR(AH$2),MONTH(AH$2)+1,DAY(AH$2)),SUMIFS(AC_SOTIEN,AC_THANG,AH$2,AC_KM,$E115),SUMIFS(TF_SOTIEN,TF_THANG,AH$2,TF_KM,$E115))/ 1000</f>
        <v>0</v>
      </c>
      <c r="AO115" s="1138">
        <f t="shared" si="799"/>
        <v>0</v>
      </c>
      <c r="AP115" s="3"/>
      <c r="AQ115" s="1163">
        <f t="shared" si="534"/>
        <v>0</v>
      </c>
      <c r="AR115" s="1140" t="str">
        <f t="shared" si="22"/>
        <v/>
      </c>
      <c r="AS115" s="1163">
        <f t="shared" si="535"/>
        <v>0</v>
      </c>
      <c r="AT115" s="1140" t="str">
        <f t="shared" si="24"/>
        <v/>
      </c>
      <c r="AU115" s="1137">
        <f t="shared" si="916"/>
        <v>0</v>
      </c>
      <c r="AV115" s="1138" t="str">
        <f t="shared" si="800"/>
        <v/>
      </c>
      <c r="AW115" s="3"/>
      <c r="AX115" s="1139">
        <f t="shared" si="917"/>
        <v>0</v>
      </c>
      <c r="AY115" s="1138">
        <f t="shared" si="801"/>
        <v>0</v>
      </c>
      <c r="AZ115" s="3"/>
      <c r="BA115" s="1139">
        <f t="shared" si="918"/>
        <v>0</v>
      </c>
      <c r="BB115" s="1138">
        <f t="shared" si="802"/>
        <v>0</v>
      </c>
      <c r="BC115" s="3"/>
      <c r="BD115" s="1163">
        <f t="shared" si="545"/>
        <v>0</v>
      </c>
      <c r="BE115" s="1140" t="str">
        <f t="shared" si="32"/>
        <v/>
      </c>
      <c r="BF115" s="1163">
        <f t="shared" si="546"/>
        <v>0</v>
      </c>
      <c r="BG115" s="1140" t="str">
        <f t="shared" si="34"/>
        <v/>
      </c>
      <c r="BH115" s="1137">
        <f>SUMIFS(BP_SOTIEN,BP_THANG,BH$2,BP_KM,$E115)/1000</f>
        <v>0</v>
      </c>
      <c r="BI115" s="1138">
        <f t="shared" si="803"/>
        <v>0</v>
      </c>
      <c r="BJ115" s="3"/>
      <c r="BK115" s="1139">
        <f>IF(NOW()&gt;=DATE(YEAR(BH$2),MONTH(BH$2)+1,DAY(BH$2)),SUMIFS(TF_SOTIEN,TF_THANG,BH$2,TF_KM,$E115)/1000, BN115)</f>
        <v>0</v>
      </c>
      <c r="BL115" s="1138" t="str">
        <f t="shared" si="804"/>
        <v/>
      </c>
      <c r="BM115" s="3"/>
      <c r="BN115" s="1139">
        <f>IF(NOW()&gt;=DATE(YEAR(BH$2),MONTH(BH$2)+1,DAY(BH$2)),SUMIFS(AC_SOTIEN,AC_THANG,BH$2,AC_KM,$E115),SUMIFS(TF_SOTIEN,TF_THANG,BH$2,TF_KM,$E115))/ 1000</f>
        <v>0</v>
      </c>
      <c r="BO115" s="1138">
        <f t="shared" si="805"/>
        <v>0</v>
      </c>
      <c r="BP115" s="3"/>
      <c r="BQ115" s="1163">
        <f t="shared" si="553"/>
        <v>0</v>
      </c>
      <c r="BR115" s="1140" t="str">
        <f t="shared" si="39"/>
        <v/>
      </c>
      <c r="BS115" s="1163">
        <f t="shared" si="554"/>
        <v>0</v>
      </c>
      <c r="BT115" s="1140" t="str">
        <f t="shared" si="41"/>
        <v/>
      </c>
      <c r="BU115" s="1137">
        <f>SUMIFS(BP_SOTIEN,BP_THANG,BU$2,BP_KM,$E115)/1000</f>
        <v>0</v>
      </c>
      <c r="BV115" s="1138">
        <f t="shared" si="806"/>
        <v>0</v>
      </c>
      <c r="BW115" s="3"/>
      <c r="BX115" s="1139">
        <f>IF(NOW()&gt;=DATE(YEAR(BU$2),MONTH(BU$2)+1,DAY(BU$2)),SUMIFS(TF_SOTIEN,TF_THANG,BU$2,TF_KM,$E115)/1000, CA115)</f>
        <v>0</v>
      </c>
      <c r="BY115" s="1138">
        <f t="shared" si="807"/>
        <v>0</v>
      </c>
      <c r="BZ115" s="3"/>
      <c r="CA115" s="1139">
        <f>IF(NOW()&gt;=DATE(YEAR(BU$2),MONTH(BU$2)+1,DAY(BU$2)),SUMIFS(AC_SOTIEN,AC_THANG,BU$2,AC_KM,$E115),SUMIFS(TF_SOTIEN,TF_THANG,BU$2,TF_KM,$E115))/ 1000</f>
        <v>0</v>
      </c>
      <c r="CB115" s="1138">
        <f t="shared" si="808"/>
        <v>0</v>
      </c>
      <c r="CC115" s="3"/>
      <c r="CD115" s="1163">
        <f t="shared" si="561"/>
        <v>0</v>
      </c>
      <c r="CE115" s="1140" t="str">
        <f t="shared" si="46"/>
        <v/>
      </c>
      <c r="CF115" s="1163">
        <f t="shared" si="562"/>
        <v>0</v>
      </c>
      <c r="CG115" s="1140" t="str">
        <f t="shared" si="48"/>
        <v/>
      </c>
      <c r="CH115" s="1137">
        <f>SUMIFS(BP_SOTIEN,BP_THANG,CH$2,BP_KM,$E115)/1000</f>
        <v>0</v>
      </c>
      <c r="CI115" s="1138">
        <f t="shared" si="809"/>
        <v>0</v>
      </c>
      <c r="CJ115" s="3"/>
      <c r="CK115" s="1139">
        <f>IF(NOW()&gt;=DATE(YEAR(CH$2),MONTH(CH$2)+1,DAY(CH$2)),SUMIFS(TF_SOTIEN,TF_THANG,CH$2,TF_KM,$E115)/1000, CN115)</f>
        <v>0</v>
      </c>
      <c r="CL115" s="1138" t="str">
        <f t="shared" si="810"/>
        <v/>
      </c>
      <c r="CM115" s="3"/>
      <c r="CN115" s="1139">
        <f>IF(NOW()&gt;=DATE(YEAR(CH$2),MONTH(CH$2)+1,DAY(CH$2)),SUMIFS(AC_SOTIEN,AC_THANG,CH$2,AC_KM,$E115),SUMIFS(TF_SOTIEN,TF_THANG,CH$2,TF_KM,$E115))/ 1000</f>
        <v>0</v>
      </c>
      <c r="CO115" s="1138" t="str">
        <f t="shared" si="811"/>
        <v/>
      </c>
      <c r="CP115" s="3"/>
      <c r="CQ115" s="1163">
        <f t="shared" si="569"/>
        <v>0</v>
      </c>
      <c r="CR115" s="1140" t="str">
        <f t="shared" si="53"/>
        <v/>
      </c>
      <c r="CS115" s="1163">
        <f t="shared" si="570"/>
        <v>0</v>
      </c>
      <c r="CT115" s="1140" t="str">
        <f t="shared" si="55"/>
        <v/>
      </c>
      <c r="CU115" s="1137">
        <f t="shared" si="919"/>
        <v>0</v>
      </c>
      <c r="CV115" s="1138">
        <f t="shared" si="812"/>
        <v>0</v>
      </c>
      <c r="CW115" s="3"/>
      <c r="CX115" s="1139">
        <f t="shared" si="920"/>
        <v>0</v>
      </c>
      <c r="CY115" s="1138">
        <f t="shared" si="814"/>
        <v>0</v>
      </c>
      <c r="CZ115" s="3"/>
      <c r="DA115" s="1139">
        <f t="shared" si="921"/>
        <v>0</v>
      </c>
      <c r="DB115" s="1138">
        <f t="shared" si="816"/>
        <v>0</v>
      </c>
      <c r="DC115" s="3"/>
      <c r="DD115" s="1163">
        <f t="shared" si="580"/>
        <v>0</v>
      </c>
      <c r="DE115" s="1140" t="str">
        <f t="shared" si="63"/>
        <v/>
      </c>
      <c r="DF115" s="1163">
        <f t="shared" si="581"/>
        <v>0</v>
      </c>
      <c r="DG115" s="1140" t="str">
        <f t="shared" si="65"/>
        <v/>
      </c>
      <c r="DH115" s="1137">
        <f t="shared" si="922"/>
        <v>0</v>
      </c>
      <c r="DI115" s="1138">
        <f t="shared" si="817"/>
        <v>0</v>
      </c>
      <c r="DJ115" s="3"/>
      <c r="DK115" s="1139">
        <f t="shared" si="585"/>
        <v>0</v>
      </c>
      <c r="DL115" s="1138">
        <f t="shared" si="818"/>
        <v>0</v>
      </c>
      <c r="DM115" s="3"/>
      <c r="DN115" s="1139">
        <f t="shared" si="588"/>
        <v>0</v>
      </c>
      <c r="DO115" s="1138">
        <f t="shared" si="819"/>
        <v>0</v>
      </c>
      <c r="DP115" s="3"/>
      <c r="DQ115" s="1163">
        <f t="shared" si="591"/>
        <v>0</v>
      </c>
      <c r="DR115" s="1140" t="str">
        <f t="shared" si="73"/>
        <v/>
      </c>
      <c r="DS115" s="1163">
        <f t="shared" si="592"/>
        <v>0</v>
      </c>
      <c r="DT115" s="1140" t="str">
        <f t="shared" si="75"/>
        <v/>
      </c>
      <c r="DU115" s="1137">
        <f>SUMIFS(BP_SOTIEN,BP_THANG,DU$2,BP_KM,$E115)/1000</f>
        <v>0</v>
      </c>
      <c r="DV115" s="1138">
        <f t="shared" si="820"/>
        <v>0</v>
      </c>
      <c r="DW115" s="3"/>
      <c r="DX115" s="1139">
        <f>IF(NOW()&gt;=DATE(YEAR(DU$2),MONTH(DU$2)+1,DAY(DU$2)),SUMIFS(TF_SOTIEN,TF_THANG,DU$2,TF_KM,$E115)/1000, EA115)</f>
        <v>0</v>
      </c>
      <c r="DY115" s="1138">
        <f t="shared" si="821"/>
        <v>0</v>
      </c>
      <c r="DZ115" s="3"/>
      <c r="EA115" s="1139">
        <f>IF(NOW()&gt;=DATE(YEAR(DU$2),MONTH(DU$2)+1,DAY(DU$2)),SUMIFS(AC_SOTIEN,AC_THANG,DU$2,AC_KM,$E115),SUMIFS(TF_SOTIEN,TF_THANG,DU$2,TF_KM,$E115))/ 1000</f>
        <v>0</v>
      </c>
      <c r="EB115" s="1138" t="str">
        <f t="shared" si="822"/>
        <v/>
      </c>
      <c r="EC115" s="3"/>
      <c r="ED115" s="1163">
        <f t="shared" si="599"/>
        <v>0</v>
      </c>
      <c r="EE115" s="1140" t="str">
        <f t="shared" si="80"/>
        <v/>
      </c>
      <c r="EF115" s="1163">
        <f t="shared" si="600"/>
        <v>0</v>
      </c>
      <c r="EG115" s="1140" t="str">
        <f t="shared" si="82"/>
        <v/>
      </c>
      <c r="EH115" s="1137">
        <f>SUMIFS(BP_SOTIEN,BP_THANG,EH$2,BP_KM,$E115)/1000</f>
        <v>0</v>
      </c>
      <c r="EI115" s="1138">
        <f t="shared" si="823"/>
        <v>0</v>
      </c>
      <c r="EJ115" s="3"/>
      <c r="EK115" s="1139">
        <f>IF(NOW()&gt;=DATE(YEAR(EH$2),MONTH(EH$2)+1,DAY(EH$2)),SUMIFS(TF_SOTIEN,TF_THANG,EH$2,TF_KM,$E115)/1000, EN115)</f>
        <v>0</v>
      </c>
      <c r="EL115" s="1138">
        <f t="shared" si="824"/>
        <v>0</v>
      </c>
      <c r="EM115" s="3"/>
      <c r="EN115" s="1139">
        <f>IF(NOW()&gt;=DATE(YEAR(EH$2),MONTH(EH$2)+1,DAY(EH$2)),SUMIFS(AC_SOTIEN,AC_THANG,EH$2,AC_KM,$E115),SUMIFS(TF_SOTIEN,TF_THANG,EH$2,TF_KM,$E115))/ 1000</f>
        <v>0</v>
      </c>
      <c r="EO115" s="1138" t="str">
        <f t="shared" si="825"/>
        <v/>
      </c>
      <c r="EP115" s="3"/>
      <c r="EQ115" s="1163">
        <f t="shared" si="607"/>
        <v>0</v>
      </c>
      <c r="ER115" s="1140" t="str">
        <f t="shared" si="87"/>
        <v/>
      </c>
      <c r="ES115" s="1163">
        <f t="shared" si="608"/>
        <v>0</v>
      </c>
      <c r="ET115" s="1140" t="str">
        <f t="shared" si="89"/>
        <v/>
      </c>
      <c r="EU115" s="1137">
        <f>SUMIFS(BP_SOTIEN,BP_THANG,EU$2,BP_KM,$E115)/1000</f>
        <v>0</v>
      </c>
      <c r="EV115" s="1138">
        <f t="shared" si="826"/>
        <v>0</v>
      </c>
      <c r="EW115" s="3"/>
      <c r="EX115" s="1139">
        <f>IF(NOW()&gt;=DATE(YEAR(EU$2),MONTH(EU$2)+1,DAY(EU$2)),SUMIFS(TF_SOTIEN,TF_THANG,EU$2,TF_KM,$E115)/1000, FA115)</f>
        <v>0</v>
      </c>
      <c r="EY115" s="1138">
        <f t="shared" si="827"/>
        <v>0</v>
      </c>
      <c r="EZ115" s="3"/>
      <c r="FA115" s="1139">
        <f>IF(NOW()&gt;=DATE(YEAR(EU$2),MONTH(EU$2)+1,DAY(EU$2)),SUMIFS(AC_SOTIEN,AC_THANG,EU$2,AC_KM,$E115),SUMIFS(TF_SOTIEN,TF_THANG,EU$2,TF_KM,$E115))/ 1000</f>
        <v>0</v>
      </c>
      <c r="FB115" s="1138" t="str">
        <f t="shared" si="828"/>
        <v/>
      </c>
      <c r="FC115" s="3"/>
      <c r="FD115" s="1163">
        <f t="shared" si="616"/>
        <v>0</v>
      </c>
      <c r="FE115" s="1140" t="str">
        <f t="shared" si="94"/>
        <v/>
      </c>
      <c r="FF115" s="1163">
        <f t="shared" si="617"/>
        <v>0</v>
      </c>
      <c r="FG115" s="1140" t="str">
        <f t="shared" si="96"/>
        <v/>
      </c>
      <c r="FH115" s="1137">
        <f t="shared" si="923"/>
        <v>0</v>
      </c>
      <c r="FI115" s="1138">
        <f t="shared" si="829"/>
        <v>0</v>
      </c>
      <c r="FJ115" s="3"/>
      <c r="FK115" s="1139">
        <f t="shared" si="621"/>
        <v>0</v>
      </c>
      <c r="FL115" s="1138">
        <f t="shared" si="830"/>
        <v>0</v>
      </c>
      <c r="FM115" s="3"/>
      <c r="FN115" s="1139">
        <f t="shared" si="624"/>
        <v>0</v>
      </c>
      <c r="FO115" s="1138" t="str">
        <f t="shared" si="831"/>
        <v/>
      </c>
      <c r="FP115" s="3"/>
      <c r="FQ115" s="1163">
        <f t="shared" si="627"/>
        <v>0</v>
      </c>
      <c r="FR115" s="1140" t="str">
        <f t="shared" si="104"/>
        <v/>
      </c>
      <c r="FS115" s="1163">
        <f t="shared" si="628"/>
        <v>0</v>
      </c>
      <c r="FT115" s="1140" t="str">
        <f t="shared" si="106"/>
        <v/>
      </c>
      <c r="FU115" s="1137">
        <f>SUMIFS(BP_SOTIEN,BP_THANG,FU$2,BP_KM,$E115)/1000</f>
        <v>0</v>
      </c>
      <c r="FV115" s="1138">
        <f t="shared" si="832"/>
        <v>0</v>
      </c>
      <c r="FW115" s="3"/>
      <c r="FX115" s="1139">
        <f>IF(NOW()&gt;=DATE(YEAR(FU$2),MONTH(FU$2)+1,DAY(FU$2)),SUMIFS(TF_SOTIEN,TF_THANG,FU$2,TF_KM,$E115)/1000, GA115)</f>
        <v>0</v>
      </c>
      <c r="FY115" s="1138">
        <f t="shared" si="833"/>
        <v>0</v>
      </c>
      <c r="FZ115" s="3"/>
      <c r="GA115" s="1139">
        <f>IF(NOW()&gt;=DATE(YEAR(FU$2),MONTH(FU$2)+1,DAY(FU$2)),SUMIFS(AC_SOTIEN,AC_THANG,FU$2,AC_KM,$E115),SUMIFS(TF_SOTIEN,TF_THANG,FU$2,TF_KM,$E115))/ 1000</f>
        <v>0</v>
      </c>
      <c r="GB115" s="1138" t="str">
        <f t="shared" si="834"/>
        <v/>
      </c>
      <c r="GC115" s="3"/>
      <c r="GD115" s="1163">
        <f t="shared" si="635"/>
        <v>0</v>
      </c>
      <c r="GE115" s="1140" t="str">
        <f t="shared" si="111"/>
        <v/>
      </c>
      <c r="GF115" s="1163">
        <f t="shared" si="636"/>
        <v>0</v>
      </c>
      <c r="GG115" s="1140" t="str">
        <f t="shared" si="113"/>
        <v/>
      </c>
      <c r="GH115" s="1137">
        <f>SUMIFS(BP_SOTIEN,BP_THANG,GH$2,BP_KM,$E115)/1000</f>
        <v>0</v>
      </c>
      <c r="GI115" s="1138">
        <f t="shared" si="835"/>
        <v>0</v>
      </c>
      <c r="GJ115" s="3"/>
      <c r="GK115" s="1139">
        <f>IF(NOW()&gt;=DATE(YEAR(GH$2),MONTH(GH$2)+1,DAY(GH$2)),SUMIFS(TF_SOTIEN,TF_THANG,GH$2,TF_KM,$E115)/1000, GN115)</f>
        <v>0</v>
      </c>
      <c r="GL115" s="1138">
        <f t="shared" si="836"/>
        <v>0</v>
      </c>
      <c r="GM115" s="3"/>
      <c r="GN115" s="1139">
        <f>IF(NOW()&gt;=DATE(YEAR(GH$2),MONTH(GH$2)+1,DAY(GH$2)),SUMIFS(AC_SOTIEN,AC_THANG,GH$2,AC_KM,$E115),SUMIFS(TF_SOTIEN,TF_THANG,GH$2,TF_KM,$E115))/ 1000</f>
        <v>0</v>
      </c>
      <c r="GO115" s="1138" t="str">
        <f t="shared" si="837"/>
        <v/>
      </c>
      <c r="GP115" s="3"/>
      <c r="GQ115" s="1163">
        <f t="shared" si="643"/>
        <v>0</v>
      </c>
      <c r="GR115" s="1140" t="str">
        <f t="shared" si="118"/>
        <v/>
      </c>
      <c r="GS115" s="1163">
        <f t="shared" si="644"/>
        <v>0</v>
      </c>
      <c r="GT115" s="1140" t="str">
        <f t="shared" si="120"/>
        <v/>
      </c>
      <c r="GU115" s="1137">
        <f>SUMIFS(BP_SOTIEN,BP_THANG,GU$2,BP_KM,$E115)/1000</f>
        <v>0</v>
      </c>
      <c r="GV115" s="1138">
        <f t="shared" si="838"/>
        <v>0</v>
      </c>
      <c r="GW115" s="3"/>
      <c r="GX115" s="1139">
        <f>IF(NOW()&gt;=DATE(YEAR(GU$2),MONTH(GU$2)+1,DAY(GU$2)),SUMIFS(TF_SOTIEN,TF_THANG,GU$2,TF_KM,$E115)/1000, HA115)</f>
        <v>0</v>
      </c>
      <c r="GY115" s="1138">
        <f t="shared" si="839"/>
        <v>0</v>
      </c>
      <c r="GZ115" s="3"/>
      <c r="HA115" s="1139">
        <f>IF(NOW()&gt;=DATE(YEAR(GU$2),MONTH(GU$2)+1,DAY(GU$2)),SUMIFS(AC_SOTIEN,AC_THANG,GU$2,AC_KM,$E115),SUMIFS(TF_SOTIEN,TF_THANG,GU$2,TF_KM,$E115))/ 1000</f>
        <v>0</v>
      </c>
      <c r="HB115" s="1138" t="str">
        <f t="shared" si="840"/>
        <v/>
      </c>
      <c r="HC115" s="3"/>
      <c r="HD115" s="1163">
        <f t="shared" si="651"/>
        <v>0</v>
      </c>
      <c r="HE115" s="1140" t="str">
        <f t="shared" si="125"/>
        <v/>
      </c>
      <c r="HF115" s="1163">
        <f t="shared" si="652"/>
        <v>0</v>
      </c>
      <c r="HG115" s="1140" t="str">
        <f t="shared" si="127"/>
        <v/>
      </c>
      <c r="HH115" s="1137">
        <f t="shared" si="924"/>
        <v>0</v>
      </c>
      <c r="HI115" s="1138">
        <f t="shared" si="841"/>
        <v>0</v>
      </c>
      <c r="HJ115" s="3"/>
      <c r="HK115" s="1139">
        <f t="shared" si="656"/>
        <v>0</v>
      </c>
      <c r="HL115" s="1138">
        <f t="shared" si="842"/>
        <v>0</v>
      </c>
      <c r="HM115" s="3"/>
      <c r="HN115" s="1139">
        <f t="shared" si="659"/>
        <v>0</v>
      </c>
      <c r="HO115" s="1138" t="str">
        <f t="shared" si="843"/>
        <v/>
      </c>
      <c r="HP115" s="3"/>
      <c r="HQ115" s="1163">
        <f t="shared" si="662"/>
        <v>0</v>
      </c>
      <c r="HR115" s="1140" t="str">
        <f t="shared" si="135"/>
        <v/>
      </c>
      <c r="HS115" s="1163">
        <f t="shared" si="663"/>
        <v>0</v>
      </c>
      <c r="HT115" s="1140" t="str">
        <f t="shared" si="137"/>
        <v/>
      </c>
      <c r="HU115" s="1137">
        <f t="shared" si="925"/>
        <v>0</v>
      </c>
      <c r="HV115" s="1138">
        <f t="shared" si="844"/>
        <v>0</v>
      </c>
      <c r="HW115" s="3"/>
      <c r="HX115" s="1139">
        <f t="shared" si="667"/>
        <v>0</v>
      </c>
      <c r="HY115" s="1138">
        <f t="shared" si="845"/>
        <v>0</v>
      </c>
      <c r="HZ115" s="3"/>
      <c r="IA115" s="1139">
        <f t="shared" si="670"/>
        <v>0</v>
      </c>
      <c r="IB115" s="1138" t="str">
        <f t="shared" si="846"/>
        <v/>
      </c>
      <c r="IC115" s="3"/>
      <c r="ID115" s="1163">
        <f t="shared" si="673"/>
        <v>0</v>
      </c>
      <c r="IE115" s="1140" t="str">
        <f t="shared" si="145"/>
        <v/>
      </c>
      <c r="IF115" s="1163">
        <f t="shared" si="674"/>
        <v>0</v>
      </c>
      <c r="IG115" s="1140" t="str">
        <f t="shared" si="147"/>
        <v/>
      </c>
      <c r="IH115" s="1137">
        <f t="shared" si="926"/>
        <v>0</v>
      </c>
      <c r="II115" s="1138">
        <f t="shared" si="847"/>
        <v>0</v>
      </c>
      <c r="IJ115" s="3"/>
      <c r="IK115" s="1139">
        <f t="shared" si="678"/>
        <v>0</v>
      </c>
      <c r="IL115" s="1138">
        <f t="shared" si="848"/>
        <v>0</v>
      </c>
      <c r="IM115" s="3"/>
      <c r="IN115" s="1139">
        <f t="shared" si="681"/>
        <v>0</v>
      </c>
      <c r="IO115" s="1138">
        <f t="shared" si="849"/>
        <v>0</v>
      </c>
      <c r="IP115" s="3"/>
      <c r="IQ115" s="1163">
        <f t="shared" si="684"/>
        <v>0</v>
      </c>
      <c r="IR115" s="1140" t="str">
        <f t="shared" si="1"/>
        <v/>
      </c>
      <c r="IS115" s="1163">
        <f t="shared" si="685"/>
        <v>0</v>
      </c>
      <c r="IT115" s="1140" t="str">
        <f t="shared" si="2"/>
        <v/>
      </c>
    </row>
    <row r="116">
      <c r="A116" s="1108"/>
      <c r="B116" s="1108"/>
      <c r="C116" s="1108"/>
      <c r="D116" s="1108" t="s">
        <v>2090</v>
      </c>
      <c r="E116" s="1108" t="s">
        <v>380</v>
      </c>
      <c r="F116" s="1141">
        <v>811.0</v>
      </c>
      <c r="G116" s="1141">
        <v>2.0</v>
      </c>
      <c r="H116" s="1110">
        <f>SUMIFS(BP_SOTIEN,BP_THANG,H$2,BP_KM,$E116)/1000</f>
        <v>0</v>
      </c>
      <c r="I116" s="1111" t="str">
        <f t="shared" si="791"/>
        <v/>
      </c>
      <c r="J116" s="3"/>
      <c r="K116" s="1142">
        <f>IF(NOW()&gt;=DATE(YEAR(H$2),MONTH(H$2)+1,DAY(H$2)),SUMIFS(TF_SOTIEN,TF_THANG,H$2,TF_KM,$E116)/1000, N116)</f>
        <v>0</v>
      </c>
      <c r="L116" s="1111">
        <f t="shared" si="792"/>
        <v>0</v>
      </c>
      <c r="M116" s="3"/>
      <c r="N116" s="1142">
        <f>IF(NOW()&gt;=DATE(YEAR(H$2),MONTH(H$2)+1,DAY(H$2)),SUMIFS(AC_SOTIEN,AC_THANG,H$2,AC_KM,$E116),SUMIFS(TF_SOTIEN,TF_THANG,H$2,TF_KM,$E116))/ 1000</f>
        <v>0</v>
      </c>
      <c r="O116" s="1111">
        <f t="shared" si="793"/>
        <v>0</v>
      </c>
      <c r="P116" s="3"/>
      <c r="Q116" s="1143">
        <f t="shared" si="518"/>
        <v>0</v>
      </c>
      <c r="R116" s="1112" t="str">
        <f t="shared" si="8"/>
        <v/>
      </c>
      <c r="S116" s="1143">
        <f t="shared" si="519"/>
        <v>0</v>
      </c>
      <c r="T116" s="1144" t="str">
        <f t="shared" si="10"/>
        <v/>
      </c>
      <c r="U116" s="1110">
        <f>SUMIFS(BP_SOTIEN,BP_THANG,U$2,BP_KM,$E116)/1000</f>
        <v>0</v>
      </c>
      <c r="V116" s="1111" t="str">
        <f t="shared" si="794"/>
        <v/>
      </c>
      <c r="W116" s="3"/>
      <c r="X116" s="1142">
        <f>IF(NOW()&gt;=DATE(YEAR(U$2),MONTH(U$2)+1,DAY(U$2)),SUMIFS(TF_SOTIEN,TF_THANG,U$2,TF_KM,$E116)/1000, AA116)</f>
        <v>503.6</v>
      </c>
      <c r="Y116" s="1111" t="str">
        <f t="shared" si="795"/>
        <v/>
      </c>
      <c r="Z116" s="3"/>
      <c r="AA116" s="1142">
        <f>IF(NOW()&gt;=DATE(YEAR(U$2),MONTH(U$2)+1,DAY(U$2)),SUMIFS(AC_SOTIEN,AC_THANG,U$2,AC_KM,$E116),SUMIFS(TF_SOTIEN,TF_THANG,U$2,TF_KM,$E116))/ 1000</f>
        <v>160.001</v>
      </c>
      <c r="AB116" s="1111">
        <f t="shared" si="796"/>
        <v>0.0008888944444</v>
      </c>
      <c r="AC116" s="3"/>
      <c r="AD116" s="1143">
        <f t="shared" si="526"/>
        <v>160.001</v>
      </c>
      <c r="AE116" s="1112" t="str">
        <f t="shared" si="15"/>
        <v/>
      </c>
      <c r="AF116" s="1143">
        <f t="shared" si="527"/>
        <v>-343.599</v>
      </c>
      <c r="AG116" s="1144">
        <f t="shared" si="17"/>
        <v>-0.6822855441</v>
      </c>
      <c r="AH116" s="1110">
        <f>SUMIFS(BP_SOTIEN,BP_THANG,AH$2,BP_KM,$E116)/1000</f>
        <v>0</v>
      </c>
      <c r="AI116" s="1111" t="str">
        <f t="shared" si="797"/>
        <v/>
      </c>
      <c r="AJ116" s="3"/>
      <c r="AK116" s="1142">
        <f>IF(NOW()&gt;=DATE(YEAR(AH$2),MONTH(AH$2)+1,DAY(AH$2)),SUMIFS(TF_SOTIEN,TF_THANG,AH$2,TF_KM,$E116)/1000, AN116)</f>
        <v>503.6</v>
      </c>
      <c r="AL116" s="1111">
        <f t="shared" si="798"/>
        <v>0.0001398888889</v>
      </c>
      <c r="AM116" s="3"/>
      <c r="AN116" s="1142">
        <f>IF(NOW()&gt;=DATE(YEAR(AH$2),MONTH(AH$2)+1,DAY(AH$2)),SUMIFS(AC_SOTIEN,AC_THANG,AH$2,AC_KM,$E116),SUMIFS(TF_SOTIEN,TF_THANG,AH$2,TF_KM,$E116))/ 1000</f>
        <v>0</v>
      </c>
      <c r="AO116" s="1111">
        <f t="shared" si="799"/>
        <v>0</v>
      </c>
      <c r="AP116" s="3"/>
      <c r="AQ116" s="1143">
        <f t="shared" si="534"/>
        <v>0</v>
      </c>
      <c r="AR116" s="1112" t="str">
        <f t="shared" si="22"/>
        <v/>
      </c>
      <c r="AS116" s="1143">
        <f t="shared" si="535"/>
        <v>-503.6</v>
      </c>
      <c r="AT116" s="1144">
        <f t="shared" si="24"/>
        <v>-1</v>
      </c>
      <c r="AU116" s="1110">
        <f t="shared" si="916"/>
        <v>0</v>
      </c>
      <c r="AV116" s="1111" t="str">
        <f t="shared" si="800"/>
        <v/>
      </c>
      <c r="AW116" s="3"/>
      <c r="AX116" s="1142">
        <f t="shared" si="917"/>
        <v>1007.2</v>
      </c>
      <c r="AY116" s="1111">
        <f t="shared" si="801"/>
        <v>0.0002707526882</v>
      </c>
      <c r="AZ116" s="3"/>
      <c r="BA116" s="1142">
        <f t="shared" si="918"/>
        <v>160.001</v>
      </c>
      <c r="BB116" s="1111">
        <f t="shared" si="802"/>
        <v>0.0001346809764</v>
      </c>
      <c r="BC116" s="3"/>
      <c r="BD116" s="1143">
        <f t="shared" si="545"/>
        <v>160.001</v>
      </c>
      <c r="BE116" s="1112" t="str">
        <f t="shared" si="32"/>
        <v/>
      </c>
      <c r="BF116" s="1143">
        <f t="shared" si="546"/>
        <v>-847.199</v>
      </c>
      <c r="BG116" s="1144">
        <f t="shared" si="34"/>
        <v>-0.841142772</v>
      </c>
      <c r="BH116" s="1110">
        <f>SUMIFS(BP_SOTIEN,BP_THANG,BH$2,BP_KM,$E116)/1000</f>
        <v>0</v>
      </c>
      <c r="BI116" s="1111">
        <f t="shared" si="803"/>
        <v>0</v>
      </c>
      <c r="BJ116" s="3"/>
      <c r="BK116" s="1142">
        <f>IF(NOW()&gt;=DATE(YEAR(BH$2),MONTH(BH$2)+1,DAY(BH$2)),SUMIFS(TF_SOTIEN,TF_THANG,BH$2,TF_KM,$E116)/1000, BN116)</f>
        <v>503.6</v>
      </c>
      <c r="BL116" s="1111" t="str">
        <f t="shared" si="804"/>
        <v/>
      </c>
      <c r="BM116" s="3"/>
      <c r="BN116" s="1142">
        <f>IF(NOW()&gt;=DATE(YEAR(BH$2),MONTH(BH$2)+1,DAY(BH$2)),SUMIFS(AC_SOTIEN,AC_THANG,BH$2,AC_KM,$E116),SUMIFS(TF_SOTIEN,TF_THANG,BH$2,TF_KM,$E116))/ 1000</f>
        <v>0</v>
      </c>
      <c r="BO116" s="1111">
        <f t="shared" si="805"/>
        <v>0</v>
      </c>
      <c r="BP116" s="3"/>
      <c r="BQ116" s="1143">
        <f t="shared" si="553"/>
        <v>0</v>
      </c>
      <c r="BR116" s="1112" t="str">
        <f t="shared" si="39"/>
        <v/>
      </c>
      <c r="BS116" s="1143">
        <f t="shared" si="554"/>
        <v>-503.6</v>
      </c>
      <c r="BT116" s="1144">
        <f t="shared" si="41"/>
        <v>-1</v>
      </c>
      <c r="BU116" s="1110">
        <f>SUMIFS(BP_SOTIEN,BP_THANG,BU$2,BP_KM,$E116)/1000</f>
        <v>4165</v>
      </c>
      <c r="BV116" s="1111">
        <f t="shared" si="806"/>
        <v>0.00104125</v>
      </c>
      <c r="BW116" s="3"/>
      <c r="BX116" s="1142">
        <f>IF(NOW()&gt;=DATE(YEAR(BU$2),MONTH(BU$2)+1,DAY(BU$2)),SUMIFS(TF_SOTIEN,TF_THANG,BU$2,TF_KM,$E116)/1000, CA116)</f>
        <v>4165</v>
      </c>
      <c r="BY116" s="1111">
        <f t="shared" si="807"/>
        <v>0.002786966403</v>
      </c>
      <c r="BZ116" s="3"/>
      <c r="CA116" s="1142">
        <f>IF(NOW()&gt;=DATE(YEAR(BU$2),MONTH(BU$2)+1,DAY(BU$2)),SUMIFS(AC_SOTIEN,AC_THANG,BU$2,AC_KM,$E116),SUMIFS(TF_SOTIEN,TF_THANG,BU$2,TF_KM,$E116))/ 1000</f>
        <v>0</v>
      </c>
      <c r="CB116" s="1111">
        <f t="shared" si="808"/>
        <v>0</v>
      </c>
      <c r="CC116" s="3"/>
      <c r="CD116" s="1143">
        <f t="shared" si="561"/>
        <v>-4165</v>
      </c>
      <c r="CE116" s="1112">
        <f t="shared" si="46"/>
        <v>-1</v>
      </c>
      <c r="CF116" s="1143">
        <f t="shared" si="562"/>
        <v>-4165</v>
      </c>
      <c r="CG116" s="1144">
        <f t="shared" si="48"/>
        <v>-1</v>
      </c>
      <c r="CH116" s="1110">
        <f>SUMIFS(BP_SOTIEN,BP_THANG,CH$2,BP_KM,$E116)/1000</f>
        <v>4165</v>
      </c>
      <c r="CI116" s="1111">
        <f t="shared" si="809"/>
        <v>0.00104125</v>
      </c>
      <c r="CJ116" s="3"/>
      <c r="CK116" s="1142">
        <f>IF(NOW()&gt;=DATE(YEAR(CH$2),MONTH(CH$2)+1,DAY(CH$2)),SUMIFS(TF_SOTIEN,TF_THANG,CH$2,TF_KM,$E116)/1000, CN116)</f>
        <v>4165</v>
      </c>
      <c r="CL116" s="1111" t="str">
        <f t="shared" si="810"/>
        <v/>
      </c>
      <c r="CM116" s="3"/>
      <c r="CN116" s="1142">
        <f>IF(NOW()&gt;=DATE(YEAR(CH$2),MONTH(CH$2)+1,DAY(CH$2)),SUMIFS(AC_SOTIEN,AC_THANG,CH$2,AC_KM,$E116),SUMIFS(TF_SOTIEN,TF_THANG,CH$2,TF_KM,$E116))/ 1000</f>
        <v>0</v>
      </c>
      <c r="CO116" s="1111" t="str">
        <f t="shared" si="811"/>
        <v/>
      </c>
      <c r="CP116" s="3"/>
      <c r="CQ116" s="1143">
        <f t="shared" si="569"/>
        <v>-4165</v>
      </c>
      <c r="CR116" s="1112">
        <f t="shared" si="53"/>
        <v>-1</v>
      </c>
      <c r="CS116" s="1143">
        <f t="shared" si="570"/>
        <v>-4165</v>
      </c>
      <c r="CT116" s="1144">
        <f t="shared" si="55"/>
        <v>-1</v>
      </c>
      <c r="CU116" s="1110">
        <f t="shared" si="919"/>
        <v>8330</v>
      </c>
      <c r="CV116" s="1111">
        <f t="shared" si="812"/>
        <v>0.0006941666667</v>
      </c>
      <c r="CW116" s="3"/>
      <c r="CX116" s="1142">
        <f t="shared" si="920"/>
        <v>8833.6</v>
      </c>
      <c r="CY116" s="1111">
        <f t="shared" si="814"/>
        <v>0.005910911504</v>
      </c>
      <c r="CZ116" s="3"/>
      <c r="DA116" s="1142">
        <f t="shared" si="921"/>
        <v>0</v>
      </c>
      <c r="DB116" s="1111">
        <f t="shared" si="816"/>
        <v>0</v>
      </c>
      <c r="DC116" s="3"/>
      <c r="DD116" s="1143">
        <f t="shared" si="580"/>
        <v>-8330</v>
      </c>
      <c r="DE116" s="1112">
        <f t="shared" si="63"/>
        <v>-1</v>
      </c>
      <c r="DF116" s="1143">
        <f t="shared" si="581"/>
        <v>-8833.6</v>
      </c>
      <c r="DG116" s="1144">
        <f t="shared" si="65"/>
        <v>-1</v>
      </c>
      <c r="DH116" s="1110">
        <f t="shared" si="922"/>
        <v>8330</v>
      </c>
      <c r="DI116" s="1111">
        <f t="shared" si="817"/>
        <v>0.0006941666667</v>
      </c>
      <c r="DJ116" s="3"/>
      <c r="DK116" s="1142">
        <f t="shared" si="585"/>
        <v>9840.8</v>
      </c>
      <c r="DL116" s="1111">
        <f t="shared" si="818"/>
        <v>0.001887214907</v>
      </c>
      <c r="DM116" s="3"/>
      <c r="DN116" s="1142">
        <f t="shared" si="588"/>
        <v>160.001</v>
      </c>
      <c r="DO116" s="1111">
        <f t="shared" si="819"/>
        <v>0.00003682745433</v>
      </c>
      <c r="DP116" s="3"/>
      <c r="DQ116" s="1143">
        <f t="shared" si="591"/>
        <v>-8169.999</v>
      </c>
      <c r="DR116" s="1112">
        <f t="shared" si="73"/>
        <v>-0.9807921969</v>
      </c>
      <c r="DS116" s="1143">
        <f t="shared" si="592"/>
        <v>-9680.799</v>
      </c>
      <c r="DT116" s="1144">
        <f t="shared" si="75"/>
        <v>-0.9837410576</v>
      </c>
      <c r="DU116" s="1110">
        <f>SUMIFS(BP_SOTIEN,BP_THANG,DU$2,BP_KM,$E116)/1000</f>
        <v>4165</v>
      </c>
      <c r="DV116" s="1111">
        <f t="shared" si="820"/>
        <v>0.00104125</v>
      </c>
      <c r="DW116" s="3"/>
      <c r="DX116" s="1142">
        <f>IF(NOW()&gt;=DATE(YEAR(DU$2),MONTH(DU$2)+1,DAY(DU$2)),SUMIFS(TF_SOTIEN,TF_THANG,DU$2,TF_KM,$E116)/1000, EA116)</f>
        <v>4165</v>
      </c>
      <c r="DY116" s="1111">
        <f t="shared" si="821"/>
        <v>0.000689569541</v>
      </c>
      <c r="DZ116" s="3"/>
      <c r="EA116" s="1142">
        <f>IF(NOW()&gt;=DATE(YEAR(DU$2),MONTH(DU$2)+1,DAY(DU$2)),SUMIFS(AC_SOTIEN,AC_THANG,DU$2,AC_KM,$E116),SUMIFS(TF_SOTIEN,TF_THANG,DU$2,TF_KM,$E116))/ 1000</f>
        <v>0</v>
      </c>
      <c r="EB116" s="1111" t="str">
        <f t="shared" si="822"/>
        <v/>
      </c>
      <c r="EC116" s="3"/>
      <c r="ED116" s="1143">
        <f t="shared" si="599"/>
        <v>-4165</v>
      </c>
      <c r="EE116" s="1112">
        <f t="shared" si="80"/>
        <v>-1</v>
      </c>
      <c r="EF116" s="1143">
        <f t="shared" si="600"/>
        <v>-4165</v>
      </c>
      <c r="EG116" s="1144">
        <f t="shared" si="82"/>
        <v>-1</v>
      </c>
      <c r="EH116" s="1110">
        <f>SUMIFS(BP_SOTIEN,BP_THANG,EH$2,BP_KM,$E116)/1000</f>
        <v>4165</v>
      </c>
      <c r="EI116" s="1111">
        <f t="shared" si="823"/>
        <v>0.00104125</v>
      </c>
      <c r="EJ116" s="3"/>
      <c r="EK116" s="1142">
        <f>IF(NOW()&gt;=DATE(YEAR(EH$2),MONTH(EH$2)+1,DAY(EH$2)),SUMIFS(TF_SOTIEN,TF_THANG,EH$2,TF_KM,$E116)/1000, EN116)</f>
        <v>4165</v>
      </c>
      <c r="EL116" s="1111">
        <f t="shared" si="824"/>
        <v>0.000689569541</v>
      </c>
      <c r="EM116" s="3"/>
      <c r="EN116" s="1142">
        <f>IF(NOW()&gt;=DATE(YEAR(EH$2),MONTH(EH$2)+1,DAY(EH$2)),SUMIFS(AC_SOTIEN,AC_THANG,EH$2,AC_KM,$E116),SUMIFS(TF_SOTIEN,TF_THANG,EH$2,TF_KM,$E116))/ 1000</f>
        <v>0</v>
      </c>
      <c r="EO116" s="1111" t="str">
        <f t="shared" si="825"/>
        <v/>
      </c>
      <c r="EP116" s="3"/>
      <c r="EQ116" s="1143">
        <f t="shared" si="607"/>
        <v>-4165</v>
      </c>
      <c r="ER116" s="1112">
        <f t="shared" si="87"/>
        <v>-1</v>
      </c>
      <c r="ES116" s="1143">
        <f t="shared" si="608"/>
        <v>-4165</v>
      </c>
      <c r="ET116" s="1144">
        <f t="shared" si="89"/>
        <v>-1</v>
      </c>
      <c r="EU116" s="1110">
        <f>SUMIFS(BP_SOTIEN,BP_THANG,EU$2,BP_KM,$E116)/1000</f>
        <v>4165</v>
      </c>
      <c r="EV116" s="1111">
        <f t="shared" si="826"/>
        <v>0.00104125</v>
      </c>
      <c r="EW116" s="3"/>
      <c r="EX116" s="1142">
        <f>IF(NOW()&gt;=DATE(YEAR(EU$2),MONTH(EU$2)+1,DAY(EU$2)),SUMIFS(TF_SOTIEN,TF_THANG,EU$2,TF_KM,$E116)/1000, FA116)</f>
        <v>4165</v>
      </c>
      <c r="EY116" s="1111">
        <f t="shared" si="827"/>
        <v>0.000689569541</v>
      </c>
      <c r="EZ116" s="3"/>
      <c r="FA116" s="1142">
        <f>IF(NOW()&gt;=DATE(YEAR(EU$2),MONTH(EU$2)+1,DAY(EU$2)),SUMIFS(AC_SOTIEN,AC_THANG,EU$2,AC_KM,$E116),SUMIFS(TF_SOTIEN,TF_THANG,EU$2,TF_KM,$E116))/ 1000</f>
        <v>0</v>
      </c>
      <c r="FB116" s="1111" t="str">
        <f t="shared" si="828"/>
        <v/>
      </c>
      <c r="FC116" s="3"/>
      <c r="FD116" s="1143">
        <f t="shared" si="616"/>
        <v>-4165</v>
      </c>
      <c r="FE116" s="1112">
        <f t="shared" si="94"/>
        <v>-1</v>
      </c>
      <c r="FF116" s="1143">
        <f t="shared" si="617"/>
        <v>-4165</v>
      </c>
      <c r="FG116" s="1144">
        <f t="shared" si="96"/>
        <v>-1</v>
      </c>
      <c r="FH116" s="1110">
        <f t="shared" si="923"/>
        <v>12495</v>
      </c>
      <c r="FI116" s="1111">
        <f t="shared" si="829"/>
        <v>0.00104125</v>
      </c>
      <c r="FJ116" s="3"/>
      <c r="FK116" s="1142">
        <f t="shared" si="621"/>
        <v>12495</v>
      </c>
      <c r="FL116" s="1111">
        <f t="shared" si="830"/>
        <v>0.000689569541</v>
      </c>
      <c r="FM116" s="3"/>
      <c r="FN116" s="1142">
        <f t="shared" si="624"/>
        <v>0</v>
      </c>
      <c r="FO116" s="1111" t="str">
        <f t="shared" si="831"/>
        <v/>
      </c>
      <c r="FP116" s="3"/>
      <c r="FQ116" s="1143">
        <f t="shared" si="627"/>
        <v>-12495</v>
      </c>
      <c r="FR116" s="1112">
        <f t="shared" si="104"/>
        <v>-1</v>
      </c>
      <c r="FS116" s="1143">
        <f t="shared" si="628"/>
        <v>-12495</v>
      </c>
      <c r="FT116" s="1144">
        <f t="shared" si="106"/>
        <v>-1</v>
      </c>
      <c r="FU116" s="1110">
        <f>SUMIFS(BP_SOTIEN,BP_THANG,FU$2,BP_KM,$E116)/1000</f>
        <v>4165</v>
      </c>
      <c r="FV116" s="1111">
        <f t="shared" si="832"/>
        <v>0.00104125</v>
      </c>
      <c r="FW116" s="3"/>
      <c r="FX116" s="1142">
        <f>IF(NOW()&gt;=DATE(YEAR(FU$2),MONTH(FU$2)+1,DAY(FU$2)),SUMIFS(TF_SOTIEN,TF_THANG,FU$2,TF_KM,$E116)/1000, GA116)</f>
        <v>4165</v>
      </c>
      <c r="FY116" s="1111">
        <f t="shared" si="833"/>
        <v>0.000689569541</v>
      </c>
      <c r="FZ116" s="3"/>
      <c r="GA116" s="1142">
        <f>IF(NOW()&gt;=DATE(YEAR(FU$2),MONTH(FU$2)+1,DAY(FU$2)),SUMIFS(AC_SOTIEN,AC_THANG,FU$2,AC_KM,$E116),SUMIFS(TF_SOTIEN,TF_THANG,FU$2,TF_KM,$E116))/ 1000</f>
        <v>0</v>
      </c>
      <c r="GB116" s="1111" t="str">
        <f t="shared" si="834"/>
        <v/>
      </c>
      <c r="GC116" s="3"/>
      <c r="GD116" s="1143">
        <f t="shared" si="635"/>
        <v>-4165</v>
      </c>
      <c r="GE116" s="1112">
        <f t="shared" si="111"/>
        <v>-1</v>
      </c>
      <c r="GF116" s="1143">
        <f t="shared" si="636"/>
        <v>-4165</v>
      </c>
      <c r="GG116" s="1144">
        <f t="shared" si="113"/>
        <v>-1</v>
      </c>
      <c r="GH116" s="1110">
        <f>SUMIFS(BP_SOTIEN,BP_THANG,GH$2,BP_KM,$E116)/1000</f>
        <v>4165</v>
      </c>
      <c r="GI116" s="1111">
        <f t="shared" si="835"/>
        <v>0.00104125</v>
      </c>
      <c r="GJ116" s="3"/>
      <c r="GK116" s="1142">
        <f>IF(NOW()&gt;=DATE(YEAR(GH$2),MONTH(GH$2)+1,DAY(GH$2)),SUMIFS(TF_SOTIEN,TF_THANG,GH$2,TF_KM,$E116)/1000, GN116)</f>
        <v>4165</v>
      </c>
      <c r="GL116" s="1111">
        <f t="shared" si="836"/>
        <v>0.000689569541</v>
      </c>
      <c r="GM116" s="3"/>
      <c r="GN116" s="1142">
        <f>IF(NOW()&gt;=DATE(YEAR(GH$2),MONTH(GH$2)+1,DAY(GH$2)),SUMIFS(AC_SOTIEN,AC_THANG,GH$2,AC_KM,$E116),SUMIFS(TF_SOTIEN,TF_THANG,GH$2,TF_KM,$E116))/ 1000</f>
        <v>0</v>
      </c>
      <c r="GO116" s="1111" t="str">
        <f t="shared" si="837"/>
        <v/>
      </c>
      <c r="GP116" s="3"/>
      <c r="GQ116" s="1143">
        <f t="shared" si="643"/>
        <v>-4165</v>
      </c>
      <c r="GR116" s="1112">
        <f t="shared" si="118"/>
        <v>-1</v>
      </c>
      <c r="GS116" s="1143">
        <f t="shared" si="644"/>
        <v>-4165</v>
      </c>
      <c r="GT116" s="1144">
        <f t="shared" si="120"/>
        <v>-1</v>
      </c>
      <c r="GU116" s="1110">
        <f>SUMIFS(BP_SOTIEN,BP_THANG,GU$2,BP_KM,$E116)/1000</f>
        <v>4165</v>
      </c>
      <c r="GV116" s="1111">
        <f t="shared" si="838"/>
        <v>0.00104125</v>
      </c>
      <c r="GW116" s="3"/>
      <c r="GX116" s="1142">
        <f>IF(NOW()&gt;=DATE(YEAR(GU$2),MONTH(GU$2)+1,DAY(GU$2)),SUMIFS(TF_SOTIEN,TF_THANG,GU$2,TF_KM,$E116)/1000, HA116)</f>
        <v>4165</v>
      </c>
      <c r="GY116" s="1111">
        <f t="shared" si="839"/>
        <v>0.000689569541</v>
      </c>
      <c r="GZ116" s="3"/>
      <c r="HA116" s="1142">
        <f>IF(NOW()&gt;=DATE(YEAR(GU$2),MONTH(GU$2)+1,DAY(GU$2)),SUMIFS(AC_SOTIEN,AC_THANG,GU$2,AC_KM,$E116),SUMIFS(TF_SOTIEN,TF_THANG,GU$2,TF_KM,$E116))/ 1000</f>
        <v>0</v>
      </c>
      <c r="HB116" s="1111" t="str">
        <f t="shared" si="840"/>
        <v/>
      </c>
      <c r="HC116" s="3"/>
      <c r="HD116" s="1143">
        <f t="shared" si="651"/>
        <v>-4165</v>
      </c>
      <c r="HE116" s="1112">
        <f t="shared" si="125"/>
        <v>-1</v>
      </c>
      <c r="HF116" s="1143">
        <f t="shared" si="652"/>
        <v>-4165</v>
      </c>
      <c r="HG116" s="1144">
        <f t="shared" si="127"/>
        <v>-1</v>
      </c>
      <c r="HH116" s="1110">
        <f t="shared" si="924"/>
        <v>12495</v>
      </c>
      <c r="HI116" s="1111">
        <f t="shared" si="841"/>
        <v>0.00104125</v>
      </c>
      <c r="HJ116" s="3"/>
      <c r="HK116" s="1142">
        <f t="shared" si="656"/>
        <v>12495</v>
      </c>
      <c r="HL116" s="1111">
        <f t="shared" si="842"/>
        <v>0.000689569541</v>
      </c>
      <c r="HM116" s="3"/>
      <c r="HN116" s="1142">
        <f t="shared" si="659"/>
        <v>0</v>
      </c>
      <c r="HO116" s="1111" t="str">
        <f t="shared" si="843"/>
        <v/>
      </c>
      <c r="HP116" s="3"/>
      <c r="HQ116" s="1143">
        <f t="shared" si="662"/>
        <v>-12495</v>
      </c>
      <c r="HR116" s="1112">
        <f t="shared" si="135"/>
        <v>-1</v>
      </c>
      <c r="HS116" s="1143">
        <f t="shared" si="663"/>
        <v>-12495</v>
      </c>
      <c r="HT116" s="1144">
        <f t="shared" si="137"/>
        <v>-1</v>
      </c>
      <c r="HU116" s="1110">
        <f t="shared" si="925"/>
        <v>24990</v>
      </c>
      <c r="HV116" s="1111">
        <f t="shared" si="844"/>
        <v>0.00104125</v>
      </c>
      <c r="HW116" s="3"/>
      <c r="HX116" s="1142">
        <f t="shared" si="667"/>
        <v>24990</v>
      </c>
      <c r="HY116" s="1111">
        <f t="shared" si="845"/>
        <v>0.000689569541</v>
      </c>
      <c r="HZ116" s="3"/>
      <c r="IA116" s="1142">
        <f t="shared" si="670"/>
        <v>0</v>
      </c>
      <c r="IB116" s="1111" t="str">
        <f t="shared" si="846"/>
        <v/>
      </c>
      <c r="IC116" s="3"/>
      <c r="ID116" s="1143">
        <f t="shared" si="673"/>
        <v>-24990</v>
      </c>
      <c r="IE116" s="1112">
        <f t="shared" si="145"/>
        <v>-1</v>
      </c>
      <c r="IF116" s="1143">
        <f t="shared" si="674"/>
        <v>-24990</v>
      </c>
      <c r="IG116" s="1144">
        <f t="shared" si="147"/>
        <v>-1</v>
      </c>
      <c r="IH116" s="1110">
        <f t="shared" si="926"/>
        <v>33320</v>
      </c>
      <c r="II116" s="1111">
        <f t="shared" si="847"/>
        <v>0.0009255555556</v>
      </c>
      <c r="IJ116" s="3"/>
      <c r="IK116" s="1142">
        <f t="shared" si="678"/>
        <v>34830.8</v>
      </c>
      <c r="IL116" s="1111">
        <f t="shared" si="848"/>
        <v>0.0008402184749</v>
      </c>
      <c r="IM116" s="3"/>
      <c r="IN116" s="1142">
        <f t="shared" si="681"/>
        <v>160.001</v>
      </c>
      <c r="IO116" s="1111">
        <f t="shared" si="849"/>
        <v>0.00003682745433</v>
      </c>
      <c r="IP116" s="3"/>
      <c r="IQ116" s="1143">
        <f t="shared" si="684"/>
        <v>-33159.999</v>
      </c>
      <c r="IR116" s="1112">
        <f t="shared" si="1"/>
        <v>-0.9951980492</v>
      </c>
      <c r="IS116" s="1143">
        <f t="shared" si="685"/>
        <v>-34670.799</v>
      </c>
      <c r="IT116" s="1144">
        <f t="shared" si="2"/>
        <v>-0.9954063358</v>
      </c>
    </row>
    <row r="117">
      <c r="A117" s="1156"/>
      <c r="B117" s="1156"/>
      <c r="C117" s="1156"/>
      <c r="D117" s="1156" t="s">
        <v>2878</v>
      </c>
      <c r="E117" s="1156"/>
      <c r="F117" s="1156"/>
      <c r="G117" s="1156"/>
      <c r="H117" s="1158">
        <f>H115-H116</f>
        <v>0</v>
      </c>
      <c r="I117" s="1159" t="str">
        <f t="shared" si="791"/>
        <v/>
      </c>
      <c r="J117" s="3"/>
      <c r="K117" s="1160">
        <f>K115-K116</f>
        <v>0</v>
      </c>
      <c r="L117" s="1159">
        <f t="shared" si="792"/>
        <v>0</v>
      </c>
      <c r="M117" s="3"/>
      <c r="N117" s="1160">
        <f>N115-N116</f>
        <v>0</v>
      </c>
      <c r="O117" s="1159">
        <f t="shared" si="793"/>
        <v>0</v>
      </c>
      <c r="P117" s="3"/>
      <c r="Q117" s="1161">
        <f t="shared" si="518"/>
        <v>0</v>
      </c>
      <c r="R117" s="1164" t="str">
        <f t="shared" si="8"/>
        <v/>
      </c>
      <c r="S117" s="1161">
        <f t="shared" si="519"/>
        <v>0</v>
      </c>
      <c r="T117" s="1162" t="str">
        <f t="shared" si="10"/>
        <v/>
      </c>
      <c r="U117" s="1158">
        <f>U115-U116</f>
        <v>0</v>
      </c>
      <c r="V117" s="1159" t="str">
        <f t="shared" si="794"/>
        <v/>
      </c>
      <c r="W117" s="3"/>
      <c r="X117" s="1160">
        <f>X115-X116</f>
        <v>-503.6</v>
      </c>
      <c r="Y117" s="1159" t="str">
        <f t="shared" si="795"/>
        <v/>
      </c>
      <c r="Z117" s="3"/>
      <c r="AA117" s="1160">
        <f>AA115-AA116</f>
        <v>-160.001</v>
      </c>
      <c r="AB117" s="1159">
        <f t="shared" si="796"/>
        <v>-0.0008888944444</v>
      </c>
      <c r="AC117" s="3"/>
      <c r="AD117" s="1161">
        <f t="shared" si="526"/>
        <v>-160.001</v>
      </c>
      <c r="AE117" s="1164" t="str">
        <f t="shared" si="15"/>
        <v/>
      </c>
      <c r="AF117" s="1161">
        <f t="shared" si="527"/>
        <v>343.599</v>
      </c>
      <c r="AG117" s="1162">
        <f t="shared" si="17"/>
        <v>-0.6822855441</v>
      </c>
      <c r="AH117" s="1158">
        <f>AH115-AH116</f>
        <v>0</v>
      </c>
      <c r="AI117" s="1159" t="str">
        <f t="shared" si="797"/>
        <v/>
      </c>
      <c r="AJ117" s="3"/>
      <c r="AK117" s="1160">
        <f>AK115-AK116</f>
        <v>-503.6</v>
      </c>
      <c r="AL117" s="1159">
        <f t="shared" si="798"/>
        <v>-0.0001398888889</v>
      </c>
      <c r="AM117" s="3"/>
      <c r="AN117" s="1160">
        <f>AN115-AN116</f>
        <v>0</v>
      </c>
      <c r="AO117" s="1159">
        <f t="shared" si="799"/>
        <v>0</v>
      </c>
      <c r="AP117" s="3"/>
      <c r="AQ117" s="1161">
        <f t="shared" si="534"/>
        <v>0</v>
      </c>
      <c r="AR117" s="1164" t="str">
        <f t="shared" si="22"/>
        <v/>
      </c>
      <c r="AS117" s="1161">
        <f t="shared" si="535"/>
        <v>503.6</v>
      </c>
      <c r="AT117" s="1162">
        <f t="shared" si="24"/>
        <v>-1</v>
      </c>
      <c r="AU117" s="1158">
        <f t="shared" si="916"/>
        <v>0</v>
      </c>
      <c r="AV117" s="1159" t="str">
        <f t="shared" si="800"/>
        <v/>
      </c>
      <c r="AW117" s="3"/>
      <c r="AX117" s="1160">
        <f t="shared" si="917"/>
        <v>-1007.2</v>
      </c>
      <c r="AY117" s="1159">
        <f t="shared" si="801"/>
        <v>-0.0002707526882</v>
      </c>
      <c r="AZ117" s="3"/>
      <c r="BA117" s="1160">
        <f t="shared" si="918"/>
        <v>-160.001</v>
      </c>
      <c r="BB117" s="1159">
        <f t="shared" si="802"/>
        <v>-0.0001346809764</v>
      </c>
      <c r="BC117" s="3"/>
      <c r="BD117" s="1161">
        <f t="shared" si="545"/>
        <v>-160.001</v>
      </c>
      <c r="BE117" s="1164" t="str">
        <f t="shared" si="32"/>
        <v/>
      </c>
      <c r="BF117" s="1161">
        <f t="shared" si="546"/>
        <v>847.199</v>
      </c>
      <c r="BG117" s="1162">
        <f t="shared" si="34"/>
        <v>-0.841142772</v>
      </c>
      <c r="BH117" s="1158">
        <f>BH115-BH116</f>
        <v>0</v>
      </c>
      <c r="BI117" s="1159">
        <f t="shared" si="803"/>
        <v>0</v>
      </c>
      <c r="BJ117" s="3"/>
      <c r="BK117" s="1160">
        <f>BK115-BK116</f>
        <v>-503.6</v>
      </c>
      <c r="BL117" s="1159" t="str">
        <f t="shared" si="804"/>
        <v/>
      </c>
      <c r="BM117" s="3"/>
      <c r="BN117" s="1160">
        <f>BN115-BN116</f>
        <v>0</v>
      </c>
      <c r="BO117" s="1159">
        <f t="shared" si="805"/>
        <v>0</v>
      </c>
      <c r="BP117" s="3"/>
      <c r="BQ117" s="1161">
        <f t="shared" si="553"/>
        <v>0</v>
      </c>
      <c r="BR117" s="1164" t="str">
        <f t="shared" si="39"/>
        <v/>
      </c>
      <c r="BS117" s="1161">
        <f t="shared" si="554"/>
        <v>503.6</v>
      </c>
      <c r="BT117" s="1162">
        <f t="shared" si="41"/>
        <v>-1</v>
      </c>
      <c r="BU117" s="1158">
        <f>BU115-BU116</f>
        <v>-4165</v>
      </c>
      <c r="BV117" s="1159">
        <f t="shared" si="806"/>
        <v>-0.00104125</v>
      </c>
      <c r="BW117" s="3"/>
      <c r="BX117" s="1160">
        <f>BX115-BX116</f>
        <v>-4165</v>
      </c>
      <c r="BY117" s="1159">
        <f t="shared" si="807"/>
        <v>-0.002786966403</v>
      </c>
      <c r="BZ117" s="3"/>
      <c r="CA117" s="1160">
        <f>CA115-CA116</f>
        <v>0</v>
      </c>
      <c r="CB117" s="1159">
        <f t="shared" si="808"/>
        <v>0</v>
      </c>
      <c r="CC117" s="3"/>
      <c r="CD117" s="1161">
        <f t="shared" si="561"/>
        <v>4165</v>
      </c>
      <c r="CE117" s="1164">
        <f t="shared" si="46"/>
        <v>-1</v>
      </c>
      <c r="CF117" s="1161">
        <f t="shared" si="562"/>
        <v>4165</v>
      </c>
      <c r="CG117" s="1162">
        <f t="shared" si="48"/>
        <v>-1</v>
      </c>
      <c r="CH117" s="1158">
        <f>CH115-CH116</f>
        <v>-4165</v>
      </c>
      <c r="CI117" s="1159">
        <f t="shared" si="809"/>
        <v>-0.00104125</v>
      </c>
      <c r="CJ117" s="3"/>
      <c r="CK117" s="1160">
        <f>CK115-CK116</f>
        <v>-4165</v>
      </c>
      <c r="CL117" s="1159" t="str">
        <f t="shared" si="810"/>
        <v/>
      </c>
      <c r="CM117" s="3"/>
      <c r="CN117" s="1160">
        <f>CN115-CN116</f>
        <v>0</v>
      </c>
      <c r="CO117" s="1159" t="str">
        <f t="shared" si="811"/>
        <v/>
      </c>
      <c r="CP117" s="3"/>
      <c r="CQ117" s="1161">
        <f t="shared" si="569"/>
        <v>4165</v>
      </c>
      <c r="CR117" s="1164">
        <f t="shared" si="53"/>
        <v>-1</v>
      </c>
      <c r="CS117" s="1161">
        <f t="shared" si="570"/>
        <v>4165</v>
      </c>
      <c r="CT117" s="1162">
        <f t="shared" si="55"/>
        <v>-1</v>
      </c>
      <c r="CU117" s="1158">
        <f t="shared" si="919"/>
        <v>-8330</v>
      </c>
      <c r="CV117" s="1159">
        <f t="shared" si="812"/>
        <v>-0.0006941666667</v>
      </c>
      <c r="CW117" s="3"/>
      <c r="CX117" s="1160">
        <f t="shared" si="920"/>
        <v>-8833.6</v>
      </c>
      <c r="CY117" s="1159">
        <f t="shared" si="814"/>
        <v>-0.005910911504</v>
      </c>
      <c r="CZ117" s="3"/>
      <c r="DA117" s="1160">
        <f t="shared" si="921"/>
        <v>0</v>
      </c>
      <c r="DB117" s="1159">
        <f t="shared" si="816"/>
        <v>0</v>
      </c>
      <c r="DC117" s="3"/>
      <c r="DD117" s="1161">
        <f t="shared" si="580"/>
        <v>8330</v>
      </c>
      <c r="DE117" s="1164">
        <f t="shared" si="63"/>
        <v>-1</v>
      </c>
      <c r="DF117" s="1161">
        <f t="shared" si="581"/>
        <v>8833.6</v>
      </c>
      <c r="DG117" s="1162">
        <f t="shared" si="65"/>
        <v>-1</v>
      </c>
      <c r="DH117" s="1158">
        <f t="shared" si="922"/>
        <v>-8330</v>
      </c>
      <c r="DI117" s="1159">
        <f t="shared" si="817"/>
        <v>-0.0006941666667</v>
      </c>
      <c r="DJ117" s="3"/>
      <c r="DK117" s="1160">
        <f t="shared" si="585"/>
        <v>-9840.8</v>
      </c>
      <c r="DL117" s="1159">
        <f t="shared" si="818"/>
        <v>-0.001887214907</v>
      </c>
      <c r="DM117" s="3"/>
      <c r="DN117" s="1160">
        <f t="shared" si="588"/>
        <v>-160.001</v>
      </c>
      <c r="DO117" s="1159">
        <f t="shared" si="819"/>
        <v>-0.00003682745433</v>
      </c>
      <c r="DP117" s="3"/>
      <c r="DQ117" s="1161">
        <f t="shared" si="591"/>
        <v>8169.999</v>
      </c>
      <c r="DR117" s="1164">
        <f t="shared" si="73"/>
        <v>-0.9807921969</v>
      </c>
      <c r="DS117" s="1161">
        <f t="shared" si="592"/>
        <v>9680.799</v>
      </c>
      <c r="DT117" s="1162">
        <f t="shared" si="75"/>
        <v>-0.9837410576</v>
      </c>
      <c r="DU117" s="1158">
        <f>DU115-DU116</f>
        <v>-4165</v>
      </c>
      <c r="DV117" s="1159">
        <f t="shared" si="820"/>
        <v>-0.00104125</v>
      </c>
      <c r="DW117" s="3"/>
      <c r="DX117" s="1160">
        <f>DX115-DX116</f>
        <v>-4165</v>
      </c>
      <c r="DY117" s="1159">
        <f t="shared" si="821"/>
        <v>-0.000689569541</v>
      </c>
      <c r="DZ117" s="3"/>
      <c r="EA117" s="1160">
        <f>EA115-EA116</f>
        <v>0</v>
      </c>
      <c r="EB117" s="1159" t="str">
        <f t="shared" si="822"/>
        <v/>
      </c>
      <c r="EC117" s="3"/>
      <c r="ED117" s="1161">
        <f t="shared" si="599"/>
        <v>4165</v>
      </c>
      <c r="EE117" s="1164">
        <f t="shared" si="80"/>
        <v>-1</v>
      </c>
      <c r="EF117" s="1161">
        <f t="shared" si="600"/>
        <v>4165</v>
      </c>
      <c r="EG117" s="1162">
        <f t="shared" si="82"/>
        <v>-1</v>
      </c>
      <c r="EH117" s="1158">
        <f>EH115-EH116</f>
        <v>-4165</v>
      </c>
      <c r="EI117" s="1159">
        <f t="shared" si="823"/>
        <v>-0.00104125</v>
      </c>
      <c r="EJ117" s="3"/>
      <c r="EK117" s="1160">
        <f>EK115-EK116</f>
        <v>-4165</v>
      </c>
      <c r="EL117" s="1159">
        <f t="shared" si="824"/>
        <v>-0.000689569541</v>
      </c>
      <c r="EM117" s="3"/>
      <c r="EN117" s="1160">
        <f>EN115-EN116</f>
        <v>0</v>
      </c>
      <c r="EO117" s="1159" t="str">
        <f t="shared" si="825"/>
        <v/>
      </c>
      <c r="EP117" s="3"/>
      <c r="EQ117" s="1161">
        <f t="shared" si="607"/>
        <v>4165</v>
      </c>
      <c r="ER117" s="1164">
        <f t="shared" si="87"/>
        <v>-1</v>
      </c>
      <c r="ES117" s="1161">
        <f t="shared" si="608"/>
        <v>4165</v>
      </c>
      <c r="ET117" s="1162">
        <f t="shared" si="89"/>
        <v>-1</v>
      </c>
      <c r="EU117" s="1158">
        <f>EU115-EU116</f>
        <v>-4165</v>
      </c>
      <c r="EV117" s="1159">
        <f t="shared" si="826"/>
        <v>-0.00104125</v>
      </c>
      <c r="EW117" s="3"/>
      <c r="EX117" s="1160">
        <f>EX115-EX116</f>
        <v>-4165</v>
      </c>
      <c r="EY117" s="1159">
        <f t="shared" si="827"/>
        <v>-0.000689569541</v>
      </c>
      <c r="EZ117" s="3"/>
      <c r="FA117" s="1160">
        <f>FA115-FA116</f>
        <v>0</v>
      </c>
      <c r="FB117" s="1159" t="str">
        <f t="shared" si="828"/>
        <v/>
      </c>
      <c r="FC117" s="3"/>
      <c r="FD117" s="1161">
        <f t="shared" si="616"/>
        <v>4165</v>
      </c>
      <c r="FE117" s="1164">
        <f t="shared" si="94"/>
        <v>-1</v>
      </c>
      <c r="FF117" s="1161">
        <f t="shared" si="617"/>
        <v>4165</v>
      </c>
      <c r="FG117" s="1162">
        <f t="shared" si="96"/>
        <v>-1</v>
      </c>
      <c r="FH117" s="1158">
        <f t="shared" si="923"/>
        <v>-12495</v>
      </c>
      <c r="FI117" s="1159">
        <f t="shared" si="829"/>
        <v>-0.00104125</v>
      </c>
      <c r="FJ117" s="3"/>
      <c r="FK117" s="1160">
        <f t="shared" si="621"/>
        <v>-12495</v>
      </c>
      <c r="FL117" s="1159">
        <f t="shared" si="830"/>
        <v>-0.000689569541</v>
      </c>
      <c r="FM117" s="3"/>
      <c r="FN117" s="1160">
        <f t="shared" si="624"/>
        <v>0</v>
      </c>
      <c r="FO117" s="1159" t="str">
        <f t="shared" si="831"/>
        <v/>
      </c>
      <c r="FP117" s="3"/>
      <c r="FQ117" s="1161">
        <f t="shared" si="627"/>
        <v>12495</v>
      </c>
      <c r="FR117" s="1164">
        <f t="shared" si="104"/>
        <v>-1</v>
      </c>
      <c r="FS117" s="1161">
        <f t="shared" si="628"/>
        <v>12495</v>
      </c>
      <c r="FT117" s="1162">
        <f t="shared" si="106"/>
        <v>-1</v>
      </c>
      <c r="FU117" s="1158">
        <f>FU115-FU116</f>
        <v>-4165</v>
      </c>
      <c r="FV117" s="1159">
        <f t="shared" si="832"/>
        <v>-0.00104125</v>
      </c>
      <c r="FW117" s="3"/>
      <c r="FX117" s="1160">
        <f>FX115-FX116</f>
        <v>-4165</v>
      </c>
      <c r="FY117" s="1159">
        <f t="shared" si="833"/>
        <v>-0.000689569541</v>
      </c>
      <c r="FZ117" s="3"/>
      <c r="GA117" s="1160">
        <f>GA115-GA116</f>
        <v>0</v>
      </c>
      <c r="GB117" s="1159" t="str">
        <f t="shared" si="834"/>
        <v/>
      </c>
      <c r="GC117" s="3"/>
      <c r="GD117" s="1161">
        <f t="shared" si="635"/>
        <v>4165</v>
      </c>
      <c r="GE117" s="1164">
        <f t="shared" si="111"/>
        <v>-1</v>
      </c>
      <c r="GF117" s="1161">
        <f t="shared" si="636"/>
        <v>4165</v>
      </c>
      <c r="GG117" s="1162">
        <f t="shared" si="113"/>
        <v>-1</v>
      </c>
      <c r="GH117" s="1158">
        <f>GH115-GH116</f>
        <v>-4165</v>
      </c>
      <c r="GI117" s="1159">
        <f t="shared" si="835"/>
        <v>-0.00104125</v>
      </c>
      <c r="GJ117" s="3"/>
      <c r="GK117" s="1160">
        <f>GK115-GK116</f>
        <v>-4165</v>
      </c>
      <c r="GL117" s="1159">
        <f t="shared" si="836"/>
        <v>-0.000689569541</v>
      </c>
      <c r="GM117" s="3"/>
      <c r="GN117" s="1160">
        <f>GN115-GN116</f>
        <v>0</v>
      </c>
      <c r="GO117" s="1159" t="str">
        <f t="shared" si="837"/>
        <v/>
      </c>
      <c r="GP117" s="3"/>
      <c r="GQ117" s="1161">
        <f t="shared" si="643"/>
        <v>4165</v>
      </c>
      <c r="GR117" s="1164">
        <f t="shared" si="118"/>
        <v>-1</v>
      </c>
      <c r="GS117" s="1161">
        <f t="shared" si="644"/>
        <v>4165</v>
      </c>
      <c r="GT117" s="1162">
        <f t="shared" si="120"/>
        <v>-1</v>
      </c>
      <c r="GU117" s="1158">
        <f>GU115-GU116</f>
        <v>-4165</v>
      </c>
      <c r="GV117" s="1159">
        <f t="shared" si="838"/>
        <v>-0.00104125</v>
      </c>
      <c r="GW117" s="3"/>
      <c r="GX117" s="1160">
        <f>GX115-GX116</f>
        <v>-4165</v>
      </c>
      <c r="GY117" s="1159">
        <f t="shared" si="839"/>
        <v>-0.000689569541</v>
      </c>
      <c r="GZ117" s="3"/>
      <c r="HA117" s="1160">
        <f>HA115-HA116</f>
        <v>0</v>
      </c>
      <c r="HB117" s="1159" t="str">
        <f t="shared" si="840"/>
        <v/>
      </c>
      <c r="HC117" s="3"/>
      <c r="HD117" s="1161">
        <f t="shared" si="651"/>
        <v>4165</v>
      </c>
      <c r="HE117" s="1164">
        <f t="shared" si="125"/>
        <v>-1</v>
      </c>
      <c r="HF117" s="1161">
        <f t="shared" si="652"/>
        <v>4165</v>
      </c>
      <c r="HG117" s="1162">
        <f t="shared" si="127"/>
        <v>-1</v>
      </c>
      <c r="HH117" s="1158">
        <f t="shared" si="924"/>
        <v>-12495</v>
      </c>
      <c r="HI117" s="1159">
        <f t="shared" si="841"/>
        <v>-0.00104125</v>
      </c>
      <c r="HJ117" s="3"/>
      <c r="HK117" s="1160">
        <f t="shared" si="656"/>
        <v>-12495</v>
      </c>
      <c r="HL117" s="1159">
        <f t="shared" si="842"/>
        <v>-0.000689569541</v>
      </c>
      <c r="HM117" s="3"/>
      <c r="HN117" s="1160">
        <f t="shared" si="659"/>
        <v>0</v>
      </c>
      <c r="HO117" s="1159" t="str">
        <f t="shared" si="843"/>
        <v/>
      </c>
      <c r="HP117" s="3"/>
      <c r="HQ117" s="1161">
        <f t="shared" si="662"/>
        <v>12495</v>
      </c>
      <c r="HR117" s="1164">
        <f t="shared" si="135"/>
        <v>-1</v>
      </c>
      <c r="HS117" s="1161">
        <f t="shared" si="663"/>
        <v>12495</v>
      </c>
      <c r="HT117" s="1162">
        <f t="shared" si="137"/>
        <v>-1</v>
      </c>
      <c r="HU117" s="1158">
        <f t="shared" si="925"/>
        <v>-24990</v>
      </c>
      <c r="HV117" s="1159">
        <f t="shared" si="844"/>
        <v>-0.00104125</v>
      </c>
      <c r="HW117" s="3"/>
      <c r="HX117" s="1160">
        <f t="shared" si="667"/>
        <v>-24990</v>
      </c>
      <c r="HY117" s="1159">
        <f t="shared" si="845"/>
        <v>-0.000689569541</v>
      </c>
      <c r="HZ117" s="3"/>
      <c r="IA117" s="1160">
        <f t="shared" si="670"/>
        <v>0</v>
      </c>
      <c r="IB117" s="1159" t="str">
        <f t="shared" si="846"/>
        <v/>
      </c>
      <c r="IC117" s="3"/>
      <c r="ID117" s="1161">
        <f t="shared" si="673"/>
        <v>24990</v>
      </c>
      <c r="IE117" s="1164">
        <f t="shared" si="145"/>
        <v>-1</v>
      </c>
      <c r="IF117" s="1161">
        <f t="shared" si="674"/>
        <v>24990</v>
      </c>
      <c r="IG117" s="1162">
        <f t="shared" si="147"/>
        <v>-1</v>
      </c>
      <c r="IH117" s="1158">
        <f t="shared" si="926"/>
        <v>-33320</v>
      </c>
      <c r="II117" s="1159">
        <f t="shared" si="847"/>
        <v>-0.0009255555556</v>
      </c>
      <c r="IJ117" s="3"/>
      <c r="IK117" s="1160">
        <f t="shared" si="678"/>
        <v>-34830.8</v>
      </c>
      <c r="IL117" s="1159">
        <f t="shared" si="848"/>
        <v>-0.0008402184749</v>
      </c>
      <c r="IM117" s="3"/>
      <c r="IN117" s="1160">
        <f t="shared" si="681"/>
        <v>-160.001</v>
      </c>
      <c r="IO117" s="1159">
        <f t="shared" si="849"/>
        <v>-0.00003682745433</v>
      </c>
      <c r="IP117" s="3"/>
      <c r="IQ117" s="1161">
        <f t="shared" si="684"/>
        <v>33159.999</v>
      </c>
      <c r="IR117" s="1164">
        <f t="shared" si="1"/>
        <v>-0.9951980492</v>
      </c>
      <c r="IS117" s="1161">
        <f t="shared" si="685"/>
        <v>34670.799</v>
      </c>
      <c r="IT117" s="1162">
        <f t="shared" si="2"/>
        <v>-0.9954063358</v>
      </c>
    </row>
    <row r="118">
      <c r="A118" s="1155" t="s">
        <v>2879</v>
      </c>
      <c r="B118" s="1156"/>
      <c r="C118" s="1156"/>
      <c r="D118" s="1156"/>
      <c r="E118" s="1156"/>
      <c r="F118" s="1156"/>
      <c r="G118" s="1156"/>
      <c r="H118" s="1158">
        <f>H114+H117</f>
        <v>-451364</v>
      </c>
      <c r="I118" s="1159" t="str">
        <f t="shared" si="791"/>
        <v/>
      </c>
      <c r="J118" s="3"/>
      <c r="K118" s="1160">
        <f>K114+K117</f>
        <v>-331364</v>
      </c>
      <c r="L118" s="1159">
        <f t="shared" si="792"/>
        <v>-2.761366667</v>
      </c>
      <c r="M118" s="3"/>
      <c r="N118" s="1160">
        <f>N114+N117</f>
        <v>-489084.07</v>
      </c>
      <c r="O118" s="1159">
        <f t="shared" si="793"/>
        <v>-1.438482559</v>
      </c>
      <c r="P118" s="3"/>
      <c r="Q118" s="1161">
        <f t="shared" si="518"/>
        <v>-37720.07</v>
      </c>
      <c r="R118" s="1162">
        <f t="shared" si="8"/>
        <v>0.08356907064</v>
      </c>
      <c r="S118" s="1161">
        <f t="shared" si="519"/>
        <v>-157720.07</v>
      </c>
      <c r="T118" s="1162">
        <f t="shared" si="10"/>
        <v>0.4759722541</v>
      </c>
      <c r="U118" s="1158">
        <f>U114+U117</f>
        <v>-448364</v>
      </c>
      <c r="V118" s="1159" t="str">
        <f t="shared" si="794"/>
        <v/>
      </c>
      <c r="W118" s="3"/>
      <c r="X118" s="1160">
        <f>X114+X117</f>
        <v>-241221.572</v>
      </c>
      <c r="Y118" s="1159" t="str">
        <f t="shared" si="795"/>
        <v/>
      </c>
      <c r="Z118" s="3"/>
      <c r="AA118" s="1160">
        <f>AA114+AA117</f>
        <v>-131642.392</v>
      </c>
      <c r="AB118" s="1159">
        <f t="shared" si="796"/>
        <v>-0.7313466222</v>
      </c>
      <c r="AC118" s="3"/>
      <c r="AD118" s="1161">
        <f t="shared" si="526"/>
        <v>316721.608</v>
      </c>
      <c r="AE118" s="1162">
        <f t="shared" si="15"/>
        <v>-0.7063939299</v>
      </c>
      <c r="AF118" s="1161">
        <f t="shared" si="527"/>
        <v>109579.18</v>
      </c>
      <c r="AG118" s="1162">
        <f t="shared" si="17"/>
        <v>-0.4542677468</v>
      </c>
      <c r="AH118" s="1158">
        <f>AH114+AH117</f>
        <v>-448364</v>
      </c>
      <c r="AI118" s="1159" t="str">
        <f t="shared" si="797"/>
        <v/>
      </c>
      <c r="AJ118" s="3"/>
      <c r="AK118" s="1160">
        <f>AK114+AK117</f>
        <v>3219418.428</v>
      </c>
      <c r="AL118" s="1159">
        <f t="shared" si="798"/>
        <v>0.8942828967</v>
      </c>
      <c r="AM118" s="3"/>
      <c r="AN118" s="1160">
        <f>AN114+AN117</f>
        <v>-147508.526</v>
      </c>
      <c r="AO118" s="1159">
        <f t="shared" si="799"/>
        <v>-0.2208211467</v>
      </c>
      <c r="AP118" s="3"/>
      <c r="AQ118" s="1161">
        <f t="shared" si="534"/>
        <v>300855.474</v>
      </c>
      <c r="AR118" s="1162">
        <f t="shared" si="22"/>
        <v>-0.671007204</v>
      </c>
      <c r="AS118" s="1161">
        <f t="shared" si="535"/>
        <v>-3366926.954</v>
      </c>
      <c r="AT118" s="1162">
        <f t="shared" si="24"/>
        <v>-1.045818377</v>
      </c>
      <c r="AU118" s="1158">
        <f t="shared" si="916"/>
        <v>-1348092</v>
      </c>
      <c r="AV118" s="1159" t="str">
        <f t="shared" si="800"/>
        <v/>
      </c>
      <c r="AW118" s="3"/>
      <c r="AX118" s="1160">
        <f t="shared" si="917"/>
        <v>2646832.856</v>
      </c>
      <c r="AY118" s="1159">
        <f t="shared" si="801"/>
        <v>0.7115142086</v>
      </c>
      <c r="AZ118" s="3"/>
      <c r="BA118" s="1160">
        <f t="shared" si="918"/>
        <v>-768234.988</v>
      </c>
      <c r="BB118" s="1159">
        <f t="shared" si="802"/>
        <v>-0.6466624478</v>
      </c>
      <c r="BC118" s="3"/>
      <c r="BD118" s="1161">
        <f t="shared" si="545"/>
        <v>579857.012</v>
      </c>
      <c r="BE118" s="1162">
        <f t="shared" si="32"/>
        <v>-0.430131632</v>
      </c>
      <c r="BF118" s="1161">
        <f t="shared" si="546"/>
        <v>-3415067.844</v>
      </c>
      <c r="BG118" s="1162">
        <f t="shared" si="34"/>
        <v>-1.290246884</v>
      </c>
      <c r="BH118" s="1158">
        <f>BH114+BH117</f>
        <v>-4105364</v>
      </c>
      <c r="BI118" s="1159">
        <f t="shared" si="803"/>
        <v>-1.026341</v>
      </c>
      <c r="BJ118" s="3"/>
      <c r="BK118" s="1160">
        <f>BK114+BK117</f>
        <v>-590424.106</v>
      </c>
      <c r="BL118" s="1159" t="str">
        <f t="shared" si="804"/>
        <v/>
      </c>
      <c r="BM118" s="3"/>
      <c r="BN118" s="1160">
        <f>BN114+BN117</f>
        <v>1203938.909</v>
      </c>
      <c r="BO118" s="1159">
        <f t="shared" si="805"/>
        <v>0.4628682792</v>
      </c>
      <c r="BP118" s="3"/>
      <c r="BQ118" s="1161">
        <f t="shared" si="553"/>
        <v>5309302.909</v>
      </c>
      <c r="BR118" s="1162">
        <f t="shared" si="39"/>
        <v>-1.293259966</v>
      </c>
      <c r="BS118" s="1161">
        <f t="shared" si="554"/>
        <v>1794363.015</v>
      </c>
      <c r="BT118" s="1162">
        <f t="shared" si="41"/>
        <v>-3.039108662</v>
      </c>
      <c r="BU118" s="1158">
        <f>BU114+BU117</f>
        <v>-4105364</v>
      </c>
      <c r="BV118" s="1159">
        <f t="shared" si="806"/>
        <v>-1.026341</v>
      </c>
      <c r="BW118" s="3"/>
      <c r="BX118" s="1160">
        <f>BX114+BX117</f>
        <v>434441.068</v>
      </c>
      <c r="BY118" s="1159">
        <f t="shared" si="807"/>
        <v>0.2907017192</v>
      </c>
      <c r="BZ118" s="3"/>
      <c r="CA118" s="1160">
        <f>CA114+CA117</f>
        <v>-232738.917</v>
      </c>
      <c r="CB118" s="1159">
        <f t="shared" si="808"/>
        <v>-0.4189176506</v>
      </c>
      <c r="CC118" s="3"/>
      <c r="CD118" s="1161">
        <f t="shared" si="561"/>
        <v>3872625.083</v>
      </c>
      <c r="CE118" s="1162">
        <f t="shared" si="46"/>
        <v>-0.9433085795</v>
      </c>
      <c r="CF118" s="1161">
        <f t="shared" si="562"/>
        <v>-667179.985</v>
      </c>
      <c r="CG118" s="1162">
        <f t="shared" si="48"/>
        <v>-1.535720341</v>
      </c>
      <c r="CH118" s="1158">
        <f>CH114+CH117</f>
        <v>-4105364</v>
      </c>
      <c r="CI118" s="1159">
        <f t="shared" si="809"/>
        <v>-1.026341</v>
      </c>
      <c r="CJ118" s="3"/>
      <c r="CK118" s="1160">
        <f>CK114+CK117</f>
        <v>-6738249</v>
      </c>
      <c r="CL118" s="1159" t="str">
        <f t="shared" si="810"/>
        <v/>
      </c>
      <c r="CM118" s="3"/>
      <c r="CN118" s="1160">
        <f>CN114+CN117</f>
        <v>0</v>
      </c>
      <c r="CO118" s="1159" t="str">
        <f t="shared" si="811"/>
        <v/>
      </c>
      <c r="CP118" s="3"/>
      <c r="CQ118" s="1161">
        <f t="shared" si="569"/>
        <v>4105364</v>
      </c>
      <c r="CR118" s="1162">
        <f t="shared" si="53"/>
        <v>-1</v>
      </c>
      <c r="CS118" s="1161">
        <f t="shared" si="570"/>
        <v>6738249</v>
      </c>
      <c r="CT118" s="1162">
        <f t="shared" si="55"/>
        <v>-1</v>
      </c>
      <c r="CU118" s="1158">
        <f t="shared" si="919"/>
        <v>-12316092</v>
      </c>
      <c r="CV118" s="1159">
        <f t="shared" si="812"/>
        <v>-1.026341</v>
      </c>
      <c r="CW118" s="3"/>
      <c r="CX118" s="1160">
        <f t="shared" si="920"/>
        <v>-6894232.038</v>
      </c>
      <c r="CY118" s="1159">
        <f t="shared" si="814"/>
        <v>-4.613203616</v>
      </c>
      <c r="CZ118" s="3"/>
      <c r="DA118" s="1160">
        <f t="shared" si="921"/>
        <v>971199.992</v>
      </c>
      <c r="DB118" s="1159">
        <f t="shared" si="816"/>
        <v>0.3076716404</v>
      </c>
      <c r="DC118" s="3"/>
      <c r="DD118" s="1161">
        <f t="shared" si="580"/>
        <v>13287291.99</v>
      </c>
      <c r="DE118" s="1162">
        <f t="shared" si="63"/>
        <v>-1.078856182</v>
      </c>
      <c r="DF118" s="1161">
        <f t="shared" si="581"/>
        <v>7865432.03</v>
      </c>
      <c r="DG118" s="1162">
        <f t="shared" si="65"/>
        <v>-1.140871382</v>
      </c>
      <c r="DH118" s="1158">
        <f t="shared" si="922"/>
        <v>-13664184</v>
      </c>
      <c r="DI118" s="1159">
        <f t="shared" si="817"/>
        <v>-1.138682</v>
      </c>
      <c r="DJ118" s="3"/>
      <c r="DK118" s="1160">
        <f t="shared" si="585"/>
        <v>-4247399.182</v>
      </c>
      <c r="DL118" s="1159">
        <f t="shared" si="818"/>
        <v>-0.8145430302</v>
      </c>
      <c r="DM118" s="3"/>
      <c r="DN118" s="1160">
        <f t="shared" si="588"/>
        <v>202965.004</v>
      </c>
      <c r="DO118" s="1159">
        <f t="shared" si="819"/>
        <v>0.04671648561</v>
      </c>
      <c r="DP118" s="3"/>
      <c r="DQ118" s="1161">
        <f t="shared" si="591"/>
        <v>13867149</v>
      </c>
      <c r="DR118" s="1162">
        <f t="shared" si="73"/>
        <v>-1.014853796</v>
      </c>
      <c r="DS118" s="1161">
        <f t="shared" si="592"/>
        <v>4450364.186</v>
      </c>
      <c r="DT118" s="1162">
        <f t="shared" si="75"/>
        <v>-1.047785714</v>
      </c>
      <c r="DU118" s="1158">
        <f>DU114+DU117</f>
        <v>-4105364</v>
      </c>
      <c r="DV118" s="1159">
        <f t="shared" si="820"/>
        <v>-1.026341</v>
      </c>
      <c r="DW118" s="3"/>
      <c r="DX118" s="1160">
        <f>DX114+DX117</f>
        <v>-2065364.04</v>
      </c>
      <c r="DY118" s="1159">
        <f t="shared" si="821"/>
        <v>-0.341947691</v>
      </c>
      <c r="DZ118" s="3"/>
      <c r="EA118" s="1160">
        <f>EA114+EA117</f>
        <v>0</v>
      </c>
      <c r="EB118" s="1159" t="str">
        <f t="shared" si="822"/>
        <v/>
      </c>
      <c r="EC118" s="3"/>
      <c r="ED118" s="1161">
        <f t="shared" si="599"/>
        <v>4105364</v>
      </c>
      <c r="EE118" s="1162">
        <f t="shared" si="80"/>
        <v>-1</v>
      </c>
      <c r="EF118" s="1161">
        <f t="shared" si="600"/>
        <v>2065364.04</v>
      </c>
      <c r="EG118" s="1162">
        <f t="shared" si="82"/>
        <v>-1</v>
      </c>
      <c r="EH118" s="1158">
        <f>EH114+EH117</f>
        <v>-4105364</v>
      </c>
      <c r="EI118" s="1159">
        <f t="shared" si="823"/>
        <v>-1.026341</v>
      </c>
      <c r="EJ118" s="3"/>
      <c r="EK118" s="1160">
        <f>EK114+EK117</f>
        <v>-2065364.04</v>
      </c>
      <c r="EL118" s="1159">
        <f t="shared" si="824"/>
        <v>-0.341947691</v>
      </c>
      <c r="EM118" s="3"/>
      <c r="EN118" s="1160">
        <f>EN114+EN117</f>
        <v>0</v>
      </c>
      <c r="EO118" s="1159" t="str">
        <f t="shared" si="825"/>
        <v/>
      </c>
      <c r="EP118" s="3"/>
      <c r="EQ118" s="1161">
        <f t="shared" si="607"/>
        <v>4105364</v>
      </c>
      <c r="ER118" s="1162">
        <f t="shared" si="87"/>
        <v>-1</v>
      </c>
      <c r="ES118" s="1161">
        <f t="shared" si="608"/>
        <v>2065364.04</v>
      </c>
      <c r="ET118" s="1162">
        <f t="shared" si="89"/>
        <v>-1</v>
      </c>
      <c r="EU118" s="1158">
        <f>EU114+EU117</f>
        <v>-4105364</v>
      </c>
      <c r="EV118" s="1159">
        <f t="shared" si="826"/>
        <v>-1.026341</v>
      </c>
      <c r="EW118" s="3"/>
      <c r="EX118" s="1160">
        <f>EX114+EX117</f>
        <v>-2065364.04</v>
      </c>
      <c r="EY118" s="1159">
        <f t="shared" si="827"/>
        <v>-0.341947691</v>
      </c>
      <c r="EZ118" s="3"/>
      <c r="FA118" s="1160">
        <f>FA114+FA117</f>
        <v>0</v>
      </c>
      <c r="FB118" s="1159" t="str">
        <f t="shared" si="828"/>
        <v/>
      </c>
      <c r="FC118" s="3"/>
      <c r="FD118" s="1161">
        <f t="shared" si="616"/>
        <v>4105364</v>
      </c>
      <c r="FE118" s="1162">
        <f t="shared" si="94"/>
        <v>-1</v>
      </c>
      <c r="FF118" s="1161">
        <f t="shared" si="617"/>
        <v>2065364.04</v>
      </c>
      <c r="FG118" s="1162">
        <f t="shared" si="96"/>
        <v>-1</v>
      </c>
      <c r="FH118" s="1158">
        <f t="shared" si="923"/>
        <v>-12316092</v>
      </c>
      <c r="FI118" s="1159">
        <f t="shared" si="829"/>
        <v>-1.026341</v>
      </c>
      <c r="FJ118" s="3"/>
      <c r="FK118" s="1160">
        <f t="shared" si="621"/>
        <v>-6196092.12</v>
      </c>
      <c r="FL118" s="1159">
        <f t="shared" si="830"/>
        <v>-0.341947691</v>
      </c>
      <c r="FM118" s="3"/>
      <c r="FN118" s="1160">
        <f t="shared" si="624"/>
        <v>0</v>
      </c>
      <c r="FO118" s="1159" t="str">
        <f t="shared" si="831"/>
        <v/>
      </c>
      <c r="FP118" s="3"/>
      <c r="FQ118" s="1161">
        <f t="shared" si="627"/>
        <v>12316092</v>
      </c>
      <c r="FR118" s="1162">
        <f t="shared" si="104"/>
        <v>-1</v>
      </c>
      <c r="FS118" s="1161">
        <f t="shared" si="628"/>
        <v>6196092.12</v>
      </c>
      <c r="FT118" s="1162">
        <f t="shared" si="106"/>
        <v>-1</v>
      </c>
      <c r="FU118" s="1158">
        <f>FU114+FU117</f>
        <v>-4105364</v>
      </c>
      <c r="FV118" s="1159">
        <f t="shared" si="832"/>
        <v>-1.026341</v>
      </c>
      <c r="FW118" s="3"/>
      <c r="FX118" s="1160">
        <f>FX114+FX117</f>
        <v>-2065364.04</v>
      </c>
      <c r="FY118" s="1159">
        <f t="shared" si="833"/>
        <v>-0.341947691</v>
      </c>
      <c r="FZ118" s="3"/>
      <c r="GA118" s="1160">
        <f>GA114+GA117</f>
        <v>0</v>
      </c>
      <c r="GB118" s="1159" t="str">
        <f t="shared" si="834"/>
        <v/>
      </c>
      <c r="GC118" s="3"/>
      <c r="GD118" s="1161">
        <f t="shared" si="635"/>
        <v>4105364</v>
      </c>
      <c r="GE118" s="1162">
        <f t="shared" si="111"/>
        <v>-1</v>
      </c>
      <c r="GF118" s="1161">
        <f t="shared" si="636"/>
        <v>2065364.04</v>
      </c>
      <c r="GG118" s="1162">
        <f t="shared" si="113"/>
        <v>-1</v>
      </c>
      <c r="GH118" s="1158">
        <f>GH114+GH117</f>
        <v>-4105364</v>
      </c>
      <c r="GI118" s="1159">
        <f t="shared" si="835"/>
        <v>-1.026341</v>
      </c>
      <c r="GJ118" s="3"/>
      <c r="GK118" s="1160">
        <f>GK114+GK117</f>
        <v>-2065364.04</v>
      </c>
      <c r="GL118" s="1159">
        <f t="shared" si="836"/>
        <v>-0.341947691</v>
      </c>
      <c r="GM118" s="3"/>
      <c r="GN118" s="1160">
        <f>GN114+GN117</f>
        <v>0</v>
      </c>
      <c r="GO118" s="1159" t="str">
        <f t="shared" si="837"/>
        <v/>
      </c>
      <c r="GP118" s="3"/>
      <c r="GQ118" s="1161">
        <f t="shared" si="643"/>
        <v>4105364</v>
      </c>
      <c r="GR118" s="1162">
        <f t="shared" si="118"/>
        <v>-1</v>
      </c>
      <c r="GS118" s="1161">
        <f t="shared" si="644"/>
        <v>2065364.04</v>
      </c>
      <c r="GT118" s="1162">
        <f t="shared" si="120"/>
        <v>-1</v>
      </c>
      <c r="GU118" s="1158">
        <f>GU114+GU117</f>
        <v>-4105364</v>
      </c>
      <c r="GV118" s="1159">
        <f t="shared" si="838"/>
        <v>-1.026341</v>
      </c>
      <c r="GW118" s="3"/>
      <c r="GX118" s="1160">
        <f>GX114+GX117</f>
        <v>-2065364.04</v>
      </c>
      <c r="GY118" s="1159">
        <f t="shared" si="839"/>
        <v>-0.341947691</v>
      </c>
      <c r="GZ118" s="3"/>
      <c r="HA118" s="1160">
        <f>HA114+HA117</f>
        <v>0</v>
      </c>
      <c r="HB118" s="1159" t="str">
        <f t="shared" si="840"/>
        <v/>
      </c>
      <c r="HC118" s="3"/>
      <c r="HD118" s="1161">
        <f t="shared" si="651"/>
        <v>4105364</v>
      </c>
      <c r="HE118" s="1162">
        <f t="shared" si="125"/>
        <v>-1</v>
      </c>
      <c r="HF118" s="1161">
        <f t="shared" si="652"/>
        <v>2065364.04</v>
      </c>
      <c r="HG118" s="1162">
        <f t="shared" si="127"/>
        <v>-1</v>
      </c>
      <c r="HH118" s="1158">
        <f t="shared" si="924"/>
        <v>-12316092</v>
      </c>
      <c r="HI118" s="1159">
        <f t="shared" si="841"/>
        <v>-1.026341</v>
      </c>
      <c r="HJ118" s="3"/>
      <c r="HK118" s="1160">
        <f t="shared" si="656"/>
        <v>-6196092.12</v>
      </c>
      <c r="HL118" s="1159">
        <f t="shared" si="842"/>
        <v>-0.341947691</v>
      </c>
      <c r="HM118" s="3"/>
      <c r="HN118" s="1160">
        <f t="shared" si="659"/>
        <v>0</v>
      </c>
      <c r="HO118" s="1159" t="str">
        <f t="shared" si="843"/>
        <v/>
      </c>
      <c r="HP118" s="3"/>
      <c r="HQ118" s="1161">
        <f t="shared" si="662"/>
        <v>12316092</v>
      </c>
      <c r="HR118" s="1162">
        <f t="shared" si="135"/>
        <v>-1</v>
      </c>
      <c r="HS118" s="1161">
        <f t="shared" si="663"/>
        <v>6196092.12</v>
      </c>
      <c r="HT118" s="1162">
        <f t="shared" si="137"/>
        <v>-1</v>
      </c>
      <c r="HU118" s="1158">
        <f t="shared" si="925"/>
        <v>-24632184</v>
      </c>
      <c r="HV118" s="1159">
        <f t="shared" si="844"/>
        <v>-1.026341</v>
      </c>
      <c r="HW118" s="3"/>
      <c r="HX118" s="1160">
        <f t="shared" si="667"/>
        <v>-12392184.24</v>
      </c>
      <c r="HY118" s="1159">
        <f t="shared" si="845"/>
        <v>-0.341947691</v>
      </c>
      <c r="HZ118" s="3"/>
      <c r="IA118" s="1160">
        <f t="shared" si="670"/>
        <v>0</v>
      </c>
      <c r="IB118" s="1159" t="str">
        <f t="shared" si="846"/>
        <v/>
      </c>
      <c r="IC118" s="3"/>
      <c r="ID118" s="1161">
        <f t="shared" si="673"/>
        <v>24632184</v>
      </c>
      <c r="IE118" s="1162">
        <f t="shared" si="145"/>
        <v>-1</v>
      </c>
      <c r="IF118" s="1161">
        <f t="shared" si="674"/>
        <v>12392184.24</v>
      </c>
      <c r="IG118" s="1162">
        <f t="shared" si="147"/>
        <v>-1</v>
      </c>
      <c r="IH118" s="1158">
        <f t="shared" si="926"/>
        <v>-38296368</v>
      </c>
      <c r="II118" s="1159">
        <f t="shared" si="847"/>
        <v>-1.063788</v>
      </c>
      <c r="IJ118" s="3"/>
      <c r="IK118" s="1160">
        <f t="shared" si="678"/>
        <v>-16639583.42</v>
      </c>
      <c r="IL118" s="1159">
        <f t="shared" si="848"/>
        <v>-0.4013943236</v>
      </c>
      <c r="IM118" s="3"/>
      <c r="IN118" s="1160">
        <f t="shared" si="681"/>
        <v>202965.004</v>
      </c>
      <c r="IO118" s="1159">
        <f t="shared" si="849"/>
        <v>0.04671648561</v>
      </c>
      <c r="IP118" s="3"/>
      <c r="IQ118" s="1161">
        <f t="shared" si="684"/>
        <v>38499333</v>
      </c>
      <c r="IR118" s="1162">
        <f t="shared" si="1"/>
        <v>-1.00529985</v>
      </c>
      <c r="IS118" s="1161">
        <f t="shared" si="685"/>
        <v>16842548.43</v>
      </c>
      <c r="IT118" s="1162">
        <f t="shared" si="2"/>
        <v>-1.012197721</v>
      </c>
    </row>
    <row r="119">
      <c r="A119" s="1107" t="s">
        <v>2880</v>
      </c>
      <c r="B119" s="1108"/>
      <c r="C119" s="1108"/>
      <c r="D119" s="1108"/>
      <c r="E119" s="1108" t="s">
        <v>2881</v>
      </c>
      <c r="F119" s="1108"/>
      <c r="G119" s="1141">
        <v>1.0</v>
      </c>
      <c r="H119" s="1110">
        <f>H118*0.14</f>
        <v>-63190.96</v>
      </c>
      <c r="I119" s="1111" t="str">
        <f t="shared" si="791"/>
        <v/>
      </c>
      <c r="J119" s="3"/>
      <c r="K119" s="1142">
        <f>K118*0.14</f>
        <v>-46390.96</v>
      </c>
      <c r="L119" s="1111">
        <f t="shared" si="792"/>
        <v>-0.3865913333</v>
      </c>
      <c r="M119" s="3"/>
      <c r="N119" s="1142">
        <f>N118*0.14</f>
        <v>-68471.7698</v>
      </c>
      <c r="O119" s="1111">
        <f t="shared" si="793"/>
        <v>-0.2013875582</v>
      </c>
      <c r="P119" s="3"/>
      <c r="Q119" s="1143">
        <f t="shared" si="518"/>
        <v>-5280.8098</v>
      </c>
      <c r="R119" s="1144">
        <f t="shared" si="8"/>
        <v>0.08356907064</v>
      </c>
      <c r="S119" s="1143">
        <f t="shared" si="519"/>
        <v>-22080.8098</v>
      </c>
      <c r="T119" s="1112">
        <f t="shared" si="10"/>
        <v>0.4759722541</v>
      </c>
      <c r="U119" s="1110" t="str">
        <f>IF(U118&gt;0,U118*0.14,"")</f>
        <v/>
      </c>
      <c r="V119" s="1111" t="str">
        <f t="shared" si="794"/>
        <v/>
      </c>
      <c r="W119" s="3"/>
      <c r="X119" s="1110" t="str">
        <f>IF(X118&gt;0,X118*0.14,"")</f>
        <v/>
      </c>
      <c r="Y119" s="1111" t="str">
        <f t="shared" si="795"/>
        <v/>
      </c>
      <c r="Z119" s="3"/>
      <c r="AA119" s="1110" t="str">
        <f>IF(AA118&gt;0,AA118*0.14,"")</f>
        <v/>
      </c>
      <c r="AB119" s="1111">
        <f t="shared" si="796"/>
        <v>0</v>
      </c>
      <c r="AC119" s="3"/>
      <c r="AD119" s="1143">
        <f t="shared" si="526"/>
        <v>0</v>
      </c>
      <c r="AE119" s="1144" t="str">
        <f t="shared" si="15"/>
        <v/>
      </c>
      <c r="AF119" s="1143">
        <f t="shared" si="527"/>
        <v>0</v>
      </c>
      <c r="AG119" s="1112" t="str">
        <f t="shared" si="17"/>
        <v/>
      </c>
      <c r="AH119" s="1110" t="str">
        <f>IF(AH118&gt;0,AH118*0.14,"")</f>
        <v/>
      </c>
      <c r="AI119" s="1111" t="str">
        <f t="shared" si="797"/>
        <v/>
      </c>
      <c r="AJ119" s="3"/>
      <c r="AK119" s="1110">
        <f>IF(AK118&gt;0,AK118*0.14,"")</f>
        <v>450718.5799</v>
      </c>
      <c r="AL119" s="1111">
        <f t="shared" si="798"/>
        <v>0.1251996055</v>
      </c>
      <c r="AM119" s="3"/>
      <c r="AN119" s="1110" t="str">
        <f>IF(AN118&gt;0,AN118*0.14,"")</f>
        <v/>
      </c>
      <c r="AO119" s="1111">
        <f t="shared" si="799"/>
        <v>0</v>
      </c>
      <c r="AP119" s="3"/>
      <c r="AQ119" s="1143">
        <f t="shared" si="534"/>
        <v>0</v>
      </c>
      <c r="AR119" s="1144" t="str">
        <f t="shared" si="22"/>
        <v/>
      </c>
      <c r="AS119" s="1143">
        <f t="shared" si="535"/>
        <v>-450718.5799</v>
      </c>
      <c r="AT119" s="1112">
        <f t="shared" si="24"/>
        <v>-1</v>
      </c>
      <c r="AU119" s="1110" t="str">
        <f>IF(AU118&gt;0,AU118*0.14,"")</f>
        <v/>
      </c>
      <c r="AV119" s="1111" t="str">
        <f t="shared" si="800"/>
        <v/>
      </c>
      <c r="AW119" s="3"/>
      <c r="AX119" s="1110">
        <f>IF(AX118&gt;0,AX118*0.14,"")</f>
        <v>370556.5998</v>
      </c>
      <c r="AY119" s="1111">
        <f t="shared" si="801"/>
        <v>0.0996119892</v>
      </c>
      <c r="AZ119" s="3"/>
      <c r="BA119" s="1110" t="str">
        <f>IF(BA118&gt;0,BA118*0.14,"")</f>
        <v/>
      </c>
      <c r="BB119" s="1111">
        <f t="shared" si="802"/>
        <v>0</v>
      </c>
      <c r="BC119" s="3"/>
      <c r="BD119" s="1143">
        <f t="shared" si="545"/>
        <v>0</v>
      </c>
      <c r="BE119" s="1144" t="str">
        <f t="shared" si="32"/>
        <v/>
      </c>
      <c r="BF119" s="1143">
        <f t="shared" si="546"/>
        <v>-370556.5998</v>
      </c>
      <c r="BG119" s="1112">
        <f t="shared" si="34"/>
        <v>-1</v>
      </c>
      <c r="BH119" s="1110" t="str">
        <f>IF(BH118&gt;0,BH118*0.14,"")</f>
        <v/>
      </c>
      <c r="BI119" s="1111">
        <f t="shared" si="803"/>
        <v>0</v>
      </c>
      <c r="BJ119" s="3"/>
      <c r="BK119" s="1110" t="str">
        <f>IF(BK118&gt;0,BK118*0.14,"")</f>
        <v/>
      </c>
      <c r="BL119" s="1111" t="str">
        <f t="shared" si="804"/>
        <v/>
      </c>
      <c r="BM119" s="3"/>
      <c r="BN119" s="1110">
        <f>IF(BN118&gt;0,BN118*0.14,"")</f>
        <v>168551.4473</v>
      </c>
      <c r="BO119" s="1111">
        <f t="shared" si="805"/>
        <v>0.06480155909</v>
      </c>
      <c r="BP119" s="3"/>
      <c r="BQ119" s="1143">
        <f t="shared" si="553"/>
        <v>168551.4473</v>
      </c>
      <c r="BR119" s="1144" t="str">
        <f t="shared" si="39"/>
        <v/>
      </c>
      <c r="BS119" s="1143">
        <f t="shared" si="554"/>
        <v>168551.4473</v>
      </c>
      <c r="BT119" s="1112" t="str">
        <f t="shared" si="41"/>
        <v/>
      </c>
      <c r="BU119" s="1110" t="str">
        <f>IF(BU118&gt;0,BU118*0.14,"")</f>
        <v/>
      </c>
      <c r="BV119" s="1111">
        <f t="shared" si="806"/>
        <v>0</v>
      </c>
      <c r="BW119" s="3"/>
      <c r="BX119" s="1110">
        <f>IF(BX118&gt;0,BX118*0.14,"")</f>
        <v>60821.74952</v>
      </c>
      <c r="BY119" s="1111">
        <f t="shared" si="807"/>
        <v>0.04069824069</v>
      </c>
      <c r="BZ119" s="3"/>
      <c r="CA119" s="1110" t="str">
        <f>IF(CA118&gt;0,CA118*0.14,"")</f>
        <v/>
      </c>
      <c r="CB119" s="1111">
        <f t="shared" si="808"/>
        <v>0</v>
      </c>
      <c r="CC119" s="3"/>
      <c r="CD119" s="1143">
        <f t="shared" si="561"/>
        <v>0</v>
      </c>
      <c r="CE119" s="1144" t="str">
        <f t="shared" si="46"/>
        <v/>
      </c>
      <c r="CF119" s="1143">
        <f t="shared" si="562"/>
        <v>-60821.74952</v>
      </c>
      <c r="CG119" s="1112">
        <f t="shared" si="48"/>
        <v>-1</v>
      </c>
      <c r="CH119" s="1110" t="str">
        <f>IF(CH118&gt;0,CH118*0.14,"")</f>
        <v/>
      </c>
      <c r="CI119" s="1111">
        <f t="shared" si="809"/>
        <v>0</v>
      </c>
      <c r="CJ119" s="3"/>
      <c r="CK119" s="1110" t="str">
        <f>IF(CK118&gt;0,CK118*0.14,"")</f>
        <v/>
      </c>
      <c r="CL119" s="1111" t="str">
        <f t="shared" si="810"/>
        <v/>
      </c>
      <c r="CM119" s="3"/>
      <c r="CN119" s="1110" t="str">
        <f>IF(CN118&gt;0,CN118*0.14,"")</f>
        <v/>
      </c>
      <c r="CO119" s="1111" t="str">
        <f t="shared" si="811"/>
        <v/>
      </c>
      <c r="CP119" s="3"/>
      <c r="CQ119" s="1143">
        <f t="shared" si="569"/>
        <v>0</v>
      </c>
      <c r="CR119" s="1144" t="str">
        <f t="shared" si="53"/>
        <v/>
      </c>
      <c r="CS119" s="1143">
        <f t="shared" si="570"/>
        <v>0</v>
      </c>
      <c r="CT119" s="1112" t="str">
        <f t="shared" si="55"/>
        <v/>
      </c>
      <c r="CU119" s="1110" t="str">
        <f>IF(CU118&gt;0,CU118*0.14,"")</f>
        <v/>
      </c>
      <c r="CV119" s="1111">
        <f t="shared" si="812"/>
        <v>0</v>
      </c>
      <c r="CW119" s="3"/>
      <c r="CX119" s="1110" t="str">
        <f>IF(CX118&gt;0,CX118*0.14,"")</f>
        <v/>
      </c>
      <c r="CY119" s="1111">
        <f t="shared" si="814"/>
        <v>0</v>
      </c>
      <c r="CZ119" s="3"/>
      <c r="DA119" s="1110">
        <f>IF(DA118&gt;0,DA118*0.14,"")</f>
        <v>135967.9989</v>
      </c>
      <c r="DB119" s="1111">
        <f t="shared" si="816"/>
        <v>0.04307402965</v>
      </c>
      <c r="DC119" s="3"/>
      <c r="DD119" s="1143">
        <f t="shared" si="580"/>
        <v>135967.9989</v>
      </c>
      <c r="DE119" s="1144" t="str">
        <f t="shared" si="63"/>
        <v/>
      </c>
      <c r="DF119" s="1143">
        <f t="shared" si="581"/>
        <v>135967.9989</v>
      </c>
      <c r="DG119" s="1112" t="str">
        <f t="shared" si="65"/>
        <v/>
      </c>
      <c r="DH119" s="1110" t="str">
        <f>IF(DH118&gt;0,DH118*0.14,"")</f>
        <v/>
      </c>
      <c r="DI119" s="1111">
        <f t="shared" si="817"/>
        <v>0</v>
      </c>
      <c r="DJ119" s="3"/>
      <c r="DK119" s="1110" t="str">
        <f>IF(DK118&gt;0,DK118*0.14,"")</f>
        <v/>
      </c>
      <c r="DL119" s="1111">
        <f t="shared" si="818"/>
        <v>0</v>
      </c>
      <c r="DM119" s="3"/>
      <c r="DN119" s="1110">
        <f>IF(DN118&gt;0,DN118*0.14,"")</f>
        <v>28415.10056</v>
      </c>
      <c r="DO119" s="1111">
        <f t="shared" si="819"/>
        <v>0.006540307986</v>
      </c>
      <c r="DP119" s="3"/>
      <c r="DQ119" s="1143">
        <f t="shared" si="591"/>
        <v>28415.10056</v>
      </c>
      <c r="DR119" s="1144" t="str">
        <f t="shared" si="73"/>
        <v/>
      </c>
      <c r="DS119" s="1143">
        <f t="shared" si="592"/>
        <v>28415.10056</v>
      </c>
      <c r="DT119" s="1112" t="str">
        <f t="shared" si="75"/>
        <v/>
      </c>
      <c r="DU119" s="1110" t="str">
        <f>IF(DU118&gt;0,DU118*0.14,"")</f>
        <v/>
      </c>
      <c r="DV119" s="1111">
        <f t="shared" si="820"/>
        <v>0</v>
      </c>
      <c r="DW119" s="3"/>
      <c r="DX119" s="1110" t="str">
        <f>IF(DX118&gt;0,DX118*0.14,"")</f>
        <v/>
      </c>
      <c r="DY119" s="1111">
        <f t="shared" si="821"/>
        <v>0</v>
      </c>
      <c r="DZ119" s="3"/>
      <c r="EA119" s="1110" t="str">
        <f>IF(EA118&gt;0,EA118*0.14,"")</f>
        <v/>
      </c>
      <c r="EB119" s="1111" t="str">
        <f t="shared" si="822"/>
        <v/>
      </c>
      <c r="EC119" s="3"/>
      <c r="ED119" s="1143">
        <f t="shared" si="599"/>
        <v>0</v>
      </c>
      <c r="EE119" s="1144" t="str">
        <f t="shared" si="80"/>
        <v/>
      </c>
      <c r="EF119" s="1143">
        <f t="shared" si="600"/>
        <v>0</v>
      </c>
      <c r="EG119" s="1112" t="str">
        <f t="shared" si="82"/>
        <v/>
      </c>
      <c r="EH119" s="1110" t="str">
        <f>IF(EH118&gt;0,EH118*0.14,"")</f>
        <v/>
      </c>
      <c r="EI119" s="1111">
        <f t="shared" si="823"/>
        <v>0</v>
      </c>
      <c r="EJ119" s="3"/>
      <c r="EK119" s="1110" t="str">
        <f>IF(EK118&gt;0,EK118*0.14,"")</f>
        <v/>
      </c>
      <c r="EL119" s="1111">
        <f t="shared" si="824"/>
        <v>0</v>
      </c>
      <c r="EM119" s="3"/>
      <c r="EN119" s="1110" t="str">
        <f>IF(EN118&gt;0,EN118*0.14,"")</f>
        <v/>
      </c>
      <c r="EO119" s="1111" t="str">
        <f t="shared" si="825"/>
        <v/>
      </c>
      <c r="EP119" s="3"/>
      <c r="EQ119" s="1143">
        <f t="shared" si="607"/>
        <v>0</v>
      </c>
      <c r="ER119" s="1144" t="str">
        <f t="shared" si="87"/>
        <v/>
      </c>
      <c r="ES119" s="1143">
        <f t="shared" si="608"/>
        <v>0</v>
      </c>
      <c r="ET119" s="1112" t="str">
        <f t="shared" si="89"/>
        <v/>
      </c>
      <c r="EU119" s="1110" t="str">
        <f>IF(EU118&gt;0,EU118*0.14,"")</f>
        <v/>
      </c>
      <c r="EV119" s="1111">
        <f t="shared" si="826"/>
        <v>0</v>
      </c>
      <c r="EW119" s="3"/>
      <c r="EX119" s="1110" t="str">
        <f>IF(EX118&gt;0,EX118*0.14,"")</f>
        <v/>
      </c>
      <c r="EY119" s="1111">
        <f t="shared" si="827"/>
        <v>0</v>
      </c>
      <c r="EZ119" s="3"/>
      <c r="FA119" s="1110" t="str">
        <f>IF(FA118&gt;0,FA118*0.14,"")</f>
        <v/>
      </c>
      <c r="FB119" s="1111" t="str">
        <f t="shared" si="828"/>
        <v/>
      </c>
      <c r="FC119" s="3"/>
      <c r="FD119" s="1143">
        <f t="shared" si="616"/>
        <v>0</v>
      </c>
      <c r="FE119" s="1144" t="str">
        <f t="shared" si="94"/>
        <v/>
      </c>
      <c r="FF119" s="1143">
        <f t="shared" si="617"/>
        <v>0</v>
      </c>
      <c r="FG119" s="1112" t="str">
        <f t="shared" si="96"/>
        <v/>
      </c>
      <c r="FH119" s="1110">
        <f t="shared" si="923"/>
        <v>0</v>
      </c>
      <c r="FI119" s="1111">
        <f t="shared" si="829"/>
        <v>0</v>
      </c>
      <c r="FJ119" s="3"/>
      <c r="FK119" s="1142">
        <f t="shared" si="621"/>
        <v>0</v>
      </c>
      <c r="FL119" s="1111">
        <f t="shared" si="830"/>
        <v>0</v>
      </c>
      <c r="FM119" s="3"/>
      <c r="FN119" s="1142">
        <f t="shared" si="624"/>
        <v>0</v>
      </c>
      <c r="FO119" s="1111" t="str">
        <f t="shared" si="831"/>
        <v/>
      </c>
      <c r="FP119" s="3"/>
      <c r="FQ119" s="1143">
        <f t="shared" si="627"/>
        <v>0</v>
      </c>
      <c r="FR119" s="1144" t="str">
        <f t="shared" si="104"/>
        <v/>
      </c>
      <c r="FS119" s="1143">
        <f t="shared" si="628"/>
        <v>0</v>
      </c>
      <c r="FT119" s="1112" t="str">
        <f t="shared" si="106"/>
        <v/>
      </c>
      <c r="FU119" s="1110" t="str">
        <f>IF(FU118&gt;0,FU118*0.14,"")</f>
        <v/>
      </c>
      <c r="FV119" s="1111">
        <f t="shared" si="832"/>
        <v>0</v>
      </c>
      <c r="FW119" s="3"/>
      <c r="FX119" s="1110" t="str">
        <f>IF(FX118&gt;0,FX118*0.14,"")</f>
        <v/>
      </c>
      <c r="FY119" s="1111">
        <f t="shared" si="833"/>
        <v>0</v>
      </c>
      <c r="FZ119" s="3"/>
      <c r="GA119" s="1110" t="str">
        <f>IF(GA118&gt;0,GA118*0.14,"")</f>
        <v/>
      </c>
      <c r="GB119" s="1111" t="str">
        <f t="shared" si="834"/>
        <v/>
      </c>
      <c r="GC119" s="3"/>
      <c r="GD119" s="1143">
        <f t="shared" si="635"/>
        <v>0</v>
      </c>
      <c r="GE119" s="1144" t="str">
        <f t="shared" si="111"/>
        <v/>
      </c>
      <c r="GF119" s="1143">
        <f t="shared" si="636"/>
        <v>0</v>
      </c>
      <c r="GG119" s="1112" t="str">
        <f t="shared" si="113"/>
        <v/>
      </c>
      <c r="GH119" s="1110" t="str">
        <f>IF(GH118&gt;0,GH118*0.14,"")</f>
        <v/>
      </c>
      <c r="GI119" s="1111">
        <f t="shared" si="835"/>
        <v>0</v>
      </c>
      <c r="GJ119" s="3"/>
      <c r="GK119" s="1110" t="str">
        <f>IF(GK118&gt;0,GK118*0.14,"")</f>
        <v/>
      </c>
      <c r="GL119" s="1111">
        <f t="shared" si="836"/>
        <v>0</v>
      </c>
      <c r="GM119" s="3"/>
      <c r="GN119" s="1110" t="str">
        <f>IF(GN118&gt;0,GN118*0.14,"")</f>
        <v/>
      </c>
      <c r="GO119" s="1111" t="str">
        <f t="shared" si="837"/>
        <v/>
      </c>
      <c r="GP119" s="3"/>
      <c r="GQ119" s="1143">
        <f t="shared" si="643"/>
        <v>0</v>
      </c>
      <c r="GR119" s="1144" t="str">
        <f t="shared" si="118"/>
        <v/>
      </c>
      <c r="GS119" s="1143">
        <f t="shared" si="644"/>
        <v>0</v>
      </c>
      <c r="GT119" s="1112" t="str">
        <f t="shared" si="120"/>
        <v/>
      </c>
      <c r="GU119" s="1110" t="str">
        <f>IF(GU118&gt;0,GU118*0.14,"")</f>
        <v/>
      </c>
      <c r="GV119" s="1111">
        <f t="shared" si="838"/>
        <v>0</v>
      </c>
      <c r="GW119" s="3"/>
      <c r="GX119" s="1110" t="str">
        <f>IF(GX118&gt;0,GX118*0.14,"")</f>
        <v/>
      </c>
      <c r="GY119" s="1111">
        <f t="shared" si="839"/>
        <v>0</v>
      </c>
      <c r="GZ119" s="3"/>
      <c r="HA119" s="1110" t="str">
        <f>IF(HA118&gt;0,HA118*0.14,"")</f>
        <v/>
      </c>
      <c r="HB119" s="1111" t="str">
        <f t="shared" si="840"/>
        <v/>
      </c>
      <c r="HC119" s="3"/>
      <c r="HD119" s="1143">
        <f t="shared" si="651"/>
        <v>0</v>
      </c>
      <c r="HE119" s="1144" t="str">
        <f t="shared" si="125"/>
        <v/>
      </c>
      <c r="HF119" s="1143">
        <f t="shared" si="652"/>
        <v>0</v>
      </c>
      <c r="HG119" s="1112" t="str">
        <f t="shared" si="127"/>
        <v/>
      </c>
      <c r="HH119" s="1110">
        <f t="shared" si="924"/>
        <v>0</v>
      </c>
      <c r="HI119" s="1111">
        <f t="shared" si="841"/>
        <v>0</v>
      </c>
      <c r="HJ119" s="3"/>
      <c r="HK119" s="1142">
        <f t="shared" si="656"/>
        <v>0</v>
      </c>
      <c r="HL119" s="1111">
        <f t="shared" si="842"/>
        <v>0</v>
      </c>
      <c r="HM119" s="3"/>
      <c r="HN119" s="1142">
        <f t="shared" si="659"/>
        <v>0</v>
      </c>
      <c r="HO119" s="1111" t="str">
        <f t="shared" si="843"/>
        <v/>
      </c>
      <c r="HP119" s="3"/>
      <c r="HQ119" s="1143">
        <f t="shared" si="662"/>
        <v>0</v>
      </c>
      <c r="HR119" s="1144" t="str">
        <f t="shared" si="135"/>
        <v/>
      </c>
      <c r="HS119" s="1143">
        <f t="shared" si="663"/>
        <v>0</v>
      </c>
      <c r="HT119" s="1112" t="str">
        <f t="shared" si="137"/>
        <v/>
      </c>
      <c r="HU119" s="1110">
        <f t="shared" si="925"/>
        <v>0</v>
      </c>
      <c r="HV119" s="1111">
        <f t="shared" si="844"/>
        <v>0</v>
      </c>
      <c r="HW119" s="3"/>
      <c r="HX119" s="1142">
        <f t="shared" si="667"/>
        <v>0</v>
      </c>
      <c r="HY119" s="1111">
        <f t="shared" si="845"/>
        <v>0</v>
      </c>
      <c r="HZ119" s="3"/>
      <c r="IA119" s="1142">
        <f t="shared" si="670"/>
        <v>0</v>
      </c>
      <c r="IB119" s="1111" t="str">
        <f t="shared" si="846"/>
        <v/>
      </c>
      <c r="IC119" s="3"/>
      <c r="ID119" s="1143">
        <f t="shared" si="673"/>
        <v>0</v>
      </c>
      <c r="IE119" s="1144" t="str">
        <f t="shared" si="145"/>
        <v/>
      </c>
      <c r="IF119" s="1143">
        <f t="shared" si="674"/>
        <v>0</v>
      </c>
      <c r="IG119" s="1112" t="str">
        <f t="shared" si="147"/>
        <v/>
      </c>
      <c r="IH119" s="1110">
        <f t="shared" si="926"/>
        <v>0</v>
      </c>
      <c r="II119" s="1111">
        <f t="shared" si="847"/>
        <v>0</v>
      </c>
      <c r="IJ119" s="3"/>
      <c r="IK119" s="1142">
        <f t="shared" si="678"/>
        <v>0</v>
      </c>
      <c r="IL119" s="1111">
        <f t="shared" si="848"/>
        <v>0</v>
      </c>
      <c r="IM119" s="3"/>
      <c r="IN119" s="1142">
        <f t="shared" si="681"/>
        <v>28415.10056</v>
      </c>
      <c r="IO119" s="1111">
        <f t="shared" si="849"/>
        <v>0.006540307986</v>
      </c>
      <c r="IP119" s="3"/>
      <c r="IQ119" s="1143">
        <f t="shared" si="684"/>
        <v>28415.10056</v>
      </c>
      <c r="IR119" s="1144" t="str">
        <f t="shared" si="1"/>
        <v/>
      </c>
      <c r="IS119" s="1143">
        <f t="shared" si="685"/>
        <v>28415.10056</v>
      </c>
      <c r="IT119" s="1112" t="str">
        <f t="shared" si="2"/>
        <v/>
      </c>
    </row>
    <row r="120">
      <c r="A120" s="1155" t="s">
        <v>2882</v>
      </c>
      <c r="B120" s="1156"/>
      <c r="C120" s="1156"/>
      <c r="D120" s="1156"/>
      <c r="E120" s="1156"/>
      <c r="F120" s="1156"/>
      <c r="G120" s="1156"/>
      <c r="H120" s="1158">
        <f>H118-H119</f>
        <v>-388173.04</v>
      </c>
      <c r="I120" s="1159" t="str">
        <f t="shared" si="791"/>
        <v/>
      </c>
      <c r="J120" s="3"/>
      <c r="K120" s="1160">
        <f>K118-K119</f>
        <v>-284973.04</v>
      </c>
      <c r="L120" s="1159">
        <f t="shared" si="792"/>
        <v>-2.374775333</v>
      </c>
      <c r="M120" s="3"/>
      <c r="N120" s="1160">
        <f>N118-N119</f>
        <v>-420612.3002</v>
      </c>
      <c r="O120" s="1159">
        <f t="shared" si="793"/>
        <v>-1.237095001</v>
      </c>
      <c r="P120" s="3"/>
      <c r="Q120" s="1161">
        <f t="shared" si="518"/>
        <v>-32439.2602</v>
      </c>
      <c r="R120" s="1162">
        <f t="shared" si="8"/>
        <v>0.08356907064</v>
      </c>
      <c r="S120" s="1161">
        <f t="shared" si="519"/>
        <v>-135639.2602</v>
      </c>
      <c r="T120" s="1162">
        <f t="shared" si="10"/>
        <v>0.4759722541</v>
      </c>
      <c r="U120" s="1158">
        <f>U118-U119</f>
        <v>-448364</v>
      </c>
      <c r="V120" s="1159" t="str">
        <f t="shared" si="794"/>
        <v/>
      </c>
      <c r="W120" s="3"/>
      <c r="X120" s="1160">
        <f>X118-X119</f>
        <v>-241221.572</v>
      </c>
      <c r="Y120" s="1159" t="str">
        <f t="shared" si="795"/>
        <v/>
      </c>
      <c r="Z120" s="3"/>
      <c r="AA120" s="1160">
        <f>AA118-AA119</f>
        <v>-131642.392</v>
      </c>
      <c r="AB120" s="1159">
        <f t="shared" si="796"/>
        <v>-0.7313466222</v>
      </c>
      <c r="AC120" s="3"/>
      <c r="AD120" s="1161">
        <f t="shared" si="526"/>
        <v>316721.608</v>
      </c>
      <c r="AE120" s="1162">
        <f t="shared" si="15"/>
        <v>-0.7063939299</v>
      </c>
      <c r="AF120" s="1161">
        <f t="shared" si="527"/>
        <v>109579.18</v>
      </c>
      <c r="AG120" s="1162">
        <f t="shared" si="17"/>
        <v>-0.4542677468</v>
      </c>
      <c r="AH120" s="1158">
        <f>AH118-AH119</f>
        <v>-448364</v>
      </c>
      <c r="AI120" s="1159" t="str">
        <f t="shared" si="797"/>
        <v/>
      </c>
      <c r="AJ120" s="3"/>
      <c r="AK120" s="1160">
        <f>AK118-AK119</f>
        <v>2768699.848</v>
      </c>
      <c r="AL120" s="1159">
        <f t="shared" si="798"/>
        <v>0.7690832911</v>
      </c>
      <c r="AM120" s="3"/>
      <c r="AN120" s="1160">
        <f>AN118-AN119</f>
        <v>-147508.526</v>
      </c>
      <c r="AO120" s="1159">
        <f t="shared" si="799"/>
        <v>-0.2208211467</v>
      </c>
      <c r="AP120" s="3"/>
      <c r="AQ120" s="1161">
        <f t="shared" si="534"/>
        <v>300855.474</v>
      </c>
      <c r="AR120" s="1162">
        <f t="shared" si="22"/>
        <v>-0.671007204</v>
      </c>
      <c r="AS120" s="1161">
        <f t="shared" si="535"/>
        <v>-2916208.374</v>
      </c>
      <c r="AT120" s="1162">
        <f t="shared" si="24"/>
        <v>-1.053277182</v>
      </c>
      <c r="AU120" s="1158">
        <f t="shared" ref="AU120:AU121" si="1026">SUMIF(H$3:AT$3,AU$3,H120:AT120)</f>
        <v>-1284901.04</v>
      </c>
      <c r="AV120" s="1159" t="str">
        <f t="shared" si="800"/>
        <v/>
      </c>
      <c r="AW120" s="3"/>
      <c r="AX120" s="1160">
        <f t="shared" ref="AX120:AX121" si="1027">SUMIF(H$3:AT$3,AX$3,H120:AT120)</f>
        <v>2242505.236</v>
      </c>
      <c r="AY120" s="1159">
        <f t="shared" si="801"/>
        <v>0.6028239882</v>
      </c>
      <c r="AZ120" s="3"/>
      <c r="BA120" s="1160">
        <f t="shared" ref="BA120:BA121" si="1028">SUMIF(H$3:AT$3,"AC",H120:AT120)+SUMIF(H$3:AT$3,"TF",H120:AT120)</f>
        <v>-699763.2182</v>
      </c>
      <c r="BB120" s="1159">
        <f t="shared" si="802"/>
        <v>-0.5890262779</v>
      </c>
      <c r="BC120" s="3"/>
      <c r="BD120" s="1161">
        <f t="shared" si="545"/>
        <v>585137.8218</v>
      </c>
      <c r="BE120" s="1162">
        <f t="shared" si="32"/>
        <v>-0.4553952434</v>
      </c>
      <c r="BF120" s="1161">
        <f t="shared" si="546"/>
        <v>-2942268.454</v>
      </c>
      <c r="BG120" s="1162">
        <f t="shared" si="34"/>
        <v>-1.3120453</v>
      </c>
      <c r="BH120" s="1158">
        <f>BH118-BH119</f>
        <v>-4105364</v>
      </c>
      <c r="BI120" s="1159">
        <f t="shared" si="803"/>
        <v>-1.026341</v>
      </c>
      <c r="BJ120" s="3"/>
      <c r="BK120" s="1160">
        <f>BK118-BK119</f>
        <v>-590424.106</v>
      </c>
      <c r="BL120" s="1159" t="str">
        <f t="shared" si="804"/>
        <v/>
      </c>
      <c r="BM120" s="3"/>
      <c r="BN120" s="1160">
        <f>BN118-BN119</f>
        <v>1035387.462</v>
      </c>
      <c r="BO120" s="1159">
        <f t="shared" si="805"/>
        <v>0.3980667201</v>
      </c>
      <c r="BP120" s="3"/>
      <c r="BQ120" s="1161">
        <f t="shared" si="553"/>
        <v>5140751.462</v>
      </c>
      <c r="BR120" s="1162">
        <f t="shared" si="39"/>
        <v>-1.252203571</v>
      </c>
      <c r="BS120" s="1161">
        <f t="shared" si="554"/>
        <v>1625811.568</v>
      </c>
      <c r="BT120" s="1162">
        <f t="shared" si="41"/>
        <v>-2.75363345</v>
      </c>
      <c r="BU120" s="1158">
        <f>BU118-BU119</f>
        <v>-4105364</v>
      </c>
      <c r="BV120" s="1159">
        <f t="shared" si="806"/>
        <v>-1.026341</v>
      </c>
      <c r="BW120" s="3"/>
      <c r="BX120" s="1160">
        <f>BX118-BX119</f>
        <v>373619.3185</v>
      </c>
      <c r="BY120" s="1159">
        <f t="shared" si="807"/>
        <v>0.2500034785</v>
      </c>
      <c r="BZ120" s="3"/>
      <c r="CA120" s="1160">
        <f>CA118-CA119</f>
        <v>-232738.917</v>
      </c>
      <c r="CB120" s="1159">
        <f t="shared" si="808"/>
        <v>-0.4189176506</v>
      </c>
      <c r="CC120" s="3"/>
      <c r="CD120" s="1161">
        <f t="shared" si="561"/>
        <v>3872625.083</v>
      </c>
      <c r="CE120" s="1162">
        <f t="shared" si="46"/>
        <v>-0.9433085795</v>
      </c>
      <c r="CF120" s="1161">
        <f t="shared" si="562"/>
        <v>-606358.2355</v>
      </c>
      <c r="CG120" s="1162">
        <f t="shared" si="48"/>
        <v>-1.622930629</v>
      </c>
      <c r="CH120" s="1158">
        <f>CH118-CH119</f>
        <v>-4105364</v>
      </c>
      <c r="CI120" s="1159">
        <f t="shared" si="809"/>
        <v>-1.026341</v>
      </c>
      <c r="CJ120" s="3"/>
      <c r="CK120" s="1160">
        <f>CK118-CK119</f>
        <v>-6738249</v>
      </c>
      <c r="CL120" s="1159" t="str">
        <f t="shared" si="810"/>
        <v/>
      </c>
      <c r="CM120" s="3"/>
      <c r="CN120" s="1160">
        <f>CN118-CN119</f>
        <v>0</v>
      </c>
      <c r="CO120" s="1159" t="str">
        <f t="shared" si="811"/>
        <v/>
      </c>
      <c r="CP120" s="3"/>
      <c r="CQ120" s="1161">
        <f t="shared" si="569"/>
        <v>4105364</v>
      </c>
      <c r="CR120" s="1162">
        <f t="shared" si="53"/>
        <v>-1</v>
      </c>
      <c r="CS120" s="1161">
        <f t="shared" si="570"/>
        <v>6738249</v>
      </c>
      <c r="CT120" s="1162">
        <f t="shared" si="55"/>
        <v>-1</v>
      </c>
      <c r="CU120" s="1158">
        <f t="shared" ref="CU120:CU121" si="1029">SUMIF(BH$3:CT$3,CU$3,BH120:CT120)</f>
        <v>-12316092</v>
      </c>
      <c r="CV120" s="1159">
        <f t="shared" si="812"/>
        <v>-1.026341</v>
      </c>
      <c r="CW120" s="3"/>
      <c r="CX120" s="1160">
        <f t="shared" ref="CX120:CX121" si="1030">SUMIF(BH$3:CT$3,CX$3,BH120:CT120)</f>
        <v>-6955053.788</v>
      </c>
      <c r="CY120" s="1159">
        <f t="shared" si="814"/>
        <v>-4.653901857</v>
      </c>
      <c r="CZ120" s="3"/>
      <c r="DA120" s="1160">
        <f t="shared" ref="DA120:DA121" si="1031">SUMIF(BH$3:CT$3,"AC",BH120:CT120)+SUMIF(BH$3:CT$3,"TF",BH120:CT120)</f>
        <v>802648.5447</v>
      </c>
      <c r="DB120" s="1159">
        <f t="shared" si="816"/>
        <v>0.2542753258</v>
      </c>
      <c r="DC120" s="3"/>
      <c r="DD120" s="1161">
        <f t="shared" si="580"/>
        <v>13118740.54</v>
      </c>
      <c r="DE120" s="1162">
        <f t="shared" si="63"/>
        <v>-1.065170717</v>
      </c>
      <c r="DF120" s="1161">
        <f t="shared" si="581"/>
        <v>7757702.332</v>
      </c>
      <c r="DG120" s="1162">
        <f t="shared" si="65"/>
        <v>-1.115405081</v>
      </c>
      <c r="DH120" s="1158">
        <f t="shared" ref="DH120:DH121" si="1032">AU120+CU120</f>
        <v>-13600993.04</v>
      </c>
      <c r="DI120" s="1159">
        <f t="shared" si="817"/>
        <v>-1.133416087</v>
      </c>
      <c r="DJ120" s="3"/>
      <c r="DK120" s="1160">
        <f t="shared" ref="DK120:DK121" si="1033">AX120+CX120</f>
        <v>-4712548.551</v>
      </c>
      <c r="DL120" s="1159">
        <f t="shared" si="818"/>
        <v>-0.9037468372</v>
      </c>
      <c r="DM120" s="3"/>
      <c r="DN120" s="1160">
        <f t="shared" ref="DN120:DN121" si="1034">BA120+DA120</f>
        <v>102885.3265</v>
      </c>
      <c r="DO120" s="1159">
        <f t="shared" si="819"/>
        <v>0.02368113114</v>
      </c>
      <c r="DP120" s="3"/>
      <c r="DQ120" s="1161">
        <f t="shared" si="591"/>
        <v>13703878.37</v>
      </c>
      <c r="DR120" s="1162">
        <f t="shared" si="73"/>
        <v>-1.007564545</v>
      </c>
      <c r="DS120" s="1161">
        <f t="shared" si="592"/>
        <v>4815433.878</v>
      </c>
      <c r="DT120" s="1162">
        <f t="shared" si="75"/>
        <v>-1.021832205</v>
      </c>
      <c r="DU120" s="1158">
        <f>DU118-DU119</f>
        <v>-4105364</v>
      </c>
      <c r="DV120" s="1159">
        <f t="shared" si="820"/>
        <v>-1.026341</v>
      </c>
      <c r="DW120" s="3"/>
      <c r="DX120" s="1160">
        <f>DX118-DX119</f>
        <v>-2065364.04</v>
      </c>
      <c r="DY120" s="1159">
        <f t="shared" si="821"/>
        <v>-0.341947691</v>
      </c>
      <c r="DZ120" s="3"/>
      <c r="EA120" s="1160">
        <f>EA118-EA119</f>
        <v>0</v>
      </c>
      <c r="EB120" s="1159" t="str">
        <f t="shared" si="822"/>
        <v/>
      </c>
      <c r="EC120" s="3"/>
      <c r="ED120" s="1161">
        <f t="shared" si="599"/>
        <v>4105364</v>
      </c>
      <c r="EE120" s="1162">
        <f t="shared" si="80"/>
        <v>-1</v>
      </c>
      <c r="EF120" s="1161">
        <f t="shared" si="600"/>
        <v>2065364.04</v>
      </c>
      <c r="EG120" s="1162">
        <f t="shared" si="82"/>
        <v>-1</v>
      </c>
      <c r="EH120" s="1158">
        <f>EH118-EH119</f>
        <v>-4105364</v>
      </c>
      <c r="EI120" s="1159">
        <f t="shared" si="823"/>
        <v>-1.026341</v>
      </c>
      <c r="EJ120" s="3"/>
      <c r="EK120" s="1160">
        <f>EK118-EK119</f>
        <v>-2065364.04</v>
      </c>
      <c r="EL120" s="1159">
        <f t="shared" si="824"/>
        <v>-0.341947691</v>
      </c>
      <c r="EM120" s="3"/>
      <c r="EN120" s="1160">
        <f>EN118-EN119</f>
        <v>0</v>
      </c>
      <c r="EO120" s="1159" t="str">
        <f t="shared" si="825"/>
        <v/>
      </c>
      <c r="EP120" s="3"/>
      <c r="EQ120" s="1161">
        <f t="shared" si="607"/>
        <v>4105364</v>
      </c>
      <c r="ER120" s="1162">
        <f t="shared" si="87"/>
        <v>-1</v>
      </c>
      <c r="ES120" s="1161">
        <f t="shared" si="608"/>
        <v>2065364.04</v>
      </c>
      <c r="ET120" s="1162">
        <f t="shared" si="89"/>
        <v>-1</v>
      </c>
      <c r="EU120" s="1158">
        <f>EU118-EU119</f>
        <v>-4105364</v>
      </c>
      <c r="EV120" s="1159">
        <f t="shared" si="826"/>
        <v>-1.026341</v>
      </c>
      <c r="EW120" s="3"/>
      <c r="EX120" s="1160">
        <f>EX118-EX119</f>
        <v>-2065364.04</v>
      </c>
      <c r="EY120" s="1159">
        <f t="shared" si="827"/>
        <v>-0.341947691</v>
      </c>
      <c r="EZ120" s="3"/>
      <c r="FA120" s="1160">
        <f>FA118-FA119</f>
        <v>0</v>
      </c>
      <c r="FB120" s="1159" t="str">
        <f t="shared" si="828"/>
        <v/>
      </c>
      <c r="FC120" s="3"/>
      <c r="FD120" s="1161">
        <f t="shared" si="616"/>
        <v>4105364</v>
      </c>
      <c r="FE120" s="1162">
        <f t="shared" si="94"/>
        <v>-1</v>
      </c>
      <c r="FF120" s="1161">
        <f t="shared" si="617"/>
        <v>2065364.04</v>
      </c>
      <c r="FG120" s="1162">
        <f t="shared" si="96"/>
        <v>-1</v>
      </c>
      <c r="FH120" s="1158">
        <f t="shared" si="923"/>
        <v>-12316092</v>
      </c>
      <c r="FI120" s="1159">
        <f t="shared" si="829"/>
        <v>-1.026341</v>
      </c>
      <c r="FJ120" s="3"/>
      <c r="FK120" s="1160">
        <f t="shared" si="621"/>
        <v>-6196092.12</v>
      </c>
      <c r="FL120" s="1159">
        <f t="shared" si="830"/>
        <v>-0.341947691</v>
      </c>
      <c r="FM120" s="3"/>
      <c r="FN120" s="1160">
        <f t="shared" si="624"/>
        <v>0</v>
      </c>
      <c r="FO120" s="1159" t="str">
        <f t="shared" si="831"/>
        <v/>
      </c>
      <c r="FP120" s="3"/>
      <c r="FQ120" s="1161">
        <f t="shared" si="627"/>
        <v>12316092</v>
      </c>
      <c r="FR120" s="1162">
        <f t="shared" si="104"/>
        <v>-1</v>
      </c>
      <c r="FS120" s="1161">
        <f t="shared" si="628"/>
        <v>6196092.12</v>
      </c>
      <c r="FT120" s="1162">
        <f t="shared" si="106"/>
        <v>-1</v>
      </c>
      <c r="FU120" s="1158">
        <f>FU118-FU119</f>
        <v>-4105364</v>
      </c>
      <c r="FV120" s="1159">
        <f t="shared" si="832"/>
        <v>-1.026341</v>
      </c>
      <c r="FW120" s="3"/>
      <c r="FX120" s="1160">
        <f>FX118-FX119</f>
        <v>-2065364.04</v>
      </c>
      <c r="FY120" s="1159">
        <f t="shared" si="833"/>
        <v>-0.341947691</v>
      </c>
      <c r="FZ120" s="3"/>
      <c r="GA120" s="1160">
        <f>GA118-GA119</f>
        <v>0</v>
      </c>
      <c r="GB120" s="1159" t="str">
        <f t="shared" si="834"/>
        <v/>
      </c>
      <c r="GC120" s="3"/>
      <c r="GD120" s="1161">
        <f t="shared" si="635"/>
        <v>4105364</v>
      </c>
      <c r="GE120" s="1162">
        <f t="shared" si="111"/>
        <v>-1</v>
      </c>
      <c r="GF120" s="1161">
        <f t="shared" si="636"/>
        <v>2065364.04</v>
      </c>
      <c r="GG120" s="1162">
        <f t="shared" si="113"/>
        <v>-1</v>
      </c>
      <c r="GH120" s="1158">
        <f>GH118-GH119</f>
        <v>-4105364</v>
      </c>
      <c r="GI120" s="1159">
        <f t="shared" si="835"/>
        <v>-1.026341</v>
      </c>
      <c r="GJ120" s="3"/>
      <c r="GK120" s="1160">
        <f>GK118-GK119</f>
        <v>-2065364.04</v>
      </c>
      <c r="GL120" s="1159">
        <f t="shared" si="836"/>
        <v>-0.341947691</v>
      </c>
      <c r="GM120" s="3"/>
      <c r="GN120" s="1160">
        <f>GN118-GN119</f>
        <v>0</v>
      </c>
      <c r="GO120" s="1159" t="str">
        <f t="shared" si="837"/>
        <v/>
      </c>
      <c r="GP120" s="3"/>
      <c r="GQ120" s="1161">
        <f t="shared" si="643"/>
        <v>4105364</v>
      </c>
      <c r="GR120" s="1162">
        <f t="shared" si="118"/>
        <v>-1</v>
      </c>
      <c r="GS120" s="1161">
        <f t="shared" si="644"/>
        <v>2065364.04</v>
      </c>
      <c r="GT120" s="1162">
        <f t="shared" si="120"/>
        <v>-1</v>
      </c>
      <c r="GU120" s="1158">
        <f>GU118-GU119</f>
        <v>-4105364</v>
      </c>
      <c r="GV120" s="1159">
        <f t="shared" si="838"/>
        <v>-1.026341</v>
      </c>
      <c r="GW120" s="3"/>
      <c r="GX120" s="1160">
        <f>GX118-GX119</f>
        <v>-2065364.04</v>
      </c>
      <c r="GY120" s="1159">
        <f t="shared" si="839"/>
        <v>-0.341947691</v>
      </c>
      <c r="GZ120" s="3"/>
      <c r="HA120" s="1160">
        <f>HA118-HA119</f>
        <v>0</v>
      </c>
      <c r="HB120" s="1159" t="str">
        <f t="shared" si="840"/>
        <v/>
      </c>
      <c r="HC120" s="3"/>
      <c r="HD120" s="1161">
        <f t="shared" si="651"/>
        <v>4105364</v>
      </c>
      <c r="HE120" s="1162">
        <f t="shared" si="125"/>
        <v>-1</v>
      </c>
      <c r="HF120" s="1161">
        <f t="shared" si="652"/>
        <v>2065364.04</v>
      </c>
      <c r="HG120" s="1162">
        <f t="shared" si="127"/>
        <v>-1</v>
      </c>
      <c r="HH120" s="1158">
        <f t="shared" si="924"/>
        <v>-12316092</v>
      </c>
      <c r="HI120" s="1159">
        <f t="shared" si="841"/>
        <v>-1.026341</v>
      </c>
      <c r="HJ120" s="3"/>
      <c r="HK120" s="1160">
        <f t="shared" si="656"/>
        <v>-6196092.12</v>
      </c>
      <c r="HL120" s="1159">
        <f t="shared" si="842"/>
        <v>-0.341947691</v>
      </c>
      <c r="HM120" s="3"/>
      <c r="HN120" s="1160">
        <f t="shared" si="659"/>
        <v>0</v>
      </c>
      <c r="HO120" s="1159" t="str">
        <f t="shared" si="843"/>
        <v/>
      </c>
      <c r="HP120" s="3"/>
      <c r="HQ120" s="1161">
        <f t="shared" si="662"/>
        <v>12316092</v>
      </c>
      <c r="HR120" s="1162">
        <f t="shared" si="135"/>
        <v>-1</v>
      </c>
      <c r="HS120" s="1161">
        <f t="shared" si="663"/>
        <v>6196092.12</v>
      </c>
      <c r="HT120" s="1162">
        <f t="shared" si="137"/>
        <v>-1</v>
      </c>
      <c r="HU120" s="1158">
        <f t="shared" si="925"/>
        <v>-24632184</v>
      </c>
      <c r="HV120" s="1159">
        <f t="shared" si="844"/>
        <v>-1.026341</v>
      </c>
      <c r="HW120" s="3"/>
      <c r="HX120" s="1160">
        <f t="shared" si="667"/>
        <v>-12392184.24</v>
      </c>
      <c r="HY120" s="1159">
        <f t="shared" si="845"/>
        <v>-0.341947691</v>
      </c>
      <c r="HZ120" s="3"/>
      <c r="IA120" s="1160">
        <f t="shared" si="670"/>
        <v>0</v>
      </c>
      <c r="IB120" s="1159" t="str">
        <f t="shared" si="846"/>
        <v/>
      </c>
      <c r="IC120" s="3"/>
      <c r="ID120" s="1161">
        <f t="shared" si="673"/>
        <v>24632184</v>
      </c>
      <c r="IE120" s="1162">
        <f t="shared" si="145"/>
        <v>-1</v>
      </c>
      <c r="IF120" s="1161">
        <f t="shared" si="674"/>
        <v>12392184.24</v>
      </c>
      <c r="IG120" s="1162">
        <f t="shared" si="147"/>
        <v>-1</v>
      </c>
      <c r="IH120" s="1158">
        <f t="shared" si="926"/>
        <v>-38233177.04</v>
      </c>
      <c r="II120" s="1159">
        <f t="shared" si="847"/>
        <v>-1.062032696</v>
      </c>
      <c r="IJ120" s="3"/>
      <c r="IK120" s="1160">
        <f t="shared" si="678"/>
        <v>-17104732.79</v>
      </c>
      <c r="IL120" s="1159">
        <f t="shared" si="848"/>
        <v>-0.4126150562</v>
      </c>
      <c r="IM120" s="3"/>
      <c r="IN120" s="1160">
        <f t="shared" si="681"/>
        <v>102885.3265</v>
      </c>
      <c r="IO120" s="1159">
        <f t="shared" si="849"/>
        <v>0.02368113114</v>
      </c>
      <c r="IP120" s="3"/>
      <c r="IQ120" s="1161">
        <f t="shared" si="684"/>
        <v>38336062.37</v>
      </c>
      <c r="IR120" s="1162">
        <f t="shared" si="1"/>
        <v>-1.002690996</v>
      </c>
      <c r="IS120" s="1161">
        <f t="shared" si="685"/>
        <v>17207618.12</v>
      </c>
      <c r="IT120" s="1162">
        <f t="shared" si="2"/>
        <v>-1.006015021</v>
      </c>
    </row>
    <row r="121" outlineLevel="1">
      <c r="A121" s="1087"/>
      <c r="B121" s="1087"/>
      <c r="C121" s="1087"/>
      <c r="D121" s="1087" t="s">
        <v>2091</v>
      </c>
      <c r="E121" s="656" t="s">
        <v>203</v>
      </c>
      <c r="F121" s="1087"/>
      <c r="G121" s="1086">
        <v>2.0</v>
      </c>
      <c r="H121" s="1088">
        <f>SUMIFS(BP_SOTIEN,BP_THANG,H$2,BP_KM,$E121)/1000</f>
        <v>0</v>
      </c>
      <c r="I121" s="1091" t="str">
        <f t="shared" si="791"/>
        <v/>
      </c>
      <c r="J121" s="1091"/>
      <c r="K121" s="1090">
        <f>IF(NOW()&gt;=DATE(YEAR(H$2),MONTH(H$2)+1,DAY(H$2)),SUMIFS(TF_SOTIEN,TF_THANG,H$2,TF_KM,$E121)/1000, N121)</f>
        <v>0</v>
      </c>
      <c r="L121" s="1091">
        <f t="shared" si="792"/>
        <v>0</v>
      </c>
      <c r="M121" s="1091"/>
      <c r="N121" s="1090">
        <f>IF(NOW()&gt;=DATE(YEAR(H$2),MONTH(H$2)+1,DAY(H$2)),SUMIFS(AC_SOTIEN,AC_THANG,H$2,AC_KM,$E121),SUMIFS(TF_SOTIEN,TF_THANG,H$2,TF_KM,$E121))/ 1000</f>
        <v>24000</v>
      </c>
      <c r="O121" s="1091">
        <f t="shared" si="793"/>
        <v>0.07058823529</v>
      </c>
      <c r="P121" s="1091">
        <f>IFERROR(N121/N$66,"")</f>
        <v>0.03350431666</v>
      </c>
      <c r="Q121" s="1090">
        <f t="shared" si="518"/>
        <v>24000</v>
      </c>
      <c r="R121" s="1091" t="str">
        <f t="shared" si="8"/>
        <v/>
      </c>
      <c r="S121" s="1090">
        <f t="shared" si="519"/>
        <v>24000</v>
      </c>
      <c r="T121" s="1091" t="str">
        <f t="shared" si="10"/>
        <v/>
      </c>
      <c r="U121" s="1088">
        <f>SUMIFS(BP_SOTIEN,BP_THANG,U$2,BP_KM,$E121)/1000</f>
        <v>0</v>
      </c>
      <c r="V121" s="1091" t="str">
        <f t="shared" si="794"/>
        <v/>
      </c>
      <c r="W121" s="1091"/>
      <c r="X121" s="1090">
        <f>IF(NOW()&gt;=DATE(YEAR(U$2),MONTH(U$2)+1,DAY(U$2)),SUMIFS(TF_SOTIEN,TF_THANG,U$2,TF_KM,$E121)/1000, AA121)</f>
        <v>0</v>
      </c>
      <c r="Y121" s="1091" t="str">
        <f t="shared" si="795"/>
        <v/>
      </c>
      <c r="Z121" s="1091"/>
      <c r="AA121" s="1090">
        <f>IF(NOW()&gt;=DATE(YEAR(U$2),MONTH(U$2)+1,DAY(U$2)),SUMIFS(AC_SOTIEN,AC_THANG,U$2,AC_KM,$E121),SUMIFS(TF_SOTIEN,TF_THANG,U$2,TF_KM,$E121))/ 1000</f>
        <v>12110</v>
      </c>
      <c r="AB121" s="1091">
        <f t="shared" si="796"/>
        <v>0.06727777778</v>
      </c>
      <c r="AC121" s="1091">
        <f>IFERROR(AA121/AA$66,"")</f>
        <v>0.07234663763</v>
      </c>
      <c r="AD121" s="1090">
        <f t="shared" si="526"/>
        <v>12110</v>
      </c>
      <c r="AE121" s="1091" t="str">
        <f t="shared" si="15"/>
        <v/>
      </c>
      <c r="AF121" s="1090">
        <f t="shared" si="527"/>
        <v>12110</v>
      </c>
      <c r="AG121" s="1091" t="str">
        <f t="shared" si="17"/>
        <v/>
      </c>
      <c r="AH121" s="1088">
        <f>SUMIFS(BP_SOTIEN,BP_THANG,AH$2,BP_KM,$E121)/1000</f>
        <v>0</v>
      </c>
      <c r="AI121" s="1091" t="str">
        <f t="shared" si="797"/>
        <v/>
      </c>
      <c r="AJ121" s="1091"/>
      <c r="AK121" s="1090">
        <f>IF(NOW()&gt;=DATE(YEAR(AH$2),MONTH(AH$2)+1,DAY(AH$2)),SUMIFS(TF_SOTIEN,TF_THANG,AH$2,TF_KM,$E121)/1000, AN121)</f>
        <v>0</v>
      </c>
      <c r="AL121" s="1091">
        <f t="shared" si="798"/>
        <v>0</v>
      </c>
      <c r="AM121" s="1091"/>
      <c r="AN121" s="1090">
        <f>IF(NOW()&gt;=DATE(YEAR(AH$2),MONTH(AH$2)+1,DAY(AH$2)),SUMIFS(AC_SOTIEN,AC_THANG,AH$2,AC_KM,$E121),SUMIFS(TF_SOTIEN,TF_THANG,AH$2,TF_KM,$E121))/ 1000</f>
        <v>42400</v>
      </c>
      <c r="AO121" s="1091">
        <f t="shared" si="799"/>
        <v>0.06347305389</v>
      </c>
      <c r="AP121" s="1091">
        <f>IFERROR(AN121/AN$66,"")</f>
        <v>0.0695881896</v>
      </c>
      <c r="AQ121" s="1090">
        <f t="shared" si="534"/>
        <v>42400</v>
      </c>
      <c r="AR121" s="1091" t="str">
        <f t="shared" si="22"/>
        <v/>
      </c>
      <c r="AS121" s="1090">
        <f t="shared" si="535"/>
        <v>42400</v>
      </c>
      <c r="AT121" s="1091" t="str">
        <f t="shared" si="24"/>
        <v/>
      </c>
      <c r="AU121" s="1088">
        <f t="shared" si="1026"/>
        <v>0</v>
      </c>
      <c r="AV121" s="1091" t="str">
        <f t="shared" si="800"/>
        <v/>
      </c>
      <c r="AW121" s="1091">
        <f>IFERROR(AU121/AU$66,"")</f>
        <v>0</v>
      </c>
      <c r="AX121" s="1090">
        <f t="shared" si="1027"/>
        <v>0</v>
      </c>
      <c r="AY121" s="1091">
        <f t="shared" si="801"/>
        <v>0</v>
      </c>
      <c r="AZ121" s="1091">
        <f>IFERROR(AX121/AX$66,"")</f>
        <v>0</v>
      </c>
      <c r="BA121" s="1090">
        <f t="shared" si="1028"/>
        <v>78510</v>
      </c>
      <c r="BB121" s="1091">
        <f t="shared" si="802"/>
        <v>0.06608585859</v>
      </c>
      <c r="BC121" s="1091">
        <f>IFERROR(BA121/BA$66,"")</f>
        <v>0.05258494175</v>
      </c>
      <c r="BD121" s="1090">
        <f t="shared" si="545"/>
        <v>78510</v>
      </c>
      <c r="BE121" s="1091" t="str">
        <f t="shared" si="32"/>
        <v/>
      </c>
      <c r="BF121" s="1090">
        <f t="shared" si="546"/>
        <v>78510</v>
      </c>
      <c r="BG121" s="1091" t="str">
        <f t="shared" si="34"/>
        <v/>
      </c>
      <c r="BH121" s="1088">
        <f>SUMIFS(BP_SOTIEN,BP_THANG,BH$2,BP_KM,$E121)/1000</f>
        <v>0</v>
      </c>
      <c r="BI121" s="1091">
        <f t="shared" si="803"/>
        <v>0</v>
      </c>
      <c r="BJ121" s="1091"/>
      <c r="BK121" s="1090">
        <f>IF(NOW()&gt;=DATE(YEAR(BH$2),MONTH(BH$2)+1,DAY(BH$2)),SUMIFS(TF_SOTIEN,TF_THANG,BH$2,TF_KM,$E121)/1000, BN121)</f>
        <v>0</v>
      </c>
      <c r="BL121" s="1091" t="str">
        <f t="shared" si="804"/>
        <v/>
      </c>
      <c r="BM121" s="1091"/>
      <c r="BN121" s="1090">
        <f>IF(NOW()&gt;=DATE(YEAR(BH$2),MONTH(BH$2)+1,DAY(BH$2)),SUMIFS(AC_SOTIEN,AC_THANG,BH$2,AC_KM,$E121),SUMIFS(TF_SOTIEN,TF_THANG,BH$2,TF_KM,$E121))/ 1000</f>
        <v>202643.2</v>
      </c>
      <c r="BO121" s="1091">
        <f t="shared" si="805"/>
        <v>0.0779085289</v>
      </c>
      <c r="BP121" s="1091">
        <f>IFERROR(BN121/BN$66,"")</f>
        <v>0.1709906024</v>
      </c>
      <c r="BQ121" s="1090">
        <f t="shared" si="553"/>
        <v>202643.2</v>
      </c>
      <c r="BR121" s="1091" t="str">
        <f t="shared" si="39"/>
        <v/>
      </c>
      <c r="BS121" s="1090">
        <f t="shared" si="554"/>
        <v>202643.2</v>
      </c>
      <c r="BT121" s="1091" t="str">
        <f t="shared" si="41"/>
        <v/>
      </c>
      <c r="BU121" s="1088">
        <f>SUMIFS(BP_SOTIEN,BP_THANG,BU$2,BP_KM,$E121)/1000</f>
        <v>0</v>
      </c>
      <c r="BV121" s="1091">
        <f t="shared" si="806"/>
        <v>0</v>
      </c>
      <c r="BW121" s="1091"/>
      <c r="BX121" s="1090">
        <f>IF(NOW()&gt;=DATE(YEAR(BU$2),MONTH(BU$2)+1,DAY(BU$2)),SUMIFS(TF_SOTIEN,TF_THANG,BU$2,TF_KM,$E121)/1000, CA121)</f>
        <v>0</v>
      </c>
      <c r="BY121" s="1091">
        <f t="shared" si="807"/>
        <v>0</v>
      </c>
      <c r="BZ121" s="1091"/>
      <c r="CA121" s="1090">
        <f>IF(NOW()&gt;=DATE(YEAR(BU$2),MONTH(BU$2)+1,DAY(BU$2)),SUMIFS(AC_SOTIEN,AC_THANG,BU$2,AC_KM,$E121),SUMIFS(TF_SOTIEN,TF_THANG,BU$2,TF_KM,$E121))/ 1000</f>
        <v>42028.16</v>
      </c>
      <c r="CB121" s="1091">
        <f t="shared" si="808"/>
        <v>0.07564844881</v>
      </c>
      <c r="CC121" s="1091">
        <f>IFERROR(CA121/CA$66,"")</f>
        <v>0.07817352404</v>
      </c>
      <c r="CD121" s="1090">
        <f t="shared" si="561"/>
        <v>42028.16</v>
      </c>
      <c r="CE121" s="1091" t="str">
        <f t="shared" si="46"/>
        <v/>
      </c>
      <c r="CF121" s="1090">
        <f t="shared" si="562"/>
        <v>42028.16</v>
      </c>
      <c r="CG121" s="1091" t="str">
        <f t="shared" si="48"/>
        <v/>
      </c>
      <c r="CH121" s="1088">
        <f>SUMIFS(BP_SOTIEN,BP_THANG,CH$2,BP_KM,$E121)/1000</f>
        <v>0</v>
      </c>
      <c r="CI121" s="1091">
        <f t="shared" si="809"/>
        <v>0</v>
      </c>
      <c r="CJ121" s="1091"/>
      <c r="CK121" s="1090">
        <f>IF(NOW()&gt;=DATE(YEAR(CH$2),MONTH(CH$2)+1,DAY(CH$2)),SUMIFS(TF_SOTIEN,TF_THANG,CH$2,TF_KM,$E121)/1000, CN121)</f>
        <v>0</v>
      </c>
      <c r="CL121" s="1091" t="str">
        <f t="shared" si="810"/>
        <v/>
      </c>
      <c r="CM121" s="1091"/>
      <c r="CN121" s="1090">
        <f>IF(NOW()&gt;=DATE(YEAR(CH$2),MONTH(CH$2)+1,DAY(CH$2)),SUMIFS(AC_SOTIEN,AC_THANG,CH$2,AC_KM,$E121),SUMIFS(TF_SOTIEN,TF_THANG,CH$2,TF_KM,$E121))/ 1000</f>
        <v>0</v>
      </c>
      <c r="CO121" s="1091" t="str">
        <f t="shared" si="811"/>
        <v/>
      </c>
      <c r="CP121" s="1091" t="str">
        <f>IFERROR(CN121/CN$66,"")</f>
        <v/>
      </c>
      <c r="CQ121" s="1090">
        <f t="shared" si="569"/>
        <v>0</v>
      </c>
      <c r="CR121" s="1091" t="str">
        <f t="shared" si="53"/>
        <v/>
      </c>
      <c r="CS121" s="1090">
        <f t="shared" si="570"/>
        <v>0</v>
      </c>
      <c r="CT121" s="1091" t="str">
        <f t="shared" si="55"/>
        <v/>
      </c>
      <c r="CU121" s="1088">
        <f t="shared" si="1029"/>
        <v>0</v>
      </c>
      <c r="CV121" s="1091">
        <f t="shared" si="812"/>
        <v>0</v>
      </c>
      <c r="CW121" s="1091">
        <f>IFERROR(CU121/CU$66,"")</f>
        <v>0</v>
      </c>
      <c r="CX121" s="1090">
        <f t="shared" si="1030"/>
        <v>0</v>
      </c>
      <c r="CY121" s="1091">
        <f t="shared" si="814"/>
        <v>0</v>
      </c>
      <c r="CZ121" s="1091">
        <f>IFERROR(CX121/CX$66,"")</f>
        <v>0</v>
      </c>
      <c r="DA121" s="1090">
        <f t="shared" si="1031"/>
        <v>244671.36</v>
      </c>
      <c r="DB121" s="1091">
        <f t="shared" si="816"/>
        <v>0.07751074887</v>
      </c>
      <c r="DC121" s="1091">
        <f>IFERROR(DA121/DA$66,"")</f>
        <v>0.1420245747</v>
      </c>
      <c r="DD121" s="1090">
        <f t="shared" si="580"/>
        <v>244671.36</v>
      </c>
      <c r="DE121" s="1091" t="str">
        <f t="shared" si="63"/>
        <v/>
      </c>
      <c r="DF121" s="1090">
        <f t="shared" si="581"/>
        <v>244671.36</v>
      </c>
      <c r="DG121" s="1091" t="str">
        <f t="shared" si="65"/>
        <v/>
      </c>
      <c r="DH121" s="1088">
        <f t="shared" si="1032"/>
        <v>0</v>
      </c>
      <c r="DI121" s="1091">
        <f t="shared" si="817"/>
        <v>0</v>
      </c>
      <c r="DJ121" s="1091">
        <f>IFERROR(DH121/DH$66,"")</f>
        <v>0</v>
      </c>
      <c r="DK121" s="1090">
        <f t="shared" si="1033"/>
        <v>0</v>
      </c>
      <c r="DL121" s="1091">
        <f t="shared" si="818"/>
        <v>0</v>
      </c>
      <c r="DM121" s="1091">
        <f>IFERROR(DK121/DK$66,"")</f>
        <v>0</v>
      </c>
      <c r="DN121" s="1090">
        <f t="shared" si="1034"/>
        <v>323181.36</v>
      </c>
      <c r="DO121" s="1091">
        <f t="shared" si="819"/>
        <v>0.07438670243</v>
      </c>
      <c r="DP121" s="1091">
        <f>IFERROR(DN121/DN$66,"")</f>
        <v>0.1004994484</v>
      </c>
      <c r="DQ121" s="1090">
        <f t="shared" si="591"/>
        <v>323181.36</v>
      </c>
      <c r="DR121" s="1091" t="str">
        <f t="shared" si="73"/>
        <v/>
      </c>
      <c r="DS121" s="1090">
        <f t="shared" si="592"/>
        <v>323181.36</v>
      </c>
      <c r="DT121" s="1091" t="str">
        <f t="shared" si="75"/>
        <v/>
      </c>
      <c r="DU121" s="1088">
        <f>SUMIFS(BP_SOTIEN,BP_THANG,DU$2,BP_KM,$E121)/1000</f>
        <v>0</v>
      </c>
      <c r="DV121" s="1091">
        <f t="shared" si="820"/>
        <v>0</v>
      </c>
      <c r="DW121" s="1091"/>
      <c r="DX121" s="1090">
        <f>IF(NOW()&gt;=DATE(YEAR(DU$2),MONTH(DU$2)+1,DAY(DU$2)),SUMIFS(TF_SOTIEN,TF_THANG,DU$2,TF_KM,$E121)/1000, EA121)</f>
        <v>0</v>
      </c>
      <c r="DY121" s="1091">
        <f t="shared" si="821"/>
        <v>0</v>
      </c>
      <c r="DZ121" s="1091"/>
      <c r="EA121" s="1090">
        <f>IF(NOW()&gt;=DATE(YEAR(DU$2),MONTH(DU$2)+1,DAY(DU$2)),SUMIFS(AC_SOTIEN,AC_THANG,DU$2,AC_KM,$E121),SUMIFS(TF_SOTIEN,TF_THANG,DU$2,TF_KM,$E121))/ 1000</f>
        <v>0</v>
      </c>
      <c r="EB121" s="1091" t="str">
        <f t="shared" si="822"/>
        <v/>
      </c>
      <c r="EC121" s="1091" t="str">
        <f>IFERROR(EA121/EA$66,"")</f>
        <v/>
      </c>
      <c r="ED121" s="1090">
        <f t="shared" si="599"/>
        <v>0</v>
      </c>
      <c r="EE121" s="1091" t="str">
        <f t="shared" si="80"/>
        <v/>
      </c>
      <c r="EF121" s="1090">
        <f t="shared" si="600"/>
        <v>0</v>
      </c>
      <c r="EG121" s="1091" t="str">
        <f t="shared" si="82"/>
        <v/>
      </c>
      <c r="EH121" s="1088">
        <f>SUMIFS(BP_SOTIEN,BP_THANG,EH$2,BP_KM,$E121)/1000</f>
        <v>0</v>
      </c>
      <c r="EI121" s="1091">
        <f t="shared" si="823"/>
        <v>0</v>
      </c>
      <c r="EJ121" s="1091"/>
      <c r="EK121" s="1090">
        <f>IF(NOW()&gt;=DATE(YEAR(EH$2),MONTH(EH$2)+1,DAY(EH$2)),SUMIFS(TF_SOTIEN,TF_THANG,EH$2,TF_KM,$E121)/1000, EN121)</f>
        <v>0</v>
      </c>
      <c r="EL121" s="1091">
        <f t="shared" si="824"/>
        <v>0</v>
      </c>
      <c r="EM121" s="1091"/>
      <c r="EN121" s="1090">
        <f>IF(NOW()&gt;=DATE(YEAR(EH$2),MONTH(EH$2)+1,DAY(EH$2)),SUMIFS(AC_SOTIEN,AC_THANG,EH$2,AC_KM,$E121),SUMIFS(TF_SOTIEN,TF_THANG,EH$2,TF_KM,$E121))/ 1000</f>
        <v>0</v>
      </c>
      <c r="EO121" s="1091" t="str">
        <f t="shared" si="825"/>
        <v/>
      </c>
      <c r="EP121" s="1091" t="str">
        <f>IFERROR(EN121/EN$66,"")</f>
        <v/>
      </c>
      <c r="EQ121" s="1090">
        <f t="shared" si="607"/>
        <v>0</v>
      </c>
      <c r="ER121" s="1091" t="str">
        <f t="shared" si="87"/>
        <v/>
      </c>
      <c r="ES121" s="1090">
        <f t="shared" si="608"/>
        <v>0</v>
      </c>
      <c r="ET121" s="1091" t="str">
        <f t="shared" si="89"/>
        <v/>
      </c>
      <c r="EU121" s="1088">
        <f>SUMIFS(BP_SOTIEN,BP_THANG,EU$2,BP_KM,$E121)/1000</f>
        <v>0</v>
      </c>
      <c r="EV121" s="1091">
        <f t="shared" si="826"/>
        <v>0</v>
      </c>
      <c r="EW121" s="1091"/>
      <c r="EX121" s="1090">
        <f>IF(NOW()&gt;=DATE(YEAR(EU$2),MONTH(EU$2)+1,DAY(EU$2)),SUMIFS(TF_SOTIEN,TF_THANG,EU$2,TF_KM,$E121)/1000, FA121)</f>
        <v>0</v>
      </c>
      <c r="EY121" s="1091">
        <f t="shared" si="827"/>
        <v>0</v>
      </c>
      <c r="EZ121" s="1091"/>
      <c r="FA121" s="1090">
        <f>IF(NOW()&gt;=DATE(YEAR(EU$2),MONTH(EU$2)+1,DAY(EU$2)),SUMIFS(AC_SOTIEN,AC_THANG,EU$2,AC_KM,$E121),SUMIFS(TF_SOTIEN,TF_THANG,EU$2,TF_KM,$E121))/ 1000</f>
        <v>0</v>
      </c>
      <c r="FB121" s="1091" t="str">
        <f t="shared" si="828"/>
        <v/>
      </c>
      <c r="FC121" s="1091" t="str">
        <f>IFERROR(FA121/FA$66,"")</f>
        <v/>
      </c>
      <c r="FD121" s="1090">
        <f t="shared" si="616"/>
        <v>0</v>
      </c>
      <c r="FE121" s="1091" t="str">
        <f t="shared" si="94"/>
        <v/>
      </c>
      <c r="FF121" s="1090">
        <f t="shared" si="617"/>
        <v>0</v>
      </c>
      <c r="FG121" s="1091" t="str">
        <f t="shared" si="96"/>
        <v/>
      </c>
      <c r="FH121" s="1088">
        <f t="shared" si="923"/>
        <v>0</v>
      </c>
      <c r="FI121" s="1091">
        <f t="shared" si="829"/>
        <v>0</v>
      </c>
      <c r="FJ121" s="1091">
        <f>IFERROR(FH121/FH$66,"")</f>
        <v>0</v>
      </c>
      <c r="FK121" s="1090">
        <f t="shared" si="621"/>
        <v>0</v>
      </c>
      <c r="FL121" s="1091">
        <f t="shared" si="830"/>
        <v>0</v>
      </c>
      <c r="FM121" s="1091">
        <f>IFERROR(FK121/FK$66,"")</f>
        <v>0</v>
      </c>
      <c r="FN121" s="1090">
        <f t="shared" si="624"/>
        <v>0</v>
      </c>
      <c r="FO121" s="1091" t="str">
        <f t="shared" si="831"/>
        <v/>
      </c>
      <c r="FP121" s="1091" t="str">
        <f>IFERROR(FN121/FN$66,"")</f>
        <v/>
      </c>
      <c r="FQ121" s="1090">
        <f t="shared" si="627"/>
        <v>0</v>
      </c>
      <c r="FR121" s="1091" t="str">
        <f t="shared" si="104"/>
        <v/>
      </c>
      <c r="FS121" s="1090">
        <f t="shared" si="628"/>
        <v>0</v>
      </c>
      <c r="FT121" s="1091" t="str">
        <f t="shared" si="106"/>
        <v/>
      </c>
      <c r="FU121" s="1088">
        <f>SUMIFS(BP_SOTIEN,BP_THANG,FU$2,BP_KM,$E121)/1000</f>
        <v>0</v>
      </c>
      <c r="FV121" s="1091">
        <f t="shared" si="832"/>
        <v>0</v>
      </c>
      <c r="FW121" s="1091"/>
      <c r="FX121" s="1090">
        <f>IF(NOW()&gt;=DATE(YEAR(FU$2),MONTH(FU$2)+1,DAY(FU$2)),SUMIFS(TF_SOTIEN,TF_THANG,FU$2,TF_KM,$E121)/1000, GA121)</f>
        <v>0</v>
      </c>
      <c r="FY121" s="1091">
        <f t="shared" si="833"/>
        <v>0</v>
      </c>
      <c r="FZ121" s="1091"/>
      <c r="GA121" s="1090">
        <f>IF(NOW()&gt;=DATE(YEAR(FU$2),MONTH(FU$2)+1,DAY(FU$2)),SUMIFS(AC_SOTIEN,AC_THANG,FU$2,AC_KM,$E121),SUMIFS(TF_SOTIEN,TF_THANG,FU$2,TF_KM,$E121))/ 1000</f>
        <v>0</v>
      </c>
      <c r="GB121" s="1091" t="str">
        <f t="shared" si="834"/>
        <v/>
      </c>
      <c r="GC121" s="1091" t="str">
        <f>IFERROR(GA121/GA$66,"")</f>
        <v/>
      </c>
      <c r="GD121" s="1090">
        <f t="shared" si="635"/>
        <v>0</v>
      </c>
      <c r="GE121" s="1091" t="str">
        <f t="shared" si="111"/>
        <v/>
      </c>
      <c r="GF121" s="1090">
        <f t="shared" si="636"/>
        <v>0</v>
      </c>
      <c r="GG121" s="1091" t="str">
        <f t="shared" si="113"/>
        <v/>
      </c>
      <c r="GH121" s="1088">
        <f>SUMIFS(BP_SOTIEN,BP_THANG,GH$2,BP_KM,$E121)/1000</f>
        <v>0</v>
      </c>
      <c r="GI121" s="1091">
        <f t="shared" si="835"/>
        <v>0</v>
      </c>
      <c r="GJ121" s="1091"/>
      <c r="GK121" s="1090">
        <f>IF(NOW()&gt;=DATE(YEAR(GH$2),MONTH(GH$2)+1,DAY(GH$2)),SUMIFS(TF_SOTIEN,TF_THANG,GH$2,TF_KM,$E121)/1000, GN121)</f>
        <v>0</v>
      </c>
      <c r="GL121" s="1091">
        <f t="shared" si="836"/>
        <v>0</v>
      </c>
      <c r="GM121" s="1091"/>
      <c r="GN121" s="1090">
        <f>IF(NOW()&gt;=DATE(YEAR(GH$2),MONTH(GH$2)+1,DAY(GH$2)),SUMIFS(AC_SOTIEN,AC_THANG,GH$2,AC_KM,$E121),SUMIFS(TF_SOTIEN,TF_THANG,GH$2,TF_KM,$E121))/ 1000</f>
        <v>0</v>
      </c>
      <c r="GO121" s="1091" t="str">
        <f t="shared" si="837"/>
        <v/>
      </c>
      <c r="GP121" s="1091" t="str">
        <f>IFERROR(GN121/GN$66,"")</f>
        <v/>
      </c>
      <c r="GQ121" s="1090">
        <f t="shared" si="643"/>
        <v>0</v>
      </c>
      <c r="GR121" s="1091" t="str">
        <f t="shared" si="118"/>
        <v/>
      </c>
      <c r="GS121" s="1090">
        <f t="shared" si="644"/>
        <v>0</v>
      </c>
      <c r="GT121" s="1091" t="str">
        <f t="shared" si="120"/>
        <v/>
      </c>
      <c r="GU121" s="1088">
        <f>SUMIFS(BP_SOTIEN,BP_THANG,GU$2,BP_KM,$E121)/1000</f>
        <v>0</v>
      </c>
      <c r="GV121" s="1091">
        <f t="shared" si="838"/>
        <v>0</v>
      </c>
      <c r="GW121" s="1091"/>
      <c r="GX121" s="1090">
        <f>IF(NOW()&gt;=DATE(YEAR(GU$2),MONTH(GU$2)+1,DAY(GU$2)),SUMIFS(TF_SOTIEN,TF_THANG,GU$2,TF_KM,$E121)/1000, HA121)</f>
        <v>0</v>
      </c>
      <c r="GY121" s="1091">
        <f t="shared" si="839"/>
        <v>0</v>
      </c>
      <c r="GZ121" s="1091"/>
      <c r="HA121" s="1090">
        <f>IF(NOW()&gt;=DATE(YEAR(GU$2),MONTH(GU$2)+1,DAY(GU$2)),SUMIFS(AC_SOTIEN,AC_THANG,GU$2,AC_KM,$E121),SUMIFS(TF_SOTIEN,TF_THANG,GU$2,TF_KM,$E121))/ 1000</f>
        <v>0</v>
      </c>
      <c r="HB121" s="1091" t="str">
        <f t="shared" si="840"/>
        <v/>
      </c>
      <c r="HC121" s="1091" t="str">
        <f>IFERROR(HA121/HA$66,"")</f>
        <v/>
      </c>
      <c r="HD121" s="1090">
        <f t="shared" si="651"/>
        <v>0</v>
      </c>
      <c r="HE121" s="1091" t="str">
        <f t="shared" si="125"/>
        <v/>
      </c>
      <c r="HF121" s="1090">
        <f t="shared" si="652"/>
        <v>0</v>
      </c>
      <c r="HG121" s="1091" t="str">
        <f t="shared" si="127"/>
        <v/>
      </c>
      <c r="HH121" s="1088">
        <f t="shared" si="924"/>
        <v>0</v>
      </c>
      <c r="HI121" s="1091">
        <f t="shared" si="841"/>
        <v>0</v>
      </c>
      <c r="HJ121" s="1091">
        <f>IFERROR(HH121/HH$66,"")</f>
        <v>0</v>
      </c>
      <c r="HK121" s="1090">
        <f t="shared" si="656"/>
        <v>0</v>
      </c>
      <c r="HL121" s="1091">
        <f t="shared" si="842"/>
        <v>0</v>
      </c>
      <c r="HM121" s="1091">
        <f>IFERROR(HK121/HK$66,"")</f>
        <v>0</v>
      </c>
      <c r="HN121" s="1090">
        <f t="shared" si="659"/>
        <v>0</v>
      </c>
      <c r="HO121" s="1091" t="str">
        <f t="shared" si="843"/>
        <v/>
      </c>
      <c r="HP121" s="1091" t="str">
        <f>IFERROR(HN121/HN$66,"")</f>
        <v/>
      </c>
      <c r="HQ121" s="1090">
        <f t="shared" si="662"/>
        <v>0</v>
      </c>
      <c r="HR121" s="1091" t="str">
        <f t="shared" si="135"/>
        <v/>
      </c>
      <c r="HS121" s="1090">
        <f t="shared" si="663"/>
        <v>0</v>
      </c>
      <c r="HT121" s="1091" t="str">
        <f t="shared" si="137"/>
        <v/>
      </c>
      <c r="HU121" s="1088">
        <f t="shared" si="925"/>
        <v>0</v>
      </c>
      <c r="HV121" s="1091">
        <f t="shared" si="844"/>
        <v>0</v>
      </c>
      <c r="HW121" s="1091">
        <f>IFERROR(HU121/HU$66,"")</f>
        <v>0</v>
      </c>
      <c r="HX121" s="1090">
        <f t="shared" si="667"/>
        <v>0</v>
      </c>
      <c r="HY121" s="1091">
        <f t="shared" si="845"/>
        <v>0</v>
      </c>
      <c r="HZ121" s="1091">
        <f>IFERROR(HX121/HX$66,"")</f>
        <v>0</v>
      </c>
      <c r="IA121" s="1090">
        <f t="shared" si="670"/>
        <v>0</v>
      </c>
      <c r="IB121" s="1091" t="str">
        <f t="shared" si="846"/>
        <v/>
      </c>
      <c r="IC121" s="1091" t="str">
        <f>IFERROR(IA121/IA$66,"")</f>
        <v/>
      </c>
      <c r="ID121" s="1090">
        <f t="shared" si="673"/>
        <v>0</v>
      </c>
      <c r="IE121" s="1091" t="str">
        <f t="shared" si="145"/>
        <v/>
      </c>
      <c r="IF121" s="1090">
        <f t="shared" si="674"/>
        <v>0</v>
      </c>
      <c r="IG121" s="1091" t="str">
        <f t="shared" si="147"/>
        <v/>
      </c>
      <c r="IH121" s="1088">
        <f t="shared" si="926"/>
        <v>0</v>
      </c>
      <c r="II121" s="1091">
        <f t="shared" si="847"/>
        <v>0</v>
      </c>
      <c r="IJ121" s="1091">
        <f>IFERROR(IH121/IH$66,"")</f>
        <v>0</v>
      </c>
      <c r="IK121" s="1090">
        <f t="shared" si="678"/>
        <v>0</v>
      </c>
      <c r="IL121" s="1091">
        <f t="shared" si="848"/>
        <v>0</v>
      </c>
      <c r="IM121" s="1091">
        <f>IFERROR(IK121/IK$66,"")</f>
        <v>0</v>
      </c>
      <c r="IN121" s="1090">
        <f t="shared" si="681"/>
        <v>323181.36</v>
      </c>
      <c r="IO121" s="1091">
        <f t="shared" si="849"/>
        <v>0.07438670243</v>
      </c>
      <c r="IP121" s="1091">
        <f>IFERROR(IN121/IN$66,"")</f>
        <v>0.1004994484</v>
      </c>
      <c r="IQ121" s="1090">
        <f t="shared" si="684"/>
        <v>323181.36</v>
      </c>
      <c r="IR121" s="1091" t="str">
        <f t="shared" si="1"/>
        <v/>
      </c>
      <c r="IS121" s="1090">
        <f t="shared" si="685"/>
        <v>323181.36</v>
      </c>
      <c r="IT121" s="1091" t="str">
        <f t="shared" si="2"/>
        <v/>
      </c>
    </row>
  </sheetData>
  <mergeCells count="1603">
    <mergeCell ref="CY14:CZ14"/>
    <mergeCell ref="CY15:CZ15"/>
    <mergeCell ref="DI14:DJ14"/>
    <mergeCell ref="DI15:DJ15"/>
    <mergeCell ref="CI14:CJ14"/>
    <mergeCell ref="CL14:CM14"/>
    <mergeCell ref="CV14:CW14"/>
    <mergeCell ref="DB14:DC14"/>
    <mergeCell ref="CL15:CM15"/>
    <mergeCell ref="CV15:CW15"/>
    <mergeCell ref="DB15:DC15"/>
    <mergeCell ref="DV34:DW34"/>
    <mergeCell ref="DY34:DZ34"/>
    <mergeCell ref="EB34:EC34"/>
    <mergeCell ref="EI34:EJ34"/>
    <mergeCell ref="EL34:EM34"/>
    <mergeCell ref="EO34:EP34"/>
    <mergeCell ref="EV34:EW34"/>
    <mergeCell ref="EY34:EZ34"/>
    <mergeCell ref="FB34:FC34"/>
    <mergeCell ref="FL34:FM34"/>
    <mergeCell ref="FO34:FP34"/>
    <mergeCell ref="FV34:FW34"/>
    <mergeCell ref="FY34:FZ34"/>
    <mergeCell ref="GB34:GC34"/>
    <mergeCell ref="HL34:HM34"/>
    <mergeCell ref="HO34:HP34"/>
    <mergeCell ref="HV34:HW34"/>
    <mergeCell ref="HY34:HZ34"/>
    <mergeCell ref="IB34:IC34"/>
    <mergeCell ref="II34:IJ34"/>
    <mergeCell ref="IL34:IM34"/>
    <mergeCell ref="IO34:IP34"/>
    <mergeCell ref="GI34:GJ34"/>
    <mergeCell ref="GL34:GM34"/>
    <mergeCell ref="GO34:GP34"/>
    <mergeCell ref="GV34:GW34"/>
    <mergeCell ref="GY34:GZ34"/>
    <mergeCell ref="HB34:HC34"/>
    <mergeCell ref="HI34:HJ34"/>
    <mergeCell ref="V17:W17"/>
    <mergeCell ref="V18:W18"/>
    <mergeCell ref="Y18:Z18"/>
    <mergeCell ref="AB18:AC18"/>
    <mergeCell ref="AI18:AJ18"/>
    <mergeCell ref="AL18:AM18"/>
    <mergeCell ref="AO18:AP18"/>
    <mergeCell ref="BY18:BZ18"/>
    <mergeCell ref="CB18:CC18"/>
    <mergeCell ref="CI18:CJ18"/>
    <mergeCell ref="CL18:CM18"/>
    <mergeCell ref="CO18:CP18"/>
    <mergeCell ref="CV18:CW18"/>
    <mergeCell ref="CY18:CZ18"/>
    <mergeCell ref="DB18:DC18"/>
    <mergeCell ref="DI18:DJ18"/>
    <mergeCell ref="DL18:DM18"/>
    <mergeCell ref="DO18:DP18"/>
    <mergeCell ref="DV18:DW18"/>
    <mergeCell ref="DY18:DZ18"/>
    <mergeCell ref="EB18:EC18"/>
    <mergeCell ref="EI18:EJ18"/>
    <mergeCell ref="EL18:EM18"/>
    <mergeCell ref="EO18:EP18"/>
    <mergeCell ref="EV18:EW18"/>
    <mergeCell ref="EY18:EZ18"/>
    <mergeCell ref="FB18:FC18"/>
    <mergeCell ref="FI18:FJ18"/>
    <mergeCell ref="BV30:BW30"/>
    <mergeCell ref="BY30:BZ30"/>
    <mergeCell ref="CB30:CC30"/>
    <mergeCell ref="AV18:AW18"/>
    <mergeCell ref="AY18:AZ18"/>
    <mergeCell ref="BB18:BC18"/>
    <mergeCell ref="BI18:BJ18"/>
    <mergeCell ref="BL18:BM18"/>
    <mergeCell ref="BO18:BP18"/>
    <mergeCell ref="BV18:BW18"/>
    <mergeCell ref="O34:P34"/>
    <mergeCell ref="V34:W34"/>
    <mergeCell ref="Y34:Z34"/>
    <mergeCell ref="AB34:AC34"/>
    <mergeCell ref="AI34:AJ34"/>
    <mergeCell ref="AL34:AM34"/>
    <mergeCell ref="AO34:AP34"/>
    <mergeCell ref="FI34:FJ34"/>
    <mergeCell ref="DY49:DZ49"/>
    <mergeCell ref="EB49:EC49"/>
    <mergeCell ref="EI49:EJ49"/>
    <mergeCell ref="EL49:EM49"/>
    <mergeCell ref="EO49:EP49"/>
    <mergeCell ref="EV49:EW49"/>
    <mergeCell ref="EY49:EZ49"/>
    <mergeCell ref="FB49:FC49"/>
    <mergeCell ref="FI49:FJ49"/>
    <mergeCell ref="FL49:FM49"/>
    <mergeCell ref="FO49:FP49"/>
    <mergeCell ref="FV49:FW49"/>
    <mergeCell ref="FY49:FZ49"/>
    <mergeCell ref="GB49:GC49"/>
    <mergeCell ref="HV49:HW49"/>
    <mergeCell ref="HY49:HZ49"/>
    <mergeCell ref="IB49:IC49"/>
    <mergeCell ref="II49:IJ49"/>
    <mergeCell ref="IL49:IM49"/>
    <mergeCell ref="IO49:IP49"/>
    <mergeCell ref="GO49:GP49"/>
    <mergeCell ref="GV49:GW49"/>
    <mergeCell ref="GY49:GZ49"/>
    <mergeCell ref="HB49:HC49"/>
    <mergeCell ref="HI49:HJ49"/>
    <mergeCell ref="HL49:HM49"/>
    <mergeCell ref="HO49:HP49"/>
    <mergeCell ref="O13:P13"/>
    <mergeCell ref="O14:P14"/>
    <mergeCell ref="O15:P15"/>
    <mergeCell ref="I17:J17"/>
    <mergeCell ref="O17:P17"/>
    <mergeCell ref="I18:J18"/>
    <mergeCell ref="O18:P18"/>
    <mergeCell ref="L17:M17"/>
    <mergeCell ref="L18:M18"/>
    <mergeCell ref="L24:M24"/>
    <mergeCell ref="L26:M26"/>
    <mergeCell ref="L30:M30"/>
    <mergeCell ref="I34:J34"/>
    <mergeCell ref="L34:M34"/>
    <mergeCell ref="I49:J49"/>
    <mergeCell ref="L49:M49"/>
    <mergeCell ref="O49:P49"/>
    <mergeCell ref="V49:W49"/>
    <mergeCell ref="Y49:Z49"/>
    <mergeCell ref="AB49:AC49"/>
    <mergeCell ref="AI49:AJ49"/>
    <mergeCell ref="AL49:AM49"/>
    <mergeCell ref="AO49:AP49"/>
    <mergeCell ref="AV49:AW49"/>
    <mergeCell ref="AY49:AZ49"/>
    <mergeCell ref="BB49:BC49"/>
    <mergeCell ref="BI49:BJ49"/>
    <mergeCell ref="BL49:BM49"/>
    <mergeCell ref="BO49:BP49"/>
    <mergeCell ref="BV49:BW49"/>
    <mergeCell ref="BY49:BZ49"/>
    <mergeCell ref="CB49:CC49"/>
    <mergeCell ref="CI49:CJ49"/>
    <mergeCell ref="CL49:CM49"/>
    <mergeCell ref="CO49:CP49"/>
    <mergeCell ref="CV49:CW49"/>
    <mergeCell ref="CY49:CZ49"/>
    <mergeCell ref="DB49:DC49"/>
    <mergeCell ref="DI49:DJ49"/>
    <mergeCell ref="DL49:DM49"/>
    <mergeCell ref="DO49:DP49"/>
    <mergeCell ref="DV49:DW49"/>
    <mergeCell ref="GI49:GJ49"/>
    <mergeCell ref="GL49:GM49"/>
    <mergeCell ref="DY64:DZ64"/>
    <mergeCell ref="EB64:EC64"/>
    <mergeCell ref="EI64:EJ64"/>
    <mergeCell ref="EL64:EM64"/>
    <mergeCell ref="EO64:EP64"/>
    <mergeCell ref="EV64:EW64"/>
    <mergeCell ref="EY64:EZ64"/>
    <mergeCell ref="FB64:FC64"/>
    <mergeCell ref="FI64:FJ64"/>
    <mergeCell ref="FL64:FM64"/>
    <mergeCell ref="FO64:FP64"/>
    <mergeCell ref="FV64:FW64"/>
    <mergeCell ref="FY64:FZ64"/>
    <mergeCell ref="GB64:GC64"/>
    <mergeCell ref="HV64:HW64"/>
    <mergeCell ref="HY64:HZ64"/>
    <mergeCell ref="IB64:IC64"/>
    <mergeCell ref="II64:IJ64"/>
    <mergeCell ref="IL64:IM64"/>
    <mergeCell ref="IO64:IP64"/>
    <mergeCell ref="GO64:GP64"/>
    <mergeCell ref="GV64:GW64"/>
    <mergeCell ref="GY64:GZ64"/>
    <mergeCell ref="HB64:HC64"/>
    <mergeCell ref="HI64:HJ64"/>
    <mergeCell ref="HL64:HM64"/>
    <mergeCell ref="HO64:HP64"/>
    <mergeCell ref="GO113:GP113"/>
    <mergeCell ref="GY113:GZ113"/>
    <mergeCell ref="HI113:HJ113"/>
    <mergeCell ref="HO113:HP113"/>
    <mergeCell ref="GO114:GP114"/>
    <mergeCell ref="GY114:GZ114"/>
    <mergeCell ref="HI114:HJ114"/>
    <mergeCell ref="HL113:HM113"/>
    <mergeCell ref="HL114:HM114"/>
    <mergeCell ref="HI115:HJ115"/>
    <mergeCell ref="HL115:HM115"/>
    <mergeCell ref="HO115:HP115"/>
    <mergeCell ref="HV115:HW115"/>
    <mergeCell ref="HY115:HZ115"/>
    <mergeCell ref="DY113:DZ113"/>
    <mergeCell ref="EB113:EC113"/>
    <mergeCell ref="EI113:EJ113"/>
    <mergeCell ref="EL113:EM113"/>
    <mergeCell ref="EO113:EP113"/>
    <mergeCell ref="EV113:EW113"/>
    <mergeCell ref="EY113:EZ113"/>
    <mergeCell ref="FB113:FC113"/>
    <mergeCell ref="FI113:FJ113"/>
    <mergeCell ref="FL113:FM113"/>
    <mergeCell ref="FO113:FP113"/>
    <mergeCell ref="FV113:FW113"/>
    <mergeCell ref="FY113:FZ113"/>
    <mergeCell ref="GB113:GC113"/>
    <mergeCell ref="HV113:HW113"/>
    <mergeCell ref="HY113:HZ113"/>
    <mergeCell ref="IB113:IC113"/>
    <mergeCell ref="II113:IJ113"/>
    <mergeCell ref="IL113:IM113"/>
    <mergeCell ref="IO113:IP113"/>
    <mergeCell ref="GV113:GW113"/>
    <mergeCell ref="GV114:GW114"/>
    <mergeCell ref="GO115:GP115"/>
    <mergeCell ref="GV115:GW115"/>
    <mergeCell ref="GY115:GZ115"/>
    <mergeCell ref="HB113:HC113"/>
    <mergeCell ref="HB114:HC114"/>
    <mergeCell ref="HB115:HC115"/>
    <mergeCell ref="HO114:HP114"/>
    <mergeCell ref="HV114:HW114"/>
    <mergeCell ref="HY114:HZ114"/>
    <mergeCell ref="IB114:IC114"/>
    <mergeCell ref="II114:IJ114"/>
    <mergeCell ref="IL114:IM114"/>
    <mergeCell ref="IO114:IP114"/>
    <mergeCell ref="IB115:IC115"/>
    <mergeCell ref="II115:IJ115"/>
    <mergeCell ref="IL115:IM115"/>
    <mergeCell ref="IO115:IP115"/>
    <mergeCell ref="BY34:BZ34"/>
    <mergeCell ref="CB34:CC34"/>
    <mergeCell ref="AV34:AW34"/>
    <mergeCell ref="AY34:AZ34"/>
    <mergeCell ref="BB34:BC34"/>
    <mergeCell ref="BI34:BJ34"/>
    <mergeCell ref="BL34:BM34"/>
    <mergeCell ref="BO34:BP34"/>
    <mergeCell ref="BV34:BW34"/>
    <mergeCell ref="I64:J64"/>
    <mergeCell ref="L64:M64"/>
    <mergeCell ref="O64:P64"/>
    <mergeCell ref="V64:W64"/>
    <mergeCell ref="Y64:Z64"/>
    <mergeCell ref="AB64:AC64"/>
    <mergeCell ref="AI64:AJ64"/>
    <mergeCell ref="AL64:AM64"/>
    <mergeCell ref="AO64:AP64"/>
    <mergeCell ref="AV64:AW64"/>
    <mergeCell ref="AY64:AZ64"/>
    <mergeCell ref="BB64:BC64"/>
    <mergeCell ref="BI64:BJ64"/>
    <mergeCell ref="BL64:BM64"/>
    <mergeCell ref="BO64:BP64"/>
    <mergeCell ref="BV64:BW64"/>
    <mergeCell ref="BY64:BZ64"/>
    <mergeCell ref="CB64:CC64"/>
    <mergeCell ref="CI64:CJ64"/>
    <mergeCell ref="CL64:CM64"/>
    <mergeCell ref="CO64:CP64"/>
    <mergeCell ref="CV64:CW64"/>
    <mergeCell ref="CY64:CZ64"/>
    <mergeCell ref="DB64:DC64"/>
    <mergeCell ref="DI64:DJ64"/>
    <mergeCell ref="DL64:DM64"/>
    <mergeCell ref="DO64:DP64"/>
    <mergeCell ref="DV64:DW64"/>
    <mergeCell ref="GI64:GJ64"/>
    <mergeCell ref="GL64:GM64"/>
    <mergeCell ref="AY113:AZ113"/>
    <mergeCell ref="AY114:AZ114"/>
    <mergeCell ref="BI113:BJ113"/>
    <mergeCell ref="BI114:BJ114"/>
    <mergeCell ref="AL113:AM113"/>
    <mergeCell ref="AV113:AW113"/>
    <mergeCell ref="BB113:BC113"/>
    <mergeCell ref="BL113:BM113"/>
    <mergeCell ref="AL114:AM114"/>
    <mergeCell ref="AV114:AW114"/>
    <mergeCell ref="BB114:BC114"/>
    <mergeCell ref="BL114:BM114"/>
    <mergeCell ref="CB113:CC113"/>
    <mergeCell ref="CB114:CC114"/>
    <mergeCell ref="CL113:CM113"/>
    <mergeCell ref="CL114:CM114"/>
    <mergeCell ref="BO113:BP113"/>
    <mergeCell ref="BY113:BZ113"/>
    <mergeCell ref="CI113:CJ113"/>
    <mergeCell ref="CO113:CP113"/>
    <mergeCell ref="BO114:BP114"/>
    <mergeCell ref="BY114:BZ114"/>
    <mergeCell ref="CI114:CJ114"/>
    <mergeCell ref="CO114:CP114"/>
    <mergeCell ref="DI113:DJ113"/>
    <mergeCell ref="DI114:DJ114"/>
    <mergeCell ref="DO113:DP113"/>
    <mergeCell ref="DO114:DP114"/>
    <mergeCell ref="CV113:CW113"/>
    <mergeCell ref="DB113:DC113"/>
    <mergeCell ref="DL113:DM113"/>
    <mergeCell ref="DV113:DW113"/>
    <mergeCell ref="CV114:CW114"/>
    <mergeCell ref="DB114:DC114"/>
    <mergeCell ref="DL114:DM114"/>
    <mergeCell ref="DV114:DW114"/>
    <mergeCell ref="FY114:FZ114"/>
    <mergeCell ref="GB114:GC114"/>
    <mergeCell ref="EV114:EW114"/>
    <mergeCell ref="EY114:EZ114"/>
    <mergeCell ref="FB114:FC114"/>
    <mergeCell ref="FI114:FJ114"/>
    <mergeCell ref="FL114:FM114"/>
    <mergeCell ref="FO114:FP114"/>
    <mergeCell ref="FV114:FW114"/>
    <mergeCell ref="DL34:DM34"/>
    <mergeCell ref="DO34:DP34"/>
    <mergeCell ref="CI34:CJ34"/>
    <mergeCell ref="CL34:CM34"/>
    <mergeCell ref="CO34:CP34"/>
    <mergeCell ref="CV34:CW34"/>
    <mergeCell ref="CY34:CZ34"/>
    <mergeCell ref="DB34:DC34"/>
    <mergeCell ref="DI34:DJ34"/>
    <mergeCell ref="GI113:GJ113"/>
    <mergeCell ref="GL113:GM113"/>
    <mergeCell ref="GI114:GJ114"/>
    <mergeCell ref="GL114:GM114"/>
    <mergeCell ref="L113:M113"/>
    <mergeCell ref="L114:M114"/>
    <mergeCell ref="AO113:AP113"/>
    <mergeCell ref="AO114:AP114"/>
    <mergeCell ref="BV113:BW113"/>
    <mergeCell ref="BV114:BW114"/>
    <mergeCell ref="CY113:CZ113"/>
    <mergeCell ref="CY114:CZ114"/>
    <mergeCell ref="DY114:DZ114"/>
    <mergeCell ref="EB114:EC114"/>
    <mergeCell ref="EI114:EJ114"/>
    <mergeCell ref="EL114:EM114"/>
    <mergeCell ref="EO114:EP114"/>
    <mergeCell ref="FO115:FP115"/>
    <mergeCell ref="FV115:FW115"/>
    <mergeCell ref="FY115:FZ115"/>
    <mergeCell ref="GB115:GC115"/>
    <mergeCell ref="GI115:GJ115"/>
    <mergeCell ref="GL115:GM115"/>
    <mergeCell ref="EL115:EM115"/>
    <mergeCell ref="EO115:EP115"/>
    <mergeCell ref="EV115:EW115"/>
    <mergeCell ref="EY115:EZ115"/>
    <mergeCell ref="FB115:FC115"/>
    <mergeCell ref="FI115:FJ115"/>
    <mergeCell ref="FL115:FM115"/>
    <mergeCell ref="DS3:DT3"/>
    <mergeCell ref="DU3:DW3"/>
    <mergeCell ref="DA3:DC3"/>
    <mergeCell ref="DD3:DE3"/>
    <mergeCell ref="DF3:DG3"/>
    <mergeCell ref="DH3:DJ3"/>
    <mergeCell ref="DK3:DM3"/>
    <mergeCell ref="DN3:DP3"/>
    <mergeCell ref="DQ3:DR3"/>
    <mergeCell ref="EQ3:ER3"/>
    <mergeCell ref="ES3:ET3"/>
    <mergeCell ref="DX3:DZ3"/>
    <mergeCell ref="EA3:EC3"/>
    <mergeCell ref="ED3:EE3"/>
    <mergeCell ref="EF3:EG3"/>
    <mergeCell ref="EH3:EJ3"/>
    <mergeCell ref="EK3:EM3"/>
    <mergeCell ref="EN3:EP3"/>
    <mergeCell ref="FN3:FP3"/>
    <mergeCell ref="FQ3:FR3"/>
    <mergeCell ref="EU3:EW3"/>
    <mergeCell ref="EX3:EZ3"/>
    <mergeCell ref="FA3:FC3"/>
    <mergeCell ref="FD3:FE3"/>
    <mergeCell ref="FF3:FG3"/>
    <mergeCell ref="FH3:FJ3"/>
    <mergeCell ref="FK3:FM3"/>
    <mergeCell ref="GK3:GM3"/>
    <mergeCell ref="GN3:GP3"/>
    <mergeCell ref="FS3:FT3"/>
    <mergeCell ref="FU3:FW3"/>
    <mergeCell ref="FX3:FZ3"/>
    <mergeCell ref="GA3:GC3"/>
    <mergeCell ref="GD3:GE3"/>
    <mergeCell ref="GF3:GG3"/>
    <mergeCell ref="GH3:GJ3"/>
    <mergeCell ref="IK3:IM3"/>
    <mergeCell ref="IN3:IP3"/>
    <mergeCell ref="IQ3:IR3"/>
    <mergeCell ref="IS3:IT3"/>
    <mergeCell ref="GH2:GT2"/>
    <mergeCell ref="GU2:HG2"/>
    <mergeCell ref="HH2:HT2"/>
    <mergeCell ref="HU2:IG2"/>
    <mergeCell ref="IH2:IT2"/>
    <mergeCell ref="GQ3:GR3"/>
    <mergeCell ref="GS3:GT3"/>
    <mergeCell ref="GU3:GW3"/>
    <mergeCell ref="GX3:GZ3"/>
    <mergeCell ref="HF3:HG3"/>
    <mergeCell ref="HH3:HJ3"/>
    <mergeCell ref="HK3:HM3"/>
    <mergeCell ref="HN3:HP3"/>
    <mergeCell ref="HQ3:HR3"/>
    <mergeCell ref="HS3:HT3"/>
    <mergeCell ref="HU3:HW3"/>
    <mergeCell ref="HX3:HZ3"/>
    <mergeCell ref="IA3:IC3"/>
    <mergeCell ref="ID3:IE3"/>
    <mergeCell ref="IF3:IG3"/>
    <mergeCell ref="IH3:IJ3"/>
    <mergeCell ref="DY5:DZ5"/>
    <mergeCell ref="EB5:EC5"/>
    <mergeCell ref="EI5:EJ5"/>
    <mergeCell ref="EL5:EM5"/>
    <mergeCell ref="EO5:EP5"/>
    <mergeCell ref="EV5:EW5"/>
    <mergeCell ref="EY5:EZ5"/>
    <mergeCell ref="FB5:FC5"/>
    <mergeCell ref="FI5:FJ5"/>
    <mergeCell ref="FL5:FM5"/>
    <mergeCell ref="FO5:FP5"/>
    <mergeCell ref="FV5:FW5"/>
    <mergeCell ref="FY5:FZ5"/>
    <mergeCell ref="GB5:GC5"/>
    <mergeCell ref="IL5:IM5"/>
    <mergeCell ref="IO5:IP5"/>
    <mergeCell ref="HI5:HJ5"/>
    <mergeCell ref="HL5:HM5"/>
    <mergeCell ref="HO5:HP5"/>
    <mergeCell ref="HV5:HW5"/>
    <mergeCell ref="HY5:HZ5"/>
    <mergeCell ref="IB5:IC5"/>
    <mergeCell ref="II5:IJ5"/>
    <mergeCell ref="H2:T2"/>
    <mergeCell ref="U2:AG2"/>
    <mergeCell ref="AH2:AT2"/>
    <mergeCell ref="AU2:BG2"/>
    <mergeCell ref="BH2:BT2"/>
    <mergeCell ref="BU2:CG2"/>
    <mergeCell ref="CH2:CT2"/>
    <mergeCell ref="H3:J3"/>
    <mergeCell ref="K3:M3"/>
    <mergeCell ref="N3:P3"/>
    <mergeCell ref="Q3:R3"/>
    <mergeCell ref="S3:T3"/>
    <mergeCell ref="U3:W3"/>
    <mergeCell ref="X3:Z3"/>
    <mergeCell ref="AA3:AC3"/>
    <mergeCell ref="AD3:AE3"/>
    <mergeCell ref="AF3:AG3"/>
    <mergeCell ref="AH3:AJ3"/>
    <mergeCell ref="AK3:AM3"/>
    <mergeCell ref="AN3:AP3"/>
    <mergeCell ref="AQ3:AR3"/>
    <mergeCell ref="AS3:AT3"/>
    <mergeCell ref="AU3:AW3"/>
    <mergeCell ref="AX3:AZ3"/>
    <mergeCell ref="BA3:BC3"/>
    <mergeCell ref="BD3:BE3"/>
    <mergeCell ref="BF3:BG3"/>
    <mergeCell ref="BH3:BJ3"/>
    <mergeCell ref="BK3:BM3"/>
    <mergeCell ref="BN3:BP3"/>
    <mergeCell ref="BQ3:BR3"/>
    <mergeCell ref="BS3:BT3"/>
    <mergeCell ref="BU3:BW3"/>
    <mergeCell ref="BX3:BZ3"/>
    <mergeCell ref="CA3:CC3"/>
    <mergeCell ref="CU2:DG2"/>
    <mergeCell ref="DH2:DT2"/>
    <mergeCell ref="DU2:EG2"/>
    <mergeCell ref="EH2:ET2"/>
    <mergeCell ref="EU2:FG2"/>
    <mergeCell ref="FH2:FT2"/>
    <mergeCell ref="FU2:GG2"/>
    <mergeCell ref="HA3:HC3"/>
    <mergeCell ref="HD3:HE3"/>
    <mergeCell ref="AY5:AZ5"/>
    <mergeCell ref="AY6:AZ6"/>
    <mergeCell ref="BI5:BJ5"/>
    <mergeCell ref="BI6:BJ6"/>
    <mergeCell ref="AL5:AM5"/>
    <mergeCell ref="AV5:AW5"/>
    <mergeCell ref="BB5:BC5"/>
    <mergeCell ref="BL5:BM5"/>
    <mergeCell ref="AL6:AM6"/>
    <mergeCell ref="AV6:AW6"/>
    <mergeCell ref="BB6:BC6"/>
    <mergeCell ref="BL6:BM6"/>
    <mergeCell ref="CB5:CC5"/>
    <mergeCell ref="CB6:CC6"/>
    <mergeCell ref="CL5:CM5"/>
    <mergeCell ref="CL6:CM6"/>
    <mergeCell ref="BO5:BP5"/>
    <mergeCell ref="BY5:BZ5"/>
    <mergeCell ref="CI5:CJ5"/>
    <mergeCell ref="CO5:CP5"/>
    <mergeCell ref="BO6:BP6"/>
    <mergeCell ref="BY6:BZ6"/>
    <mergeCell ref="CI6:CJ6"/>
    <mergeCell ref="CO6:CP6"/>
    <mergeCell ref="DL5:DM5"/>
    <mergeCell ref="DL6:DM6"/>
    <mergeCell ref="DL7:DM7"/>
    <mergeCell ref="CV5:CW5"/>
    <mergeCell ref="CY5:CZ5"/>
    <mergeCell ref="DB5:DC5"/>
    <mergeCell ref="DI5:DJ5"/>
    <mergeCell ref="DO5:DP5"/>
    <mergeCell ref="DI6:DJ6"/>
    <mergeCell ref="DO6:DP6"/>
    <mergeCell ref="CV7:CW7"/>
    <mergeCell ref="CY7:CZ7"/>
    <mergeCell ref="DB7:DC7"/>
    <mergeCell ref="DI7:DJ7"/>
    <mergeCell ref="DO7:DP7"/>
    <mergeCell ref="DV7:DW7"/>
    <mergeCell ref="DY7:DZ7"/>
    <mergeCell ref="EB7:EC7"/>
    <mergeCell ref="EI7:EJ7"/>
    <mergeCell ref="EL7:EM7"/>
    <mergeCell ref="EO7:EP7"/>
    <mergeCell ref="EV7:EW7"/>
    <mergeCell ref="EY7:EZ7"/>
    <mergeCell ref="FB7:FC7"/>
    <mergeCell ref="FI7:FJ7"/>
    <mergeCell ref="FL7:FM7"/>
    <mergeCell ref="FO7:FP7"/>
    <mergeCell ref="FV7:FW7"/>
    <mergeCell ref="FY7:FZ7"/>
    <mergeCell ref="GB7:GC7"/>
    <mergeCell ref="GI7:GJ7"/>
    <mergeCell ref="HO7:HP7"/>
    <mergeCell ref="HV7:HW7"/>
    <mergeCell ref="HY7:HZ7"/>
    <mergeCell ref="IB7:IC7"/>
    <mergeCell ref="II7:IJ7"/>
    <mergeCell ref="IL7:IM7"/>
    <mergeCell ref="IO7:IP7"/>
    <mergeCell ref="GL7:GM7"/>
    <mergeCell ref="GO7:GP7"/>
    <mergeCell ref="GV7:GW7"/>
    <mergeCell ref="GY7:GZ7"/>
    <mergeCell ref="HB7:HC7"/>
    <mergeCell ref="HI7:HJ7"/>
    <mergeCell ref="HL7:HM7"/>
    <mergeCell ref="FY6:FZ6"/>
    <mergeCell ref="GB6:GC6"/>
    <mergeCell ref="EV6:EW6"/>
    <mergeCell ref="EY6:EZ6"/>
    <mergeCell ref="FB6:FC6"/>
    <mergeCell ref="FI6:FJ6"/>
    <mergeCell ref="FL6:FM6"/>
    <mergeCell ref="FO6:FP6"/>
    <mergeCell ref="FV6:FW6"/>
    <mergeCell ref="GY5:GZ5"/>
    <mergeCell ref="GY6:GZ6"/>
    <mergeCell ref="GI5:GJ5"/>
    <mergeCell ref="GL5:GM5"/>
    <mergeCell ref="GV5:GW5"/>
    <mergeCell ref="HB5:HC5"/>
    <mergeCell ref="GI6:GJ6"/>
    <mergeCell ref="GL6:GM6"/>
    <mergeCell ref="GV6:GW6"/>
    <mergeCell ref="II6:IJ6"/>
    <mergeCell ref="IL6:IM6"/>
    <mergeCell ref="IO6:IP6"/>
    <mergeCell ref="HB6:HC6"/>
    <mergeCell ref="HI6:HJ6"/>
    <mergeCell ref="HL6:HM6"/>
    <mergeCell ref="HO6:HP6"/>
    <mergeCell ref="HV6:HW6"/>
    <mergeCell ref="HY6:HZ6"/>
    <mergeCell ref="IB6:IC6"/>
    <mergeCell ref="CU3:CW3"/>
    <mergeCell ref="CX3:CZ3"/>
    <mergeCell ref="CV6:CW6"/>
    <mergeCell ref="CY6:CZ6"/>
    <mergeCell ref="DB6:DC6"/>
    <mergeCell ref="CD3:CE3"/>
    <mergeCell ref="CF3:CG3"/>
    <mergeCell ref="CH3:CJ3"/>
    <mergeCell ref="CK3:CM3"/>
    <mergeCell ref="CN3:CP3"/>
    <mergeCell ref="CQ3:CR3"/>
    <mergeCell ref="CS3:CT3"/>
    <mergeCell ref="L5:M5"/>
    <mergeCell ref="L6:M6"/>
    <mergeCell ref="AO5:AP5"/>
    <mergeCell ref="AO6:AP6"/>
    <mergeCell ref="BV5:BW5"/>
    <mergeCell ref="BV6:BW6"/>
    <mergeCell ref="DV5:DW5"/>
    <mergeCell ref="DV6:DW6"/>
    <mergeCell ref="DY6:DZ6"/>
    <mergeCell ref="EB6:EC6"/>
    <mergeCell ref="EI6:EJ6"/>
    <mergeCell ref="EL6:EM6"/>
    <mergeCell ref="EO6:EP6"/>
    <mergeCell ref="GO5:GP5"/>
    <mergeCell ref="GO6:GP6"/>
    <mergeCell ref="AY7:AZ7"/>
    <mergeCell ref="BB7:BC7"/>
    <mergeCell ref="BI7:BJ7"/>
    <mergeCell ref="BL7:BM7"/>
    <mergeCell ref="BO7:BP7"/>
    <mergeCell ref="BV7:BW7"/>
    <mergeCell ref="BY7:BZ7"/>
    <mergeCell ref="AV7:AW7"/>
    <mergeCell ref="AV8:AW8"/>
    <mergeCell ref="AY8:AZ8"/>
    <mergeCell ref="BB8:BC8"/>
    <mergeCell ref="BI8:BJ8"/>
    <mergeCell ref="BL8:BM8"/>
    <mergeCell ref="BO8:BP8"/>
    <mergeCell ref="CY8:CZ8"/>
    <mergeCell ref="DB8:DC8"/>
    <mergeCell ref="DI8:DJ8"/>
    <mergeCell ref="DL8:DM8"/>
    <mergeCell ref="DO8:DP8"/>
    <mergeCell ref="DV8:DW8"/>
    <mergeCell ref="DY8:DZ8"/>
    <mergeCell ref="EB8:EC8"/>
    <mergeCell ref="EI8:EJ8"/>
    <mergeCell ref="EL8:EM8"/>
    <mergeCell ref="EO8:EP8"/>
    <mergeCell ref="EV8:EW8"/>
    <mergeCell ref="EY8:EZ8"/>
    <mergeCell ref="FB8:FC8"/>
    <mergeCell ref="FI8:FJ8"/>
    <mergeCell ref="FL8:FM8"/>
    <mergeCell ref="FO8:FP8"/>
    <mergeCell ref="FV8:FW8"/>
    <mergeCell ref="FY8:FZ8"/>
    <mergeCell ref="GB8:GC8"/>
    <mergeCell ref="GI8:GJ8"/>
    <mergeCell ref="HO8:HP8"/>
    <mergeCell ref="HV8:HW8"/>
    <mergeCell ref="HY8:HZ8"/>
    <mergeCell ref="IB8:IC8"/>
    <mergeCell ref="II8:IJ8"/>
    <mergeCell ref="IL8:IM8"/>
    <mergeCell ref="IO8:IP8"/>
    <mergeCell ref="GL8:GM8"/>
    <mergeCell ref="GO8:GP8"/>
    <mergeCell ref="GV8:GW8"/>
    <mergeCell ref="GY8:GZ8"/>
    <mergeCell ref="HB8:HC8"/>
    <mergeCell ref="HI8:HJ8"/>
    <mergeCell ref="HL8:HM8"/>
    <mergeCell ref="BB9:BC9"/>
    <mergeCell ref="BI9:BJ9"/>
    <mergeCell ref="BL9:BM9"/>
    <mergeCell ref="BO9:BP9"/>
    <mergeCell ref="BV9:BW9"/>
    <mergeCell ref="BY9:BZ9"/>
    <mergeCell ref="CB9:CC9"/>
    <mergeCell ref="CI9:CJ9"/>
    <mergeCell ref="CL9:CM9"/>
    <mergeCell ref="CY9:CZ9"/>
    <mergeCell ref="DB9:DC9"/>
    <mergeCell ref="DI9:DJ9"/>
    <mergeCell ref="DL9:DM9"/>
    <mergeCell ref="DO9:DP9"/>
    <mergeCell ref="DV9:DW9"/>
    <mergeCell ref="DY9:DZ9"/>
    <mergeCell ref="EB9:EC9"/>
    <mergeCell ref="EI9:EJ9"/>
    <mergeCell ref="EL9:EM9"/>
    <mergeCell ref="EO9:EP9"/>
    <mergeCell ref="EV9:EW9"/>
    <mergeCell ref="EY9:EZ9"/>
    <mergeCell ref="FB9:FC9"/>
    <mergeCell ref="FI9:FJ9"/>
    <mergeCell ref="FL9:FM9"/>
    <mergeCell ref="FO9:FP9"/>
    <mergeCell ref="FV9:FW9"/>
    <mergeCell ref="FY9:FZ9"/>
    <mergeCell ref="GB9:GC9"/>
    <mergeCell ref="GI9:GJ9"/>
    <mergeCell ref="GL9:GM9"/>
    <mergeCell ref="GO9:GP9"/>
    <mergeCell ref="GV9:GW9"/>
    <mergeCell ref="GY9:GZ9"/>
    <mergeCell ref="HB9:HC9"/>
    <mergeCell ref="IL9:IM9"/>
    <mergeCell ref="IO9:IP9"/>
    <mergeCell ref="HI9:HJ9"/>
    <mergeCell ref="HL9:HM9"/>
    <mergeCell ref="HO9:HP9"/>
    <mergeCell ref="HV9:HW9"/>
    <mergeCell ref="HY9:HZ9"/>
    <mergeCell ref="IB9:IC9"/>
    <mergeCell ref="II9:IJ9"/>
    <mergeCell ref="IB10:IC10"/>
    <mergeCell ref="II10:IJ10"/>
    <mergeCell ref="IL10:IM10"/>
    <mergeCell ref="IO10:IP10"/>
    <mergeCell ref="GY10:GZ10"/>
    <mergeCell ref="HB10:HC10"/>
    <mergeCell ref="HI10:HJ10"/>
    <mergeCell ref="HL10:HM10"/>
    <mergeCell ref="HO10:HP10"/>
    <mergeCell ref="HV10:HW10"/>
    <mergeCell ref="HY10:HZ10"/>
    <mergeCell ref="FY10:FZ10"/>
    <mergeCell ref="FY11:FZ11"/>
    <mergeCell ref="GI10:GJ10"/>
    <mergeCell ref="GI11:GJ11"/>
    <mergeCell ref="GO10:GP10"/>
    <mergeCell ref="GO11:GP11"/>
    <mergeCell ref="FV10:FW10"/>
    <mergeCell ref="GB10:GC10"/>
    <mergeCell ref="GL10:GM10"/>
    <mergeCell ref="GV10:GW10"/>
    <mergeCell ref="FV11:FW11"/>
    <mergeCell ref="GB11:GC11"/>
    <mergeCell ref="GL11:GM11"/>
    <mergeCell ref="HY11:HZ11"/>
    <mergeCell ref="IB11:IC11"/>
    <mergeCell ref="II11:IJ11"/>
    <mergeCell ref="IL11:IM11"/>
    <mergeCell ref="IO11:IP11"/>
    <mergeCell ref="GV11:GW11"/>
    <mergeCell ref="GY11:GZ11"/>
    <mergeCell ref="HB11:HC11"/>
    <mergeCell ref="HI11:HJ11"/>
    <mergeCell ref="HL11:HM11"/>
    <mergeCell ref="HO11:HP11"/>
    <mergeCell ref="HV11:HW11"/>
    <mergeCell ref="V10:W10"/>
    <mergeCell ref="V11:W11"/>
    <mergeCell ref="Y8:Z8"/>
    <mergeCell ref="Y9:Z9"/>
    <mergeCell ref="I10:J10"/>
    <mergeCell ref="O10:P10"/>
    <mergeCell ref="Y10:Z10"/>
    <mergeCell ref="I11:J11"/>
    <mergeCell ref="O11:P11"/>
    <mergeCell ref="Y11:Z11"/>
    <mergeCell ref="AV10:AW10"/>
    <mergeCell ref="AV11:AW11"/>
    <mergeCell ref="AB9:AC9"/>
    <mergeCell ref="AB10:AC10"/>
    <mergeCell ref="AI10:AJ10"/>
    <mergeCell ref="AO10:AP10"/>
    <mergeCell ref="AY10:AZ10"/>
    <mergeCell ref="AI11:AJ11"/>
    <mergeCell ref="AO11:AP11"/>
    <mergeCell ref="AY11:AZ11"/>
    <mergeCell ref="BO10:BP10"/>
    <mergeCell ref="BO11:BP11"/>
    <mergeCell ref="BB10:BC10"/>
    <mergeCell ref="BL10:BM10"/>
    <mergeCell ref="BV10:BW10"/>
    <mergeCell ref="BY10:BZ10"/>
    <mergeCell ref="CB10:CC10"/>
    <mergeCell ref="BB11:BC11"/>
    <mergeCell ref="BL11:BM11"/>
    <mergeCell ref="FL13:FM13"/>
    <mergeCell ref="FO13:FP13"/>
    <mergeCell ref="FV13:FW13"/>
    <mergeCell ref="FY13:FZ13"/>
    <mergeCell ref="GB13:GC13"/>
    <mergeCell ref="GI13:GJ13"/>
    <mergeCell ref="GL13:GM13"/>
    <mergeCell ref="GO13:GP13"/>
    <mergeCell ref="GV13:GW13"/>
    <mergeCell ref="GY13:GZ13"/>
    <mergeCell ref="HB13:HC13"/>
    <mergeCell ref="HI13:HJ13"/>
    <mergeCell ref="HL13:HM13"/>
    <mergeCell ref="HO13:HP13"/>
    <mergeCell ref="BB12:BC12"/>
    <mergeCell ref="BI12:BJ12"/>
    <mergeCell ref="BL12:BM12"/>
    <mergeCell ref="BO12:BP12"/>
    <mergeCell ref="BV12:BW12"/>
    <mergeCell ref="BY12:BZ12"/>
    <mergeCell ref="CB12:CC12"/>
    <mergeCell ref="BY13:BZ13"/>
    <mergeCell ref="CB13:CC13"/>
    <mergeCell ref="AV13:AW13"/>
    <mergeCell ref="AY13:AZ13"/>
    <mergeCell ref="BB13:BC13"/>
    <mergeCell ref="BI13:BJ13"/>
    <mergeCell ref="BL13:BM13"/>
    <mergeCell ref="BO13:BP13"/>
    <mergeCell ref="BV13:BW13"/>
    <mergeCell ref="CI12:CJ12"/>
    <mergeCell ref="CL12:CM12"/>
    <mergeCell ref="CI13:CJ13"/>
    <mergeCell ref="CL13:CM13"/>
    <mergeCell ref="CO13:CP13"/>
    <mergeCell ref="CV13:CW13"/>
    <mergeCell ref="CY13:CZ13"/>
    <mergeCell ref="DB13:DC13"/>
    <mergeCell ref="DI13:DJ13"/>
    <mergeCell ref="DL13:DM13"/>
    <mergeCell ref="DO13:DP13"/>
    <mergeCell ref="DV13:DW13"/>
    <mergeCell ref="DY13:DZ13"/>
    <mergeCell ref="EB13:EC13"/>
    <mergeCell ref="EI13:EJ13"/>
    <mergeCell ref="EL13:EM13"/>
    <mergeCell ref="EO13:EP13"/>
    <mergeCell ref="EV13:EW13"/>
    <mergeCell ref="EY13:EZ13"/>
    <mergeCell ref="FB13:FC13"/>
    <mergeCell ref="FI13:FJ13"/>
    <mergeCell ref="HV13:HW13"/>
    <mergeCell ref="HY13:HZ13"/>
    <mergeCell ref="DV11:DW11"/>
    <mergeCell ref="DY11:DZ11"/>
    <mergeCell ref="CO11:CP11"/>
    <mergeCell ref="CV11:CW11"/>
    <mergeCell ref="CY11:CZ11"/>
    <mergeCell ref="DB11:DC11"/>
    <mergeCell ref="DI11:DJ11"/>
    <mergeCell ref="DL11:DM11"/>
    <mergeCell ref="DO11:DP11"/>
    <mergeCell ref="EI10:EJ10"/>
    <mergeCell ref="EI11:EJ11"/>
    <mergeCell ref="DL10:DM10"/>
    <mergeCell ref="DO10:DP10"/>
    <mergeCell ref="DV10:DW10"/>
    <mergeCell ref="DY10:DZ10"/>
    <mergeCell ref="EB10:EC10"/>
    <mergeCell ref="EL10:EM10"/>
    <mergeCell ref="EB11:EC11"/>
    <mergeCell ref="DL15:DM15"/>
    <mergeCell ref="DO15:DP15"/>
    <mergeCell ref="DV15:DW15"/>
    <mergeCell ref="DY15:DZ15"/>
    <mergeCell ref="EB15:EC15"/>
    <mergeCell ref="EI15:EJ15"/>
    <mergeCell ref="EL15:EM15"/>
    <mergeCell ref="EO15:EP15"/>
    <mergeCell ref="EV15:EW15"/>
    <mergeCell ref="EY15:EZ15"/>
    <mergeCell ref="FB15:FC15"/>
    <mergeCell ref="FI15:FJ15"/>
    <mergeCell ref="FL15:FM15"/>
    <mergeCell ref="FO15:FP15"/>
    <mergeCell ref="FV15:FW15"/>
    <mergeCell ref="FY15:FZ15"/>
    <mergeCell ref="GB15:GC15"/>
    <mergeCell ref="GI15:GJ15"/>
    <mergeCell ref="GL15:GM15"/>
    <mergeCell ref="GO15:GP15"/>
    <mergeCell ref="GV15:GW15"/>
    <mergeCell ref="IB15:IC15"/>
    <mergeCell ref="II15:IJ15"/>
    <mergeCell ref="IL15:IM15"/>
    <mergeCell ref="IO15:IP15"/>
    <mergeCell ref="GY15:GZ15"/>
    <mergeCell ref="HB15:HC15"/>
    <mergeCell ref="HI15:HJ15"/>
    <mergeCell ref="HL15:HM15"/>
    <mergeCell ref="HO15:HP15"/>
    <mergeCell ref="HV15:HW15"/>
    <mergeCell ref="HY15:HZ15"/>
    <mergeCell ref="DV12:DW12"/>
    <mergeCell ref="DY12:DZ12"/>
    <mergeCell ref="CO12:CP12"/>
    <mergeCell ref="CV12:CW12"/>
    <mergeCell ref="CY12:CZ12"/>
    <mergeCell ref="DB12:DC12"/>
    <mergeCell ref="DI12:DJ12"/>
    <mergeCell ref="DL12:DM12"/>
    <mergeCell ref="DO12:DP12"/>
    <mergeCell ref="EO11:EP11"/>
    <mergeCell ref="EV11:EW11"/>
    <mergeCell ref="EY11:EZ11"/>
    <mergeCell ref="FB11:FC11"/>
    <mergeCell ref="FI11:FJ11"/>
    <mergeCell ref="FL11:FM11"/>
    <mergeCell ref="FO11:FP11"/>
    <mergeCell ref="EL11:EM11"/>
    <mergeCell ref="EB12:EC12"/>
    <mergeCell ref="EI12:EJ12"/>
    <mergeCell ref="EL12:EM12"/>
    <mergeCell ref="EO12:EP12"/>
    <mergeCell ref="EV12:EW12"/>
    <mergeCell ref="EY12:EZ12"/>
    <mergeCell ref="FL12:FM12"/>
    <mergeCell ref="FO12:FP12"/>
    <mergeCell ref="FV12:FW12"/>
    <mergeCell ref="FY12:FZ12"/>
    <mergeCell ref="GB12:GC12"/>
    <mergeCell ref="GI12:GJ12"/>
    <mergeCell ref="GL12:GM12"/>
    <mergeCell ref="GO12:GP12"/>
    <mergeCell ref="GV12:GW12"/>
    <mergeCell ref="GY12:GZ12"/>
    <mergeCell ref="HB12:HC12"/>
    <mergeCell ref="HI12:HJ12"/>
    <mergeCell ref="HL12:HM12"/>
    <mergeCell ref="HO12:HP12"/>
    <mergeCell ref="IL12:IM12"/>
    <mergeCell ref="IL13:IM13"/>
    <mergeCell ref="HV12:HW12"/>
    <mergeCell ref="HY12:HZ12"/>
    <mergeCell ref="IB12:IC12"/>
    <mergeCell ref="II12:IJ12"/>
    <mergeCell ref="IO12:IP12"/>
    <mergeCell ref="IB13:IC13"/>
    <mergeCell ref="II13:IJ13"/>
    <mergeCell ref="IO13:IP13"/>
    <mergeCell ref="CI10:CJ10"/>
    <mergeCell ref="CL10:CM10"/>
    <mergeCell ref="CO10:CP10"/>
    <mergeCell ref="CV10:CW10"/>
    <mergeCell ref="CY10:CZ10"/>
    <mergeCell ref="DB10:DC10"/>
    <mergeCell ref="DI10:DJ10"/>
    <mergeCell ref="EO10:EP10"/>
    <mergeCell ref="EV10:EW10"/>
    <mergeCell ref="EY10:EZ10"/>
    <mergeCell ref="FB10:FC10"/>
    <mergeCell ref="FI10:FJ10"/>
    <mergeCell ref="FL10:FM10"/>
    <mergeCell ref="FO10:FP10"/>
    <mergeCell ref="L10:M10"/>
    <mergeCell ref="L11:M11"/>
    <mergeCell ref="I12:J12"/>
    <mergeCell ref="L12:M12"/>
    <mergeCell ref="O12:P12"/>
    <mergeCell ref="AB11:AC11"/>
    <mergeCell ref="AB12:AC12"/>
    <mergeCell ref="AL10:AM10"/>
    <mergeCell ref="AL11:AM11"/>
    <mergeCell ref="AI12:AJ12"/>
    <mergeCell ref="AL12:AM12"/>
    <mergeCell ref="AO12:AP12"/>
    <mergeCell ref="AV12:AW12"/>
    <mergeCell ref="AY12:AZ12"/>
    <mergeCell ref="BI10:BJ10"/>
    <mergeCell ref="BI11:BJ11"/>
    <mergeCell ref="BV11:BW11"/>
    <mergeCell ref="BY11:BZ11"/>
    <mergeCell ref="CB11:CC11"/>
    <mergeCell ref="CI11:CJ11"/>
    <mergeCell ref="CL11:CM11"/>
    <mergeCell ref="FB12:FC12"/>
    <mergeCell ref="FI12:FJ12"/>
    <mergeCell ref="DL14:DM14"/>
    <mergeCell ref="DO14:DP14"/>
    <mergeCell ref="DV14:DW14"/>
    <mergeCell ref="DY14:DZ14"/>
    <mergeCell ref="EB14:EC14"/>
    <mergeCell ref="EI14:EJ14"/>
    <mergeCell ref="EL14:EM14"/>
    <mergeCell ref="EO14:EP14"/>
    <mergeCell ref="EV14:EW14"/>
    <mergeCell ref="EY14:EZ14"/>
    <mergeCell ref="FB14:FC14"/>
    <mergeCell ref="FI14:FJ14"/>
    <mergeCell ref="FL14:FM14"/>
    <mergeCell ref="FO14:FP14"/>
    <mergeCell ref="FV14:FW14"/>
    <mergeCell ref="FY14:FZ14"/>
    <mergeCell ref="GB14:GC14"/>
    <mergeCell ref="GI14:GJ14"/>
    <mergeCell ref="GL14:GM14"/>
    <mergeCell ref="GO14:GP14"/>
    <mergeCell ref="GV14:GW14"/>
    <mergeCell ref="IB14:IC14"/>
    <mergeCell ref="II14:IJ14"/>
    <mergeCell ref="IL14:IM14"/>
    <mergeCell ref="IO14:IP14"/>
    <mergeCell ref="GY14:GZ14"/>
    <mergeCell ref="HB14:HC14"/>
    <mergeCell ref="HI14:HJ14"/>
    <mergeCell ref="HL14:HM14"/>
    <mergeCell ref="HO14:HP14"/>
    <mergeCell ref="HV14:HW14"/>
    <mergeCell ref="HY14:HZ14"/>
    <mergeCell ref="I14:J14"/>
    <mergeCell ref="I15:J15"/>
    <mergeCell ref="L15:M15"/>
    <mergeCell ref="V9:W9"/>
    <mergeCell ref="V12:W12"/>
    <mergeCell ref="I13:J13"/>
    <mergeCell ref="L13:M13"/>
    <mergeCell ref="V13:W13"/>
    <mergeCell ref="L14:M14"/>
    <mergeCell ref="V14:W14"/>
    <mergeCell ref="I5:J5"/>
    <mergeCell ref="O5:P5"/>
    <mergeCell ref="Y5:Z5"/>
    <mergeCell ref="AI5:AJ5"/>
    <mergeCell ref="O6:P6"/>
    <mergeCell ref="Y6:Z6"/>
    <mergeCell ref="AI6:AJ6"/>
    <mergeCell ref="CB7:CC7"/>
    <mergeCell ref="CI7:CJ7"/>
    <mergeCell ref="CL7:CM7"/>
    <mergeCell ref="CO7:CP7"/>
    <mergeCell ref="AB5:AC5"/>
    <mergeCell ref="AB6:AC6"/>
    <mergeCell ref="AB7:AC7"/>
    <mergeCell ref="AI7:AJ7"/>
    <mergeCell ref="AO7:AP7"/>
    <mergeCell ref="AI8:AJ8"/>
    <mergeCell ref="AO8:AP8"/>
    <mergeCell ref="L8:M8"/>
    <mergeCell ref="L9:M9"/>
    <mergeCell ref="I6:J6"/>
    <mergeCell ref="I7:J7"/>
    <mergeCell ref="L7:M7"/>
    <mergeCell ref="O7:P7"/>
    <mergeCell ref="I8:J8"/>
    <mergeCell ref="O8:P8"/>
    <mergeCell ref="I9:J9"/>
    <mergeCell ref="O9:P9"/>
    <mergeCell ref="AL7:AM7"/>
    <mergeCell ref="AL8:AM8"/>
    <mergeCell ref="AI9:AJ9"/>
    <mergeCell ref="AL9:AM9"/>
    <mergeCell ref="AO9:AP9"/>
    <mergeCell ref="AV9:AW9"/>
    <mergeCell ref="AY9:AZ9"/>
    <mergeCell ref="CV8:CW8"/>
    <mergeCell ref="CV9:CW9"/>
    <mergeCell ref="BV8:BW8"/>
    <mergeCell ref="BY8:BZ8"/>
    <mergeCell ref="CB8:CC8"/>
    <mergeCell ref="CI8:CJ8"/>
    <mergeCell ref="CL8:CM8"/>
    <mergeCell ref="CO8:CP8"/>
    <mergeCell ref="CO9:CP9"/>
    <mergeCell ref="DY16:DZ16"/>
    <mergeCell ref="EB16:EC16"/>
    <mergeCell ref="EI16:EJ16"/>
    <mergeCell ref="EL16:EM16"/>
    <mergeCell ref="EO16:EP16"/>
    <mergeCell ref="EV16:EW16"/>
    <mergeCell ref="EY16:EZ16"/>
    <mergeCell ref="FB16:FC16"/>
    <mergeCell ref="FI16:FJ16"/>
    <mergeCell ref="FL16:FM16"/>
    <mergeCell ref="FO16:FP16"/>
    <mergeCell ref="FV16:FW16"/>
    <mergeCell ref="FY16:FZ16"/>
    <mergeCell ref="GB16:GC16"/>
    <mergeCell ref="CB15:CC15"/>
    <mergeCell ref="CI15:CJ15"/>
    <mergeCell ref="AY15:AZ15"/>
    <mergeCell ref="BB15:BC15"/>
    <mergeCell ref="BI15:BJ15"/>
    <mergeCell ref="BL15:BM15"/>
    <mergeCell ref="BO15:BP15"/>
    <mergeCell ref="BV15:BW15"/>
    <mergeCell ref="BY15:BZ15"/>
    <mergeCell ref="I16:J16"/>
    <mergeCell ref="L16:M16"/>
    <mergeCell ref="O16:P16"/>
    <mergeCell ref="V16:W16"/>
    <mergeCell ref="Y16:Z16"/>
    <mergeCell ref="AB16:AC16"/>
    <mergeCell ref="AI16:AJ16"/>
    <mergeCell ref="AL16:AM16"/>
    <mergeCell ref="AO16:AP16"/>
    <mergeCell ref="AV16:AW16"/>
    <mergeCell ref="AY16:AZ16"/>
    <mergeCell ref="BB16:BC16"/>
    <mergeCell ref="BI16:BJ16"/>
    <mergeCell ref="BL16:BM16"/>
    <mergeCell ref="BO16:BP16"/>
    <mergeCell ref="BV16:BW16"/>
    <mergeCell ref="BY16:BZ16"/>
    <mergeCell ref="CB16:CC16"/>
    <mergeCell ref="CI16:CJ16"/>
    <mergeCell ref="CL16:CM16"/>
    <mergeCell ref="CO16:CP16"/>
    <mergeCell ref="CV16:CW16"/>
    <mergeCell ref="CY16:CZ16"/>
    <mergeCell ref="DB16:DC16"/>
    <mergeCell ref="DI16:DJ16"/>
    <mergeCell ref="DL16:DM16"/>
    <mergeCell ref="DO16:DP16"/>
    <mergeCell ref="DV16:DW16"/>
    <mergeCell ref="HL16:HM16"/>
    <mergeCell ref="HO16:HP16"/>
    <mergeCell ref="HV16:HW16"/>
    <mergeCell ref="HY16:HZ16"/>
    <mergeCell ref="IB16:IC16"/>
    <mergeCell ref="II16:IJ16"/>
    <mergeCell ref="IL16:IM16"/>
    <mergeCell ref="IO16:IP16"/>
    <mergeCell ref="GI16:GJ16"/>
    <mergeCell ref="GL16:GM16"/>
    <mergeCell ref="GO16:GP16"/>
    <mergeCell ref="GV16:GW16"/>
    <mergeCell ref="GY16:GZ16"/>
    <mergeCell ref="HB16:HC16"/>
    <mergeCell ref="HI16:HJ16"/>
    <mergeCell ref="Y17:Z17"/>
    <mergeCell ref="AB17:AC17"/>
    <mergeCell ref="AI17:AJ17"/>
    <mergeCell ref="AL17:AM17"/>
    <mergeCell ref="AO17:AP17"/>
    <mergeCell ref="AV17:AW17"/>
    <mergeCell ref="AY17:AZ17"/>
    <mergeCell ref="BB17:BC17"/>
    <mergeCell ref="BI17:BJ17"/>
    <mergeCell ref="CV17:CW17"/>
    <mergeCell ref="CY17:CZ17"/>
    <mergeCell ref="DB17:DC17"/>
    <mergeCell ref="DI17:DJ17"/>
    <mergeCell ref="DL17:DM17"/>
    <mergeCell ref="DO17:DP17"/>
    <mergeCell ref="DV17:DW17"/>
    <mergeCell ref="DY17:DZ17"/>
    <mergeCell ref="EB17:EC17"/>
    <mergeCell ref="EI17:EJ17"/>
    <mergeCell ref="EL17:EM17"/>
    <mergeCell ref="EO17:EP17"/>
    <mergeCell ref="EV17:EW17"/>
    <mergeCell ref="EY17:EZ17"/>
    <mergeCell ref="FB17:FC17"/>
    <mergeCell ref="FI17:FJ17"/>
    <mergeCell ref="FL17:FM17"/>
    <mergeCell ref="FO17:FP17"/>
    <mergeCell ref="FV17:FW17"/>
    <mergeCell ref="FY17:FZ17"/>
    <mergeCell ref="GB17:GC17"/>
    <mergeCell ref="GI17:GJ17"/>
    <mergeCell ref="GL17:GM17"/>
    <mergeCell ref="GO17:GP17"/>
    <mergeCell ref="GV17:GW17"/>
    <mergeCell ref="GY17:GZ17"/>
    <mergeCell ref="II17:IJ17"/>
    <mergeCell ref="IL17:IM17"/>
    <mergeCell ref="IO17:IP17"/>
    <mergeCell ref="HB17:HC17"/>
    <mergeCell ref="HI17:HJ17"/>
    <mergeCell ref="HL17:HM17"/>
    <mergeCell ref="HO17:HP17"/>
    <mergeCell ref="HV17:HW17"/>
    <mergeCell ref="HY17:HZ17"/>
    <mergeCell ref="IB17:IC17"/>
    <mergeCell ref="Y13:Z13"/>
    <mergeCell ref="AB13:AC13"/>
    <mergeCell ref="AI13:AJ13"/>
    <mergeCell ref="AL13:AM13"/>
    <mergeCell ref="AO13:AP13"/>
    <mergeCell ref="V5:W5"/>
    <mergeCell ref="V6:W6"/>
    <mergeCell ref="V7:W7"/>
    <mergeCell ref="Y7:Z7"/>
    <mergeCell ref="V8:W8"/>
    <mergeCell ref="AB8:AC8"/>
    <mergeCell ref="Y12:Z12"/>
    <mergeCell ref="Y14:Z14"/>
    <mergeCell ref="AB14:AC14"/>
    <mergeCell ref="AI14:AJ14"/>
    <mergeCell ref="AL14:AM14"/>
    <mergeCell ref="AO14:AP14"/>
    <mergeCell ref="AV14:AW14"/>
    <mergeCell ref="AY14:AZ14"/>
    <mergeCell ref="V15:W15"/>
    <mergeCell ref="Y15:Z15"/>
    <mergeCell ref="AB15:AC15"/>
    <mergeCell ref="AI15:AJ15"/>
    <mergeCell ref="AL15:AM15"/>
    <mergeCell ref="AO15:AP15"/>
    <mergeCell ref="AV15:AW15"/>
    <mergeCell ref="CO14:CP14"/>
    <mergeCell ref="CO15:CP15"/>
    <mergeCell ref="BL17:BM17"/>
    <mergeCell ref="BO17:BP17"/>
    <mergeCell ref="BV17:BW17"/>
    <mergeCell ref="BY17:BZ17"/>
    <mergeCell ref="CB17:CC17"/>
    <mergeCell ref="CI17:CJ17"/>
    <mergeCell ref="CL17:CM17"/>
    <mergeCell ref="CO17:CP17"/>
    <mergeCell ref="BB14:BC14"/>
    <mergeCell ref="BI14:BJ14"/>
    <mergeCell ref="BL14:BM14"/>
    <mergeCell ref="BO14:BP14"/>
    <mergeCell ref="BV14:BW14"/>
    <mergeCell ref="BY14:BZ14"/>
    <mergeCell ref="CB14:CC14"/>
    <mergeCell ref="FL18:FM18"/>
    <mergeCell ref="FO18:FP18"/>
    <mergeCell ref="FV18:FW18"/>
    <mergeCell ref="FY18:FZ18"/>
    <mergeCell ref="GB18:GC18"/>
    <mergeCell ref="GI18:GJ18"/>
    <mergeCell ref="GL18:GM18"/>
    <mergeCell ref="HV18:HW18"/>
    <mergeCell ref="HY18:HZ18"/>
    <mergeCell ref="IB18:IC18"/>
    <mergeCell ref="II18:IJ18"/>
    <mergeCell ref="IL18:IM18"/>
    <mergeCell ref="IO18:IP18"/>
    <mergeCell ref="GO18:GP18"/>
    <mergeCell ref="GV18:GW18"/>
    <mergeCell ref="GY18:GZ18"/>
    <mergeCell ref="HB18:HC18"/>
    <mergeCell ref="HI18:HJ18"/>
    <mergeCell ref="HL18:HM18"/>
    <mergeCell ref="HO18:HP18"/>
    <mergeCell ref="I19:J19"/>
    <mergeCell ref="L19:M19"/>
    <mergeCell ref="O19:P19"/>
    <mergeCell ref="V19:W19"/>
    <mergeCell ref="Y19:Z19"/>
    <mergeCell ref="AB19:AC19"/>
    <mergeCell ref="AI19:AJ19"/>
    <mergeCell ref="L20:M20"/>
    <mergeCell ref="AL19:AM19"/>
    <mergeCell ref="AO19:AP19"/>
    <mergeCell ref="AV19:AW19"/>
    <mergeCell ref="AY19:AZ19"/>
    <mergeCell ref="BB19:BC19"/>
    <mergeCell ref="BI19:BJ19"/>
    <mergeCell ref="BL19:BM19"/>
    <mergeCell ref="BO19:BP19"/>
    <mergeCell ref="BV19:BW19"/>
    <mergeCell ref="BY19:BZ19"/>
    <mergeCell ref="CB19:CC19"/>
    <mergeCell ref="CI19:CJ19"/>
    <mergeCell ref="CL19:CM19"/>
    <mergeCell ref="CO19:CP19"/>
    <mergeCell ref="CV19:CW19"/>
    <mergeCell ref="CY19:CZ19"/>
    <mergeCell ref="DB19:DC19"/>
    <mergeCell ref="DI19:DJ19"/>
    <mergeCell ref="DL19:DM19"/>
    <mergeCell ref="DO19:DP19"/>
    <mergeCell ref="DV19:DW19"/>
    <mergeCell ref="DY19:DZ19"/>
    <mergeCell ref="EB19:EC19"/>
    <mergeCell ref="EI19:EJ19"/>
    <mergeCell ref="EL19:EM19"/>
    <mergeCell ref="EO19:EP19"/>
    <mergeCell ref="EV19:EW19"/>
    <mergeCell ref="EY19:EZ19"/>
    <mergeCell ref="FB19:FC19"/>
    <mergeCell ref="FI19:FJ19"/>
    <mergeCell ref="FL19:FM19"/>
    <mergeCell ref="FO19:FP19"/>
    <mergeCell ref="FV19:FW19"/>
    <mergeCell ref="FY19:FZ19"/>
    <mergeCell ref="GB19:GC19"/>
    <mergeCell ref="HL19:HM19"/>
    <mergeCell ref="HO19:HP19"/>
    <mergeCell ref="HV19:HW19"/>
    <mergeCell ref="HY19:HZ19"/>
    <mergeCell ref="IB19:IC19"/>
    <mergeCell ref="II19:IJ19"/>
    <mergeCell ref="IL19:IM19"/>
    <mergeCell ref="IO19:IP19"/>
    <mergeCell ref="GI19:GJ19"/>
    <mergeCell ref="GL19:GM19"/>
    <mergeCell ref="GO19:GP19"/>
    <mergeCell ref="GV19:GW19"/>
    <mergeCell ref="GY19:GZ19"/>
    <mergeCell ref="HB19:HC19"/>
    <mergeCell ref="HI19:HJ19"/>
    <mergeCell ref="V117:W117"/>
    <mergeCell ref="V118:W118"/>
    <mergeCell ref="V119:W119"/>
    <mergeCell ref="Y119:Z119"/>
    <mergeCell ref="V120:W120"/>
    <mergeCell ref="Y120:Z120"/>
    <mergeCell ref="AB120:AC120"/>
    <mergeCell ref="AB117:AC117"/>
    <mergeCell ref="AB118:AC118"/>
    <mergeCell ref="AB119:AC119"/>
    <mergeCell ref="AI119:AJ119"/>
    <mergeCell ref="AO119:AP119"/>
    <mergeCell ref="AI120:AJ120"/>
    <mergeCell ref="AO120:AP120"/>
    <mergeCell ref="AB113:AC113"/>
    <mergeCell ref="AB114:AC114"/>
    <mergeCell ref="AB115:AC115"/>
    <mergeCell ref="AI115:AJ115"/>
    <mergeCell ref="AO115:AP115"/>
    <mergeCell ref="AI116:AJ116"/>
    <mergeCell ref="AO116:AP116"/>
    <mergeCell ref="V113:W113"/>
    <mergeCell ref="V114:W114"/>
    <mergeCell ref="V115:W115"/>
    <mergeCell ref="Y115:Z115"/>
    <mergeCell ref="V116:W116"/>
    <mergeCell ref="Y116:Z116"/>
    <mergeCell ref="AB116:AC116"/>
    <mergeCell ref="AL117:AM117"/>
    <mergeCell ref="AO117:AP117"/>
    <mergeCell ref="AV117:AW117"/>
    <mergeCell ref="AY117:AZ117"/>
    <mergeCell ref="BB117:BC117"/>
    <mergeCell ref="BI117:BJ117"/>
    <mergeCell ref="BL117:BM117"/>
    <mergeCell ref="BO117:BP117"/>
    <mergeCell ref="L117:M117"/>
    <mergeCell ref="L118:M118"/>
    <mergeCell ref="I119:J119"/>
    <mergeCell ref="L119:M119"/>
    <mergeCell ref="O119:P119"/>
    <mergeCell ref="I120:J120"/>
    <mergeCell ref="L120:M120"/>
    <mergeCell ref="O120:P120"/>
    <mergeCell ref="I117:J117"/>
    <mergeCell ref="O117:P117"/>
    <mergeCell ref="Y117:Z117"/>
    <mergeCell ref="AI117:AJ117"/>
    <mergeCell ref="I118:J118"/>
    <mergeCell ref="O118:P118"/>
    <mergeCell ref="Y118:Z118"/>
    <mergeCell ref="AL119:AM119"/>
    <mergeCell ref="AL120:AM120"/>
    <mergeCell ref="AV119:AW119"/>
    <mergeCell ref="AV120:AW120"/>
    <mergeCell ref="AY120:AZ120"/>
    <mergeCell ref="BB120:BC120"/>
    <mergeCell ref="BI120:BJ120"/>
    <mergeCell ref="BL120:BM120"/>
    <mergeCell ref="BO120:BP120"/>
    <mergeCell ref="DV115:DW115"/>
    <mergeCell ref="DV116:DW116"/>
    <mergeCell ref="EB115:EC115"/>
    <mergeCell ref="EB116:EC116"/>
    <mergeCell ref="DI115:DJ115"/>
    <mergeCell ref="DO115:DP115"/>
    <mergeCell ref="DY115:DZ115"/>
    <mergeCell ref="EI115:EJ115"/>
    <mergeCell ref="DI116:DJ116"/>
    <mergeCell ref="DO116:DP116"/>
    <mergeCell ref="DY116:DZ116"/>
    <mergeCell ref="EI116:EJ116"/>
    <mergeCell ref="EL116:EM116"/>
    <mergeCell ref="EO116:EP116"/>
    <mergeCell ref="EV116:EW116"/>
    <mergeCell ref="EY116:EZ116"/>
    <mergeCell ref="FB116:FC116"/>
    <mergeCell ref="FI116:FJ116"/>
    <mergeCell ref="FL116:FM116"/>
    <mergeCell ref="FO116:FP116"/>
    <mergeCell ref="FV116:FW116"/>
    <mergeCell ref="FY116:FZ116"/>
    <mergeCell ref="GB116:GC116"/>
    <mergeCell ref="GI116:GJ116"/>
    <mergeCell ref="GL116:GM116"/>
    <mergeCell ref="HV116:HW116"/>
    <mergeCell ref="HY116:HZ116"/>
    <mergeCell ref="IB116:IC116"/>
    <mergeCell ref="II116:IJ116"/>
    <mergeCell ref="IL116:IM116"/>
    <mergeCell ref="IO116:IP116"/>
    <mergeCell ref="GO116:GP116"/>
    <mergeCell ref="GV116:GW116"/>
    <mergeCell ref="GY116:GZ116"/>
    <mergeCell ref="HB116:HC116"/>
    <mergeCell ref="HI116:HJ116"/>
    <mergeCell ref="HL116:HM116"/>
    <mergeCell ref="HO116:HP116"/>
    <mergeCell ref="I114:J114"/>
    <mergeCell ref="I115:J115"/>
    <mergeCell ref="L115:M115"/>
    <mergeCell ref="O115:P115"/>
    <mergeCell ref="I116:J116"/>
    <mergeCell ref="L116:M116"/>
    <mergeCell ref="O116:P116"/>
    <mergeCell ref="I113:J113"/>
    <mergeCell ref="O113:P113"/>
    <mergeCell ref="Y113:Z113"/>
    <mergeCell ref="AI113:AJ113"/>
    <mergeCell ref="O114:P114"/>
    <mergeCell ref="Y114:Z114"/>
    <mergeCell ref="AI114:AJ114"/>
    <mergeCell ref="AY115:AZ115"/>
    <mergeCell ref="BB115:BC115"/>
    <mergeCell ref="BI115:BJ115"/>
    <mergeCell ref="BL115:BM115"/>
    <mergeCell ref="BO115:BP115"/>
    <mergeCell ref="BV115:BW115"/>
    <mergeCell ref="BY115:BZ115"/>
    <mergeCell ref="CB115:CC115"/>
    <mergeCell ref="CI115:CJ115"/>
    <mergeCell ref="CL115:CM115"/>
    <mergeCell ref="CO115:CP115"/>
    <mergeCell ref="CV115:CW115"/>
    <mergeCell ref="CY115:CZ115"/>
    <mergeCell ref="DB115:DC115"/>
    <mergeCell ref="AL115:AM115"/>
    <mergeCell ref="AL116:AM116"/>
    <mergeCell ref="AV115:AW115"/>
    <mergeCell ref="AV116:AW116"/>
    <mergeCell ref="AY116:AZ116"/>
    <mergeCell ref="BB116:BC116"/>
    <mergeCell ref="BI116:BJ116"/>
    <mergeCell ref="BL116:BM116"/>
    <mergeCell ref="BO116:BP116"/>
    <mergeCell ref="DL115:DM115"/>
    <mergeCell ref="DL116:DM116"/>
    <mergeCell ref="EY117:EZ117"/>
    <mergeCell ref="FB117:FC117"/>
    <mergeCell ref="FI117:FJ117"/>
    <mergeCell ref="FL117:FM117"/>
    <mergeCell ref="FO117:FP117"/>
    <mergeCell ref="FV117:FW117"/>
    <mergeCell ref="FY117:FZ117"/>
    <mergeCell ref="GB117:GC117"/>
    <mergeCell ref="GI117:GJ117"/>
    <mergeCell ref="GL117:GM117"/>
    <mergeCell ref="GO117:GP117"/>
    <mergeCell ref="GV117:GW117"/>
    <mergeCell ref="GY117:GZ117"/>
    <mergeCell ref="HB117:HC117"/>
    <mergeCell ref="BY116:BZ116"/>
    <mergeCell ref="BY117:BZ117"/>
    <mergeCell ref="CI116:CJ116"/>
    <mergeCell ref="CI117:CJ117"/>
    <mergeCell ref="CO116:CP116"/>
    <mergeCell ref="CO117:CP117"/>
    <mergeCell ref="BV116:BW116"/>
    <mergeCell ref="CB116:CC116"/>
    <mergeCell ref="CL116:CM116"/>
    <mergeCell ref="CV116:CW116"/>
    <mergeCell ref="BV117:BW117"/>
    <mergeCell ref="CB117:CC117"/>
    <mergeCell ref="CL117:CM117"/>
    <mergeCell ref="CV117:CW117"/>
    <mergeCell ref="CY116:CZ116"/>
    <mergeCell ref="DB116:DC116"/>
    <mergeCell ref="CY117:CZ117"/>
    <mergeCell ref="DB117:DC117"/>
    <mergeCell ref="DI117:DJ117"/>
    <mergeCell ref="DL117:DM117"/>
    <mergeCell ref="DO117:DP117"/>
    <mergeCell ref="DV117:DW117"/>
    <mergeCell ref="DY117:DZ117"/>
    <mergeCell ref="EB117:EC117"/>
    <mergeCell ref="EI117:EJ117"/>
    <mergeCell ref="EL117:EM117"/>
    <mergeCell ref="EO117:EP117"/>
    <mergeCell ref="EV117:EW117"/>
    <mergeCell ref="IL117:IM117"/>
    <mergeCell ref="IO117:IP117"/>
    <mergeCell ref="HI117:HJ117"/>
    <mergeCell ref="HL117:HM117"/>
    <mergeCell ref="HO117:HP117"/>
    <mergeCell ref="HV117:HW117"/>
    <mergeCell ref="HY117:HZ117"/>
    <mergeCell ref="IB117:IC117"/>
    <mergeCell ref="II117:IJ117"/>
    <mergeCell ref="AI118:AJ118"/>
    <mergeCell ref="AL118:AM118"/>
    <mergeCell ref="AO118:AP118"/>
    <mergeCell ref="AV118:AW118"/>
    <mergeCell ref="AY118:AZ118"/>
    <mergeCell ref="BB118:BC118"/>
    <mergeCell ref="BI118:BJ118"/>
    <mergeCell ref="BL118:BM118"/>
    <mergeCell ref="BO118:BP118"/>
    <mergeCell ref="BV118:BW118"/>
    <mergeCell ref="BY118:BZ118"/>
    <mergeCell ref="CB118:CC118"/>
    <mergeCell ref="CI118:CJ118"/>
    <mergeCell ref="CL118:CM118"/>
    <mergeCell ref="CO118:CP118"/>
    <mergeCell ref="CV118:CW118"/>
    <mergeCell ref="CY118:CZ118"/>
    <mergeCell ref="DB118:DC118"/>
    <mergeCell ref="DI118:DJ118"/>
    <mergeCell ref="DL118:DM118"/>
    <mergeCell ref="DO118:DP118"/>
    <mergeCell ref="DV118:DW118"/>
    <mergeCell ref="DY118:DZ118"/>
    <mergeCell ref="EB118:EC118"/>
    <mergeCell ref="EI118:EJ118"/>
    <mergeCell ref="EL118:EM118"/>
    <mergeCell ref="EO118:EP118"/>
    <mergeCell ref="EV118:EW118"/>
    <mergeCell ref="EY118:EZ118"/>
    <mergeCell ref="FB118:FC118"/>
    <mergeCell ref="FI118:FJ118"/>
    <mergeCell ref="FL118:FM118"/>
    <mergeCell ref="FO118:FP118"/>
    <mergeCell ref="FV118:FW118"/>
    <mergeCell ref="FY118:FZ118"/>
    <mergeCell ref="GB118:GC118"/>
    <mergeCell ref="GI118:GJ118"/>
    <mergeCell ref="GL118:GM118"/>
    <mergeCell ref="GO118:GP118"/>
    <mergeCell ref="GV118:GW118"/>
    <mergeCell ref="GY118:GZ118"/>
    <mergeCell ref="HB118:HC118"/>
    <mergeCell ref="IL118:IM118"/>
    <mergeCell ref="IO118:IP118"/>
    <mergeCell ref="HI118:HJ118"/>
    <mergeCell ref="HL118:HM118"/>
    <mergeCell ref="HO118:HP118"/>
    <mergeCell ref="HV118:HW118"/>
    <mergeCell ref="HY118:HZ118"/>
    <mergeCell ref="IB118:IC118"/>
    <mergeCell ref="II118:IJ118"/>
    <mergeCell ref="AY119:AZ119"/>
    <mergeCell ref="BB119:BC119"/>
    <mergeCell ref="BI119:BJ119"/>
    <mergeCell ref="BL119:BM119"/>
    <mergeCell ref="BO119:BP119"/>
    <mergeCell ref="BV119:BW119"/>
    <mergeCell ref="BY119:BZ119"/>
    <mergeCell ref="CB119:CC119"/>
    <mergeCell ref="CI119:CJ119"/>
    <mergeCell ref="CL119:CM119"/>
    <mergeCell ref="CO119:CP119"/>
    <mergeCell ref="CV119:CW119"/>
    <mergeCell ref="CY119:CZ119"/>
    <mergeCell ref="DB119:DC119"/>
    <mergeCell ref="DI119:DJ119"/>
    <mergeCell ref="DL119:DM119"/>
    <mergeCell ref="DO119:DP119"/>
    <mergeCell ref="DV119:DW119"/>
    <mergeCell ref="DY119:DZ119"/>
    <mergeCell ref="EB119:EC119"/>
    <mergeCell ref="EI119:EJ119"/>
    <mergeCell ref="EL119:EM119"/>
    <mergeCell ref="EO119:EP119"/>
    <mergeCell ref="EV119:EW119"/>
    <mergeCell ref="EY119:EZ119"/>
    <mergeCell ref="FB119:FC119"/>
    <mergeCell ref="FI119:FJ119"/>
    <mergeCell ref="FL119:FM119"/>
    <mergeCell ref="FO119:FP119"/>
    <mergeCell ref="FV119:FW119"/>
    <mergeCell ref="FY119:FZ119"/>
    <mergeCell ref="GB119:GC119"/>
    <mergeCell ref="GI119:GJ119"/>
    <mergeCell ref="GL119:GM119"/>
    <mergeCell ref="GO119:GP119"/>
    <mergeCell ref="HY119:HZ119"/>
    <mergeCell ref="IB119:IC119"/>
    <mergeCell ref="II119:IJ119"/>
    <mergeCell ref="IL119:IM119"/>
    <mergeCell ref="IO119:IP119"/>
    <mergeCell ref="GV119:GW119"/>
    <mergeCell ref="GY119:GZ119"/>
    <mergeCell ref="HB119:HC119"/>
    <mergeCell ref="HI119:HJ119"/>
    <mergeCell ref="HL119:HM119"/>
    <mergeCell ref="HO119:HP119"/>
    <mergeCell ref="HV119:HW119"/>
    <mergeCell ref="BV120:BW120"/>
    <mergeCell ref="BY120:BZ120"/>
    <mergeCell ref="CB120:CC120"/>
    <mergeCell ref="CI120:CJ120"/>
    <mergeCell ref="CL120:CM120"/>
    <mergeCell ref="CO120:CP120"/>
    <mergeCell ref="CV120:CW120"/>
    <mergeCell ref="CY120:CZ120"/>
    <mergeCell ref="DB120:DC120"/>
    <mergeCell ref="DI120:DJ120"/>
    <mergeCell ref="DL120:DM120"/>
    <mergeCell ref="DO120:DP120"/>
    <mergeCell ref="DV120:DW120"/>
    <mergeCell ref="DY120:DZ120"/>
    <mergeCell ref="EB120:EC120"/>
    <mergeCell ref="EI120:EJ120"/>
    <mergeCell ref="EL120:EM120"/>
    <mergeCell ref="EO120:EP120"/>
    <mergeCell ref="EV120:EW120"/>
    <mergeCell ref="EY120:EZ120"/>
    <mergeCell ref="FB120:FC120"/>
    <mergeCell ref="FI120:FJ120"/>
    <mergeCell ref="FL120:FM120"/>
    <mergeCell ref="FO120:FP120"/>
    <mergeCell ref="FV120:FW120"/>
    <mergeCell ref="FY120:FZ120"/>
    <mergeCell ref="GB120:GC120"/>
    <mergeCell ref="GI120:GJ120"/>
    <mergeCell ref="HO120:HP120"/>
    <mergeCell ref="HV120:HW120"/>
    <mergeCell ref="HY120:HZ120"/>
    <mergeCell ref="IB120:IC120"/>
    <mergeCell ref="II120:IJ120"/>
    <mergeCell ref="IL120:IM120"/>
    <mergeCell ref="IO120:IP120"/>
    <mergeCell ref="GL120:GM120"/>
    <mergeCell ref="GO120:GP120"/>
    <mergeCell ref="GV120:GW120"/>
    <mergeCell ref="GY120:GZ120"/>
    <mergeCell ref="HB120:HC120"/>
    <mergeCell ref="HI120:HJ120"/>
    <mergeCell ref="HL120:HM120"/>
  </mergeCells>
  <dataValidations>
    <dataValidation type="list" allowBlank="1" showErrorMessage="1" sqref="C5:C18 C20:C33 C35:C48 C50:C63">
      <formula1>MA_DUAN</formula1>
    </dataValidation>
    <dataValidation type="list" allowBlank="1" showErrorMessage="1" sqref="E5:E121">
      <formula1>MA_KM</formula1>
    </dataValidation>
  </dataValidation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4.43" defaultRowHeight="15.0" outlineLevelCol="1" outlineLevelRow="1"/>
  <cols>
    <col collapsed="1" customWidth="1" min="1" max="1" width="7.0"/>
    <col customWidth="1" hidden="1" min="2" max="2" width="19.71" outlineLevel="1"/>
    <col customWidth="1" hidden="1" min="3" max="3" width="21.0" outlineLevel="1"/>
    <col collapsed="1" customWidth="1" min="4" max="4" width="37.57"/>
    <col customWidth="1" hidden="1" min="5" max="5" width="16.0" outlineLevel="1"/>
    <col customWidth="1" hidden="1" min="6" max="6" width="11.14" outlineLevel="1"/>
    <col customWidth="1" hidden="1" min="7" max="7" width="5.0" outlineLevel="1"/>
    <col customWidth="1" min="8" max="8" width="15.71"/>
    <col customWidth="1" min="9" max="9" width="6.43"/>
    <col customWidth="1" min="10" max="10" width="7.57"/>
    <col customWidth="1" min="12" max="13" width="7.0"/>
    <col customWidth="1" min="15" max="15" width="6.43"/>
    <col customWidth="1" min="16" max="16" width="7.57"/>
    <col customWidth="1" min="18" max="18" width="6.43"/>
    <col customWidth="1" min="19" max="19" width="6.71"/>
    <col customWidth="1" min="21" max="21" width="6.43"/>
    <col customWidth="1" min="22" max="22" width="7.14"/>
    <col customWidth="1" min="24" max="24" width="6.43"/>
    <col customWidth="1" min="25" max="25" width="8.29"/>
    <col customWidth="1" min="27" max="27" width="6.43"/>
    <col customWidth="1" min="28" max="28" width="7.29"/>
    <col customWidth="1" min="30" max="30" width="6.43"/>
    <col customWidth="1" min="31" max="31" width="7.14"/>
    <col customWidth="1" min="33" max="33" width="6.43"/>
    <col customWidth="1" min="34" max="34" width="6.71"/>
    <col customWidth="1" min="36" max="36" width="6.43"/>
    <col customWidth="1" min="37" max="37" width="7.0"/>
    <col customWidth="1" min="39" max="39" width="6.43"/>
    <col customWidth="1" min="40" max="40" width="7.43"/>
    <col customWidth="1" min="41" max="41" width="8.0"/>
    <col customWidth="1" min="43" max="43" width="6.43"/>
    <col customWidth="1" min="44" max="44" width="7.43"/>
    <col customWidth="1" min="46" max="46" width="6.43"/>
    <col customWidth="1" min="47" max="47" width="7.14"/>
    <col customWidth="1" min="49" max="49" width="6.43"/>
    <col customWidth="1" min="50" max="50" width="7.57"/>
    <col customWidth="1" min="52" max="52" width="6.43"/>
    <col customWidth="1" min="53" max="53" width="7.0"/>
    <col customWidth="1" min="55" max="55" width="6.43"/>
    <col customWidth="1" min="56" max="56" width="7.29"/>
    <col customWidth="1" min="58" max="58" width="6.43"/>
    <col customWidth="1" min="59" max="59" width="7.43"/>
    <col customWidth="1" min="61" max="61" width="6.43"/>
    <col customWidth="1" min="62" max="62" width="7.43"/>
    <col customWidth="1" min="63" max="63" width="16.0"/>
    <col customWidth="1" min="64" max="64" width="4.71"/>
    <col customWidth="1" min="65" max="65" width="7.29"/>
  </cols>
  <sheetData>
    <row r="1">
      <c r="A1" s="1060" t="s">
        <v>2802</v>
      </c>
      <c r="B1" s="1061"/>
      <c r="C1" s="1061"/>
      <c r="D1" s="1061"/>
      <c r="E1" s="1061"/>
      <c r="F1" s="1061"/>
      <c r="G1" s="1061"/>
      <c r="H1" s="1062"/>
      <c r="I1" s="1063"/>
      <c r="J1" s="1063"/>
      <c r="K1" s="1062"/>
      <c r="L1" s="1064"/>
      <c r="M1" s="1064"/>
      <c r="N1" s="1064"/>
      <c r="O1" s="1064"/>
      <c r="P1" s="1064"/>
      <c r="Q1" s="1064"/>
      <c r="R1" s="1064"/>
      <c r="S1" s="1064"/>
      <c r="T1" s="1064"/>
      <c r="U1" s="1064"/>
      <c r="V1" s="1064"/>
      <c r="W1" s="1064"/>
      <c r="X1" s="1064"/>
      <c r="Y1" s="1064"/>
      <c r="Z1" s="1064"/>
      <c r="AA1" s="1064"/>
      <c r="AB1" s="1064"/>
      <c r="AC1" s="1064"/>
      <c r="AD1" s="1064"/>
      <c r="AE1" s="1064"/>
      <c r="AF1" s="1064"/>
      <c r="AG1" s="1064"/>
      <c r="AH1" s="1064"/>
      <c r="AI1" s="1064"/>
      <c r="AJ1" s="1064"/>
      <c r="AK1" s="1064"/>
      <c r="AL1" s="1061"/>
      <c r="AM1" s="1061"/>
      <c r="AN1" s="1061"/>
      <c r="AO1" s="1061"/>
      <c r="AP1" s="1061"/>
      <c r="AQ1" s="1061"/>
      <c r="AR1" s="1061"/>
      <c r="AS1" s="1061"/>
      <c r="AT1" s="1061"/>
      <c r="AU1" s="1061"/>
      <c r="AV1" s="1061"/>
      <c r="AW1" s="1061"/>
      <c r="AX1" s="1061"/>
      <c r="AY1" s="1061"/>
      <c r="AZ1" s="1061"/>
      <c r="BA1" s="1061"/>
      <c r="BB1" s="1061"/>
      <c r="BC1" s="1061"/>
      <c r="BD1" s="1061"/>
      <c r="BE1" s="1061"/>
      <c r="BF1" s="1061"/>
      <c r="BG1" s="1061"/>
      <c r="BH1" s="1061"/>
      <c r="BI1" s="1061"/>
      <c r="BJ1" s="1061"/>
      <c r="BK1" s="1061">
        <f>COLUMN()</f>
        <v>63</v>
      </c>
      <c r="BL1" s="1061"/>
      <c r="BM1" s="1061"/>
    </row>
    <row r="2">
      <c r="A2" s="1066"/>
      <c r="B2" s="1066" t="s">
        <v>2209</v>
      </c>
      <c r="C2" s="1066" t="s">
        <v>2803</v>
      </c>
      <c r="D2" s="1067" t="s">
        <v>2804</v>
      </c>
      <c r="E2" s="1066"/>
      <c r="F2" s="1068" t="s">
        <v>2805</v>
      </c>
      <c r="G2" s="1066"/>
      <c r="H2" s="1069">
        <v>44562.0</v>
      </c>
      <c r="I2" s="454"/>
      <c r="J2" s="3"/>
      <c r="K2" s="1069">
        <v>44593.0</v>
      </c>
      <c r="L2" s="454"/>
      <c r="M2" s="3"/>
      <c r="N2" s="1069">
        <v>44621.0</v>
      </c>
      <c r="O2" s="454"/>
      <c r="P2" s="3"/>
      <c r="Q2" s="1069" t="s">
        <v>2806</v>
      </c>
      <c r="R2" s="454"/>
      <c r="S2" s="3"/>
      <c r="T2" s="1069">
        <v>44652.0</v>
      </c>
      <c r="U2" s="454"/>
      <c r="V2" s="3"/>
      <c r="W2" s="1069">
        <v>44682.0</v>
      </c>
      <c r="X2" s="454"/>
      <c r="Y2" s="3"/>
      <c r="Z2" s="1069">
        <v>44713.0</v>
      </c>
      <c r="AA2" s="454"/>
      <c r="AB2" s="3"/>
      <c r="AC2" s="1069" t="s">
        <v>2807</v>
      </c>
      <c r="AD2" s="454"/>
      <c r="AE2" s="3"/>
      <c r="AF2" s="1069" t="s">
        <v>2808</v>
      </c>
      <c r="AG2" s="454"/>
      <c r="AH2" s="3"/>
      <c r="AI2" s="1069">
        <v>44743.0</v>
      </c>
      <c r="AJ2" s="454"/>
      <c r="AK2" s="3"/>
      <c r="AL2" s="1069">
        <v>44774.0</v>
      </c>
      <c r="AM2" s="454"/>
      <c r="AN2" s="454"/>
      <c r="AO2" s="3"/>
      <c r="AP2" s="1069">
        <v>44805.0</v>
      </c>
      <c r="AQ2" s="454"/>
      <c r="AR2" s="3"/>
      <c r="AS2" s="1069" t="s">
        <v>2809</v>
      </c>
      <c r="AT2" s="454"/>
      <c r="AU2" s="3"/>
      <c r="AV2" s="1069">
        <v>44835.0</v>
      </c>
      <c r="AW2" s="454"/>
      <c r="AX2" s="3"/>
      <c r="AY2" s="1069">
        <v>44866.0</v>
      </c>
      <c r="AZ2" s="454"/>
      <c r="BA2" s="3"/>
      <c r="BB2" s="1069">
        <v>44896.0</v>
      </c>
      <c r="BC2" s="454"/>
      <c r="BD2" s="3"/>
      <c r="BE2" s="1069" t="s">
        <v>2810</v>
      </c>
      <c r="BF2" s="454"/>
      <c r="BG2" s="3"/>
      <c r="BH2" s="1069" t="s">
        <v>2811</v>
      </c>
      <c r="BI2" s="454"/>
      <c r="BJ2" s="3"/>
      <c r="BK2" s="1069" t="s">
        <v>2812</v>
      </c>
      <c r="BL2" s="454"/>
      <c r="BM2" s="3"/>
    </row>
    <row r="3">
      <c r="A3" s="1165" t="s">
        <v>2883</v>
      </c>
      <c r="B3" s="1074"/>
      <c r="C3" s="1074"/>
      <c r="D3" s="1074"/>
      <c r="E3" s="1075"/>
      <c r="F3" s="1076">
        <v>0.0</v>
      </c>
      <c r="G3" s="1076">
        <v>1.0</v>
      </c>
      <c r="H3" s="1077" t="str">
        <f>SUMIF(#REF!,$G$3,#REF!)</f>
        <v>#N/A</v>
      </c>
      <c r="I3" s="1078" t="s">
        <v>2819</v>
      </c>
      <c r="J3" s="1078" t="s">
        <v>2820</v>
      </c>
      <c r="K3" s="1077" t="str">
        <f>SUMIF(#REF!,$G$3,#REF!)</f>
        <v>#N/A</v>
      </c>
      <c r="L3" s="1078" t="s">
        <v>2819</v>
      </c>
      <c r="M3" s="1078" t="s">
        <v>2820</v>
      </c>
      <c r="N3" s="1077" t="str">
        <f>SUMIF(#REF!,$G$3,#REF!)</f>
        <v>#N/A</v>
      </c>
      <c r="O3" s="1078" t="s">
        <v>2819</v>
      </c>
      <c r="P3" s="1078" t="s">
        <v>2820</v>
      </c>
      <c r="Q3" s="1077" t="str">
        <f>SUMIF(#REF!,$G$3,#REF!)</f>
        <v>#N/A</v>
      </c>
      <c r="R3" s="1078" t="s">
        <v>2819</v>
      </c>
      <c r="S3" s="1078" t="s">
        <v>2820</v>
      </c>
      <c r="T3" s="1077" t="str">
        <f>SUMIF(#REF!,$G$3,#REF!)</f>
        <v>#N/A</v>
      </c>
      <c r="U3" s="1078" t="s">
        <v>2819</v>
      </c>
      <c r="V3" s="1078" t="s">
        <v>2820</v>
      </c>
      <c r="W3" s="1077" t="str">
        <f>SUMIF(#REF!,$G$3,#REF!)</f>
        <v>#N/A</v>
      </c>
      <c r="X3" s="1078" t="s">
        <v>2056</v>
      </c>
      <c r="Y3" s="1078">
        <v>1.0000000000000002</v>
      </c>
      <c r="Z3" s="1077" t="str">
        <f>SUMIF(#REF!,$G$3,#REF!)</f>
        <v>#N/A</v>
      </c>
      <c r="AA3" s="1078" t="s">
        <v>2819</v>
      </c>
      <c r="AB3" s="1078" t="s">
        <v>2820</v>
      </c>
      <c r="AC3" s="1077" t="str">
        <f>SUMIF(#REF!,$G$3,#REF!)</f>
        <v>#N/A</v>
      </c>
      <c r="AD3" s="1078" t="s">
        <v>2819</v>
      </c>
      <c r="AE3" s="1078" t="s">
        <v>2820</v>
      </c>
      <c r="AF3" s="1077" t="str">
        <f>SUMIF(#REF!,$G$3,#REF!)</f>
        <v>#N/A</v>
      </c>
      <c r="AG3" s="1078" t="s">
        <v>2819</v>
      </c>
      <c r="AH3" s="1078" t="s">
        <v>2820</v>
      </c>
      <c r="AI3" s="1077" t="str">
        <f>SUMIF(#REF!,$G$3,#REF!)</f>
        <v>#N/A</v>
      </c>
      <c r="AJ3" s="1078" t="s">
        <v>2819</v>
      </c>
      <c r="AK3" s="1078" t="s">
        <v>2820</v>
      </c>
      <c r="AL3" s="1077" t="str">
        <f>SUMIF(#REF!,$G$3,#REF!)</f>
        <v>#N/A</v>
      </c>
      <c r="AM3" s="1078" t="s">
        <v>2819</v>
      </c>
      <c r="AN3" s="1078" t="s">
        <v>2820</v>
      </c>
      <c r="AO3" s="1079" t="s">
        <v>2056</v>
      </c>
      <c r="AP3" s="1077" t="str">
        <f>SUMIF(#REF!,$G$3,#REF!)</f>
        <v>#N/A</v>
      </c>
      <c r="AQ3" s="1078" t="s">
        <v>2819</v>
      </c>
      <c r="AR3" s="1078" t="s">
        <v>2820</v>
      </c>
      <c r="AS3" s="1077" t="str">
        <f>SUMIF(#REF!,$G$3,#REF!)</f>
        <v>#N/A</v>
      </c>
      <c r="AT3" s="1078" t="s">
        <v>2819</v>
      </c>
      <c r="AU3" s="1078" t="s">
        <v>2820</v>
      </c>
      <c r="AV3" s="1077" t="str">
        <f>SUMIF(#REF!,$G$3,#REF!)</f>
        <v>#N/A</v>
      </c>
      <c r="AW3" s="1078" t="s">
        <v>2819</v>
      </c>
      <c r="AX3" s="1078" t="s">
        <v>2820</v>
      </c>
      <c r="AY3" s="1077" t="str">
        <f>SUMIF(#REF!,$G$3,#REF!)</f>
        <v>#N/A</v>
      </c>
      <c r="AZ3" s="1078" t="s">
        <v>2819</v>
      </c>
      <c r="BA3" s="1078" t="s">
        <v>2820</v>
      </c>
      <c r="BB3" s="1077" t="str">
        <f>SUMIF(#REF!,$G$3,#REF!)</f>
        <v>#N/A</v>
      </c>
      <c r="BC3" s="1078" t="s">
        <v>2819</v>
      </c>
      <c r="BD3" s="1078" t="s">
        <v>2820</v>
      </c>
      <c r="BE3" s="1077" t="str">
        <f>SUMIF(#REF!,$G$3,#REF!)</f>
        <v>#N/A</v>
      </c>
      <c r="BF3" s="1078" t="s">
        <v>2819</v>
      </c>
      <c r="BG3" s="1078" t="s">
        <v>2820</v>
      </c>
      <c r="BH3" s="1077" t="str">
        <f>SUMIF(#REF!,$G$3,#REF!)</f>
        <v>#N/A</v>
      </c>
      <c r="BI3" s="1078" t="s">
        <v>2819</v>
      </c>
      <c r="BJ3" s="1078" t="s">
        <v>2820</v>
      </c>
      <c r="BK3" s="1077" t="str">
        <f>SUMIF(#REF!,$G$3,#REF!)</f>
        <v>#N/A</v>
      </c>
      <c r="BL3" s="1078" t="s">
        <v>2819</v>
      </c>
      <c r="BM3" s="1078" t="s">
        <v>2820</v>
      </c>
    </row>
    <row r="4" collapsed="1">
      <c r="A4" s="1101" t="str">
        <f t="shared" ref="A4:A17" si="1">IF(C4="","",COUNTA(C$4:C4))</f>
        <v/>
      </c>
      <c r="B4" s="1093" t="s">
        <v>2066</v>
      </c>
      <c r="C4" s="1093"/>
      <c r="D4" s="1093" t="str">
        <f>IF(C4&gt;0,VLOOKUP(C4,DM_DUAN ,2,"") ,IF(B4&gt;0,VLOOKUP(B4,DM_CDT,2,""),""))</f>
        <v>THÀNH NAM</v>
      </c>
      <c r="E4" s="1093" t="s">
        <v>187</v>
      </c>
      <c r="F4" s="1093"/>
      <c r="G4" s="1102">
        <v>1.0</v>
      </c>
      <c r="H4" s="1083">
        <f>SUMIF($B5:$B$17,$B4,H5:H$17)</f>
        <v>0</v>
      </c>
      <c r="I4" s="1103" t="str">
        <f t="shared" ref="I4:I17" si="2">IFERROR(H4/SUMIF(#REF!,$C4,#REF!),"")</f>
        <v/>
      </c>
      <c r="J4" s="1103" t="str">
        <f t="shared" ref="J4:J17" si="3">IFERROR(H4/#REF!,"")</f>
        <v/>
      </c>
      <c r="K4" s="1083">
        <f>SUMIF($B5:$B$17,$B4,K5:K$17)</f>
        <v>0</v>
      </c>
      <c r="L4" s="1103" t="str">
        <f t="shared" ref="L4:L17" si="4">IFERROR(K4/SUMIF(#REF!,$C4,#REF!),"")</f>
        <v/>
      </c>
      <c r="M4" s="1103" t="str">
        <f t="shared" ref="M4:M17" si="5">IFERROR(K4/#REF!,"")</f>
        <v/>
      </c>
      <c r="N4" s="1083">
        <f>SUMIF($B5:$B$17,$B4,N5:N$17)</f>
        <v>0</v>
      </c>
      <c r="O4" s="1103" t="str">
        <f t="shared" ref="O4:O17" si="6">IFERROR(N4/SUMIF(#REF!,$C4,#REF!),"")</f>
        <v/>
      </c>
      <c r="P4" s="1103" t="str">
        <f t="shared" ref="P4:P17" si="7">IFERROR(N4/#REF!,"")</f>
        <v/>
      </c>
      <c r="Q4" s="1095">
        <f t="shared" ref="Q4:Q17" si="8">SUMIF(#REF!,#REF!,H4:P4)</f>
        <v>0</v>
      </c>
      <c r="R4" s="1103" t="str">
        <f t="shared" ref="R4:R17" si="9">IFERROR(Q4/SUMIF(#REF!,$C4,#REF!),"")</f>
        <v/>
      </c>
      <c r="S4" s="1103" t="str">
        <f t="shared" ref="S4:S17" si="10">IFERROR(Q4/#REF!,"")</f>
        <v/>
      </c>
      <c r="T4" s="1083">
        <f>SUMIF($B5:$B$17,$B4,T5:T$17)</f>
        <v>1600000</v>
      </c>
      <c r="U4" s="1103" t="str">
        <f t="shared" ref="U4:U17" si="11">IFERROR(T4/SUMIF(#REF!,$C4,#REF!),"")</f>
        <v/>
      </c>
      <c r="V4" s="1103" t="str">
        <f t="shared" ref="V4:V17" si="12">IFERROR(T4/#REF!,"")</f>
        <v/>
      </c>
      <c r="W4" s="1083">
        <f>SUMIF($B5:$B$17,$B4,W5:W$17)</f>
        <v>1600000</v>
      </c>
      <c r="X4" s="1103" t="str">
        <f t="shared" ref="X4:X17" si="13">IFERROR(W4/SUMIF(#REF!,$C4,#REF!),"")</f>
        <v/>
      </c>
      <c r="Y4" s="1103" t="str">
        <f t="shared" ref="Y4:Y13" si="14">IFERROR(W4/#REF!,"")</f>
        <v/>
      </c>
      <c r="Z4" s="1083">
        <f>SUMIF($B5:$B$17,$B4,Z5:Z$17)</f>
        <v>1600000</v>
      </c>
      <c r="AA4" s="1103" t="str">
        <f t="shared" ref="AA4:AA17" si="15">IFERROR(Z4/SUMIF(#REF!,$C4,#REF!),"")</f>
        <v/>
      </c>
      <c r="AB4" s="1103" t="str">
        <f t="shared" ref="AB4:AB17" si="16">IFERROR(Z4/#REF!,"")</f>
        <v/>
      </c>
      <c r="AC4" s="1095">
        <f t="shared" ref="AC4:AC17" si="17">SUMIF(#REF!,#REF!,T4:AB4)</f>
        <v>1600000</v>
      </c>
      <c r="AD4" s="1103" t="str">
        <f t="shared" ref="AD4:AD17" si="18">IFERROR(AC4/SUMIF(#REF!,$C4,#REF!),"")</f>
        <v/>
      </c>
      <c r="AE4" s="1103" t="str">
        <f t="shared" ref="AE4:AE17" si="19">IFERROR(AC4/#REF!,"")</f>
        <v/>
      </c>
      <c r="AF4" s="1095">
        <f t="shared" ref="AF4:AF17" si="20">Q4+AC4</f>
        <v>1600000</v>
      </c>
      <c r="AG4" s="1103" t="str">
        <f t="shared" ref="AG4:AG17" si="21">IFERROR(AF4/SUMIF(#REF!,$C4,#REF!),"")</f>
        <v/>
      </c>
      <c r="AH4" s="1103" t="str">
        <f t="shared" ref="AH4:AH17" si="22">IFERROR(AF4/#REF!,"")</f>
        <v/>
      </c>
      <c r="AI4" s="1083">
        <f>SUMIF($B5:$B$17,$B4,AI5:AI$17)</f>
        <v>1600000</v>
      </c>
      <c r="AJ4" s="1103" t="str">
        <f t="shared" ref="AJ4:AJ17" si="23">IFERROR(AI4/SUMIF(#REF!,$C4,#REF!),"")</f>
        <v/>
      </c>
      <c r="AK4" s="1103" t="str">
        <f t="shared" ref="AK4:AK17" si="24">IFERROR(AI4/#REF!,"")</f>
        <v/>
      </c>
      <c r="AL4" s="1083">
        <f>SUMIF($B5:$B$17,$B4,AL5:AL$17)</f>
        <v>1600000</v>
      </c>
      <c r="AM4" s="1103" t="str">
        <f t="shared" ref="AM4:AM17" si="25">IFERROR(AL4/SUMIF(#REF!,$C4,#REF!),"")</f>
        <v/>
      </c>
      <c r="AN4" s="1103" t="str">
        <f t="shared" ref="AN4:AN17" si="26">IFERROR(AL4/#REF!,"")</f>
        <v/>
      </c>
      <c r="AO4" s="1106" t="str">
        <f t="shared" ref="AO4:AO105" si="27">IFERROR(#REF!/#REF!,"")</f>
        <v/>
      </c>
      <c r="AP4" s="1083">
        <f>SUMIF($B5:$B$17,$B4,AP5:AP$17)</f>
        <v>1600000</v>
      </c>
      <c r="AQ4" s="1103" t="str">
        <f t="shared" ref="AQ4:AQ17" si="28">IFERROR(AP4/SUMIF(#REF!,$C4,#REF!),"")</f>
        <v/>
      </c>
      <c r="AR4" s="1103" t="str">
        <f t="shared" ref="AR4:AR17" si="29">IFERROR(AP4/#REF!,"")</f>
        <v/>
      </c>
      <c r="AS4" s="1095">
        <f t="shared" ref="AS4:AS17" si="30">SUMIF(#REF!,#REF!,AI4:AR4)</f>
        <v>1600000</v>
      </c>
      <c r="AT4" s="1103" t="str">
        <f t="shared" ref="AT4:AT17" si="31">IFERROR(AS4/SUMIF(#REF!,$C4,#REF!),"")</f>
        <v/>
      </c>
      <c r="AU4" s="1103" t="str">
        <f t="shared" ref="AU4:AU17" si="32">IFERROR(AS4/#REF!,"")</f>
        <v/>
      </c>
      <c r="AV4" s="1083">
        <f>SUMIF($B5:$B$17,$B4,AV5:AV$17)</f>
        <v>1600000</v>
      </c>
      <c r="AW4" s="1103" t="str">
        <f t="shared" ref="AW4:AW17" si="33">IFERROR(AV4/SUMIF(#REF!,$C4,#REF!),"")</f>
        <v/>
      </c>
      <c r="AX4" s="1103" t="str">
        <f t="shared" ref="AX4:AX17" si="34">IFERROR(AV4/#REF!,"")</f>
        <v/>
      </c>
      <c r="AY4" s="1083">
        <f>SUMIF($B5:$B$17,$B4,AY5:AY$17)</f>
        <v>1600000</v>
      </c>
      <c r="AZ4" s="1103" t="str">
        <f t="shared" ref="AZ4:AZ17" si="35">IFERROR(AY4/SUMIF(#REF!,$C4,#REF!),"")</f>
        <v/>
      </c>
      <c r="BA4" s="1103" t="str">
        <f t="shared" ref="BA4:BA17" si="36">IFERROR(AY4/#REF!,"")</f>
        <v/>
      </c>
      <c r="BB4" s="1083">
        <f>SUMIF($B5:$B$17,$B4,BB5:BB$17)</f>
        <v>1600000</v>
      </c>
      <c r="BC4" s="1103" t="str">
        <f t="shared" ref="BC4:BC17" si="37">IFERROR(BB4/SUMIF(#REF!,$C4,#REF!),"")</f>
        <v/>
      </c>
      <c r="BD4" s="1103" t="str">
        <f t="shared" ref="BD4:BD17" si="38">IFERROR(BB4/#REF!,"")</f>
        <v/>
      </c>
      <c r="BE4" s="1095">
        <f t="shared" ref="BE4:BE17" si="39">SUMIF(#REF!,#REF!,AV4:BD4)</f>
        <v>1600000</v>
      </c>
      <c r="BF4" s="1103" t="str">
        <f t="shared" ref="BF4:BF17" si="40">IFERROR(BE4/SUMIF(#REF!,$C4,#REF!),"")</f>
        <v/>
      </c>
      <c r="BG4" s="1103" t="str">
        <f t="shared" ref="BG4:BG17" si="41">IFERROR(BE4/#REF!,"")</f>
        <v/>
      </c>
      <c r="BH4" s="1095">
        <f t="shared" ref="BH4:BH17" si="42">AS4+BE4</f>
        <v>3200000</v>
      </c>
      <c r="BI4" s="1103" t="str">
        <f t="shared" ref="BI4:BI17" si="43">IFERROR(BH4/SUMIF(#REF!,$C4,#REF!),"")</f>
        <v/>
      </c>
      <c r="BJ4" s="1103" t="str">
        <f t="shared" ref="BJ4:BJ17" si="44">IFERROR(BH4/#REF!,"")</f>
        <v/>
      </c>
      <c r="BK4" s="1095">
        <f t="shared" ref="BK4:BK17" si="45">AF4+BH4</f>
        <v>4800000</v>
      </c>
      <c r="BL4" s="1103" t="str">
        <f t="shared" ref="BL4:BL17" si="46">IFERROR(BK4/SUMIF(#REF!,$C4,#REF!),"")</f>
        <v/>
      </c>
      <c r="BM4" s="1103" t="str">
        <f t="shared" ref="BM4:BM17" si="47">IFERROR(BK4/#REF!,"")</f>
        <v/>
      </c>
    </row>
    <row r="5" hidden="1" outlineLevel="1">
      <c r="A5" s="1086">
        <f t="shared" si="1"/>
        <v>1</v>
      </c>
      <c r="B5" s="1087" t="s">
        <v>2066</v>
      </c>
      <c r="C5" s="1087" t="s">
        <v>175</v>
      </c>
      <c r="D5" s="1087" t="str">
        <f>IF(C5&gt;0,VLOOKUP(C5,DM_DUAN ,2,"") ,IF(B5&gt;0,VLOOKUP(B5,DM_CDT,2,""),""))</f>
        <v>Phước hội Hồ Tràm</v>
      </c>
      <c r="E5" s="1087" t="s">
        <v>187</v>
      </c>
      <c r="F5" s="1087"/>
      <c r="G5" s="1086">
        <v>2.0</v>
      </c>
      <c r="H5" s="1088">
        <f>SUMIFS(BP_SOTIEN,BP_DA,$C5,BP_THANG,H$2,BP_KM,$E5)/1000</f>
        <v>0</v>
      </c>
      <c r="I5" s="1089" t="str">
        <f t="shared" si="2"/>
        <v/>
      </c>
      <c r="J5" s="1089" t="str">
        <f t="shared" si="3"/>
        <v/>
      </c>
      <c r="K5" s="1088">
        <f>SUMIFS(BP_SOTIEN,BP_DA,$C5,BP_THANG,K$2,BP_KM,$E5)/1000</f>
        <v>0</v>
      </c>
      <c r="L5" s="1089" t="str">
        <f t="shared" si="4"/>
        <v/>
      </c>
      <c r="M5" s="1089" t="str">
        <f t="shared" si="5"/>
        <v/>
      </c>
      <c r="N5" s="1088">
        <f>SUMIFS(BP_SOTIEN,BP_DA,$C5,BP_THANG,N$2,BP_KM,$E5)/1000</f>
        <v>0</v>
      </c>
      <c r="O5" s="1089" t="str">
        <f t="shared" si="6"/>
        <v/>
      </c>
      <c r="P5" s="1089" t="str">
        <f t="shared" si="7"/>
        <v/>
      </c>
      <c r="Q5" s="1088">
        <f t="shared" si="8"/>
        <v>0</v>
      </c>
      <c r="R5" s="1089" t="str">
        <f t="shared" si="9"/>
        <v/>
      </c>
      <c r="S5" s="1089" t="str">
        <f t="shared" si="10"/>
        <v/>
      </c>
      <c r="T5" s="1088">
        <f>SUMIFS(BP_SOTIEN,BP_DA,$C5,BP_THANG,T$2,BP_KM,$E5)/1000</f>
        <v>1600000</v>
      </c>
      <c r="U5" s="1089" t="str">
        <f t="shared" si="11"/>
        <v/>
      </c>
      <c r="V5" s="1089" t="str">
        <f t="shared" si="12"/>
        <v/>
      </c>
      <c r="W5" s="1088">
        <f>SUMIFS(BP_SOTIEN,BP_DA,$C5,BP_THANG,W$2,BP_KM,$E5)/1000</f>
        <v>1600000</v>
      </c>
      <c r="X5" s="1089" t="str">
        <f t="shared" si="13"/>
        <v/>
      </c>
      <c r="Y5" s="1089" t="str">
        <f t="shared" si="14"/>
        <v/>
      </c>
      <c r="Z5" s="1088">
        <f>SUMIFS(BP_SOTIEN,BP_DA,$C5,BP_THANG,Z$2,BP_KM,$E5)/1000</f>
        <v>1600000</v>
      </c>
      <c r="AA5" s="1089" t="str">
        <f t="shared" si="15"/>
        <v/>
      </c>
      <c r="AB5" s="1089" t="str">
        <f t="shared" si="16"/>
        <v/>
      </c>
      <c r="AC5" s="1088">
        <f t="shared" si="17"/>
        <v>1600000</v>
      </c>
      <c r="AD5" s="1089" t="str">
        <f t="shared" si="18"/>
        <v/>
      </c>
      <c r="AE5" s="1089" t="str">
        <f t="shared" si="19"/>
        <v/>
      </c>
      <c r="AF5" s="1088">
        <f t="shared" si="20"/>
        <v>1600000</v>
      </c>
      <c r="AG5" s="1089" t="str">
        <f t="shared" si="21"/>
        <v/>
      </c>
      <c r="AH5" s="1089" t="str">
        <f t="shared" si="22"/>
        <v/>
      </c>
      <c r="AI5" s="1088">
        <f>SUMIFS(BP_SOTIEN,BP_DA,$C5,BP_THANG,AI$2,BP_KM,$E5)/1000</f>
        <v>1600000</v>
      </c>
      <c r="AJ5" s="1089" t="str">
        <f t="shared" si="23"/>
        <v/>
      </c>
      <c r="AK5" s="1089" t="str">
        <f t="shared" si="24"/>
        <v/>
      </c>
      <c r="AL5" s="1088">
        <f>SUMIFS(BP_SOTIEN,BP_DA,$C5,BP_THANG,AL$2,BP_KM,$E5)/1000</f>
        <v>1600000</v>
      </c>
      <c r="AM5" s="1089" t="str">
        <f t="shared" si="25"/>
        <v/>
      </c>
      <c r="AN5" s="1089" t="str">
        <f t="shared" si="26"/>
        <v/>
      </c>
      <c r="AO5" s="1091" t="str">
        <f t="shared" si="27"/>
        <v/>
      </c>
      <c r="AP5" s="1088">
        <f>SUMIFS(BP_SOTIEN,BP_DA,$C5,BP_THANG,AP$2,BP_KM,$E5)/1000</f>
        <v>1600000</v>
      </c>
      <c r="AQ5" s="1089" t="str">
        <f t="shared" si="28"/>
        <v/>
      </c>
      <c r="AR5" s="1089" t="str">
        <f t="shared" si="29"/>
        <v/>
      </c>
      <c r="AS5" s="1088">
        <f t="shared" si="30"/>
        <v>1600000</v>
      </c>
      <c r="AT5" s="1089" t="str">
        <f t="shared" si="31"/>
        <v/>
      </c>
      <c r="AU5" s="1089" t="str">
        <f t="shared" si="32"/>
        <v/>
      </c>
      <c r="AV5" s="1088">
        <f>SUMIFS(BP_SOTIEN,BP_DA,$C5,BP_THANG,AV$2,BP_KM,$E5)/1000</f>
        <v>1600000</v>
      </c>
      <c r="AW5" s="1089" t="str">
        <f t="shared" si="33"/>
        <v/>
      </c>
      <c r="AX5" s="1089" t="str">
        <f t="shared" si="34"/>
        <v/>
      </c>
      <c r="AY5" s="1088">
        <f>SUMIFS(BP_SOTIEN,BP_DA,$C5,BP_THANG,AY$2,BP_KM,$E5)/1000</f>
        <v>1600000</v>
      </c>
      <c r="AZ5" s="1089" t="str">
        <f t="shared" si="35"/>
        <v/>
      </c>
      <c r="BA5" s="1089" t="str">
        <f t="shared" si="36"/>
        <v/>
      </c>
      <c r="BB5" s="1088">
        <f>SUMIFS(BP_SOTIEN,BP_DA,$C5,BP_THANG,BB$2,BP_KM,$E5)/1000</f>
        <v>1600000</v>
      </c>
      <c r="BC5" s="1089" t="str">
        <f t="shared" si="37"/>
        <v/>
      </c>
      <c r="BD5" s="1089" t="str">
        <f t="shared" si="38"/>
        <v/>
      </c>
      <c r="BE5" s="1088">
        <f t="shared" si="39"/>
        <v>1600000</v>
      </c>
      <c r="BF5" s="1089" t="str">
        <f t="shared" si="40"/>
        <v/>
      </c>
      <c r="BG5" s="1089" t="str">
        <f t="shared" si="41"/>
        <v/>
      </c>
      <c r="BH5" s="1088">
        <f t="shared" si="42"/>
        <v>3200000</v>
      </c>
      <c r="BI5" s="1089" t="str">
        <f t="shared" si="43"/>
        <v/>
      </c>
      <c r="BJ5" s="1089" t="str">
        <f t="shared" si="44"/>
        <v/>
      </c>
      <c r="BK5" s="1088">
        <f t="shared" si="45"/>
        <v>4800000</v>
      </c>
      <c r="BL5" s="1089" t="str">
        <f t="shared" si="46"/>
        <v/>
      </c>
      <c r="BM5" s="1089" t="str">
        <f t="shared" si="47"/>
        <v/>
      </c>
    </row>
    <row r="6" hidden="1" outlineLevel="1">
      <c r="A6" s="1086">
        <f t="shared" si="1"/>
        <v>2</v>
      </c>
      <c r="B6" s="1087" t="s">
        <v>2066</v>
      </c>
      <c r="C6" s="1087" t="s">
        <v>530</v>
      </c>
      <c r="D6" s="1087" t="str">
        <f>IF(C6&gt;0,VLOOKUP(C6,DM_DUAN ,2,"") ,IF(B6&gt;0,VLOOKUP(B6,DM_CDT,2,""),""))</f>
        <v>Nhà vườn sinh thái</v>
      </c>
      <c r="E6" s="1087" t="s">
        <v>187</v>
      </c>
      <c r="F6" s="1087"/>
      <c r="G6" s="1086">
        <v>2.0</v>
      </c>
      <c r="H6" s="1088">
        <f>SUMIFS(BP_SOTIEN,BP_DA,$C6,BP_THANG,H$2,BP_KM,$E6)/1000</f>
        <v>0</v>
      </c>
      <c r="I6" s="1089" t="str">
        <f t="shared" si="2"/>
        <v/>
      </c>
      <c r="J6" s="1089" t="str">
        <f t="shared" si="3"/>
        <v/>
      </c>
      <c r="K6" s="1088">
        <f>SUMIFS(BP_SOTIEN,BP_DA,$C6,BP_THANG,K$2,BP_KM,$E6)/1000</f>
        <v>0</v>
      </c>
      <c r="L6" s="1089" t="str">
        <f t="shared" si="4"/>
        <v/>
      </c>
      <c r="M6" s="1089" t="str">
        <f t="shared" si="5"/>
        <v/>
      </c>
      <c r="N6" s="1088">
        <f>SUMIFS(BP_SOTIEN,BP_DA,$C6,BP_THANG,N$2,BP_KM,$E6)/1000</f>
        <v>0</v>
      </c>
      <c r="O6" s="1089" t="str">
        <f t="shared" si="6"/>
        <v/>
      </c>
      <c r="P6" s="1089" t="str">
        <f t="shared" si="7"/>
        <v/>
      </c>
      <c r="Q6" s="1088">
        <f t="shared" si="8"/>
        <v>0</v>
      </c>
      <c r="R6" s="1089" t="str">
        <f t="shared" si="9"/>
        <v/>
      </c>
      <c r="S6" s="1089" t="str">
        <f t="shared" si="10"/>
        <v/>
      </c>
      <c r="T6" s="1088">
        <f>SUMIFS(BP_SOTIEN,BP_DA,$C6,BP_THANG,T$2,BP_KM,$E6)/1000</f>
        <v>0</v>
      </c>
      <c r="U6" s="1089" t="str">
        <f t="shared" si="11"/>
        <v/>
      </c>
      <c r="V6" s="1089" t="str">
        <f t="shared" si="12"/>
        <v/>
      </c>
      <c r="W6" s="1088">
        <f>SUMIFS(BP_SOTIEN,BP_DA,$C6,BP_THANG,W$2,BP_KM,$E6)/1000</f>
        <v>0</v>
      </c>
      <c r="X6" s="1089" t="str">
        <f t="shared" si="13"/>
        <v/>
      </c>
      <c r="Y6" s="1089" t="str">
        <f t="shared" si="14"/>
        <v/>
      </c>
      <c r="Z6" s="1088">
        <f>SUMIFS(BP_SOTIEN,BP_DA,$C6,BP_THANG,Z$2,BP_KM,$E6)/1000</f>
        <v>0</v>
      </c>
      <c r="AA6" s="1089" t="str">
        <f t="shared" si="15"/>
        <v/>
      </c>
      <c r="AB6" s="1089" t="str">
        <f t="shared" si="16"/>
        <v/>
      </c>
      <c r="AC6" s="1088">
        <f t="shared" si="17"/>
        <v>0</v>
      </c>
      <c r="AD6" s="1089" t="str">
        <f t="shared" si="18"/>
        <v/>
      </c>
      <c r="AE6" s="1089" t="str">
        <f t="shared" si="19"/>
        <v/>
      </c>
      <c r="AF6" s="1088">
        <f t="shared" si="20"/>
        <v>0</v>
      </c>
      <c r="AG6" s="1089" t="str">
        <f t="shared" si="21"/>
        <v/>
      </c>
      <c r="AH6" s="1089" t="str">
        <f t="shared" si="22"/>
        <v/>
      </c>
      <c r="AI6" s="1088">
        <f>SUMIFS(BP_SOTIEN,BP_DA,$C6,BP_THANG,AI$2,BP_KM,$E6)/1000</f>
        <v>0</v>
      </c>
      <c r="AJ6" s="1089" t="str">
        <f t="shared" si="23"/>
        <v/>
      </c>
      <c r="AK6" s="1089" t="str">
        <f t="shared" si="24"/>
        <v/>
      </c>
      <c r="AL6" s="1088">
        <f>SUMIFS(BP_SOTIEN,BP_DA,$C6,BP_THANG,AL$2,BP_KM,$E6)/1000</f>
        <v>0</v>
      </c>
      <c r="AM6" s="1089" t="str">
        <f t="shared" si="25"/>
        <v/>
      </c>
      <c r="AN6" s="1089" t="str">
        <f t="shared" si="26"/>
        <v/>
      </c>
      <c r="AO6" s="1091" t="str">
        <f t="shared" si="27"/>
        <v/>
      </c>
      <c r="AP6" s="1088">
        <f>SUMIFS(BP_SOTIEN,BP_DA,$C6,BP_THANG,AP$2,BP_KM,$E6)/1000</f>
        <v>0</v>
      </c>
      <c r="AQ6" s="1089" t="str">
        <f t="shared" si="28"/>
        <v/>
      </c>
      <c r="AR6" s="1089" t="str">
        <f t="shared" si="29"/>
        <v/>
      </c>
      <c r="AS6" s="1088">
        <f t="shared" si="30"/>
        <v>0</v>
      </c>
      <c r="AT6" s="1089" t="str">
        <f t="shared" si="31"/>
        <v/>
      </c>
      <c r="AU6" s="1089" t="str">
        <f t="shared" si="32"/>
        <v/>
      </c>
      <c r="AV6" s="1088">
        <f>SUMIFS(BP_SOTIEN,BP_DA,$C6,BP_THANG,AV$2,BP_KM,$E6)/1000</f>
        <v>0</v>
      </c>
      <c r="AW6" s="1089" t="str">
        <f t="shared" si="33"/>
        <v/>
      </c>
      <c r="AX6" s="1089" t="str">
        <f t="shared" si="34"/>
        <v/>
      </c>
      <c r="AY6" s="1088">
        <f>SUMIFS(BP_SOTIEN,BP_DA,$C6,BP_THANG,AY$2,BP_KM,$E6)/1000</f>
        <v>0</v>
      </c>
      <c r="AZ6" s="1089" t="str">
        <f t="shared" si="35"/>
        <v/>
      </c>
      <c r="BA6" s="1089" t="str">
        <f t="shared" si="36"/>
        <v/>
      </c>
      <c r="BB6" s="1088">
        <f>SUMIFS(BP_SOTIEN,BP_DA,$C6,BP_THANG,BB$2,BP_KM,$E6)/1000</f>
        <v>0</v>
      </c>
      <c r="BC6" s="1089" t="str">
        <f t="shared" si="37"/>
        <v/>
      </c>
      <c r="BD6" s="1089" t="str">
        <f t="shared" si="38"/>
        <v/>
      </c>
      <c r="BE6" s="1088">
        <f t="shared" si="39"/>
        <v>0</v>
      </c>
      <c r="BF6" s="1089" t="str">
        <f t="shared" si="40"/>
        <v/>
      </c>
      <c r="BG6" s="1089" t="str">
        <f t="shared" si="41"/>
        <v/>
      </c>
      <c r="BH6" s="1088">
        <f t="shared" si="42"/>
        <v>0</v>
      </c>
      <c r="BI6" s="1089" t="str">
        <f t="shared" si="43"/>
        <v/>
      </c>
      <c r="BJ6" s="1089" t="str">
        <f t="shared" si="44"/>
        <v/>
      </c>
      <c r="BK6" s="1088">
        <f t="shared" si="45"/>
        <v>0</v>
      </c>
      <c r="BL6" s="1089" t="str">
        <f t="shared" si="46"/>
        <v/>
      </c>
      <c r="BM6" s="1089" t="str">
        <f t="shared" si="47"/>
        <v/>
      </c>
    </row>
    <row r="7" hidden="1" outlineLevel="1">
      <c r="A7" s="1086">
        <f t="shared" si="1"/>
        <v>3</v>
      </c>
      <c r="B7" s="1087" t="s">
        <v>2066</v>
      </c>
      <c r="C7" s="656" t="s">
        <v>597</v>
      </c>
      <c r="D7" s="1087" t="str">
        <f>IF(C7&gt;0,VLOOKUP(C7,DM_DUAN ,2,"") ,IF(B7&gt;0,VLOOKUP(B7,DM_CDT,2,""),""))</f>
        <v>KDC Long Hải</v>
      </c>
      <c r="E7" s="1087" t="s">
        <v>187</v>
      </c>
      <c r="F7" s="1087"/>
      <c r="G7" s="1086">
        <v>2.0</v>
      </c>
      <c r="H7" s="1088">
        <f>SUMIFS(BP_SOTIEN,BP_DA,$C7,BP_THANG,H$2,BP_KM,$E7)/1000</f>
        <v>0</v>
      </c>
      <c r="I7" s="1089" t="str">
        <f t="shared" si="2"/>
        <v/>
      </c>
      <c r="J7" s="1089" t="str">
        <f t="shared" si="3"/>
        <v/>
      </c>
      <c r="K7" s="1088">
        <f>SUMIFS(BP_SOTIEN,BP_DA,$C7,BP_THANG,K$2,BP_KM,$E7)/1000</f>
        <v>0</v>
      </c>
      <c r="L7" s="1089" t="str">
        <f t="shared" si="4"/>
        <v/>
      </c>
      <c r="M7" s="1089" t="str">
        <f t="shared" si="5"/>
        <v/>
      </c>
      <c r="N7" s="1088">
        <f>SUMIFS(BP_SOTIEN,BP_DA,$C7,BP_THANG,N$2,BP_KM,$E7)/1000</f>
        <v>0</v>
      </c>
      <c r="O7" s="1089" t="str">
        <f t="shared" si="6"/>
        <v/>
      </c>
      <c r="P7" s="1089" t="str">
        <f t="shared" si="7"/>
        <v/>
      </c>
      <c r="Q7" s="1088">
        <f t="shared" si="8"/>
        <v>0</v>
      </c>
      <c r="R7" s="1089" t="str">
        <f t="shared" si="9"/>
        <v/>
      </c>
      <c r="S7" s="1089" t="str">
        <f t="shared" si="10"/>
        <v/>
      </c>
      <c r="T7" s="1088">
        <f>SUMIFS(BP_SOTIEN,BP_DA,$C7,BP_THANG,T$2,BP_KM,$E7)/1000</f>
        <v>0</v>
      </c>
      <c r="U7" s="1089" t="str">
        <f t="shared" si="11"/>
        <v/>
      </c>
      <c r="V7" s="1089" t="str">
        <f t="shared" si="12"/>
        <v/>
      </c>
      <c r="W7" s="1088">
        <f>SUMIFS(BP_SOTIEN,BP_DA,$C7,BP_THANG,W$2,BP_KM,$E7)/1000</f>
        <v>0</v>
      </c>
      <c r="X7" s="1089" t="str">
        <f t="shared" si="13"/>
        <v/>
      </c>
      <c r="Y7" s="1089" t="str">
        <f t="shared" si="14"/>
        <v/>
      </c>
      <c r="Z7" s="1088">
        <f>SUMIFS(BP_SOTIEN,BP_DA,$C7,BP_THANG,Z$2,BP_KM,$E7)/1000</f>
        <v>0</v>
      </c>
      <c r="AA7" s="1089" t="str">
        <f t="shared" si="15"/>
        <v/>
      </c>
      <c r="AB7" s="1089" t="str">
        <f t="shared" si="16"/>
        <v/>
      </c>
      <c r="AC7" s="1088">
        <f t="shared" si="17"/>
        <v>0</v>
      </c>
      <c r="AD7" s="1089" t="str">
        <f t="shared" si="18"/>
        <v/>
      </c>
      <c r="AE7" s="1089" t="str">
        <f t="shared" si="19"/>
        <v/>
      </c>
      <c r="AF7" s="1088">
        <f t="shared" si="20"/>
        <v>0</v>
      </c>
      <c r="AG7" s="1089" t="str">
        <f t="shared" si="21"/>
        <v/>
      </c>
      <c r="AH7" s="1089" t="str">
        <f t="shared" si="22"/>
        <v/>
      </c>
      <c r="AI7" s="1088">
        <f>SUMIFS(BP_SOTIEN,BP_DA,$C7,BP_THANG,AI$2,BP_KM,$E7)/1000</f>
        <v>0</v>
      </c>
      <c r="AJ7" s="1089" t="str">
        <f t="shared" si="23"/>
        <v/>
      </c>
      <c r="AK7" s="1089" t="str">
        <f t="shared" si="24"/>
        <v/>
      </c>
      <c r="AL7" s="1088">
        <f>SUMIFS(BP_SOTIEN,BP_DA,$C7,BP_THANG,AL$2,BP_KM,$E7)/1000</f>
        <v>0</v>
      </c>
      <c r="AM7" s="1089" t="str">
        <f t="shared" si="25"/>
        <v/>
      </c>
      <c r="AN7" s="1089" t="str">
        <f t="shared" si="26"/>
        <v/>
      </c>
      <c r="AO7" s="1091" t="str">
        <f t="shared" si="27"/>
        <v/>
      </c>
      <c r="AP7" s="1088">
        <f>SUMIFS(BP_SOTIEN,BP_DA,$C7,BP_THANG,AP$2,BP_KM,$E7)/1000</f>
        <v>0</v>
      </c>
      <c r="AQ7" s="1089" t="str">
        <f t="shared" si="28"/>
        <v/>
      </c>
      <c r="AR7" s="1089" t="str">
        <f t="shared" si="29"/>
        <v/>
      </c>
      <c r="AS7" s="1088">
        <f t="shared" si="30"/>
        <v>0</v>
      </c>
      <c r="AT7" s="1089" t="str">
        <f t="shared" si="31"/>
        <v/>
      </c>
      <c r="AU7" s="1089" t="str">
        <f t="shared" si="32"/>
        <v/>
      </c>
      <c r="AV7" s="1088">
        <f>SUMIFS(BP_SOTIEN,BP_DA,$C7,BP_THANG,AV$2,BP_KM,$E7)/1000</f>
        <v>0</v>
      </c>
      <c r="AW7" s="1089" t="str">
        <f t="shared" si="33"/>
        <v/>
      </c>
      <c r="AX7" s="1089" t="str">
        <f t="shared" si="34"/>
        <v/>
      </c>
      <c r="AY7" s="1088">
        <f>SUMIFS(BP_SOTIEN,BP_DA,$C7,BP_THANG,AY$2,BP_KM,$E7)/1000</f>
        <v>0</v>
      </c>
      <c r="AZ7" s="1089" t="str">
        <f t="shared" si="35"/>
        <v/>
      </c>
      <c r="BA7" s="1089" t="str">
        <f t="shared" si="36"/>
        <v/>
      </c>
      <c r="BB7" s="1088">
        <f>SUMIFS(BP_SOTIEN,BP_DA,$C7,BP_THANG,BB$2,BP_KM,$E7)/1000</f>
        <v>0</v>
      </c>
      <c r="BC7" s="1089" t="str">
        <f t="shared" si="37"/>
        <v/>
      </c>
      <c r="BD7" s="1089" t="str">
        <f t="shared" si="38"/>
        <v/>
      </c>
      <c r="BE7" s="1088">
        <f t="shared" si="39"/>
        <v>0</v>
      </c>
      <c r="BF7" s="1089" t="str">
        <f t="shared" si="40"/>
        <v/>
      </c>
      <c r="BG7" s="1089" t="str">
        <f t="shared" si="41"/>
        <v/>
      </c>
      <c r="BH7" s="1088">
        <f t="shared" si="42"/>
        <v>0</v>
      </c>
      <c r="BI7" s="1089" t="str">
        <f t="shared" si="43"/>
        <v/>
      </c>
      <c r="BJ7" s="1089" t="str">
        <f t="shared" si="44"/>
        <v/>
      </c>
      <c r="BK7" s="1088">
        <f t="shared" si="45"/>
        <v>0</v>
      </c>
      <c r="BL7" s="1089" t="str">
        <f t="shared" si="46"/>
        <v/>
      </c>
      <c r="BM7" s="1089" t="str">
        <f t="shared" si="47"/>
        <v/>
      </c>
    </row>
    <row r="8" collapsed="1">
      <c r="A8" s="1101" t="str">
        <f t="shared" si="1"/>
        <v/>
      </c>
      <c r="B8" s="1093" t="s">
        <v>2067</v>
      </c>
      <c r="C8" s="1093"/>
      <c r="D8" s="1093" t="str">
        <f>IF(C8&gt;0,VLOOKUP(C8,DM_DUAN ,2,"") ,IF(B8&gt;0,VLOOKUP(B8,DM_CDT,2,""),""))</f>
        <v>NAM PHONG</v>
      </c>
      <c r="E8" s="1093" t="s">
        <v>187</v>
      </c>
      <c r="F8" s="1093"/>
      <c r="G8" s="1102">
        <v>1.0</v>
      </c>
      <c r="H8" s="1083">
        <f>SUMIF($B9:$B$17,$B8,H9:H$17)</f>
        <v>0</v>
      </c>
      <c r="I8" s="1103" t="str">
        <f t="shared" si="2"/>
        <v/>
      </c>
      <c r="J8" s="1103" t="str">
        <f t="shared" si="3"/>
        <v/>
      </c>
      <c r="K8" s="1083">
        <f>SUMIF($B9:$B$17,$B8,K9:K$17)</f>
        <v>0</v>
      </c>
      <c r="L8" s="1103" t="str">
        <f t="shared" si="4"/>
        <v/>
      </c>
      <c r="M8" s="1103" t="str">
        <f t="shared" si="5"/>
        <v/>
      </c>
      <c r="N8" s="1083">
        <f>SUMIF($B9:$B$17,$B8,N9:N$17)</f>
        <v>0</v>
      </c>
      <c r="O8" s="1103" t="str">
        <f t="shared" si="6"/>
        <v/>
      </c>
      <c r="P8" s="1103" t="str">
        <f t="shared" si="7"/>
        <v/>
      </c>
      <c r="Q8" s="1095">
        <f t="shared" si="8"/>
        <v>0</v>
      </c>
      <c r="R8" s="1103" t="str">
        <f t="shared" si="9"/>
        <v/>
      </c>
      <c r="S8" s="1103" t="str">
        <f t="shared" si="10"/>
        <v/>
      </c>
      <c r="T8" s="1083">
        <f>SUMIF($B9:$B$17,$B8,T9:T$17)</f>
        <v>2400000</v>
      </c>
      <c r="U8" s="1103" t="str">
        <f t="shared" si="11"/>
        <v/>
      </c>
      <c r="V8" s="1103" t="str">
        <f t="shared" si="12"/>
        <v/>
      </c>
      <c r="W8" s="1083">
        <f>SUMIF($B9:$B$17,$B8,W9:W$17)</f>
        <v>2400000</v>
      </c>
      <c r="X8" s="1103" t="str">
        <f t="shared" si="13"/>
        <v/>
      </c>
      <c r="Y8" s="1103" t="str">
        <f t="shared" si="14"/>
        <v/>
      </c>
      <c r="Z8" s="1083">
        <f>SUMIF($B9:$B$17,$B8,Z9:Z$17)</f>
        <v>2400000</v>
      </c>
      <c r="AA8" s="1103" t="str">
        <f t="shared" si="15"/>
        <v/>
      </c>
      <c r="AB8" s="1103" t="str">
        <f t="shared" si="16"/>
        <v/>
      </c>
      <c r="AC8" s="1095">
        <f t="shared" si="17"/>
        <v>2400000</v>
      </c>
      <c r="AD8" s="1103" t="str">
        <f t="shared" si="18"/>
        <v/>
      </c>
      <c r="AE8" s="1103" t="str">
        <f t="shared" si="19"/>
        <v/>
      </c>
      <c r="AF8" s="1095">
        <f t="shared" si="20"/>
        <v>2400000</v>
      </c>
      <c r="AG8" s="1103" t="str">
        <f t="shared" si="21"/>
        <v/>
      </c>
      <c r="AH8" s="1103" t="str">
        <f t="shared" si="22"/>
        <v/>
      </c>
      <c r="AI8" s="1083">
        <f>SUMIF($B9:$B$17,$B8,AI9:AI$17)</f>
        <v>2400000</v>
      </c>
      <c r="AJ8" s="1103" t="str">
        <f t="shared" si="23"/>
        <v/>
      </c>
      <c r="AK8" s="1103" t="str">
        <f t="shared" si="24"/>
        <v/>
      </c>
      <c r="AL8" s="1083">
        <f>SUMIF($B9:$B$17,$B8,AL9:AL$17)</f>
        <v>2400000</v>
      </c>
      <c r="AM8" s="1103" t="str">
        <f t="shared" si="25"/>
        <v/>
      </c>
      <c r="AN8" s="1103" t="str">
        <f t="shared" si="26"/>
        <v/>
      </c>
      <c r="AO8" s="1106" t="str">
        <f t="shared" si="27"/>
        <v/>
      </c>
      <c r="AP8" s="1083">
        <f>SUMIF($B9:$B$17,$B8,AP9:AP$17)</f>
        <v>2400000</v>
      </c>
      <c r="AQ8" s="1103" t="str">
        <f t="shared" si="28"/>
        <v/>
      </c>
      <c r="AR8" s="1103" t="str">
        <f t="shared" si="29"/>
        <v/>
      </c>
      <c r="AS8" s="1095">
        <f t="shared" si="30"/>
        <v>2400000</v>
      </c>
      <c r="AT8" s="1103" t="str">
        <f t="shared" si="31"/>
        <v/>
      </c>
      <c r="AU8" s="1103" t="str">
        <f t="shared" si="32"/>
        <v/>
      </c>
      <c r="AV8" s="1083">
        <f>SUMIF($B9:$B$17,$B8,AV9:AV$17)</f>
        <v>2400000</v>
      </c>
      <c r="AW8" s="1103" t="str">
        <f t="shared" si="33"/>
        <v/>
      </c>
      <c r="AX8" s="1103" t="str">
        <f t="shared" si="34"/>
        <v/>
      </c>
      <c r="AY8" s="1083">
        <f>SUMIF($B9:$B$17,$B8,AY9:AY$17)</f>
        <v>2400000</v>
      </c>
      <c r="AZ8" s="1103" t="str">
        <f t="shared" si="35"/>
        <v/>
      </c>
      <c r="BA8" s="1103" t="str">
        <f t="shared" si="36"/>
        <v/>
      </c>
      <c r="BB8" s="1083">
        <f>SUMIF($B9:$B$17,$B8,BB9:BB$17)</f>
        <v>2400000</v>
      </c>
      <c r="BC8" s="1103" t="str">
        <f t="shared" si="37"/>
        <v/>
      </c>
      <c r="BD8" s="1103" t="str">
        <f t="shared" si="38"/>
        <v/>
      </c>
      <c r="BE8" s="1095">
        <f t="shared" si="39"/>
        <v>2400000</v>
      </c>
      <c r="BF8" s="1103" t="str">
        <f t="shared" si="40"/>
        <v/>
      </c>
      <c r="BG8" s="1103" t="str">
        <f t="shared" si="41"/>
        <v/>
      </c>
      <c r="BH8" s="1095">
        <f t="shared" si="42"/>
        <v>4800000</v>
      </c>
      <c r="BI8" s="1103" t="str">
        <f t="shared" si="43"/>
        <v/>
      </c>
      <c r="BJ8" s="1103" t="str">
        <f t="shared" si="44"/>
        <v/>
      </c>
      <c r="BK8" s="1095">
        <f t="shared" si="45"/>
        <v>7200000</v>
      </c>
      <c r="BL8" s="1103" t="str">
        <f t="shared" si="46"/>
        <v/>
      </c>
      <c r="BM8" s="1103" t="str">
        <f t="shared" si="47"/>
        <v/>
      </c>
    </row>
    <row r="9" hidden="1" outlineLevel="1">
      <c r="A9" s="1086">
        <f t="shared" si="1"/>
        <v>4</v>
      </c>
      <c r="B9" s="1087" t="s">
        <v>2067</v>
      </c>
      <c r="C9" s="1087" t="s">
        <v>2067</v>
      </c>
      <c r="D9" s="1087" t="str">
        <f>IF(C9&gt;0,VLOOKUP(C9,DM_DUAN ,2,"") ,IF(B9&gt;0,VLOOKUP(B9,DM_CDT,2,""),""))</f>
        <v>NAM PHONG</v>
      </c>
      <c r="E9" s="1087" t="s">
        <v>187</v>
      </c>
      <c r="F9" s="1087"/>
      <c r="G9" s="1086">
        <v>2.0</v>
      </c>
      <c r="H9" s="1088">
        <f>SUMIFS(BP_SOTIEN,BP_DA,$C9,BP_THANG,H$2,BP_KM,$E9)/1000</f>
        <v>0</v>
      </c>
      <c r="I9" s="1089" t="str">
        <f t="shared" si="2"/>
        <v/>
      </c>
      <c r="J9" s="1089" t="str">
        <f t="shared" si="3"/>
        <v/>
      </c>
      <c r="K9" s="1088">
        <f>SUMIFS(BP_SOTIEN,BP_DA,$C9,BP_THANG,K$2,BP_KM,$E9)/1000</f>
        <v>0</v>
      </c>
      <c r="L9" s="1089" t="str">
        <f t="shared" si="4"/>
        <v/>
      </c>
      <c r="M9" s="1089" t="str">
        <f t="shared" si="5"/>
        <v/>
      </c>
      <c r="N9" s="1088">
        <f>SUMIFS(BP_SOTIEN,BP_DA,$C9,BP_THANG,N$2,BP_KM,$E9)/1000</f>
        <v>0</v>
      </c>
      <c r="O9" s="1089" t="str">
        <f t="shared" si="6"/>
        <v/>
      </c>
      <c r="P9" s="1089" t="str">
        <f t="shared" si="7"/>
        <v/>
      </c>
      <c r="Q9" s="1088">
        <f t="shared" si="8"/>
        <v>0</v>
      </c>
      <c r="R9" s="1089" t="str">
        <f t="shared" si="9"/>
        <v/>
      </c>
      <c r="S9" s="1089" t="str">
        <f t="shared" si="10"/>
        <v/>
      </c>
      <c r="T9" s="1088">
        <f>SUMIFS(BP_SOTIEN,BP_DA,$C9,BP_THANG,T$2,BP_KM,$E9)/1000</f>
        <v>2400000</v>
      </c>
      <c r="U9" s="1089" t="str">
        <f t="shared" si="11"/>
        <v/>
      </c>
      <c r="V9" s="1089" t="str">
        <f t="shared" si="12"/>
        <v/>
      </c>
      <c r="W9" s="1088">
        <f>SUMIFS(BP_SOTIEN,BP_DA,$C9,BP_THANG,W$2,BP_KM,$E9)/1000</f>
        <v>2400000</v>
      </c>
      <c r="X9" s="1089" t="str">
        <f t="shared" si="13"/>
        <v/>
      </c>
      <c r="Y9" s="1089" t="str">
        <f t="shared" si="14"/>
        <v/>
      </c>
      <c r="Z9" s="1088">
        <f>SUMIFS(BP_SOTIEN,BP_DA,$C9,BP_THANG,Z$2,BP_KM,$E9)/1000</f>
        <v>2400000</v>
      </c>
      <c r="AA9" s="1089" t="str">
        <f t="shared" si="15"/>
        <v/>
      </c>
      <c r="AB9" s="1089" t="str">
        <f t="shared" si="16"/>
        <v/>
      </c>
      <c r="AC9" s="1088">
        <f t="shared" si="17"/>
        <v>2400000</v>
      </c>
      <c r="AD9" s="1089" t="str">
        <f t="shared" si="18"/>
        <v/>
      </c>
      <c r="AE9" s="1089" t="str">
        <f t="shared" si="19"/>
        <v/>
      </c>
      <c r="AF9" s="1088">
        <f t="shared" si="20"/>
        <v>2400000</v>
      </c>
      <c r="AG9" s="1089" t="str">
        <f t="shared" si="21"/>
        <v/>
      </c>
      <c r="AH9" s="1089" t="str">
        <f t="shared" si="22"/>
        <v/>
      </c>
      <c r="AI9" s="1088">
        <f>SUMIFS(BP_SOTIEN,BP_DA,$C9,BP_THANG,AI$2,BP_KM,$E9)/1000</f>
        <v>2400000</v>
      </c>
      <c r="AJ9" s="1089" t="str">
        <f t="shared" si="23"/>
        <v/>
      </c>
      <c r="AK9" s="1089" t="str">
        <f t="shared" si="24"/>
        <v/>
      </c>
      <c r="AL9" s="1088">
        <f>SUMIFS(BP_SOTIEN,BP_DA,$C9,BP_THANG,AL$2,BP_KM,$E9)/1000</f>
        <v>2400000</v>
      </c>
      <c r="AM9" s="1089" t="str">
        <f t="shared" si="25"/>
        <v/>
      </c>
      <c r="AN9" s="1089" t="str">
        <f t="shared" si="26"/>
        <v/>
      </c>
      <c r="AO9" s="1091" t="str">
        <f t="shared" si="27"/>
        <v/>
      </c>
      <c r="AP9" s="1088">
        <f>SUMIFS(BP_SOTIEN,BP_DA,$C9,BP_THANG,AP$2,BP_KM,$E9)/1000</f>
        <v>2400000</v>
      </c>
      <c r="AQ9" s="1089" t="str">
        <f t="shared" si="28"/>
        <v/>
      </c>
      <c r="AR9" s="1089" t="str">
        <f t="shared" si="29"/>
        <v/>
      </c>
      <c r="AS9" s="1088">
        <f t="shared" si="30"/>
        <v>2400000</v>
      </c>
      <c r="AT9" s="1089" t="str">
        <f t="shared" si="31"/>
        <v/>
      </c>
      <c r="AU9" s="1089" t="str">
        <f t="shared" si="32"/>
        <v/>
      </c>
      <c r="AV9" s="1088">
        <f>SUMIFS(BP_SOTIEN,BP_DA,$C9,BP_THANG,AV$2,BP_KM,$E9)/1000</f>
        <v>2400000</v>
      </c>
      <c r="AW9" s="1089" t="str">
        <f t="shared" si="33"/>
        <v/>
      </c>
      <c r="AX9" s="1089" t="str">
        <f t="shared" si="34"/>
        <v/>
      </c>
      <c r="AY9" s="1088">
        <f>SUMIFS(BP_SOTIEN,BP_DA,$C9,BP_THANG,AY$2,BP_KM,$E9)/1000</f>
        <v>2400000</v>
      </c>
      <c r="AZ9" s="1089" t="str">
        <f t="shared" si="35"/>
        <v/>
      </c>
      <c r="BA9" s="1089" t="str">
        <f t="shared" si="36"/>
        <v/>
      </c>
      <c r="BB9" s="1088">
        <f>SUMIFS(BP_SOTIEN,BP_DA,$C9,BP_THANG,BB$2,BP_KM,$E9)/1000</f>
        <v>2400000</v>
      </c>
      <c r="BC9" s="1089" t="str">
        <f t="shared" si="37"/>
        <v/>
      </c>
      <c r="BD9" s="1089" t="str">
        <f t="shared" si="38"/>
        <v/>
      </c>
      <c r="BE9" s="1088">
        <f t="shared" si="39"/>
        <v>2400000</v>
      </c>
      <c r="BF9" s="1089" t="str">
        <f t="shared" si="40"/>
        <v/>
      </c>
      <c r="BG9" s="1089" t="str">
        <f t="shared" si="41"/>
        <v/>
      </c>
      <c r="BH9" s="1088">
        <f t="shared" si="42"/>
        <v>4800000</v>
      </c>
      <c r="BI9" s="1089" t="str">
        <f t="shared" si="43"/>
        <v/>
      </c>
      <c r="BJ9" s="1089" t="str">
        <f t="shared" si="44"/>
        <v/>
      </c>
      <c r="BK9" s="1088">
        <f t="shared" si="45"/>
        <v>7200000</v>
      </c>
      <c r="BL9" s="1089" t="str">
        <f t="shared" si="46"/>
        <v/>
      </c>
      <c r="BM9" s="1089" t="str">
        <f t="shared" si="47"/>
        <v/>
      </c>
    </row>
    <row r="10" collapsed="1">
      <c r="A10" s="1101" t="str">
        <f t="shared" si="1"/>
        <v/>
      </c>
      <c r="B10" s="1093" t="s">
        <v>2069</v>
      </c>
      <c r="C10" s="1093"/>
      <c r="D10" s="1093" t="str">
        <f>IF(C10&gt;0,VLOOKUP(C10,DM_DUAN ,2,"") ,IF(B10&gt;0,VLOOKUP(B10,DM_CDT,2,""),""))</f>
        <v>KIMCUONGLAND</v>
      </c>
      <c r="E10" s="1093" t="s">
        <v>187</v>
      </c>
      <c r="F10" s="1093"/>
      <c r="G10" s="1102">
        <v>1.0</v>
      </c>
      <c r="H10" s="1083">
        <f>SUMIF($B11:$B$17,$B10,H11:H$17)</f>
        <v>0</v>
      </c>
      <c r="I10" s="1103" t="str">
        <f t="shared" si="2"/>
        <v/>
      </c>
      <c r="J10" s="1103" t="str">
        <f t="shared" si="3"/>
        <v/>
      </c>
      <c r="K10" s="1083">
        <f>SUMIF($B11:$B$17,$B10,K11:K$17)</f>
        <v>0</v>
      </c>
      <c r="L10" s="1103" t="str">
        <f t="shared" si="4"/>
        <v/>
      </c>
      <c r="M10" s="1103" t="str">
        <f t="shared" si="5"/>
        <v/>
      </c>
      <c r="N10" s="1083">
        <f>SUMIF($B11:$B$17,$B10,N11:N$17)</f>
        <v>0</v>
      </c>
      <c r="O10" s="1103" t="str">
        <f t="shared" si="6"/>
        <v/>
      </c>
      <c r="P10" s="1103" t="str">
        <f t="shared" si="7"/>
        <v/>
      </c>
      <c r="Q10" s="1095">
        <f t="shared" si="8"/>
        <v>0</v>
      </c>
      <c r="R10" s="1103" t="str">
        <f t="shared" si="9"/>
        <v/>
      </c>
      <c r="S10" s="1103" t="str">
        <f t="shared" si="10"/>
        <v/>
      </c>
      <c r="T10" s="1083">
        <f>SUMIF($B11:$B$17,$B10,T11:T$17)</f>
        <v>0</v>
      </c>
      <c r="U10" s="1103" t="str">
        <f t="shared" si="11"/>
        <v/>
      </c>
      <c r="V10" s="1103" t="str">
        <f t="shared" si="12"/>
        <v/>
      </c>
      <c r="W10" s="1083">
        <f>SUMIF($B11:$B$17,$B10,W11:W$17)</f>
        <v>0</v>
      </c>
      <c r="X10" s="1103" t="str">
        <f t="shared" si="13"/>
        <v/>
      </c>
      <c r="Y10" s="1103" t="str">
        <f t="shared" si="14"/>
        <v/>
      </c>
      <c r="Z10" s="1083">
        <f>SUMIF($B11:$B$17,$B10,Z11:Z$17)</f>
        <v>0</v>
      </c>
      <c r="AA10" s="1103" t="str">
        <f t="shared" si="15"/>
        <v/>
      </c>
      <c r="AB10" s="1103" t="str">
        <f t="shared" si="16"/>
        <v/>
      </c>
      <c r="AC10" s="1095">
        <f t="shared" si="17"/>
        <v>0</v>
      </c>
      <c r="AD10" s="1103" t="str">
        <f t="shared" si="18"/>
        <v/>
      </c>
      <c r="AE10" s="1103" t="str">
        <f t="shared" si="19"/>
        <v/>
      </c>
      <c r="AF10" s="1095">
        <f t="shared" si="20"/>
        <v>0</v>
      </c>
      <c r="AG10" s="1103" t="str">
        <f t="shared" si="21"/>
        <v/>
      </c>
      <c r="AH10" s="1103" t="str">
        <f t="shared" si="22"/>
        <v/>
      </c>
      <c r="AI10" s="1083">
        <f>SUMIF($B11:$B$17,$B10,AI11:AI$17)</f>
        <v>0</v>
      </c>
      <c r="AJ10" s="1103" t="str">
        <f t="shared" si="23"/>
        <v/>
      </c>
      <c r="AK10" s="1103" t="str">
        <f t="shared" si="24"/>
        <v/>
      </c>
      <c r="AL10" s="1083">
        <f>SUMIF($B11:$B$17,$B10,AL11:AL$17)</f>
        <v>0</v>
      </c>
      <c r="AM10" s="1103" t="str">
        <f t="shared" si="25"/>
        <v/>
      </c>
      <c r="AN10" s="1103" t="str">
        <f t="shared" si="26"/>
        <v/>
      </c>
      <c r="AO10" s="1106" t="str">
        <f t="shared" si="27"/>
        <v/>
      </c>
      <c r="AP10" s="1083">
        <f>SUMIF($B11:$B$17,$B10,AP11:AP$17)</f>
        <v>0</v>
      </c>
      <c r="AQ10" s="1103" t="str">
        <f t="shared" si="28"/>
        <v/>
      </c>
      <c r="AR10" s="1103" t="str">
        <f t="shared" si="29"/>
        <v/>
      </c>
      <c r="AS10" s="1095">
        <f t="shared" si="30"/>
        <v>0</v>
      </c>
      <c r="AT10" s="1103" t="str">
        <f t="shared" si="31"/>
        <v/>
      </c>
      <c r="AU10" s="1103" t="str">
        <f t="shared" si="32"/>
        <v/>
      </c>
      <c r="AV10" s="1083">
        <f>SUMIF($B11:$B$17,$B10,AV11:AV$17)</f>
        <v>0</v>
      </c>
      <c r="AW10" s="1103" t="str">
        <f t="shared" si="33"/>
        <v/>
      </c>
      <c r="AX10" s="1103" t="str">
        <f t="shared" si="34"/>
        <v/>
      </c>
      <c r="AY10" s="1083">
        <f>SUMIF($B11:$B$17,$B10,AY11:AY$17)</f>
        <v>0</v>
      </c>
      <c r="AZ10" s="1103" t="str">
        <f t="shared" si="35"/>
        <v/>
      </c>
      <c r="BA10" s="1103" t="str">
        <f t="shared" si="36"/>
        <v/>
      </c>
      <c r="BB10" s="1083">
        <f>SUMIF($B11:$B$17,$B10,BB11:BB$17)</f>
        <v>0</v>
      </c>
      <c r="BC10" s="1103" t="str">
        <f t="shared" si="37"/>
        <v/>
      </c>
      <c r="BD10" s="1103" t="str">
        <f t="shared" si="38"/>
        <v/>
      </c>
      <c r="BE10" s="1095">
        <f t="shared" si="39"/>
        <v>0</v>
      </c>
      <c r="BF10" s="1103" t="str">
        <f t="shared" si="40"/>
        <v/>
      </c>
      <c r="BG10" s="1103" t="str">
        <f t="shared" si="41"/>
        <v/>
      </c>
      <c r="BH10" s="1095">
        <f t="shared" si="42"/>
        <v>0</v>
      </c>
      <c r="BI10" s="1103" t="str">
        <f t="shared" si="43"/>
        <v/>
      </c>
      <c r="BJ10" s="1103" t="str">
        <f t="shared" si="44"/>
        <v/>
      </c>
      <c r="BK10" s="1095">
        <f t="shared" si="45"/>
        <v>0</v>
      </c>
      <c r="BL10" s="1103" t="str">
        <f t="shared" si="46"/>
        <v/>
      </c>
      <c r="BM10" s="1103" t="str">
        <f t="shared" si="47"/>
        <v/>
      </c>
    </row>
    <row r="11" hidden="1" outlineLevel="1">
      <c r="A11" s="1086">
        <f t="shared" si="1"/>
        <v>5</v>
      </c>
      <c r="B11" s="1087" t="s">
        <v>2069</v>
      </c>
      <c r="C11" s="656" t="s">
        <v>638</v>
      </c>
      <c r="D11" s="1087" t="str">
        <f>IF(C11&gt;0,VLOOKUP(C11,DM_DUAN ,2,"") ,IF(B11&gt;0,VLOOKUP(B11,DM_CDT,2,""),""))</f>
        <v>Sản phẩm Phước Vinh</v>
      </c>
      <c r="E11" s="1087" t="s">
        <v>187</v>
      </c>
      <c r="F11" s="1087"/>
      <c r="G11" s="1086">
        <v>2.0</v>
      </c>
      <c r="H11" s="1088">
        <f>SUMIFS(BP_SOTIEN,BP_DA,$C11,BP_THANG,H$2,BP_KM,$E11)/1000</f>
        <v>0</v>
      </c>
      <c r="I11" s="1089" t="str">
        <f t="shared" si="2"/>
        <v/>
      </c>
      <c r="J11" s="1089" t="str">
        <f t="shared" si="3"/>
        <v/>
      </c>
      <c r="K11" s="1088">
        <f>SUMIFS(BP_SOTIEN,BP_DA,$C11,BP_THANG,K$2,BP_KM,$E11)/1000</f>
        <v>0</v>
      </c>
      <c r="L11" s="1089" t="str">
        <f t="shared" si="4"/>
        <v/>
      </c>
      <c r="M11" s="1089" t="str">
        <f t="shared" si="5"/>
        <v/>
      </c>
      <c r="N11" s="1088">
        <f>SUMIFS(BP_SOTIEN,BP_DA,$C11,BP_THANG,N$2,BP_KM,$E11)/1000</f>
        <v>0</v>
      </c>
      <c r="O11" s="1089" t="str">
        <f t="shared" si="6"/>
        <v/>
      </c>
      <c r="P11" s="1089" t="str">
        <f t="shared" si="7"/>
        <v/>
      </c>
      <c r="Q11" s="1088">
        <f t="shared" si="8"/>
        <v>0</v>
      </c>
      <c r="R11" s="1089" t="str">
        <f t="shared" si="9"/>
        <v/>
      </c>
      <c r="S11" s="1089" t="str">
        <f t="shared" si="10"/>
        <v/>
      </c>
      <c r="T11" s="1088">
        <f>SUMIFS(BP_SOTIEN,BP_DA,$C11,BP_THANG,T$2,BP_KM,$E11)/1000</f>
        <v>0</v>
      </c>
      <c r="U11" s="1089" t="str">
        <f t="shared" si="11"/>
        <v/>
      </c>
      <c r="V11" s="1089" t="str">
        <f t="shared" si="12"/>
        <v/>
      </c>
      <c r="W11" s="1088">
        <f>SUMIFS(BP_SOTIEN,BP_DA,$C11,BP_THANG,W$2,BP_KM,$E11)/1000</f>
        <v>0</v>
      </c>
      <c r="X11" s="1089" t="str">
        <f t="shared" si="13"/>
        <v/>
      </c>
      <c r="Y11" s="1089" t="str">
        <f t="shared" si="14"/>
        <v/>
      </c>
      <c r="Z11" s="1088">
        <f>SUMIFS(BP_SOTIEN,BP_DA,$C11,BP_THANG,Z$2,BP_KM,$E11)/1000</f>
        <v>0</v>
      </c>
      <c r="AA11" s="1089" t="str">
        <f t="shared" si="15"/>
        <v/>
      </c>
      <c r="AB11" s="1089" t="str">
        <f t="shared" si="16"/>
        <v/>
      </c>
      <c r="AC11" s="1088">
        <f t="shared" si="17"/>
        <v>0</v>
      </c>
      <c r="AD11" s="1089" t="str">
        <f t="shared" si="18"/>
        <v/>
      </c>
      <c r="AE11" s="1089" t="str">
        <f t="shared" si="19"/>
        <v/>
      </c>
      <c r="AF11" s="1088">
        <f t="shared" si="20"/>
        <v>0</v>
      </c>
      <c r="AG11" s="1089" t="str">
        <f t="shared" si="21"/>
        <v/>
      </c>
      <c r="AH11" s="1089" t="str">
        <f t="shared" si="22"/>
        <v/>
      </c>
      <c r="AI11" s="1088">
        <f>SUMIFS(BP_SOTIEN,BP_DA,$C11,BP_THANG,AI$2,BP_KM,$E11)/1000</f>
        <v>0</v>
      </c>
      <c r="AJ11" s="1089" t="str">
        <f t="shared" si="23"/>
        <v/>
      </c>
      <c r="AK11" s="1089" t="str">
        <f t="shared" si="24"/>
        <v/>
      </c>
      <c r="AL11" s="1088">
        <f>SUMIFS(BP_SOTIEN,BP_DA,$C11,BP_THANG,AL$2,BP_KM,$E11)/1000</f>
        <v>0</v>
      </c>
      <c r="AM11" s="1089" t="str">
        <f t="shared" si="25"/>
        <v/>
      </c>
      <c r="AN11" s="1089" t="str">
        <f t="shared" si="26"/>
        <v/>
      </c>
      <c r="AO11" s="1091" t="str">
        <f t="shared" si="27"/>
        <v/>
      </c>
      <c r="AP11" s="1088">
        <f>SUMIFS(BP_SOTIEN,BP_DA,$C11,BP_THANG,AP$2,BP_KM,$E11)/1000</f>
        <v>0</v>
      </c>
      <c r="AQ11" s="1089" t="str">
        <f t="shared" si="28"/>
        <v/>
      </c>
      <c r="AR11" s="1089" t="str">
        <f t="shared" si="29"/>
        <v/>
      </c>
      <c r="AS11" s="1088">
        <f t="shared" si="30"/>
        <v>0</v>
      </c>
      <c r="AT11" s="1089" t="str">
        <f t="shared" si="31"/>
        <v/>
      </c>
      <c r="AU11" s="1089" t="str">
        <f t="shared" si="32"/>
        <v/>
      </c>
      <c r="AV11" s="1088">
        <f>SUMIFS(BP_SOTIEN,BP_DA,$C11,BP_THANG,AV$2,BP_KM,$E11)/1000</f>
        <v>0</v>
      </c>
      <c r="AW11" s="1089" t="str">
        <f t="shared" si="33"/>
        <v/>
      </c>
      <c r="AX11" s="1089" t="str">
        <f t="shared" si="34"/>
        <v/>
      </c>
      <c r="AY11" s="1088">
        <f>SUMIFS(BP_SOTIEN,BP_DA,$C11,BP_THANG,AY$2,BP_KM,$E11)/1000</f>
        <v>0</v>
      </c>
      <c r="AZ11" s="1089" t="str">
        <f t="shared" si="35"/>
        <v/>
      </c>
      <c r="BA11" s="1089" t="str">
        <f t="shared" si="36"/>
        <v/>
      </c>
      <c r="BB11" s="1088">
        <f>SUMIFS(BP_SOTIEN,BP_DA,$C11,BP_THANG,BB$2,BP_KM,$E11)/1000</f>
        <v>0</v>
      </c>
      <c r="BC11" s="1089" t="str">
        <f t="shared" si="37"/>
        <v/>
      </c>
      <c r="BD11" s="1089" t="str">
        <f t="shared" si="38"/>
        <v/>
      </c>
      <c r="BE11" s="1088">
        <f t="shared" si="39"/>
        <v>0</v>
      </c>
      <c r="BF11" s="1089" t="str">
        <f t="shared" si="40"/>
        <v/>
      </c>
      <c r="BG11" s="1089" t="str">
        <f t="shared" si="41"/>
        <v/>
      </c>
      <c r="BH11" s="1088">
        <f t="shared" si="42"/>
        <v>0</v>
      </c>
      <c r="BI11" s="1089" t="str">
        <f t="shared" si="43"/>
        <v/>
      </c>
      <c r="BJ11" s="1089" t="str">
        <f t="shared" si="44"/>
        <v/>
      </c>
      <c r="BK11" s="1088">
        <f t="shared" si="45"/>
        <v>0</v>
      </c>
      <c r="BL11" s="1089" t="str">
        <f t="shared" si="46"/>
        <v/>
      </c>
      <c r="BM11" s="1089" t="str">
        <f t="shared" si="47"/>
        <v/>
      </c>
    </row>
    <row r="12" hidden="1" outlineLevel="1">
      <c r="A12" s="1086">
        <f t="shared" si="1"/>
        <v>6</v>
      </c>
      <c r="B12" s="1087" t="s">
        <v>2069</v>
      </c>
      <c r="C12" s="1087" t="s">
        <v>875</v>
      </c>
      <c r="D12" s="1087" t="str">
        <f>IF(C12&gt;0,VLOOKUP(C12,DM_DUAN ,2,"") ,IF(B12&gt;0,VLOOKUP(B12,DM_CDT,2,""),""))</f>
        <v>Sản phẩm Long Khánh 2</v>
      </c>
      <c r="E12" s="1087" t="s">
        <v>187</v>
      </c>
      <c r="F12" s="1087"/>
      <c r="G12" s="1086">
        <v>2.0</v>
      </c>
      <c r="H12" s="1088">
        <f>SUMIFS(BP_SOTIEN,BP_DA,$C12,BP_THANG,H$2,BP_KM,$E12)/1000</f>
        <v>0</v>
      </c>
      <c r="I12" s="1089" t="str">
        <f t="shared" si="2"/>
        <v/>
      </c>
      <c r="J12" s="1089" t="str">
        <f t="shared" si="3"/>
        <v/>
      </c>
      <c r="K12" s="1088">
        <f>SUMIFS(BP_SOTIEN,BP_DA,$C12,BP_THANG,K$2,BP_KM,$E12)/1000</f>
        <v>0</v>
      </c>
      <c r="L12" s="1089" t="str">
        <f t="shared" si="4"/>
        <v/>
      </c>
      <c r="M12" s="1089" t="str">
        <f t="shared" si="5"/>
        <v/>
      </c>
      <c r="N12" s="1088">
        <f>SUMIFS(BP_SOTIEN,BP_DA,$C12,BP_THANG,N$2,BP_KM,$E12)/1000</f>
        <v>0</v>
      </c>
      <c r="O12" s="1089" t="str">
        <f t="shared" si="6"/>
        <v/>
      </c>
      <c r="P12" s="1089" t="str">
        <f t="shared" si="7"/>
        <v/>
      </c>
      <c r="Q12" s="1088">
        <f t="shared" si="8"/>
        <v>0</v>
      </c>
      <c r="R12" s="1089" t="str">
        <f t="shared" si="9"/>
        <v/>
      </c>
      <c r="S12" s="1089" t="str">
        <f t="shared" si="10"/>
        <v/>
      </c>
      <c r="T12" s="1088">
        <f>SUMIFS(BP_SOTIEN,BP_DA,$C12,BP_THANG,T$2,BP_KM,$E12)/1000</f>
        <v>0</v>
      </c>
      <c r="U12" s="1089" t="str">
        <f t="shared" si="11"/>
        <v/>
      </c>
      <c r="V12" s="1089" t="str">
        <f t="shared" si="12"/>
        <v/>
      </c>
      <c r="W12" s="1088">
        <f>SUMIFS(BP_SOTIEN,BP_DA,$C12,BP_THANG,W$2,BP_KM,$E12)/1000</f>
        <v>0</v>
      </c>
      <c r="X12" s="1089" t="str">
        <f t="shared" si="13"/>
        <v/>
      </c>
      <c r="Y12" s="1089" t="str">
        <f t="shared" si="14"/>
        <v/>
      </c>
      <c r="Z12" s="1088">
        <f>SUMIFS(BP_SOTIEN,BP_DA,$C12,BP_THANG,Z$2,BP_KM,$E12)/1000</f>
        <v>0</v>
      </c>
      <c r="AA12" s="1089" t="str">
        <f t="shared" si="15"/>
        <v/>
      </c>
      <c r="AB12" s="1089" t="str">
        <f t="shared" si="16"/>
        <v/>
      </c>
      <c r="AC12" s="1088">
        <f t="shared" si="17"/>
        <v>0</v>
      </c>
      <c r="AD12" s="1089" t="str">
        <f t="shared" si="18"/>
        <v/>
      </c>
      <c r="AE12" s="1089" t="str">
        <f t="shared" si="19"/>
        <v/>
      </c>
      <c r="AF12" s="1088">
        <f t="shared" si="20"/>
        <v>0</v>
      </c>
      <c r="AG12" s="1089" t="str">
        <f t="shared" si="21"/>
        <v/>
      </c>
      <c r="AH12" s="1089" t="str">
        <f t="shared" si="22"/>
        <v/>
      </c>
      <c r="AI12" s="1088">
        <f>SUMIFS(BP_SOTIEN,BP_DA,$C12,BP_THANG,AI$2,BP_KM,$E12)/1000</f>
        <v>0</v>
      </c>
      <c r="AJ12" s="1089" t="str">
        <f t="shared" si="23"/>
        <v/>
      </c>
      <c r="AK12" s="1089" t="str">
        <f t="shared" si="24"/>
        <v/>
      </c>
      <c r="AL12" s="1088">
        <f>SUMIFS(BP_SOTIEN,BP_DA,$C12,BP_THANG,AL$2,BP_KM,$E12)/1000</f>
        <v>0</v>
      </c>
      <c r="AM12" s="1089" t="str">
        <f t="shared" si="25"/>
        <v/>
      </c>
      <c r="AN12" s="1089" t="str">
        <f t="shared" si="26"/>
        <v/>
      </c>
      <c r="AO12" s="1091" t="str">
        <f t="shared" si="27"/>
        <v/>
      </c>
      <c r="AP12" s="1088">
        <f>SUMIFS(BP_SOTIEN,BP_DA,$C12,BP_THANG,AP$2,BP_KM,$E12)/1000</f>
        <v>0</v>
      </c>
      <c r="AQ12" s="1089" t="str">
        <f t="shared" si="28"/>
        <v/>
      </c>
      <c r="AR12" s="1089" t="str">
        <f t="shared" si="29"/>
        <v/>
      </c>
      <c r="AS12" s="1088">
        <f t="shared" si="30"/>
        <v>0</v>
      </c>
      <c r="AT12" s="1089" t="str">
        <f t="shared" si="31"/>
        <v/>
      </c>
      <c r="AU12" s="1089" t="str">
        <f t="shared" si="32"/>
        <v/>
      </c>
      <c r="AV12" s="1088">
        <f>SUMIFS(BP_SOTIEN,BP_DA,$C12,BP_THANG,AV$2,BP_KM,$E12)/1000</f>
        <v>0</v>
      </c>
      <c r="AW12" s="1089" t="str">
        <f t="shared" si="33"/>
        <v/>
      </c>
      <c r="AX12" s="1089" t="str">
        <f t="shared" si="34"/>
        <v/>
      </c>
      <c r="AY12" s="1088">
        <f>SUMIFS(BP_SOTIEN,BP_DA,$C12,BP_THANG,AY$2,BP_KM,$E12)/1000</f>
        <v>0</v>
      </c>
      <c r="AZ12" s="1089" t="str">
        <f t="shared" si="35"/>
        <v/>
      </c>
      <c r="BA12" s="1089" t="str">
        <f t="shared" si="36"/>
        <v/>
      </c>
      <c r="BB12" s="1088">
        <f>SUMIFS(BP_SOTIEN,BP_DA,$C12,BP_THANG,BB$2,BP_KM,$E12)/1000</f>
        <v>0</v>
      </c>
      <c r="BC12" s="1089" t="str">
        <f t="shared" si="37"/>
        <v/>
      </c>
      <c r="BD12" s="1089" t="str">
        <f t="shared" si="38"/>
        <v/>
      </c>
      <c r="BE12" s="1088">
        <f t="shared" si="39"/>
        <v>0</v>
      </c>
      <c r="BF12" s="1089" t="str">
        <f t="shared" si="40"/>
        <v/>
      </c>
      <c r="BG12" s="1089" t="str">
        <f t="shared" si="41"/>
        <v/>
      </c>
      <c r="BH12" s="1088">
        <f t="shared" si="42"/>
        <v>0</v>
      </c>
      <c r="BI12" s="1089" t="str">
        <f t="shared" si="43"/>
        <v/>
      </c>
      <c r="BJ12" s="1089" t="str">
        <f t="shared" si="44"/>
        <v/>
      </c>
      <c r="BK12" s="1088">
        <f t="shared" si="45"/>
        <v>0</v>
      </c>
      <c r="BL12" s="1089" t="str">
        <f t="shared" si="46"/>
        <v/>
      </c>
      <c r="BM12" s="1089" t="str">
        <f t="shared" si="47"/>
        <v/>
      </c>
    </row>
    <row r="13" hidden="1" outlineLevel="1">
      <c r="A13" s="1086">
        <f t="shared" si="1"/>
        <v>7</v>
      </c>
      <c r="B13" s="1087" t="s">
        <v>2069</v>
      </c>
      <c r="C13" s="1087" t="s">
        <v>636</v>
      </c>
      <c r="D13" s="1087" t="str">
        <f>IF(C13&gt;0,VLOOKUP(C13,DM_DUAN ,2,"") ,IF(B13&gt;0,VLOOKUP(B13,DM_CDT,2,""),""))</f>
        <v>Sản phẩm Long Khánh 3</v>
      </c>
      <c r="E13" s="1087" t="s">
        <v>187</v>
      </c>
      <c r="F13" s="1087"/>
      <c r="G13" s="1086">
        <v>2.0</v>
      </c>
      <c r="H13" s="1088">
        <f>SUMIFS(BP_SOTIEN,BP_DA,$C13,BP_THANG,H$2,BP_KM,$E13)/1000</f>
        <v>0</v>
      </c>
      <c r="I13" s="1089" t="str">
        <f t="shared" si="2"/>
        <v/>
      </c>
      <c r="J13" s="1089" t="str">
        <f t="shared" si="3"/>
        <v/>
      </c>
      <c r="K13" s="1088">
        <f>SUMIFS(BP_SOTIEN,BP_DA,$C13,BP_THANG,K$2,BP_KM,$E13)/1000</f>
        <v>0</v>
      </c>
      <c r="L13" s="1089" t="str">
        <f t="shared" si="4"/>
        <v/>
      </c>
      <c r="M13" s="1089" t="str">
        <f t="shared" si="5"/>
        <v/>
      </c>
      <c r="N13" s="1088">
        <f>SUMIFS(BP_SOTIEN,BP_DA,$C13,BP_THANG,N$2,BP_KM,$E13)/1000</f>
        <v>0</v>
      </c>
      <c r="O13" s="1089" t="str">
        <f t="shared" si="6"/>
        <v/>
      </c>
      <c r="P13" s="1089" t="str">
        <f t="shared" si="7"/>
        <v/>
      </c>
      <c r="Q13" s="1088">
        <f t="shared" si="8"/>
        <v>0</v>
      </c>
      <c r="R13" s="1089" t="str">
        <f t="shared" si="9"/>
        <v/>
      </c>
      <c r="S13" s="1089" t="str">
        <f t="shared" si="10"/>
        <v/>
      </c>
      <c r="T13" s="1088">
        <f>SUMIFS(BP_SOTIEN,BP_DA,$C13,BP_THANG,T$2,BP_KM,$E13)/1000</f>
        <v>0</v>
      </c>
      <c r="U13" s="1089" t="str">
        <f t="shared" si="11"/>
        <v/>
      </c>
      <c r="V13" s="1089" t="str">
        <f t="shared" si="12"/>
        <v/>
      </c>
      <c r="W13" s="1088">
        <f>SUMIFS(BP_SOTIEN,BP_DA,$C13,BP_THANG,W$2,BP_KM,$E13)/1000</f>
        <v>0</v>
      </c>
      <c r="X13" s="1089" t="str">
        <f t="shared" si="13"/>
        <v/>
      </c>
      <c r="Y13" s="1089" t="str">
        <f t="shared" si="14"/>
        <v/>
      </c>
      <c r="Z13" s="1088">
        <f>SUMIFS(BP_SOTIEN,BP_DA,$C13,BP_THANG,Z$2,BP_KM,$E13)/1000</f>
        <v>0</v>
      </c>
      <c r="AA13" s="1089" t="str">
        <f t="shared" si="15"/>
        <v/>
      </c>
      <c r="AB13" s="1089" t="str">
        <f t="shared" si="16"/>
        <v/>
      </c>
      <c r="AC13" s="1088">
        <f t="shared" si="17"/>
        <v>0</v>
      </c>
      <c r="AD13" s="1089" t="str">
        <f t="shared" si="18"/>
        <v/>
      </c>
      <c r="AE13" s="1089" t="str">
        <f t="shared" si="19"/>
        <v/>
      </c>
      <c r="AF13" s="1088">
        <f t="shared" si="20"/>
        <v>0</v>
      </c>
      <c r="AG13" s="1089" t="str">
        <f t="shared" si="21"/>
        <v/>
      </c>
      <c r="AH13" s="1089" t="str">
        <f t="shared" si="22"/>
        <v/>
      </c>
      <c r="AI13" s="1088">
        <f>SUMIFS(BP_SOTIEN,BP_DA,$C13,BP_THANG,AI$2,BP_KM,$E13)/1000</f>
        <v>0</v>
      </c>
      <c r="AJ13" s="1089" t="str">
        <f t="shared" si="23"/>
        <v/>
      </c>
      <c r="AK13" s="1089" t="str">
        <f t="shared" si="24"/>
        <v/>
      </c>
      <c r="AL13" s="1088">
        <f>SUMIFS(BP_SOTIEN,BP_DA,$C13,BP_THANG,AL$2,BP_KM,$E13)/1000</f>
        <v>0</v>
      </c>
      <c r="AM13" s="1089" t="str">
        <f t="shared" si="25"/>
        <v/>
      </c>
      <c r="AN13" s="1089" t="str">
        <f t="shared" si="26"/>
        <v/>
      </c>
      <c r="AO13" s="1091" t="str">
        <f t="shared" si="27"/>
        <v/>
      </c>
      <c r="AP13" s="1088">
        <f>SUMIFS(BP_SOTIEN,BP_DA,$C13,BP_THANG,AP$2,BP_KM,$E13)/1000</f>
        <v>0</v>
      </c>
      <c r="AQ13" s="1089" t="str">
        <f t="shared" si="28"/>
        <v/>
      </c>
      <c r="AR13" s="1089" t="str">
        <f t="shared" si="29"/>
        <v/>
      </c>
      <c r="AS13" s="1088">
        <f t="shared" si="30"/>
        <v>0</v>
      </c>
      <c r="AT13" s="1089" t="str">
        <f t="shared" si="31"/>
        <v/>
      </c>
      <c r="AU13" s="1089" t="str">
        <f t="shared" si="32"/>
        <v/>
      </c>
      <c r="AV13" s="1088">
        <f>SUMIFS(BP_SOTIEN,BP_DA,$C13,BP_THANG,AV$2,BP_KM,$E13)/1000</f>
        <v>0</v>
      </c>
      <c r="AW13" s="1089" t="str">
        <f t="shared" si="33"/>
        <v/>
      </c>
      <c r="AX13" s="1089" t="str">
        <f t="shared" si="34"/>
        <v/>
      </c>
      <c r="AY13" s="1088">
        <f>SUMIFS(BP_SOTIEN,BP_DA,$C13,BP_THANG,AY$2,BP_KM,$E13)/1000</f>
        <v>0</v>
      </c>
      <c r="AZ13" s="1089" t="str">
        <f t="shared" si="35"/>
        <v/>
      </c>
      <c r="BA13" s="1089" t="str">
        <f t="shared" si="36"/>
        <v/>
      </c>
      <c r="BB13" s="1088">
        <f>SUMIFS(BP_SOTIEN,BP_DA,$C13,BP_THANG,BB$2,BP_KM,$E13)/1000</f>
        <v>0</v>
      </c>
      <c r="BC13" s="1089" t="str">
        <f t="shared" si="37"/>
        <v/>
      </c>
      <c r="BD13" s="1089" t="str">
        <f t="shared" si="38"/>
        <v/>
      </c>
      <c r="BE13" s="1088">
        <f t="shared" si="39"/>
        <v>0</v>
      </c>
      <c r="BF13" s="1089" t="str">
        <f t="shared" si="40"/>
        <v/>
      </c>
      <c r="BG13" s="1089" t="str">
        <f t="shared" si="41"/>
        <v/>
      </c>
      <c r="BH13" s="1088">
        <f t="shared" si="42"/>
        <v>0</v>
      </c>
      <c r="BI13" s="1089" t="str">
        <f t="shared" si="43"/>
        <v/>
      </c>
      <c r="BJ13" s="1089" t="str">
        <f t="shared" si="44"/>
        <v/>
      </c>
      <c r="BK13" s="1088">
        <f t="shared" si="45"/>
        <v>0</v>
      </c>
      <c r="BL13" s="1089" t="str">
        <f t="shared" si="46"/>
        <v/>
      </c>
      <c r="BM13" s="1089" t="str">
        <f t="shared" si="47"/>
        <v/>
      </c>
    </row>
    <row r="14" collapsed="1">
      <c r="A14" s="1101" t="str">
        <f t="shared" si="1"/>
        <v/>
      </c>
      <c r="B14" s="1093" t="s">
        <v>2821</v>
      </c>
      <c r="C14" s="1093"/>
      <c r="D14" s="1093" t="str">
        <f>IF(C14&gt;0,VLOOKUP(C14,DM_DUAN ,2,"") ,IF(B14&gt;0,VLOOKUP(B14,DM_CDT,2,""),""))</f>
        <v>CLOUD LAND</v>
      </c>
      <c r="E14" s="1093" t="s">
        <v>187</v>
      </c>
      <c r="F14" s="1093"/>
      <c r="G14" s="1102">
        <v>1.0</v>
      </c>
      <c r="H14" s="1083">
        <f>SUMIF($B15:$B$17,$B14,H15:H$17)</f>
        <v>0</v>
      </c>
      <c r="I14" s="1103" t="str">
        <f t="shared" si="2"/>
        <v/>
      </c>
      <c r="J14" s="1103" t="str">
        <f t="shared" si="3"/>
        <v/>
      </c>
      <c r="K14" s="1083">
        <f>SUMIF($B15:$B$17,$B14,K15:K$17)</f>
        <v>0</v>
      </c>
      <c r="L14" s="1103" t="str">
        <f t="shared" si="4"/>
        <v/>
      </c>
      <c r="M14" s="1103" t="str">
        <f t="shared" si="5"/>
        <v/>
      </c>
      <c r="N14" s="1083">
        <f>SUMIF($B15:$B$17,$B14,N15:N$17)</f>
        <v>0</v>
      </c>
      <c r="O14" s="1103" t="str">
        <f t="shared" si="6"/>
        <v/>
      </c>
      <c r="P14" s="1103" t="str">
        <f t="shared" si="7"/>
        <v/>
      </c>
      <c r="Q14" s="1095">
        <f t="shared" si="8"/>
        <v>0</v>
      </c>
      <c r="R14" s="1103" t="str">
        <f t="shared" si="9"/>
        <v/>
      </c>
      <c r="S14" s="1103" t="str">
        <f t="shared" si="10"/>
        <v/>
      </c>
      <c r="T14" s="1083">
        <f>SUMIF($B15:$B$17,$B14,T15:T$17)</f>
        <v>0</v>
      </c>
      <c r="U14" s="1103" t="str">
        <f t="shared" si="11"/>
        <v/>
      </c>
      <c r="V14" s="1103" t="str">
        <f t="shared" si="12"/>
        <v/>
      </c>
      <c r="W14" s="1083">
        <f>SUMIF($B15:$B$17,$B14,W15:W$17)</f>
        <v>0</v>
      </c>
      <c r="X14" s="1103" t="str">
        <f t="shared" si="13"/>
        <v/>
      </c>
      <c r="Y14" s="3"/>
      <c r="Z14" s="1083">
        <f>SUMIF($B15:$B$17,$B14,Z15:Z$17)</f>
        <v>0</v>
      </c>
      <c r="AA14" s="1103" t="str">
        <f t="shared" si="15"/>
        <v/>
      </c>
      <c r="AB14" s="1103" t="str">
        <f t="shared" si="16"/>
        <v/>
      </c>
      <c r="AC14" s="1095">
        <f t="shared" si="17"/>
        <v>0</v>
      </c>
      <c r="AD14" s="1103" t="str">
        <f t="shared" si="18"/>
        <v/>
      </c>
      <c r="AE14" s="1103" t="str">
        <f t="shared" si="19"/>
        <v/>
      </c>
      <c r="AF14" s="1095">
        <f t="shared" si="20"/>
        <v>0</v>
      </c>
      <c r="AG14" s="1103" t="str">
        <f t="shared" si="21"/>
        <v/>
      </c>
      <c r="AH14" s="1103" t="str">
        <f t="shared" si="22"/>
        <v/>
      </c>
      <c r="AI14" s="1083">
        <f>SUMIF($B15:$B$17,$B14,AI15:AI$17)</f>
        <v>0</v>
      </c>
      <c r="AJ14" s="1103" t="str">
        <f t="shared" si="23"/>
        <v/>
      </c>
      <c r="AK14" s="1103" t="str">
        <f t="shared" si="24"/>
        <v/>
      </c>
      <c r="AL14" s="1083">
        <f>SUMIF($B15:$B$17,$B14,AL15:AL$17)</f>
        <v>0</v>
      </c>
      <c r="AM14" s="1103" t="str">
        <f t="shared" si="25"/>
        <v/>
      </c>
      <c r="AN14" s="1103" t="str">
        <f t="shared" si="26"/>
        <v/>
      </c>
      <c r="AO14" s="1106" t="str">
        <f t="shared" si="27"/>
        <v/>
      </c>
      <c r="AP14" s="1083">
        <f>SUMIF($B15:$B$17,$B14,AP15:AP$17)</f>
        <v>0</v>
      </c>
      <c r="AQ14" s="1103" t="str">
        <f t="shared" si="28"/>
        <v/>
      </c>
      <c r="AR14" s="1103" t="str">
        <f t="shared" si="29"/>
        <v/>
      </c>
      <c r="AS14" s="1095">
        <f t="shared" si="30"/>
        <v>0</v>
      </c>
      <c r="AT14" s="1103" t="str">
        <f t="shared" si="31"/>
        <v/>
      </c>
      <c r="AU14" s="1103" t="str">
        <f t="shared" si="32"/>
        <v/>
      </c>
      <c r="AV14" s="1083">
        <f>SUMIF($B15:$B$17,$B14,AV15:AV$17)</f>
        <v>0</v>
      </c>
      <c r="AW14" s="1103" t="str">
        <f t="shared" si="33"/>
        <v/>
      </c>
      <c r="AX14" s="1103" t="str">
        <f t="shared" si="34"/>
        <v/>
      </c>
      <c r="AY14" s="1083">
        <f>SUMIF($B15:$B$17,$B14,AY15:AY$17)</f>
        <v>0</v>
      </c>
      <c r="AZ14" s="1103" t="str">
        <f t="shared" si="35"/>
        <v/>
      </c>
      <c r="BA14" s="1103" t="str">
        <f t="shared" si="36"/>
        <v/>
      </c>
      <c r="BB14" s="1083">
        <f>SUMIF($B15:$B$17,$B14,BB15:BB$17)</f>
        <v>0</v>
      </c>
      <c r="BC14" s="1103" t="str">
        <f t="shared" si="37"/>
        <v/>
      </c>
      <c r="BD14" s="1103" t="str">
        <f t="shared" si="38"/>
        <v/>
      </c>
      <c r="BE14" s="1095">
        <f t="shared" si="39"/>
        <v>0</v>
      </c>
      <c r="BF14" s="1103" t="str">
        <f t="shared" si="40"/>
        <v/>
      </c>
      <c r="BG14" s="1103" t="str">
        <f t="shared" si="41"/>
        <v/>
      </c>
      <c r="BH14" s="1095">
        <f t="shared" si="42"/>
        <v>0</v>
      </c>
      <c r="BI14" s="1103" t="str">
        <f t="shared" si="43"/>
        <v/>
      </c>
      <c r="BJ14" s="1103" t="str">
        <f t="shared" si="44"/>
        <v/>
      </c>
      <c r="BK14" s="1095">
        <f t="shared" si="45"/>
        <v>0</v>
      </c>
      <c r="BL14" s="1103" t="str">
        <f t="shared" si="46"/>
        <v/>
      </c>
      <c r="BM14" s="1103" t="str">
        <f t="shared" si="47"/>
        <v/>
      </c>
    </row>
    <row r="15" hidden="1" outlineLevel="1">
      <c r="A15" s="1086">
        <f t="shared" si="1"/>
        <v>8</v>
      </c>
      <c r="B15" s="1087" t="s">
        <v>2821</v>
      </c>
      <c r="C15" s="1087" t="s">
        <v>956</v>
      </c>
      <c r="D15" s="1087" t="str">
        <f>IF(C15&gt;0,VLOOKUP(C15,DM_DUAN ,2,"") ,IF(B15&gt;0,VLOOKUP(B15,DM_CDT,2,""),""))</f>
        <v>KDC Lộc Ngãi</v>
      </c>
      <c r="E15" s="1087" t="s">
        <v>187</v>
      </c>
      <c r="F15" s="1087"/>
      <c r="G15" s="1086">
        <v>2.0</v>
      </c>
      <c r="H15" s="1088">
        <f>SUMIFS(BP_SOTIEN,BP_DA,$C15,BP_THANG,H$2,BP_KM,$E15)/1000</f>
        <v>0</v>
      </c>
      <c r="I15" s="1089" t="str">
        <f t="shared" si="2"/>
        <v/>
      </c>
      <c r="J15" s="1089" t="str">
        <f t="shared" si="3"/>
        <v/>
      </c>
      <c r="K15" s="1088">
        <f>SUMIFS(BP_SOTIEN,BP_DA,$C15,BP_THANG,K$2,BP_KM,$E15)/1000</f>
        <v>0</v>
      </c>
      <c r="L15" s="1089" t="str">
        <f t="shared" si="4"/>
        <v/>
      </c>
      <c r="M15" s="1089" t="str">
        <f t="shared" si="5"/>
        <v/>
      </c>
      <c r="N15" s="1088">
        <f>SUMIFS(BP_SOTIEN,BP_DA,$C15,BP_THANG,N$2,BP_KM,$E15)/1000</f>
        <v>0</v>
      </c>
      <c r="O15" s="1089" t="str">
        <f t="shared" si="6"/>
        <v/>
      </c>
      <c r="P15" s="1089" t="str">
        <f t="shared" si="7"/>
        <v/>
      </c>
      <c r="Q15" s="1088">
        <f t="shared" si="8"/>
        <v>0</v>
      </c>
      <c r="R15" s="1089" t="str">
        <f t="shared" si="9"/>
        <v/>
      </c>
      <c r="S15" s="1089" t="str">
        <f t="shared" si="10"/>
        <v/>
      </c>
      <c r="T15" s="1088">
        <f>SUMIFS(BP_SOTIEN,BP_DA,$C15,BP_THANG,T$2,BP_KM,$E15)/1000</f>
        <v>0</v>
      </c>
      <c r="U15" s="1089" t="str">
        <f t="shared" si="11"/>
        <v/>
      </c>
      <c r="V15" s="1089" t="str">
        <f t="shared" si="12"/>
        <v/>
      </c>
      <c r="W15" s="1088">
        <f>SUMIFS(BP_SOTIEN,BP_DA,$C15,BP_THANG,W$2,BP_KM,$E15)/1000</f>
        <v>0</v>
      </c>
      <c r="X15" s="1089" t="str">
        <f t="shared" si="13"/>
        <v/>
      </c>
      <c r="Y15" s="1089" t="str">
        <f t="shared" ref="Y15:Y17" si="48">IFERROR(W15/#REF!,"")</f>
        <v/>
      </c>
      <c r="Z15" s="1088">
        <f>SUMIFS(BP_SOTIEN,BP_DA,$C15,BP_THANG,Z$2,BP_KM,$E15)/1000</f>
        <v>0</v>
      </c>
      <c r="AA15" s="1089" t="str">
        <f t="shared" si="15"/>
        <v/>
      </c>
      <c r="AB15" s="1089" t="str">
        <f t="shared" si="16"/>
        <v/>
      </c>
      <c r="AC15" s="1088">
        <f t="shared" si="17"/>
        <v>0</v>
      </c>
      <c r="AD15" s="1089" t="str">
        <f t="shared" si="18"/>
        <v/>
      </c>
      <c r="AE15" s="1089" t="str">
        <f t="shared" si="19"/>
        <v/>
      </c>
      <c r="AF15" s="1088">
        <f t="shared" si="20"/>
        <v>0</v>
      </c>
      <c r="AG15" s="1089" t="str">
        <f t="shared" si="21"/>
        <v/>
      </c>
      <c r="AH15" s="1089" t="str">
        <f t="shared" si="22"/>
        <v/>
      </c>
      <c r="AI15" s="1088">
        <f>SUMIFS(BP_SOTIEN,BP_DA,$C15,BP_THANG,AI$2,BP_KM,$E15)/1000</f>
        <v>0</v>
      </c>
      <c r="AJ15" s="1089" t="str">
        <f t="shared" si="23"/>
        <v/>
      </c>
      <c r="AK15" s="1089" t="str">
        <f t="shared" si="24"/>
        <v/>
      </c>
      <c r="AL15" s="1088">
        <f>SUMIFS(BP_SOTIEN,BP_DA,$C15,BP_THANG,AL$2,BP_KM,$E15)/1000</f>
        <v>0</v>
      </c>
      <c r="AM15" s="1089" t="str">
        <f t="shared" si="25"/>
        <v/>
      </c>
      <c r="AN15" s="1089" t="str">
        <f t="shared" si="26"/>
        <v/>
      </c>
      <c r="AO15" s="1091" t="str">
        <f t="shared" si="27"/>
        <v/>
      </c>
      <c r="AP15" s="1088">
        <f>SUMIFS(BP_SOTIEN,BP_DA,$C15,BP_THANG,AP$2,BP_KM,$E15)/1000</f>
        <v>0</v>
      </c>
      <c r="AQ15" s="1089" t="str">
        <f t="shared" si="28"/>
        <v/>
      </c>
      <c r="AR15" s="1089" t="str">
        <f t="shared" si="29"/>
        <v/>
      </c>
      <c r="AS15" s="1088">
        <f t="shared" si="30"/>
        <v>0</v>
      </c>
      <c r="AT15" s="1089" t="str">
        <f t="shared" si="31"/>
        <v/>
      </c>
      <c r="AU15" s="1089" t="str">
        <f t="shared" si="32"/>
        <v/>
      </c>
      <c r="AV15" s="1088">
        <f>SUMIFS(BP_SOTIEN,BP_DA,$C15,BP_THANG,AV$2,BP_KM,$E15)/1000</f>
        <v>0</v>
      </c>
      <c r="AW15" s="1089" t="str">
        <f t="shared" si="33"/>
        <v/>
      </c>
      <c r="AX15" s="1089" t="str">
        <f t="shared" si="34"/>
        <v/>
      </c>
      <c r="AY15" s="1088">
        <f>SUMIFS(BP_SOTIEN,BP_DA,$C15,BP_THANG,AY$2,BP_KM,$E15)/1000</f>
        <v>0</v>
      </c>
      <c r="AZ15" s="1089" t="str">
        <f t="shared" si="35"/>
        <v/>
      </c>
      <c r="BA15" s="1089" t="str">
        <f t="shared" si="36"/>
        <v/>
      </c>
      <c r="BB15" s="1088">
        <f>SUMIFS(BP_SOTIEN,BP_DA,$C15,BP_THANG,BB$2,BP_KM,$E15)/1000</f>
        <v>0</v>
      </c>
      <c r="BC15" s="1089" t="str">
        <f t="shared" si="37"/>
        <v/>
      </c>
      <c r="BD15" s="1089" t="str">
        <f t="shared" si="38"/>
        <v/>
      </c>
      <c r="BE15" s="1088">
        <f t="shared" si="39"/>
        <v>0</v>
      </c>
      <c r="BF15" s="1089" t="str">
        <f t="shared" si="40"/>
        <v/>
      </c>
      <c r="BG15" s="1089" t="str">
        <f t="shared" si="41"/>
        <v/>
      </c>
      <c r="BH15" s="1088">
        <f t="shared" si="42"/>
        <v>0</v>
      </c>
      <c r="BI15" s="1089" t="str">
        <f t="shared" si="43"/>
        <v/>
      </c>
      <c r="BJ15" s="1089" t="str">
        <f t="shared" si="44"/>
        <v/>
      </c>
      <c r="BK15" s="1088">
        <f t="shared" si="45"/>
        <v>0</v>
      </c>
      <c r="BL15" s="1089" t="str">
        <f t="shared" si="46"/>
        <v/>
      </c>
      <c r="BM15" s="1089" t="str">
        <f t="shared" si="47"/>
        <v/>
      </c>
    </row>
    <row r="16" hidden="1" outlineLevel="1">
      <c r="A16" s="1086">
        <f t="shared" si="1"/>
        <v>9</v>
      </c>
      <c r="B16" s="1087" t="s">
        <v>2821</v>
      </c>
      <c r="C16" s="1099" t="s">
        <v>1304</v>
      </c>
      <c r="D16" s="1087" t="str">
        <f>IF(C16&gt;0,VLOOKUP(C16,DM_DUAN ,2,"") ,IF(B16&gt;0,VLOOKUP(B16,DM_CDT,2,""),""))</f>
        <v>KDC Kim Thịnh Phú</v>
      </c>
      <c r="E16" s="1087" t="s">
        <v>187</v>
      </c>
      <c r="F16" s="1087"/>
      <c r="G16" s="1086">
        <v>2.0</v>
      </c>
      <c r="H16" s="1088">
        <f>SUMIFS(BP_SOTIEN,BP_DA,$C16,BP_THANG,H$2,BP_KM,$E16)/1000</f>
        <v>0</v>
      </c>
      <c r="I16" s="1089" t="str">
        <f t="shared" si="2"/>
        <v/>
      </c>
      <c r="J16" s="1089" t="str">
        <f t="shared" si="3"/>
        <v/>
      </c>
      <c r="K16" s="1088">
        <f>SUMIFS(BP_SOTIEN,BP_DA,$C16,BP_THANG,K$2,BP_KM,$E16)/1000</f>
        <v>0</v>
      </c>
      <c r="L16" s="1089" t="str">
        <f t="shared" si="4"/>
        <v/>
      </c>
      <c r="M16" s="1089" t="str">
        <f t="shared" si="5"/>
        <v/>
      </c>
      <c r="N16" s="1088">
        <f>SUMIFS(BP_SOTIEN,BP_DA,$C16,BP_THANG,N$2,BP_KM,$E16)/1000</f>
        <v>0</v>
      </c>
      <c r="O16" s="1089" t="str">
        <f t="shared" si="6"/>
        <v/>
      </c>
      <c r="P16" s="1089" t="str">
        <f t="shared" si="7"/>
        <v/>
      </c>
      <c r="Q16" s="1088">
        <f t="shared" si="8"/>
        <v>0</v>
      </c>
      <c r="R16" s="1089" t="str">
        <f t="shared" si="9"/>
        <v/>
      </c>
      <c r="S16" s="1089" t="str">
        <f t="shared" si="10"/>
        <v/>
      </c>
      <c r="T16" s="1088">
        <f>SUMIFS(BP_SOTIEN,BP_DA,$C16,BP_THANG,T$2,BP_KM,$E16)/1000</f>
        <v>0</v>
      </c>
      <c r="U16" s="1089" t="str">
        <f t="shared" si="11"/>
        <v/>
      </c>
      <c r="V16" s="1089" t="str">
        <f t="shared" si="12"/>
        <v/>
      </c>
      <c r="W16" s="1088">
        <f>SUMIFS(BP_SOTIEN,BP_DA,$C16,BP_THANG,W$2,BP_KM,$E16)/1000</f>
        <v>0</v>
      </c>
      <c r="X16" s="1089" t="str">
        <f t="shared" si="13"/>
        <v/>
      </c>
      <c r="Y16" s="1089" t="str">
        <f t="shared" si="48"/>
        <v/>
      </c>
      <c r="Z16" s="1088">
        <f>SUMIFS(BP_SOTIEN,BP_DA,$C16,BP_THANG,Z$2,BP_KM,$E16)/1000</f>
        <v>0</v>
      </c>
      <c r="AA16" s="1089" t="str">
        <f t="shared" si="15"/>
        <v/>
      </c>
      <c r="AB16" s="1089" t="str">
        <f t="shared" si="16"/>
        <v/>
      </c>
      <c r="AC16" s="1088">
        <f t="shared" si="17"/>
        <v>0</v>
      </c>
      <c r="AD16" s="1089" t="str">
        <f t="shared" si="18"/>
        <v/>
      </c>
      <c r="AE16" s="1089" t="str">
        <f t="shared" si="19"/>
        <v/>
      </c>
      <c r="AF16" s="1088">
        <f t="shared" si="20"/>
        <v>0</v>
      </c>
      <c r="AG16" s="1089" t="str">
        <f t="shared" si="21"/>
        <v/>
      </c>
      <c r="AH16" s="1089" t="str">
        <f t="shared" si="22"/>
        <v/>
      </c>
      <c r="AI16" s="1088">
        <f>SUMIFS(BP_SOTIEN,BP_DA,$C16,BP_THANG,AI$2,BP_KM,$E16)/1000</f>
        <v>0</v>
      </c>
      <c r="AJ16" s="1089" t="str">
        <f t="shared" si="23"/>
        <v/>
      </c>
      <c r="AK16" s="1089" t="str">
        <f t="shared" si="24"/>
        <v/>
      </c>
      <c r="AL16" s="1088">
        <f>SUMIFS(BP_SOTIEN,BP_DA,$C16,BP_THANG,AL$2,BP_KM,$E16)/1000</f>
        <v>0</v>
      </c>
      <c r="AM16" s="1089" t="str">
        <f t="shared" si="25"/>
        <v/>
      </c>
      <c r="AN16" s="1089" t="str">
        <f t="shared" si="26"/>
        <v/>
      </c>
      <c r="AO16" s="1091" t="str">
        <f t="shared" si="27"/>
        <v/>
      </c>
      <c r="AP16" s="1088">
        <f>SUMIFS(BP_SOTIEN,BP_DA,$C16,BP_THANG,AP$2,BP_KM,$E16)/1000</f>
        <v>0</v>
      </c>
      <c r="AQ16" s="1089" t="str">
        <f t="shared" si="28"/>
        <v/>
      </c>
      <c r="AR16" s="1089" t="str">
        <f t="shared" si="29"/>
        <v/>
      </c>
      <c r="AS16" s="1088">
        <f t="shared" si="30"/>
        <v>0</v>
      </c>
      <c r="AT16" s="1089" t="str">
        <f t="shared" si="31"/>
        <v/>
      </c>
      <c r="AU16" s="1089" t="str">
        <f t="shared" si="32"/>
        <v/>
      </c>
      <c r="AV16" s="1088">
        <f>SUMIFS(BP_SOTIEN,BP_DA,$C16,BP_THANG,AV$2,BP_KM,$E16)/1000</f>
        <v>0</v>
      </c>
      <c r="AW16" s="1089" t="str">
        <f t="shared" si="33"/>
        <v/>
      </c>
      <c r="AX16" s="1089" t="str">
        <f t="shared" si="34"/>
        <v/>
      </c>
      <c r="AY16" s="1088">
        <f>SUMIFS(BP_SOTIEN,BP_DA,$C16,BP_THANG,AY$2,BP_KM,$E16)/1000</f>
        <v>0</v>
      </c>
      <c r="AZ16" s="1089" t="str">
        <f t="shared" si="35"/>
        <v/>
      </c>
      <c r="BA16" s="1089" t="str">
        <f t="shared" si="36"/>
        <v/>
      </c>
      <c r="BB16" s="1088">
        <f>SUMIFS(BP_SOTIEN,BP_DA,$C16,BP_THANG,BB$2,BP_KM,$E16)/1000</f>
        <v>0</v>
      </c>
      <c r="BC16" s="1089" t="str">
        <f t="shared" si="37"/>
        <v/>
      </c>
      <c r="BD16" s="1089" t="str">
        <f t="shared" si="38"/>
        <v/>
      </c>
      <c r="BE16" s="1088">
        <f t="shared" si="39"/>
        <v>0</v>
      </c>
      <c r="BF16" s="1089" t="str">
        <f t="shared" si="40"/>
        <v/>
      </c>
      <c r="BG16" s="1089" t="str">
        <f t="shared" si="41"/>
        <v/>
      </c>
      <c r="BH16" s="1088">
        <f t="shared" si="42"/>
        <v>0</v>
      </c>
      <c r="BI16" s="1089" t="str">
        <f t="shared" si="43"/>
        <v/>
      </c>
      <c r="BJ16" s="1089" t="str">
        <f t="shared" si="44"/>
        <v/>
      </c>
      <c r="BK16" s="1088">
        <f t="shared" si="45"/>
        <v>0</v>
      </c>
      <c r="BL16" s="1089" t="str">
        <f t="shared" si="46"/>
        <v/>
      </c>
      <c r="BM16" s="1089" t="str">
        <f t="shared" si="47"/>
        <v/>
      </c>
    </row>
    <row r="17" hidden="1" outlineLevel="1">
      <c r="A17" s="1086" t="str">
        <f t="shared" si="1"/>
        <v/>
      </c>
      <c r="B17" s="1087"/>
      <c r="C17" s="656"/>
      <c r="D17" s="1087" t="str">
        <f>IF(C17="","",VLOOKUP(C17,DM_DUAN,2,0))</f>
        <v/>
      </c>
      <c r="E17" s="1087" t="s">
        <v>187</v>
      </c>
      <c r="F17" s="1087"/>
      <c r="G17" s="1086">
        <v>2.0</v>
      </c>
      <c r="H17" s="1088">
        <f>SUMIFS(BP_SOTIEN,BP_DA,$C17,BP_THANG,H$2,BP_KM,$E17)/1000</f>
        <v>0</v>
      </c>
      <c r="I17" s="1089" t="str">
        <f t="shared" si="2"/>
        <v/>
      </c>
      <c r="J17" s="1089" t="str">
        <f t="shared" si="3"/>
        <v/>
      </c>
      <c r="K17" s="1088">
        <f>SUMIFS(BP_SOTIEN,BP_DA,$C17,BP_THANG,K$2,BP_KM,$E17)/1000</f>
        <v>0</v>
      </c>
      <c r="L17" s="1089" t="str">
        <f t="shared" si="4"/>
        <v/>
      </c>
      <c r="M17" s="1089" t="str">
        <f t="shared" si="5"/>
        <v/>
      </c>
      <c r="N17" s="1088">
        <f>SUMIFS(BP_SOTIEN,BP_DA,$C17,BP_THANG,N$2,BP_KM,$E17)/1000</f>
        <v>0</v>
      </c>
      <c r="O17" s="1089" t="str">
        <f t="shared" si="6"/>
        <v/>
      </c>
      <c r="P17" s="1089" t="str">
        <f t="shared" si="7"/>
        <v/>
      </c>
      <c r="Q17" s="1088">
        <f t="shared" si="8"/>
        <v>0</v>
      </c>
      <c r="R17" s="1089" t="str">
        <f t="shared" si="9"/>
        <v/>
      </c>
      <c r="S17" s="1089" t="str">
        <f t="shared" si="10"/>
        <v/>
      </c>
      <c r="T17" s="1088">
        <f>SUMIFS(BP_SOTIEN,BP_DA,$C17,BP_THANG,T$2,BP_KM,$E17)/1000</f>
        <v>0</v>
      </c>
      <c r="U17" s="1089" t="str">
        <f t="shared" si="11"/>
        <v/>
      </c>
      <c r="V17" s="1089" t="str">
        <f t="shared" si="12"/>
        <v/>
      </c>
      <c r="W17" s="1088">
        <f>SUMIFS(BP_SOTIEN,BP_DA,$C17,BP_THANG,W$2,BP_KM,$E17)/1000</f>
        <v>0</v>
      </c>
      <c r="X17" s="1089" t="str">
        <f t="shared" si="13"/>
        <v/>
      </c>
      <c r="Y17" s="1089" t="str">
        <f t="shared" si="48"/>
        <v/>
      </c>
      <c r="Z17" s="1088">
        <f>SUMIFS(BP_SOTIEN,BP_DA,$C17,BP_THANG,Z$2,BP_KM,$E17)/1000</f>
        <v>0</v>
      </c>
      <c r="AA17" s="1089" t="str">
        <f t="shared" si="15"/>
        <v/>
      </c>
      <c r="AB17" s="1089" t="str">
        <f t="shared" si="16"/>
        <v/>
      </c>
      <c r="AC17" s="1088">
        <f t="shared" si="17"/>
        <v>0</v>
      </c>
      <c r="AD17" s="1089" t="str">
        <f t="shared" si="18"/>
        <v/>
      </c>
      <c r="AE17" s="1089" t="str">
        <f t="shared" si="19"/>
        <v/>
      </c>
      <c r="AF17" s="1088">
        <f t="shared" si="20"/>
        <v>0</v>
      </c>
      <c r="AG17" s="1089" t="str">
        <f t="shared" si="21"/>
        <v/>
      </c>
      <c r="AH17" s="1089" t="str">
        <f t="shared" si="22"/>
        <v/>
      </c>
      <c r="AI17" s="1088">
        <f>SUMIFS(BP_SOTIEN,BP_DA,$C17,BP_THANG,AI$2,BP_KM,$E17)/1000</f>
        <v>0</v>
      </c>
      <c r="AJ17" s="1089" t="str">
        <f t="shared" si="23"/>
        <v/>
      </c>
      <c r="AK17" s="1089" t="str">
        <f t="shared" si="24"/>
        <v/>
      </c>
      <c r="AL17" s="1088">
        <f>SUMIFS(BP_SOTIEN,BP_DA,$C17,BP_THANG,AL$2,BP_KM,$E17)/1000</f>
        <v>0</v>
      </c>
      <c r="AM17" s="1089" t="str">
        <f t="shared" si="25"/>
        <v/>
      </c>
      <c r="AN17" s="1089" t="str">
        <f t="shared" si="26"/>
        <v/>
      </c>
      <c r="AO17" s="1091" t="str">
        <f t="shared" si="27"/>
        <v/>
      </c>
      <c r="AP17" s="1088">
        <f>SUMIFS(BP_SOTIEN,BP_DA,$C17,BP_THANG,AP$2,BP_KM,$E17)/1000</f>
        <v>0</v>
      </c>
      <c r="AQ17" s="1089" t="str">
        <f t="shared" si="28"/>
        <v/>
      </c>
      <c r="AR17" s="1089" t="str">
        <f t="shared" si="29"/>
        <v/>
      </c>
      <c r="AS17" s="1088">
        <f t="shared" si="30"/>
        <v>0</v>
      </c>
      <c r="AT17" s="1089" t="str">
        <f t="shared" si="31"/>
        <v/>
      </c>
      <c r="AU17" s="1089" t="str">
        <f t="shared" si="32"/>
        <v/>
      </c>
      <c r="AV17" s="1088">
        <f>SUMIFS(BP_SOTIEN,BP_DA,$C17,BP_THANG,AV$2,BP_KM,$E17)/1000</f>
        <v>0</v>
      </c>
      <c r="AW17" s="1089" t="str">
        <f t="shared" si="33"/>
        <v/>
      </c>
      <c r="AX17" s="1089" t="str">
        <f t="shared" si="34"/>
        <v/>
      </c>
      <c r="AY17" s="1088">
        <f>SUMIFS(BP_SOTIEN,BP_DA,$C17,BP_THANG,AY$2,BP_KM,$E17)/1000</f>
        <v>0</v>
      </c>
      <c r="AZ17" s="1089" t="str">
        <f t="shared" si="35"/>
        <v/>
      </c>
      <c r="BA17" s="1089" t="str">
        <f t="shared" si="36"/>
        <v/>
      </c>
      <c r="BB17" s="1088">
        <f>SUMIFS(BP_SOTIEN,BP_DA,$C17,BP_THANG,BB$2,BP_KM,$E17)/1000</f>
        <v>0</v>
      </c>
      <c r="BC17" s="1089" t="str">
        <f t="shared" si="37"/>
        <v/>
      </c>
      <c r="BD17" s="1089" t="str">
        <f t="shared" si="38"/>
        <v/>
      </c>
      <c r="BE17" s="1088">
        <f t="shared" si="39"/>
        <v>0</v>
      </c>
      <c r="BF17" s="1089" t="str">
        <f t="shared" si="40"/>
        <v/>
      </c>
      <c r="BG17" s="1089" t="str">
        <f t="shared" si="41"/>
        <v/>
      </c>
      <c r="BH17" s="1088">
        <f t="shared" si="42"/>
        <v>0</v>
      </c>
      <c r="BI17" s="1089" t="str">
        <f t="shared" si="43"/>
        <v/>
      </c>
      <c r="BJ17" s="1089" t="str">
        <f t="shared" si="44"/>
        <v/>
      </c>
      <c r="BK17" s="1088">
        <f t="shared" si="45"/>
        <v>0</v>
      </c>
      <c r="BL17" s="1089" t="str">
        <f t="shared" si="46"/>
        <v/>
      </c>
      <c r="BM17" s="1089" t="str">
        <f t="shared" si="47"/>
        <v/>
      </c>
    </row>
    <row r="18">
      <c r="A18" s="1107" t="s">
        <v>2823</v>
      </c>
      <c r="B18" s="1108"/>
      <c r="C18" s="1108"/>
      <c r="D18" s="1108"/>
      <c r="E18" s="1108"/>
      <c r="F18" s="1108"/>
      <c r="G18" s="1109">
        <v>1.0</v>
      </c>
      <c r="H18" s="1110">
        <f>SUMIF($G$19:$G$32,$G$18,H$19:H$32)</f>
        <v>0</v>
      </c>
      <c r="I18" s="1111" t="str">
        <f>IFERROR(H18/#REF!,"")</f>
        <v/>
      </c>
      <c r="J18" s="3"/>
      <c r="K18" s="1110">
        <f>SUMIF($G$19:$G$32,$G$18,K$19:K$32)</f>
        <v>0</v>
      </c>
      <c r="L18" s="1111" t="str">
        <f>IFERROR(K18/#REF!,"")</f>
        <v/>
      </c>
      <c r="M18" s="3"/>
      <c r="N18" s="1110">
        <f>SUMIF($G$19:$G$32,$G$18,N$19:N$32)</f>
        <v>0</v>
      </c>
      <c r="O18" s="1111" t="str">
        <f>IFERROR(N18/#REF!,"")</f>
        <v/>
      </c>
      <c r="P18" s="3"/>
      <c r="Q18" s="1110">
        <f>SUMIF($G$19:$G$32,$G$18,Q$19:Q$32)</f>
        <v>0</v>
      </c>
      <c r="R18" s="1111" t="str">
        <f>IFERROR(Q18/#REF!,"")</f>
        <v/>
      </c>
      <c r="S18" s="3"/>
      <c r="T18" s="1110">
        <f>SUMIF($G$19:$G$32,$G$18,T$19:T$32)</f>
        <v>0</v>
      </c>
      <c r="U18" s="1111" t="str">
        <f>IFERROR(T18/#REF!,"")</f>
        <v/>
      </c>
      <c r="V18" s="3"/>
      <c r="W18" s="1110">
        <f>SUMIF($G$19:$G$32,$G$18,W$19:W$32)</f>
        <v>0</v>
      </c>
      <c r="X18" s="1111" t="str">
        <f>IFERROR(W18/#REF!,"")</f>
        <v/>
      </c>
      <c r="Y18" s="3"/>
      <c r="Z18" s="1110">
        <f>SUMIF($G$19:$G$32,$G$18,Z$19:Z$32)</f>
        <v>0</v>
      </c>
      <c r="AA18" s="1111" t="str">
        <f>IFERROR(Z18/#REF!,"")</f>
        <v/>
      </c>
      <c r="AB18" s="3"/>
      <c r="AC18" s="1110">
        <f>SUMIF($G$19:$G$32,$G$18,AC$19:AC$32)</f>
        <v>0</v>
      </c>
      <c r="AD18" s="1111" t="str">
        <f>IFERROR(AC18/#REF!,"")</f>
        <v/>
      </c>
      <c r="AE18" s="3"/>
      <c r="AF18" s="1110">
        <f>SUMIF($G$19:$G$32,$G$18,AF$19:AF$32)</f>
        <v>0</v>
      </c>
      <c r="AG18" s="1111" t="str">
        <f>IFERROR(AF18/#REF!,"")</f>
        <v/>
      </c>
      <c r="AH18" s="3"/>
      <c r="AI18" s="1110">
        <f>SUMIF($G$19:$G$32,$G$18,AI$19:AI$32)</f>
        <v>0</v>
      </c>
      <c r="AJ18" s="1111" t="str">
        <f>IFERROR(AI18/#REF!,"")</f>
        <v/>
      </c>
      <c r="AK18" s="3"/>
      <c r="AL18" s="1110">
        <f>SUMIF($G$19:$G$32,$G$18,AL$19:AL$32)</f>
        <v>0</v>
      </c>
      <c r="AM18" s="1111" t="str">
        <f>IFERROR(AL18/#REF!,"")</f>
        <v/>
      </c>
      <c r="AN18" s="3"/>
      <c r="AO18" s="1112" t="str">
        <f t="shared" si="27"/>
        <v/>
      </c>
      <c r="AP18" s="1110">
        <f>SUMIF($G$19:$G$32,$G$18,AP$19:AP$32)</f>
        <v>0</v>
      </c>
      <c r="AQ18" s="1111" t="str">
        <f>IFERROR(AP18/#REF!,"")</f>
        <v/>
      </c>
      <c r="AR18" s="3"/>
      <c r="AS18" s="1110">
        <f>SUMIF($G$19:$G$32,$G$18,AS$19:AS$32)</f>
        <v>0</v>
      </c>
      <c r="AT18" s="1111" t="str">
        <f>IFERROR(AS18/#REF!,"")</f>
        <v/>
      </c>
      <c r="AU18" s="3"/>
      <c r="AV18" s="1110">
        <f>SUMIF($G$19:$G$32,$G$18,AV$19:AV$32)</f>
        <v>0</v>
      </c>
      <c r="AW18" s="1111" t="str">
        <f>IFERROR(AV18/#REF!,"")</f>
        <v/>
      </c>
      <c r="AX18" s="3"/>
      <c r="AY18" s="1110">
        <f>SUMIF($G$19:$G$32,$G$18,AY$19:AY$32)</f>
        <v>0</v>
      </c>
      <c r="AZ18" s="1111" t="str">
        <f>IFERROR(AY18/#REF!,"")</f>
        <v/>
      </c>
      <c r="BA18" s="3"/>
      <c r="BB18" s="1110">
        <f>SUMIF($G$19:$G$32,$G$18,BB$19:BB$32)</f>
        <v>0</v>
      </c>
      <c r="BC18" s="1111" t="str">
        <f>IFERROR(BB18/#REF!,"")</f>
        <v/>
      </c>
      <c r="BD18" s="3"/>
      <c r="BE18" s="1110">
        <f>SUMIF($G$19:$G$32,$G$18,BE$19:BE$32)</f>
        <v>0</v>
      </c>
      <c r="BF18" s="1111" t="str">
        <f>IFERROR(BE18/#REF!,"")</f>
        <v/>
      </c>
      <c r="BG18" s="3"/>
      <c r="BH18" s="1110">
        <f>SUMIF($G$19:$G$32,$G$18,BH$19:BH$32)</f>
        <v>0</v>
      </c>
      <c r="BI18" s="1111" t="str">
        <f>IFERROR(BH18/#REF!,"")</f>
        <v/>
      </c>
      <c r="BJ18" s="3"/>
      <c r="BK18" s="1110">
        <f>SUMIF($G$19:$G$32,$G$18,BK$19:BK$32)</f>
        <v>0</v>
      </c>
      <c r="BL18" s="1111" t="str">
        <f>IFERROR(BK18/#REF!,"")</f>
        <v/>
      </c>
      <c r="BM18" s="3"/>
    </row>
    <row r="19" collapsed="1">
      <c r="A19" s="1113" t="str">
        <f t="shared" ref="A19:A32" si="49">IF(C19="","",COUNTA(C$19:C19))</f>
        <v/>
      </c>
      <c r="B19" s="1114" t="s">
        <v>2066</v>
      </c>
      <c r="C19" s="1114"/>
      <c r="D19" s="1114" t="str">
        <f>IF(C19&gt;0,VLOOKUP(C19,DM_DUAN ,2,"") ,IF(B19&gt;0,VLOOKUP(B19,DM_CDT,2,""),""))</f>
        <v>THÀNH NAM</v>
      </c>
      <c r="E19" s="1115" t="s">
        <v>2239</v>
      </c>
      <c r="F19" s="1115"/>
      <c r="G19" s="1116">
        <v>1.0</v>
      </c>
      <c r="H19" s="1083">
        <f>SUMIF($B20:$B$32,$B19,H20:H$32)</f>
        <v>0</v>
      </c>
      <c r="I19" s="1117" t="str">
        <f t="shared" ref="I19:I32" si="50">IFERROR(H19/SUMIF($C$4:$C$17,$C19,H$4:H$17),"")</f>
        <v/>
      </c>
      <c r="J19" s="1118" t="str">
        <f t="shared" ref="J19:J32" si="51">IFERROR(H19/H$18,"")</f>
        <v/>
      </c>
      <c r="K19" s="1083">
        <f>SUMIF($B20:$B$32,$B19,K20:K$32)</f>
        <v>0</v>
      </c>
      <c r="L19" s="1117" t="str">
        <f t="shared" ref="L19:L32" si="52">IFERROR(K19/SUMIF($C$4:$C$17,$C19,K$4:K$17),"")</f>
        <v/>
      </c>
      <c r="M19" s="1118" t="str">
        <f t="shared" ref="M19:M32" si="53">IFERROR(K19/K$18,"")</f>
        <v/>
      </c>
      <c r="N19" s="1083">
        <f>SUMIF($B20:$B$32,$B19,N20:N$32)</f>
        <v>0</v>
      </c>
      <c r="O19" s="1117" t="str">
        <f t="shared" ref="O19:O32" si="54">IFERROR(N19/SUMIF($C$4:$C$17,$C19,N$4:N$17),"")</f>
        <v/>
      </c>
      <c r="P19" s="1118" t="str">
        <f t="shared" ref="P19:P32" si="55">IFERROR(N19/N$18,"")</f>
        <v/>
      </c>
      <c r="Q19" s="1120">
        <f t="shared" ref="Q19:Q32" si="56">SUMIF(#REF!,#REF!,H19:P19)</f>
        <v>0</v>
      </c>
      <c r="R19" s="1117" t="str">
        <f t="shared" ref="R19:R32" si="57">IFERROR(Q19/SUMIF($C$4:$C$17,$C19,Q$4:Q$17),"")</f>
        <v/>
      </c>
      <c r="S19" s="1118" t="str">
        <f t="shared" ref="S19:S32" si="58">IFERROR(Q19/Q$18,"")</f>
        <v/>
      </c>
      <c r="T19" s="1083">
        <f>SUMIF($B20:$B$32,$B19,T20:T$32)</f>
        <v>0</v>
      </c>
      <c r="U19" s="1117" t="str">
        <f t="shared" ref="U19:U32" si="59">IFERROR(T19/SUMIF($C$4:$C$17,$C19,T$4:T$17),"")</f>
        <v/>
      </c>
      <c r="V19" s="1118" t="str">
        <f t="shared" ref="V19:V32" si="60">IFERROR(T19/T$18,"")</f>
        <v/>
      </c>
      <c r="W19" s="1083">
        <f>SUMIF($B20:$B$32,$B19,W20:W$32)</f>
        <v>0</v>
      </c>
      <c r="X19" s="1117" t="str">
        <f t="shared" ref="X19:X32" si="61">IFERROR(W19/SUMIF($C$4:$C$17,$C19,W$4:W$17),"")</f>
        <v/>
      </c>
      <c r="Y19" s="1118" t="str">
        <f t="shared" ref="Y19:Y32" si="62">IFERROR(W19/W$18,"")</f>
        <v/>
      </c>
      <c r="Z19" s="1083">
        <f>SUMIF($B20:$B$32,$B19,Z20:Z$32)</f>
        <v>0</v>
      </c>
      <c r="AA19" s="1117" t="str">
        <f t="shared" ref="AA19:AA32" si="63">IFERROR(Z19/SUMIF($C$4:$C$17,$C19,Z$4:Z$17),"")</f>
        <v/>
      </c>
      <c r="AB19" s="1118" t="str">
        <f t="shared" ref="AB19:AB32" si="64">IFERROR(Z19/Z$18,"")</f>
        <v/>
      </c>
      <c r="AC19" s="1120">
        <f t="shared" ref="AC19:AC32" si="65">SUMIF(#REF!,#REF!,T19:AB19)</f>
        <v>0</v>
      </c>
      <c r="AD19" s="1117" t="str">
        <f t="shared" ref="AD19:AD32" si="66">IFERROR(AC19/SUMIF($C$4:$C$17,$C19,AC$4:AC$17),"")</f>
        <v/>
      </c>
      <c r="AE19" s="1118" t="str">
        <f t="shared" ref="AE19:AE32" si="67">IFERROR(AC19/AC$18,"")</f>
        <v/>
      </c>
      <c r="AF19" s="1120">
        <f t="shared" ref="AF19:AF32" si="68">Q19+AC19</f>
        <v>0</v>
      </c>
      <c r="AG19" s="1117" t="str">
        <f t="shared" ref="AG19:AG32" si="69">IFERROR(AF19/SUMIF($C$4:$C$17,$C19,AF$4:AF$17),"")</f>
        <v/>
      </c>
      <c r="AH19" s="1118" t="str">
        <f t="shared" ref="AH19:AH32" si="70">IFERROR(AF19/AF$18,"")</f>
        <v/>
      </c>
      <c r="AI19" s="1083">
        <f>SUMIF($B20:$B$32,$B19,AI20:AI$32)</f>
        <v>0</v>
      </c>
      <c r="AJ19" s="1117" t="str">
        <f t="shared" ref="AJ19:AJ32" si="71">IFERROR(AI19/SUMIF($C$4:$C$17,$C19,AI$4:AI$17),"")</f>
        <v/>
      </c>
      <c r="AK19" s="1118" t="str">
        <f t="shared" ref="AK19:AK32" si="72">IFERROR(AI19/AI$18,"")</f>
        <v/>
      </c>
      <c r="AL19" s="1083">
        <f>SUMIF($B20:$B$32,$B19,AL20:AL$32)</f>
        <v>0</v>
      </c>
      <c r="AM19" s="1117" t="str">
        <f t="shared" ref="AM19:AM32" si="73">IFERROR(AL19/SUMIF($C$4:$C$17,$C19,AL$4:AL$17),"")</f>
        <v/>
      </c>
      <c r="AN19" s="1118" t="str">
        <f t="shared" ref="AN19:AN32" si="74">IFERROR(AL19/AL$18,"")</f>
        <v/>
      </c>
      <c r="AO19" s="1117" t="str">
        <f t="shared" si="27"/>
        <v/>
      </c>
      <c r="AP19" s="1083">
        <f>SUMIF($B20:$B$32,$B19,AP20:AP$32)</f>
        <v>0</v>
      </c>
      <c r="AQ19" s="1117" t="str">
        <f t="shared" ref="AQ19:AQ32" si="75">IFERROR(AP19/SUMIF($C$4:$C$17,$C19,AP$4:AP$17),"")</f>
        <v/>
      </c>
      <c r="AR19" s="1118" t="str">
        <f t="shared" ref="AR19:AR32" si="76">IFERROR(AP19/AP$18,"")</f>
        <v/>
      </c>
      <c r="AS19" s="1120">
        <f t="shared" ref="AS19:AS32" si="77">SUMIF(#REF!,#REF!,AI19:AR19)</f>
        <v>0</v>
      </c>
      <c r="AT19" s="1117" t="str">
        <f t="shared" ref="AT19:AT32" si="78">IFERROR(AS19/SUMIF($C$4:$C$17,$C19,AS$4:AS$17),"")</f>
        <v/>
      </c>
      <c r="AU19" s="1118" t="str">
        <f t="shared" ref="AU19:AU32" si="79">IFERROR(AS19/AS$18,"")</f>
        <v/>
      </c>
      <c r="AV19" s="1083">
        <f>SUMIF($B20:$B$32,$B19,AV20:AV$32)</f>
        <v>0</v>
      </c>
      <c r="AW19" s="1117" t="str">
        <f t="shared" ref="AW19:AW32" si="80">IFERROR(AV19/SUMIF($C$4:$C$17,$C19,AV$4:AV$17),"")</f>
        <v/>
      </c>
      <c r="AX19" s="1118" t="str">
        <f t="shared" ref="AX19:AX32" si="81">IFERROR(AV19/AV$18,"")</f>
        <v/>
      </c>
      <c r="AY19" s="1120">
        <f>SUMIFS(BP_SOTIEN,BP_DA,$C19,BP_THANG,AY$2,BP_KM,$E19)/1000</f>
        <v>0</v>
      </c>
      <c r="AZ19" s="1117" t="str">
        <f t="shared" ref="AZ19:AZ32" si="82">IFERROR(AY19/SUMIF($C$4:$C$17,$C19,AY$4:AY$17),"")</f>
        <v/>
      </c>
      <c r="BA19" s="1118" t="str">
        <f t="shared" ref="BA19:BA32" si="83">IFERROR(AY19/AY$18,"")</f>
        <v/>
      </c>
      <c r="BB19" s="1083">
        <f>SUMIF($B20:$B$32,$B19,BB20:BB$32)</f>
        <v>0</v>
      </c>
      <c r="BC19" s="1117" t="str">
        <f t="shared" ref="BC19:BC32" si="84">IFERROR(BB19/SUMIF($C$4:$C$17,$C19,BB$4:BB$17),"")</f>
        <v/>
      </c>
      <c r="BD19" s="1118" t="str">
        <f t="shared" ref="BD19:BD32" si="85">IFERROR(BB19/BB$18,"")</f>
        <v/>
      </c>
      <c r="BE19" s="1120">
        <f t="shared" ref="BE19:BE32" si="86">SUMIF(#REF!,#REF!,AV19:BD19)</f>
        <v>0</v>
      </c>
      <c r="BF19" s="1117" t="str">
        <f t="shared" ref="BF19:BF32" si="87">IFERROR(BE19/SUMIF($C$4:$C$17,$C19,BE$4:BE$17),"")</f>
        <v/>
      </c>
      <c r="BG19" s="1118" t="str">
        <f t="shared" ref="BG19:BG32" si="88">IFERROR(BE19/BE$18,"")</f>
        <v/>
      </c>
      <c r="BH19" s="1120">
        <f t="shared" ref="BH19:BH32" si="89">AS19+BE19</f>
        <v>0</v>
      </c>
      <c r="BI19" s="1117" t="str">
        <f t="shared" ref="BI19:BI32" si="90">IFERROR(BH19/SUMIF($C$4:$C$17,$C19,BH$4:BH$17),"")</f>
        <v/>
      </c>
      <c r="BJ19" s="1118" t="str">
        <f t="shared" ref="BJ19:BJ32" si="91">IFERROR(BH19/BH$18,"")</f>
        <v/>
      </c>
      <c r="BK19" s="1120">
        <f t="shared" ref="BK19:BK32" si="92">AF19+BH19</f>
        <v>0</v>
      </c>
      <c r="BL19" s="1117" t="str">
        <f t="shared" ref="BL19:BL32" si="93">IFERROR(BK19/SUMIF($C$4:$C$17,$C19,BK$4:BK$17),"")</f>
        <v/>
      </c>
      <c r="BM19" s="1118" t="str">
        <f t="shared" ref="BM19:BM32" si="94">IFERROR(BK19/BK$18,"")</f>
        <v/>
      </c>
    </row>
    <row r="20" hidden="1" outlineLevel="1">
      <c r="A20" s="1086">
        <f t="shared" si="49"/>
        <v>1</v>
      </c>
      <c r="B20" s="1087" t="s">
        <v>2066</v>
      </c>
      <c r="C20" s="1087" t="s">
        <v>175</v>
      </c>
      <c r="D20" s="1087" t="str">
        <f>IF(C20&gt;0,VLOOKUP(C20,DM_DUAN ,2,"") ,IF(B20&gt;0,VLOOKUP(B20,DM_CDT,2,""),""))</f>
        <v>Phước hội Hồ Tràm</v>
      </c>
      <c r="E20" s="1087" t="s">
        <v>2239</v>
      </c>
      <c r="F20" s="1087"/>
      <c r="G20" s="1086">
        <v>2.0</v>
      </c>
      <c r="H20" s="1088">
        <f>SUMIFS(BP_SOTIEN,BP_DA,$C20,BP_THANG,H$2,BP_KM,$E20)/1000</f>
        <v>0</v>
      </c>
      <c r="I20" s="1091" t="str">
        <f t="shared" si="50"/>
        <v/>
      </c>
      <c r="J20" s="1089" t="str">
        <f t="shared" si="51"/>
        <v/>
      </c>
      <c r="K20" s="1088">
        <f>SUMIFS(BP_SOTIEN,BP_DA,$C20,BP_THANG,K$2,BP_KM,$E20)/1000</f>
        <v>0</v>
      </c>
      <c r="L20" s="1091" t="str">
        <f t="shared" si="52"/>
        <v/>
      </c>
      <c r="M20" s="1089" t="str">
        <f t="shared" si="53"/>
        <v/>
      </c>
      <c r="N20" s="1088">
        <f>SUMIFS(BP_SOTIEN,BP_DA,$C20,BP_THANG,N$2,BP_KM,$E20)/1000</f>
        <v>0</v>
      </c>
      <c r="O20" s="1091" t="str">
        <f t="shared" si="54"/>
        <v/>
      </c>
      <c r="P20" s="1089" t="str">
        <f t="shared" si="55"/>
        <v/>
      </c>
      <c r="Q20" s="1088">
        <f t="shared" si="56"/>
        <v>0</v>
      </c>
      <c r="R20" s="1091" t="str">
        <f t="shared" si="57"/>
        <v/>
      </c>
      <c r="S20" s="1089" t="str">
        <f t="shared" si="58"/>
        <v/>
      </c>
      <c r="T20" s="1088">
        <f>SUMIFS(BP_SOTIEN,BP_DA,$C20,BP_THANG,T$2,BP_KM,$E20)/1000</f>
        <v>0</v>
      </c>
      <c r="U20" s="1091">
        <f t="shared" si="59"/>
        <v>0</v>
      </c>
      <c r="V20" s="1089" t="str">
        <f t="shared" si="60"/>
        <v/>
      </c>
      <c r="W20" s="1088">
        <f>SUMIFS(BP_SOTIEN,BP_DA,$C20,BP_THANG,W$2,BP_KM,$E20)/1000</f>
        <v>0</v>
      </c>
      <c r="X20" s="1091">
        <f t="shared" si="61"/>
        <v>0</v>
      </c>
      <c r="Y20" s="1089" t="str">
        <f t="shared" si="62"/>
        <v/>
      </c>
      <c r="Z20" s="1088">
        <f>SUMIFS(BP_SOTIEN,BP_DA,$C20,BP_THANG,Z$2,BP_KM,$E20)/1000</f>
        <v>0</v>
      </c>
      <c r="AA20" s="1091">
        <f t="shared" si="63"/>
        <v>0</v>
      </c>
      <c r="AB20" s="1089" t="str">
        <f t="shared" si="64"/>
        <v/>
      </c>
      <c r="AC20" s="1088">
        <f t="shared" si="65"/>
        <v>0</v>
      </c>
      <c r="AD20" s="1091">
        <f t="shared" si="66"/>
        <v>0</v>
      </c>
      <c r="AE20" s="1089" t="str">
        <f t="shared" si="67"/>
        <v/>
      </c>
      <c r="AF20" s="1088">
        <f t="shared" si="68"/>
        <v>0</v>
      </c>
      <c r="AG20" s="1091">
        <f t="shared" si="69"/>
        <v>0</v>
      </c>
      <c r="AH20" s="1089" t="str">
        <f t="shared" si="70"/>
        <v/>
      </c>
      <c r="AI20" s="1088">
        <f>SUMIFS(BP_SOTIEN,BP_DA,$C20,BP_THANG,AI$2,BP_KM,$E20)/1000</f>
        <v>0</v>
      </c>
      <c r="AJ20" s="1091">
        <f t="shared" si="71"/>
        <v>0</v>
      </c>
      <c r="AK20" s="1089" t="str">
        <f t="shared" si="72"/>
        <v/>
      </c>
      <c r="AL20" s="1088">
        <f>SUMIFS(BP_SOTIEN,BP_DA,$C20,BP_THANG,AL$2,BP_KM,$E20)/1000</f>
        <v>0</v>
      </c>
      <c r="AM20" s="1091">
        <f t="shared" si="73"/>
        <v>0</v>
      </c>
      <c r="AN20" s="1089" t="str">
        <f t="shared" si="74"/>
        <v/>
      </c>
      <c r="AO20" s="1091" t="str">
        <f t="shared" si="27"/>
        <v/>
      </c>
      <c r="AP20" s="1088">
        <f>SUMIFS(BP_SOTIEN,BP_DA,$C20,BP_THANG,AP$2,BP_KM,$E20)/1000</f>
        <v>0</v>
      </c>
      <c r="AQ20" s="1091">
        <f t="shared" si="75"/>
        <v>0</v>
      </c>
      <c r="AR20" s="1089" t="str">
        <f t="shared" si="76"/>
        <v/>
      </c>
      <c r="AS20" s="1088">
        <f t="shared" si="77"/>
        <v>0</v>
      </c>
      <c r="AT20" s="1091">
        <f t="shared" si="78"/>
        <v>0</v>
      </c>
      <c r="AU20" s="1089" t="str">
        <f t="shared" si="79"/>
        <v/>
      </c>
      <c r="AV20" s="1088">
        <f>SUMIFS(BP_SOTIEN,BP_DA,$C20,BP_THANG,AV$2,BP_KM,$E20)/1000</f>
        <v>0</v>
      </c>
      <c r="AW20" s="1091">
        <f t="shared" si="80"/>
        <v>0</v>
      </c>
      <c r="AX20" s="1089" t="str">
        <f t="shared" si="81"/>
        <v/>
      </c>
      <c r="AY20" s="1088">
        <f>SUMIFS(BP_SOTIEN,BP_DA,$C20,BP_THANG,AY$2,BP_KM,$E20)/1000</f>
        <v>0</v>
      </c>
      <c r="AZ20" s="1091">
        <f t="shared" si="82"/>
        <v>0</v>
      </c>
      <c r="BA20" s="1089" t="str">
        <f t="shared" si="83"/>
        <v/>
      </c>
      <c r="BB20" s="1088">
        <f>SUMIFS(BP_SOTIEN,BP_DA,$C20,BP_THANG,BB$2,BP_KM,$E20)/1000</f>
        <v>0</v>
      </c>
      <c r="BC20" s="1091">
        <f t="shared" si="84"/>
        <v>0</v>
      </c>
      <c r="BD20" s="1089" t="str">
        <f t="shared" si="85"/>
        <v/>
      </c>
      <c r="BE20" s="1088">
        <f t="shared" si="86"/>
        <v>0</v>
      </c>
      <c r="BF20" s="1091">
        <f t="shared" si="87"/>
        <v>0</v>
      </c>
      <c r="BG20" s="1089" t="str">
        <f t="shared" si="88"/>
        <v/>
      </c>
      <c r="BH20" s="1088">
        <f t="shared" si="89"/>
        <v>0</v>
      </c>
      <c r="BI20" s="1091">
        <f t="shared" si="90"/>
        <v>0</v>
      </c>
      <c r="BJ20" s="1089" t="str">
        <f t="shared" si="91"/>
        <v/>
      </c>
      <c r="BK20" s="1088">
        <f t="shared" si="92"/>
        <v>0</v>
      </c>
      <c r="BL20" s="1091">
        <f t="shared" si="93"/>
        <v>0</v>
      </c>
      <c r="BM20" s="1089" t="str">
        <f t="shared" si="94"/>
        <v/>
      </c>
    </row>
    <row r="21" hidden="1" outlineLevel="1">
      <c r="A21" s="1086">
        <f t="shared" si="49"/>
        <v>2</v>
      </c>
      <c r="B21" s="1087" t="s">
        <v>2066</v>
      </c>
      <c r="C21" s="1087" t="s">
        <v>530</v>
      </c>
      <c r="D21" s="1087" t="str">
        <f>IF(C21&gt;0,VLOOKUP(C21,DM_DUAN ,2,"") ,IF(B21&gt;0,VLOOKUP(B21,DM_CDT,2,""),""))</f>
        <v>Nhà vườn sinh thái</v>
      </c>
      <c r="E21" s="1087" t="s">
        <v>2239</v>
      </c>
      <c r="F21" s="1087"/>
      <c r="G21" s="1086">
        <v>2.0</v>
      </c>
      <c r="H21" s="1088">
        <f>SUMIFS(BP_SOTIEN,BP_DA,$C21,BP_THANG,H$2,BP_KM,$E21)/1000</f>
        <v>0</v>
      </c>
      <c r="I21" s="1091" t="str">
        <f t="shared" si="50"/>
        <v/>
      </c>
      <c r="J21" s="1089" t="str">
        <f t="shared" si="51"/>
        <v/>
      </c>
      <c r="K21" s="1088">
        <f>SUMIFS(BP_SOTIEN,BP_DA,$C21,BP_THANG,K$2,BP_KM,$E21)/1000</f>
        <v>0</v>
      </c>
      <c r="L21" s="1091" t="str">
        <f t="shared" si="52"/>
        <v/>
      </c>
      <c r="M21" s="1089" t="str">
        <f t="shared" si="53"/>
        <v/>
      </c>
      <c r="N21" s="1088">
        <f>SUMIFS(BP_SOTIEN,BP_DA,$C21,BP_THANG,N$2,BP_KM,$E21)/1000</f>
        <v>0</v>
      </c>
      <c r="O21" s="1091" t="str">
        <f t="shared" si="54"/>
        <v/>
      </c>
      <c r="P21" s="1089" t="str">
        <f t="shared" si="55"/>
        <v/>
      </c>
      <c r="Q21" s="1088">
        <f t="shared" si="56"/>
        <v>0</v>
      </c>
      <c r="R21" s="1091" t="str">
        <f t="shared" si="57"/>
        <v/>
      </c>
      <c r="S21" s="1089" t="str">
        <f t="shared" si="58"/>
        <v/>
      </c>
      <c r="T21" s="1088">
        <f>SUMIFS(BP_SOTIEN,BP_DA,$C21,BP_THANG,T$2,BP_KM,$E21)/1000</f>
        <v>0</v>
      </c>
      <c r="U21" s="1091" t="str">
        <f t="shared" si="59"/>
        <v/>
      </c>
      <c r="V21" s="1089" t="str">
        <f t="shared" si="60"/>
        <v/>
      </c>
      <c r="W21" s="1088">
        <f>SUMIFS(BP_SOTIEN,BP_DA,$C21,BP_THANG,W$2,BP_KM,$E21)/1000</f>
        <v>0</v>
      </c>
      <c r="X21" s="1091" t="str">
        <f t="shared" si="61"/>
        <v/>
      </c>
      <c r="Y21" s="1089" t="str">
        <f t="shared" si="62"/>
        <v/>
      </c>
      <c r="Z21" s="1088">
        <f>SUMIFS(BP_SOTIEN,BP_DA,$C21,BP_THANG,Z$2,BP_KM,$E21)/1000</f>
        <v>0</v>
      </c>
      <c r="AA21" s="1091" t="str">
        <f t="shared" si="63"/>
        <v/>
      </c>
      <c r="AB21" s="1089" t="str">
        <f t="shared" si="64"/>
        <v/>
      </c>
      <c r="AC21" s="1088">
        <f t="shared" si="65"/>
        <v>0</v>
      </c>
      <c r="AD21" s="1091" t="str">
        <f t="shared" si="66"/>
        <v/>
      </c>
      <c r="AE21" s="1089" t="str">
        <f t="shared" si="67"/>
        <v/>
      </c>
      <c r="AF21" s="1088">
        <f t="shared" si="68"/>
        <v>0</v>
      </c>
      <c r="AG21" s="1091" t="str">
        <f t="shared" si="69"/>
        <v/>
      </c>
      <c r="AH21" s="1089" t="str">
        <f t="shared" si="70"/>
        <v/>
      </c>
      <c r="AI21" s="1088">
        <f>SUMIFS(BP_SOTIEN,BP_DA,$C21,BP_THANG,AI$2,BP_KM,$E21)/1000</f>
        <v>0</v>
      </c>
      <c r="AJ21" s="1091" t="str">
        <f t="shared" si="71"/>
        <v/>
      </c>
      <c r="AK21" s="1089" t="str">
        <f t="shared" si="72"/>
        <v/>
      </c>
      <c r="AL21" s="1088">
        <f>SUMIFS(BP_SOTIEN,BP_DA,$C21,BP_THANG,AL$2,BP_KM,$E21)/1000</f>
        <v>0</v>
      </c>
      <c r="AM21" s="1091" t="str">
        <f t="shared" si="73"/>
        <v/>
      </c>
      <c r="AN21" s="1089" t="str">
        <f t="shared" si="74"/>
        <v/>
      </c>
      <c r="AO21" s="1091" t="str">
        <f t="shared" si="27"/>
        <v/>
      </c>
      <c r="AP21" s="1088">
        <f>SUMIFS(BP_SOTIEN,BP_DA,$C21,BP_THANG,AP$2,BP_KM,$E21)/1000</f>
        <v>0</v>
      </c>
      <c r="AQ21" s="1091" t="str">
        <f t="shared" si="75"/>
        <v/>
      </c>
      <c r="AR21" s="1089" t="str">
        <f t="shared" si="76"/>
        <v/>
      </c>
      <c r="AS21" s="1088">
        <f t="shared" si="77"/>
        <v>0</v>
      </c>
      <c r="AT21" s="1091" t="str">
        <f t="shared" si="78"/>
        <v/>
      </c>
      <c r="AU21" s="1089" t="str">
        <f t="shared" si="79"/>
        <v/>
      </c>
      <c r="AV21" s="1088">
        <f>SUMIFS(BP_SOTIEN,BP_DA,$C21,BP_THANG,AV$2,BP_KM,$E21)/1000</f>
        <v>0</v>
      </c>
      <c r="AW21" s="1091" t="str">
        <f t="shared" si="80"/>
        <v/>
      </c>
      <c r="AX21" s="1089" t="str">
        <f t="shared" si="81"/>
        <v/>
      </c>
      <c r="AY21" s="1088">
        <f>SUMIFS(BP_SOTIEN,BP_DA,$C21,BP_THANG,AY$2,BP_KM,$E21)/1000</f>
        <v>0</v>
      </c>
      <c r="AZ21" s="1091" t="str">
        <f t="shared" si="82"/>
        <v/>
      </c>
      <c r="BA21" s="1089" t="str">
        <f t="shared" si="83"/>
        <v/>
      </c>
      <c r="BB21" s="1088">
        <f>SUMIFS(BP_SOTIEN,BP_DA,$C21,BP_THANG,BB$2,BP_KM,$E21)/1000</f>
        <v>0</v>
      </c>
      <c r="BC21" s="1091" t="str">
        <f t="shared" si="84"/>
        <v/>
      </c>
      <c r="BD21" s="1089" t="str">
        <f t="shared" si="85"/>
        <v/>
      </c>
      <c r="BE21" s="1088">
        <f t="shared" si="86"/>
        <v>0</v>
      </c>
      <c r="BF21" s="1091" t="str">
        <f t="shared" si="87"/>
        <v/>
      </c>
      <c r="BG21" s="1089" t="str">
        <f t="shared" si="88"/>
        <v/>
      </c>
      <c r="BH21" s="1088">
        <f t="shared" si="89"/>
        <v>0</v>
      </c>
      <c r="BI21" s="1091" t="str">
        <f t="shared" si="90"/>
        <v/>
      </c>
      <c r="BJ21" s="1089" t="str">
        <f t="shared" si="91"/>
        <v/>
      </c>
      <c r="BK21" s="1088">
        <f t="shared" si="92"/>
        <v>0</v>
      </c>
      <c r="BL21" s="1091" t="str">
        <f t="shared" si="93"/>
        <v/>
      </c>
      <c r="BM21" s="1089" t="str">
        <f t="shared" si="94"/>
        <v/>
      </c>
    </row>
    <row r="22" hidden="1" outlineLevel="1">
      <c r="A22" s="1086">
        <f t="shared" si="49"/>
        <v>3</v>
      </c>
      <c r="B22" s="1087" t="s">
        <v>2066</v>
      </c>
      <c r="C22" s="656" t="s">
        <v>597</v>
      </c>
      <c r="D22" s="1087" t="str">
        <f>IF(C22&gt;0,VLOOKUP(C22,DM_DUAN ,2,"") ,IF(B22&gt;0,VLOOKUP(B22,DM_CDT,2,""),""))</f>
        <v>KDC Long Hải</v>
      </c>
      <c r="E22" s="1087" t="s">
        <v>2239</v>
      </c>
      <c r="F22" s="1087"/>
      <c r="G22" s="1086">
        <v>2.0</v>
      </c>
      <c r="H22" s="1088">
        <f>SUMIFS(BP_SOTIEN,BP_DA,$C22,BP_THANG,H$2,BP_KM,$E22)/1000</f>
        <v>0</v>
      </c>
      <c r="I22" s="1091" t="str">
        <f t="shared" si="50"/>
        <v/>
      </c>
      <c r="J22" s="1089" t="str">
        <f t="shared" si="51"/>
        <v/>
      </c>
      <c r="K22" s="1088">
        <f>SUMIFS(BP_SOTIEN,BP_DA,$C22,BP_THANG,K$2,BP_KM,$E22)/1000</f>
        <v>0</v>
      </c>
      <c r="L22" s="1091" t="str">
        <f t="shared" si="52"/>
        <v/>
      </c>
      <c r="M22" s="1089" t="str">
        <f t="shared" si="53"/>
        <v/>
      </c>
      <c r="N22" s="1088">
        <f>SUMIFS(BP_SOTIEN,BP_DA,$C22,BP_THANG,N$2,BP_KM,$E22)/1000</f>
        <v>0</v>
      </c>
      <c r="O22" s="1091" t="str">
        <f t="shared" si="54"/>
        <v/>
      </c>
      <c r="P22" s="1089" t="str">
        <f t="shared" si="55"/>
        <v/>
      </c>
      <c r="Q22" s="1088">
        <f t="shared" si="56"/>
        <v>0</v>
      </c>
      <c r="R22" s="1091" t="str">
        <f t="shared" si="57"/>
        <v/>
      </c>
      <c r="S22" s="1089" t="str">
        <f t="shared" si="58"/>
        <v/>
      </c>
      <c r="T22" s="1088">
        <f>SUMIFS(BP_SOTIEN,BP_DA,$C22,BP_THANG,T$2,BP_KM,$E22)/1000</f>
        <v>0</v>
      </c>
      <c r="U22" s="1091" t="str">
        <f t="shared" si="59"/>
        <v/>
      </c>
      <c r="V22" s="1089" t="str">
        <f t="shared" si="60"/>
        <v/>
      </c>
      <c r="W22" s="1088">
        <f>SUMIFS(BP_SOTIEN,BP_DA,$C22,BP_THANG,W$2,BP_KM,$E22)/1000</f>
        <v>0</v>
      </c>
      <c r="X22" s="1091" t="str">
        <f t="shared" si="61"/>
        <v/>
      </c>
      <c r="Y22" s="1089" t="str">
        <f t="shared" si="62"/>
        <v/>
      </c>
      <c r="Z22" s="1088">
        <f>SUMIFS(BP_SOTIEN,BP_DA,$C22,BP_THANG,Z$2,BP_KM,$E22)/1000</f>
        <v>0</v>
      </c>
      <c r="AA22" s="1091" t="str">
        <f t="shared" si="63"/>
        <v/>
      </c>
      <c r="AB22" s="1089" t="str">
        <f t="shared" si="64"/>
        <v/>
      </c>
      <c r="AC22" s="1088">
        <f t="shared" si="65"/>
        <v>0</v>
      </c>
      <c r="AD22" s="1091" t="str">
        <f t="shared" si="66"/>
        <v/>
      </c>
      <c r="AE22" s="1089" t="str">
        <f t="shared" si="67"/>
        <v/>
      </c>
      <c r="AF22" s="1088">
        <f t="shared" si="68"/>
        <v>0</v>
      </c>
      <c r="AG22" s="1091" t="str">
        <f t="shared" si="69"/>
        <v/>
      </c>
      <c r="AH22" s="1089" t="str">
        <f t="shared" si="70"/>
        <v/>
      </c>
      <c r="AI22" s="1088">
        <f>SUMIFS(BP_SOTIEN,BP_DA,$C22,BP_THANG,AI$2,BP_KM,$E22)/1000</f>
        <v>0</v>
      </c>
      <c r="AJ22" s="1091" t="str">
        <f t="shared" si="71"/>
        <v/>
      </c>
      <c r="AK22" s="1089" t="str">
        <f t="shared" si="72"/>
        <v/>
      </c>
      <c r="AL22" s="1088">
        <f>SUMIFS(BP_SOTIEN,BP_DA,$C22,BP_THANG,AL$2,BP_KM,$E22)/1000</f>
        <v>0</v>
      </c>
      <c r="AM22" s="1091" t="str">
        <f t="shared" si="73"/>
        <v/>
      </c>
      <c r="AN22" s="1089" t="str">
        <f t="shared" si="74"/>
        <v/>
      </c>
      <c r="AO22" s="1091" t="str">
        <f t="shared" si="27"/>
        <v/>
      </c>
      <c r="AP22" s="1088">
        <f>SUMIFS(BP_SOTIEN,BP_DA,$C22,BP_THANG,AP$2,BP_KM,$E22)/1000</f>
        <v>0</v>
      </c>
      <c r="AQ22" s="1091" t="str">
        <f t="shared" si="75"/>
        <v/>
      </c>
      <c r="AR22" s="1089" t="str">
        <f t="shared" si="76"/>
        <v/>
      </c>
      <c r="AS22" s="1088">
        <f t="shared" si="77"/>
        <v>0</v>
      </c>
      <c r="AT22" s="1091" t="str">
        <f t="shared" si="78"/>
        <v/>
      </c>
      <c r="AU22" s="1089" t="str">
        <f t="shared" si="79"/>
        <v/>
      </c>
      <c r="AV22" s="1088">
        <f>SUMIFS(BP_SOTIEN,BP_DA,$C22,BP_THANG,AV$2,BP_KM,$E22)/1000</f>
        <v>0</v>
      </c>
      <c r="AW22" s="1091" t="str">
        <f t="shared" si="80"/>
        <v/>
      </c>
      <c r="AX22" s="1089" t="str">
        <f t="shared" si="81"/>
        <v/>
      </c>
      <c r="AY22" s="1088">
        <f>SUMIFS(BP_SOTIEN,BP_DA,$C22,BP_THANG,AY$2,BP_KM,$E22)/1000</f>
        <v>0</v>
      </c>
      <c r="AZ22" s="1091" t="str">
        <f t="shared" si="82"/>
        <v/>
      </c>
      <c r="BA22" s="1089" t="str">
        <f t="shared" si="83"/>
        <v/>
      </c>
      <c r="BB22" s="1088">
        <f>SUMIFS(BP_SOTIEN,BP_DA,$C22,BP_THANG,BB$2,BP_KM,$E22)/1000</f>
        <v>0</v>
      </c>
      <c r="BC22" s="1091" t="str">
        <f t="shared" si="84"/>
        <v/>
      </c>
      <c r="BD22" s="1089" t="str">
        <f t="shared" si="85"/>
        <v/>
      </c>
      <c r="BE22" s="1088">
        <f t="shared" si="86"/>
        <v>0</v>
      </c>
      <c r="BF22" s="1091" t="str">
        <f t="shared" si="87"/>
        <v/>
      </c>
      <c r="BG22" s="1089" t="str">
        <f t="shared" si="88"/>
        <v/>
      </c>
      <c r="BH22" s="1088">
        <f t="shared" si="89"/>
        <v>0</v>
      </c>
      <c r="BI22" s="1091" t="str">
        <f t="shared" si="90"/>
        <v/>
      </c>
      <c r="BJ22" s="1089" t="str">
        <f t="shared" si="91"/>
        <v/>
      </c>
      <c r="BK22" s="1088">
        <f t="shared" si="92"/>
        <v>0</v>
      </c>
      <c r="BL22" s="1091" t="str">
        <f t="shared" si="93"/>
        <v/>
      </c>
      <c r="BM22" s="1089" t="str">
        <f t="shared" si="94"/>
        <v/>
      </c>
    </row>
    <row r="23" collapsed="1">
      <c r="A23" s="1113" t="str">
        <f t="shared" si="49"/>
        <v/>
      </c>
      <c r="B23" s="1114" t="s">
        <v>2067</v>
      </c>
      <c r="C23" s="1114"/>
      <c r="D23" s="1114" t="str">
        <f>IF(C23&gt;0,VLOOKUP(C23,DM_DUAN ,2,"") ,IF(B23&gt;0,VLOOKUP(B23,DM_CDT,2,""),""))</f>
        <v>NAM PHONG</v>
      </c>
      <c r="E23" s="1115" t="s">
        <v>2239</v>
      </c>
      <c r="F23" s="1115"/>
      <c r="G23" s="1116">
        <v>1.0</v>
      </c>
      <c r="H23" s="1083">
        <f>SUMIF($B24:$B$32,$B23,H24:H$32)</f>
        <v>0</v>
      </c>
      <c r="I23" s="1117" t="str">
        <f t="shared" si="50"/>
        <v/>
      </c>
      <c r="J23" s="1118" t="str">
        <f t="shared" si="51"/>
        <v/>
      </c>
      <c r="K23" s="1083">
        <f>SUMIF($B24:$B$32,$B23,K24:K$32)</f>
        <v>0</v>
      </c>
      <c r="L23" s="1117" t="str">
        <f t="shared" si="52"/>
        <v/>
      </c>
      <c r="M23" s="1118" t="str">
        <f t="shared" si="53"/>
        <v/>
      </c>
      <c r="N23" s="1083">
        <f>SUMIF($B24:$B$32,$B23,N24:N$32)</f>
        <v>0</v>
      </c>
      <c r="O23" s="1117" t="str">
        <f t="shared" si="54"/>
        <v/>
      </c>
      <c r="P23" s="1118" t="str">
        <f t="shared" si="55"/>
        <v/>
      </c>
      <c r="Q23" s="1120">
        <f t="shared" si="56"/>
        <v>0</v>
      </c>
      <c r="R23" s="1117" t="str">
        <f t="shared" si="57"/>
        <v/>
      </c>
      <c r="S23" s="1118" t="str">
        <f t="shared" si="58"/>
        <v/>
      </c>
      <c r="T23" s="1083">
        <f>SUMIF($B24:$B$32,$B23,T24:T$32)</f>
        <v>0</v>
      </c>
      <c r="U23" s="1117" t="str">
        <f t="shared" si="59"/>
        <v/>
      </c>
      <c r="V23" s="1118" t="str">
        <f t="shared" si="60"/>
        <v/>
      </c>
      <c r="W23" s="1083">
        <f>SUMIF($B24:$B$32,$B23,W24:W$32)</f>
        <v>0</v>
      </c>
      <c r="X23" s="1117" t="str">
        <f t="shared" si="61"/>
        <v/>
      </c>
      <c r="Y23" s="1118" t="str">
        <f t="shared" si="62"/>
        <v/>
      </c>
      <c r="Z23" s="1083">
        <f>SUMIF($B24:$B$32,$B23,Z24:Z$32)</f>
        <v>0</v>
      </c>
      <c r="AA23" s="1117" t="str">
        <f t="shared" si="63"/>
        <v/>
      </c>
      <c r="AB23" s="1118" t="str">
        <f t="shared" si="64"/>
        <v/>
      </c>
      <c r="AC23" s="1120">
        <f t="shared" si="65"/>
        <v>0</v>
      </c>
      <c r="AD23" s="1117" t="str">
        <f t="shared" si="66"/>
        <v/>
      </c>
      <c r="AE23" s="1118" t="str">
        <f t="shared" si="67"/>
        <v/>
      </c>
      <c r="AF23" s="1120">
        <f t="shared" si="68"/>
        <v>0</v>
      </c>
      <c r="AG23" s="1117" t="str">
        <f t="shared" si="69"/>
        <v/>
      </c>
      <c r="AH23" s="1118" t="str">
        <f t="shared" si="70"/>
        <v/>
      </c>
      <c r="AI23" s="1083">
        <f>SUMIF($B24:$B$32,$B23,AI24:AI$32)</f>
        <v>0</v>
      </c>
      <c r="AJ23" s="1117" t="str">
        <f t="shared" si="71"/>
        <v/>
      </c>
      <c r="AK23" s="1118" t="str">
        <f t="shared" si="72"/>
        <v/>
      </c>
      <c r="AL23" s="1083">
        <f>SUMIF($B24:$B$32,$B23,AL24:AL$32)</f>
        <v>0</v>
      </c>
      <c r="AM23" s="1117" t="str">
        <f t="shared" si="73"/>
        <v/>
      </c>
      <c r="AN23" s="1118" t="str">
        <f t="shared" si="74"/>
        <v/>
      </c>
      <c r="AO23" s="1117" t="str">
        <f t="shared" si="27"/>
        <v/>
      </c>
      <c r="AP23" s="1083">
        <f>SUMIF($B24:$B$32,$B23,AP24:AP$32)</f>
        <v>0</v>
      </c>
      <c r="AQ23" s="1117" t="str">
        <f t="shared" si="75"/>
        <v/>
      </c>
      <c r="AR23" s="1118" t="str">
        <f t="shared" si="76"/>
        <v/>
      </c>
      <c r="AS23" s="1120">
        <f t="shared" si="77"/>
        <v>0</v>
      </c>
      <c r="AT23" s="1117" t="str">
        <f t="shared" si="78"/>
        <v/>
      </c>
      <c r="AU23" s="1118" t="str">
        <f t="shared" si="79"/>
        <v/>
      </c>
      <c r="AV23" s="1083">
        <f>SUMIF($B24:$B$32,$B23,AV24:AV$32)</f>
        <v>0</v>
      </c>
      <c r="AW23" s="1117" t="str">
        <f t="shared" si="80"/>
        <v/>
      </c>
      <c r="AX23" s="1118" t="str">
        <f t="shared" si="81"/>
        <v/>
      </c>
      <c r="AY23" s="1120">
        <f>SUMIFS(BP_SOTIEN,BP_DA,$C23,BP_THANG,AY$2,BP_KM,$E23)/1000</f>
        <v>0</v>
      </c>
      <c r="AZ23" s="1117" t="str">
        <f t="shared" si="82"/>
        <v/>
      </c>
      <c r="BA23" s="1118" t="str">
        <f t="shared" si="83"/>
        <v/>
      </c>
      <c r="BB23" s="1083">
        <f>SUMIF($B24:$B$32,$B23,BB24:BB$32)</f>
        <v>0</v>
      </c>
      <c r="BC23" s="1117" t="str">
        <f t="shared" si="84"/>
        <v/>
      </c>
      <c r="BD23" s="1118" t="str">
        <f t="shared" si="85"/>
        <v/>
      </c>
      <c r="BE23" s="1120">
        <f t="shared" si="86"/>
        <v>0</v>
      </c>
      <c r="BF23" s="1117" t="str">
        <f t="shared" si="87"/>
        <v/>
      </c>
      <c r="BG23" s="1118" t="str">
        <f t="shared" si="88"/>
        <v/>
      </c>
      <c r="BH23" s="1120">
        <f t="shared" si="89"/>
        <v>0</v>
      </c>
      <c r="BI23" s="1117" t="str">
        <f t="shared" si="90"/>
        <v/>
      </c>
      <c r="BJ23" s="1118" t="str">
        <f t="shared" si="91"/>
        <v/>
      </c>
      <c r="BK23" s="1120">
        <f t="shared" si="92"/>
        <v>0</v>
      </c>
      <c r="BL23" s="1117" t="str">
        <f t="shared" si="93"/>
        <v/>
      </c>
      <c r="BM23" s="1118" t="str">
        <f t="shared" si="94"/>
        <v/>
      </c>
    </row>
    <row r="24" hidden="1" outlineLevel="1">
      <c r="A24" s="1086">
        <f t="shared" si="49"/>
        <v>4</v>
      </c>
      <c r="B24" s="1087" t="s">
        <v>2067</v>
      </c>
      <c r="C24" s="1087" t="s">
        <v>2067</v>
      </c>
      <c r="D24" s="1087" t="str">
        <f>IF(C24&gt;0,VLOOKUP(C24,DM_DUAN ,2,"") ,IF(B24&gt;0,VLOOKUP(B24,DM_CDT,2,""),""))</f>
        <v>NAM PHONG</v>
      </c>
      <c r="E24" s="1087" t="s">
        <v>2239</v>
      </c>
      <c r="F24" s="1087"/>
      <c r="G24" s="1086">
        <v>2.0</v>
      </c>
      <c r="H24" s="1088">
        <f>SUMIFS(BP_SOTIEN,BP_DA,$C24,BP_THANG,H$2,BP_KM,$E24)/1000</f>
        <v>0</v>
      </c>
      <c r="I24" s="1091" t="str">
        <f t="shared" si="50"/>
        <v/>
      </c>
      <c r="J24" s="1089" t="str">
        <f t="shared" si="51"/>
        <v/>
      </c>
      <c r="K24" s="1088">
        <f>SUMIFS(BP_SOTIEN,BP_DA,$C24,BP_THANG,K$2,BP_KM,$E24)/1000</f>
        <v>0</v>
      </c>
      <c r="L24" s="1091" t="str">
        <f t="shared" si="52"/>
        <v/>
      </c>
      <c r="M24" s="1089" t="str">
        <f t="shared" si="53"/>
        <v/>
      </c>
      <c r="N24" s="1088">
        <f>SUMIFS(BP_SOTIEN,BP_DA,$C24,BP_THANG,N$2,BP_KM,$E24)/1000</f>
        <v>0</v>
      </c>
      <c r="O24" s="1091" t="str">
        <f t="shared" si="54"/>
        <v/>
      </c>
      <c r="P24" s="1089" t="str">
        <f t="shared" si="55"/>
        <v/>
      </c>
      <c r="Q24" s="1088">
        <f t="shared" si="56"/>
        <v>0</v>
      </c>
      <c r="R24" s="1091" t="str">
        <f t="shared" si="57"/>
        <v/>
      </c>
      <c r="S24" s="1089" t="str">
        <f t="shared" si="58"/>
        <v/>
      </c>
      <c r="T24" s="1088">
        <f>SUMIFS(BP_SOTIEN,BP_DA,$C24,BP_THANG,T$2,BP_KM,$E24)/1000</f>
        <v>0</v>
      </c>
      <c r="U24" s="1091">
        <f t="shared" si="59"/>
        <v>0</v>
      </c>
      <c r="V24" s="1089" t="str">
        <f t="shared" si="60"/>
        <v/>
      </c>
      <c r="W24" s="1088">
        <f>SUMIFS(BP_SOTIEN,BP_DA,$C24,BP_THANG,W$2,BP_KM,$E24)/1000</f>
        <v>0</v>
      </c>
      <c r="X24" s="1091">
        <f t="shared" si="61"/>
        <v>0</v>
      </c>
      <c r="Y24" s="1089" t="str">
        <f t="shared" si="62"/>
        <v/>
      </c>
      <c r="Z24" s="1088">
        <f>SUMIFS(BP_SOTIEN,BP_DA,$C24,BP_THANG,Z$2,BP_KM,$E24)/1000</f>
        <v>0</v>
      </c>
      <c r="AA24" s="1091">
        <f t="shared" si="63"/>
        <v>0</v>
      </c>
      <c r="AB24" s="1089" t="str">
        <f t="shared" si="64"/>
        <v/>
      </c>
      <c r="AC24" s="1088">
        <f t="shared" si="65"/>
        <v>0</v>
      </c>
      <c r="AD24" s="1091">
        <f t="shared" si="66"/>
        <v>0</v>
      </c>
      <c r="AE24" s="1089" t="str">
        <f t="shared" si="67"/>
        <v/>
      </c>
      <c r="AF24" s="1088">
        <f t="shared" si="68"/>
        <v>0</v>
      </c>
      <c r="AG24" s="1091">
        <f t="shared" si="69"/>
        <v>0</v>
      </c>
      <c r="AH24" s="1089" t="str">
        <f t="shared" si="70"/>
        <v/>
      </c>
      <c r="AI24" s="1088">
        <f>SUMIFS(BP_SOTIEN,BP_DA,$C24,BP_THANG,AI$2,BP_KM,$E24)/1000</f>
        <v>0</v>
      </c>
      <c r="AJ24" s="1091">
        <f t="shared" si="71"/>
        <v>0</v>
      </c>
      <c r="AK24" s="1089" t="str">
        <f t="shared" si="72"/>
        <v/>
      </c>
      <c r="AL24" s="1088">
        <f>SUMIFS(BP_SOTIEN,BP_DA,$C24,BP_THANG,AL$2,BP_KM,$E24)/1000</f>
        <v>0</v>
      </c>
      <c r="AM24" s="1091">
        <f t="shared" si="73"/>
        <v>0</v>
      </c>
      <c r="AN24" s="1089" t="str">
        <f t="shared" si="74"/>
        <v/>
      </c>
      <c r="AO24" s="1091" t="str">
        <f t="shared" si="27"/>
        <v/>
      </c>
      <c r="AP24" s="1088">
        <f>SUMIFS(BP_SOTIEN,BP_DA,$C24,BP_THANG,AP$2,BP_KM,$E24)/1000</f>
        <v>0</v>
      </c>
      <c r="AQ24" s="1091">
        <f t="shared" si="75"/>
        <v>0</v>
      </c>
      <c r="AR24" s="1089" t="str">
        <f t="shared" si="76"/>
        <v/>
      </c>
      <c r="AS24" s="1088">
        <f t="shared" si="77"/>
        <v>0</v>
      </c>
      <c r="AT24" s="1091">
        <f t="shared" si="78"/>
        <v>0</v>
      </c>
      <c r="AU24" s="1089" t="str">
        <f t="shared" si="79"/>
        <v/>
      </c>
      <c r="AV24" s="1088">
        <f>SUMIFS(BP_SOTIEN,BP_DA,$C24,BP_THANG,AV$2,BP_KM,$E24)/1000</f>
        <v>0</v>
      </c>
      <c r="AW24" s="1091">
        <f t="shared" si="80"/>
        <v>0</v>
      </c>
      <c r="AX24" s="1089" t="str">
        <f t="shared" si="81"/>
        <v/>
      </c>
      <c r="AY24" s="1088">
        <f>SUMIFS(BP_SOTIEN,BP_DA,$C24,BP_THANG,AY$2,BP_KM,$E24)/1000</f>
        <v>0</v>
      </c>
      <c r="AZ24" s="1091">
        <f t="shared" si="82"/>
        <v>0</v>
      </c>
      <c r="BA24" s="1089" t="str">
        <f t="shared" si="83"/>
        <v/>
      </c>
      <c r="BB24" s="1088">
        <f>SUMIFS(BP_SOTIEN,BP_DA,$C24,BP_THANG,BB$2,BP_KM,$E24)/1000</f>
        <v>0</v>
      </c>
      <c r="BC24" s="1091">
        <f t="shared" si="84"/>
        <v>0</v>
      </c>
      <c r="BD24" s="1089" t="str">
        <f t="shared" si="85"/>
        <v/>
      </c>
      <c r="BE24" s="1088">
        <f t="shared" si="86"/>
        <v>0</v>
      </c>
      <c r="BF24" s="1091">
        <f t="shared" si="87"/>
        <v>0</v>
      </c>
      <c r="BG24" s="1089" t="str">
        <f t="shared" si="88"/>
        <v/>
      </c>
      <c r="BH24" s="1088">
        <f t="shared" si="89"/>
        <v>0</v>
      </c>
      <c r="BI24" s="1091">
        <f t="shared" si="90"/>
        <v>0</v>
      </c>
      <c r="BJ24" s="1089" t="str">
        <f t="shared" si="91"/>
        <v/>
      </c>
      <c r="BK24" s="1088">
        <f t="shared" si="92"/>
        <v>0</v>
      </c>
      <c r="BL24" s="1091">
        <f t="shared" si="93"/>
        <v>0</v>
      </c>
      <c r="BM24" s="1089" t="str">
        <f t="shared" si="94"/>
        <v/>
      </c>
    </row>
    <row r="25" collapsed="1">
      <c r="A25" s="1113" t="str">
        <f t="shared" si="49"/>
        <v/>
      </c>
      <c r="B25" s="1114" t="s">
        <v>2069</v>
      </c>
      <c r="C25" s="1114"/>
      <c r="D25" s="1114" t="str">
        <f>IF(C25&gt;0,VLOOKUP(C25,DM_DUAN ,2,"") ,IF(B25&gt;0,VLOOKUP(B25,DM_CDT,2,""),""))</f>
        <v>KIMCUONGLAND</v>
      </c>
      <c r="E25" s="1115" t="s">
        <v>2239</v>
      </c>
      <c r="F25" s="1115"/>
      <c r="G25" s="1116">
        <v>1.0</v>
      </c>
      <c r="H25" s="1083">
        <f>SUMIF($B26:$B$32,$B25,H26:H$32)</f>
        <v>0</v>
      </c>
      <c r="I25" s="1117" t="str">
        <f t="shared" si="50"/>
        <v/>
      </c>
      <c r="J25" s="1118" t="str">
        <f t="shared" si="51"/>
        <v/>
      </c>
      <c r="K25" s="1083">
        <f>SUMIF($B26:$B$32,$B25,K26:K$32)</f>
        <v>0</v>
      </c>
      <c r="L25" s="1117" t="str">
        <f t="shared" si="52"/>
        <v/>
      </c>
      <c r="M25" s="1118" t="str">
        <f t="shared" si="53"/>
        <v/>
      </c>
      <c r="N25" s="1083">
        <f>SUMIF($B26:$B$32,$B25,N26:N$32)</f>
        <v>0</v>
      </c>
      <c r="O25" s="1117" t="str">
        <f t="shared" si="54"/>
        <v/>
      </c>
      <c r="P25" s="1118" t="str">
        <f t="shared" si="55"/>
        <v/>
      </c>
      <c r="Q25" s="1120">
        <f t="shared" si="56"/>
        <v>0</v>
      </c>
      <c r="R25" s="1117" t="str">
        <f t="shared" si="57"/>
        <v/>
      </c>
      <c r="S25" s="1118" t="str">
        <f t="shared" si="58"/>
        <v/>
      </c>
      <c r="T25" s="1083">
        <f>SUMIF($B26:$B$32,$B25,T26:T$32)</f>
        <v>0</v>
      </c>
      <c r="U25" s="1117" t="str">
        <f t="shared" si="59"/>
        <v/>
      </c>
      <c r="V25" s="1118" t="str">
        <f t="shared" si="60"/>
        <v/>
      </c>
      <c r="W25" s="1083">
        <f>SUMIF($B26:$B$32,$B25,W26:W$32)</f>
        <v>0</v>
      </c>
      <c r="X25" s="1117" t="str">
        <f t="shared" si="61"/>
        <v/>
      </c>
      <c r="Y25" s="1118" t="str">
        <f t="shared" si="62"/>
        <v/>
      </c>
      <c r="Z25" s="1083">
        <f>SUMIF($B26:$B$32,$B25,Z26:Z$32)</f>
        <v>0</v>
      </c>
      <c r="AA25" s="1117" t="str">
        <f t="shared" si="63"/>
        <v/>
      </c>
      <c r="AB25" s="1118" t="str">
        <f t="shared" si="64"/>
        <v/>
      </c>
      <c r="AC25" s="1120">
        <f t="shared" si="65"/>
        <v>0</v>
      </c>
      <c r="AD25" s="1117" t="str">
        <f t="shared" si="66"/>
        <v/>
      </c>
      <c r="AE25" s="1118" t="str">
        <f t="shared" si="67"/>
        <v/>
      </c>
      <c r="AF25" s="1120">
        <f t="shared" si="68"/>
        <v>0</v>
      </c>
      <c r="AG25" s="1117" t="str">
        <f t="shared" si="69"/>
        <v/>
      </c>
      <c r="AH25" s="1118" t="str">
        <f t="shared" si="70"/>
        <v/>
      </c>
      <c r="AI25" s="1083">
        <f>SUMIF($B26:$B$32,$B25,AI26:AI$32)</f>
        <v>0</v>
      </c>
      <c r="AJ25" s="1117" t="str">
        <f t="shared" si="71"/>
        <v/>
      </c>
      <c r="AK25" s="1118" t="str">
        <f t="shared" si="72"/>
        <v/>
      </c>
      <c r="AL25" s="1083">
        <f>SUMIF($B26:$B$32,$B25,AL26:AL$32)</f>
        <v>0</v>
      </c>
      <c r="AM25" s="1117" t="str">
        <f t="shared" si="73"/>
        <v/>
      </c>
      <c r="AN25" s="1118" t="str">
        <f t="shared" si="74"/>
        <v/>
      </c>
      <c r="AO25" s="1117" t="str">
        <f t="shared" si="27"/>
        <v/>
      </c>
      <c r="AP25" s="1083">
        <f>SUMIF($B26:$B$32,$B25,AP26:AP$32)</f>
        <v>0</v>
      </c>
      <c r="AQ25" s="1117" t="str">
        <f t="shared" si="75"/>
        <v/>
      </c>
      <c r="AR25" s="1118" t="str">
        <f t="shared" si="76"/>
        <v/>
      </c>
      <c r="AS25" s="1120">
        <f t="shared" si="77"/>
        <v>0</v>
      </c>
      <c r="AT25" s="1117" t="str">
        <f t="shared" si="78"/>
        <v/>
      </c>
      <c r="AU25" s="1118" t="str">
        <f t="shared" si="79"/>
        <v/>
      </c>
      <c r="AV25" s="1083">
        <f>SUMIF($B26:$B$32,$B25,AV26:AV$32)</f>
        <v>0</v>
      </c>
      <c r="AW25" s="1117" t="str">
        <f t="shared" si="80"/>
        <v/>
      </c>
      <c r="AX25" s="1118" t="str">
        <f t="shared" si="81"/>
        <v/>
      </c>
      <c r="AY25" s="1120">
        <f>SUMIFS(BP_SOTIEN,BP_DA,$C25,BP_THANG,AY$2,BP_KM,$E25)/1000</f>
        <v>0</v>
      </c>
      <c r="AZ25" s="1117" t="str">
        <f t="shared" si="82"/>
        <v/>
      </c>
      <c r="BA25" s="1118" t="str">
        <f t="shared" si="83"/>
        <v/>
      </c>
      <c r="BB25" s="1083">
        <f>SUMIF($B26:$B$32,$B25,BB26:BB$32)</f>
        <v>0</v>
      </c>
      <c r="BC25" s="1117" t="str">
        <f t="shared" si="84"/>
        <v/>
      </c>
      <c r="BD25" s="1118" t="str">
        <f t="shared" si="85"/>
        <v/>
      </c>
      <c r="BE25" s="1120">
        <f t="shared" si="86"/>
        <v>0</v>
      </c>
      <c r="BF25" s="1117" t="str">
        <f t="shared" si="87"/>
        <v/>
      </c>
      <c r="BG25" s="1118" t="str">
        <f t="shared" si="88"/>
        <v/>
      </c>
      <c r="BH25" s="1120">
        <f t="shared" si="89"/>
        <v>0</v>
      </c>
      <c r="BI25" s="1117" t="str">
        <f t="shared" si="90"/>
        <v/>
      </c>
      <c r="BJ25" s="1118" t="str">
        <f t="shared" si="91"/>
        <v/>
      </c>
      <c r="BK25" s="1120">
        <f t="shared" si="92"/>
        <v>0</v>
      </c>
      <c r="BL25" s="1117" t="str">
        <f t="shared" si="93"/>
        <v/>
      </c>
      <c r="BM25" s="1118" t="str">
        <f t="shared" si="94"/>
        <v/>
      </c>
    </row>
    <row r="26" hidden="1" outlineLevel="1">
      <c r="A26" s="1086">
        <f t="shared" si="49"/>
        <v>5</v>
      </c>
      <c r="B26" s="1087" t="s">
        <v>2069</v>
      </c>
      <c r="C26" s="656" t="s">
        <v>638</v>
      </c>
      <c r="D26" s="1087" t="str">
        <f>IF(C26&gt;0,VLOOKUP(C26,DM_DUAN ,2,"") ,IF(B26&gt;0,VLOOKUP(B26,DM_CDT,2,""),""))</f>
        <v>Sản phẩm Phước Vinh</v>
      </c>
      <c r="E26" s="1087" t="s">
        <v>2239</v>
      </c>
      <c r="F26" s="1087"/>
      <c r="G26" s="1086">
        <v>2.0</v>
      </c>
      <c r="H26" s="1088">
        <f>SUMIFS(BP_SOTIEN,BP_DA,$C26,BP_THANG,H$2,BP_KM,$E26)/1000</f>
        <v>0</v>
      </c>
      <c r="I26" s="1091" t="str">
        <f t="shared" si="50"/>
        <v/>
      </c>
      <c r="J26" s="1089" t="str">
        <f t="shared" si="51"/>
        <v/>
      </c>
      <c r="K26" s="1088">
        <f>SUMIFS(BP_SOTIEN,BP_DA,$C26,BP_THANG,K$2,BP_KM,$E26)/1000</f>
        <v>0</v>
      </c>
      <c r="L26" s="1091" t="str">
        <f t="shared" si="52"/>
        <v/>
      </c>
      <c r="M26" s="1089" t="str">
        <f t="shared" si="53"/>
        <v/>
      </c>
      <c r="N26" s="1088">
        <f>SUMIFS(BP_SOTIEN,BP_DA,$C26,BP_THANG,N$2,BP_KM,$E26)/1000</f>
        <v>0</v>
      </c>
      <c r="O26" s="1091" t="str">
        <f t="shared" si="54"/>
        <v/>
      </c>
      <c r="P26" s="1089" t="str">
        <f t="shared" si="55"/>
        <v/>
      </c>
      <c r="Q26" s="1088">
        <f t="shared" si="56"/>
        <v>0</v>
      </c>
      <c r="R26" s="1091" t="str">
        <f t="shared" si="57"/>
        <v/>
      </c>
      <c r="S26" s="1089" t="str">
        <f t="shared" si="58"/>
        <v/>
      </c>
      <c r="T26" s="1088">
        <f>SUMIFS(BP_SOTIEN,BP_DA,$C26,BP_THANG,T$2,BP_KM,$E26)/1000</f>
        <v>0</v>
      </c>
      <c r="U26" s="1091" t="str">
        <f t="shared" si="59"/>
        <v/>
      </c>
      <c r="V26" s="1089" t="str">
        <f t="shared" si="60"/>
        <v/>
      </c>
      <c r="W26" s="1088">
        <f>SUMIFS(BP_SOTIEN,BP_DA,$C26,BP_THANG,W$2,BP_KM,$E26)/1000</f>
        <v>0</v>
      </c>
      <c r="X26" s="1091" t="str">
        <f t="shared" si="61"/>
        <v/>
      </c>
      <c r="Y26" s="1089" t="str">
        <f t="shared" si="62"/>
        <v/>
      </c>
      <c r="Z26" s="1088">
        <f>SUMIFS(BP_SOTIEN,BP_DA,$C26,BP_THANG,Z$2,BP_KM,$E26)/1000</f>
        <v>0</v>
      </c>
      <c r="AA26" s="1091" t="str">
        <f t="shared" si="63"/>
        <v/>
      </c>
      <c r="AB26" s="1089" t="str">
        <f t="shared" si="64"/>
        <v/>
      </c>
      <c r="AC26" s="1088">
        <f t="shared" si="65"/>
        <v>0</v>
      </c>
      <c r="AD26" s="1091" t="str">
        <f t="shared" si="66"/>
        <v/>
      </c>
      <c r="AE26" s="1089" t="str">
        <f t="shared" si="67"/>
        <v/>
      </c>
      <c r="AF26" s="1088">
        <f t="shared" si="68"/>
        <v>0</v>
      </c>
      <c r="AG26" s="1091" t="str">
        <f t="shared" si="69"/>
        <v/>
      </c>
      <c r="AH26" s="1089" t="str">
        <f t="shared" si="70"/>
        <v/>
      </c>
      <c r="AI26" s="1088">
        <f>SUMIFS(BP_SOTIEN,BP_DA,$C26,BP_THANG,AI$2,BP_KM,$E26)/1000</f>
        <v>0</v>
      </c>
      <c r="AJ26" s="1091" t="str">
        <f t="shared" si="71"/>
        <v/>
      </c>
      <c r="AK26" s="1089" t="str">
        <f t="shared" si="72"/>
        <v/>
      </c>
      <c r="AL26" s="1088">
        <f>SUMIFS(BP_SOTIEN,BP_DA,$C26,BP_THANG,AL$2,BP_KM,$E26)/1000</f>
        <v>0</v>
      </c>
      <c r="AM26" s="1091" t="str">
        <f t="shared" si="73"/>
        <v/>
      </c>
      <c r="AN26" s="1089" t="str">
        <f t="shared" si="74"/>
        <v/>
      </c>
      <c r="AO26" s="1091" t="str">
        <f t="shared" si="27"/>
        <v/>
      </c>
      <c r="AP26" s="1088">
        <f>SUMIFS(BP_SOTIEN,BP_DA,$C26,BP_THANG,AP$2,BP_KM,$E26)/1000</f>
        <v>0</v>
      </c>
      <c r="AQ26" s="1091" t="str">
        <f t="shared" si="75"/>
        <v/>
      </c>
      <c r="AR26" s="1089" t="str">
        <f t="shared" si="76"/>
        <v/>
      </c>
      <c r="AS26" s="1088">
        <f t="shared" si="77"/>
        <v>0</v>
      </c>
      <c r="AT26" s="1091" t="str">
        <f t="shared" si="78"/>
        <v/>
      </c>
      <c r="AU26" s="1089" t="str">
        <f t="shared" si="79"/>
        <v/>
      </c>
      <c r="AV26" s="1088">
        <f>SUMIFS(BP_SOTIEN,BP_DA,$C26,BP_THANG,AV$2,BP_KM,$E26)/1000</f>
        <v>0</v>
      </c>
      <c r="AW26" s="1091" t="str">
        <f t="shared" si="80"/>
        <v/>
      </c>
      <c r="AX26" s="1089" t="str">
        <f t="shared" si="81"/>
        <v/>
      </c>
      <c r="AY26" s="1088">
        <f>SUMIFS(BP_SOTIEN,BP_DA,$C26,BP_THANG,AY$2,BP_KM,$E26)/1000</f>
        <v>0</v>
      </c>
      <c r="AZ26" s="1091" t="str">
        <f t="shared" si="82"/>
        <v/>
      </c>
      <c r="BA26" s="1089" t="str">
        <f t="shared" si="83"/>
        <v/>
      </c>
      <c r="BB26" s="1088">
        <f>SUMIFS(BP_SOTIEN,BP_DA,$C26,BP_THANG,BB$2,BP_KM,$E26)/1000</f>
        <v>0</v>
      </c>
      <c r="BC26" s="1091" t="str">
        <f t="shared" si="84"/>
        <v/>
      </c>
      <c r="BD26" s="1089" t="str">
        <f t="shared" si="85"/>
        <v/>
      </c>
      <c r="BE26" s="1088">
        <f t="shared" si="86"/>
        <v>0</v>
      </c>
      <c r="BF26" s="1091" t="str">
        <f t="shared" si="87"/>
        <v/>
      </c>
      <c r="BG26" s="1089" t="str">
        <f t="shared" si="88"/>
        <v/>
      </c>
      <c r="BH26" s="1088">
        <f t="shared" si="89"/>
        <v>0</v>
      </c>
      <c r="BI26" s="1091" t="str">
        <f t="shared" si="90"/>
        <v/>
      </c>
      <c r="BJ26" s="1089" t="str">
        <f t="shared" si="91"/>
        <v/>
      </c>
      <c r="BK26" s="1088">
        <f t="shared" si="92"/>
        <v>0</v>
      </c>
      <c r="BL26" s="1091" t="str">
        <f t="shared" si="93"/>
        <v/>
      </c>
      <c r="BM26" s="1089" t="str">
        <f t="shared" si="94"/>
        <v/>
      </c>
    </row>
    <row r="27" hidden="1" outlineLevel="1">
      <c r="A27" s="1086">
        <f t="shared" si="49"/>
        <v>6</v>
      </c>
      <c r="B27" s="1087" t="s">
        <v>2069</v>
      </c>
      <c r="C27" s="1087" t="s">
        <v>875</v>
      </c>
      <c r="D27" s="1087" t="str">
        <f>IF(C27&gt;0,VLOOKUP(C27,DM_DUAN ,2,"") ,IF(B27&gt;0,VLOOKUP(B27,DM_CDT,2,""),""))</f>
        <v>Sản phẩm Long Khánh 2</v>
      </c>
      <c r="E27" s="1087" t="s">
        <v>2239</v>
      </c>
      <c r="F27" s="1087"/>
      <c r="G27" s="1086">
        <v>2.0</v>
      </c>
      <c r="H27" s="1088">
        <f>SUMIFS(BP_SOTIEN,BP_DA,$C27,BP_THANG,H$2,BP_KM,$E27)/1000</f>
        <v>0</v>
      </c>
      <c r="I27" s="1091" t="str">
        <f t="shared" si="50"/>
        <v/>
      </c>
      <c r="J27" s="1089" t="str">
        <f t="shared" si="51"/>
        <v/>
      </c>
      <c r="K27" s="1088">
        <f>SUMIFS(BP_SOTIEN,BP_DA,$C27,BP_THANG,K$2,BP_KM,$E27)/1000</f>
        <v>0</v>
      </c>
      <c r="L27" s="1091" t="str">
        <f t="shared" si="52"/>
        <v/>
      </c>
      <c r="M27" s="1089" t="str">
        <f t="shared" si="53"/>
        <v/>
      </c>
      <c r="N27" s="1088">
        <f>SUMIFS(BP_SOTIEN,BP_DA,$C27,BP_THANG,N$2,BP_KM,$E27)/1000</f>
        <v>0</v>
      </c>
      <c r="O27" s="1091" t="str">
        <f t="shared" si="54"/>
        <v/>
      </c>
      <c r="P27" s="1089" t="str">
        <f t="shared" si="55"/>
        <v/>
      </c>
      <c r="Q27" s="1088">
        <f t="shared" si="56"/>
        <v>0</v>
      </c>
      <c r="R27" s="1091" t="str">
        <f t="shared" si="57"/>
        <v/>
      </c>
      <c r="S27" s="1089" t="str">
        <f t="shared" si="58"/>
        <v/>
      </c>
      <c r="T27" s="1088">
        <f>SUMIFS(BP_SOTIEN,BP_DA,$C27,BP_THANG,T$2,BP_KM,$E27)/1000</f>
        <v>0</v>
      </c>
      <c r="U27" s="1091" t="str">
        <f t="shared" si="59"/>
        <v/>
      </c>
      <c r="V27" s="1089" t="str">
        <f t="shared" si="60"/>
        <v/>
      </c>
      <c r="W27" s="1088">
        <f>SUMIFS(BP_SOTIEN,BP_DA,$C27,BP_THANG,W$2,BP_KM,$E27)/1000</f>
        <v>0</v>
      </c>
      <c r="X27" s="1091" t="str">
        <f t="shared" si="61"/>
        <v/>
      </c>
      <c r="Y27" s="1089" t="str">
        <f t="shared" si="62"/>
        <v/>
      </c>
      <c r="Z27" s="1088">
        <f>SUMIFS(BP_SOTIEN,BP_DA,$C27,BP_THANG,Z$2,BP_KM,$E27)/1000</f>
        <v>0</v>
      </c>
      <c r="AA27" s="1091" t="str">
        <f t="shared" si="63"/>
        <v/>
      </c>
      <c r="AB27" s="1089" t="str">
        <f t="shared" si="64"/>
        <v/>
      </c>
      <c r="AC27" s="1088">
        <f t="shared" si="65"/>
        <v>0</v>
      </c>
      <c r="AD27" s="1091" t="str">
        <f t="shared" si="66"/>
        <v/>
      </c>
      <c r="AE27" s="1089" t="str">
        <f t="shared" si="67"/>
        <v/>
      </c>
      <c r="AF27" s="1088">
        <f t="shared" si="68"/>
        <v>0</v>
      </c>
      <c r="AG27" s="1091" t="str">
        <f t="shared" si="69"/>
        <v/>
      </c>
      <c r="AH27" s="1089" t="str">
        <f t="shared" si="70"/>
        <v/>
      </c>
      <c r="AI27" s="1088">
        <f>SUMIFS(BP_SOTIEN,BP_DA,$C27,BP_THANG,AI$2,BP_KM,$E27)/1000</f>
        <v>0</v>
      </c>
      <c r="AJ27" s="1091" t="str">
        <f t="shared" si="71"/>
        <v/>
      </c>
      <c r="AK27" s="1089" t="str">
        <f t="shared" si="72"/>
        <v/>
      </c>
      <c r="AL27" s="1088">
        <f>SUMIFS(BP_SOTIEN,BP_DA,$C27,BP_THANG,AL$2,BP_KM,$E27)/1000</f>
        <v>0</v>
      </c>
      <c r="AM27" s="1091" t="str">
        <f t="shared" si="73"/>
        <v/>
      </c>
      <c r="AN27" s="1089" t="str">
        <f t="shared" si="74"/>
        <v/>
      </c>
      <c r="AO27" s="1091" t="str">
        <f t="shared" si="27"/>
        <v/>
      </c>
      <c r="AP27" s="1088">
        <f>SUMIFS(BP_SOTIEN,BP_DA,$C27,BP_THANG,AP$2,BP_KM,$E27)/1000</f>
        <v>0</v>
      </c>
      <c r="AQ27" s="1091" t="str">
        <f t="shared" si="75"/>
        <v/>
      </c>
      <c r="AR27" s="1089" t="str">
        <f t="shared" si="76"/>
        <v/>
      </c>
      <c r="AS27" s="1088">
        <f t="shared" si="77"/>
        <v>0</v>
      </c>
      <c r="AT27" s="1091" t="str">
        <f t="shared" si="78"/>
        <v/>
      </c>
      <c r="AU27" s="1089" t="str">
        <f t="shared" si="79"/>
        <v/>
      </c>
      <c r="AV27" s="1088">
        <f>SUMIFS(BP_SOTIEN,BP_DA,$C27,BP_THANG,AV$2,BP_KM,$E27)/1000</f>
        <v>0</v>
      </c>
      <c r="AW27" s="1091" t="str">
        <f t="shared" si="80"/>
        <v/>
      </c>
      <c r="AX27" s="1089" t="str">
        <f t="shared" si="81"/>
        <v/>
      </c>
      <c r="AY27" s="1088">
        <f>SUMIFS(BP_SOTIEN,BP_DA,$C27,BP_THANG,AY$2,BP_KM,$E27)/1000</f>
        <v>0</v>
      </c>
      <c r="AZ27" s="1091" t="str">
        <f t="shared" si="82"/>
        <v/>
      </c>
      <c r="BA27" s="1089" t="str">
        <f t="shared" si="83"/>
        <v/>
      </c>
      <c r="BB27" s="1088">
        <f>SUMIFS(BP_SOTIEN,BP_DA,$C27,BP_THANG,BB$2,BP_KM,$E27)/1000</f>
        <v>0</v>
      </c>
      <c r="BC27" s="1091" t="str">
        <f t="shared" si="84"/>
        <v/>
      </c>
      <c r="BD27" s="1089" t="str">
        <f t="shared" si="85"/>
        <v/>
      </c>
      <c r="BE27" s="1088">
        <f t="shared" si="86"/>
        <v>0</v>
      </c>
      <c r="BF27" s="1091" t="str">
        <f t="shared" si="87"/>
        <v/>
      </c>
      <c r="BG27" s="1089" t="str">
        <f t="shared" si="88"/>
        <v/>
      </c>
      <c r="BH27" s="1088">
        <f t="shared" si="89"/>
        <v>0</v>
      </c>
      <c r="BI27" s="1091" t="str">
        <f t="shared" si="90"/>
        <v/>
      </c>
      <c r="BJ27" s="1089" t="str">
        <f t="shared" si="91"/>
        <v/>
      </c>
      <c r="BK27" s="1088">
        <f t="shared" si="92"/>
        <v>0</v>
      </c>
      <c r="BL27" s="1091" t="str">
        <f t="shared" si="93"/>
        <v/>
      </c>
      <c r="BM27" s="1089" t="str">
        <f t="shared" si="94"/>
        <v/>
      </c>
    </row>
    <row r="28" hidden="1" outlineLevel="1">
      <c r="A28" s="1086">
        <f t="shared" si="49"/>
        <v>7</v>
      </c>
      <c r="B28" s="1087" t="s">
        <v>2069</v>
      </c>
      <c r="C28" s="1087" t="s">
        <v>636</v>
      </c>
      <c r="D28" s="1087" t="str">
        <f>IF(C28&gt;0,VLOOKUP(C28,DM_DUAN ,2,"") ,IF(B28&gt;0,VLOOKUP(B28,DM_CDT,2,""),""))</f>
        <v>Sản phẩm Long Khánh 3</v>
      </c>
      <c r="E28" s="1087" t="s">
        <v>2239</v>
      </c>
      <c r="F28" s="1087"/>
      <c r="G28" s="1086">
        <v>2.0</v>
      </c>
      <c r="H28" s="1088">
        <f>SUMIFS(BP_SOTIEN,BP_DA,$C28,BP_THANG,H$2,BP_KM,$E28)/1000</f>
        <v>0</v>
      </c>
      <c r="I28" s="1091" t="str">
        <f t="shared" si="50"/>
        <v/>
      </c>
      <c r="J28" s="1089" t="str">
        <f t="shared" si="51"/>
        <v/>
      </c>
      <c r="K28" s="1088">
        <f>SUMIFS(BP_SOTIEN,BP_DA,$C28,BP_THANG,K$2,BP_KM,$E28)/1000</f>
        <v>0</v>
      </c>
      <c r="L28" s="1091" t="str">
        <f t="shared" si="52"/>
        <v/>
      </c>
      <c r="M28" s="1089" t="str">
        <f t="shared" si="53"/>
        <v/>
      </c>
      <c r="N28" s="1088">
        <f>SUMIFS(BP_SOTIEN,BP_DA,$C28,BP_THANG,N$2,BP_KM,$E28)/1000</f>
        <v>0</v>
      </c>
      <c r="O28" s="1091" t="str">
        <f t="shared" si="54"/>
        <v/>
      </c>
      <c r="P28" s="1089" t="str">
        <f t="shared" si="55"/>
        <v/>
      </c>
      <c r="Q28" s="1088">
        <f t="shared" si="56"/>
        <v>0</v>
      </c>
      <c r="R28" s="1091" t="str">
        <f t="shared" si="57"/>
        <v/>
      </c>
      <c r="S28" s="1089" t="str">
        <f t="shared" si="58"/>
        <v/>
      </c>
      <c r="T28" s="1088">
        <f>SUMIFS(BP_SOTIEN,BP_DA,$C28,BP_THANG,T$2,BP_KM,$E28)/1000</f>
        <v>0</v>
      </c>
      <c r="U28" s="1091" t="str">
        <f t="shared" si="59"/>
        <v/>
      </c>
      <c r="V28" s="1089" t="str">
        <f t="shared" si="60"/>
        <v/>
      </c>
      <c r="W28" s="1088">
        <f>SUMIFS(BP_SOTIEN,BP_DA,$C28,BP_THANG,W$2,BP_KM,$E28)/1000</f>
        <v>0</v>
      </c>
      <c r="X28" s="1091" t="str">
        <f t="shared" si="61"/>
        <v/>
      </c>
      <c r="Y28" s="1089" t="str">
        <f t="shared" si="62"/>
        <v/>
      </c>
      <c r="Z28" s="1088">
        <f>SUMIFS(BP_SOTIEN,BP_DA,$C28,BP_THANG,Z$2,BP_KM,$E28)/1000</f>
        <v>0</v>
      </c>
      <c r="AA28" s="1091" t="str">
        <f t="shared" si="63"/>
        <v/>
      </c>
      <c r="AB28" s="1089" t="str">
        <f t="shared" si="64"/>
        <v/>
      </c>
      <c r="AC28" s="1088">
        <f t="shared" si="65"/>
        <v>0</v>
      </c>
      <c r="AD28" s="1091" t="str">
        <f t="shared" si="66"/>
        <v/>
      </c>
      <c r="AE28" s="1089" t="str">
        <f t="shared" si="67"/>
        <v/>
      </c>
      <c r="AF28" s="1088">
        <f t="shared" si="68"/>
        <v>0</v>
      </c>
      <c r="AG28" s="1091" t="str">
        <f t="shared" si="69"/>
        <v/>
      </c>
      <c r="AH28" s="1089" t="str">
        <f t="shared" si="70"/>
        <v/>
      </c>
      <c r="AI28" s="1088">
        <f>SUMIFS(BP_SOTIEN,BP_DA,$C28,BP_THANG,AI$2,BP_KM,$E28)/1000</f>
        <v>0</v>
      </c>
      <c r="AJ28" s="1091" t="str">
        <f t="shared" si="71"/>
        <v/>
      </c>
      <c r="AK28" s="1089" t="str">
        <f t="shared" si="72"/>
        <v/>
      </c>
      <c r="AL28" s="1088">
        <f>SUMIFS(BP_SOTIEN,BP_DA,$C28,BP_THANG,AL$2,BP_KM,$E28)/1000</f>
        <v>0</v>
      </c>
      <c r="AM28" s="1091" t="str">
        <f t="shared" si="73"/>
        <v/>
      </c>
      <c r="AN28" s="1089" t="str">
        <f t="shared" si="74"/>
        <v/>
      </c>
      <c r="AO28" s="1091" t="str">
        <f t="shared" si="27"/>
        <v/>
      </c>
      <c r="AP28" s="1088">
        <f>SUMIFS(BP_SOTIEN,BP_DA,$C28,BP_THANG,AP$2,BP_KM,$E28)/1000</f>
        <v>0</v>
      </c>
      <c r="AQ28" s="1091" t="str">
        <f t="shared" si="75"/>
        <v/>
      </c>
      <c r="AR28" s="1089" t="str">
        <f t="shared" si="76"/>
        <v/>
      </c>
      <c r="AS28" s="1088">
        <f t="shared" si="77"/>
        <v>0</v>
      </c>
      <c r="AT28" s="1091" t="str">
        <f t="shared" si="78"/>
        <v/>
      </c>
      <c r="AU28" s="1089" t="str">
        <f t="shared" si="79"/>
        <v/>
      </c>
      <c r="AV28" s="1088">
        <f>SUMIFS(BP_SOTIEN,BP_DA,$C28,BP_THANG,AV$2,BP_KM,$E28)/1000</f>
        <v>0</v>
      </c>
      <c r="AW28" s="1091" t="str">
        <f t="shared" si="80"/>
        <v/>
      </c>
      <c r="AX28" s="1089" t="str">
        <f t="shared" si="81"/>
        <v/>
      </c>
      <c r="AY28" s="1088">
        <f>SUMIFS(BP_SOTIEN,BP_DA,$C28,BP_THANG,AY$2,BP_KM,$E28)/1000</f>
        <v>0</v>
      </c>
      <c r="AZ28" s="1091" t="str">
        <f t="shared" si="82"/>
        <v/>
      </c>
      <c r="BA28" s="1089" t="str">
        <f t="shared" si="83"/>
        <v/>
      </c>
      <c r="BB28" s="1088">
        <f>SUMIFS(BP_SOTIEN,BP_DA,$C28,BP_THANG,BB$2,BP_KM,$E28)/1000</f>
        <v>0</v>
      </c>
      <c r="BC28" s="1091" t="str">
        <f t="shared" si="84"/>
        <v/>
      </c>
      <c r="BD28" s="1089" t="str">
        <f t="shared" si="85"/>
        <v/>
      </c>
      <c r="BE28" s="1088">
        <f t="shared" si="86"/>
        <v>0</v>
      </c>
      <c r="BF28" s="1091" t="str">
        <f t="shared" si="87"/>
        <v/>
      </c>
      <c r="BG28" s="1089" t="str">
        <f t="shared" si="88"/>
        <v/>
      </c>
      <c r="BH28" s="1088">
        <f t="shared" si="89"/>
        <v>0</v>
      </c>
      <c r="BI28" s="1091" t="str">
        <f t="shared" si="90"/>
        <v/>
      </c>
      <c r="BJ28" s="1089" t="str">
        <f t="shared" si="91"/>
        <v/>
      </c>
      <c r="BK28" s="1088">
        <f t="shared" si="92"/>
        <v>0</v>
      </c>
      <c r="BL28" s="1091" t="str">
        <f t="shared" si="93"/>
        <v/>
      </c>
      <c r="BM28" s="1089" t="str">
        <f t="shared" si="94"/>
        <v/>
      </c>
    </row>
    <row r="29" collapsed="1">
      <c r="A29" s="1113" t="str">
        <f t="shared" si="49"/>
        <v/>
      </c>
      <c r="B29" s="1114" t="s">
        <v>2821</v>
      </c>
      <c r="C29" s="1114"/>
      <c r="D29" s="1114" t="str">
        <f>IF(C29&gt;0,VLOOKUP(C29,DM_DUAN ,2,"") ,IF(B29&gt;0,VLOOKUP(B29,DM_CDT,2,""),""))</f>
        <v>CLOUD LAND</v>
      </c>
      <c r="E29" s="1115" t="s">
        <v>2239</v>
      </c>
      <c r="F29" s="1115"/>
      <c r="G29" s="1116">
        <v>1.0</v>
      </c>
      <c r="H29" s="1083">
        <f>SUMIF($B30:$B$32,$B29,H30:H$32)</f>
        <v>0</v>
      </c>
      <c r="I29" s="1117" t="str">
        <f t="shared" si="50"/>
        <v/>
      </c>
      <c r="J29" s="1118" t="str">
        <f t="shared" si="51"/>
        <v/>
      </c>
      <c r="K29" s="1083">
        <f>SUMIF($B30:$B$32,$B29,K30:K$32)</f>
        <v>0</v>
      </c>
      <c r="L29" s="1117" t="str">
        <f t="shared" si="52"/>
        <v/>
      </c>
      <c r="M29" s="1118" t="str">
        <f t="shared" si="53"/>
        <v/>
      </c>
      <c r="N29" s="1083">
        <f>SUMIF($B30:$B$32,$B29,N30:N$32)</f>
        <v>0</v>
      </c>
      <c r="O29" s="1117" t="str">
        <f t="shared" si="54"/>
        <v/>
      </c>
      <c r="P29" s="1118" t="str">
        <f t="shared" si="55"/>
        <v/>
      </c>
      <c r="Q29" s="1120">
        <f t="shared" si="56"/>
        <v>0</v>
      </c>
      <c r="R29" s="1117" t="str">
        <f t="shared" si="57"/>
        <v/>
      </c>
      <c r="S29" s="1118" t="str">
        <f t="shared" si="58"/>
        <v/>
      </c>
      <c r="T29" s="1083">
        <f>SUMIF($B30:$B$32,$B29,T30:T$32)</f>
        <v>0</v>
      </c>
      <c r="U29" s="1117" t="str">
        <f t="shared" si="59"/>
        <v/>
      </c>
      <c r="V29" s="1118" t="str">
        <f t="shared" si="60"/>
        <v/>
      </c>
      <c r="W29" s="1083">
        <f>SUMIF($B30:$B$32,$B29,W30:W$32)</f>
        <v>0</v>
      </c>
      <c r="X29" s="1117" t="str">
        <f t="shared" si="61"/>
        <v/>
      </c>
      <c r="Y29" s="1118" t="str">
        <f t="shared" si="62"/>
        <v/>
      </c>
      <c r="Z29" s="1083">
        <f>SUMIF($B30:$B$32,$B29,Z30:Z$32)</f>
        <v>0</v>
      </c>
      <c r="AA29" s="1117" t="str">
        <f t="shared" si="63"/>
        <v/>
      </c>
      <c r="AB29" s="1118" t="str">
        <f t="shared" si="64"/>
        <v/>
      </c>
      <c r="AC29" s="1120">
        <f t="shared" si="65"/>
        <v>0</v>
      </c>
      <c r="AD29" s="1117" t="str">
        <f t="shared" si="66"/>
        <v/>
      </c>
      <c r="AE29" s="1118" t="str">
        <f t="shared" si="67"/>
        <v/>
      </c>
      <c r="AF29" s="1120">
        <f t="shared" si="68"/>
        <v>0</v>
      </c>
      <c r="AG29" s="1117" t="str">
        <f t="shared" si="69"/>
        <v/>
      </c>
      <c r="AH29" s="1118" t="str">
        <f t="shared" si="70"/>
        <v/>
      </c>
      <c r="AI29" s="1083">
        <f>SUMIF($B30:$B$32,$B29,AI30:AI$32)</f>
        <v>0</v>
      </c>
      <c r="AJ29" s="1117" t="str">
        <f t="shared" si="71"/>
        <v/>
      </c>
      <c r="AK29" s="1118" t="str">
        <f t="shared" si="72"/>
        <v/>
      </c>
      <c r="AL29" s="1083">
        <f>SUMIF($B30:$B$32,$B29,AL30:AL$32)</f>
        <v>0</v>
      </c>
      <c r="AM29" s="1117" t="str">
        <f t="shared" si="73"/>
        <v/>
      </c>
      <c r="AN29" s="1118" t="str">
        <f t="shared" si="74"/>
        <v/>
      </c>
      <c r="AO29" s="1117" t="str">
        <f t="shared" si="27"/>
        <v/>
      </c>
      <c r="AP29" s="1083">
        <f>SUMIF($B30:$B$32,$B29,AP30:AP$32)</f>
        <v>0</v>
      </c>
      <c r="AQ29" s="1117" t="str">
        <f t="shared" si="75"/>
        <v/>
      </c>
      <c r="AR29" s="1118" t="str">
        <f t="shared" si="76"/>
        <v/>
      </c>
      <c r="AS29" s="1120">
        <f t="shared" si="77"/>
        <v>0</v>
      </c>
      <c r="AT29" s="1117" t="str">
        <f t="shared" si="78"/>
        <v/>
      </c>
      <c r="AU29" s="1118" t="str">
        <f t="shared" si="79"/>
        <v/>
      </c>
      <c r="AV29" s="1083">
        <f>SUMIF($B30:$B$32,$B29,AV30:AV$32)</f>
        <v>0</v>
      </c>
      <c r="AW29" s="1117" t="str">
        <f t="shared" si="80"/>
        <v/>
      </c>
      <c r="AX29" s="1118" t="str">
        <f t="shared" si="81"/>
        <v/>
      </c>
      <c r="AY29" s="1120">
        <f>SUMIFS(BP_SOTIEN,BP_DA,$C29,BP_THANG,AY$2,BP_KM,$E29)/1000</f>
        <v>0</v>
      </c>
      <c r="AZ29" s="1117" t="str">
        <f t="shared" si="82"/>
        <v/>
      </c>
      <c r="BA29" s="1118" t="str">
        <f t="shared" si="83"/>
        <v/>
      </c>
      <c r="BB29" s="1083">
        <f>SUMIF($B30:$B$32,$B29,BB30:BB$32)</f>
        <v>0</v>
      </c>
      <c r="BC29" s="1117" t="str">
        <f t="shared" si="84"/>
        <v/>
      </c>
      <c r="BD29" s="1118" t="str">
        <f t="shared" si="85"/>
        <v/>
      </c>
      <c r="BE29" s="1120">
        <f t="shared" si="86"/>
        <v>0</v>
      </c>
      <c r="BF29" s="1117" t="str">
        <f t="shared" si="87"/>
        <v/>
      </c>
      <c r="BG29" s="1118" t="str">
        <f t="shared" si="88"/>
        <v/>
      </c>
      <c r="BH29" s="1120">
        <f t="shared" si="89"/>
        <v>0</v>
      </c>
      <c r="BI29" s="1117" t="str">
        <f t="shared" si="90"/>
        <v/>
      </c>
      <c r="BJ29" s="1118" t="str">
        <f t="shared" si="91"/>
        <v/>
      </c>
      <c r="BK29" s="1120">
        <f t="shared" si="92"/>
        <v>0</v>
      </c>
      <c r="BL29" s="1117" t="str">
        <f t="shared" si="93"/>
        <v/>
      </c>
      <c r="BM29" s="1118" t="str">
        <f t="shared" si="94"/>
        <v/>
      </c>
    </row>
    <row r="30" hidden="1" outlineLevel="1">
      <c r="A30" s="1086">
        <f t="shared" si="49"/>
        <v>8</v>
      </c>
      <c r="B30" s="1087" t="s">
        <v>2821</v>
      </c>
      <c r="C30" s="1087" t="s">
        <v>956</v>
      </c>
      <c r="D30" s="1087" t="str">
        <f>IF(C30&gt;0,VLOOKUP(C30,DM_DUAN ,2,"") ,IF(B30&gt;0,VLOOKUP(B30,DM_CDT,2,""),""))</f>
        <v>KDC Lộc Ngãi</v>
      </c>
      <c r="E30" s="1087" t="s">
        <v>2239</v>
      </c>
      <c r="F30" s="1087"/>
      <c r="G30" s="1086">
        <v>2.0</v>
      </c>
      <c r="H30" s="1088">
        <f>SUMIFS(BP_SOTIEN,BP_DA,$C30,BP_THANG,H$2,BP_KM,$E30)/1000</f>
        <v>0</v>
      </c>
      <c r="I30" s="1091" t="str">
        <f t="shared" si="50"/>
        <v/>
      </c>
      <c r="J30" s="1089" t="str">
        <f t="shared" si="51"/>
        <v/>
      </c>
      <c r="K30" s="1088">
        <f>SUMIFS(BP_SOTIEN,BP_DA,$C30,BP_THANG,K$2,BP_KM,$E30)/1000</f>
        <v>0</v>
      </c>
      <c r="L30" s="1091" t="str">
        <f t="shared" si="52"/>
        <v/>
      </c>
      <c r="M30" s="1089" t="str">
        <f t="shared" si="53"/>
        <v/>
      </c>
      <c r="N30" s="1088">
        <f>SUMIFS(BP_SOTIEN,BP_DA,$C30,BP_THANG,N$2,BP_KM,$E30)/1000</f>
        <v>0</v>
      </c>
      <c r="O30" s="1091" t="str">
        <f t="shared" si="54"/>
        <v/>
      </c>
      <c r="P30" s="1089" t="str">
        <f t="shared" si="55"/>
        <v/>
      </c>
      <c r="Q30" s="1088">
        <f t="shared" si="56"/>
        <v>0</v>
      </c>
      <c r="R30" s="1091" t="str">
        <f t="shared" si="57"/>
        <v/>
      </c>
      <c r="S30" s="1089" t="str">
        <f t="shared" si="58"/>
        <v/>
      </c>
      <c r="T30" s="1088">
        <f>SUMIFS(BP_SOTIEN,BP_DA,$C30,BP_THANG,T$2,BP_KM,$E30)/1000</f>
        <v>0</v>
      </c>
      <c r="U30" s="1091" t="str">
        <f t="shared" si="59"/>
        <v/>
      </c>
      <c r="V30" s="1089" t="str">
        <f t="shared" si="60"/>
        <v/>
      </c>
      <c r="W30" s="1088">
        <f>SUMIFS(BP_SOTIEN,BP_DA,$C30,BP_THANG,W$2,BP_KM,$E30)/1000</f>
        <v>0</v>
      </c>
      <c r="X30" s="1091" t="str">
        <f t="shared" si="61"/>
        <v/>
      </c>
      <c r="Y30" s="1089" t="str">
        <f t="shared" si="62"/>
        <v/>
      </c>
      <c r="Z30" s="1088">
        <f>SUMIFS(BP_SOTIEN,BP_DA,$C30,BP_THANG,Z$2,BP_KM,$E30)/1000</f>
        <v>0</v>
      </c>
      <c r="AA30" s="1091" t="str">
        <f t="shared" si="63"/>
        <v/>
      </c>
      <c r="AB30" s="1089" t="str">
        <f t="shared" si="64"/>
        <v/>
      </c>
      <c r="AC30" s="1088">
        <f t="shared" si="65"/>
        <v>0</v>
      </c>
      <c r="AD30" s="1091" t="str">
        <f t="shared" si="66"/>
        <v/>
      </c>
      <c r="AE30" s="1089" t="str">
        <f t="shared" si="67"/>
        <v/>
      </c>
      <c r="AF30" s="1088">
        <f t="shared" si="68"/>
        <v>0</v>
      </c>
      <c r="AG30" s="1091" t="str">
        <f t="shared" si="69"/>
        <v/>
      </c>
      <c r="AH30" s="1089" t="str">
        <f t="shared" si="70"/>
        <v/>
      </c>
      <c r="AI30" s="1088">
        <f>SUMIFS(BP_SOTIEN,BP_DA,$C30,BP_THANG,AI$2,BP_KM,$E30)/1000</f>
        <v>0</v>
      </c>
      <c r="AJ30" s="1091" t="str">
        <f t="shared" si="71"/>
        <v/>
      </c>
      <c r="AK30" s="1089" t="str">
        <f t="shared" si="72"/>
        <v/>
      </c>
      <c r="AL30" s="1088">
        <f>SUMIFS(BP_SOTIEN,BP_DA,$C30,BP_THANG,AL$2,BP_KM,$E30)/1000</f>
        <v>0</v>
      </c>
      <c r="AM30" s="1091" t="str">
        <f t="shared" si="73"/>
        <v/>
      </c>
      <c r="AN30" s="1089" t="str">
        <f t="shared" si="74"/>
        <v/>
      </c>
      <c r="AO30" s="1091" t="str">
        <f t="shared" si="27"/>
        <v/>
      </c>
      <c r="AP30" s="1088">
        <f>SUMIFS(BP_SOTIEN,BP_DA,$C30,BP_THANG,AP$2,BP_KM,$E30)/1000</f>
        <v>0</v>
      </c>
      <c r="AQ30" s="1091" t="str">
        <f t="shared" si="75"/>
        <v/>
      </c>
      <c r="AR30" s="1089" t="str">
        <f t="shared" si="76"/>
        <v/>
      </c>
      <c r="AS30" s="1088">
        <f t="shared" si="77"/>
        <v>0</v>
      </c>
      <c r="AT30" s="1091" t="str">
        <f t="shared" si="78"/>
        <v/>
      </c>
      <c r="AU30" s="1089" t="str">
        <f t="shared" si="79"/>
        <v/>
      </c>
      <c r="AV30" s="1088">
        <f>SUMIFS(BP_SOTIEN,BP_DA,$C30,BP_THANG,AV$2,BP_KM,$E30)/1000</f>
        <v>0</v>
      </c>
      <c r="AW30" s="1091" t="str">
        <f t="shared" si="80"/>
        <v/>
      </c>
      <c r="AX30" s="1089" t="str">
        <f t="shared" si="81"/>
        <v/>
      </c>
      <c r="AY30" s="1088">
        <f>SUMIFS(BP_SOTIEN,BP_DA,$C30,BP_THANG,AY$2,BP_KM,$E30)/1000</f>
        <v>0</v>
      </c>
      <c r="AZ30" s="1091" t="str">
        <f t="shared" si="82"/>
        <v/>
      </c>
      <c r="BA30" s="1089" t="str">
        <f t="shared" si="83"/>
        <v/>
      </c>
      <c r="BB30" s="1088">
        <f>SUMIFS(BP_SOTIEN,BP_DA,$C30,BP_THANG,BB$2,BP_KM,$E30)/1000</f>
        <v>0</v>
      </c>
      <c r="BC30" s="1091" t="str">
        <f t="shared" si="84"/>
        <v/>
      </c>
      <c r="BD30" s="1089" t="str">
        <f t="shared" si="85"/>
        <v/>
      </c>
      <c r="BE30" s="1088">
        <f t="shared" si="86"/>
        <v>0</v>
      </c>
      <c r="BF30" s="1091" t="str">
        <f t="shared" si="87"/>
        <v/>
      </c>
      <c r="BG30" s="1089" t="str">
        <f t="shared" si="88"/>
        <v/>
      </c>
      <c r="BH30" s="1088">
        <f t="shared" si="89"/>
        <v>0</v>
      </c>
      <c r="BI30" s="1091" t="str">
        <f t="shared" si="90"/>
        <v/>
      </c>
      <c r="BJ30" s="1089" t="str">
        <f t="shared" si="91"/>
        <v/>
      </c>
      <c r="BK30" s="1088">
        <f t="shared" si="92"/>
        <v>0</v>
      </c>
      <c r="BL30" s="1091" t="str">
        <f t="shared" si="93"/>
        <v/>
      </c>
      <c r="BM30" s="1089" t="str">
        <f t="shared" si="94"/>
        <v/>
      </c>
    </row>
    <row r="31" hidden="1" outlineLevel="1">
      <c r="A31" s="1086">
        <f t="shared" si="49"/>
        <v>9</v>
      </c>
      <c r="B31" s="1087" t="s">
        <v>2821</v>
      </c>
      <c r="C31" s="1099" t="s">
        <v>1304</v>
      </c>
      <c r="D31" s="1087" t="str">
        <f>IF(C31&gt;0,VLOOKUP(C31,DM_DUAN ,2,"") ,IF(B31&gt;0,VLOOKUP(B31,DM_CDT,2,""),""))</f>
        <v>KDC Kim Thịnh Phú</v>
      </c>
      <c r="E31" s="1087" t="s">
        <v>2239</v>
      </c>
      <c r="F31" s="1087"/>
      <c r="G31" s="1086">
        <v>2.0</v>
      </c>
      <c r="H31" s="1088">
        <f>SUMIFS(BP_SOTIEN,BP_DA,$C31,BP_THANG,H$2,BP_KM,$E31)/1000</f>
        <v>0</v>
      </c>
      <c r="I31" s="1091" t="str">
        <f t="shared" si="50"/>
        <v/>
      </c>
      <c r="J31" s="1089" t="str">
        <f t="shared" si="51"/>
        <v/>
      </c>
      <c r="K31" s="1088">
        <f>SUMIFS(BP_SOTIEN,BP_DA,$C31,BP_THANG,K$2,BP_KM,$E31)/1000</f>
        <v>0</v>
      </c>
      <c r="L31" s="1091" t="str">
        <f t="shared" si="52"/>
        <v/>
      </c>
      <c r="M31" s="1089" t="str">
        <f t="shared" si="53"/>
        <v/>
      </c>
      <c r="N31" s="1088">
        <f>SUMIFS(BP_SOTIEN,BP_DA,$C31,BP_THANG,N$2,BP_KM,$E31)/1000</f>
        <v>0</v>
      </c>
      <c r="O31" s="1091" t="str">
        <f t="shared" si="54"/>
        <v/>
      </c>
      <c r="P31" s="1089" t="str">
        <f t="shared" si="55"/>
        <v/>
      </c>
      <c r="Q31" s="1088">
        <f t="shared" si="56"/>
        <v>0</v>
      </c>
      <c r="R31" s="1091" t="str">
        <f t="shared" si="57"/>
        <v/>
      </c>
      <c r="S31" s="1089" t="str">
        <f t="shared" si="58"/>
        <v/>
      </c>
      <c r="T31" s="1088">
        <f>SUMIFS(BP_SOTIEN,BP_DA,$C31,BP_THANG,T$2,BP_KM,$E31)/1000</f>
        <v>0</v>
      </c>
      <c r="U31" s="1091" t="str">
        <f t="shared" si="59"/>
        <v/>
      </c>
      <c r="V31" s="1089" t="str">
        <f t="shared" si="60"/>
        <v/>
      </c>
      <c r="W31" s="1088">
        <f>SUMIFS(BP_SOTIEN,BP_DA,$C31,BP_THANG,W$2,BP_KM,$E31)/1000</f>
        <v>0</v>
      </c>
      <c r="X31" s="1091" t="str">
        <f t="shared" si="61"/>
        <v/>
      </c>
      <c r="Y31" s="1089" t="str">
        <f t="shared" si="62"/>
        <v/>
      </c>
      <c r="Z31" s="1088">
        <f>SUMIFS(BP_SOTIEN,BP_DA,$C31,BP_THANG,Z$2,BP_KM,$E31)/1000</f>
        <v>0</v>
      </c>
      <c r="AA31" s="1091" t="str">
        <f t="shared" si="63"/>
        <v/>
      </c>
      <c r="AB31" s="1089" t="str">
        <f t="shared" si="64"/>
        <v/>
      </c>
      <c r="AC31" s="1088">
        <f t="shared" si="65"/>
        <v>0</v>
      </c>
      <c r="AD31" s="1091" t="str">
        <f t="shared" si="66"/>
        <v/>
      </c>
      <c r="AE31" s="1089" t="str">
        <f t="shared" si="67"/>
        <v/>
      </c>
      <c r="AF31" s="1088">
        <f t="shared" si="68"/>
        <v>0</v>
      </c>
      <c r="AG31" s="1091" t="str">
        <f t="shared" si="69"/>
        <v/>
      </c>
      <c r="AH31" s="1089" t="str">
        <f t="shared" si="70"/>
        <v/>
      </c>
      <c r="AI31" s="1088">
        <f>SUMIFS(BP_SOTIEN,BP_DA,$C31,BP_THANG,AI$2,BP_KM,$E31)/1000</f>
        <v>0</v>
      </c>
      <c r="AJ31" s="1091" t="str">
        <f t="shared" si="71"/>
        <v/>
      </c>
      <c r="AK31" s="1089" t="str">
        <f t="shared" si="72"/>
        <v/>
      </c>
      <c r="AL31" s="1088">
        <f>SUMIFS(BP_SOTIEN,BP_DA,$C31,BP_THANG,AL$2,BP_KM,$E31)/1000</f>
        <v>0</v>
      </c>
      <c r="AM31" s="1091" t="str">
        <f t="shared" si="73"/>
        <v/>
      </c>
      <c r="AN31" s="1089" t="str">
        <f t="shared" si="74"/>
        <v/>
      </c>
      <c r="AO31" s="1091" t="str">
        <f t="shared" si="27"/>
        <v/>
      </c>
      <c r="AP31" s="1088">
        <f>SUMIFS(BP_SOTIEN,BP_DA,$C31,BP_THANG,AP$2,BP_KM,$E31)/1000</f>
        <v>0</v>
      </c>
      <c r="AQ31" s="1091" t="str">
        <f t="shared" si="75"/>
        <v/>
      </c>
      <c r="AR31" s="1089" t="str">
        <f t="shared" si="76"/>
        <v/>
      </c>
      <c r="AS31" s="1088">
        <f t="shared" si="77"/>
        <v>0</v>
      </c>
      <c r="AT31" s="1091" t="str">
        <f t="shared" si="78"/>
        <v/>
      </c>
      <c r="AU31" s="1089" t="str">
        <f t="shared" si="79"/>
        <v/>
      </c>
      <c r="AV31" s="1088">
        <f>SUMIFS(BP_SOTIEN,BP_DA,$C31,BP_THANG,AV$2,BP_KM,$E31)/1000</f>
        <v>0</v>
      </c>
      <c r="AW31" s="1091" t="str">
        <f t="shared" si="80"/>
        <v/>
      </c>
      <c r="AX31" s="1089" t="str">
        <f t="shared" si="81"/>
        <v/>
      </c>
      <c r="AY31" s="1088">
        <f>SUMIFS(BP_SOTIEN,BP_DA,$C31,BP_THANG,AY$2,BP_KM,$E31)/1000</f>
        <v>0</v>
      </c>
      <c r="AZ31" s="1091" t="str">
        <f t="shared" si="82"/>
        <v/>
      </c>
      <c r="BA31" s="1089" t="str">
        <f t="shared" si="83"/>
        <v/>
      </c>
      <c r="BB31" s="1088">
        <f>SUMIFS(BP_SOTIEN,BP_DA,$C31,BP_THANG,BB$2,BP_KM,$E31)/1000</f>
        <v>0</v>
      </c>
      <c r="BC31" s="1091" t="str">
        <f t="shared" si="84"/>
        <v/>
      </c>
      <c r="BD31" s="1089" t="str">
        <f t="shared" si="85"/>
        <v/>
      </c>
      <c r="BE31" s="1088">
        <f t="shared" si="86"/>
        <v>0</v>
      </c>
      <c r="BF31" s="1091" t="str">
        <f t="shared" si="87"/>
        <v/>
      </c>
      <c r="BG31" s="1089" t="str">
        <f t="shared" si="88"/>
        <v/>
      </c>
      <c r="BH31" s="1088">
        <f t="shared" si="89"/>
        <v>0</v>
      </c>
      <c r="BI31" s="1091" t="str">
        <f t="shared" si="90"/>
        <v/>
      </c>
      <c r="BJ31" s="1089" t="str">
        <f t="shared" si="91"/>
        <v/>
      </c>
      <c r="BK31" s="1088">
        <f t="shared" si="92"/>
        <v>0</v>
      </c>
      <c r="BL31" s="1091" t="str">
        <f t="shared" si="93"/>
        <v/>
      </c>
      <c r="BM31" s="1089" t="str">
        <f t="shared" si="94"/>
        <v/>
      </c>
    </row>
    <row r="32" hidden="1" outlineLevel="1">
      <c r="A32" s="1086" t="str">
        <f t="shared" si="49"/>
        <v/>
      </c>
      <c r="B32" s="1087"/>
      <c r="C32" s="656"/>
      <c r="D32" s="1087" t="str">
        <f>IF(C32="","",VLOOKUP(C32,DM_DUAN,2,0))</f>
        <v/>
      </c>
      <c r="E32" s="1087" t="s">
        <v>2239</v>
      </c>
      <c r="F32" s="1087"/>
      <c r="G32" s="1086">
        <v>2.0</v>
      </c>
      <c r="H32" s="1088">
        <f>SUMIFS(BP_SOTIEN,BP_DA,$C32,BP_THANG,H$2,BP_KM,$E32)/1000</f>
        <v>0</v>
      </c>
      <c r="I32" s="1091" t="str">
        <f t="shared" si="50"/>
        <v/>
      </c>
      <c r="J32" s="1089" t="str">
        <f t="shared" si="51"/>
        <v/>
      </c>
      <c r="K32" s="1088">
        <f>SUMIFS(BP_SOTIEN,BP_DA,$C32,BP_THANG,K$2,BP_KM,$E32)/1000</f>
        <v>0</v>
      </c>
      <c r="L32" s="1091" t="str">
        <f t="shared" si="52"/>
        <v/>
      </c>
      <c r="M32" s="1089" t="str">
        <f t="shared" si="53"/>
        <v/>
      </c>
      <c r="N32" s="1088">
        <f>SUMIFS(BP_SOTIEN,BP_DA,$C32,BP_THANG,N$2,BP_KM,$E32)/1000</f>
        <v>0</v>
      </c>
      <c r="O32" s="1091" t="str">
        <f t="shared" si="54"/>
        <v/>
      </c>
      <c r="P32" s="1089" t="str">
        <f t="shared" si="55"/>
        <v/>
      </c>
      <c r="Q32" s="1088">
        <f t="shared" si="56"/>
        <v>0</v>
      </c>
      <c r="R32" s="1091" t="str">
        <f t="shared" si="57"/>
        <v/>
      </c>
      <c r="S32" s="1089" t="str">
        <f t="shared" si="58"/>
        <v/>
      </c>
      <c r="T32" s="1088">
        <f>SUMIFS(BP_SOTIEN,BP_DA,$C32,BP_THANG,T$2,BP_KM,$E32)/1000</f>
        <v>0</v>
      </c>
      <c r="U32" s="1091" t="str">
        <f t="shared" si="59"/>
        <v/>
      </c>
      <c r="V32" s="1089" t="str">
        <f t="shared" si="60"/>
        <v/>
      </c>
      <c r="W32" s="1088">
        <f>SUMIFS(BP_SOTIEN,BP_DA,$C32,BP_THANG,W$2,BP_KM,$E32)/1000</f>
        <v>0</v>
      </c>
      <c r="X32" s="1091" t="str">
        <f t="shared" si="61"/>
        <v/>
      </c>
      <c r="Y32" s="1089" t="str">
        <f t="shared" si="62"/>
        <v/>
      </c>
      <c r="Z32" s="1088">
        <f>SUMIFS(BP_SOTIEN,BP_DA,$C32,BP_THANG,Z$2,BP_KM,$E32)/1000</f>
        <v>0</v>
      </c>
      <c r="AA32" s="1091" t="str">
        <f t="shared" si="63"/>
        <v/>
      </c>
      <c r="AB32" s="1089" t="str">
        <f t="shared" si="64"/>
        <v/>
      </c>
      <c r="AC32" s="1088">
        <f t="shared" si="65"/>
        <v>0</v>
      </c>
      <c r="AD32" s="1091" t="str">
        <f t="shared" si="66"/>
        <v/>
      </c>
      <c r="AE32" s="1089" t="str">
        <f t="shared" si="67"/>
        <v/>
      </c>
      <c r="AF32" s="1088">
        <f t="shared" si="68"/>
        <v>0</v>
      </c>
      <c r="AG32" s="1091" t="str">
        <f t="shared" si="69"/>
        <v/>
      </c>
      <c r="AH32" s="1089" t="str">
        <f t="shared" si="70"/>
        <v/>
      </c>
      <c r="AI32" s="1088">
        <f>SUMIFS(BP_SOTIEN,BP_DA,$C32,BP_THANG,AI$2,BP_KM,$E32)/1000</f>
        <v>0</v>
      </c>
      <c r="AJ32" s="1091" t="str">
        <f t="shared" si="71"/>
        <v/>
      </c>
      <c r="AK32" s="1089" t="str">
        <f t="shared" si="72"/>
        <v/>
      </c>
      <c r="AL32" s="1088">
        <f>SUMIFS(BP_SOTIEN,BP_DA,$C32,BP_THANG,AL$2,BP_KM,$E32)/1000</f>
        <v>0</v>
      </c>
      <c r="AM32" s="1091" t="str">
        <f t="shared" si="73"/>
        <v/>
      </c>
      <c r="AN32" s="1089" t="str">
        <f t="shared" si="74"/>
        <v/>
      </c>
      <c r="AO32" s="1091" t="str">
        <f t="shared" si="27"/>
        <v/>
      </c>
      <c r="AP32" s="1088">
        <f>SUMIFS(BP_SOTIEN,BP_DA,$C32,BP_THANG,AP$2,BP_KM,$E32)/1000</f>
        <v>0</v>
      </c>
      <c r="AQ32" s="1091" t="str">
        <f t="shared" si="75"/>
        <v/>
      </c>
      <c r="AR32" s="1089" t="str">
        <f t="shared" si="76"/>
        <v/>
      </c>
      <c r="AS32" s="1088">
        <f t="shared" si="77"/>
        <v>0</v>
      </c>
      <c r="AT32" s="1091" t="str">
        <f t="shared" si="78"/>
        <v/>
      </c>
      <c r="AU32" s="1089" t="str">
        <f t="shared" si="79"/>
        <v/>
      </c>
      <c r="AV32" s="1088">
        <f>SUMIFS(BP_SOTIEN,BP_DA,$C32,BP_THANG,AV$2,BP_KM,$E32)/1000</f>
        <v>0</v>
      </c>
      <c r="AW32" s="1091" t="str">
        <f t="shared" si="80"/>
        <v/>
      </c>
      <c r="AX32" s="1089" t="str">
        <f t="shared" si="81"/>
        <v/>
      </c>
      <c r="AY32" s="1088">
        <f>SUMIFS(BP_SOTIEN,BP_DA,$C32,BP_THANG,AY$2,BP_KM,$E32)/1000</f>
        <v>0</v>
      </c>
      <c r="AZ32" s="1091" t="str">
        <f t="shared" si="82"/>
        <v/>
      </c>
      <c r="BA32" s="1089" t="str">
        <f t="shared" si="83"/>
        <v/>
      </c>
      <c r="BB32" s="1088">
        <f>SUMIFS(BP_SOTIEN,BP_DA,$C32,BP_THANG,BB$2,BP_KM,$E32)/1000</f>
        <v>0</v>
      </c>
      <c r="BC32" s="1091" t="str">
        <f t="shared" si="84"/>
        <v/>
      </c>
      <c r="BD32" s="1089" t="str">
        <f t="shared" si="85"/>
        <v/>
      </c>
      <c r="BE32" s="1088">
        <f t="shared" si="86"/>
        <v>0</v>
      </c>
      <c r="BF32" s="1091" t="str">
        <f t="shared" si="87"/>
        <v/>
      </c>
      <c r="BG32" s="1089" t="str">
        <f t="shared" si="88"/>
        <v/>
      </c>
      <c r="BH32" s="1088">
        <f t="shared" si="89"/>
        <v>0</v>
      </c>
      <c r="BI32" s="1091" t="str">
        <f t="shared" si="90"/>
        <v/>
      </c>
      <c r="BJ32" s="1089" t="str">
        <f t="shared" si="91"/>
        <v/>
      </c>
      <c r="BK32" s="1088">
        <f t="shared" si="92"/>
        <v>0</v>
      </c>
      <c r="BL32" s="1091" t="str">
        <f t="shared" si="93"/>
        <v/>
      </c>
      <c r="BM32" s="1089" t="str">
        <f t="shared" si="94"/>
        <v/>
      </c>
    </row>
    <row r="33">
      <c r="A33" s="1121" t="s">
        <v>2824</v>
      </c>
      <c r="B33" s="1122"/>
      <c r="C33" s="1122"/>
      <c r="D33" s="1122"/>
      <c r="E33" s="1122"/>
      <c r="F33" s="1122"/>
      <c r="G33" s="1123">
        <v>1.0</v>
      </c>
      <c r="H33" s="1124">
        <f>SUMIF($G$34:$G$47,$G$33,H$34:H$47)</f>
        <v>0</v>
      </c>
      <c r="I33" s="1125" t="str">
        <f>IFERROR(H33/#REF!,"")</f>
        <v/>
      </c>
      <c r="J33" s="3"/>
      <c r="K33" s="1124">
        <f>SUMIF($G$34:$G$47,$G$33,K$34:K$47)</f>
        <v>0</v>
      </c>
      <c r="L33" s="1125" t="str">
        <f>IFERROR(K33/#REF!,"")</f>
        <v/>
      </c>
      <c r="M33" s="3"/>
      <c r="N33" s="1124">
        <f>SUMIF($G$34:$G$47,$G$33,N$34:N$47)</f>
        <v>0</v>
      </c>
      <c r="O33" s="1125" t="str">
        <f>IFERROR(N33/#REF!,"")</f>
        <v/>
      </c>
      <c r="P33" s="3"/>
      <c r="Q33" s="1124">
        <f>SUMIF($G$34:$G$47,$G$33,Q$34:Q$47)</f>
        <v>0</v>
      </c>
      <c r="R33" s="1125" t="str">
        <f>IFERROR(Q33/#REF!,"")</f>
        <v/>
      </c>
      <c r="S33" s="3"/>
      <c r="T33" s="1124">
        <f>SUMIF($G$34:$G$47,$G$33,T$34:T$47)</f>
        <v>4000000</v>
      </c>
      <c r="U33" s="1125" t="str">
        <f>IFERROR(T33/#REF!,"")</f>
        <v/>
      </c>
      <c r="V33" s="3"/>
      <c r="W33" s="1124">
        <f>SUMIF($G$34:$G$47,$G$33,W$34:W$47)</f>
        <v>4000000</v>
      </c>
      <c r="X33" s="1125" t="str">
        <f>IFERROR(W33/#REF!,"")</f>
        <v/>
      </c>
      <c r="Y33" s="3"/>
      <c r="Z33" s="1124">
        <f>SUMIF($G$34:$G$47,$G$33,Z$34:Z$47)</f>
        <v>4000000</v>
      </c>
      <c r="AA33" s="1125" t="str">
        <f>IFERROR(Z33/#REF!,"")</f>
        <v/>
      </c>
      <c r="AB33" s="3"/>
      <c r="AC33" s="1124">
        <f>SUMIF($G$34:$G$47,$G$33,AC$34:AC$47)</f>
        <v>4000000</v>
      </c>
      <c r="AD33" s="1125" t="str">
        <f>IFERROR(AC33/#REF!,"")</f>
        <v/>
      </c>
      <c r="AE33" s="3"/>
      <c r="AF33" s="1124">
        <f>SUMIF($G$34:$G$47,$G$33,AF$34:AF$47)</f>
        <v>4000000</v>
      </c>
      <c r="AG33" s="1125" t="str">
        <f>IFERROR(AF33/#REF!,"")</f>
        <v/>
      </c>
      <c r="AH33" s="3"/>
      <c r="AI33" s="1124">
        <f>SUMIF($G$34:$G$47,$G$33,AI$34:AI$47)</f>
        <v>4000000</v>
      </c>
      <c r="AJ33" s="1125" t="str">
        <f>IFERROR(AI33/#REF!,"")</f>
        <v/>
      </c>
      <c r="AK33" s="3"/>
      <c r="AL33" s="1124">
        <f>SUMIF($G$34:$G$47,$G$33,AL$34:AL$47)</f>
        <v>4000000</v>
      </c>
      <c r="AM33" s="1125" t="str">
        <f>IFERROR(AL33/#REF!,"")</f>
        <v/>
      </c>
      <c r="AN33" s="3"/>
      <c r="AO33" s="1127" t="str">
        <f t="shared" si="27"/>
        <v/>
      </c>
      <c r="AP33" s="1124">
        <f>SUMIF($G$34:$G$47,$G$33,AP$34:AP$47)</f>
        <v>4000000</v>
      </c>
      <c r="AQ33" s="1125" t="str">
        <f>IFERROR(AP33/#REF!,"")</f>
        <v/>
      </c>
      <c r="AR33" s="3"/>
      <c r="AS33" s="1124">
        <f>SUMIF($G$34:$G$47,$G$33,AS$34:AS$47)</f>
        <v>4000000</v>
      </c>
      <c r="AT33" s="1125" t="str">
        <f>IFERROR(AS33/#REF!,"")</f>
        <v/>
      </c>
      <c r="AU33" s="3"/>
      <c r="AV33" s="1124">
        <f>SUMIF($G$34:$G$47,$G$33,AV$34:AV$47)</f>
        <v>4000000</v>
      </c>
      <c r="AW33" s="1125" t="str">
        <f>IFERROR(AV33/#REF!,"")</f>
        <v/>
      </c>
      <c r="AX33" s="3"/>
      <c r="AY33" s="1124">
        <f>SUMIF($G$34:$G$47,$G$33,AY$34:AY$47)</f>
        <v>4000000</v>
      </c>
      <c r="AZ33" s="1125" t="str">
        <f>IFERROR(AY33/#REF!,"")</f>
        <v/>
      </c>
      <c r="BA33" s="3"/>
      <c r="BB33" s="1124">
        <f>SUMIF($G$34:$G$47,$G$33,BB$34:BB$47)</f>
        <v>4000000</v>
      </c>
      <c r="BC33" s="1125" t="str">
        <f>IFERROR(BB33/#REF!,"")</f>
        <v/>
      </c>
      <c r="BD33" s="3"/>
      <c r="BE33" s="1124">
        <f>SUMIF($G$34:$G$47,$G$33,BE$34:BE$47)</f>
        <v>4000000</v>
      </c>
      <c r="BF33" s="1125" t="str">
        <f>IFERROR(BE33/#REF!,"")</f>
        <v/>
      </c>
      <c r="BG33" s="3"/>
      <c r="BH33" s="1124">
        <f>SUMIF($G$34:$G$47,$G$33,BH$34:BH$47)</f>
        <v>8000000</v>
      </c>
      <c r="BI33" s="1125" t="str">
        <f>IFERROR(BH33/#REF!,"")</f>
        <v/>
      </c>
      <c r="BJ33" s="3"/>
      <c r="BK33" s="1124">
        <f>SUMIF($G$34:$G$47,$G$33,BK$34:BK$47)</f>
        <v>12000000</v>
      </c>
      <c r="BL33" s="1125" t="str">
        <f>IFERROR(BK33/#REF!,"")</f>
        <v/>
      </c>
      <c r="BM33" s="3"/>
    </row>
    <row r="34" collapsed="1">
      <c r="A34" s="1113" t="str">
        <f t="shared" ref="A34:A47" si="95">IF(C34="","",COUNTA(C$34:C34))</f>
        <v/>
      </c>
      <c r="B34" s="1114" t="s">
        <v>2066</v>
      </c>
      <c r="C34" s="1114"/>
      <c r="D34" s="1114" t="str">
        <f>IF(C34&gt;0,VLOOKUP(C34,DM_DUAN ,2,"") ,IF(B34&gt;0,VLOOKUP(B34,DM_CDT,2,""),""))</f>
        <v>THÀNH NAM</v>
      </c>
      <c r="E34" s="1115"/>
      <c r="F34" s="1115"/>
      <c r="G34" s="1116">
        <v>1.0</v>
      </c>
      <c r="H34" s="1120">
        <f>SUMIF($B35:$B$47,$B34,H35:H$47)</f>
        <v>0</v>
      </c>
      <c r="I34" s="1117" t="str">
        <f t="shared" ref="I34:I47" si="96">IFERROR(H34/SUMIF($C$4:$C$17,$C34,H$4:H$17),"")</f>
        <v/>
      </c>
      <c r="J34" s="1117" t="str">
        <f t="shared" ref="J34:J47" si="97">IFERROR(H34/H$33,"")</f>
        <v/>
      </c>
      <c r="K34" s="1120">
        <f>SUMIF($B35:$B$47,$B34,K35:K$47)</f>
        <v>0</v>
      </c>
      <c r="L34" s="1117" t="str">
        <f t="shared" ref="L34:L47" si="98">IFERROR(K34/SUMIF($C$4:$C$17,$C34,K$4:K$17),"")</f>
        <v/>
      </c>
      <c r="M34" s="1117" t="str">
        <f t="shared" ref="M34:M47" si="99">IFERROR(K34/K$33,"")</f>
        <v/>
      </c>
      <c r="N34" s="1120">
        <f>SUMIF($B35:$B$47,$B34,N35:N$47)</f>
        <v>0</v>
      </c>
      <c r="O34" s="1117" t="str">
        <f t="shared" ref="O34:O47" si="100">IFERROR(N34/SUMIF($C$4:$C$17,$C34,N$4:N$17),"")</f>
        <v/>
      </c>
      <c r="P34" s="1117" t="str">
        <f t="shared" ref="P34:P47" si="101">IFERROR(N34/N$33,"")</f>
        <v/>
      </c>
      <c r="Q34" s="1120">
        <f t="shared" ref="Q34:Q58" si="102">SUMIF(#REF!,#REF!,H34:P34)</f>
        <v>0</v>
      </c>
      <c r="R34" s="1117" t="str">
        <f t="shared" ref="R34:R47" si="103">IFERROR(Q34/SUMIF($C$4:$C$17,$C34,Q$4:Q$17),"")</f>
        <v/>
      </c>
      <c r="S34" s="1117" t="str">
        <f t="shared" ref="S34:S47" si="104">IFERROR(Q34/Q$33,"")</f>
        <v/>
      </c>
      <c r="T34" s="1120">
        <f>SUMIF($B35:$B$47,$B34,T35:T$47)</f>
        <v>1600000</v>
      </c>
      <c r="U34" s="1117" t="str">
        <f t="shared" ref="U34:U47" si="105">IFERROR(T34/SUMIF($C$4:$C$17,$C34,T$4:T$17),"")</f>
        <v/>
      </c>
      <c r="V34" s="1117">
        <f t="shared" ref="V34:V47" si="106">IFERROR(T34/T$33,"")</f>
        <v>0.4</v>
      </c>
      <c r="W34" s="1120">
        <f>SUMIF($B35:$B$47,$B34,W35:W$47)</f>
        <v>1600000</v>
      </c>
      <c r="X34" s="1117" t="str">
        <f t="shared" ref="X34:X47" si="107">IFERROR(W34/SUMIF($C$4:$C$17,$C34,W$4:W$17),"")</f>
        <v/>
      </c>
      <c r="Y34" s="1117">
        <f t="shared" ref="Y34:Y47" si="108">IFERROR(W34/W$33,"")</f>
        <v>0.4</v>
      </c>
      <c r="Z34" s="1120">
        <f>SUMIF($B35:$B$47,$B34,Z35:Z$47)</f>
        <v>1600000</v>
      </c>
      <c r="AA34" s="1117" t="str">
        <f t="shared" ref="AA34:AA47" si="109">IFERROR(Z34/SUMIF($C$4:$C$17,$C34,Z$4:Z$17),"")</f>
        <v/>
      </c>
      <c r="AB34" s="1117">
        <f t="shared" ref="AB34:AB47" si="110">IFERROR(Z34/Z$33,"")</f>
        <v>0.4</v>
      </c>
      <c r="AC34" s="1120">
        <f t="shared" ref="AC34:AC58" si="111">SUMIF(#REF!,#REF!,T34:AB34)</f>
        <v>1600000</v>
      </c>
      <c r="AD34" s="1117" t="str">
        <f t="shared" ref="AD34:AD47" si="112">IFERROR(AC34/SUMIF($C$4:$C$17,$C34,AC$4:AC$17),"")</f>
        <v/>
      </c>
      <c r="AE34" s="1117">
        <f t="shared" ref="AE34:AE47" si="113">IFERROR(AC34/AC$33,"")</f>
        <v>0.4</v>
      </c>
      <c r="AF34" s="1120">
        <f t="shared" ref="AF34:AF58" si="114">Q34+AC34</f>
        <v>1600000</v>
      </c>
      <c r="AG34" s="1117" t="str">
        <f t="shared" ref="AG34:AG47" si="115">IFERROR(AF34/SUMIF($C$4:$C$17,$C34,AF$4:AF$17),"")</f>
        <v/>
      </c>
      <c r="AH34" s="1117">
        <f t="shared" ref="AH34:AH47" si="116">IFERROR(AF34/AF$33,"")</f>
        <v>0.4</v>
      </c>
      <c r="AI34" s="1120">
        <f>SUMIF($B35:$B$47,$B34,AI35:AI$47)</f>
        <v>1600000</v>
      </c>
      <c r="AJ34" s="1117" t="str">
        <f t="shared" ref="AJ34:AJ47" si="117">IFERROR(AI34/SUMIF($C$4:$C$17,$C34,AI$4:AI$17),"")</f>
        <v/>
      </c>
      <c r="AK34" s="1117">
        <f t="shared" ref="AK34:AK47" si="118">IFERROR(AI34/AI$33,"")</f>
        <v>0.4</v>
      </c>
      <c r="AL34" s="1120">
        <f>SUMIF($B35:$B$47,$B34,AL35:AL$47)</f>
        <v>1600000</v>
      </c>
      <c r="AM34" s="1117" t="str">
        <f t="shared" ref="AM34:AM47" si="119">IFERROR(AL34/SUMIF($C$4:$C$17,$C34,AL$4:AL$17),"")</f>
        <v/>
      </c>
      <c r="AN34" s="1117">
        <f t="shared" ref="AN34:AN47" si="120">IFERROR(AL34/AL$33,"")</f>
        <v>0.4</v>
      </c>
      <c r="AO34" s="1117" t="str">
        <f t="shared" si="27"/>
        <v/>
      </c>
      <c r="AP34" s="1120">
        <f>SUMIF($B35:$B$47,$B34,AP35:AP$47)</f>
        <v>1600000</v>
      </c>
      <c r="AQ34" s="1117" t="str">
        <f t="shared" ref="AQ34:AQ47" si="121">IFERROR(AP34/SUMIF($C$4:$C$17,$C34,AP$4:AP$17),"")</f>
        <v/>
      </c>
      <c r="AR34" s="1117">
        <f t="shared" ref="AR34:AR47" si="122">IFERROR(AP34/AP$33,"")</f>
        <v>0.4</v>
      </c>
      <c r="AS34" s="1120">
        <f t="shared" ref="AS34:AS58" si="123">SUMIF(#REF!,#REF!,AI34:AR34)</f>
        <v>1600000</v>
      </c>
      <c r="AT34" s="1117" t="str">
        <f t="shared" ref="AT34:AT47" si="124">IFERROR(AS34/SUMIF($C$4:$C$17,$C34,AS$4:AS$17),"")</f>
        <v/>
      </c>
      <c r="AU34" s="1117">
        <f t="shared" ref="AU34:AU47" si="125">IFERROR(AS34/AS$33,"")</f>
        <v>0.4</v>
      </c>
      <c r="AV34" s="1120">
        <f>SUMIF($B35:$B$47,$B34,AV35:AV$47)</f>
        <v>1600000</v>
      </c>
      <c r="AW34" s="1117" t="str">
        <f t="shared" ref="AW34:AW47" si="126">IFERROR(AV34/SUMIF($C$4:$C$17,$C34,AV$4:AV$17),"")</f>
        <v/>
      </c>
      <c r="AX34" s="1117">
        <f t="shared" ref="AX34:AX47" si="127">IFERROR(AV34/AV$33,"")</f>
        <v>0.4</v>
      </c>
      <c r="AY34" s="1120">
        <f>SUMIF($B35:$B$47,$B34,AY35:AY$47)</f>
        <v>1600000</v>
      </c>
      <c r="AZ34" s="1117" t="str">
        <f t="shared" ref="AZ34:AZ47" si="128">IFERROR(AY34/SUMIF($C$4:$C$17,$C34,AY$4:AY$17),"")</f>
        <v/>
      </c>
      <c r="BA34" s="1117">
        <f t="shared" ref="BA34:BA47" si="129">IFERROR(AY34/AY$33,"")</f>
        <v>0.4</v>
      </c>
      <c r="BB34" s="1120">
        <f>SUMIF($B35:$B$47,$B34,BB35:BB$47)</f>
        <v>1600000</v>
      </c>
      <c r="BC34" s="1117" t="str">
        <f t="shared" ref="BC34:BC47" si="130">IFERROR(BB34/SUMIF($C$4:$C$17,$C34,BB$4:BB$17),"")</f>
        <v/>
      </c>
      <c r="BD34" s="1117">
        <f t="shared" ref="BD34:BD47" si="131">IFERROR(BB34/BB$33,"")</f>
        <v>0.4</v>
      </c>
      <c r="BE34" s="1120">
        <f t="shared" ref="BE34:BE58" si="132">SUMIF(#REF!,#REF!,AV34:BD34)</f>
        <v>1600000</v>
      </c>
      <c r="BF34" s="1117" t="str">
        <f t="shared" ref="BF34:BF47" si="133">IFERROR(BE34/SUMIF($C$4:$C$17,$C34,BE$4:BE$17),"")</f>
        <v/>
      </c>
      <c r="BG34" s="1117">
        <f t="shared" ref="BG34:BG47" si="134">IFERROR(BE34/BE$33,"")</f>
        <v>0.4</v>
      </c>
      <c r="BH34" s="1120">
        <f t="shared" ref="BH34:BH58" si="135">AS34+BE34</f>
        <v>3200000</v>
      </c>
      <c r="BI34" s="1117" t="str">
        <f t="shared" ref="BI34:BI47" si="136">IFERROR(BH34/SUMIF($C$4:$C$17,$C34,BH$4:BH$17),"")</f>
        <v/>
      </c>
      <c r="BJ34" s="1117">
        <f t="shared" ref="BJ34:BJ47" si="137">IFERROR(BH34/BH$33,"")</f>
        <v>0.4</v>
      </c>
      <c r="BK34" s="1120">
        <f t="shared" ref="BK34:BK58" si="138">AF34+BH34</f>
        <v>4800000</v>
      </c>
      <c r="BL34" s="1117" t="str">
        <f t="shared" ref="BL34:BL47" si="139">IFERROR(BK34/SUMIF($C$4:$C$17,$C34,BK$4:BK$17),"")</f>
        <v/>
      </c>
      <c r="BM34" s="1117">
        <f t="shared" ref="BM34:BM47" si="140">IFERROR(BK34/BK$33,"")</f>
        <v>0.4</v>
      </c>
    </row>
    <row r="35" hidden="1" outlineLevel="1">
      <c r="A35" s="1086">
        <f t="shared" si="95"/>
        <v>1</v>
      </c>
      <c r="B35" s="1087" t="s">
        <v>2066</v>
      </c>
      <c r="C35" s="1087" t="s">
        <v>175</v>
      </c>
      <c r="D35" s="1087" t="str">
        <f>IF(C35&gt;0,VLOOKUP(C35,DM_DUAN ,2,"") ,IF(B35&gt;0,VLOOKUP(B35,DM_CDT,2,""),""))</f>
        <v>Phước hội Hồ Tràm</v>
      </c>
      <c r="E35" s="1087"/>
      <c r="F35" s="1087"/>
      <c r="G35" s="1086">
        <v>2.0</v>
      </c>
      <c r="H35" s="1088">
        <f t="shared" ref="H35:H37" si="141">SUMIF($C$4:$C$17,$C35,H$4:H$17)-SUMIF($C$19:$C$32,$C35,H$19:H$32)</f>
        <v>0</v>
      </c>
      <c r="I35" s="1091" t="str">
        <f t="shared" si="96"/>
        <v/>
      </c>
      <c r="J35" s="1091" t="str">
        <f t="shared" si="97"/>
        <v/>
      </c>
      <c r="K35" s="1088">
        <f t="shared" ref="K35:K37" si="142">SUMIF($C$4:$C$17,$C35,K$4:K$17)-SUMIF($C$19:$C$32,$C35,K$19:K$32)</f>
        <v>0</v>
      </c>
      <c r="L35" s="1091" t="str">
        <f t="shared" si="98"/>
        <v/>
      </c>
      <c r="M35" s="1091" t="str">
        <f t="shared" si="99"/>
        <v/>
      </c>
      <c r="N35" s="1088">
        <f t="shared" ref="N35:N37" si="143">SUMIF($C$4:$C$17,$C35,N$4:N$17)-SUMIF($C$19:$C$32,$C35,N$19:N$32)</f>
        <v>0</v>
      </c>
      <c r="O35" s="1091" t="str">
        <f t="shared" si="100"/>
        <v/>
      </c>
      <c r="P35" s="1091" t="str">
        <f t="shared" si="101"/>
        <v/>
      </c>
      <c r="Q35" s="1088">
        <f t="shared" si="102"/>
        <v>0</v>
      </c>
      <c r="R35" s="1091" t="str">
        <f t="shared" si="103"/>
        <v/>
      </c>
      <c r="S35" s="1091" t="str">
        <f t="shared" si="104"/>
        <v/>
      </c>
      <c r="T35" s="1088">
        <f t="shared" ref="T35:T37" si="144">SUMIF($C$4:$C$17,$C35,T$4:T$17)-SUMIF($C$19:$C$32,$C35,T$19:T$32)</f>
        <v>1600000</v>
      </c>
      <c r="U35" s="1091">
        <f t="shared" si="105"/>
        <v>1</v>
      </c>
      <c r="V35" s="1091">
        <f t="shared" si="106"/>
        <v>0.4</v>
      </c>
      <c r="W35" s="1088">
        <f t="shared" ref="W35:W37" si="145">SUMIF($C$4:$C$17,$C35,W$4:W$17)-SUMIF($C$19:$C$32,$C35,W$19:W$32)</f>
        <v>1600000</v>
      </c>
      <c r="X35" s="1091">
        <f t="shared" si="107"/>
        <v>1</v>
      </c>
      <c r="Y35" s="1091">
        <f t="shared" si="108"/>
        <v>0.4</v>
      </c>
      <c r="Z35" s="1088">
        <f t="shared" ref="Z35:Z37" si="146">SUMIF($C$4:$C$17,$C35,Z$4:Z$17)-SUMIF($C$19:$C$32,$C35,Z$19:Z$32)</f>
        <v>1600000</v>
      </c>
      <c r="AA35" s="1091">
        <f t="shared" si="109"/>
        <v>1</v>
      </c>
      <c r="AB35" s="1091">
        <f t="shared" si="110"/>
        <v>0.4</v>
      </c>
      <c r="AC35" s="1088">
        <f t="shared" si="111"/>
        <v>1600000</v>
      </c>
      <c r="AD35" s="1091">
        <f t="shared" si="112"/>
        <v>1</v>
      </c>
      <c r="AE35" s="1091">
        <f t="shared" si="113"/>
        <v>0.4</v>
      </c>
      <c r="AF35" s="1088">
        <f t="shared" si="114"/>
        <v>1600000</v>
      </c>
      <c r="AG35" s="1091">
        <f t="shared" si="115"/>
        <v>1</v>
      </c>
      <c r="AH35" s="1091">
        <f t="shared" si="116"/>
        <v>0.4</v>
      </c>
      <c r="AI35" s="1088">
        <f t="shared" ref="AI35:AI37" si="147">SUMIF($C$4:$C$17,$C35,AI$4:AI$17)-SUMIF($C$19:$C$32,$C35,AI$19:AI$32)</f>
        <v>1600000</v>
      </c>
      <c r="AJ35" s="1091">
        <f t="shared" si="117"/>
        <v>1</v>
      </c>
      <c r="AK35" s="1091">
        <f t="shared" si="118"/>
        <v>0.4</v>
      </c>
      <c r="AL35" s="1088">
        <f t="shared" ref="AL35:AL37" si="148">SUMIF($C$4:$C$17,$C35,AL$4:AL$17)-SUMIF($C$19:$C$32,$C35,AL$19:AL$32)</f>
        <v>1600000</v>
      </c>
      <c r="AM35" s="1091">
        <f t="shared" si="119"/>
        <v>1</v>
      </c>
      <c r="AN35" s="1091">
        <f t="shared" si="120"/>
        <v>0.4</v>
      </c>
      <c r="AO35" s="1091" t="str">
        <f t="shared" si="27"/>
        <v/>
      </c>
      <c r="AP35" s="1088">
        <f t="shared" ref="AP35:AP37" si="149">SUMIF($C$4:$C$17,$C35,AP$4:AP$17)-SUMIF($C$19:$C$32,$C35,AP$19:AP$32)</f>
        <v>1600000</v>
      </c>
      <c r="AQ35" s="1091">
        <f t="shared" si="121"/>
        <v>1</v>
      </c>
      <c r="AR35" s="1091">
        <f t="shared" si="122"/>
        <v>0.4</v>
      </c>
      <c r="AS35" s="1088">
        <f t="shared" si="123"/>
        <v>1600000</v>
      </c>
      <c r="AT35" s="1091">
        <f t="shared" si="124"/>
        <v>1</v>
      </c>
      <c r="AU35" s="1091">
        <f t="shared" si="125"/>
        <v>0.4</v>
      </c>
      <c r="AV35" s="1088">
        <f t="shared" ref="AV35:AV37" si="150">SUMIF($C$4:$C$17,$C35,AV$4:AV$17)-SUMIF($C$19:$C$32,$C35,AV$19:AV$32)</f>
        <v>1600000</v>
      </c>
      <c r="AW35" s="1091">
        <f t="shared" si="126"/>
        <v>1</v>
      </c>
      <c r="AX35" s="1091">
        <f t="shared" si="127"/>
        <v>0.4</v>
      </c>
      <c r="AY35" s="1088">
        <f t="shared" ref="AY35:AY37" si="151">SUMIF($C$4:$C$17,$C35,AY$4:AY$17)-SUMIF($C$19:$C$32,$C35,AY$19:AY$32)</f>
        <v>1600000</v>
      </c>
      <c r="AZ35" s="1091">
        <f t="shared" si="128"/>
        <v>1</v>
      </c>
      <c r="BA35" s="1091">
        <f t="shared" si="129"/>
        <v>0.4</v>
      </c>
      <c r="BB35" s="1088">
        <f t="shared" ref="BB35:BB37" si="152">SUMIF($C$4:$C$17,$C35,BB$4:BB$17)-SUMIF($C$19:$C$32,$C35,BB$19:BB$32)</f>
        <v>1600000</v>
      </c>
      <c r="BC35" s="1091">
        <f t="shared" si="130"/>
        <v>1</v>
      </c>
      <c r="BD35" s="1091">
        <f t="shared" si="131"/>
        <v>0.4</v>
      </c>
      <c r="BE35" s="1088">
        <f t="shared" si="132"/>
        <v>1600000</v>
      </c>
      <c r="BF35" s="1091">
        <f t="shared" si="133"/>
        <v>1</v>
      </c>
      <c r="BG35" s="1091">
        <f t="shared" si="134"/>
        <v>0.4</v>
      </c>
      <c r="BH35" s="1088">
        <f t="shared" si="135"/>
        <v>3200000</v>
      </c>
      <c r="BI35" s="1091">
        <f t="shared" si="136"/>
        <v>1</v>
      </c>
      <c r="BJ35" s="1091">
        <f t="shared" si="137"/>
        <v>0.4</v>
      </c>
      <c r="BK35" s="1088">
        <f t="shared" si="138"/>
        <v>4800000</v>
      </c>
      <c r="BL35" s="1091">
        <f t="shared" si="139"/>
        <v>1</v>
      </c>
      <c r="BM35" s="1091">
        <f t="shared" si="140"/>
        <v>0.4</v>
      </c>
    </row>
    <row r="36" hidden="1" outlineLevel="1">
      <c r="A36" s="1086">
        <f t="shared" si="95"/>
        <v>2</v>
      </c>
      <c r="B36" s="1087" t="s">
        <v>2066</v>
      </c>
      <c r="C36" s="1087" t="s">
        <v>530</v>
      </c>
      <c r="D36" s="1087" t="str">
        <f>IF(C36&gt;0,VLOOKUP(C36,DM_DUAN ,2,"") ,IF(B36&gt;0,VLOOKUP(B36,DM_CDT,2,""),""))</f>
        <v>Nhà vườn sinh thái</v>
      </c>
      <c r="E36" s="1087"/>
      <c r="F36" s="1087"/>
      <c r="G36" s="1086">
        <v>2.0</v>
      </c>
      <c r="H36" s="1088">
        <f t="shared" si="141"/>
        <v>0</v>
      </c>
      <c r="I36" s="1091" t="str">
        <f t="shared" si="96"/>
        <v/>
      </c>
      <c r="J36" s="1091" t="str">
        <f t="shared" si="97"/>
        <v/>
      </c>
      <c r="K36" s="1088">
        <f t="shared" si="142"/>
        <v>0</v>
      </c>
      <c r="L36" s="1091" t="str">
        <f t="shared" si="98"/>
        <v/>
      </c>
      <c r="M36" s="1091" t="str">
        <f t="shared" si="99"/>
        <v/>
      </c>
      <c r="N36" s="1088">
        <f t="shared" si="143"/>
        <v>0</v>
      </c>
      <c r="O36" s="1091" t="str">
        <f t="shared" si="100"/>
        <v/>
      </c>
      <c r="P36" s="1091" t="str">
        <f t="shared" si="101"/>
        <v/>
      </c>
      <c r="Q36" s="1088">
        <f t="shared" si="102"/>
        <v>0</v>
      </c>
      <c r="R36" s="1091" t="str">
        <f t="shared" si="103"/>
        <v/>
      </c>
      <c r="S36" s="1091" t="str">
        <f t="shared" si="104"/>
        <v/>
      </c>
      <c r="T36" s="1088">
        <f t="shared" si="144"/>
        <v>0</v>
      </c>
      <c r="U36" s="1091" t="str">
        <f t="shared" si="105"/>
        <v/>
      </c>
      <c r="V36" s="1091">
        <f t="shared" si="106"/>
        <v>0</v>
      </c>
      <c r="W36" s="1088">
        <f t="shared" si="145"/>
        <v>0</v>
      </c>
      <c r="X36" s="1091" t="str">
        <f t="shared" si="107"/>
        <v/>
      </c>
      <c r="Y36" s="1091">
        <f t="shared" si="108"/>
        <v>0</v>
      </c>
      <c r="Z36" s="1088">
        <f t="shared" si="146"/>
        <v>0</v>
      </c>
      <c r="AA36" s="1091" t="str">
        <f t="shared" si="109"/>
        <v/>
      </c>
      <c r="AB36" s="1091">
        <f t="shared" si="110"/>
        <v>0</v>
      </c>
      <c r="AC36" s="1088">
        <f t="shared" si="111"/>
        <v>0</v>
      </c>
      <c r="AD36" s="1091" t="str">
        <f t="shared" si="112"/>
        <v/>
      </c>
      <c r="AE36" s="1091">
        <f t="shared" si="113"/>
        <v>0</v>
      </c>
      <c r="AF36" s="1088">
        <f t="shared" si="114"/>
        <v>0</v>
      </c>
      <c r="AG36" s="1091" t="str">
        <f t="shared" si="115"/>
        <v/>
      </c>
      <c r="AH36" s="1091">
        <f t="shared" si="116"/>
        <v>0</v>
      </c>
      <c r="AI36" s="1088">
        <f t="shared" si="147"/>
        <v>0</v>
      </c>
      <c r="AJ36" s="1091" t="str">
        <f t="shared" si="117"/>
        <v/>
      </c>
      <c r="AK36" s="1091">
        <f t="shared" si="118"/>
        <v>0</v>
      </c>
      <c r="AL36" s="1088">
        <f t="shared" si="148"/>
        <v>0</v>
      </c>
      <c r="AM36" s="1091" t="str">
        <f t="shared" si="119"/>
        <v/>
      </c>
      <c r="AN36" s="1091">
        <f t="shared" si="120"/>
        <v>0</v>
      </c>
      <c r="AO36" s="1091" t="str">
        <f t="shared" si="27"/>
        <v/>
      </c>
      <c r="AP36" s="1088">
        <f t="shared" si="149"/>
        <v>0</v>
      </c>
      <c r="AQ36" s="1091" t="str">
        <f t="shared" si="121"/>
        <v/>
      </c>
      <c r="AR36" s="1091">
        <f t="shared" si="122"/>
        <v>0</v>
      </c>
      <c r="AS36" s="1088">
        <f t="shared" si="123"/>
        <v>0</v>
      </c>
      <c r="AT36" s="1091" t="str">
        <f t="shared" si="124"/>
        <v/>
      </c>
      <c r="AU36" s="1091">
        <f t="shared" si="125"/>
        <v>0</v>
      </c>
      <c r="AV36" s="1088">
        <f t="shared" si="150"/>
        <v>0</v>
      </c>
      <c r="AW36" s="1091" t="str">
        <f t="shared" si="126"/>
        <v/>
      </c>
      <c r="AX36" s="1091">
        <f t="shared" si="127"/>
        <v>0</v>
      </c>
      <c r="AY36" s="1088">
        <f t="shared" si="151"/>
        <v>0</v>
      </c>
      <c r="AZ36" s="1091" t="str">
        <f t="shared" si="128"/>
        <v/>
      </c>
      <c r="BA36" s="1091">
        <f t="shared" si="129"/>
        <v>0</v>
      </c>
      <c r="BB36" s="1088">
        <f t="shared" si="152"/>
        <v>0</v>
      </c>
      <c r="BC36" s="1091" t="str">
        <f t="shared" si="130"/>
        <v/>
      </c>
      <c r="BD36" s="1091">
        <f t="shared" si="131"/>
        <v>0</v>
      </c>
      <c r="BE36" s="1088">
        <f t="shared" si="132"/>
        <v>0</v>
      </c>
      <c r="BF36" s="1091" t="str">
        <f t="shared" si="133"/>
        <v/>
      </c>
      <c r="BG36" s="1091">
        <f t="shared" si="134"/>
        <v>0</v>
      </c>
      <c r="BH36" s="1088">
        <f t="shared" si="135"/>
        <v>0</v>
      </c>
      <c r="BI36" s="1091" t="str">
        <f t="shared" si="136"/>
        <v/>
      </c>
      <c r="BJ36" s="1091">
        <f t="shared" si="137"/>
        <v>0</v>
      </c>
      <c r="BK36" s="1088">
        <f t="shared" si="138"/>
        <v>0</v>
      </c>
      <c r="BL36" s="1091" t="str">
        <f t="shared" si="139"/>
        <v/>
      </c>
      <c r="BM36" s="1091">
        <f t="shared" si="140"/>
        <v>0</v>
      </c>
    </row>
    <row r="37" hidden="1" outlineLevel="1">
      <c r="A37" s="1086">
        <f t="shared" si="95"/>
        <v>3</v>
      </c>
      <c r="B37" s="1087" t="s">
        <v>2066</v>
      </c>
      <c r="C37" s="656" t="s">
        <v>597</v>
      </c>
      <c r="D37" s="1087" t="str">
        <f>IF(C37&gt;0,VLOOKUP(C37,DM_DUAN ,2,"") ,IF(B37&gt;0,VLOOKUP(B37,DM_CDT,2,""),""))</f>
        <v>KDC Long Hải</v>
      </c>
      <c r="E37" s="1087"/>
      <c r="F37" s="1087"/>
      <c r="G37" s="1086">
        <v>2.0</v>
      </c>
      <c r="H37" s="1088">
        <f t="shared" si="141"/>
        <v>0</v>
      </c>
      <c r="I37" s="1091" t="str">
        <f t="shared" si="96"/>
        <v/>
      </c>
      <c r="J37" s="1091" t="str">
        <f t="shared" si="97"/>
        <v/>
      </c>
      <c r="K37" s="1088">
        <f t="shared" si="142"/>
        <v>0</v>
      </c>
      <c r="L37" s="1091" t="str">
        <f t="shared" si="98"/>
        <v/>
      </c>
      <c r="M37" s="1091" t="str">
        <f t="shared" si="99"/>
        <v/>
      </c>
      <c r="N37" s="1088">
        <f t="shared" si="143"/>
        <v>0</v>
      </c>
      <c r="O37" s="1091" t="str">
        <f t="shared" si="100"/>
        <v/>
      </c>
      <c r="P37" s="1091" t="str">
        <f t="shared" si="101"/>
        <v/>
      </c>
      <c r="Q37" s="1088">
        <f t="shared" si="102"/>
        <v>0</v>
      </c>
      <c r="R37" s="1091" t="str">
        <f t="shared" si="103"/>
        <v/>
      </c>
      <c r="S37" s="1091" t="str">
        <f t="shared" si="104"/>
        <v/>
      </c>
      <c r="T37" s="1088">
        <f t="shared" si="144"/>
        <v>0</v>
      </c>
      <c r="U37" s="1091" t="str">
        <f t="shared" si="105"/>
        <v/>
      </c>
      <c r="V37" s="1091">
        <f t="shared" si="106"/>
        <v>0</v>
      </c>
      <c r="W37" s="1088">
        <f t="shared" si="145"/>
        <v>0</v>
      </c>
      <c r="X37" s="1091" t="str">
        <f t="shared" si="107"/>
        <v/>
      </c>
      <c r="Y37" s="1091">
        <f t="shared" si="108"/>
        <v>0</v>
      </c>
      <c r="Z37" s="1088">
        <f t="shared" si="146"/>
        <v>0</v>
      </c>
      <c r="AA37" s="1091" t="str">
        <f t="shared" si="109"/>
        <v/>
      </c>
      <c r="AB37" s="1091">
        <f t="shared" si="110"/>
        <v>0</v>
      </c>
      <c r="AC37" s="1088">
        <f t="shared" si="111"/>
        <v>0</v>
      </c>
      <c r="AD37" s="1091" t="str">
        <f t="shared" si="112"/>
        <v/>
      </c>
      <c r="AE37" s="1091">
        <f t="shared" si="113"/>
        <v>0</v>
      </c>
      <c r="AF37" s="1088">
        <f t="shared" si="114"/>
        <v>0</v>
      </c>
      <c r="AG37" s="1091" t="str">
        <f t="shared" si="115"/>
        <v/>
      </c>
      <c r="AH37" s="1091">
        <f t="shared" si="116"/>
        <v>0</v>
      </c>
      <c r="AI37" s="1088">
        <f t="shared" si="147"/>
        <v>0</v>
      </c>
      <c r="AJ37" s="1091" t="str">
        <f t="shared" si="117"/>
        <v/>
      </c>
      <c r="AK37" s="1091">
        <f t="shared" si="118"/>
        <v>0</v>
      </c>
      <c r="AL37" s="1088">
        <f t="shared" si="148"/>
        <v>0</v>
      </c>
      <c r="AM37" s="1091" t="str">
        <f t="shared" si="119"/>
        <v/>
      </c>
      <c r="AN37" s="1091">
        <f t="shared" si="120"/>
        <v>0</v>
      </c>
      <c r="AO37" s="1091" t="str">
        <f t="shared" si="27"/>
        <v/>
      </c>
      <c r="AP37" s="1088">
        <f t="shared" si="149"/>
        <v>0</v>
      </c>
      <c r="AQ37" s="1091" t="str">
        <f t="shared" si="121"/>
        <v/>
      </c>
      <c r="AR37" s="1091">
        <f t="shared" si="122"/>
        <v>0</v>
      </c>
      <c r="AS37" s="1088">
        <f t="shared" si="123"/>
        <v>0</v>
      </c>
      <c r="AT37" s="1091" t="str">
        <f t="shared" si="124"/>
        <v/>
      </c>
      <c r="AU37" s="1091">
        <f t="shared" si="125"/>
        <v>0</v>
      </c>
      <c r="AV37" s="1088">
        <f t="shared" si="150"/>
        <v>0</v>
      </c>
      <c r="AW37" s="1091" t="str">
        <f t="shared" si="126"/>
        <v/>
      </c>
      <c r="AX37" s="1091">
        <f t="shared" si="127"/>
        <v>0</v>
      </c>
      <c r="AY37" s="1088">
        <f t="shared" si="151"/>
        <v>0</v>
      </c>
      <c r="AZ37" s="1091" t="str">
        <f t="shared" si="128"/>
        <v/>
      </c>
      <c r="BA37" s="1091">
        <f t="shared" si="129"/>
        <v>0</v>
      </c>
      <c r="BB37" s="1088">
        <f t="shared" si="152"/>
        <v>0</v>
      </c>
      <c r="BC37" s="1091" t="str">
        <f t="shared" si="130"/>
        <v/>
      </c>
      <c r="BD37" s="1091">
        <f t="shared" si="131"/>
        <v>0</v>
      </c>
      <c r="BE37" s="1088">
        <f t="shared" si="132"/>
        <v>0</v>
      </c>
      <c r="BF37" s="1091" t="str">
        <f t="shared" si="133"/>
        <v/>
      </c>
      <c r="BG37" s="1091">
        <f t="shared" si="134"/>
        <v>0</v>
      </c>
      <c r="BH37" s="1088">
        <f t="shared" si="135"/>
        <v>0</v>
      </c>
      <c r="BI37" s="1091" t="str">
        <f t="shared" si="136"/>
        <v/>
      </c>
      <c r="BJ37" s="1091">
        <f t="shared" si="137"/>
        <v>0</v>
      </c>
      <c r="BK37" s="1088">
        <f t="shared" si="138"/>
        <v>0</v>
      </c>
      <c r="BL37" s="1091" t="str">
        <f t="shared" si="139"/>
        <v/>
      </c>
      <c r="BM37" s="1091">
        <f t="shared" si="140"/>
        <v>0</v>
      </c>
    </row>
    <row r="38" collapsed="1">
      <c r="A38" s="1113" t="str">
        <f t="shared" si="95"/>
        <v/>
      </c>
      <c r="B38" s="1114" t="s">
        <v>2067</v>
      </c>
      <c r="C38" s="1114"/>
      <c r="D38" s="1114" t="str">
        <f>IF(C38&gt;0,VLOOKUP(C38,DM_DUAN ,2,"") ,IF(B38&gt;0,VLOOKUP(B38,DM_CDT,2,""),""))</f>
        <v>NAM PHONG</v>
      </c>
      <c r="E38" s="1115"/>
      <c r="F38" s="1115"/>
      <c r="G38" s="1116">
        <v>1.0</v>
      </c>
      <c r="H38" s="1120">
        <f>SUMIF($B39:$B$47,$B38,H39:H$47)</f>
        <v>0</v>
      </c>
      <c r="I38" s="1117" t="str">
        <f t="shared" si="96"/>
        <v/>
      </c>
      <c r="J38" s="1117" t="str">
        <f t="shared" si="97"/>
        <v/>
      </c>
      <c r="K38" s="1120">
        <f>SUMIF($B39:$B$47,$B38,K39:K$47)</f>
        <v>0</v>
      </c>
      <c r="L38" s="1117" t="str">
        <f t="shared" si="98"/>
        <v/>
      </c>
      <c r="M38" s="1117" t="str">
        <f t="shared" si="99"/>
        <v/>
      </c>
      <c r="N38" s="1120">
        <f>SUMIF($B39:$B$47,$B38,N39:N$47)</f>
        <v>0</v>
      </c>
      <c r="O38" s="1117" t="str">
        <f t="shared" si="100"/>
        <v/>
      </c>
      <c r="P38" s="1117" t="str">
        <f t="shared" si="101"/>
        <v/>
      </c>
      <c r="Q38" s="1120">
        <f t="shared" si="102"/>
        <v>0</v>
      </c>
      <c r="R38" s="1117" t="str">
        <f t="shared" si="103"/>
        <v/>
      </c>
      <c r="S38" s="1117" t="str">
        <f t="shared" si="104"/>
        <v/>
      </c>
      <c r="T38" s="1120">
        <f>SUMIF($B39:$B$47,$B38,T39:T$47)</f>
        <v>2400000</v>
      </c>
      <c r="U38" s="1117" t="str">
        <f t="shared" si="105"/>
        <v/>
      </c>
      <c r="V38" s="1117">
        <f t="shared" si="106"/>
        <v>0.6</v>
      </c>
      <c r="W38" s="1120">
        <f>SUMIF($B39:$B$47,$B38,W39:W$47)</f>
        <v>2400000</v>
      </c>
      <c r="X38" s="1117" t="str">
        <f t="shared" si="107"/>
        <v/>
      </c>
      <c r="Y38" s="1117">
        <f t="shared" si="108"/>
        <v>0.6</v>
      </c>
      <c r="Z38" s="1120">
        <f>SUMIF($B39:$B$47,$B38,Z39:Z$47)</f>
        <v>2400000</v>
      </c>
      <c r="AA38" s="1117" t="str">
        <f t="shared" si="109"/>
        <v/>
      </c>
      <c r="AB38" s="1117">
        <f t="shared" si="110"/>
        <v>0.6</v>
      </c>
      <c r="AC38" s="1120">
        <f t="shared" si="111"/>
        <v>2400000</v>
      </c>
      <c r="AD38" s="1117" t="str">
        <f t="shared" si="112"/>
        <v/>
      </c>
      <c r="AE38" s="1117">
        <f t="shared" si="113"/>
        <v>0.6</v>
      </c>
      <c r="AF38" s="1120">
        <f t="shared" si="114"/>
        <v>2400000</v>
      </c>
      <c r="AG38" s="1117" t="str">
        <f t="shared" si="115"/>
        <v/>
      </c>
      <c r="AH38" s="1117">
        <f t="shared" si="116"/>
        <v>0.6</v>
      </c>
      <c r="AI38" s="1120">
        <f>SUMIF($B39:$B$47,$B38,AI39:AI$47)</f>
        <v>2400000</v>
      </c>
      <c r="AJ38" s="1117" t="str">
        <f t="shared" si="117"/>
        <v/>
      </c>
      <c r="AK38" s="1117">
        <f t="shared" si="118"/>
        <v>0.6</v>
      </c>
      <c r="AL38" s="1120">
        <f>SUMIF($B39:$B$47,$B38,AL39:AL$47)</f>
        <v>2400000</v>
      </c>
      <c r="AM38" s="1117" t="str">
        <f t="shared" si="119"/>
        <v/>
      </c>
      <c r="AN38" s="1117">
        <f t="shared" si="120"/>
        <v>0.6</v>
      </c>
      <c r="AO38" s="1117" t="str">
        <f t="shared" si="27"/>
        <v/>
      </c>
      <c r="AP38" s="1120">
        <f>SUMIF($B39:$B$47,$B38,AP39:AP$47)</f>
        <v>2400000</v>
      </c>
      <c r="AQ38" s="1117" t="str">
        <f t="shared" si="121"/>
        <v/>
      </c>
      <c r="AR38" s="1117">
        <f t="shared" si="122"/>
        <v>0.6</v>
      </c>
      <c r="AS38" s="1120">
        <f t="shared" si="123"/>
        <v>2400000</v>
      </c>
      <c r="AT38" s="1117" t="str">
        <f t="shared" si="124"/>
        <v/>
      </c>
      <c r="AU38" s="1117">
        <f t="shared" si="125"/>
        <v>0.6</v>
      </c>
      <c r="AV38" s="1120">
        <f>SUMIF($B39:$B$47,$B38,AV39:AV$47)</f>
        <v>2400000</v>
      </c>
      <c r="AW38" s="1117" t="str">
        <f t="shared" si="126"/>
        <v/>
      </c>
      <c r="AX38" s="1117">
        <f t="shared" si="127"/>
        <v>0.6</v>
      </c>
      <c r="AY38" s="1120">
        <f>SUMIF($B39:$B$47,$B38,AY39:AY$47)</f>
        <v>2400000</v>
      </c>
      <c r="AZ38" s="1117" t="str">
        <f t="shared" si="128"/>
        <v/>
      </c>
      <c r="BA38" s="1117">
        <f t="shared" si="129"/>
        <v>0.6</v>
      </c>
      <c r="BB38" s="1120">
        <f>SUMIF($B39:$B$47,$B38,BB39:BB$47)</f>
        <v>2400000</v>
      </c>
      <c r="BC38" s="1117" t="str">
        <f t="shared" si="130"/>
        <v/>
      </c>
      <c r="BD38" s="1117">
        <f t="shared" si="131"/>
        <v>0.6</v>
      </c>
      <c r="BE38" s="1120">
        <f t="shared" si="132"/>
        <v>2400000</v>
      </c>
      <c r="BF38" s="1117" t="str">
        <f t="shared" si="133"/>
        <v/>
      </c>
      <c r="BG38" s="1117">
        <f t="shared" si="134"/>
        <v>0.6</v>
      </c>
      <c r="BH38" s="1120">
        <f t="shared" si="135"/>
        <v>4800000</v>
      </c>
      <c r="BI38" s="1117" t="str">
        <f t="shared" si="136"/>
        <v/>
      </c>
      <c r="BJ38" s="1117">
        <f t="shared" si="137"/>
        <v>0.6</v>
      </c>
      <c r="BK38" s="1120">
        <f t="shared" si="138"/>
        <v>7200000</v>
      </c>
      <c r="BL38" s="1117" t="str">
        <f t="shared" si="139"/>
        <v/>
      </c>
      <c r="BM38" s="1117">
        <f t="shared" si="140"/>
        <v>0.6</v>
      </c>
    </row>
    <row r="39" hidden="1" outlineLevel="1">
      <c r="A39" s="1086">
        <f t="shared" si="95"/>
        <v>4</v>
      </c>
      <c r="B39" s="1087" t="s">
        <v>2067</v>
      </c>
      <c r="C39" s="1087" t="s">
        <v>2067</v>
      </c>
      <c r="D39" s="1087" t="str">
        <f>IF(C39&gt;0,VLOOKUP(C39,DM_DUAN ,2,"") ,IF(B39&gt;0,VLOOKUP(B39,DM_CDT,2,""),""))</f>
        <v>NAM PHONG</v>
      </c>
      <c r="E39" s="1087"/>
      <c r="F39" s="1087"/>
      <c r="G39" s="1086">
        <v>2.0</v>
      </c>
      <c r="H39" s="1088">
        <f>SUMIF($C$4:$C$17,$C39,H$4:H$17)-SUMIF($C$19:$C$32,$C39,H$19:H$32)</f>
        <v>0</v>
      </c>
      <c r="I39" s="1091" t="str">
        <f t="shared" si="96"/>
        <v/>
      </c>
      <c r="J39" s="1091" t="str">
        <f t="shared" si="97"/>
        <v/>
      </c>
      <c r="K39" s="1088">
        <f>SUMIF($C$4:$C$17,$C39,K$4:K$17)-SUMIF($C$19:$C$32,$C39,K$19:K$32)</f>
        <v>0</v>
      </c>
      <c r="L39" s="1091" t="str">
        <f t="shared" si="98"/>
        <v/>
      </c>
      <c r="M39" s="1091" t="str">
        <f t="shared" si="99"/>
        <v/>
      </c>
      <c r="N39" s="1088">
        <f>SUMIF($C$4:$C$17,$C39,N$4:N$17)-SUMIF($C$19:$C$32,$C39,N$19:N$32)</f>
        <v>0</v>
      </c>
      <c r="O39" s="1091" t="str">
        <f t="shared" si="100"/>
        <v/>
      </c>
      <c r="P39" s="1091" t="str">
        <f t="shared" si="101"/>
        <v/>
      </c>
      <c r="Q39" s="1088">
        <f t="shared" si="102"/>
        <v>0</v>
      </c>
      <c r="R39" s="1091" t="str">
        <f t="shared" si="103"/>
        <v/>
      </c>
      <c r="S39" s="1091" t="str">
        <f t="shared" si="104"/>
        <v/>
      </c>
      <c r="T39" s="1088">
        <f>SUMIF($C$4:$C$17,$C39,T$4:T$17)-SUMIF($C$19:$C$32,$C39,T$19:T$32)</f>
        <v>2400000</v>
      </c>
      <c r="U39" s="1091">
        <f t="shared" si="105"/>
        <v>1</v>
      </c>
      <c r="V39" s="1091">
        <f t="shared" si="106"/>
        <v>0.6</v>
      </c>
      <c r="W39" s="1088">
        <f>SUMIF($C$4:$C$17,$C39,W$4:W$17)-SUMIF($C$19:$C$32,$C39,W$19:W$32)</f>
        <v>2400000</v>
      </c>
      <c r="X39" s="1091">
        <f t="shared" si="107"/>
        <v>1</v>
      </c>
      <c r="Y39" s="1091">
        <f t="shared" si="108"/>
        <v>0.6</v>
      </c>
      <c r="Z39" s="1088">
        <f>SUMIF($C$4:$C$17,$C39,Z$4:Z$17)-SUMIF($C$19:$C$32,$C39,Z$19:Z$32)</f>
        <v>2400000</v>
      </c>
      <c r="AA39" s="1091">
        <f t="shared" si="109"/>
        <v>1</v>
      </c>
      <c r="AB39" s="1091">
        <f t="shared" si="110"/>
        <v>0.6</v>
      </c>
      <c r="AC39" s="1088">
        <f t="shared" si="111"/>
        <v>2400000</v>
      </c>
      <c r="AD39" s="1091">
        <f t="shared" si="112"/>
        <v>1</v>
      </c>
      <c r="AE39" s="1091">
        <f t="shared" si="113"/>
        <v>0.6</v>
      </c>
      <c r="AF39" s="1088">
        <f t="shared" si="114"/>
        <v>2400000</v>
      </c>
      <c r="AG39" s="1091">
        <f t="shared" si="115"/>
        <v>1</v>
      </c>
      <c r="AH39" s="1091">
        <f t="shared" si="116"/>
        <v>0.6</v>
      </c>
      <c r="AI39" s="1088">
        <f>SUMIF($C$4:$C$17,$C39,AI$4:AI$17)-SUMIF($C$19:$C$32,$C39,AI$19:AI$32)</f>
        <v>2400000</v>
      </c>
      <c r="AJ39" s="1091">
        <f t="shared" si="117"/>
        <v>1</v>
      </c>
      <c r="AK39" s="1091">
        <f t="shared" si="118"/>
        <v>0.6</v>
      </c>
      <c r="AL39" s="1088">
        <f>SUMIF($C$4:$C$17,$C39,AL$4:AL$17)-SUMIF($C$19:$C$32,$C39,AL$19:AL$32)</f>
        <v>2400000</v>
      </c>
      <c r="AM39" s="1091">
        <f t="shared" si="119"/>
        <v>1</v>
      </c>
      <c r="AN39" s="1091">
        <f t="shared" si="120"/>
        <v>0.6</v>
      </c>
      <c r="AO39" s="1091" t="str">
        <f t="shared" si="27"/>
        <v/>
      </c>
      <c r="AP39" s="1088">
        <f>SUMIF($C$4:$C$17,$C39,AP$4:AP$17)-SUMIF($C$19:$C$32,$C39,AP$19:AP$32)</f>
        <v>2400000</v>
      </c>
      <c r="AQ39" s="1091">
        <f t="shared" si="121"/>
        <v>1</v>
      </c>
      <c r="AR39" s="1091">
        <f t="shared" si="122"/>
        <v>0.6</v>
      </c>
      <c r="AS39" s="1088">
        <f t="shared" si="123"/>
        <v>2400000</v>
      </c>
      <c r="AT39" s="1091">
        <f t="shared" si="124"/>
        <v>1</v>
      </c>
      <c r="AU39" s="1091">
        <f t="shared" si="125"/>
        <v>0.6</v>
      </c>
      <c r="AV39" s="1088">
        <f>SUMIF($C$4:$C$17,$C39,AV$4:AV$17)-SUMIF($C$19:$C$32,$C39,AV$19:AV$32)</f>
        <v>2400000</v>
      </c>
      <c r="AW39" s="1091">
        <f t="shared" si="126"/>
        <v>1</v>
      </c>
      <c r="AX39" s="1091">
        <f t="shared" si="127"/>
        <v>0.6</v>
      </c>
      <c r="AY39" s="1088">
        <f>SUMIF($C$4:$C$17,$C39,AY$4:AY$17)-SUMIF($C$19:$C$32,$C39,AY$19:AY$32)</f>
        <v>2400000</v>
      </c>
      <c r="AZ39" s="1091">
        <f t="shared" si="128"/>
        <v>1</v>
      </c>
      <c r="BA39" s="1091">
        <f t="shared" si="129"/>
        <v>0.6</v>
      </c>
      <c r="BB39" s="1088">
        <f>SUMIF($C$4:$C$17,$C39,BB$4:BB$17)-SUMIF($C$19:$C$32,$C39,BB$19:BB$32)</f>
        <v>2400000</v>
      </c>
      <c r="BC39" s="1091">
        <f t="shared" si="130"/>
        <v>1</v>
      </c>
      <c r="BD39" s="1091">
        <f t="shared" si="131"/>
        <v>0.6</v>
      </c>
      <c r="BE39" s="1088">
        <f t="shared" si="132"/>
        <v>2400000</v>
      </c>
      <c r="BF39" s="1091">
        <f t="shared" si="133"/>
        <v>1</v>
      </c>
      <c r="BG39" s="1091">
        <f t="shared" si="134"/>
        <v>0.6</v>
      </c>
      <c r="BH39" s="1088">
        <f t="shared" si="135"/>
        <v>4800000</v>
      </c>
      <c r="BI39" s="1091">
        <f t="shared" si="136"/>
        <v>1</v>
      </c>
      <c r="BJ39" s="1091">
        <f t="shared" si="137"/>
        <v>0.6</v>
      </c>
      <c r="BK39" s="1088">
        <f t="shared" si="138"/>
        <v>7200000</v>
      </c>
      <c r="BL39" s="1091">
        <f t="shared" si="139"/>
        <v>1</v>
      </c>
      <c r="BM39" s="1091">
        <f t="shared" si="140"/>
        <v>0.6</v>
      </c>
    </row>
    <row r="40" collapsed="1">
      <c r="A40" s="1113" t="str">
        <f t="shared" si="95"/>
        <v/>
      </c>
      <c r="B40" s="1114" t="s">
        <v>2069</v>
      </c>
      <c r="C40" s="1114"/>
      <c r="D40" s="1114" t="str">
        <f>IF(C40&gt;0,VLOOKUP(C40,DM_DUAN ,2,"") ,IF(B40&gt;0,VLOOKUP(B40,DM_CDT,2,""),""))</f>
        <v>KIMCUONGLAND</v>
      </c>
      <c r="E40" s="1115"/>
      <c r="F40" s="1115"/>
      <c r="G40" s="1116">
        <v>1.0</v>
      </c>
      <c r="H40" s="1120">
        <f>SUMIF($B41:$B$47,$B40,H41:H$47)</f>
        <v>0</v>
      </c>
      <c r="I40" s="1117" t="str">
        <f t="shared" si="96"/>
        <v/>
      </c>
      <c r="J40" s="1117" t="str">
        <f t="shared" si="97"/>
        <v/>
      </c>
      <c r="K40" s="1120">
        <f>SUMIF($B41:$B$47,$B40,K41:K$47)</f>
        <v>0</v>
      </c>
      <c r="L40" s="1117" t="str">
        <f t="shared" si="98"/>
        <v/>
      </c>
      <c r="M40" s="1117" t="str">
        <f t="shared" si="99"/>
        <v/>
      </c>
      <c r="N40" s="1120">
        <f>SUMIF($B41:$B$47,$B40,N41:N$47)</f>
        <v>0</v>
      </c>
      <c r="O40" s="1117" t="str">
        <f t="shared" si="100"/>
        <v/>
      </c>
      <c r="P40" s="1117" t="str">
        <f t="shared" si="101"/>
        <v/>
      </c>
      <c r="Q40" s="1120">
        <f t="shared" si="102"/>
        <v>0</v>
      </c>
      <c r="R40" s="1117" t="str">
        <f t="shared" si="103"/>
        <v/>
      </c>
      <c r="S40" s="1117" t="str">
        <f t="shared" si="104"/>
        <v/>
      </c>
      <c r="T40" s="1120">
        <f>SUMIF($B41:$B$47,$B40,T41:T$47)</f>
        <v>0</v>
      </c>
      <c r="U40" s="1117" t="str">
        <f t="shared" si="105"/>
        <v/>
      </c>
      <c r="V40" s="1117">
        <f t="shared" si="106"/>
        <v>0</v>
      </c>
      <c r="W40" s="1120">
        <f>SUMIF($B41:$B$47,$B40,W41:W$47)</f>
        <v>0</v>
      </c>
      <c r="X40" s="1117" t="str">
        <f t="shared" si="107"/>
        <v/>
      </c>
      <c r="Y40" s="1117">
        <f t="shared" si="108"/>
        <v>0</v>
      </c>
      <c r="Z40" s="1120">
        <f>SUMIF($B41:$B$47,$B40,Z41:Z$47)</f>
        <v>0</v>
      </c>
      <c r="AA40" s="1117" t="str">
        <f t="shared" si="109"/>
        <v/>
      </c>
      <c r="AB40" s="1117">
        <f t="shared" si="110"/>
        <v>0</v>
      </c>
      <c r="AC40" s="1120">
        <f t="shared" si="111"/>
        <v>0</v>
      </c>
      <c r="AD40" s="1117" t="str">
        <f t="shared" si="112"/>
        <v/>
      </c>
      <c r="AE40" s="1117">
        <f t="shared" si="113"/>
        <v>0</v>
      </c>
      <c r="AF40" s="1120">
        <f t="shared" si="114"/>
        <v>0</v>
      </c>
      <c r="AG40" s="1117" t="str">
        <f t="shared" si="115"/>
        <v/>
      </c>
      <c r="AH40" s="1117">
        <f t="shared" si="116"/>
        <v>0</v>
      </c>
      <c r="AI40" s="1120">
        <f>SUMIF($B41:$B$47,$B40,AI41:AI$47)</f>
        <v>0</v>
      </c>
      <c r="AJ40" s="1117" t="str">
        <f t="shared" si="117"/>
        <v/>
      </c>
      <c r="AK40" s="1117">
        <f t="shared" si="118"/>
        <v>0</v>
      </c>
      <c r="AL40" s="1120">
        <f>SUMIF($B41:$B$47,$B40,AL41:AL$47)</f>
        <v>0</v>
      </c>
      <c r="AM40" s="1117" t="str">
        <f t="shared" si="119"/>
        <v/>
      </c>
      <c r="AN40" s="1117">
        <f t="shared" si="120"/>
        <v>0</v>
      </c>
      <c r="AO40" s="1117" t="str">
        <f t="shared" si="27"/>
        <v/>
      </c>
      <c r="AP40" s="1120">
        <f>SUMIF($B41:$B$47,$B40,AP41:AP$47)</f>
        <v>0</v>
      </c>
      <c r="AQ40" s="1117" t="str">
        <f t="shared" si="121"/>
        <v/>
      </c>
      <c r="AR40" s="1117">
        <f t="shared" si="122"/>
        <v>0</v>
      </c>
      <c r="AS40" s="1120">
        <f t="shared" si="123"/>
        <v>0</v>
      </c>
      <c r="AT40" s="1117" t="str">
        <f t="shared" si="124"/>
        <v/>
      </c>
      <c r="AU40" s="1117">
        <f t="shared" si="125"/>
        <v>0</v>
      </c>
      <c r="AV40" s="1120">
        <f>SUMIF($B41:$B$47,$B40,AV41:AV$47)</f>
        <v>0</v>
      </c>
      <c r="AW40" s="1117" t="str">
        <f t="shared" si="126"/>
        <v/>
      </c>
      <c r="AX40" s="1117">
        <f t="shared" si="127"/>
        <v>0</v>
      </c>
      <c r="AY40" s="1120">
        <f>SUMIF($B41:$B$47,$B40,AY41:AY$47)</f>
        <v>0</v>
      </c>
      <c r="AZ40" s="1117" t="str">
        <f t="shared" si="128"/>
        <v/>
      </c>
      <c r="BA40" s="1117">
        <f t="shared" si="129"/>
        <v>0</v>
      </c>
      <c r="BB40" s="1120">
        <f>SUMIF($B41:$B$47,$B40,BB41:BB$47)</f>
        <v>0</v>
      </c>
      <c r="BC40" s="1117" t="str">
        <f t="shared" si="130"/>
        <v/>
      </c>
      <c r="BD40" s="1117">
        <f t="shared" si="131"/>
        <v>0</v>
      </c>
      <c r="BE40" s="1120">
        <f t="shared" si="132"/>
        <v>0</v>
      </c>
      <c r="BF40" s="1117" t="str">
        <f t="shared" si="133"/>
        <v/>
      </c>
      <c r="BG40" s="1117">
        <f t="shared" si="134"/>
        <v>0</v>
      </c>
      <c r="BH40" s="1120">
        <f t="shared" si="135"/>
        <v>0</v>
      </c>
      <c r="BI40" s="1117" t="str">
        <f t="shared" si="136"/>
        <v/>
      </c>
      <c r="BJ40" s="1117">
        <f t="shared" si="137"/>
        <v>0</v>
      </c>
      <c r="BK40" s="1120">
        <f t="shared" si="138"/>
        <v>0</v>
      </c>
      <c r="BL40" s="1117" t="str">
        <f t="shared" si="139"/>
        <v/>
      </c>
      <c r="BM40" s="1117">
        <f t="shared" si="140"/>
        <v>0</v>
      </c>
    </row>
    <row r="41" hidden="1" outlineLevel="1">
      <c r="A41" s="1086">
        <f t="shared" si="95"/>
        <v>5</v>
      </c>
      <c r="B41" s="1087" t="s">
        <v>2069</v>
      </c>
      <c r="C41" s="656" t="s">
        <v>638</v>
      </c>
      <c r="D41" s="1087" t="str">
        <f>IF(C41&gt;0,VLOOKUP(C41,DM_DUAN ,2,"") ,IF(B41&gt;0,VLOOKUP(B41,DM_CDT,2,""),""))</f>
        <v>Sản phẩm Phước Vinh</v>
      </c>
      <c r="E41" s="1087"/>
      <c r="F41" s="1087"/>
      <c r="G41" s="1086">
        <v>2.0</v>
      </c>
      <c r="H41" s="1088">
        <f t="shared" ref="H41:H43" si="153">SUMIF($C$4:$C$17,$C41,H$4:H$17)-SUMIF($C$19:$C$32,$C41,H$19:H$32)</f>
        <v>0</v>
      </c>
      <c r="I41" s="1091" t="str">
        <f t="shared" si="96"/>
        <v/>
      </c>
      <c r="J41" s="1091" t="str">
        <f t="shared" si="97"/>
        <v/>
      </c>
      <c r="K41" s="1088">
        <f t="shared" ref="K41:K43" si="154">SUMIF($C$4:$C$17,$C41,K$4:K$17)-SUMIF($C$19:$C$32,$C41,K$19:K$32)</f>
        <v>0</v>
      </c>
      <c r="L41" s="1091" t="str">
        <f t="shared" si="98"/>
        <v/>
      </c>
      <c r="M41" s="1091" t="str">
        <f t="shared" si="99"/>
        <v/>
      </c>
      <c r="N41" s="1088">
        <f t="shared" ref="N41:N43" si="155">SUMIF($C$4:$C$17,$C41,N$4:N$17)-SUMIF($C$19:$C$32,$C41,N$19:N$32)</f>
        <v>0</v>
      </c>
      <c r="O41" s="1091" t="str">
        <f t="shared" si="100"/>
        <v/>
      </c>
      <c r="P41" s="1091" t="str">
        <f t="shared" si="101"/>
        <v/>
      </c>
      <c r="Q41" s="1088">
        <f t="shared" si="102"/>
        <v>0</v>
      </c>
      <c r="R41" s="1091" t="str">
        <f t="shared" si="103"/>
        <v/>
      </c>
      <c r="S41" s="1091" t="str">
        <f t="shared" si="104"/>
        <v/>
      </c>
      <c r="T41" s="1088">
        <f t="shared" ref="T41:T43" si="156">SUMIF($C$4:$C$17,$C41,T$4:T$17)-SUMIF($C$19:$C$32,$C41,T$19:T$32)</f>
        <v>0</v>
      </c>
      <c r="U41" s="1091" t="str">
        <f t="shared" si="105"/>
        <v/>
      </c>
      <c r="V41" s="1091">
        <f t="shared" si="106"/>
        <v>0</v>
      </c>
      <c r="W41" s="1088">
        <f t="shared" ref="W41:W43" si="157">SUMIF($C$4:$C$17,$C41,W$4:W$17)-SUMIF($C$19:$C$32,$C41,W$19:W$32)</f>
        <v>0</v>
      </c>
      <c r="X41" s="1091" t="str">
        <f t="shared" si="107"/>
        <v/>
      </c>
      <c r="Y41" s="1091">
        <f t="shared" si="108"/>
        <v>0</v>
      </c>
      <c r="Z41" s="1088">
        <f t="shared" ref="Z41:Z43" si="158">SUMIF($C$4:$C$17,$C41,Z$4:Z$17)-SUMIF($C$19:$C$32,$C41,Z$19:Z$32)</f>
        <v>0</v>
      </c>
      <c r="AA41" s="1091" t="str">
        <f t="shared" si="109"/>
        <v/>
      </c>
      <c r="AB41" s="1091">
        <f t="shared" si="110"/>
        <v>0</v>
      </c>
      <c r="AC41" s="1088">
        <f t="shared" si="111"/>
        <v>0</v>
      </c>
      <c r="AD41" s="1091" t="str">
        <f t="shared" si="112"/>
        <v/>
      </c>
      <c r="AE41" s="1091">
        <f t="shared" si="113"/>
        <v>0</v>
      </c>
      <c r="AF41" s="1088">
        <f t="shared" si="114"/>
        <v>0</v>
      </c>
      <c r="AG41" s="1091" t="str">
        <f t="shared" si="115"/>
        <v/>
      </c>
      <c r="AH41" s="1091">
        <f t="shared" si="116"/>
        <v>0</v>
      </c>
      <c r="AI41" s="1088">
        <f t="shared" ref="AI41:AI43" si="159">SUMIF($C$4:$C$17,$C41,AI$4:AI$17)-SUMIF($C$19:$C$32,$C41,AI$19:AI$32)</f>
        <v>0</v>
      </c>
      <c r="AJ41" s="1091" t="str">
        <f t="shared" si="117"/>
        <v/>
      </c>
      <c r="AK41" s="1091">
        <f t="shared" si="118"/>
        <v>0</v>
      </c>
      <c r="AL41" s="1088">
        <f t="shared" ref="AL41:AL43" si="160">SUMIF($C$4:$C$17,$C41,AL$4:AL$17)-SUMIF($C$19:$C$32,$C41,AL$19:AL$32)</f>
        <v>0</v>
      </c>
      <c r="AM41" s="1091" t="str">
        <f t="shared" si="119"/>
        <v/>
      </c>
      <c r="AN41" s="1091">
        <f t="shared" si="120"/>
        <v>0</v>
      </c>
      <c r="AO41" s="1091" t="str">
        <f t="shared" si="27"/>
        <v/>
      </c>
      <c r="AP41" s="1088">
        <f t="shared" ref="AP41:AP43" si="161">SUMIF($C$4:$C$17,$C41,AP$4:AP$17)-SUMIF($C$19:$C$32,$C41,AP$19:AP$32)</f>
        <v>0</v>
      </c>
      <c r="AQ41" s="1091" t="str">
        <f t="shared" si="121"/>
        <v/>
      </c>
      <c r="AR41" s="1091">
        <f t="shared" si="122"/>
        <v>0</v>
      </c>
      <c r="AS41" s="1088">
        <f t="shared" si="123"/>
        <v>0</v>
      </c>
      <c r="AT41" s="1091" t="str">
        <f t="shared" si="124"/>
        <v/>
      </c>
      <c r="AU41" s="1091">
        <f t="shared" si="125"/>
        <v>0</v>
      </c>
      <c r="AV41" s="1088">
        <f t="shared" ref="AV41:AV43" si="162">SUMIF($C$4:$C$17,$C41,AV$4:AV$17)-SUMIF($C$19:$C$32,$C41,AV$19:AV$32)</f>
        <v>0</v>
      </c>
      <c r="AW41" s="1091" t="str">
        <f t="shared" si="126"/>
        <v/>
      </c>
      <c r="AX41" s="1091">
        <f t="shared" si="127"/>
        <v>0</v>
      </c>
      <c r="AY41" s="1088">
        <f t="shared" ref="AY41:AY43" si="163">SUMIF($C$4:$C$17,$C41,AY$4:AY$17)-SUMIF($C$19:$C$32,$C41,AY$19:AY$32)</f>
        <v>0</v>
      </c>
      <c r="AZ41" s="1091" t="str">
        <f t="shared" si="128"/>
        <v/>
      </c>
      <c r="BA41" s="1091">
        <f t="shared" si="129"/>
        <v>0</v>
      </c>
      <c r="BB41" s="1088">
        <f t="shared" ref="BB41:BB43" si="164">SUMIF($C$4:$C$17,$C41,BB$4:BB$17)-SUMIF($C$19:$C$32,$C41,BB$19:BB$32)</f>
        <v>0</v>
      </c>
      <c r="BC41" s="1091" t="str">
        <f t="shared" si="130"/>
        <v/>
      </c>
      <c r="BD41" s="1091">
        <f t="shared" si="131"/>
        <v>0</v>
      </c>
      <c r="BE41" s="1088">
        <f t="shared" si="132"/>
        <v>0</v>
      </c>
      <c r="BF41" s="1091" t="str">
        <f t="shared" si="133"/>
        <v/>
      </c>
      <c r="BG41" s="1091">
        <f t="shared" si="134"/>
        <v>0</v>
      </c>
      <c r="BH41" s="1088">
        <f t="shared" si="135"/>
        <v>0</v>
      </c>
      <c r="BI41" s="1091" t="str">
        <f t="shared" si="136"/>
        <v/>
      </c>
      <c r="BJ41" s="1091">
        <f t="shared" si="137"/>
        <v>0</v>
      </c>
      <c r="BK41" s="1088">
        <f t="shared" si="138"/>
        <v>0</v>
      </c>
      <c r="BL41" s="1091" t="str">
        <f t="shared" si="139"/>
        <v/>
      </c>
      <c r="BM41" s="1091">
        <f t="shared" si="140"/>
        <v>0</v>
      </c>
    </row>
    <row r="42" hidden="1" outlineLevel="1">
      <c r="A42" s="1086">
        <f t="shared" si="95"/>
        <v>6</v>
      </c>
      <c r="B42" s="1087" t="s">
        <v>2069</v>
      </c>
      <c r="C42" s="1087" t="s">
        <v>875</v>
      </c>
      <c r="D42" s="1087" t="str">
        <f>IF(C42&gt;0,VLOOKUP(C42,DM_DUAN ,2,"") ,IF(B42&gt;0,VLOOKUP(B42,DM_CDT,2,""),""))</f>
        <v>Sản phẩm Long Khánh 2</v>
      </c>
      <c r="E42" s="1087"/>
      <c r="F42" s="1087"/>
      <c r="G42" s="1086">
        <v>2.0</v>
      </c>
      <c r="H42" s="1088">
        <f t="shared" si="153"/>
        <v>0</v>
      </c>
      <c r="I42" s="1091" t="str">
        <f t="shared" si="96"/>
        <v/>
      </c>
      <c r="J42" s="1091" t="str">
        <f t="shared" si="97"/>
        <v/>
      </c>
      <c r="K42" s="1088">
        <f t="shared" si="154"/>
        <v>0</v>
      </c>
      <c r="L42" s="1091" t="str">
        <f t="shared" si="98"/>
        <v/>
      </c>
      <c r="M42" s="1091" t="str">
        <f t="shared" si="99"/>
        <v/>
      </c>
      <c r="N42" s="1088">
        <f t="shared" si="155"/>
        <v>0</v>
      </c>
      <c r="O42" s="1091" t="str">
        <f t="shared" si="100"/>
        <v/>
      </c>
      <c r="P42" s="1091" t="str">
        <f t="shared" si="101"/>
        <v/>
      </c>
      <c r="Q42" s="1088">
        <f t="shared" si="102"/>
        <v>0</v>
      </c>
      <c r="R42" s="1091" t="str">
        <f t="shared" si="103"/>
        <v/>
      </c>
      <c r="S42" s="1091" t="str">
        <f t="shared" si="104"/>
        <v/>
      </c>
      <c r="T42" s="1088">
        <f t="shared" si="156"/>
        <v>0</v>
      </c>
      <c r="U42" s="1091" t="str">
        <f t="shared" si="105"/>
        <v/>
      </c>
      <c r="V42" s="1091">
        <f t="shared" si="106"/>
        <v>0</v>
      </c>
      <c r="W42" s="1088">
        <f t="shared" si="157"/>
        <v>0</v>
      </c>
      <c r="X42" s="1091" t="str">
        <f t="shared" si="107"/>
        <v/>
      </c>
      <c r="Y42" s="1091">
        <f t="shared" si="108"/>
        <v>0</v>
      </c>
      <c r="Z42" s="1088">
        <f t="shared" si="158"/>
        <v>0</v>
      </c>
      <c r="AA42" s="1091" t="str">
        <f t="shared" si="109"/>
        <v/>
      </c>
      <c r="AB42" s="1091">
        <f t="shared" si="110"/>
        <v>0</v>
      </c>
      <c r="AC42" s="1088">
        <f t="shared" si="111"/>
        <v>0</v>
      </c>
      <c r="AD42" s="1091" t="str">
        <f t="shared" si="112"/>
        <v/>
      </c>
      <c r="AE42" s="1091">
        <f t="shared" si="113"/>
        <v>0</v>
      </c>
      <c r="AF42" s="1088">
        <f t="shared" si="114"/>
        <v>0</v>
      </c>
      <c r="AG42" s="1091" t="str">
        <f t="shared" si="115"/>
        <v/>
      </c>
      <c r="AH42" s="1091">
        <f t="shared" si="116"/>
        <v>0</v>
      </c>
      <c r="AI42" s="1088">
        <f t="shared" si="159"/>
        <v>0</v>
      </c>
      <c r="AJ42" s="1091" t="str">
        <f t="shared" si="117"/>
        <v/>
      </c>
      <c r="AK42" s="1091">
        <f t="shared" si="118"/>
        <v>0</v>
      </c>
      <c r="AL42" s="1088">
        <f t="shared" si="160"/>
        <v>0</v>
      </c>
      <c r="AM42" s="1091" t="str">
        <f t="shared" si="119"/>
        <v/>
      </c>
      <c r="AN42" s="1091">
        <f t="shared" si="120"/>
        <v>0</v>
      </c>
      <c r="AO42" s="1091" t="str">
        <f t="shared" si="27"/>
        <v/>
      </c>
      <c r="AP42" s="1088">
        <f t="shared" si="161"/>
        <v>0</v>
      </c>
      <c r="AQ42" s="1091" t="str">
        <f t="shared" si="121"/>
        <v/>
      </c>
      <c r="AR42" s="1091">
        <f t="shared" si="122"/>
        <v>0</v>
      </c>
      <c r="AS42" s="1088">
        <f t="shared" si="123"/>
        <v>0</v>
      </c>
      <c r="AT42" s="1091" t="str">
        <f t="shared" si="124"/>
        <v/>
      </c>
      <c r="AU42" s="1091">
        <f t="shared" si="125"/>
        <v>0</v>
      </c>
      <c r="AV42" s="1088">
        <f t="shared" si="162"/>
        <v>0</v>
      </c>
      <c r="AW42" s="1091" t="str">
        <f t="shared" si="126"/>
        <v/>
      </c>
      <c r="AX42" s="1091">
        <f t="shared" si="127"/>
        <v>0</v>
      </c>
      <c r="AY42" s="1088">
        <f t="shared" si="163"/>
        <v>0</v>
      </c>
      <c r="AZ42" s="1091" t="str">
        <f t="shared" si="128"/>
        <v/>
      </c>
      <c r="BA42" s="1091">
        <f t="shared" si="129"/>
        <v>0</v>
      </c>
      <c r="BB42" s="1088">
        <f t="shared" si="164"/>
        <v>0</v>
      </c>
      <c r="BC42" s="1091" t="str">
        <f t="shared" si="130"/>
        <v/>
      </c>
      <c r="BD42" s="1091">
        <f t="shared" si="131"/>
        <v>0</v>
      </c>
      <c r="BE42" s="1088">
        <f t="shared" si="132"/>
        <v>0</v>
      </c>
      <c r="BF42" s="1091" t="str">
        <f t="shared" si="133"/>
        <v/>
      </c>
      <c r="BG42" s="1091">
        <f t="shared" si="134"/>
        <v>0</v>
      </c>
      <c r="BH42" s="1088">
        <f t="shared" si="135"/>
        <v>0</v>
      </c>
      <c r="BI42" s="1091" t="str">
        <f t="shared" si="136"/>
        <v/>
      </c>
      <c r="BJ42" s="1091">
        <f t="shared" si="137"/>
        <v>0</v>
      </c>
      <c r="BK42" s="1088">
        <f t="shared" si="138"/>
        <v>0</v>
      </c>
      <c r="BL42" s="1091" t="str">
        <f t="shared" si="139"/>
        <v/>
      </c>
      <c r="BM42" s="1091">
        <f t="shared" si="140"/>
        <v>0</v>
      </c>
    </row>
    <row r="43" hidden="1" outlineLevel="1">
      <c r="A43" s="1086">
        <f t="shared" si="95"/>
        <v>7</v>
      </c>
      <c r="B43" s="1087" t="s">
        <v>2069</v>
      </c>
      <c r="C43" s="1087" t="s">
        <v>636</v>
      </c>
      <c r="D43" s="1087" t="str">
        <f>IF(C43&gt;0,VLOOKUP(C43,DM_DUAN ,2,"") ,IF(B43&gt;0,VLOOKUP(B43,DM_CDT,2,""),""))</f>
        <v>Sản phẩm Long Khánh 3</v>
      </c>
      <c r="E43" s="1087"/>
      <c r="F43" s="1087"/>
      <c r="G43" s="1086">
        <v>2.0</v>
      </c>
      <c r="H43" s="1088">
        <f t="shared" si="153"/>
        <v>0</v>
      </c>
      <c r="I43" s="1091" t="str">
        <f t="shared" si="96"/>
        <v/>
      </c>
      <c r="J43" s="1091" t="str">
        <f t="shared" si="97"/>
        <v/>
      </c>
      <c r="K43" s="1088">
        <f t="shared" si="154"/>
        <v>0</v>
      </c>
      <c r="L43" s="1091" t="str">
        <f t="shared" si="98"/>
        <v/>
      </c>
      <c r="M43" s="1091" t="str">
        <f t="shared" si="99"/>
        <v/>
      </c>
      <c r="N43" s="1088">
        <f t="shared" si="155"/>
        <v>0</v>
      </c>
      <c r="O43" s="1091" t="str">
        <f t="shared" si="100"/>
        <v/>
      </c>
      <c r="P43" s="1091" t="str">
        <f t="shared" si="101"/>
        <v/>
      </c>
      <c r="Q43" s="1088">
        <f t="shared" si="102"/>
        <v>0</v>
      </c>
      <c r="R43" s="1091" t="str">
        <f t="shared" si="103"/>
        <v/>
      </c>
      <c r="S43" s="1091" t="str">
        <f t="shared" si="104"/>
        <v/>
      </c>
      <c r="T43" s="1088">
        <f t="shared" si="156"/>
        <v>0</v>
      </c>
      <c r="U43" s="1091" t="str">
        <f t="shared" si="105"/>
        <v/>
      </c>
      <c r="V43" s="1091">
        <f t="shared" si="106"/>
        <v>0</v>
      </c>
      <c r="W43" s="1088">
        <f t="shared" si="157"/>
        <v>0</v>
      </c>
      <c r="X43" s="1091" t="str">
        <f t="shared" si="107"/>
        <v/>
      </c>
      <c r="Y43" s="1091">
        <f t="shared" si="108"/>
        <v>0</v>
      </c>
      <c r="Z43" s="1088">
        <f t="shared" si="158"/>
        <v>0</v>
      </c>
      <c r="AA43" s="1091" t="str">
        <f t="shared" si="109"/>
        <v/>
      </c>
      <c r="AB43" s="1091">
        <f t="shared" si="110"/>
        <v>0</v>
      </c>
      <c r="AC43" s="1088">
        <f t="shared" si="111"/>
        <v>0</v>
      </c>
      <c r="AD43" s="1091" t="str">
        <f t="shared" si="112"/>
        <v/>
      </c>
      <c r="AE43" s="1091">
        <f t="shared" si="113"/>
        <v>0</v>
      </c>
      <c r="AF43" s="1088">
        <f t="shared" si="114"/>
        <v>0</v>
      </c>
      <c r="AG43" s="1091" t="str">
        <f t="shared" si="115"/>
        <v/>
      </c>
      <c r="AH43" s="1091">
        <f t="shared" si="116"/>
        <v>0</v>
      </c>
      <c r="AI43" s="1088">
        <f t="shared" si="159"/>
        <v>0</v>
      </c>
      <c r="AJ43" s="1091" t="str">
        <f t="shared" si="117"/>
        <v/>
      </c>
      <c r="AK43" s="1091">
        <f t="shared" si="118"/>
        <v>0</v>
      </c>
      <c r="AL43" s="1088">
        <f t="shared" si="160"/>
        <v>0</v>
      </c>
      <c r="AM43" s="1091" t="str">
        <f t="shared" si="119"/>
        <v/>
      </c>
      <c r="AN43" s="1091">
        <f t="shared" si="120"/>
        <v>0</v>
      </c>
      <c r="AO43" s="1091" t="str">
        <f t="shared" si="27"/>
        <v/>
      </c>
      <c r="AP43" s="1088">
        <f t="shared" si="161"/>
        <v>0</v>
      </c>
      <c r="AQ43" s="1091" t="str">
        <f t="shared" si="121"/>
        <v/>
      </c>
      <c r="AR43" s="1091">
        <f t="shared" si="122"/>
        <v>0</v>
      </c>
      <c r="AS43" s="1088">
        <f t="shared" si="123"/>
        <v>0</v>
      </c>
      <c r="AT43" s="1091" t="str">
        <f t="shared" si="124"/>
        <v/>
      </c>
      <c r="AU43" s="1091">
        <f t="shared" si="125"/>
        <v>0</v>
      </c>
      <c r="AV43" s="1088">
        <f t="shared" si="162"/>
        <v>0</v>
      </c>
      <c r="AW43" s="1091" t="str">
        <f t="shared" si="126"/>
        <v/>
      </c>
      <c r="AX43" s="1091">
        <f t="shared" si="127"/>
        <v>0</v>
      </c>
      <c r="AY43" s="1088">
        <f t="shared" si="163"/>
        <v>0</v>
      </c>
      <c r="AZ43" s="1091" t="str">
        <f t="shared" si="128"/>
        <v/>
      </c>
      <c r="BA43" s="1091">
        <f t="shared" si="129"/>
        <v>0</v>
      </c>
      <c r="BB43" s="1088">
        <f t="shared" si="164"/>
        <v>0</v>
      </c>
      <c r="BC43" s="1091" t="str">
        <f t="shared" si="130"/>
        <v/>
      </c>
      <c r="BD43" s="1091">
        <f t="shared" si="131"/>
        <v>0</v>
      </c>
      <c r="BE43" s="1088">
        <f t="shared" si="132"/>
        <v>0</v>
      </c>
      <c r="BF43" s="1091" t="str">
        <f t="shared" si="133"/>
        <v/>
      </c>
      <c r="BG43" s="1091">
        <f t="shared" si="134"/>
        <v>0</v>
      </c>
      <c r="BH43" s="1088">
        <f t="shared" si="135"/>
        <v>0</v>
      </c>
      <c r="BI43" s="1091" t="str">
        <f t="shared" si="136"/>
        <v/>
      </c>
      <c r="BJ43" s="1091">
        <f t="shared" si="137"/>
        <v>0</v>
      </c>
      <c r="BK43" s="1088">
        <f t="shared" si="138"/>
        <v>0</v>
      </c>
      <c r="BL43" s="1091" t="str">
        <f t="shared" si="139"/>
        <v/>
      </c>
      <c r="BM43" s="1091">
        <f t="shared" si="140"/>
        <v>0</v>
      </c>
    </row>
    <row r="44" collapsed="1">
      <c r="A44" s="1113" t="str">
        <f t="shared" si="95"/>
        <v/>
      </c>
      <c r="B44" s="1114" t="s">
        <v>2821</v>
      </c>
      <c r="C44" s="1114"/>
      <c r="D44" s="1114" t="str">
        <f>IF(C44&gt;0,VLOOKUP(C44,DM_DUAN ,2,"") ,IF(B44&gt;0,VLOOKUP(B44,DM_CDT,2,""),""))</f>
        <v>CLOUD LAND</v>
      </c>
      <c r="E44" s="1115"/>
      <c r="F44" s="1115"/>
      <c r="G44" s="1116">
        <v>1.0</v>
      </c>
      <c r="H44" s="1120">
        <f>SUMIF($B45:$B$47,$B44,H45:H$47)</f>
        <v>0</v>
      </c>
      <c r="I44" s="1117" t="str">
        <f t="shared" si="96"/>
        <v/>
      </c>
      <c r="J44" s="1117" t="str">
        <f t="shared" si="97"/>
        <v/>
      </c>
      <c r="K44" s="1120">
        <f>SUMIF($B45:$B$47,$B44,K45:K$47)</f>
        <v>0</v>
      </c>
      <c r="L44" s="1117" t="str">
        <f t="shared" si="98"/>
        <v/>
      </c>
      <c r="M44" s="1117" t="str">
        <f t="shared" si="99"/>
        <v/>
      </c>
      <c r="N44" s="1120">
        <f>SUMIF($B45:$B$47,$B44,N45:N$47)</f>
        <v>0</v>
      </c>
      <c r="O44" s="1117" t="str">
        <f t="shared" si="100"/>
        <v/>
      </c>
      <c r="P44" s="1117" t="str">
        <f t="shared" si="101"/>
        <v/>
      </c>
      <c r="Q44" s="1120">
        <f t="shared" si="102"/>
        <v>0</v>
      </c>
      <c r="R44" s="1117" t="str">
        <f t="shared" si="103"/>
        <v/>
      </c>
      <c r="S44" s="1117" t="str">
        <f t="shared" si="104"/>
        <v/>
      </c>
      <c r="T44" s="1120">
        <f>SUMIF($B45:$B$47,$B44,T45:T$47)</f>
        <v>0</v>
      </c>
      <c r="U44" s="1117" t="str">
        <f t="shared" si="105"/>
        <v/>
      </c>
      <c r="V44" s="1117">
        <f t="shared" si="106"/>
        <v>0</v>
      </c>
      <c r="W44" s="1120">
        <f>SUMIF($B45:$B$47,$B44,W45:W$47)</f>
        <v>0</v>
      </c>
      <c r="X44" s="1117" t="str">
        <f t="shared" si="107"/>
        <v/>
      </c>
      <c r="Y44" s="1117">
        <f t="shared" si="108"/>
        <v>0</v>
      </c>
      <c r="Z44" s="1120">
        <f>SUMIF($B45:$B$47,$B44,Z45:Z$47)</f>
        <v>0</v>
      </c>
      <c r="AA44" s="1117" t="str">
        <f t="shared" si="109"/>
        <v/>
      </c>
      <c r="AB44" s="1117">
        <f t="shared" si="110"/>
        <v>0</v>
      </c>
      <c r="AC44" s="1120">
        <f t="shared" si="111"/>
        <v>0</v>
      </c>
      <c r="AD44" s="1117" t="str">
        <f t="shared" si="112"/>
        <v/>
      </c>
      <c r="AE44" s="1117">
        <f t="shared" si="113"/>
        <v>0</v>
      </c>
      <c r="AF44" s="1120">
        <f t="shared" si="114"/>
        <v>0</v>
      </c>
      <c r="AG44" s="1117" t="str">
        <f t="shared" si="115"/>
        <v/>
      </c>
      <c r="AH44" s="1117">
        <f t="shared" si="116"/>
        <v>0</v>
      </c>
      <c r="AI44" s="1120">
        <f>SUMIF($B45:$B$47,$B44,AI45:AI$47)</f>
        <v>0</v>
      </c>
      <c r="AJ44" s="1117" t="str">
        <f t="shared" si="117"/>
        <v/>
      </c>
      <c r="AK44" s="1117">
        <f t="shared" si="118"/>
        <v>0</v>
      </c>
      <c r="AL44" s="1120">
        <f>SUMIF($B45:$B$47,$B44,AL45:AL$47)</f>
        <v>0</v>
      </c>
      <c r="AM44" s="1117" t="str">
        <f t="shared" si="119"/>
        <v/>
      </c>
      <c r="AN44" s="1117">
        <f t="shared" si="120"/>
        <v>0</v>
      </c>
      <c r="AO44" s="1117" t="str">
        <f t="shared" si="27"/>
        <v/>
      </c>
      <c r="AP44" s="1120">
        <f>SUMIF($B45:$B$47,$B44,AP45:AP$47)</f>
        <v>0</v>
      </c>
      <c r="AQ44" s="1117" t="str">
        <f t="shared" si="121"/>
        <v/>
      </c>
      <c r="AR44" s="1117">
        <f t="shared" si="122"/>
        <v>0</v>
      </c>
      <c r="AS44" s="1120">
        <f t="shared" si="123"/>
        <v>0</v>
      </c>
      <c r="AT44" s="1117" t="str">
        <f t="shared" si="124"/>
        <v/>
      </c>
      <c r="AU44" s="1117">
        <f t="shared" si="125"/>
        <v>0</v>
      </c>
      <c r="AV44" s="1120">
        <f>SUMIF($B45:$B$47,$B44,AV45:AV$47)</f>
        <v>0</v>
      </c>
      <c r="AW44" s="1117" t="str">
        <f t="shared" si="126"/>
        <v/>
      </c>
      <c r="AX44" s="1117">
        <f t="shared" si="127"/>
        <v>0</v>
      </c>
      <c r="AY44" s="1120">
        <f>SUMIF($B45:$B$47,$B44,AY45:AY$47)</f>
        <v>0</v>
      </c>
      <c r="AZ44" s="1117" t="str">
        <f t="shared" si="128"/>
        <v/>
      </c>
      <c r="BA44" s="1117">
        <f t="shared" si="129"/>
        <v>0</v>
      </c>
      <c r="BB44" s="1120">
        <f>SUMIF($B45:$B$47,$B44,BB45:BB$47)</f>
        <v>0</v>
      </c>
      <c r="BC44" s="1117" t="str">
        <f t="shared" si="130"/>
        <v/>
      </c>
      <c r="BD44" s="1117">
        <f t="shared" si="131"/>
        <v>0</v>
      </c>
      <c r="BE44" s="1120">
        <f t="shared" si="132"/>
        <v>0</v>
      </c>
      <c r="BF44" s="1117" t="str">
        <f t="shared" si="133"/>
        <v/>
      </c>
      <c r="BG44" s="1117">
        <f t="shared" si="134"/>
        <v>0</v>
      </c>
      <c r="BH44" s="1120">
        <f t="shared" si="135"/>
        <v>0</v>
      </c>
      <c r="BI44" s="1117" t="str">
        <f t="shared" si="136"/>
        <v/>
      </c>
      <c r="BJ44" s="1117">
        <f t="shared" si="137"/>
        <v>0</v>
      </c>
      <c r="BK44" s="1120">
        <f t="shared" si="138"/>
        <v>0</v>
      </c>
      <c r="BL44" s="1117" t="str">
        <f t="shared" si="139"/>
        <v/>
      </c>
      <c r="BM44" s="1117">
        <f t="shared" si="140"/>
        <v>0</v>
      </c>
    </row>
    <row r="45" hidden="1" outlineLevel="1">
      <c r="A45" s="1086">
        <f t="shared" si="95"/>
        <v>8</v>
      </c>
      <c r="B45" s="1087" t="s">
        <v>2821</v>
      </c>
      <c r="C45" s="1087" t="s">
        <v>956</v>
      </c>
      <c r="D45" s="1087" t="str">
        <f>IF(C45&gt;0,VLOOKUP(C45,DM_DUAN ,2,"") ,IF(B45&gt;0,VLOOKUP(B45,DM_CDT,2,""),""))</f>
        <v>KDC Lộc Ngãi</v>
      </c>
      <c r="E45" s="1087"/>
      <c r="F45" s="1087"/>
      <c r="G45" s="1086">
        <v>2.0</v>
      </c>
      <c r="H45" s="1088">
        <f t="shared" ref="H45:H47" si="165">SUMIF($C$4:$C$17,$C45,H$4:H$17)-SUMIF($C$19:$C$32,$C45,H$19:H$32)</f>
        <v>0</v>
      </c>
      <c r="I45" s="1091" t="str">
        <f t="shared" si="96"/>
        <v/>
      </c>
      <c r="J45" s="1091" t="str">
        <f t="shared" si="97"/>
        <v/>
      </c>
      <c r="K45" s="1088">
        <f t="shared" ref="K45:K47" si="166">SUMIF($C$4:$C$17,$C45,K$4:K$17)-SUMIF($C$19:$C$32,$C45,K$19:K$32)</f>
        <v>0</v>
      </c>
      <c r="L45" s="1091" t="str">
        <f t="shared" si="98"/>
        <v/>
      </c>
      <c r="M45" s="1091" t="str">
        <f t="shared" si="99"/>
        <v/>
      </c>
      <c r="N45" s="1088">
        <f t="shared" ref="N45:N47" si="167">SUMIF($C$4:$C$17,$C45,N$4:N$17)-SUMIF($C$19:$C$32,$C45,N$19:N$32)</f>
        <v>0</v>
      </c>
      <c r="O45" s="1091" t="str">
        <f t="shared" si="100"/>
        <v/>
      </c>
      <c r="P45" s="1091" t="str">
        <f t="shared" si="101"/>
        <v/>
      </c>
      <c r="Q45" s="1088">
        <f t="shared" si="102"/>
        <v>0</v>
      </c>
      <c r="R45" s="1091" t="str">
        <f t="shared" si="103"/>
        <v/>
      </c>
      <c r="S45" s="1091" t="str">
        <f t="shared" si="104"/>
        <v/>
      </c>
      <c r="T45" s="1088">
        <f t="shared" ref="T45:T47" si="168">SUMIF($C$4:$C$17,$C45,T$4:T$17)-SUMIF($C$19:$C$32,$C45,T$19:T$32)</f>
        <v>0</v>
      </c>
      <c r="U45" s="1091" t="str">
        <f t="shared" si="105"/>
        <v/>
      </c>
      <c r="V45" s="1091">
        <f t="shared" si="106"/>
        <v>0</v>
      </c>
      <c r="W45" s="1088">
        <f t="shared" ref="W45:W47" si="169">SUMIF($C$4:$C$17,$C45,W$4:W$17)-SUMIF($C$19:$C$32,$C45,W$19:W$32)</f>
        <v>0</v>
      </c>
      <c r="X45" s="1091" t="str">
        <f t="shared" si="107"/>
        <v/>
      </c>
      <c r="Y45" s="1091">
        <f t="shared" si="108"/>
        <v>0</v>
      </c>
      <c r="Z45" s="1088">
        <f t="shared" ref="Z45:Z47" si="170">SUMIF($C$4:$C$17,$C45,Z$4:Z$17)-SUMIF($C$19:$C$32,$C45,Z$19:Z$32)</f>
        <v>0</v>
      </c>
      <c r="AA45" s="1091" t="str">
        <f t="shared" si="109"/>
        <v/>
      </c>
      <c r="AB45" s="1091">
        <f t="shared" si="110"/>
        <v>0</v>
      </c>
      <c r="AC45" s="1088">
        <f t="shared" si="111"/>
        <v>0</v>
      </c>
      <c r="AD45" s="1091" t="str">
        <f t="shared" si="112"/>
        <v/>
      </c>
      <c r="AE45" s="1091">
        <f t="shared" si="113"/>
        <v>0</v>
      </c>
      <c r="AF45" s="1088">
        <f t="shared" si="114"/>
        <v>0</v>
      </c>
      <c r="AG45" s="1091" t="str">
        <f t="shared" si="115"/>
        <v/>
      </c>
      <c r="AH45" s="1091">
        <f t="shared" si="116"/>
        <v>0</v>
      </c>
      <c r="AI45" s="1088">
        <f t="shared" ref="AI45:AI47" si="171">SUMIF($C$4:$C$17,$C45,AI$4:AI$17)-SUMIF($C$19:$C$32,$C45,AI$19:AI$32)</f>
        <v>0</v>
      </c>
      <c r="AJ45" s="1091" t="str">
        <f t="shared" si="117"/>
        <v/>
      </c>
      <c r="AK45" s="1091">
        <f t="shared" si="118"/>
        <v>0</v>
      </c>
      <c r="AL45" s="1088">
        <f t="shared" ref="AL45:AL47" si="172">SUMIF($C$4:$C$17,$C45,AL$4:AL$17)-SUMIF($C$19:$C$32,$C45,AL$19:AL$32)</f>
        <v>0</v>
      </c>
      <c r="AM45" s="1091" t="str">
        <f t="shared" si="119"/>
        <v/>
      </c>
      <c r="AN45" s="1091">
        <f t="shared" si="120"/>
        <v>0</v>
      </c>
      <c r="AO45" s="1091" t="str">
        <f t="shared" si="27"/>
        <v/>
      </c>
      <c r="AP45" s="1088">
        <f t="shared" ref="AP45:AP47" si="173">SUMIF($C$4:$C$17,$C45,AP$4:AP$17)-SUMIF($C$19:$C$32,$C45,AP$19:AP$32)</f>
        <v>0</v>
      </c>
      <c r="AQ45" s="1091" t="str">
        <f t="shared" si="121"/>
        <v/>
      </c>
      <c r="AR45" s="1091">
        <f t="shared" si="122"/>
        <v>0</v>
      </c>
      <c r="AS45" s="1088">
        <f t="shared" si="123"/>
        <v>0</v>
      </c>
      <c r="AT45" s="1091" t="str">
        <f t="shared" si="124"/>
        <v/>
      </c>
      <c r="AU45" s="1091">
        <f t="shared" si="125"/>
        <v>0</v>
      </c>
      <c r="AV45" s="1088">
        <f t="shared" ref="AV45:AV47" si="174">SUMIF($C$4:$C$17,$C45,AV$4:AV$17)-SUMIF($C$19:$C$32,$C45,AV$19:AV$32)</f>
        <v>0</v>
      </c>
      <c r="AW45" s="1091" t="str">
        <f t="shared" si="126"/>
        <v/>
      </c>
      <c r="AX45" s="1091">
        <f t="shared" si="127"/>
        <v>0</v>
      </c>
      <c r="AY45" s="1088">
        <f t="shared" ref="AY45:AY47" si="175">SUMIF($C$4:$C$17,$C45,AY$4:AY$17)-SUMIF($C$19:$C$32,$C45,AY$19:AY$32)</f>
        <v>0</v>
      </c>
      <c r="AZ45" s="1091" t="str">
        <f t="shared" si="128"/>
        <v/>
      </c>
      <c r="BA45" s="1091">
        <f t="shared" si="129"/>
        <v>0</v>
      </c>
      <c r="BB45" s="1088">
        <f t="shared" ref="BB45:BB47" si="176">SUMIF($C$4:$C$17,$C45,BB$4:BB$17)-SUMIF($C$19:$C$32,$C45,BB$19:BB$32)</f>
        <v>0</v>
      </c>
      <c r="BC45" s="1091" t="str">
        <f t="shared" si="130"/>
        <v/>
      </c>
      <c r="BD45" s="1091">
        <f t="shared" si="131"/>
        <v>0</v>
      </c>
      <c r="BE45" s="1088">
        <f t="shared" si="132"/>
        <v>0</v>
      </c>
      <c r="BF45" s="1091" t="str">
        <f t="shared" si="133"/>
        <v/>
      </c>
      <c r="BG45" s="1091">
        <f t="shared" si="134"/>
        <v>0</v>
      </c>
      <c r="BH45" s="1088">
        <f t="shared" si="135"/>
        <v>0</v>
      </c>
      <c r="BI45" s="1091" t="str">
        <f t="shared" si="136"/>
        <v/>
      </c>
      <c r="BJ45" s="1091">
        <f t="shared" si="137"/>
        <v>0</v>
      </c>
      <c r="BK45" s="1088">
        <f t="shared" si="138"/>
        <v>0</v>
      </c>
      <c r="BL45" s="1091" t="str">
        <f t="shared" si="139"/>
        <v/>
      </c>
      <c r="BM45" s="1091">
        <f t="shared" si="140"/>
        <v>0</v>
      </c>
    </row>
    <row r="46" hidden="1" outlineLevel="1">
      <c r="A46" s="1086">
        <f t="shared" si="95"/>
        <v>9</v>
      </c>
      <c r="B46" s="1087" t="s">
        <v>2821</v>
      </c>
      <c r="C46" s="1099" t="s">
        <v>1304</v>
      </c>
      <c r="D46" s="1087" t="str">
        <f>IF(C46&gt;0,VLOOKUP(C46,DM_DUAN ,2,"") ,IF(B46&gt;0,VLOOKUP(B46,DM_CDT,2,""),""))</f>
        <v>KDC Kim Thịnh Phú</v>
      </c>
      <c r="E46" s="1087"/>
      <c r="F46" s="1087"/>
      <c r="G46" s="1086">
        <v>2.0</v>
      </c>
      <c r="H46" s="1088">
        <f t="shared" si="165"/>
        <v>0</v>
      </c>
      <c r="I46" s="1091" t="str">
        <f t="shared" si="96"/>
        <v/>
      </c>
      <c r="J46" s="1091" t="str">
        <f t="shared" si="97"/>
        <v/>
      </c>
      <c r="K46" s="1088">
        <f t="shared" si="166"/>
        <v>0</v>
      </c>
      <c r="L46" s="1091" t="str">
        <f t="shared" si="98"/>
        <v/>
      </c>
      <c r="M46" s="1091" t="str">
        <f t="shared" si="99"/>
        <v/>
      </c>
      <c r="N46" s="1088">
        <f t="shared" si="167"/>
        <v>0</v>
      </c>
      <c r="O46" s="1091" t="str">
        <f t="shared" si="100"/>
        <v/>
      </c>
      <c r="P46" s="1091" t="str">
        <f t="shared" si="101"/>
        <v/>
      </c>
      <c r="Q46" s="1088">
        <f t="shared" si="102"/>
        <v>0</v>
      </c>
      <c r="R46" s="1091" t="str">
        <f t="shared" si="103"/>
        <v/>
      </c>
      <c r="S46" s="1091" t="str">
        <f t="shared" si="104"/>
        <v/>
      </c>
      <c r="T46" s="1088">
        <f t="shared" si="168"/>
        <v>0</v>
      </c>
      <c r="U46" s="1091" t="str">
        <f t="shared" si="105"/>
        <v/>
      </c>
      <c r="V46" s="1091">
        <f t="shared" si="106"/>
        <v>0</v>
      </c>
      <c r="W46" s="1088">
        <f t="shared" si="169"/>
        <v>0</v>
      </c>
      <c r="X46" s="1091" t="str">
        <f t="shared" si="107"/>
        <v/>
      </c>
      <c r="Y46" s="1091">
        <f t="shared" si="108"/>
        <v>0</v>
      </c>
      <c r="Z46" s="1088">
        <f t="shared" si="170"/>
        <v>0</v>
      </c>
      <c r="AA46" s="1091" t="str">
        <f t="shared" si="109"/>
        <v/>
      </c>
      <c r="AB46" s="1091">
        <f t="shared" si="110"/>
        <v>0</v>
      </c>
      <c r="AC46" s="1088">
        <f t="shared" si="111"/>
        <v>0</v>
      </c>
      <c r="AD46" s="1091" t="str">
        <f t="shared" si="112"/>
        <v/>
      </c>
      <c r="AE46" s="1091">
        <f t="shared" si="113"/>
        <v>0</v>
      </c>
      <c r="AF46" s="1088">
        <f t="shared" si="114"/>
        <v>0</v>
      </c>
      <c r="AG46" s="1091" t="str">
        <f t="shared" si="115"/>
        <v/>
      </c>
      <c r="AH46" s="1091">
        <f t="shared" si="116"/>
        <v>0</v>
      </c>
      <c r="AI46" s="1088">
        <f t="shared" si="171"/>
        <v>0</v>
      </c>
      <c r="AJ46" s="1091" t="str">
        <f t="shared" si="117"/>
        <v/>
      </c>
      <c r="AK46" s="1091">
        <f t="shared" si="118"/>
        <v>0</v>
      </c>
      <c r="AL46" s="1088">
        <f t="shared" si="172"/>
        <v>0</v>
      </c>
      <c r="AM46" s="1091" t="str">
        <f t="shared" si="119"/>
        <v/>
      </c>
      <c r="AN46" s="1091">
        <f t="shared" si="120"/>
        <v>0</v>
      </c>
      <c r="AO46" s="1091" t="str">
        <f t="shared" si="27"/>
        <v/>
      </c>
      <c r="AP46" s="1088">
        <f t="shared" si="173"/>
        <v>0</v>
      </c>
      <c r="AQ46" s="1091" t="str">
        <f t="shared" si="121"/>
        <v/>
      </c>
      <c r="AR46" s="1091">
        <f t="shared" si="122"/>
        <v>0</v>
      </c>
      <c r="AS46" s="1088">
        <f t="shared" si="123"/>
        <v>0</v>
      </c>
      <c r="AT46" s="1091" t="str">
        <f t="shared" si="124"/>
        <v/>
      </c>
      <c r="AU46" s="1091">
        <f t="shared" si="125"/>
        <v>0</v>
      </c>
      <c r="AV46" s="1088">
        <f t="shared" si="174"/>
        <v>0</v>
      </c>
      <c r="AW46" s="1091" t="str">
        <f t="shared" si="126"/>
        <v/>
      </c>
      <c r="AX46" s="1091">
        <f t="shared" si="127"/>
        <v>0</v>
      </c>
      <c r="AY46" s="1088">
        <f t="shared" si="175"/>
        <v>0</v>
      </c>
      <c r="AZ46" s="1091" t="str">
        <f t="shared" si="128"/>
        <v/>
      </c>
      <c r="BA46" s="1091">
        <f t="shared" si="129"/>
        <v>0</v>
      </c>
      <c r="BB46" s="1088">
        <f t="shared" si="176"/>
        <v>0</v>
      </c>
      <c r="BC46" s="1091" t="str">
        <f t="shared" si="130"/>
        <v/>
      </c>
      <c r="BD46" s="1091">
        <f t="shared" si="131"/>
        <v>0</v>
      </c>
      <c r="BE46" s="1088">
        <f t="shared" si="132"/>
        <v>0</v>
      </c>
      <c r="BF46" s="1091" t="str">
        <f t="shared" si="133"/>
        <v/>
      </c>
      <c r="BG46" s="1091">
        <f t="shared" si="134"/>
        <v>0</v>
      </c>
      <c r="BH46" s="1088">
        <f t="shared" si="135"/>
        <v>0</v>
      </c>
      <c r="BI46" s="1091" t="str">
        <f t="shared" si="136"/>
        <v/>
      </c>
      <c r="BJ46" s="1091">
        <f t="shared" si="137"/>
        <v>0</v>
      </c>
      <c r="BK46" s="1088">
        <f t="shared" si="138"/>
        <v>0</v>
      </c>
      <c r="BL46" s="1091" t="str">
        <f t="shared" si="139"/>
        <v/>
      </c>
      <c r="BM46" s="1091">
        <f t="shared" si="140"/>
        <v>0</v>
      </c>
    </row>
    <row r="47" hidden="1" outlineLevel="1">
      <c r="A47" s="1086" t="str">
        <f t="shared" si="95"/>
        <v/>
      </c>
      <c r="B47" s="1087"/>
      <c r="C47" s="656"/>
      <c r="D47" s="1087" t="str">
        <f>IF(C47="","",VLOOKUP(C47,DM_DUAN,2,0))</f>
        <v/>
      </c>
      <c r="E47" s="1087"/>
      <c r="F47" s="1087"/>
      <c r="G47" s="1086">
        <v>2.0</v>
      </c>
      <c r="H47" s="1088">
        <f t="shared" si="165"/>
        <v>0</v>
      </c>
      <c r="I47" s="1091" t="str">
        <f t="shared" si="96"/>
        <v/>
      </c>
      <c r="J47" s="1091" t="str">
        <f t="shared" si="97"/>
        <v/>
      </c>
      <c r="K47" s="1088">
        <f t="shared" si="166"/>
        <v>0</v>
      </c>
      <c r="L47" s="1091" t="str">
        <f t="shared" si="98"/>
        <v/>
      </c>
      <c r="M47" s="1091" t="str">
        <f t="shared" si="99"/>
        <v/>
      </c>
      <c r="N47" s="1088">
        <f t="shared" si="167"/>
        <v>0</v>
      </c>
      <c r="O47" s="1091" t="str">
        <f t="shared" si="100"/>
        <v/>
      </c>
      <c r="P47" s="1091" t="str">
        <f t="shared" si="101"/>
        <v/>
      </c>
      <c r="Q47" s="1088">
        <f t="shared" si="102"/>
        <v>0</v>
      </c>
      <c r="R47" s="1091" t="str">
        <f t="shared" si="103"/>
        <v/>
      </c>
      <c r="S47" s="1091" t="str">
        <f t="shared" si="104"/>
        <v/>
      </c>
      <c r="T47" s="1088">
        <f t="shared" si="168"/>
        <v>0</v>
      </c>
      <c r="U47" s="1091" t="str">
        <f t="shared" si="105"/>
        <v/>
      </c>
      <c r="V47" s="1091">
        <f t="shared" si="106"/>
        <v>0</v>
      </c>
      <c r="W47" s="1088">
        <f t="shared" si="169"/>
        <v>0</v>
      </c>
      <c r="X47" s="1091" t="str">
        <f t="shared" si="107"/>
        <v/>
      </c>
      <c r="Y47" s="1091">
        <f t="shared" si="108"/>
        <v>0</v>
      </c>
      <c r="Z47" s="1088">
        <f t="shared" si="170"/>
        <v>0</v>
      </c>
      <c r="AA47" s="1091" t="str">
        <f t="shared" si="109"/>
        <v/>
      </c>
      <c r="AB47" s="1091">
        <f t="shared" si="110"/>
        <v>0</v>
      </c>
      <c r="AC47" s="1088">
        <f t="shared" si="111"/>
        <v>0</v>
      </c>
      <c r="AD47" s="1091" t="str">
        <f t="shared" si="112"/>
        <v/>
      </c>
      <c r="AE47" s="1091">
        <f t="shared" si="113"/>
        <v>0</v>
      </c>
      <c r="AF47" s="1088">
        <f t="shared" si="114"/>
        <v>0</v>
      </c>
      <c r="AG47" s="1091" t="str">
        <f t="shared" si="115"/>
        <v/>
      </c>
      <c r="AH47" s="1091">
        <f t="shared" si="116"/>
        <v>0</v>
      </c>
      <c r="AI47" s="1088">
        <f t="shared" si="171"/>
        <v>0</v>
      </c>
      <c r="AJ47" s="1091" t="str">
        <f t="shared" si="117"/>
        <v/>
      </c>
      <c r="AK47" s="1091">
        <f t="shared" si="118"/>
        <v>0</v>
      </c>
      <c r="AL47" s="1088">
        <f t="shared" si="172"/>
        <v>0</v>
      </c>
      <c r="AM47" s="1091" t="str">
        <f t="shared" si="119"/>
        <v/>
      </c>
      <c r="AN47" s="1091">
        <f t="shared" si="120"/>
        <v>0</v>
      </c>
      <c r="AO47" s="1091" t="str">
        <f t="shared" si="27"/>
        <v/>
      </c>
      <c r="AP47" s="1088">
        <f t="shared" si="173"/>
        <v>0</v>
      </c>
      <c r="AQ47" s="1091" t="str">
        <f t="shared" si="121"/>
        <v/>
      </c>
      <c r="AR47" s="1091">
        <f t="shared" si="122"/>
        <v>0</v>
      </c>
      <c r="AS47" s="1088">
        <f t="shared" si="123"/>
        <v>0</v>
      </c>
      <c r="AT47" s="1091" t="str">
        <f t="shared" si="124"/>
        <v/>
      </c>
      <c r="AU47" s="1091">
        <f t="shared" si="125"/>
        <v>0</v>
      </c>
      <c r="AV47" s="1088">
        <f t="shared" si="174"/>
        <v>0</v>
      </c>
      <c r="AW47" s="1091" t="str">
        <f t="shared" si="126"/>
        <v/>
      </c>
      <c r="AX47" s="1091">
        <f t="shared" si="127"/>
        <v>0</v>
      </c>
      <c r="AY47" s="1088">
        <f t="shared" si="175"/>
        <v>0</v>
      </c>
      <c r="AZ47" s="1091" t="str">
        <f t="shared" si="128"/>
        <v/>
      </c>
      <c r="BA47" s="1091">
        <f t="shared" si="129"/>
        <v>0</v>
      </c>
      <c r="BB47" s="1088">
        <f t="shared" si="176"/>
        <v>0</v>
      </c>
      <c r="BC47" s="1091" t="str">
        <f t="shared" si="130"/>
        <v/>
      </c>
      <c r="BD47" s="1091">
        <f t="shared" si="131"/>
        <v>0</v>
      </c>
      <c r="BE47" s="1088">
        <f t="shared" si="132"/>
        <v>0</v>
      </c>
      <c r="BF47" s="1091" t="str">
        <f t="shared" si="133"/>
        <v/>
      </c>
      <c r="BG47" s="1091">
        <f t="shared" si="134"/>
        <v>0</v>
      </c>
      <c r="BH47" s="1088">
        <f t="shared" si="135"/>
        <v>0</v>
      </c>
      <c r="BI47" s="1091" t="str">
        <f t="shared" si="136"/>
        <v/>
      </c>
      <c r="BJ47" s="1091">
        <f t="shared" si="137"/>
        <v>0</v>
      </c>
      <c r="BK47" s="1088">
        <f t="shared" si="138"/>
        <v>0</v>
      </c>
      <c r="BL47" s="1091" t="str">
        <f t="shared" si="139"/>
        <v/>
      </c>
      <c r="BM47" s="1091">
        <f t="shared" si="140"/>
        <v>0</v>
      </c>
    </row>
    <row r="48">
      <c r="A48" s="1134" t="s">
        <v>2825</v>
      </c>
      <c r="B48" s="1135"/>
      <c r="C48" s="1135"/>
      <c r="D48" s="1135"/>
      <c r="E48" s="1135" t="s">
        <v>2076</v>
      </c>
      <c r="F48" s="1135"/>
      <c r="G48" s="1136">
        <v>1.0</v>
      </c>
      <c r="H48" s="1137">
        <f>SUMIFS(BP_SOTIEN,BP_THANG,H$2,BP_KM,$E48)/1000</f>
        <v>0</v>
      </c>
      <c r="I48" s="1138" t="str">
        <f t="shared" ref="I48:I105" si="177">IFERROR(H48/#REF!,"")</f>
        <v/>
      </c>
      <c r="J48" s="3"/>
      <c r="K48" s="1137">
        <f>SUMIFS(BP_SOTIEN,BP_THANG,K$2,BP_KM,$E48)/1000</f>
        <v>0</v>
      </c>
      <c r="L48" s="1138" t="str">
        <f t="shared" ref="L48:L105" si="178">IFERROR(K48/#REF!,"")</f>
        <v/>
      </c>
      <c r="M48" s="3"/>
      <c r="N48" s="1137">
        <f>SUMIFS(BP_SOTIEN,BP_THANG,N$2,BP_KM,$E48)/1000</f>
        <v>0</v>
      </c>
      <c r="O48" s="1138" t="str">
        <f t="shared" ref="O48:O105" si="179">IFERROR(N48/#REF!,"")</f>
        <v/>
      </c>
      <c r="P48" s="3"/>
      <c r="Q48" s="1137">
        <f t="shared" si="102"/>
        <v>0</v>
      </c>
      <c r="R48" s="1138" t="str">
        <f t="shared" ref="R48:R105" si="180">IFERROR(Q48/#REF!,"")</f>
        <v/>
      </c>
      <c r="S48" s="3"/>
      <c r="T48" s="1137">
        <f>SUMIFS(BP_SOTIEN,BP_THANG,T$2,BP_KM,$E48)/1000</f>
        <v>0</v>
      </c>
      <c r="U48" s="1138" t="str">
        <f t="shared" ref="U48:U105" si="181">IFERROR(T48/#REF!,"")</f>
        <v/>
      </c>
      <c r="V48" s="3"/>
      <c r="W48" s="1137">
        <f>SUMIFS(BP_SOTIEN,BP_THANG,W$2,BP_KM,$E48)/1000</f>
        <v>0</v>
      </c>
      <c r="X48" s="1138" t="str">
        <f t="shared" ref="X48:X105" si="182">IFERROR(W48/#REF!,"")</f>
        <v/>
      </c>
      <c r="Y48" s="3"/>
      <c r="Z48" s="1137">
        <f>SUMIFS(BP_SOTIEN,BP_THANG,Z$2,BP_KM,$E48)/1000</f>
        <v>0</v>
      </c>
      <c r="AA48" s="1138" t="str">
        <f t="shared" ref="AA48:AA105" si="183">IFERROR(Z48/#REF!,"")</f>
        <v/>
      </c>
      <c r="AB48" s="3"/>
      <c r="AC48" s="1137">
        <f t="shared" si="111"/>
        <v>0</v>
      </c>
      <c r="AD48" s="1138" t="str">
        <f t="shared" ref="AD48:AD105" si="184">IFERROR(AC48/#REF!,"")</f>
        <v/>
      </c>
      <c r="AE48" s="3"/>
      <c r="AF48" s="1137">
        <f t="shared" si="114"/>
        <v>0</v>
      </c>
      <c r="AG48" s="1138" t="str">
        <f t="shared" ref="AG48:AG105" si="185">IFERROR(AF48/#REF!,"")</f>
        <v/>
      </c>
      <c r="AH48" s="3"/>
      <c r="AI48" s="1137">
        <f>SUMIFS(BP_SOTIEN,BP_THANG,AI$2,BP_KM,$E48)/1000</f>
        <v>0</v>
      </c>
      <c r="AJ48" s="1138" t="str">
        <f t="shared" ref="AJ48:AJ105" si="186">IFERROR(AI48/#REF!,"")</f>
        <v/>
      </c>
      <c r="AK48" s="3"/>
      <c r="AL48" s="1137">
        <f>SUMIFS(BP_SOTIEN,BP_THANG,AL$2,BP_KM,$E48)/1000</f>
        <v>0</v>
      </c>
      <c r="AM48" s="1138" t="str">
        <f t="shared" ref="AM48:AM105" si="187">IFERROR(AL48/#REF!,"")</f>
        <v/>
      </c>
      <c r="AN48" s="3"/>
      <c r="AO48" s="1140" t="str">
        <f t="shared" si="27"/>
        <v/>
      </c>
      <c r="AP48" s="1137">
        <f>SUMIFS(BP_SOTIEN,BP_THANG,AP$2,BP_KM,$E48)/1000</f>
        <v>0</v>
      </c>
      <c r="AQ48" s="1138" t="str">
        <f t="shared" ref="AQ48:AQ105" si="188">IFERROR(AP48/#REF!,"")</f>
        <v/>
      </c>
      <c r="AR48" s="3"/>
      <c r="AS48" s="1137">
        <f t="shared" si="123"/>
        <v>0</v>
      </c>
      <c r="AT48" s="1138" t="str">
        <f t="shared" ref="AT48:AT105" si="189">IFERROR(AS48/#REF!,"")</f>
        <v/>
      </c>
      <c r="AU48" s="3"/>
      <c r="AV48" s="1137">
        <f>SUMIFS(BP_SOTIEN,BP_THANG,AV$2,BP_KM,$E48)/1000</f>
        <v>0</v>
      </c>
      <c r="AW48" s="1138" t="str">
        <f t="shared" ref="AW48:AW105" si="190">IFERROR(AV48/#REF!,"")</f>
        <v/>
      </c>
      <c r="AX48" s="3"/>
      <c r="AY48" s="1137">
        <f>SUMIFS(BP_SOTIEN,BP_THANG,AY$2,BP_KM,$E48)/1000</f>
        <v>0</v>
      </c>
      <c r="AZ48" s="1138" t="str">
        <f t="shared" ref="AZ48:AZ105" si="191">IFERROR(AY48/#REF!,"")</f>
        <v/>
      </c>
      <c r="BA48" s="3"/>
      <c r="BB48" s="1137">
        <f>SUMIFS(BP_SOTIEN,BP_THANG,BB$2,BP_KM,$E48)/1000</f>
        <v>0</v>
      </c>
      <c r="BC48" s="1138" t="str">
        <f t="shared" ref="BC48:BC105" si="192">IFERROR(BB48/#REF!,"")</f>
        <v/>
      </c>
      <c r="BD48" s="3"/>
      <c r="BE48" s="1137">
        <f t="shared" si="132"/>
        <v>0</v>
      </c>
      <c r="BF48" s="1138" t="str">
        <f t="shared" ref="BF48:BF105" si="193">IFERROR(BE48/#REF!,"")</f>
        <v/>
      </c>
      <c r="BG48" s="3"/>
      <c r="BH48" s="1137">
        <f t="shared" si="135"/>
        <v>0</v>
      </c>
      <c r="BI48" s="1138" t="str">
        <f t="shared" ref="BI48:BI105" si="194">IFERROR(BH48/#REF!,"")</f>
        <v/>
      </c>
      <c r="BJ48" s="3"/>
      <c r="BK48" s="1137">
        <f t="shared" si="138"/>
        <v>0</v>
      </c>
      <c r="BL48" s="1138" t="str">
        <f t="shared" ref="BL48:BL105" si="195">IFERROR(BK48/#REF!,"")</f>
        <v/>
      </c>
      <c r="BM48" s="3"/>
    </row>
    <row r="49">
      <c r="A49" s="1107" t="s">
        <v>2826</v>
      </c>
      <c r="B49" s="1108"/>
      <c r="C49" s="1108"/>
      <c r="D49" s="1108"/>
      <c r="E49" s="1108" t="s">
        <v>2083</v>
      </c>
      <c r="F49" s="1108"/>
      <c r="G49" s="1141">
        <v>1.0</v>
      </c>
      <c r="H49" s="1110">
        <f>SUMIFS(BP_SOTIEN,BP_THANG,H$2,BP_KM,$E49)/1000</f>
        <v>0</v>
      </c>
      <c r="I49" s="1112" t="str">
        <f t="shared" si="177"/>
        <v/>
      </c>
      <c r="J49" s="1112"/>
      <c r="K49" s="1110">
        <f>SUMIFS(BP_SOTIEN,BP_THANG,K$2,BP_KM,$E49)/1000</f>
        <v>0</v>
      </c>
      <c r="L49" s="1112" t="str">
        <f t="shared" si="178"/>
        <v/>
      </c>
      <c r="M49" s="1112"/>
      <c r="N49" s="1110">
        <f>SUMIFS(BP_SOTIEN,BP_THANG,N$2,BP_KM,$E49)/1000</f>
        <v>0</v>
      </c>
      <c r="O49" s="1112" t="str">
        <f t="shared" si="179"/>
        <v/>
      </c>
      <c r="P49" s="1112"/>
      <c r="Q49" s="1110">
        <f t="shared" si="102"/>
        <v>0</v>
      </c>
      <c r="R49" s="1112" t="str">
        <f t="shared" si="180"/>
        <v/>
      </c>
      <c r="S49" s="1112">
        <f t="shared" ref="S49:S50" si="196">IFERROR(Q49/Q$97,"")</f>
        <v>0</v>
      </c>
      <c r="T49" s="1110">
        <f>SUMIFS(BP_SOTIEN,BP_THANG,T$2,BP_KM,$E49)/1000</f>
        <v>0</v>
      </c>
      <c r="U49" s="1112" t="str">
        <f t="shared" si="181"/>
        <v/>
      </c>
      <c r="V49" s="1112"/>
      <c r="W49" s="1110">
        <f>SUMIFS(BP_SOTIEN,BP_THANG,W$2,BP_KM,$E49)/1000</f>
        <v>0</v>
      </c>
      <c r="X49" s="1112" t="str">
        <f t="shared" si="182"/>
        <v/>
      </c>
      <c r="Y49" s="1112"/>
      <c r="Z49" s="1110">
        <f>SUMIFS(BP_SOTIEN,BP_THANG,Z$2,BP_KM,$E49)/1000</f>
        <v>0</v>
      </c>
      <c r="AA49" s="1112" t="str">
        <f t="shared" si="183"/>
        <v/>
      </c>
      <c r="AB49" s="1112"/>
      <c r="AC49" s="1110">
        <f t="shared" si="111"/>
        <v>0</v>
      </c>
      <c r="AD49" s="1112" t="str">
        <f t="shared" si="184"/>
        <v/>
      </c>
      <c r="AE49" s="1112">
        <f t="shared" ref="AE49:AE50" si="197">IFERROR(AC49/AC$97,"")</f>
        <v>0</v>
      </c>
      <c r="AF49" s="1110">
        <f t="shared" si="114"/>
        <v>0</v>
      </c>
      <c r="AG49" s="1112" t="str">
        <f t="shared" si="185"/>
        <v/>
      </c>
      <c r="AH49" s="1112">
        <f t="shared" ref="AH49:AH50" si="198">IFERROR(AF49/AF$97,"")</f>
        <v>0</v>
      </c>
      <c r="AI49" s="1110">
        <f>SUMIFS(BP_SOTIEN,BP_THANG,AI$2,BP_KM,$E49)/1000</f>
        <v>0</v>
      </c>
      <c r="AJ49" s="1112" t="str">
        <f t="shared" si="186"/>
        <v/>
      </c>
      <c r="AK49" s="1112"/>
      <c r="AL49" s="1110">
        <f>SUMIFS(BP_SOTIEN,BP_THANG,AL$2,BP_KM,$E49)/1000</f>
        <v>0</v>
      </c>
      <c r="AM49" s="1112" t="str">
        <f t="shared" si="187"/>
        <v/>
      </c>
      <c r="AN49" s="1112"/>
      <c r="AO49" s="1112" t="str">
        <f t="shared" si="27"/>
        <v/>
      </c>
      <c r="AP49" s="1110">
        <f>SUMIFS(BP_SOTIEN,BP_THANG,AP$2,BP_KM,$E49)/1000</f>
        <v>0</v>
      </c>
      <c r="AQ49" s="1112" t="str">
        <f t="shared" si="188"/>
        <v/>
      </c>
      <c r="AR49" s="1112"/>
      <c r="AS49" s="1110">
        <f t="shared" si="123"/>
        <v>0</v>
      </c>
      <c r="AT49" s="1112" t="str">
        <f t="shared" si="189"/>
        <v/>
      </c>
      <c r="AU49" s="1112">
        <f t="shared" ref="AU49:AU50" si="199">IFERROR(AS49/AS$97,"")</f>
        <v>0</v>
      </c>
      <c r="AV49" s="1110">
        <f>SUMIFS(BP_SOTIEN,BP_THANG,AV$2,BP_KM,$E49)/1000</f>
        <v>0</v>
      </c>
      <c r="AW49" s="1112" t="str">
        <f t="shared" si="190"/>
        <v/>
      </c>
      <c r="AX49" s="1112"/>
      <c r="AY49" s="1110">
        <f>SUMIFS(BP_SOTIEN,BP_THANG,AY$2,BP_KM,$E49)/1000</f>
        <v>0</v>
      </c>
      <c r="AZ49" s="1112" t="str">
        <f t="shared" si="191"/>
        <v/>
      </c>
      <c r="BA49" s="1112"/>
      <c r="BB49" s="1110">
        <f>SUMIFS(BP_SOTIEN,BP_THANG,BB$2,BP_KM,$E49)/1000</f>
        <v>0</v>
      </c>
      <c r="BC49" s="1112" t="str">
        <f t="shared" si="192"/>
        <v/>
      </c>
      <c r="BD49" s="1112"/>
      <c r="BE49" s="1110">
        <f t="shared" si="132"/>
        <v>0</v>
      </c>
      <c r="BF49" s="1112" t="str">
        <f t="shared" si="193"/>
        <v/>
      </c>
      <c r="BG49" s="1112">
        <f t="shared" ref="BG49:BG50" si="200">IFERROR(BE49/BE$97,"")</f>
        <v>0</v>
      </c>
      <c r="BH49" s="1110">
        <f t="shared" si="135"/>
        <v>0</v>
      </c>
      <c r="BI49" s="1112" t="str">
        <f t="shared" si="194"/>
        <v/>
      </c>
      <c r="BJ49" s="1112">
        <f t="shared" ref="BJ49:BJ50" si="201">IFERROR(BH49/BH$97,"")</f>
        <v>0</v>
      </c>
      <c r="BK49" s="1110">
        <f t="shared" si="138"/>
        <v>0</v>
      </c>
      <c r="BL49" s="1112" t="str">
        <f t="shared" si="195"/>
        <v/>
      </c>
      <c r="BM49" s="1112">
        <f t="shared" ref="BM49:BM50" si="202">IFERROR(BK49/BK$97,"")</f>
        <v>0</v>
      </c>
    </row>
    <row r="50" collapsed="1">
      <c r="A50" s="1107" t="s">
        <v>2827</v>
      </c>
      <c r="B50" s="1108"/>
      <c r="C50" s="1108"/>
      <c r="D50" s="1108"/>
      <c r="E50" s="1108"/>
      <c r="F50" s="1108"/>
      <c r="G50" s="1141">
        <v>1.0</v>
      </c>
      <c r="H50" s="1110">
        <f>SUMIF($G$51:$G$67,2,H$51:H$67)</f>
        <v>53170</v>
      </c>
      <c r="I50" s="1112" t="str">
        <f t="shared" si="177"/>
        <v/>
      </c>
      <c r="J50" s="1112">
        <f>IFERROR(H50/H$97,"")</f>
        <v>0.1177984952</v>
      </c>
      <c r="K50" s="1110">
        <f>SUMIF($G$51:$G$67,2,K$51:K$67)</f>
        <v>53170</v>
      </c>
      <c r="L50" s="1112" t="str">
        <f t="shared" si="178"/>
        <v/>
      </c>
      <c r="M50" s="1112">
        <f>IFERROR(K50/K$97,"")</f>
        <v>0.118586684</v>
      </c>
      <c r="N50" s="1110">
        <f>SUMIF($G$51:$G$67,2,N$51:N$67)</f>
        <v>53170</v>
      </c>
      <c r="O50" s="1112" t="str">
        <f t="shared" si="179"/>
        <v/>
      </c>
      <c r="P50" s="1112">
        <f>IFERROR(N50/N$97,"")</f>
        <v>0.118586684</v>
      </c>
      <c r="Q50" s="1110">
        <f t="shared" si="102"/>
        <v>53170</v>
      </c>
      <c r="R50" s="1112" t="str">
        <f t="shared" si="180"/>
        <v/>
      </c>
      <c r="S50" s="1112">
        <f t="shared" si="196"/>
        <v>0.1177984952</v>
      </c>
      <c r="T50" s="1110">
        <f>SUMIF($G$51:$G$67,2,T$51:T$67)</f>
        <v>7710170</v>
      </c>
      <c r="U50" s="1112" t="str">
        <f t="shared" si="181"/>
        <v/>
      </c>
      <c r="V50" s="1112">
        <f>IFERROR(T50/T$97,"")</f>
        <v>0.9512429053</v>
      </c>
      <c r="W50" s="1110">
        <f>SUMIF($G$51:$G$67,2,W$51:W$67)</f>
        <v>7710170</v>
      </c>
      <c r="X50" s="1112" t="str">
        <f t="shared" si="182"/>
        <v/>
      </c>
      <c r="Y50" s="1112">
        <f>IFERROR(W50/W$97,"")</f>
        <v>0.9517319597</v>
      </c>
      <c r="Z50" s="1110">
        <f>SUMIF($G$51:$G$67,2,Z$51:Z$67)</f>
        <v>7710170</v>
      </c>
      <c r="AA50" s="1112" t="str">
        <f t="shared" si="183"/>
        <v/>
      </c>
      <c r="AB50" s="1112">
        <f>IFERROR(Z50/Z$97,"")</f>
        <v>0.9517319597</v>
      </c>
      <c r="AC50" s="1110">
        <f t="shared" si="111"/>
        <v>7710170</v>
      </c>
      <c r="AD50" s="1112" t="str">
        <f t="shared" si="184"/>
        <v/>
      </c>
      <c r="AE50" s="1112">
        <f t="shared" si="197"/>
        <v>0.9512429053</v>
      </c>
      <c r="AF50" s="1110">
        <f t="shared" si="114"/>
        <v>7763340</v>
      </c>
      <c r="AG50" s="1112" t="str">
        <f t="shared" si="185"/>
        <v/>
      </c>
      <c r="AH50" s="1112">
        <f t="shared" si="198"/>
        <v>0.907279044</v>
      </c>
      <c r="AI50" s="1110">
        <f>SUMIF($G$51:$G$67,2,AI$51:AI$67)</f>
        <v>7710170</v>
      </c>
      <c r="AJ50" s="1112" t="str">
        <f t="shared" si="186"/>
        <v/>
      </c>
      <c r="AK50" s="1112">
        <f>IFERROR(AI50/AI$97,"")</f>
        <v>0.9517319597</v>
      </c>
      <c r="AL50" s="1110">
        <f>SUMIF($G$51:$G$67,2,AL$51:AL$67)</f>
        <v>7710170</v>
      </c>
      <c r="AM50" s="1112" t="str">
        <f t="shared" si="187"/>
        <v/>
      </c>
      <c r="AN50" s="1112">
        <f>IFERROR(AL50/AL$97,"")</f>
        <v>0.9517319597</v>
      </c>
      <c r="AO50" s="1144" t="str">
        <f t="shared" si="27"/>
        <v/>
      </c>
      <c r="AP50" s="1110">
        <f>SUMIF($G$51:$G$67,2,AP$51:AP$67)</f>
        <v>7710170</v>
      </c>
      <c r="AQ50" s="1112" t="str">
        <f t="shared" si="188"/>
        <v/>
      </c>
      <c r="AR50" s="1112">
        <f>IFERROR(AP50/AP$97,"")</f>
        <v>0.9517319597</v>
      </c>
      <c r="AS50" s="1110">
        <f t="shared" si="123"/>
        <v>7710170</v>
      </c>
      <c r="AT50" s="1112" t="str">
        <f t="shared" si="189"/>
        <v/>
      </c>
      <c r="AU50" s="1112">
        <f t="shared" si="199"/>
        <v>0.9517319597</v>
      </c>
      <c r="AV50" s="1110">
        <f>SUMIF($G$51:$G$67,2,AV$51:AV$67)</f>
        <v>7710170</v>
      </c>
      <c r="AW50" s="1112" t="str">
        <f t="shared" si="190"/>
        <v/>
      </c>
      <c r="AX50" s="1112">
        <f>IFERROR(AV50/AV$97,"")</f>
        <v>0.9517319597</v>
      </c>
      <c r="AY50" s="1110">
        <f>SUMIF($G$51:$G$67,2,AY$51:AY$67)</f>
        <v>7710170</v>
      </c>
      <c r="AZ50" s="1112" t="str">
        <f t="shared" si="191"/>
        <v/>
      </c>
      <c r="BA50" s="1112">
        <f>IFERROR(AY50/AY$97,"")</f>
        <v>0.9517319597</v>
      </c>
      <c r="BB50" s="1110">
        <f>SUMIF($G$51:$G$67,2,BB$51:BB$67)</f>
        <v>7710170</v>
      </c>
      <c r="BC50" s="1112" t="str">
        <f t="shared" si="192"/>
        <v/>
      </c>
      <c r="BD50" s="1112">
        <f>IFERROR(BB50/BB$97,"")</f>
        <v>0.9517319597</v>
      </c>
      <c r="BE50" s="1110">
        <f t="shared" si="132"/>
        <v>7710170</v>
      </c>
      <c r="BF50" s="1112" t="str">
        <f t="shared" si="193"/>
        <v/>
      </c>
      <c r="BG50" s="1112">
        <f t="shared" si="200"/>
        <v>0.9517319597</v>
      </c>
      <c r="BH50" s="1110">
        <f t="shared" si="135"/>
        <v>15420340</v>
      </c>
      <c r="BI50" s="1112" t="str">
        <f t="shared" si="194"/>
        <v/>
      </c>
      <c r="BJ50" s="1112">
        <f t="shared" si="201"/>
        <v>0.9517319597</v>
      </c>
      <c r="BK50" s="1110">
        <f t="shared" si="138"/>
        <v>23183680</v>
      </c>
      <c r="BL50" s="1112" t="str">
        <f t="shared" si="195"/>
        <v/>
      </c>
      <c r="BM50" s="1112">
        <f t="shared" si="202"/>
        <v>0.9363690786</v>
      </c>
    </row>
    <row r="51" hidden="1" outlineLevel="1">
      <c r="A51" s="1087"/>
      <c r="B51" s="1087"/>
      <c r="C51" s="1087"/>
      <c r="D51" s="1087" t="s">
        <v>2828</v>
      </c>
      <c r="E51" s="1087"/>
      <c r="F51" s="1086">
        <v>641.0</v>
      </c>
      <c r="G51" s="1086">
        <v>2.0</v>
      </c>
      <c r="H51" s="1088">
        <f>SUM(H52:H55)</f>
        <v>1666</v>
      </c>
      <c r="I51" s="1145" t="str">
        <f t="shared" si="177"/>
        <v/>
      </c>
      <c r="J51" s="1145">
        <f>IFERROR(H51/H$50,"")</f>
        <v>0.03133345872</v>
      </c>
      <c r="K51" s="1088">
        <f>SUM(K52:K55)</f>
        <v>1666</v>
      </c>
      <c r="L51" s="1145" t="str">
        <f t="shared" si="178"/>
        <v/>
      </c>
      <c r="M51" s="1145">
        <f>IFERROR(K51/K$50,"")</f>
        <v>0.03133345872</v>
      </c>
      <c r="N51" s="1088">
        <f>SUM(N52:N55)</f>
        <v>1666</v>
      </c>
      <c r="O51" s="1145" t="str">
        <f t="shared" si="179"/>
        <v/>
      </c>
      <c r="P51" s="1145">
        <f>IFERROR(N51/N$50,"")</f>
        <v>0.03133345872</v>
      </c>
      <c r="Q51" s="1088">
        <f t="shared" si="102"/>
        <v>1666</v>
      </c>
      <c r="R51" s="1145" t="str">
        <f t="shared" si="180"/>
        <v/>
      </c>
      <c r="S51" s="1145">
        <f>IFERROR(Q51/Q$50,"")</f>
        <v>0.03133345872</v>
      </c>
      <c r="T51" s="1088">
        <f>SUM(T52:T55)</f>
        <v>4941666</v>
      </c>
      <c r="U51" s="1145" t="str">
        <f t="shared" si="181"/>
        <v/>
      </c>
      <c r="V51" s="1145">
        <f>IFERROR(T51/T$50,"")</f>
        <v>0.6409282804</v>
      </c>
      <c r="W51" s="1088">
        <f>SUM(W52:W55)</f>
        <v>4941666</v>
      </c>
      <c r="X51" s="1145" t="str">
        <f t="shared" si="182"/>
        <v/>
      </c>
      <c r="Y51" s="1145">
        <f>IFERROR(W51/W$50,"")</f>
        <v>0.6409282804</v>
      </c>
      <c r="Z51" s="1088">
        <f>SUM(Z52:Z55)</f>
        <v>4941666</v>
      </c>
      <c r="AA51" s="1145" t="str">
        <f t="shared" si="183"/>
        <v/>
      </c>
      <c r="AB51" s="1145">
        <f>IFERROR(Z51/Z$50,"")</f>
        <v>0.6409282804</v>
      </c>
      <c r="AC51" s="1088">
        <f t="shared" si="111"/>
        <v>4941666</v>
      </c>
      <c r="AD51" s="1145" t="str">
        <f t="shared" si="184"/>
        <v/>
      </c>
      <c r="AE51" s="1145">
        <f>IFERROR(AC51/AC$50,"")</f>
        <v>0.6409282804</v>
      </c>
      <c r="AF51" s="1088">
        <f t="shared" si="114"/>
        <v>4943332</v>
      </c>
      <c r="AG51" s="1145" t="str">
        <f t="shared" si="185"/>
        <v/>
      </c>
      <c r="AH51" s="1145">
        <f>IFERROR(AF51/AF$50,"")</f>
        <v>0.6367532531</v>
      </c>
      <c r="AI51" s="1088">
        <f>SUM(AI52:AI55)</f>
        <v>4941666</v>
      </c>
      <c r="AJ51" s="1145" t="str">
        <f t="shared" si="186"/>
        <v/>
      </c>
      <c r="AK51" s="1145">
        <f>IFERROR(AI51/AI$50,"")</f>
        <v>0.6409282804</v>
      </c>
      <c r="AL51" s="1088">
        <f>SUM(AL52:AL55)</f>
        <v>4941666</v>
      </c>
      <c r="AM51" s="1145" t="str">
        <f t="shared" si="187"/>
        <v/>
      </c>
      <c r="AN51" s="1145">
        <f>IFERROR(AL51/AL$50,"")</f>
        <v>0.6409282804</v>
      </c>
      <c r="AO51" s="1132" t="str">
        <f t="shared" si="27"/>
        <v/>
      </c>
      <c r="AP51" s="1088">
        <f>SUM(AP52:AP55)</f>
        <v>4941666</v>
      </c>
      <c r="AQ51" s="1145" t="str">
        <f t="shared" si="188"/>
        <v/>
      </c>
      <c r="AR51" s="1145">
        <f>IFERROR(AP51/AP$50,"")</f>
        <v>0.6409282804</v>
      </c>
      <c r="AS51" s="1088">
        <f t="shared" si="123"/>
        <v>4941666</v>
      </c>
      <c r="AT51" s="1145" t="str">
        <f t="shared" si="189"/>
        <v/>
      </c>
      <c r="AU51" s="1145">
        <f>IFERROR(AS51/AS$50,"")</f>
        <v>0.6409282804</v>
      </c>
      <c r="AV51" s="1088">
        <f>SUM(AV52:AV55)</f>
        <v>4941666</v>
      </c>
      <c r="AW51" s="1145" t="str">
        <f t="shared" si="190"/>
        <v/>
      </c>
      <c r="AX51" s="1145">
        <f>IFERROR(AV51/AV$50,"")</f>
        <v>0.6409282804</v>
      </c>
      <c r="AY51" s="1088">
        <f>SUM(AY52:AY55)</f>
        <v>4941666</v>
      </c>
      <c r="AZ51" s="1145" t="str">
        <f t="shared" si="191"/>
        <v/>
      </c>
      <c r="BA51" s="1145">
        <f>IFERROR(AY51/AY$50,"")</f>
        <v>0.6409282804</v>
      </c>
      <c r="BB51" s="1088">
        <f>SUM(BB52:BB55)</f>
        <v>4941666</v>
      </c>
      <c r="BC51" s="1145" t="str">
        <f t="shared" si="192"/>
        <v/>
      </c>
      <c r="BD51" s="1145">
        <f>IFERROR(BB51/BB$50,"")</f>
        <v>0.6409282804</v>
      </c>
      <c r="BE51" s="1088">
        <f t="shared" si="132"/>
        <v>4941666</v>
      </c>
      <c r="BF51" s="1145" t="str">
        <f t="shared" si="193"/>
        <v/>
      </c>
      <c r="BG51" s="1145">
        <f>IFERROR(BE51/BE$50,"")</f>
        <v>0.6409282804</v>
      </c>
      <c r="BH51" s="1088">
        <f t="shared" si="135"/>
        <v>9883332</v>
      </c>
      <c r="BI51" s="1145" t="str">
        <f t="shared" si="194"/>
        <v/>
      </c>
      <c r="BJ51" s="1145">
        <f>IFERROR(BH51/BH$50,"")</f>
        <v>0.6409282804</v>
      </c>
      <c r="BK51" s="1088">
        <f t="shared" si="138"/>
        <v>14826664</v>
      </c>
      <c r="BL51" s="1145" t="str">
        <f t="shared" si="195"/>
        <v/>
      </c>
      <c r="BM51" s="1145">
        <f>IFERROR(BK51/BK$50,"")</f>
        <v>0.6395302213</v>
      </c>
    </row>
    <row r="52" hidden="1" outlineLevel="1">
      <c r="A52" s="737"/>
      <c r="B52" s="737"/>
      <c r="C52" s="737"/>
      <c r="D52" s="737" t="s">
        <v>2829</v>
      </c>
      <c r="E52" s="737" t="s">
        <v>255</v>
      </c>
      <c r="F52" s="737"/>
      <c r="G52" s="748">
        <v>3.0</v>
      </c>
      <c r="H52" s="1146">
        <f>SUMIFS(BP_SOTIEN,BP_THANG,H$2,BP_KM,$E52)/1000</f>
        <v>0</v>
      </c>
      <c r="I52" s="1091" t="str">
        <f t="shared" si="177"/>
        <v/>
      </c>
      <c r="J52" s="1091"/>
      <c r="K52" s="1146">
        <f>SUMIFS(BP_SOTIEN,BP_THANG,K$2,BP_KM,$E52)/1000</f>
        <v>0</v>
      </c>
      <c r="L52" s="1091" t="str">
        <f t="shared" si="178"/>
        <v/>
      </c>
      <c r="M52" s="1091"/>
      <c r="N52" s="1146">
        <f>SUMIFS(BP_SOTIEN,BP_THANG,N$2,BP_KM,$E52)/1000</f>
        <v>0</v>
      </c>
      <c r="O52" s="1091" t="str">
        <f t="shared" si="179"/>
        <v/>
      </c>
      <c r="P52" s="1091"/>
      <c r="Q52" s="1146">
        <f t="shared" si="102"/>
        <v>0</v>
      </c>
      <c r="R52" s="1091" t="str">
        <f t="shared" si="180"/>
        <v/>
      </c>
      <c r="S52" s="1091"/>
      <c r="T52" s="1146">
        <f>SUMIFS(BP_SOTIEN,BP_THANG,T$2,BP_KM,$E52)/1000</f>
        <v>0</v>
      </c>
      <c r="U52" s="1091" t="str">
        <f t="shared" si="181"/>
        <v/>
      </c>
      <c r="V52" s="1091"/>
      <c r="W52" s="1146">
        <f>SUMIFS(BP_SOTIEN,BP_THANG,W$2,BP_KM,$E52)/1000</f>
        <v>0</v>
      </c>
      <c r="X52" s="1091" t="str">
        <f t="shared" si="182"/>
        <v/>
      </c>
      <c r="Y52" s="1091"/>
      <c r="Z52" s="1146">
        <f>SUMIFS(BP_SOTIEN,BP_THANG,Z$2,BP_KM,$E52)/1000</f>
        <v>0</v>
      </c>
      <c r="AA52" s="1091" t="str">
        <f t="shared" si="183"/>
        <v/>
      </c>
      <c r="AB52" s="1091"/>
      <c r="AC52" s="1146">
        <f t="shared" si="111"/>
        <v>0</v>
      </c>
      <c r="AD52" s="1091" t="str">
        <f t="shared" si="184"/>
        <v/>
      </c>
      <c r="AE52" s="1091"/>
      <c r="AF52" s="1146">
        <f t="shared" si="114"/>
        <v>0</v>
      </c>
      <c r="AG52" s="1091" t="str">
        <f t="shared" si="185"/>
        <v/>
      </c>
      <c r="AH52" s="1091"/>
      <c r="AI52" s="1146">
        <f>SUMIFS(BP_SOTIEN,BP_THANG,AI$2,BP_KM,$E52)/1000</f>
        <v>0</v>
      </c>
      <c r="AJ52" s="1091" t="str">
        <f t="shared" si="186"/>
        <v/>
      </c>
      <c r="AK52" s="1091"/>
      <c r="AL52" s="1146">
        <f>SUMIFS(BP_SOTIEN,BP_THANG,AL$2,BP_KM,$E52)/1000</f>
        <v>0</v>
      </c>
      <c r="AM52" s="1091" t="str">
        <f t="shared" si="187"/>
        <v/>
      </c>
      <c r="AN52" s="1091"/>
      <c r="AO52" s="1091" t="str">
        <f t="shared" si="27"/>
        <v/>
      </c>
      <c r="AP52" s="1146">
        <f>SUMIFS(BP_SOTIEN,BP_THANG,AP$2,BP_KM,$E52)/1000</f>
        <v>0</v>
      </c>
      <c r="AQ52" s="1091" t="str">
        <f t="shared" si="188"/>
        <v/>
      </c>
      <c r="AR52" s="1091"/>
      <c r="AS52" s="1146">
        <f t="shared" si="123"/>
        <v>0</v>
      </c>
      <c r="AT52" s="1091" t="str">
        <f t="shared" si="189"/>
        <v/>
      </c>
      <c r="AU52" s="1091"/>
      <c r="AV52" s="1146">
        <f>SUMIFS(BP_SOTIEN,BP_THANG,AV$2,BP_KM,$E52)/1000</f>
        <v>0</v>
      </c>
      <c r="AW52" s="1091" t="str">
        <f t="shared" si="190"/>
        <v/>
      </c>
      <c r="AX52" s="1091"/>
      <c r="AY52" s="1146">
        <f>SUMIFS(BP_SOTIEN,BP_THANG,AY$2,BP_KM,$E52)/1000</f>
        <v>0</v>
      </c>
      <c r="AZ52" s="1091" t="str">
        <f t="shared" si="191"/>
        <v/>
      </c>
      <c r="BA52" s="1091"/>
      <c r="BB52" s="1146">
        <f>SUMIFS(BP_SOTIEN,BP_THANG,BB$2,BP_KM,$E52)/1000</f>
        <v>0</v>
      </c>
      <c r="BC52" s="1091" t="str">
        <f t="shared" si="192"/>
        <v/>
      </c>
      <c r="BD52" s="1091"/>
      <c r="BE52" s="1146">
        <f t="shared" si="132"/>
        <v>0</v>
      </c>
      <c r="BF52" s="1091" t="str">
        <f t="shared" si="193"/>
        <v/>
      </c>
      <c r="BG52" s="1091"/>
      <c r="BH52" s="1146">
        <f t="shared" si="135"/>
        <v>0</v>
      </c>
      <c r="BI52" s="1091" t="str">
        <f t="shared" si="194"/>
        <v/>
      </c>
      <c r="BJ52" s="1091"/>
      <c r="BK52" s="1146">
        <f t="shared" si="138"/>
        <v>0</v>
      </c>
      <c r="BL52" s="1091" t="str">
        <f t="shared" si="195"/>
        <v/>
      </c>
      <c r="BM52" s="1091"/>
    </row>
    <row r="53" hidden="1" outlineLevel="1">
      <c r="A53" s="737"/>
      <c r="B53" s="737"/>
      <c r="C53" s="737"/>
      <c r="D53" s="737" t="s">
        <v>2830</v>
      </c>
      <c r="E53" s="737" t="s">
        <v>190</v>
      </c>
      <c r="F53" s="748">
        <v>641.0</v>
      </c>
      <c r="G53" s="748">
        <v>3.0</v>
      </c>
      <c r="H53" s="1146">
        <f>SUMIFS(BP_SOTIEN,BP_THANG,H$2,BP_KM,$E53)/1000</f>
        <v>0</v>
      </c>
      <c r="I53" s="1091" t="str">
        <f t="shared" si="177"/>
        <v/>
      </c>
      <c r="J53" s="1091"/>
      <c r="K53" s="1146">
        <f>SUMIFS(BP_SOTIEN,BP_THANG,K$2,BP_KM,$E53)/1000</f>
        <v>0</v>
      </c>
      <c r="L53" s="1091" t="str">
        <f t="shared" si="178"/>
        <v/>
      </c>
      <c r="M53" s="1091"/>
      <c r="N53" s="1146">
        <f>SUMIFS(BP_SOTIEN,BP_THANG,N$2,BP_KM,$E53)/1000</f>
        <v>0</v>
      </c>
      <c r="O53" s="1091" t="str">
        <f t="shared" si="179"/>
        <v/>
      </c>
      <c r="P53" s="1091"/>
      <c r="Q53" s="1146">
        <f t="shared" si="102"/>
        <v>0</v>
      </c>
      <c r="R53" s="1091" t="str">
        <f t="shared" si="180"/>
        <v/>
      </c>
      <c r="S53" s="1091"/>
      <c r="T53" s="1146">
        <f>SUMIFS(BP_SOTIEN,BP_THANG,T$2,BP_KM,$E53)/1000</f>
        <v>3900000</v>
      </c>
      <c r="U53" s="1091" t="str">
        <f t="shared" si="181"/>
        <v/>
      </c>
      <c r="V53" s="1091"/>
      <c r="W53" s="1146">
        <f>SUMIFS(BP_SOTIEN,BP_THANG,W$2,BP_KM,$E53)/1000</f>
        <v>3900000</v>
      </c>
      <c r="X53" s="1091" t="str">
        <f t="shared" si="182"/>
        <v/>
      </c>
      <c r="Y53" s="1091"/>
      <c r="Z53" s="1146">
        <f>SUMIFS(BP_SOTIEN,BP_THANG,Z$2,BP_KM,$E53)/1000</f>
        <v>3900000</v>
      </c>
      <c r="AA53" s="1091" t="str">
        <f t="shared" si="183"/>
        <v/>
      </c>
      <c r="AB53" s="1091"/>
      <c r="AC53" s="1146">
        <f t="shared" si="111"/>
        <v>3900000</v>
      </c>
      <c r="AD53" s="1091" t="str">
        <f t="shared" si="184"/>
        <v/>
      </c>
      <c r="AE53" s="1091"/>
      <c r="AF53" s="1146">
        <f t="shared" si="114"/>
        <v>3900000</v>
      </c>
      <c r="AG53" s="1091" t="str">
        <f t="shared" si="185"/>
        <v/>
      </c>
      <c r="AH53" s="1091"/>
      <c r="AI53" s="1146">
        <f>SUMIFS(BP_SOTIEN,BP_THANG,AI$2,BP_KM,$E53)/1000</f>
        <v>3900000</v>
      </c>
      <c r="AJ53" s="1091" t="str">
        <f t="shared" si="186"/>
        <v/>
      </c>
      <c r="AK53" s="1091"/>
      <c r="AL53" s="1146">
        <f>SUMIFS(BP_SOTIEN,BP_THANG,AL$2,BP_KM,$E53)/1000</f>
        <v>3900000</v>
      </c>
      <c r="AM53" s="1091" t="str">
        <f t="shared" si="187"/>
        <v/>
      </c>
      <c r="AN53" s="1091"/>
      <c r="AO53" s="1091" t="str">
        <f t="shared" si="27"/>
        <v/>
      </c>
      <c r="AP53" s="1146">
        <f>SUMIFS(BP_SOTIEN,BP_THANG,AP$2,BP_KM,$E53)/1000</f>
        <v>3900000</v>
      </c>
      <c r="AQ53" s="1091" t="str">
        <f t="shared" si="188"/>
        <v/>
      </c>
      <c r="AR53" s="1091"/>
      <c r="AS53" s="1146">
        <f t="shared" si="123"/>
        <v>3900000</v>
      </c>
      <c r="AT53" s="1091" t="str">
        <f t="shared" si="189"/>
        <v/>
      </c>
      <c r="AU53" s="1091"/>
      <c r="AV53" s="1146">
        <f>SUMIFS(BP_SOTIEN,BP_THANG,AV$2,BP_KM,$E53)/1000</f>
        <v>3900000</v>
      </c>
      <c r="AW53" s="1091" t="str">
        <f t="shared" si="190"/>
        <v/>
      </c>
      <c r="AX53" s="1091"/>
      <c r="AY53" s="1146">
        <f>SUMIFS(BP_SOTIEN,BP_THANG,AY$2,BP_KM,$E53)/1000</f>
        <v>3900000</v>
      </c>
      <c r="AZ53" s="1091" t="str">
        <f t="shared" si="191"/>
        <v/>
      </c>
      <c r="BA53" s="1091"/>
      <c r="BB53" s="1146">
        <f>SUMIFS(BP_SOTIEN,BP_THANG,BB$2,BP_KM,$E53)/1000</f>
        <v>3900000</v>
      </c>
      <c r="BC53" s="1091" t="str">
        <f t="shared" si="192"/>
        <v/>
      </c>
      <c r="BD53" s="1091"/>
      <c r="BE53" s="1146">
        <f t="shared" si="132"/>
        <v>3900000</v>
      </c>
      <c r="BF53" s="1091" t="str">
        <f t="shared" si="193"/>
        <v/>
      </c>
      <c r="BG53" s="1091"/>
      <c r="BH53" s="1146">
        <f t="shared" si="135"/>
        <v>7800000</v>
      </c>
      <c r="BI53" s="1091" t="str">
        <f t="shared" si="194"/>
        <v/>
      </c>
      <c r="BJ53" s="1091"/>
      <c r="BK53" s="1146">
        <f t="shared" si="138"/>
        <v>11700000</v>
      </c>
      <c r="BL53" s="1091" t="str">
        <f t="shared" si="195"/>
        <v/>
      </c>
      <c r="BM53" s="1091"/>
    </row>
    <row r="54" hidden="1" outlineLevel="1">
      <c r="A54" s="737"/>
      <c r="B54" s="737"/>
      <c r="C54" s="737"/>
      <c r="D54" s="737" t="s">
        <v>2831</v>
      </c>
      <c r="E54" s="737" t="s">
        <v>194</v>
      </c>
      <c r="F54" s="748">
        <v>641.0</v>
      </c>
      <c r="G54" s="748">
        <v>3.0</v>
      </c>
      <c r="H54" s="1146">
        <f>SUMIFS(BP_SOTIEN,BP_THANG,H$2,BP_KM,$E54)/1000</f>
        <v>0</v>
      </c>
      <c r="I54" s="1091" t="str">
        <f t="shared" si="177"/>
        <v/>
      </c>
      <c r="J54" s="1091"/>
      <c r="K54" s="1146">
        <f>SUMIFS(BP_SOTIEN,BP_THANG,K$2,BP_KM,$E54)/1000</f>
        <v>0</v>
      </c>
      <c r="L54" s="1091" t="str">
        <f t="shared" si="178"/>
        <v/>
      </c>
      <c r="M54" s="1091"/>
      <c r="N54" s="1146">
        <f>SUMIFS(BP_SOTIEN,BP_THANG,N$2,BP_KM,$E54)/1000</f>
        <v>0</v>
      </c>
      <c r="O54" s="1091" t="str">
        <f t="shared" si="179"/>
        <v/>
      </c>
      <c r="P54" s="1091"/>
      <c r="Q54" s="1146">
        <f t="shared" si="102"/>
        <v>0</v>
      </c>
      <c r="R54" s="1091" t="str">
        <f t="shared" si="180"/>
        <v/>
      </c>
      <c r="S54" s="1091"/>
      <c r="T54" s="1146">
        <f>SUMIFS(BP_SOTIEN,BP_THANG,T$2,BP_KM,$E54)/1000</f>
        <v>1040000</v>
      </c>
      <c r="U54" s="1091" t="str">
        <f t="shared" si="181"/>
        <v/>
      </c>
      <c r="V54" s="1091"/>
      <c r="W54" s="1146">
        <f>SUMIFS(BP_SOTIEN,BP_THANG,W$2,BP_KM,$E54)/1000</f>
        <v>1040000</v>
      </c>
      <c r="X54" s="1091" t="str">
        <f t="shared" si="182"/>
        <v/>
      </c>
      <c r="Y54" s="1091"/>
      <c r="Z54" s="1146">
        <f>SUMIFS(BP_SOTIEN,BP_THANG,Z$2,BP_KM,$E54)/1000</f>
        <v>1040000</v>
      </c>
      <c r="AA54" s="1091" t="str">
        <f t="shared" si="183"/>
        <v/>
      </c>
      <c r="AB54" s="1091"/>
      <c r="AC54" s="1146">
        <f t="shared" si="111"/>
        <v>1040000</v>
      </c>
      <c r="AD54" s="1091" t="str">
        <f t="shared" si="184"/>
        <v/>
      </c>
      <c r="AE54" s="1091"/>
      <c r="AF54" s="1146">
        <f t="shared" si="114"/>
        <v>1040000</v>
      </c>
      <c r="AG54" s="1091" t="str">
        <f t="shared" si="185"/>
        <v/>
      </c>
      <c r="AH54" s="1091"/>
      <c r="AI54" s="1146">
        <f>SUMIFS(BP_SOTIEN,BP_THANG,AI$2,BP_KM,$E54)/1000</f>
        <v>1040000</v>
      </c>
      <c r="AJ54" s="1091" t="str">
        <f t="shared" si="186"/>
        <v/>
      </c>
      <c r="AK54" s="1091"/>
      <c r="AL54" s="1146">
        <f>SUMIFS(BP_SOTIEN,BP_THANG,AL$2,BP_KM,$E54)/1000</f>
        <v>1040000</v>
      </c>
      <c r="AM54" s="1091" t="str">
        <f t="shared" si="187"/>
        <v/>
      </c>
      <c r="AN54" s="1091"/>
      <c r="AO54" s="1091" t="str">
        <f t="shared" si="27"/>
        <v/>
      </c>
      <c r="AP54" s="1146">
        <f>SUMIFS(BP_SOTIEN,BP_THANG,AP$2,BP_KM,$E54)/1000</f>
        <v>1040000</v>
      </c>
      <c r="AQ54" s="1091" t="str">
        <f t="shared" si="188"/>
        <v/>
      </c>
      <c r="AR54" s="1091"/>
      <c r="AS54" s="1146">
        <f t="shared" si="123"/>
        <v>1040000</v>
      </c>
      <c r="AT54" s="1091" t="str">
        <f t="shared" si="189"/>
        <v/>
      </c>
      <c r="AU54" s="1091"/>
      <c r="AV54" s="1146">
        <f>SUMIFS(BP_SOTIEN,BP_THANG,AV$2,BP_KM,$E54)/1000</f>
        <v>1040000</v>
      </c>
      <c r="AW54" s="1091" t="str">
        <f t="shared" si="190"/>
        <v/>
      </c>
      <c r="AX54" s="1091"/>
      <c r="AY54" s="1146">
        <f>SUMIFS(BP_SOTIEN,BP_THANG,AY$2,BP_KM,$E54)/1000</f>
        <v>1040000</v>
      </c>
      <c r="AZ54" s="1091" t="str">
        <f t="shared" si="191"/>
        <v/>
      </c>
      <c r="BA54" s="1091"/>
      <c r="BB54" s="1146">
        <f>SUMIFS(BP_SOTIEN,BP_THANG,BB$2,BP_KM,$E54)/1000</f>
        <v>1040000</v>
      </c>
      <c r="BC54" s="1091" t="str">
        <f t="shared" si="192"/>
        <v/>
      </c>
      <c r="BD54" s="1091"/>
      <c r="BE54" s="1146">
        <f t="shared" si="132"/>
        <v>1040000</v>
      </c>
      <c r="BF54" s="1091" t="str">
        <f t="shared" si="193"/>
        <v/>
      </c>
      <c r="BG54" s="1091"/>
      <c r="BH54" s="1146">
        <f t="shared" si="135"/>
        <v>2080000</v>
      </c>
      <c r="BI54" s="1091" t="str">
        <f t="shared" si="194"/>
        <v/>
      </c>
      <c r="BJ54" s="1091"/>
      <c r="BK54" s="1146">
        <f t="shared" si="138"/>
        <v>3120000</v>
      </c>
      <c r="BL54" s="1091" t="str">
        <f t="shared" si="195"/>
        <v/>
      </c>
      <c r="BM54" s="1091"/>
    </row>
    <row r="55" hidden="1" outlineLevel="1">
      <c r="A55" s="737"/>
      <c r="B55" s="737"/>
      <c r="C55" s="737"/>
      <c r="D55" s="737" t="s">
        <v>2832</v>
      </c>
      <c r="E55" s="737" t="s">
        <v>374</v>
      </c>
      <c r="F55" s="748">
        <v>641.0</v>
      </c>
      <c r="G55" s="748">
        <v>3.0</v>
      </c>
      <c r="H55" s="1146">
        <f>SUMIFS(BP_SOTIEN,BP_THANG,H$2,BP_KM,$E55)/1000</f>
        <v>1666</v>
      </c>
      <c r="I55" s="1091" t="str">
        <f t="shared" si="177"/>
        <v/>
      </c>
      <c r="J55" s="1091"/>
      <c r="K55" s="1146">
        <f>SUMIFS(BP_SOTIEN,BP_THANG,K$2,BP_KM,$E55)/1000</f>
        <v>1666</v>
      </c>
      <c r="L55" s="1091" t="str">
        <f t="shared" si="178"/>
        <v/>
      </c>
      <c r="M55" s="1091"/>
      <c r="N55" s="1146">
        <f>SUMIFS(BP_SOTIEN,BP_THANG,N$2,BP_KM,$E55)/1000</f>
        <v>1666</v>
      </c>
      <c r="O55" s="1091" t="str">
        <f t="shared" si="179"/>
        <v/>
      </c>
      <c r="P55" s="1091"/>
      <c r="Q55" s="1146">
        <f t="shared" si="102"/>
        <v>1666</v>
      </c>
      <c r="R55" s="1091" t="str">
        <f t="shared" si="180"/>
        <v/>
      </c>
      <c r="S55" s="1091"/>
      <c r="T55" s="1146">
        <f>SUMIFS(BP_SOTIEN,BP_THANG,T$2,BP_KM,$E55)/1000</f>
        <v>1666</v>
      </c>
      <c r="U55" s="1091" t="str">
        <f t="shared" si="181"/>
        <v/>
      </c>
      <c r="V55" s="1091"/>
      <c r="W55" s="1146">
        <f>SUMIFS(BP_SOTIEN,BP_THANG,W$2,BP_KM,$E55)/1000</f>
        <v>1666</v>
      </c>
      <c r="X55" s="1091" t="str">
        <f t="shared" si="182"/>
        <v/>
      </c>
      <c r="Y55" s="1091"/>
      <c r="Z55" s="1146">
        <f>SUMIFS(BP_SOTIEN,BP_THANG,Z$2,BP_KM,$E55)/1000</f>
        <v>1666</v>
      </c>
      <c r="AA55" s="1091" t="str">
        <f t="shared" si="183"/>
        <v/>
      </c>
      <c r="AB55" s="1091"/>
      <c r="AC55" s="1146">
        <f t="shared" si="111"/>
        <v>1666</v>
      </c>
      <c r="AD55" s="1091" t="str">
        <f t="shared" si="184"/>
        <v/>
      </c>
      <c r="AE55" s="1091"/>
      <c r="AF55" s="1146">
        <f t="shared" si="114"/>
        <v>3332</v>
      </c>
      <c r="AG55" s="1091" t="str">
        <f t="shared" si="185"/>
        <v/>
      </c>
      <c r="AH55" s="1091"/>
      <c r="AI55" s="1146">
        <f>SUMIFS(BP_SOTIEN,BP_THANG,AI$2,BP_KM,$E55)/1000</f>
        <v>1666</v>
      </c>
      <c r="AJ55" s="1091" t="str">
        <f t="shared" si="186"/>
        <v/>
      </c>
      <c r="AK55" s="1091"/>
      <c r="AL55" s="1146">
        <f>SUMIFS(BP_SOTIEN,BP_THANG,AL$2,BP_KM,$E55)/1000</f>
        <v>1666</v>
      </c>
      <c r="AM55" s="1091" t="str">
        <f t="shared" si="187"/>
        <v/>
      </c>
      <c r="AN55" s="1091"/>
      <c r="AO55" s="1091" t="str">
        <f t="shared" si="27"/>
        <v/>
      </c>
      <c r="AP55" s="1146">
        <f>SUMIFS(BP_SOTIEN,BP_THANG,AP$2,BP_KM,$E55)/1000</f>
        <v>1666</v>
      </c>
      <c r="AQ55" s="1091" t="str">
        <f t="shared" si="188"/>
        <v/>
      </c>
      <c r="AR55" s="1091"/>
      <c r="AS55" s="1146">
        <f t="shared" si="123"/>
        <v>1666</v>
      </c>
      <c r="AT55" s="1091" t="str">
        <f t="shared" si="189"/>
        <v/>
      </c>
      <c r="AU55" s="1091"/>
      <c r="AV55" s="1146">
        <f>SUMIFS(BP_SOTIEN,BP_THANG,AV$2,BP_KM,$E55)/1000</f>
        <v>1666</v>
      </c>
      <c r="AW55" s="1091" t="str">
        <f t="shared" si="190"/>
        <v/>
      </c>
      <c r="AX55" s="1091"/>
      <c r="AY55" s="1146">
        <f>SUMIFS(BP_SOTIEN,BP_THANG,AY$2,BP_KM,$E55)/1000</f>
        <v>1666</v>
      </c>
      <c r="AZ55" s="1091" t="str">
        <f t="shared" si="191"/>
        <v/>
      </c>
      <c r="BA55" s="1091"/>
      <c r="BB55" s="1146">
        <f>SUMIFS(BP_SOTIEN,BP_THANG,BB$2,BP_KM,$E55)/1000</f>
        <v>1666</v>
      </c>
      <c r="BC55" s="1091" t="str">
        <f t="shared" si="192"/>
        <v/>
      </c>
      <c r="BD55" s="1091"/>
      <c r="BE55" s="1146">
        <f t="shared" si="132"/>
        <v>1666</v>
      </c>
      <c r="BF55" s="1091" t="str">
        <f t="shared" si="193"/>
        <v/>
      </c>
      <c r="BG55" s="1091"/>
      <c r="BH55" s="1146">
        <f t="shared" si="135"/>
        <v>3332</v>
      </c>
      <c r="BI55" s="1091" t="str">
        <f t="shared" si="194"/>
        <v/>
      </c>
      <c r="BJ55" s="1091"/>
      <c r="BK55" s="1146">
        <f t="shared" si="138"/>
        <v>6664</v>
      </c>
      <c r="BL55" s="1091" t="str">
        <f t="shared" si="195"/>
        <v/>
      </c>
      <c r="BM55" s="1091"/>
    </row>
    <row r="56" hidden="1" outlineLevel="1">
      <c r="A56" s="1087"/>
      <c r="B56" s="1087"/>
      <c r="C56" s="1087"/>
      <c r="D56" s="1087" t="s">
        <v>2833</v>
      </c>
      <c r="E56" s="1087" t="s">
        <v>169</v>
      </c>
      <c r="F56" s="1087"/>
      <c r="G56" s="1086">
        <v>2.0</v>
      </c>
      <c r="H56" s="1088">
        <f>SUMIFS(BP_SOTIEN,BP_THANG,H$2,BP_KM,$E56)/1000</f>
        <v>10643</v>
      </c>
      <c r="I56" s="1091" t="str">
        <f t="shared" si="177"/>
        <v/>
      </c>
      <c r="J56" s="1091"/>
      <c r="K56" s="1088">
        <f>SUMIFS(BP_SOTIEN,BP_THANG,K$2,BP_KM,$E56)/1000</f>
        <v>10643</v>
      </c>
      <c r="L56" s="1091" t="str">
        <f t="shared" si="178"/>
        <v/>
      </c>
      <c r="M56" s="1091"/>
      <c r="N56" s="1088">
        <f>SUMIFS(BP_SOTIEN,BP_THANG,N$2,BP_KM,$E56)/1000</f>
        <v>10643</v>
      </c>
      <c r="O56" s="1091" t="str">
        <f t="shared" si="179"/>
        <v/>
      </c>
      <c r="P56" s="1091"/>
      <c r="Q56" s="1088">
        <f t="shared" si="102"/>
        <v>10643</v>
      </c>
      <c r="R56" s="1091" t="str">
        <f t="shared" si="180"/>
        <v/>
      </c>
      <c r="S56" s="1091">
        <f t="shared" ref="S56:S67" si="203">IFERROR(Q56/Q$50,"")</f>
        <v>0.2001692684</v>
      </c>
      <c r="T56" s="1088">
        <f>SUMIFS(BP_SOTIEN,BP_THANG,T$2,BP_KM,$E56)/1000</f>
        <v>10643</v>
      </c>
      <c r="U56" s="1091" t="str">
        <f t="shared" si="181"/>
        <v/>
      </c>
      <c r="V56" s="1091"/>
      <c r="W56" s="1088">
        <f>SUMIFS(BP_SOTIEN,BP_THANG,W$2,BP_KM,$E56)/1000</f>
        <v>10643</v>
      </c>
      <c r="X56" s="1091" t="str">
        <f t="shared" si="182"/>
        <v/>
      </c>
      <c r="Y56" s="1091"/>
      <c r="Z56" s="1088">
        <f>SUMIFS(BP_SOTIEN,BP_THANG,Z$2,BP_KM,$E56)/1000</f>
        <v>10643</v>
      </c>
      <c r="AA56" s="1091" t="str">
        <f t="shared" si="183"/>
        <v/>
      </c>
      <c r="AB56" s="1091"/>
      <c r="AC56" s="1088">
        <f t="shared" si="111"/>
        <v>10643</v>
      </c>
      <c r="AD56" s="1091" t="str">
        <f t="shared" si="184"/>
        <v/>
      </c>
      <c r="AE56" s="1091">
        <f t="shared" ref="AE56:AE67" si="204">IFERROR(AC56/AC$50,"")</f>
        <v>0.001380384609</v>
      </c>
      <c r="AF56" s="1088">
        <f t="shared" si="114"/>
        <v>21286</v>
      </c>
      <c r="AG56" s="1091" t="str">
        <f t="shared" si="185"/>
        <v/>
      </c>
      <c r="AH56" s="1091">
        <f t="shared" ref="AH56:AH67" si="205">IFERROR(AF56/AF$50,"")</f>
        <v>0.002741861106</v>
      </c>
      <c r="AI56" s="1088">
        <f>SUMIFS(BP_SOTIEN,BP_THANG,AI$2,BP_KM,$E56)/1000</f>
        <v>10643</v>
      </c>
      <c r="AJ56" s="1091" t="str">
        <f t="shared" si="186"/>
        <v/>
      </c>
      <c r="AK56" s="1091"/>
      <c r="AL56" s="1088">
        <f>SUMIFS(BP_SOTIEN,BP_THANG,AL$2,BP_KM,$E56)/1000</f>
        <v>10643</v>
      </c>
      <c r="AM56" s="1091" t="str">
        <f t="shared" si="187"/>
        <v/>
      </c>
      <c r="AN56" s="1091"/>
      <c r="AO56" s="1091" t="str">
        <f t="shared" si="27"/>
        <v/>
      </c>
      <c r="AP56" s="1088">
        <f>SUMIFS(BP_SOTIEN,BP_THANG,AP$2,BP_KM,$E56)/1000</f>
        <v>10643</v>
      </c>
      <c r="AQ56" s="1091" t="str">
        <f t="shared" si="188"/>
        <v/>
      </c>
      <c r="AR56" s="1091"/>
      <c r="AS56" s="1088">
        <f t="shared" si="123"/>
        <v>10643</v>
      </c>
      <c r="AT56" s="1091" t="str">
        <f t="shared" si="189"/>
        <v/>
      </c>
      <c r="AU56" s="1091">
        <f t="shared" ref="AU56:AU67" si="206">IFERROR(AS56/AS$50,"")</f>
        <v>0.001380384609</v>
      </c>
      <c r="AV56" s="1088">
        <f>SUMIFS(BP_SOTIEN,BP_THANG,AV$2,BP_KM,$E56)/1000</f>
        <v>10643</v>
      </c>
      <c r="AW56" s="1091" t="str">
        <f t="shared" si="190"/>
        <v/>
      </c>
      <c r="AX56" s="1091"/>
      <c r="AY56" s="1088">
        <f>SUMIFS(BP_SOTIEN,BP_THANG,AY$2,BP_KM,$E56)/1000</f>
        <v>10643</v>
      </c>
      <c r="AZ56" s="1091" t="str">
        <f t="shared" si="191"/>
        <v/>
      </c>
      <c r="BA56" s="1091"/>
      <c r="BB56" s="1088">
        <f>SUMIFS(BP_SOTIEN,BP_THANG,BB$2,BP_KM,$E56)/1000</f>
        <v>10643</v>
      </c>
      <c r="BC56" s="1091" t="str">
        <f t="shared" si="192"/>
        <v/>
      </c>
      <c r="BD56" s="1091"/>
      <c r="BE56" s="1088">
        <f t="shared" si="132"/>
        <v>10643</v>
      </c>
      <c r="BF56" s="1091" t="str">
        <f t="shared" si="193"/>
        <v/>
      </c>
      <c r="BG56" s="1091">
        <f t="shared" ref="BG56:BG67" si="207">IFERROR(BE56/BE$50,"")</f>
        <v>0.001380384609</v>
      </c>
      <c r="BH56" s="1088">
        <f t="shared" si="135"/>
        <v>21286</v>
      </c>
      <c r="BI56" s="1091" t="str">
        <f t="shared" si="194"/>
        <v/>
      </c>
      <c r="BJ56" s="1091">
        <f t="shared" ref="BJ56:BJ67" si="208">IFERROR(BH56/BH$50,"")</f>
        <v>0.001380384609</v>
      </c>
      <c r="BK56" s="1088">
        <f t="shared" si="138"/>
        <v>42572</v>
      </c>
      <c r="BL56" s="1091" t="str">
        <f t="shared" si="195"/>
        <v/>
      </c>
      <c r="BM56" s="1091">
        <f t="shared" ref="BM56:BM67" si="209">IFERROR(BK56/BK$50,"")</f>
        <v>0.001836291736</v>
      </c>
    </row>
    <row r="57" hidden="1" outlineLevel="1">
      <c r="A57" s="1087"/>
      <c r="B57" s="1087"/>
      <c r="C57" s="1087"/>
      <c r="D57" s="1087" t="s">
        <v>2834</v>
      </c>
      <c r="E57" s="1087" t="s">
        <v>174</v>
      </c>
      <c r="F57" s="1086">
        <v>641.0</v>
      </c>
      <c r="G57" s="1086">
        <v>2.0</v>
      </c>
      <c r="H57" s="1088">
        <f>SUMIFS(BP_SOTIEN,BP_THANG,H$2,BP_KM,$E57)/1000</f>
        <v>40861</v>
      </c>
      <c r="I57" s="1091" t="str">
        <f t="shared" si="177"/>
        <v/>
      </c>
      <c r="J57" s="1091"/>
      <c r="K57" s="1088">
        <f>SUMIFS(BP_SOTIEN,BP_THANG,K$2,BP_KM,$E57)/1000</f>
        <v>40861</v>
      </c>
      <c r="L57" s="1091" t="str">
        <f t="shared" si="178"/>
        <v/>
      </c>
      <c r="M57" s="1091"/>
      <c r="N57" s="1088">
        <f>SUMIFS(BP_SOTIEN,BP_THANG,N$2,BP_KM,$E57)/1000</f>
        <v>40861</v>
      </c>
      <c r="O57" s="1091" t="str">
        <f t="shared" si="179"/>
        <v/>
      </c>
      <c r="P57" s="1091"/>
      <c r="Q57" s="1088">
        <f t="shared" si="102"/>
        <v>40861</v>
      </c>
      <c r="R57" s="1091" t="str">
        <f t="shared" si="180"/>
        <v/>
      </c>
      <c r="S57" s="1091">
        <f t="shared" si="203"/>
        <v>0.7684972729</v>
      </c>
      <c r="T57" s="1088">
        <f>SUMIFS(BP_SOTIEN,BP_THANG,T$2,BP_KM,$E57)/1000</f>
        <v>40861</v>
      </c>
      <c r="U57" s="1091" t="str">
        <f t="shared" si="181"/>
        <v/>
      </c>
      <c r="V57" s="1091"/>
      <c r="W57" s="1088">
        <f>SUMIFS(BP_SOTIEN,BP_THANG,W$2,BP_KM,$E57)/1000</f>
        <v>40861</v>
      </c>
      <c r="X57" s="1091" t="str">
        <f t="shared" si="182"/>
        <v/>
      </c>
      <c r="Y57" s="1091"/>
      <c r="Z57" s="1088">
        <f>SUMIFS(BP_SOTIEN,BP_THANG,Z$2,BP_KM,$E57)/1000</f>
        <v>40861</v>
      </c>
      <c r="AA57" s="1091" t="str">
        <f t="shared" si="183"/>
        <v/>
      </c>
      <c r="AB57" s="1091"/>
      <c r="AC57" s="1088">
        <f t="shared" si="111"/>
        <v>40861</v>
      </c>
      <c r="AD57" s="1091" t="str">
        <f t="shared" si="184"/>
        <v/>
      </c>
      <c r="AE57" s="1091">
        <f t="shared" si="204"/>
        <v>0.005299623744</v>
      </c>
      <c r="AF57" s="1088">
        <f t="shared" si="114"/>
        <v>81722</v>
      </c>
      <c r="AG57" s="1091" t="str">
        <f t="shared" si="185"/>
        <v/>
      </c>
      <c r="AH57" s="1091">
        <f t="shared" si="205"/>
        <v>0.01052665476</v>
      </c>
      <c r="AI57" s="1088">
        <f>SUMIFS(BP_SOTIEN,BP_THANG,AI$2,BP_KM,$E57)/1000</f>
        <v>40861</v>
      </c>
      <c r="AJ57" s="1091" t="str">
        <f t="shared" si="186"/>
        <v/>
      </c>
      <c r="AK57" s="1091"/>
      <c r="AL57" s="1088">
        <f>SUMIFS(BP_SOTIEN,BP_THANG,AL$2,BP_KM,$E57)/1000</f>
        <v>40861</v>
      </c>
      <c r="AM57" s="1091" t="str">
        <f t="shared" si="187"/>
        <v/>
      </c>
      <c r="AN57" s="1091"/>
      <c r="AO57" s="1091" t="str">
        <f t="shared" si="27"/>
        <v/>
      </c>
      <c r="AP57" s="1088">
        <f>SUMIFS(BP_SOTIEN,BP_THANG,AP$2,BP_KM,$E57)/1000</f>
        <v>40861</v>
      </c>
      <c r="AQ57" s="1091" t="str">
        <f t="shared" si="188"/>
        <v/>
      </c>
      <c r="AR57" s="1091"/>
      <c r="AS57" s="1088">
        <f t="shared" si="123"/>
        <v>40861</v>
      </c>
      <c r="AT57" s="1091" t="str">
        <f t="shared" si="189"/>
        <v/>
      </c>
      <c r="AU57" s="1091">
        <f t="shared" si="206"/>
        <v>0.005299623744</v>
      </c>
      <c r="AV57" s="1088">
        <f>SUMIFS(BP_SOTIEN,BP_THANG,AV$2,BP_KM,$E57)/1000</f>
        <v>40861</v>
      </c>
      <c r="AW57" s="1091" t="str">
        <f t="shared" si="190"/>
        <v/>
      </c>
      <c r="AX57" s="1091"/>
      <c r="AY57" s="1088">
        <f>SUMIFS(BP_SOTIEN,BP_THANG,AY$2,BP_KM,$E57)/1000</f>
        <v>40861</v>
      </c>
      <c r="AZ57" s="1091" t="str">
        <f t="shared" si="191"/>
        <v/>
      </c>
      <c r="BA57" s="1091"/>
      <c r="BB57" s="1088">
        <f>SUMIFS(BP_SOTIEN,BP_THANG,BB$2,BP_KM,$E57)/1000</f>
        <v>40861</v>
      </c>
      <c r="BC57" s="1091" t="str">
        <f t="shared" si="192"/>
        <v/>
      </c>
      <c r="BD57" s="1091"/>
      <c r="BE57" s="1088">
        <f t="shared" si="132"/>
        <v>40861</v>
      </c>
      <c r="BF57" s="1091" t="str">
        <f t="shared" si="193"/>
        <v/>
      </c>
      <c r="BG57" s="1091">
        <f t="shared" si="207"/>
        <v>0.005299623744</v>
      </c>
      <c r="BH57" s="1088">
        <f t="shared" si="135"/>
        <v>81722</v>
      </c>
      <c r="BI57" s="1091" t="str">
        <f t="shared" si="194"/>
        <v/>
      </c>
      <c r="BJ57" s="1091">
        <f t="shared" si="208"/>
        <v>0.005299623744</v>
      </c>
      <c r="BK57" s="1088">
        <f t="shared" si="138"/>
        <v>163444</v>
      </c>
      <c r="BL57" s="1091" t="str">
        <f t="shared" si="195"/>
        <v/>
      </c>
      <c r="BM57" s="1091">
        <f t="shared" si="209"/>
        <v>0.007049959282</v>
      </c>
    </row>
    <row r="58" hidden="1" outlineLevel="1">
      <c r="A58" s="1087"/>
      <c r="B58" s="1087"/>
      <c r="C58" s="1087"/>
      <c r="D58" s="1087" t="s">
        <v>2835</v>
      </c>
      <c r="E58" s="1087" t="s">
        <v>2836</v>
      </c>
      <c r="F58" s="1087"/>
      <c r="G58" s="1086">
        <v>2.0</v>
      </c>
      <c r="H58" s="1088">
        <f>SUMIFS(BP_SOTIEN,BP_THANG,H$2,BP_KM,$E58)/1000</f>
        <v>0</v>
      </c>
      <c r="I58" s="1091" t="str">
        <f t="shared" si="177"/>
        <v/>
      </c>
      <c r="J58" s="1091"/>
      <c r="K58" s="1088">
        <f>SUMIFS(BP_SOTIEN,BP_THANG,K$2,BP_KM,$E58)/1000</f>
        <v>0</v>
      </c>
      <c r="L58" s="1091" t="str">
        <f t="shared" si="178"/>
        <v/>
      </c>
      <c r="M58" s="1091"/>
      <c r="N58" s="1088">
        <f>SUMIFS(BP_SOTIEN,BP_THANG,N$2,BP_KM,$E58)/1000</f>
        <v>0</v>
      </c>
      <c r="O58" s="1091" t="str">
        <f t="shared" si="179"/>
        <v/>
      </c>
      <c r="P58" s="1091"/>
      <c r="Q58" s="1088">
        <f t="shared" si="102"/>
        <v>0</v>
      </c>
      <c r="R58" s="1091" t="str">
        <f t="shared" si="180"/>
        <v/>
      </c>
      <c r="S58" s="1091">
        <f t="shared" si="203"/>
        <v>0</v>
      </c>
      <c r="T58" s="1088">
        <f>SUMIFS(BP_SOTIEN,BP_THANG,T$2,BP_KM,$E58)/1000</f>
        <v>0</v>
      </c>
      <c r="U58" s="1091" t="str">
        <f t="shared" si="181"/>
        <v/>
      </c>
      <c r="V58" s="1091"/>
      <c r="W58" s="1088">
        <f>SUMIFS(BP_SOTIEN,BP_THANG,W$2,BP_KM,$E58)/1000</f>
        <v>0</v>
      </c>
      <c r="X58" s="1091" t="str">
        <f t="shared" si="182"/>
        <v/>
      </c>
      <c r="Y58" s="1091"/>
      <c r="Z58" s="1088">
        <f>SUMIFS(BP_SOTIEN,BP_THANG,Z$2,BP_KM,$E58)/1000</f>
        <v>0</v>
      </c>
      <c r="AA58" s="1091" t="str">
        <f t="shared" si="183"/>
        <v/>
      </c>
      <c r="AB58" s="1091"/>
      <c r="AC58" s="1088">
        <f t="shared" si="111"/>
        <v>0</v>
      </c>
      <c r="AD58" s="1091" t="str">
        <f t="shared" si="184"/>
        <v/>
      </c>
      <c r="AE58" s="1091">
        <f t="shared" si="204"/>
        <v>0</v>
      </c>
      <c r="AF58" s="1088">
        <f t="shared" si="114"/>
        <v>0</v>
      </c>
      <c r="AG58" s="1091" t="str">
        <f t="shared" si="185"/>
        <v/>
      </c>
      <c r="AH58" s="1091">
        <f t="shared" si="205"/>
        <v>0</v>
      </c>
      <c r="AI58" s="1088">
        <f>SUMIFS(BP_SOTIEN,BP_THANG,AI$2,BP_KM,$E58)/1000</f>
        <v>0</v>
      </c>
      <c r="AJ58" s="1091" t="str">
        <f t="shared" si="186"/>
        <v/>
      </c>
      <c r="AK58" s="1091"/>
      <c r="AL58" s="1088">
        <f>SUMIFS(BP_SOTIEN,BP_THANG,AL$2,BP_KM,$E58)/1000</f>
        <v>0</v>
      </c>
      <c r="AM58" s="1091" t="str">
        <f t="shared" si="187"/>
        <v/>
      </c>
      <c r="AN58" s="1091"/>
      <c r="AO58" s="1091" t="str">
        <f t="shared" si="27"/>
        <v/>
      </c>
      <c r="AP58" s="1088">
        <f>SUMIFS(BP_SOTIEN,BP_THANG,AP$2,BP_KM,$E58)/1000</f>
        <v>0</v>
      </c>
      <c r="AQ58" s="1091" t="str">
        <f t="shared" si="188"/>
        <v/>
      </c>
      <c r="AR58" s="1091"/>
      <c r="AS58" s="1088">
        <f t="shared" si="123"/>
        <v>0</v>
      </c>
      <c r="AT58" s="1091" t="str">
        <f t="shared" si="189"/>
        <v/>
      </c>
      <c r="AU58" s="1091">
        <f t="shared" si="206"/>
        <v>0</v>
      </c>
      <c r="AV58" s="1088">
        <f>SUMIFS(BP_SOTIEN,BP_THANG,AV$2,BP_KM,$E58)/1000</f>
        <v>0</v>
      </c>
      <c r="AW58" s="1091" t="str">
        <f t="shared" si="190"/>
        <v/>
      </c>
      <c r="AX58" s="1091"/>
      <c r="AY58" s="1088">
        <f>SUMIFS(BP_SOTIEN,BP_THANG,AY$2,BP_KM,$E58)/1000</f>
        <v>0</v>
      </c>
      <c r="AZ58" s="1091" t="str">
        <f t="shared" si="191"/>
        <v/>
      </c>
      <c r="BA58" s="1091"/>
      <c r="BB58" s="1088">
        <f>SUMIFS(BP_SOTIEN,BP_THANG,BB$2,BP_KM,$E58)/1000</f>
        <v>0</v>
      </c>
      <c r="BC58" s="1091" t="str">
        <f t="shared" si="192"/>
        <v/>
      </c>
      <c r="BD58" s="1091"/>
      <c r="BE58" s="1088">
        <f t="shared" si="132"/>
        <v>0</v>
      </c>
      <c r="BF58" s="1091" t="str">
        <f t="shared" si="193"/>
        <v/>
      </c>
      <c r="BG58" s="1091">
        <f t="shared" si="207"/>
        <v>0</v>
      </c>
      <c r="BH58" s="1088">
        <f t="shared" si="135"/>
        <v>0</v>
      </c>
      <c r="BI58" s="1091" t="str">
        <f t="shared" si="194"/>
        <v/>
      </c>
      <c r="BJ58" s="1091">
        <f t="shared" si="208"/>
        <v>0</v>
      </c>
      <c r="BK58" s="1088">
        <f t="shared" si="138"/>
        <v>0</v>
      </c>
      <c r="BL58" s="1091" t="str">
        <f t="shared" si="195"/>
        <v/>
      </c>
      <c r="BM58" s="1091">
        <f t="shared" si="209"/>
        <v>0</v>
      </c>
    </row>
    <row r="59" hidden="1" outlineLevel="1">
      <c r="A59" s="1087"/>
      <c r="B59" s="1087"/>
      <c r="C59" s="1087"/>
      <c r="D59" s="656" t="s">
        <v>2837</v>
      </c>
      <c r="E59" s="656" t="s">
        <v>203</v>
      </c>
      <c r="F59" s="1087"/>
      <c r="G59" s="1086">
        <v>2.0</v>
      </c>
      <c r="H59" s="1088">
        <f>SUM(H60:H64)</f>
        <v>0</v>
      </c>
      <c r="I59" s="1091" t="str">
        <f t="shared" si="177"/>
        <v/>
      </c>
      <c r="J59" s="1091"/>
      <c r="K59" s="1088">
        <f>SUM(K60:K64)</f>
        <v>0</v>
      </c>
      <c r="L59" s="1091" t="str">
        <f t="shared" si="178"/>
        <v/>
      </c>
      <c r="M59" s="1091"/>
      <c r="N59" s="1088">
        <f>SUM(N60:N64)</f>
        <v>0</v>
      </c>
      <c r="O59" s="1091" t="str">
        <f t="shared" si="179"/>
        <v/>
      </c>
      <c r="P59" s="1091"/>
      <c r="Q59" s="1088">
        <f>SUM(Q60:Q64)</f>
        <v>0</v>
      </c>
      <c r="R59" s="1091" t="str">
        <f t="shared" si="180"/>
        <v/>
      </c>
      <c r="S59" s="1091">
        <f t="shared" si="203"/>
        <v>0</v>
      </c>
      <c r="T59" s="1088">
        <f>SUM(T60:T64)</f>
        <v>1417000</v>
      </c>
      <c r="U59" s="1091" t="str">
        <f t="shared" si="181"/>
        <v/>
      </c>
      <c r="V59" s="1091"/>
      <c r="W59" s="1088">
        <f>SUM(W60:W64)</f>
        <v>1417000</v>
      </c>
      <c r="X59" s="1091" t="str">
        <f t="shared" si="182"/>
        <v/>
      </c>
      <c r="Y59" s="1091"/>
      <c r="Z59" s="1088">
        <f>SUM(Z60:Z64)</f>
        <v>1417000</v>
      </c>
      <c r="AA59" s="1091" t="str">
        <f t="shared" si="183"/>
        <v/>
      </c>
      <c r="AB59" s="1091"/>
      <c r="AC59" s="1088">
        <f>SUM(AC60:AC64)</f>
        <v>1417000</v>
      </c>
      <c r="AD59" s="1091" t="str">
        <f t="shared" si="184"/>
        <v/>
      </c>
      <c r="AE59" s="1091">
        <f t="shared" si="204"/>
        <v>0.1837832369</v>
      </c>
      <c r="AF59" s="1088">
        <f>SUM(AF60:AF64)</f>
        <v>1417000</v>
      </c>
      <c r="AG59" s="1091" t="str">
        <f t="shared" si="185"/>
        <v/>
      </c>
      <c r="AH59" s="1091">
        <f t="shared" si="205"/>
        <v>0.182524532</v>
      </c>
      <c r="AI59" s="1088">
        <f>SUM(AI60:AI64)</f>
        <v>1417000</v>
      </c>
      <c r="AJ59" s="1091" t="str">
        <f t="shared" si="186"/>
        <v/>
      </c>
      <c r="AK59" s="1091"/>
      <c r="AL59" s="1088">
        <f>SUM(AL60:AL64)</f>
        <v>1417000</v>
      </c>
      <c r="AM59" s="1091" t="str">
        <f t="shared" si="187"/>
        <v/>
      </c>
      <c r="AN59" s="1091"/>
      <c r="AO59" s="1091" t="str">
        <f t="shared" si="27"/>
        <v/>
      </c>
      <c r="AP59" s="1088">
        <f>SUM(AP60:AP64)</f>
        <v>1417000</v>
      </c>
      <c r="AQ59" s="1091" t="str">
        <f t="shared" si="188"/>
        <v/>
      </c>
      <c r="AR59" s="1091"/>
      <c r="AS59" s="1088">
        <f>SUM(AS60:AS64)</f>
        <v>1417000</v>
      </c>
      <c r="AT59" s="1091" t="str">
        <f t="shared" si="189"/>
        <v/>
      </c>
      <c r="AU59" s="1091">
        <f t="shared" si="206"/>
        <v>0.1837832369</v>
      </c>
      <c r="AV59" s="1088">
        <f>SUM(AV60:AV64)</f>
        <v>1417000</v>
      </c>
      <c r="AW59" s="1091" t="str">
        <f t="shared" si="190"/>
        <v/>
      </c>
      <c r="AX59" s="1091"/>
      <c r="AY59" s="1088">
        <f>SUM(AY60:AY64)</f>
        <v>1417000</v>
      </c>
      <c r="AZ59" s="1091" t="str">
        <f t="shared" si="191"/>
        <v/>
      </c>
      <c r="BA59" s="1091"/>
      <c r="BB59" s="1088">
        <f>SUM(BB60:BB64)</f>
        <v>1417000</v>
      </c>
      <c r="BC59" s="1091" t="str">
        <f t="shared" si="192"/>
        <v/>
      </c>
      <c r="BD59" s="1091"/>
      <c r="BE59" s="1088">
        <f>SUM(BE60:BE64)</f>
        <v>1417000</v>
      </c>
      <c r="BF59" s="1091" t="str">
        <f t="shared" si="193"/>
        <v/>
      </c>
      <c r="BG59" s="1091">
        <f t="shared" si="207"/>
        <v>0.1837832369</v>
      </c>
      <c r="BH59" s="1088">
        <f>SUM(BH60:BH64)</f>
        <v>2834000</v>
      </c>
      <c r="BI59" s="1091" t="str">
        <f t="shared" si="194"/>
        <v/>
      </c>
      <c r="BJ59" s="1091">
        <f t="shared" si="208"/>
        <v>0.1837832369</v>
      </c>
      <c r="BK59" s="1088">
        <f>SUM(BK60:BK64)</f>
        <v>4251000</v>
      </c>
      <c r="BL59" s="1091" t="str">
        <f t="shared" si="195"/>
        <v/>
      </c>
      <c r="BM59" s="1091">
        <f t="shared" si="209"/>
        <v>0.1833617441</v>
      </c>
    </row>
    <row r="60" hidden="1" outlineLevel="1">
      <c r="A60" s="737"/>
      <c r="B60" s="737"/>
      <c r="C60" s="737"/>
      <c r="D60" s="744" t="s">
        <v>2838</v>
      </c>
      <c r="E60" s="1148" t="s">
        <v>612</v>
      </c>
      <c r="F60" s="737"/>
      <c r="G60" s="748">
        <v>3.0</v>
      </c>
      <c r="H60" s="1146">
        <f>SUMIFS(BP_SOTIEN,BP_THANG,H$2,BP_KM,$E60)/1000</f>
        <v>0</v>
      </c>
      <c r="I60" s="1091" t="str">
        <f t="shared" si="177"/>
        <v/>
      </c>
      <c r="J60" s="1091"/>
      <c r="K60" s="1146">
        <f>SUMIFS(BP_SOTIEN,BP_THANG,K$2,BP_KM,$E60)/1000</f>
        <v>0</v>
      </c>
      <c r="L60" s="1091" t="str">
        <f t="shared" si="178"/>
        <v/>
      </c>
      <c r="M60" s="1091"/>
      <c r="N60" s="1146">
        <f>SUMIFS(BP_SOTIEN,BP_THANG,N$2,BP_KM,$E60)/1000</f>
        <v>0</v>
      </c>
      <c r="O60" s="1091" t="str">
        <f t="shared" si="179"/>
        <v/>
      </c>
      <c r="P60" s="1091"/>
      <c r="Q60" s="1146">
        <f t="shared" ref="Q60:Q102" si="210">SUMIF(#REF!,#REF!,H60:P60)</f>
        <v>0</v>
      </c>
      <c r="R60" s="1091" t="str">
        <f t="shared" si="180"/>
        <v/>
      </c>
      <c r="S60" s="1091">
        <f t="shared" si="203"/>
        <v>0</v>
      </c>
      <c r="T60" s="1146">
        <f>SUMIFS(BP_SOTIEN,BP_THANG,T$2,BP_KM,$E60)/1000</f>
        <v>0</v>
      </c>
      <c r="U60" s="1091" t="str">
        <f t="shared" si="181"/>
        <v/>
      </c>
      <c r="V60" s="1091"/>
      <c r="W60" s="1146">
        <f>SUMIFS(BP_SOTIEN,BP_THANG,W$2,BP_KM,$E60)/1000</f>
        <v>0</v>
      </c>
      <c r="X60" s="1091" t="str">
        <f t="shared" si="182"/>
        <v/>
      </c>
      <c r="Y60" s="1091"/>
      <c r="Z60" s="1146">
        <f>SUMIFS(BP_SOTIEN,BP_THANG,Z$2,BP_KM,$E60)/1000</f>
        <v>0</v>
      </c>
      <c r="AA60" s="1091" t="str">
        <f t="shared" si="183"/>
        <v/>
      </c>
      <c r="AB60" s="1091"/>
      <c r="AC60" s="1146">
        <f t="shared" ref="AC60:AC102" si="211">SUMIF(#REF!,#REF!,T60:AB60)</f>
        <v>0</v>
      </c>
      <c r="AD60" s="1091" t="str">
        <f t="shared" si="184"/>
        <v/>
      </c>
      <c r="AE60" s="1091">
        <f t="shared" si="204"/>
        <v>0</v>
      </c>
      <c r="AF60" s="1146">
        <f t="shared" ref="AF60:AF102" si="212">Q60+AC60</f>
        <v>0</v>
      </c>
      <c r="AG60" s="1091" t="str">
        <f t="shared" si="185"/>
        <v/>
      </c>
      <c r="AH60" s="1091">
        <f t="shared" si="205"/>
        <v>0</v>
      </c>
      <c r="AI60" s="1146">
        <f>SUMIFS(BP_SOTIEN,BP_THANG,AI$2,BP_KM,$E60)/1000</f>
        <v>0</v>
      </c>
      <c r="AJ60" s="1091" t="str">
        <f t="shared" si="186"/>
        <v/>
      </c>
      <c r="AK60" s="1091"/>
      <c r="AL60" s="1146">
        <f>SUMIFS(BP_SOTIEN,BP_THANG,AL$2,BP_KM,$E60)/1000</f>
        <v>0</v>
      </c>
      <c r="AM60" s="1091" t="str">
        <f t="shared" si="187"/>
        <v/>
      </c>
      <c r="AN60" s="1091"/>
      <c r="AO60" s="1091" t="str">
        <f t="shared" si="27"/>
        <v/>
      </c>
      <c r="AP60" s="1146">
        <f>SUMIFS(BP_SOTIEN,BP_THANG,AP$2,BP_KM,$E60)/1000</f>
        <v>0</v>
      </c>
      <c r="AQ60" s="1091" t="str">
        <f t="shared" si="188"/>
        <v/>
      </c>
      <c r="AR60" s="1091"/>
      <c r="AS60" s="1146">
        <f t="shared" ref="AS60:AS105" si="213">SUMIF(#REF!,#REF!,AI60:AR60)</f>
        <v>0</v>
      </c>
      <c r="AT60" s="1091" t="str">
        <f t="shared" si="189"/>
        <v/>
      </c>
      <c r="AU60" s="1091">
        <f t="shared" si="206"/>
        <v>0</v>
      </c>
      <c r="AV60" s="1146">
        <f>SUMIFS(BP_SOTIEN,BP_THANG,AV$2,BP_KM,$E60)/1000</f>
        <v>0</v>
      </c>
      <c r="AW60" s="1091" t="str">
        <f t="shared" si="190"/>
        <v/>
      </c>
      <c r="AX60" s="1091"/>
      <c r="AY60" s="1146">
        <f>SUMIFS(BP_SOTIEN,BP_THANG,AY$2,BP_KM,$E60)/1000</f>
        <v>0</v>
      </c>
      <c r="AZ60" s="1091" t="str">
        <f t="shared" si="191"/>
        <v/>
      </c>
      <c r="BA60" s="1091"/>
      <c r="BB60" s="1146">
        <f>SUMIFS(BP_SOTIEN,BP_THANG,BB$2,BP_KM,$E60)/1000</f>
        <v>0</v>
      </c>
      <c r="BC60" s="1091" t="str">
        <f t="shared" si="192"/>
        <v/>
      </c>
      <c r="BD60" s="1091"/>
      <c r="BE60" s="1146">
        <f t="shared" ref="BE60:BE105" si="214">SUMIF(#REF!,#REF!,AV60:BD60)</f>
        <v>0</v>
      </c>
      <c r="BF60" s="1091" t="str">
        <f t="shared" si="193"/>
        <v/>
      </c>
      <c r="BG60" s="1091">
        <f t="shared" si="207"/>
        <v>0</v>
      </c>
      <c r="BH60" s="1146">
        <f t="shared" ref="BH60:BH105" si="215">AS60+BE60</f>
        <v>0</v>
      </c>
      <c r="BI60" s="1091" t="str">
        <f t="shared" si="194"/>
        <v/>
      </c>
      <c r="BJ60" s="1091">
        <f t="shared" si="208"/>
        <v>0</v>
      </c>
      <c r="BK60" s="1146">
        <f t="shared" ref="BK60:BK105" si="216">AF60+BH60</f>
        <v>0</v>
      </c>
      <c r="BL60" s="1091" t="str">
        <f t="shared" si="195"/>
        <v/>
      </c>
      <c r="BM60" s="1091">
        <f t="shared" si="209"/>
        <v>0</v>
      </c>
    </row>
    <row r="61" hidden="1" outlineLevel="1">
      <c r="A61" s="737"/>
      <c r="B61" s="737"/>
      <c r="C61" s="737"/>
      <c r="D61" s="744" t="s">
        <v>2839</v>
      </c>
      <c r="E61" s="1148" t="s">
        <v>1170</v>
      </c>
      <c r="F61" s="737"/>
      <c r="G61" s="748">
        <v>3.0</v>
      </c>
      <c r="H61" s="1146">
        <f>SUMIFS(BP_SOTIEN,BP_THANG,H$2,BP_KM,$E61)/1000</f>
        <v>0</v>
      </c>
      <c r="I61" s="1091" t="str">
        <f t="shared" si="177"/>
        <v/>
      </c>
      <c r="J61" s="1091"/>
      <c r="K61" s="1146">
        <f>SUMIFS(BP_SOTIEN,BP_THANG,K$2,BP_KM,$E61)/1000</f>
        <v>0</v>
      </c>
      <c r="L61" s="1091" t="str">
        <f t="shared" si="178"/>
        <v/>
      </c>
      <c r="M61" s="1091"/>
      <c r="N61" s="1146">
        <f>SUMIFS(BP_SOTIEN,BP_THANG,N$2,BP_KM,$E61)/1000</f>
        <v>0</v>
      </c>
      <c r="O61" s="1091" t="str">
        <f t="shared" si="179"/>
        <v/>
      </c>
      <c r="P61" s="1091"/>
      <c r="Q61" s="1146">
        <f t="shared" si="210"/>
        <v>0</v>
      </c>
      <c r="R61" s="1091" t="str">
        <f t="shared" si="180"/>
        <v/>
      </c>
      <c r="S61" s="1091">
        <f t="shared" si="203"/>
        <v>0</v>
      </c>
      <c r="T61" s="1146">
        <f>SUMIFS(BP_SOTIEN,BP_THANG,T$2,BP_KM,$E61)/1000</f>
        <v>130000</v>
      </c>
      <c r="U61" s="1091" t="str">
        <f t="shared" si="181"/>
        <v/>
      </c>
      <c r="V61" s="1091"/>
      <c r="W61" s="1146">
        <f>SUMIFS(BP_SOTIEN,BP_THANG,W$2,BP_KM,$E61)/1000</f>
        <v>130000</v>
      </c>
      <c r="X61" s="1091" t="str">
        <f t="shared" si="182"/>
        <v/>
      </c>
      <c r="Y61" s="1091"/>
      <c r="Z61" s="1146">
        <f>SUMIFS(BP_SOTIEN,BP_THANG,Z$2,BP_KM,$E61)/1000</f>
        <v>130000</v>
      </c>
      <c r="AA61" s="1091" t="str">
        <f t="shared" si="183"/>
        <v/>
      </c>
      <c r="AB61" s="1091"/>
      <c r="AC61" s="1146">
        <f t="shared" si="211"/>
        <v>130000</v>
      </c>
      <c r="AD61" s="1091" t="str">
        <f t="shared" si="184"/>
        <v/>
      </c>
      <c r="AE61" s="1091">
        <f t="shared" si="204"/>
        <v>0.01686084743</v>
      </c>
      <c r="AF61" s="1146">
        <f t="shared" si="212"/>
        <v>130000</v>
      </c>
      <c r="AG61" s="1091" t="str">
        <f t="shared" si="185"/>
        <v/>
      </c>
      <c r="AH61" s="1091">
        <f t="shared" si="205"/>
        <v>0.01674536991</v>
      </c>
      <c r="AI61" s="1146">
        <f>SUMIFS(BP_SOTIEN,BP_THANG,AI$2,BP_KM,$E61)/1000</f>
        <v>130000</v>
      </c>
      <c r="AJ61" s="1091" t="str">
        <f t="shared" si="186"/>
        <v/>
      </c>
      <c r="AK61" s="1091"/>
      <c r="AL61" s="1146">
        <f>SUMIFS(BP_SOTIEN,BP_THANG,AL$2,BP_KM,$E61)/1000</f>
        <v>130000</v>
      </c>
      <c r="AM61" s="1091" t="str">
        <f t="shared" si="187"/>
        <v/>
      </c>
      <c r="AN61" s="1091"/>
      <c r="AO61" s="1091" t="str">
        <f t="shared" si="27"/>
        <v/>
      </c>
      <c r="AP61" s="1146">
        <f>SUMIFS(BP_SOTIEN,BP_THANG,AP$2,BP_KM,$E61)/1000</f>
        <v>130000</v>
      </c>
      <c r="AQ61" s="1091" t="str">
        <f t="shared" si="188"/>
        <v/>
      </c>
      <c r="AR61" s="1091"/>
      <c r="AS61" s="1146">
        <f t="shared" si="213"/>
        <v>130000</v>
      </c>
      <c r="AT61" s="1091" t="str">
        <f t="shared" si="189"/>
        <v/>
      </c>
      <c r="AU61" s="1091">
        <f t="shared" si="206"/>
        <v>0.01686084743</v>
      </c>
      <c r="AV61" s="1146">
        <f>SUMIFS(BP_SOTIEN,BP_THANG,AV$2,BP_KM,$E61)/1000</f>
        <v>130000</v>
      </c>
      <c r="AW61" s="1091" t="str">
        <f t="shared" si="190"/>
        <v/>
      </c>
      <c r="AX61" s="1091"/>
      <c r="AY61" s="1146">
        <f>SUMIFS(BP_SOTIEN,BP_THANG,AY$2,BP_KM,$E61)/1000</f>
        <v>130000</v>
      </c>
      <c r="AZ61" s="1091" t="str">
        <f t="shared" si="191"/>
        <v/>
      </c>
      <c r="BA61" s="1091"/>
      <c r="BB61" s="1146">
        <f>SUMIFS(BP_SOTIEN,BP_THANG,BB$2,BP_KM,$E61)/1000</f>
        <v>130000</v>
      </c>
      <c r="BC61" s="1091" t="str">
        <f t="shared" si="192"/>
        <v/>
      </c>
      <c r="BD61" s="1091"/>
      <c r="BE61" s="1146">
        <f t="shared" si="214"/>
        <v>130000</v>
      </c>
      <c r="BF61" s="1091" t="str">
        <f t="shared" si="193"/>
        <v/>
      </c>
      <c r="BG61" s="1091">
        <f t="shared" si="207"/>
        <v>0.01686084743</v>
      </c>
      <c r="BH61" s="1146">
        <f t="shared" si="215"/>
        <v>260000</v>
      </c>
      <c r="BI61" s="1091" t="str">
        <f t="shared" si="194"/>
        <v/>
      </c>
      <c r="BJ61" s="1091">
        <f t="shared" si="208"/>
        <v>0.01686084743</v>
      </c>
      <c r="BK61" s="1146">
        <f t="shared" si="216"/>
        <v>390000</v>
      </c>
      <c r="BL61" s="1091" t="str">
        <f t="shared" si="195"/>
        <v/>
      </c>
      <c r="BM61" s="1091">
        <f t="shared" si="209"/>
        <v>0.01682217836</v>
      </c>
    </row>
    <row r="62" hidden="1" outlineLevel="1">
      <c r="A62" s="737"/>
      <c r="B62" s="737"/>
      <c r="C62" s="737"/>
      <c r="D62" s="744" t="s">
        <v>2840</v>
      </c>
      <c r="E62" s="1148" t="s">
        <v>1142</v>
      </c>
      <c r="F62" s="737"/>
      <c r="G62" s="748">
        <v>3.0</v>
      </c>
      <c r="H62" s="1146">
        <f>SUMIFS(BP_SOTIEN,BP_THANG,H$2,BP_KM,$E62)/1000</f>
        <v>0</v>
      </c>
      <c r="I62" s="1091" t="str">
        <f t="shared" si="177"/>
        <v/>
      </c>
      <c r="J62" s="1091"/>
      <c r="K62" s="1146">
        <f>SUMIFS(BP_SOTIEN,BP_THANG,K$2,BP_KM,$E62)/1000</f>
        <v>0</v>
      </c>
      <c r="L62" s="1091" t="str">
        <f t="shared" si="178"/>
        <v/>
      </c>
      <c r="M62" s="1091"/>
      <c r="N62" s="1146">
        <f>SUMIFS(BP_SOTIEN,BP_THANG,N$2,BP_KM,$E62)/1000</f>
        <v>0</v>
      </c>
      <c r="O62" s="1091" t="str">
        <f t="shared" si="179"/>
        <v/>
      </c>
      <c r="P62" s="1091"/>
      <c r="Q62" s="1146">
        <f t="shared" si="210"/>
        <v>0</v>
      </c>
      <c r="R62" s="1091" t="str">
        <f t="shared" si="180"/>
        <v/>
      </c>
      <c r="S62" s="1091">
        <f t="shared" si="203"/>
        <v>0</v>
      </c>
      <c r="T62" s="1146">
        <f>SUMIFS(BP_SOTIEN,BP_THANG,T$2,BP_KM,$E62)/1000</f>
        <v>1248000</v>
      </c>
      <c r="U62" s="1091" t="str">
        <f t="shared" si="181"/>
        <v/>
      </c>
      <c r="V62" s="1091"/>
      <c r="W62" s="1146">
        <f>SUMIFS(BP_SOTIEN,BP_THANG,W$2,BP_KM,$E62)/1000</f>
        <v>1248000</v>
      </c>
      <c r="X62" s="1091" t="str">
        <f t="shared" si="182"/>
        <v/>
      </c>
      <c r="Y62" s="1091"/>
      <c r="Z62" s="1146">
        <f>SUMIFS(BP_SOTIEN,BP_THANG,Z$2,BP_KM,$E62)/1000</f>
        <v>1248000</v>
      </c>
      <c r="AA62" s="1091" t="str">
        <f t="shared" si="183"/>
        <v/>
      </c>
      <c r="AB62" s="1091"/>
      <c r="AC62" s="1146">
        <f t="shared" si="211"/>
        <v>1248000</v>
      </c>
      <c r="AD62" s="1091" t="str">
        <f t="shared" si="184"/>
        <v/>
      </c>
      <c r="AE62" s="1091">
        <f t="shared" si="204"/>
        <v>0.1618641353</v>
      </c>
      <c r="AF62" s="1146">
        <f t="shared" si="212"/>
        <v>1248000</v>
      </c>
      <c r="AG62" s="1091" t="str">
        <f t="shared" si="185"/>
        <v/>
      </c>
      <c r="AH62" s="1091">
        <f t="shared" si="205"/>
        <v>0.1607555511</v>
      </c>
      <c r="AI62" s="1146">
        <f>SUMIFS(BP_SOTIEN,BP_THANG,AI$2,BP_KM,$E62)/1000</f>
        <v>1248000</v>
      </c>
      <c r="AJ62" s="1091" t="str">
        <f t="shared" si="186"/>
        <v/>
      </c>
      <c r="AK62" s="1091"/>
      <c r="AL62" s="1146">
        <f>SUMIFS(BP_SOTIEN,BP_THANG,AL$2,BP_KM,$E62)/1000</f>
        <v>1248000</v>
      </c>
      <c r="AM62" s="1091" t="str">
        <f t="shared" si="187"/>
        <v/>
      </c>
      <c r="AN62" s="1091"/>
      <c r="AO62" s="1091" t="str">
        <f t="shared" si="27"/>
        <v/>
      </c>
      <c r="AP62" s="1146">
        <f>SUMIFS(BP_SOTIEN,BP_THANG,AP$2,BP_KM,$E62)/1000</f>
        <v>1248000</v>
      </c>
      <c r="AQ62" s="1091" t="str">
        <f t="shared" si="188"/>
        <v/>
      </c>
      <c r="AR62" s="1091"/>
      <c r="AS62" s="1146">
        <f t="shared" si="213"/>
        <v>1248000</v>
      </c>
      <c r="AT62" s="1091" t="str">
        <f t="shared" si="189"/>
        <v/>
      </c>
      <c r="AU62" s="1091">
        <f t="shared" si="206"/>
        <v>0.1618641353</v>
      </c>
      <c r="AV62" s="1146">
        <f>SUMIFS(BP_SOTIEN,BP_THANG,AV$2,BP_KM,$E62)/1000</f>
        <v>1248000</v>
      </c>
      <c r="AW62" s="1091" t="str">
        <f t="shared" si="190"/>
        <v/>
      </c>
      <c r="AX62" s="1091"/>
      <c r="AY62" s="1146">
        <f>SUMIFS(BP_SOTIEN,BP_THANG,AY$2,BP_KM,$E62)/1000</f>
        <v>1248000</v>
      </c>
      <c r="AZ62" s="1091" t="str">
        <f t="shared" si="191"/>
        <v/>
      </c>
      <c r="BA62" s="1091"/>
      <c r="BB62" s="1146">
        <f>SUMIFS(BP_SOTIEN,BP_THANG,BB$2,BP_KM,$E62)/1000</f>
        <v>1248000</v>
      </c>
      <c r="BC62" s="1091" t="str">
        <f t="shared" si="192"/>
        <v/>
      </c>
      <c r="BD62" s="1091"/>
      <c r="BE62" s="1146">
        <f t="shared" si="214"/>
        <v>1248000</v>
      </c>
      <c r="BF62" s="1091" t="str">
        <f t="shared" si="193"/>
        <v/>
      </c>
      <c r="BG62" s="1091">
        <f t="shared" si="207"/>
        <v>0.1618641353</v>
      </c>
      <c r="BH62" s="1146">
        <f t="shared" si="215"/>
        <v>2496000</v>
      </c>
      <c r="BI62" s="1091" t="str">
        <f t="shared" si="194"/>
        <v/>
      </c>
      <c r="BJ62" s="1091">
        <f t="shared" si="208"/>
        <v>0.1618641353</v>
      </c>
      <c r="BK62" s="1146">
        <f t="shared" si="216"/>
        <v>3744000</v>
      </c>
      <c r="BL62" s="1091" t="str">
        <f t="shared" si="195"/>
        <v/>
      </c>
      <c r="BM62" s="1091">
        <f t="shared" si="209"/>
        <v>0.1614929123</v>
      </c>
    </row>
    <row r="63" hidden="1" outlineLevel="1">
      <c r="A63" s="737"/>
      <c r="B63" s="737"/>
      <c r="C63" s="737"/>
      <c r="D63" s="744" t="s">
        <v>2841</v>
      </c>
      <c r="E63" s="1148" t="s">
        <v>2243</v>
      </c>
      <c r="F63" s="737"/>
      <c r="G63" s="748">
        <v>3.0</v>
      </c>
      <c r="H63" s="1146">
        <f>SUMIFS(BP_SOTIEN,BP_THANG,H$2,BP_KM,$E63)/1000</f>
        <v>0</v>
      </c>
      <c r="I63" s="1091" t="str">
        <f t="shared" si="177"/>
        <v/>
      </c>
      <c r="J63" s="1091"/>
      <c r="K63" s="1146">
        <f>SUMIFS(BP_SOTIEN,BP_THANG,K$2,BP_KM,$E63)/1000</f>
        <v>0</v>
      </c>
      <c r="L63" s="1091" t="str">
        <f t="shared" si="178"/>
        <v/>
      </c>
      <c r="M63" s="1091"/>
      <c r="N63" s="1146">
        <f>SUMIFS(BP_SOTIEN,BP_THANG,N$2,BP_KM,$E63)/1000</f>
        <v>0</v>
      </c>
      <c r="O63" s="1091" t="str">
        <f t="shared" si="179"/>
        <v/>
      </c>
      <c r="P63" s="1091"/>
      <c r="Q63" s="1146">
        <f t="shared" si="210"/>
        <v>0</v>
      </c>
      <c r="R63" s="1091" t="str">
        <f t="shared" si="180"/>
        <v/>
      </c>
      <c r="S63" s="1091">
        <f t="shared" si="203"/>
        <v>0</v>
      </c>
      <c r="T63" s="1146">
        <f>SUMIFS(BP_SOTIEN,BP_THANG,T$2,BP_KM,$E63)/1000</f>
        <v>39000</v>
      </c>
      <c r="U63" s="1091" t="str">
        <f t="shared" si="181"/>
        <v/>
      </c>
      <c r="V63" s="1091"/>
      <c r="W63" s="1146">
        <f>SUMIFS(BP_SOTIEN,BP_THANG,W$2,BP_KM,$E63)/1000</f>
        <v>39000</v>
      </c>
      <c r="X63" s="1091" t="str">
        <f t="shared" si="182"/>
        <v/>
      </c>
      <c r="Y63" s="1091"/>
      <c r="Z63" s="1146">
        <f>SUMIFS(BP_SOTIEN,BP_THANG,Z$2,BP_KM,$E63)/1000</f>
        <v>39000</v>
      </c>
      <c r="AA63" s="1091" t="str">
        <f t="shared" si="183"/>
        <v/>
      </c>
      <c r="AB63" s="1091"/>
      <c r="AC63" s="1146">
        <f t="shared" si="211"/>
        <v>39000</v>
      </c>
      <c r="AD63" s="1091" t="str">
        <f t="shared" si="184"/>
        <v/>
      </c>
      <c r="AE63" s="1091">
        <f t="shared" si="204"/>
        <v>0.005058254228</v>
      </c>
      <c r="AF63" s="1146">
        <f t="shared" si="212"/>
        <v>39000</v>
      </c>
      <c r="AG63" s="1091" t="str">
        <f t="shared" si="185"/>
        <v/>
      </c>
      <c r="AH63" s="1091">
        <f t="shared" si="205"/>
        <v>0.005023610972</v>
      </c>
      <c r="AI63" s="1146">
        <f>SUMIFS(BP_SOTIEN,BP_THANG,AI$2,BP_KM,$E63)/1000</f>
        <v>39000</v>
      </c>
      <c r="AJ63" s="1091" t="str">
        <f t="shared" si="186"/>
        <v/>
      </c>
      <c r="AK63" s="1091"/>
      <c r="AL63" s="1146">
        <f>SUMIFS(BP_SOTIEN,BP_THANG,AL$2,BP_KM,$E63)/1000</f>
        <v>39000</v>
      </c>
      <c r="AM63" s="1091" t="str">
        <f t="shared" si="187"/>
        <v/>
      </c>
      <c r="AN63" s="1091"/>
      <c r="AO63" s="1091" t="str">
        <f t="shared" si="27"/>
        <v/>
      </c>
      <c r="AP63" s="1146">
        <f>SUMIFS(BP_SOTIEN,BP_THANG,AP$2,BP_KM,$E63)/1000</f>
        <v>39000</v>
      </c>
      <c r="AQ63" s="1091" t="str">
        <f t="shared" si="188"/>
        <v/>
      </c>
      <c r="AR63" s="1091"/>
      <c r="AS63" s="1146">
        <f t="shared" si="213"/>
        <v>39000</v>
      </c>
      <c r="AT63" s="1091" t="str">
        <f t="shared" si="189"/>
        <v/>
      </c>
      <c r="AU63" s="1091">
        <f t="shared" si="206"/>
        <v>0.005058254228</v>
      </c>
      <c r="AV63" s="1146">
        <f>SUMIFS(BP_SOTIEN,BP_THANG,AV$2,BP_KM,$E63)/1000</f>
        <v>39000</v>
      </c>
      <c r="AW63" s="1091" t="str">
        <f t="shared" si="190"/>
        <v/>
      </c>
      <c r="AX63" s="1091"/>
      <c r="AY63" s="1146">
        <f>SUMIFS(BP_SOTIEN,BP_THANG,AY$2,BP_KM,$E63)/1000</f>
        <v>39000</v>
      </c>
      <c r="AZ63" s="1091" t="str">
        <f t="shared" si="191"/>
        <v/>
      </c>
      <c r="BA63" s="1091"/>
      <c r="BB63" s="1146">
        <f>SUMIFS(BP_SOTIEN,BP_THANG,BB$2,BP_KM,$E63)/1000</f>
        <v>39000</v>
      </c>
      <c r="BC63" s="1091" t="str">
        <f t="shared" si="192"/>
        <v/>
      </c>
      <c r="BD63" s="1091"/>
      <c r="BE63" s="1146">
        <f t="shared" si="214"/>
        <v>39000</v>
      </c>
      <c r="BF63" s="1091" t="str">
        <f t="shared" si="193"/>
        <v/>
      </c>
      <c r="BG63" s="1091">
        <f t="shared" si="207"/>
        <v>0.005058254228</v>
      </c>
      <c r="BH63" s="1146">
        <f t="shared" si="215"/>
        <v>78000</v>
      </c>
      <c r="BI63" s="1091" t="str">
        <f t="shared" si="194"/>
        <v/>
      </c>
      <c r="BJ63" s="1091">
        <f t="shared" si="208"/>
        <v>0.005058254228</v>
      </c>
      <c r="BK63" s="1146">
        <f t="shared" si="216"/>
        <v>117000</v>
      </c>
      <c r="BL63" s="1091" t="str">
        <f t="shared" si="195"/>
        <v/>
      </c>
      <c r="BM63" s="1091">
        <f t="shared" si="209"/>
        <v>0.005046653508</v>
      </c>
    </row>
    <row r="64" hidden="1" outlineLevel="1">
      <c r="A64" s="737"/>
      <c r="B64" s="737"/>
      <c r="C64" s="737"/>
      <c r="D64" s="737"/>
      <c r="E64" s="737"/>
      <c r="F64" s="737"/>
      <c r="G64" s="748">
        <v>3.0</v>
      </c>
      <c r="H64" s="1146">
        <f>SUMIFS(BP_SOTIEN,BP_THANG,H$2,BP_KM,$E64)/1000</f>
        <v>0</v>
      </c>
      <c r="I64" s="1091" t="str">
        <f t="shared" si="177"/>
        <v/>
      </c>
      <c r="J64" s="1091"/>
      <c r="K64" s="1146">
        <f>SUMIFS(BP_SOTIEN,BP_THANG,K$2,BP_KM,$E64)/1000</f>
        <v>0</v>
      </c>
      <c r="L64" s="1091" t="str">
        <f t="shared" si="178"/>
        <v/>
      </c>
      <c r="M64" s="1091"/>
      <c r="N64" s="1146">
        <f>SUMIFS(BP_SOTIEN,BP_THANG,N$2,BP_KM,$E64)/1000</f>
        <v>0</v>
      </c>
      <c r="O64" s="1091" t="str">
        <f t="shared" si="179"/>
        <v/>
      </c>
      <c r="P64" s="1091"/>
      <c r="Q64" s="1146">
        <f t="shared" si="210"/>
        <v>0</v>
      </c>
      <c r="R64" s="1091" t="str">
        <f t="shared" si="180"/>
        <v/>
      </c>
      <c r="S64" s="1091">
        <f t="shared" si="203"/>
        <v>0</v>
      </c>
      <c r="T64" s="1146">
        <f>SUMIFS(BP_SOTIEN,BP_THANG,T$2,BP_KM,$E64)/1000</f>
        <v>0</v>
      </c>
      <c r="U64" s="1091" t="str">
        <f t="shared" si="181"/>
        <v/>
      </c>
      <c r="V64" s="1091"/>
      <c r="W64" s="1146">
        <f>SUMIFS(BP_SOTIEN,BP_THANG,W$2,BP_KM,$E64)/1000</f>
        <v>0</v>
      </c>
      <c r="X64" s="1091" t="str">
        <f t="shared" si="182"/>
        <v/>
      </c>
      <c r="Y64" s="1091"/>
      <c r="Z64" s="1146">
        <f>SUMIFS(BP_SOTIEN,BP_THANG,Z$2,BP_KM,$E64)/1000</f>
        <v>0</v>
      </c>
      <c r="AA64" s="1091" t="str">
        <f t="shared" si="183"/>
        <v/>
      </c>
      <c r="AB64" s="1091"/>
      <c r="AC64" s="1146">
        <f t="shared" si="211"/>
        <v>0</v>
      </c>
      <c r="AD64" s="1091" t="str">
        <f t="shared" si="184"/>
        <v/>
      </c>
      <c r="AE64" s="1091">
        <f t="shared" si="204"/>
        <v>0</v>
      </c>
      <c r="AF64" s="1146">
        <f t="shared" si="212"/>
        <v>0</v>
      </c>
      <c r="AG64" s="1091" t="str">
        <f t="shared" si="185"/>
        <v/>
      </c>
      <c r="AH64" s="1091">
        <f t="shared" si="205"/>
        <v>0</v>
      </c>
      <c r="AI64" s="1146">
        <f>SUMIFS(BP_SOTIEN,BP_THANG,AI$2,BP_KM,$E64)/1000</f>
        <v>0</v>
      </c>
      <c r="AJ64" s="1091" t="str">
        <f t="shared" si="186"/>
        <v/>
      </c>
      <c r="AK64" s="1091"/>
      <c r="AL64" s="1146">
        <f>SUMIFS(BP_SOTIEN,BP_THANG,AL$2,BP_KM,$E64)/1000</f>
        <v>0</v>
      </c>
      <c r="AM64" s="1091" t="str">
        <f t="shared" si="187"/>
        <v/>
      </c>
      <c r="AN64" s="1091"/>
      <c r="AO64" s="1091" t="str">
        <f t="shared" si="27"/>
        <v/>
      </c>
      <c r="AP64" s="1146">
        <f>SUMIFS(BP_SOTIEN,BP_THANG,AP$2,BP_KM,$E64)/1000</f>
        <v>0</v>
      </c>
      <c r="AQ64" s="1091" t="str">
        <f t="shared" si="188"/>
        <v/>
      </c>
      <c r="AR64" s="1091"/>
      <c r="AS64" s="1146">
        <f t="shared" si="213"/>
        <v>0</v>
      </c>
      <c r="AT64" s="1091" t="str">
        <f t="shared" si="189"/>
        <v/>
      </c>
      <c r="AU64" s="1091">
        <f t="shared" si="206"/>
        <v>0</v>
      </c>
      <c r="AV64" s="1146">
        <f>SUMIFS(BP_SOTIEN,BP_THANG,AV$2,BP_KM,$E64)/1000</f>
        <v>0</v>
      </c>
      <c r="AW64" s="1091" t="str">
        <f t="shared" si="190"/>
        <v/>
      </c>
      <c r="AX64" s="1091"/>
      <c r="AY64" s="1146">
        <f>SUMIFS(BP_SOTIEN,BP_THANG,AY$2,BP_KM,$E64)/1000</f>
        <v>0</v>
      </c>
      <c r="AZ64" s="1091" t="str">
        <f t="shared" si="191"/>
        <v/>
      </c>
      <c r="BA64" s="1091"/>
      <c r="BB64" s="1146">
        <f>SUMIFS(BP_SOTIEN,BP_THANG,BB$2,BP_KM,$E64)/1000</f>
        <v>0</v>
      </c>
      <c r="BC64" s="1091" t="str">
        <f t="shared" si="192"/>
        <v/>
      </c>
      <c r="BD64" s="1091"/>
      <c r="BE64" s="1146">
        <f t="shared" si="214"/>
        <v>0</v>
      </c>
      <c r="BF64" s="1091" t="str">
        <f t="shared" si="193"/>
        <v/>
      </c>
      <c r="BG64" s="1091">
        <f t="shared" si="207"/>
        <v>0</v>
      </c>
      <c r="BH64" s="1146">
        <f t="shared" si="215"/>
        <v>0</v>
      </c>
      <c r="BI64" s="1091" t="str">
        <f t="shared" si="194"/>
        <v/>
      </c>
      <c r="BJ64" s="1091">
        <f t="shared" si="208"/>
        <v>0</v>
      </c>
      <c r="BK64" s="1146">
        <f t="shared" si="216"/>
        <v>0</v>
      </c>
      <c r="BL64" s="1091" t="str">
        <f t="shared" si="195"/>
        <v/>
      </c>
      <c r="BM64" s="1091">
        <f t="shared" si="209"/>
        <v>0</v>
      </c>
    </row>
    <row r="65" hidden="1" outlineLevel="1">
      <c r="A65" s="1087"/>
      <c r="B65" s="1087"/>
      <c r="C65" s="1087"/>
      <c r="D65" s="1087" t="s">
        <v>2842</v>
      </c>
      <c r="E65" s="1087" t="s">
        <v>734</v>
      </c>
      <c r="F65" s="1087"/>
      <c r="G65" s="1086">
        <v>2.0</v>
      </c>
      <c r="H65" s="1088">
        <f>SUMIFS(BP_SOTIEN,BP_THANG,H$2,BP_KM,$E65)/1000</f>
        <v>0</v>
      </c>
      <c r="I65" s="1091" t="str">
        <f t="shared" si="177"/>
        <v/>
      </c>
      <c r="J65" s="1091"/>
      <c r="K65" s="1088">
        <f>SUMIFS(BP_SOTIEN,BP_THANG,K$2,BP_KM,$E65)/1000</f>
        <v>0</v>
      </c>
      <c r="L65" s="1091" t="str">
        <f t="shared" si="178"/>
        <v/>
      </c>
      <c r="M65" s="1091"/>
      <c r="N65" s="1088">
        <f>SUMIFS(BP_SOTIEN,BP_THANG,N$2,BP_KM,$E65)/1000</f>
        <v>0</v>
      </c>
      <c r="O65" s="1091" t="str">
        <f t="shared" si="179"/>
        <v/>
      </c>
      <c r="P65" s="1091"/>
      <c r="Q65" s="1088">
        <f t="shared" si="210"/>
        <v>0</v>
      </c>
      <c r="R65" s="1091" t="str">
        <f t="shared" si="180"/>
        <v/>
      </c>
      <c r="S65" s="1091">
        <f t="shared" si="203"/>
        <v>0</v>
      </c>
      <c r="T65" s="1088">
        <f>SUMIFS(BP_SOTIEN,BP_THANG,T$2,BP_KM,$E65)/1000</f>
        <v>0</v>
      </c>
      <c r="U65" s="1091" t="str">
        <f t="shared" si="181"/>
        <v/>
      </c>
      <c r="V65" s="1091"/>
      <c r="W65" s="1088">
        <f>SUMIFS(BP_SOTIEN,BP_THANG,W$2,BP_KM,$E65)/1000</f>
        <v>0</v>
      </c>
      <c r="X65" s="1091" t="str">
        <f t="shared" si="182"/>
        <v/>
      </c>
      <c r="Y65" s="1091"/>
      <c r="Z65" s="1088">
        <f>SUMIFS(BP_SOTIEN,BP_THANG,Z$2,BP_KM,$E65)/1000</f>
        <v>0</v>
      </c>
      <c r="AA65" s="1091" t="str">
        <f t="shared" si="183"/>
        <v/>
      </c>
      <c r="AB65" s="1091"/>
      <c r="AC65" s="1088">
        <f t="shared" si="211"/>
        <v>0</v>
      </c>
      <c r="AD65" s="1091" t="str">
        <f t="shared" si="184"/>
        <v/>
      </c>
      <c r="AE65" s="1091">
        <f t="shared" si="204"/>
        <v>0</v>
      </c>
      <c r="AF65" s="1088">
        <f t="shared" si="212"/>
        <v>0</v>
      </c>
      <c r="AG65" s="1091" t="str">
        <f t="shared" si="185"/>
        <v/>
      </c>
      <c r="AH65" s="1091">
        <f t="shared" si="205"/>
        <v>0</v>
      </c>
      <c r="AI65" s="1088">
        <f>SUMIFS(BP_SOTIEN,BP_THANG,AI$2,BP_KM,$E65)/1000</f>
        <v>0</v>
      </c>
      <c r="AJ65" s="1091" t="str">
        <f t="shared" si="186"/>
        <v/>
      </c>
      <c r="AK65" s="1091"/>
      <c r="AL65" s="1088">
        <f>SUMIFS(BP_SOTIEN,BP_THANG,AL$2,BP_KM,$E65)/1000</f>
        <v>0</v>
      </c>
      <c r="AM65" s="1091" t="str">
        <f t="shared" si="187"/>
        <v/>
      </c>
      <c r="AN65" s="1091"/>
      <c r="AO65" s="1091" t="str">
        <f t="shared" si="27"/>
        <v/>
      </c>
      <c r="AP65" s="1088">
        <f>SUMIFS(BP_SOTIEN,BP_THANG,AP$2,BP_KM,$E65)/1000</f>
        <v>0</v>
      </c>
      <c r="AQ65" s="1091" t="str">
        <f t="shared" si="188"/>
        <v/>
      </c>
      <c r="AR65" s="1091"/>
      <c r="AS65" s="1088">
        <f t="shared" si="213"/>
        <v>0</v>
      </c>
      <c r="AT65" s="1091" t="str">
        <f t="shared" si="189"/>
        <v/>
      </c>
      <c r="AU65" s="1091">
        <f t="shared" si="206"/>
        <v>0</v>
      </c>
      <c r="AV65" s="1088">
        <f>SUMIFS(BP_SOTIEN,BP_THANG,AV$2,BP_KM,$E65)/1000</f>
        <v>0</v>
      </c>
      <c r="AW65" s="1091" t="str">
        <f t="shared" si="190"/>
        <v/>
      </c>
      <c r="AX65" s="1091"/>
      <c r="AY65" s="1088">
        <f>SUMIFS(BP_SOTIEN,BP_THANG,AY$2,BP_KM,$E65)/1000</f>
        <v>0</v>
      </c>
      <c r="AZ65" s="1091" t="str">
        <f t="shared" si="191"/>
        <v/>
      </c>
      <c r="BA65" s="1091"/>
      <c r="BB65" s="1088">
        <f>SUMIFS(BP_SOTIEN,BP_THANG,BB$2,BP_KM,$E65)/1000</f>
        <v>0</v>
      </c>
      <c r="BC65" s="1091" t="str">
        <f t="shared" si="192"/>
        <v/>
      </c>
      <c r="BD65" s="1091"/>
      <c r="BE65" s="1088">
        <f t="shared" si="214"/>
        <v>0</v>
      </c>
      <c r="BF65" s="1091" t="str">
        <f t="shared" si="193"/>
        <v/>
      </c>
      <c r="BG65" s="1091">
        <f t="shared" si="207"/>
        <v>0</v>
      </c>
      <c r="BH65" s="1088">
        <f t="shared" si="215"/>
        <v>0</v>
      </c>
      <c r="BI65" s="1091" t="str">
        <f t="shared" si="194"/>
        <v/>
      </c>
      <c r="BJ65" s="1091">
        <f t="shared" si="208"/>
        <v>0</v>
      </c>
      <c r="BK65" s="1088">
        <f t="shared" si="216"/>
        <v>0</v>
      </c>
      <c r="BL65" s="1091" t="str">
        <f t="shared" si="195"/>
        <v/>
      </c>
      <c r="BM65" s="1091">
        <f t="shared" si="209"/>
        <v>0</v>
      </c>
    </row>
    <row r="66" hidden="1" outlineLevel="1">
      <c r="A66" s="1087"/>
      <c r="B66" s="1087"/>
      <c r="C66" s="1087"/>
      <c r="D66" s="656" t="s">
        <v>2843</v>
      </c>
      <c r="E66" s="656" t="s">
        <v>201</v>
      </c>
      <c r="F66" s="1087"/>
      <c r="G66" s="1086">
        <v>2.0</v>
      </c>
      <c r="H66" s="1088">
        <f>SUMIFS(BP_SOTIEN,BP_THANG,H$2,BP_KM,$E66)/1000</f>
        <v>0</v>
      </c>
      <c r="I66" s="1091" t="str">
        <f t="shared" si="177"/>
        <v/>
      </c>
      <c r="J66" s="1091"/>
      <c r="K66" s="1088">
        <f>SUMIFS(BP_SOTIEN,BP_THANG,K$2,BP_KM,$E66)/1000</f>
        <v>0</v>
      </c>
      <c r="L66" s="1091" t="str">
        <f t="shared" si="178"/>
        <v/>
      </c>
      <c r="M66" s="1091"/>
      <c r="N66" s="1088">
        <f>SUMIFS(BP_SOTIEN,BP_THANG,N$2,BP_KM,$E66)/1000</f>
        <v>0</v>
      </c>
      <c r="O66" s="1091" t="str">
        <f t="shared" si="179"/>
        <v/>
      </c>
      <c r="P66" s="1091"/>
      <c r="Q66" s="1088">
        <f t="shared" si="210"/>
        <v>0</v>
      </c>
      <c r="R66" s="1091" t="str">
        <f t="shared" si="180"/>
        <v/>
      </c>
      <c r="S66" s="1091">
        <f t="shared" si="203"/>
        <v>0</v>
      </c>
      <c r="T66" s="1088">
        <f>SUMIFS(BP_SOTIEN,BP_THANG,T$2,BP_KM,$E66)/1000</f>
        <v>0</v>
      </c>
      <c r="U66" s="1091" t="str">
        <f t="shared" si="181"/>
        <v/>
      </c>
      <c r="V66" s="1091"/>
      <c r="W66" s="1088">
        <f>SUMIFS(BP_SOTIEN,BP_THANG,W$2,BP_KM,$E66)/1000</f>
        <v>0</v>
      </c>
      <c r="X66" s="1091" t="str">
        <f t="shared" si="182"/>
        <v/>
      </c>
      <c r="Y66" s="1091"/>
      <c r="Z66" s="1088">
        <f>SUMIFS(BP_SOTIEN,BP_THANG,Z$2,BP_KM,$E66)/1000</f>
        <v>0</v>
      </c>
      <c r="AA66" s="1091" t="str">
        <f t="shared" si="183"/>
        <v/>
      </c>
      <c r="AB66" s="1091"/>
      <c r="AC66" s="1088">
        <f t="shared" si="211"/>
        <v>0</v>
      </c>
      <c r="AD66" s="1091" t="str">
        <f t="shared" si="184"/>
        <v/>
      </c>
      <c r="AE66" s="1091">
        <f t="shared" si="204"/>
        <v>0</v>
      </c>
      <c r="AF66" s="1088">
        <f t="shared" si="212"/>
        <v>0</v>
      </c>
      <c r="AG66" s="1091" t="str">
        <f t="shared" si="185"/>
        <v/>
      </c>
      <c r="AH66" s="1091">
        <f t="shared" si="205"/>
        <v>0</v>
      </c>
      <c r="AI66" s="1088">
        <f>SUMIFS(BP_SOTIEN,BP_THANG,AI$2,BP_KM,$E66)/1000</f>
        <v>0</v>
      </c>
      <c r="AJ66" s="1091" t="str">
        <f t="shared" si="186"/>
        <v/>
      </c>
      <c r="AK66" s="1091"/>
      <c r="AL66" s="1088">
        <f>SUMIFS(BP_SOTIEN,BP_THANG,AL$2,BP_KM,$E66)/1000</f>
        <v>0</v>
      </c>
      <c r="AM66" s="1091" t="str">
        <f t="shared" si="187"/>
        <v/>
      </c>
      <c r="AN66" s="1091"/>
      <c r="AO66" s="1091" t="str">
        <f t="shared" si="27"/>
        <v/>
      </c>
      <c r="AP66" s="1088">
        <f>SUMIFS(BP_SOTIEN,BP_THANG,AP$2,BP_KM,$E66)/1000</f>
        <v>0</v>
      </c>
      <c r="AQ66" s="1091" t="str">
        <f t="shared" si="188"/>
        <v/>
      </c>
      <c r="AR66" s="1091"/>
      <c r="AS66" s="1088">
        <f t="shared" si="213"/>
        <v>0</v>
      </c>
      <c r="AT66" s="1091" t="str">
        <f t="shared" si="189"/>
        <v/>
      </c>
      <c r="AU66" s="1091">
        <f t="shared" si="206"/>
        <v>0</v>
      </c>
      <c r="AV66" s="1088">
        <f>SUMIFS(BP_SOTIEN,BP_THANG,AV$2,BP_KM,$E66)/1000</f>
        <v>0</v>
      </c>
      <c r="AW66" s="1091" t="str">
        <f t="shared" si="190"/>
        <v/>
      </c>
      <c r="AX66" s="1091"/>
      <c r="AY66" s="1088">
        <f>SUMIFS(BP_SOTIEN,BP_THANG,AY$2,BP_KM,$E66)/1000</f>
        <v>0</v>
      </c>
      <c r="AZ66" s="1091" t="str">
        <f t="shared" si="191"/>
        <v/>
      </c>
      <c r="BA66" s="1091"/>
      <c r="BB66" s="1088">
        <f>SUMIFS(BP_SOTIEN,BP_THANG,BB$2,BP_KM,$E66)/1000</f>
        <v>0</v>
      </c>
      <c r="BC66" s="1091" t="str">
        <f t="shared" si="192"/>
        <v/>
      </c>
      <c r="BD66" s="1091"/>
      <c r="BE66" s="1088">
        <f t="shared" si="214"/>
        <v>0</v>
      </c>
      <c r="BF66" s="1091" t="str">
        <f t="shared" si="193"/>
        <v/>
      </c>
      <c r="BG66" s="1091">
        <f t="shared" si="207"/>
        <v>0</v>
      </c>
      <c r="BH66" s="1088">
        <f t="shared" si="215"/>
        <v>0</v>
      </c>
      <c r="BI66" s="1091" t="str">
        <f t="shared" si="194"/>
        <v/>
      </c>
      <c r="BJ66" s="1091">
        <f t="shared" si="208"/>
        <v>0</v>
      </c>
      <c r="BK66" s="1088">
        <f t="shared" si="216"/>
        <v>0</v>
      </c>
      <c r="BL66" s="1091" t="str">
        <f t="shared" si="195"/>
        <v/>
      </c>
      <c r="BM66" s="1091">
        <f t="shared" si="209"/>
        <v>0</v>
      </c>
    </row>
    <row r="67" hidden="1" outlineLevel="1">
      <c r="A67" s="1087"/>
      <c r="B67" s="1087"/>
      <c r="C67" s="1087"/>
      <c r="D67" s="1087" t="s">
        <v>2245</v>
      </c>
      <c r="E67" s="1087" t="s">
        <v>181</v>
      </c>
      <c r="F67" s="1087"/>
      <c r="G67" s="1086">
        <v>2.0</v>
      </c>
      <c r="H67" s="1088">
        <f>SUMIFS(BP_SOTIEN,BP_THANG,H$2,BP_KM,$E67)/1000</f>
        <v>0</v>
      </c>
      <c r="I67" s="1145" t="str">
        <f t="shared" si="177"/>
        <v/>
      </c>
      <c r="J67" s="1145"/>
      <c r="K67" s="1088">
        <f>SUMIFS(BP_SOTIEN,BP_THANG,K$2,BP_KM,$E67)/1000</f>
        <v>0</v>
      </c>
      <c r="L67" s="1145" t="str">
        <f t="shared" si="178"/>
        <v/>
      </c>
      <c r="M67" s="1145"/>
      <c r="N67" s="1088">
        <f>SUMIFS(BP_SOTIEN,BP_THANG,N$2,BP_KM,$E67)/1000</f>
        <v>0</v>
      </c>
      <c r="O67" s="1145" t="str">
        <f t="shared" si="179"/>
        <v/>
      </c>
      <c r="P67" s="1145"/>
      <c r="Q67" s="1088">
        <f t="shared" si="210"/>
        <v>0</v>
      </c>
      <c r="R67" s="1145" t="str">
        <f t="shared" si="180"/>
        <v/>
      </c>
      <c r="S67" s="1145">
        <f t="shared" si="203"/>
        <v>0</v>
      </c>
      <c r="T67" s="1088">
        <f>SUMIFS(BP_SOTIEN,BP_THANG,T$2,BP_KM,$E67)/1000</f>
        <v>1300000</v>
      </c>
      <c r="U67" s="1145" t="str">
        <f t="shared" si="181"/>
        <v/>
      </c>
      <c r="V67" s="1145"/>
      <c r="W67" s="1088">
        <f>SUMIFS(BP_SOTIEN,BP_THANG,W$2,BP_KM,$E67)/1000</f>
        <v>1300000</v>
      </c>
      <c r="X67" s="1145" t="str">
        <f t="shared" si="182"/>
        <v/>
      </c>
      <c r="Y67" s="1145"/>
      <c r="Z67" s="1088">
        <f>SUMIFS(BP_SOTIEN,BP_THANG,Z$2,BP_KM,$E67)/1000</f>
        <v>1300000</v>
      </c>
      <c r="AA67" s="1145" t="str">
        <f t="shared" si="183"/>
        <v/>
      </c>
      <c r="AB67" s="1145"/>
      <c r="AC67" s="1088">
        <f t="shared" si="211"/>
        <v>1300000</v>
      </c>
      <c r="AD67" s="1145" t="str">
        <f t="shared" si="184"/>
        <v/>
      </c>
      <c r="AE67" s="1145">
        <f t="shared" si="204"/>
        <v>0.1686084743</v>
      </c>
      <c r="AF67" s="1088">
        <f t="shared" si="212"/>
        <v>1300000</v>
      </c>
      <c r="AG67" s="1145" t="str">
        <f t="shared" si="185"/>
        <v/>
      </c>
      <c r="AH67" s="1145">
        <f t="shared" si="205"/>
        <v>0.1674536991</v>
      </c>
      <c r="AI67" s="1088">
        <f>SUMIFS(BP_SOTIEN,BP_THANG,AI$2,BP_KM,$E67)/1000</f>
        <v>1300000</v>
      </c>
      <c r="AJ67" s="1145" t="str">
        <f t="shared" si="186"/>
        <v/>
      </c>
      <c r="AK67" s="1145"/>
      <c r="AL67" s="1088">
        <f>SUMIFS(BP_SOTIEN,BP_THANG,AL$2,BP_KM,$E67)/1000</f>
        <v>1300000</v>
      </c>
      <c r="AM67" s="1145" t="str">
        <f t="shared" si="187"/>
        <v/>
      </c>
      <c r="AN67" s="1145"/>
      <c r="AO67" s="1145" t="str">
        <f t="shared" si="27"/>
        <v/>
      </c>
      <c r="AP67" s="1088">
        <f>SUMIFS(BP_SOTIEN,BP_THANG,AP$2,BP_KM,$E67)/1000</f>
        <v>1300000</v>
      </c>
      <c r="AQ67" s="1145" t="str">
        <f t="shared" si="188"/>
        <v/>
      </c>
      <c r="AR67" s="1145"/>
      <c r="AS67" s="1088">
        <f t="shared" si="213"/>
        <v>1300000</v>
      </c>
      <c r="AT67" s="1145" t="str">
        <f t="shared" si="189"/>
        <v/>
      </c>
      <c r="AU67" s="1145">
        <f t="shared" si="206"/>
        <v>0.1686084743</v>
      </c>
      <c r="AV67" s="1088">
        <f>SUMIFS(BP_SOTIEN,BP_THANG,AV$2,BP_KM,$E67)/1000</f>
        <v>1300000</v>
      </c>
      <c r="AW67" s="1145" t="str">
        <f t="shared" si="190"/>
        <v/>
      </c>
      <c r="AX67" s="1145"/>
      <c r="AY67" s="1088">
        <f>SUMIFS(BP_SOTIEN,BP_THANG,AY$2,BP_KM,$E67)/1000</f>
        <v>1300000</v>
      </c>
      <c r="AZ67" s="1145" t="str">
        <f t="shared" si="191"/>
        <v/>
      </c>
      <c r="BA67" s="1145"/>
      <c r="BB67" s="1088">
        <f>SUMIFS(BP_SOTIEN,BP_THANG,BB$2,BP_KM,$E67)/1000</f>
        <v>1300000</v>
      </c>
      <c r="BC67" s="1145" t="str">
        <f t="shared" si="192"/>
        <v/>
      </c>
      <c r="BD67" s="1145"/>
      <c r="BE67" s="1088">
        <f t="shared" si="214"/>
        <v>1300000</v>
      </c>
      <c r="BF67" s="1145" t="str">
        <f t="shared" si="193"/>
        <v/>
      </c>
      <c r="BG67" s="1145">
        <f t="shared" si="207"/>
        <v>0.1686084743</v>
      </c>
      <c r="BH67" s="1088">
        <f t="shared" si="215"/>
        <v>2600000</v>
      </c>
      <c r="BI67" s="1145" t="str">
        <f t="shared" si="194"/>
        <v/>
      </c>
      <c r="BJ67" s="1145">
        <f t="shared" si="208"/>
        <v>0.1686084743</v>
      </c>
      <c r="BK67" s="1088">
        <f t="shared" si="216"/>
        <v>3900000</v>
      </c>
      <c r="BL67" s="1145" t="str">
        <f t="shared" si="195"/>
        <v/>
      </c>
      <c r="BM67" s="1145">
        <f t="shared" si="209"/>
        <v>0.1682217836</v>
      </c>
    </row>
    <row r="68" collapsed="1">
      <c r="A68" s="1107" t="s">
        <v>2844</v>
      </c>
      <c r="B68" s="1108"/>
      <c r="C68" s="1108"/>
      <c r="D68" s="1108"/>
      <c r="E68" s="1108"/>
      <c r="F68" s="1108"/>
      <c r="G68" s="1141">
        <v>1.0</v>
      </c>
      <c r="H68" s="1110">
        <f>SUMIF($G$69:$G$96,2,H$69:H$96)</f>
        <v>398194</v>
      </c>
      <c r="I68" s="1112" t="str">
        <f t="shared" si="177"/>
        <v/>
      </c>
      <c r="J68" s="1112">
        <f>IFERROR(H68/H$97,"")</f>
        <v>0.8822015048</v>
      </c>
      <c r="K68" s="1110">
        <f>SUMIF($G$69:$G$96,2,K$69:K$96)</f>
        <v>395194</v>
      </c>
      <c r="L68" s="1112" t="str">
        <f t="shared" si="178"/>
        <v/>
      </c>
      <c r="M68" s="1112">
        <f>IFERROR(K68/K$97,"")</f>
        <v>0.881413316</v>
      </c>
      <c r="N68" s="1110">
        <f>SUMIF($G$69:$G$96,2,N$69:N$96)</f>
        <v>395194</v>
      </c>
      <c r="O68" s="1112" t="str">
        <f t="shared" si="179"/>
        <v/>
      </c>
      <c r="P68" s="1112">
        <f>IFERROR(N68/N$97,"")</f>
        <v>0.881413316</v>
      </c>
      <c r="Q68" s="1110">
        <f t="shared" si="210"/>
        <v>398194</v>
      </c>
      <c r="R68" s="1112" t="str">
        <f t="shared" si="180"/>
        <v/>
      </c>
      <c r="S68" s="1112">
        <f>IFERROR(Q68/Q$97,"")</f>
        <v>0.8822015048</v>
      </c>
      <c r="T68" s="1110">
        <f>SUMIF($G$69:$G$96,2,T$69:T$96)</f>
        <v>395194</v>
      </c>
      <c r="U68" s="1112" t="str">
        <f t="shared" si="181"/>
        <v/>
      </c>
      <c r="V68" s="1112">
        <f>IFERROR(T68/T$97,"")</f>
        <v>0.04875709468</v>
      </c>
      <c r="W68" s="1110">
        <f>SUMIF($G$69:$G$96,2,W$69:W$96)</f>
        <v>391029</v>
      </c>
      <c r="X68" s="1112" t="str">
        <f t="shared" si="182"/>
        <v/>
      </c>
      <c r="Y68" s="1112">
        <f>IFERROR(W68/W$97,"")</f>
        <v>0.04826804032</v>
      </c>
      <c r="Z68" s="1110">
        <f>SUMIF($G$69:$G$96,2,Z$69:Z$96)</f>
        <v>391029</v>
      </c>
      <c r="AA68" s="1112" t="str">
        <f t="shared" si="183"/>
        <v/>
      </c>
      <c r="AB68" s="1112">
        <f>IFERROR(Z68/Z$97,"")</f>
        <v>0.04826804032</v>
      </c>
      <c r="AC68" s="1110">
        <f t="shared" si="211"/>
        <v>395194</v>
      </c>
      <c r="AD68" s="1112" t="str">
        <f t="shared" si="184"/>
        <v/>
      </c>
      <c r="AE68" s="1112">
        <f>IFERROR(AC68/AC$97,"")</f>
        <v>0.04875709468</v>
      </c>
      <c r="AF68" s="1110">
        <f t="shared" si="212"/>
        <v>793388</v>
      </c>
      <c r="AG68" s="1112" t="str">
        <f t="shared" si="185"/>
        <v/>
      </c>
      <c r="AH68" s="1112">
        <f>IFERROR(AF68/AF$97,"")</f>
        <v>0.09272095595</v>
      </c>
      <c r="AI68" s="1110">
        <f>SUMIF($G$69:$G$96,2,AI$69:AI$96)</f>
        <v>391029</v>
      </c>
      <c r="AJ68" s="1112" t="str">
        <f t="shared" si="186"/>
        <v/>
      </c>
      <c r="AK68" s="1112">
        <f>IFERROR(AI68/AI$97,"")</f>
        <v>0.04826804032</v>
      </c>
      <c r="AL68" s="1110">
        <f>SUMIF($G$69:$G$96,2,AL$69:AL$96)</f>
        <v>391029</v>
      </c>
      <c r="AM68" s="1112" t="str">
        <f t="shared" si="187"/>
        <v/>
      </c>
      <c r="AN68" s="1112">
        <f>IFERROR(AL68/AL$97,"")</f>
        <v>0.04826804032</v>
      </c>
      <c r="AO68" s="1144" t="str">
        <f t="shared" si="27"/>
        <v/>
      </c>
      <c r="AP68" s="1110">
        <f>SUMIF($G$69:$G$96,2,AP$69:AP$96)</f>
        <v>391029</v>
      </c>
      <c r="AQ68" s="1112" t="str">
        <f t="shared" si="188"/>
        <v/>
      </c>
      <c r="AR68" s="1112">
        <f>IFERROR(AP68/AP$97,"")</f>
        <v>0.04826804032</v>
      </c>
      <c r="AS68" s="1110">
        <f t="shared" si="213"/>
        <v>391029</v>
      </c>
      <c r="AT68" s="1112" t="str">
        <f t="shared" si="189"/>
        <v/>
      </c>
      <c r="AU68" s="1112">
        <f>IFERROR(AS68/AS$97,"")</f>
        <v>0.04826804032</v>
      </c>
      <c r="AV68" s="1110">
        <f>SUMIF($G$69:$G$96,2,AV$69:AV$96)</f>
        <v>391029</v>
      </c>
      <c r="AW68" s="1112" t="str">
        <f t="shared" si="190"/>
        <v/>
      </c>
      <c r="AX68" s="1112">
        <f>IFERROR(AV68/AV$97,"")</f>
        <v>0.04826804032</v>
      </c>
      <c r="AY68" s="1110">
        <f>SUMIF($G$69:$G$96,2,AY$69:AY$96)</f>
        <v>391029</v>
      </c>
      <c r="AZ68" s="1112" t="str">
        <f t="shared" si="191"/>
        <v/>
      </c>
      <c r="BA68" s="1112">
        <f>IFERROR(AY68/AY$97,"")</f>
        <v>0.04826804032</v>
      </c>
      <c r="BB68" s="1110">
        <f>SUMIF($G$69:$G$96,2,BB$69:BB$96)</f>
        <v>391029</v>
      </c>
      <c r="BC68" s="1112" t="str">
        <f t="shared" si="192"/>
        <v/>
      </c>
      <c r="BD68" s="1112">
        <f>IFERROR(BB68/BB$97,"")</f>
        <v>0.04826804032</v>
      </c>
      <c r="BE68" s="1110">
        <f t="shared" si="214"/>
        <v>391029</v>
      </c>
      <c r="BF68" s="1112" t="str">
        <f t="shared" si="193"/>
        <v/>
      </c>
      <c r="BG68" s="1112">
        <f>IFERROR(BE68/BE$97,"")</f>
        <v>0.04826804032</v>
      </c>
      <c r="BH68" s="1110">
        <f t="shared" si="215"/>
        <v>782058</v>
      </c>
      <c r="BI68" s="1112" t="str">
        <f t="shared" si="194"/>
        <v/>
      </c>
      <c r="BJ68" s="1112">
        <f>IFERROR(BH68/BH$97,"")</f>
        <v>0.04826804032</v>
      </c>
      <c r="BK68" s="1110">
        <f t="shared" si="216"/>
        <v>1575446</v>
      </c>
      <c r="BL68" s="1112" t="str">
        <f t="shared" si="195"/>
        <v/>
      </c>
      <c r="BM68" s="1112">
        <f>IFERROR(BK68/BK$97,"")</f>
        <v>0.06363092138</v>
      </c>
    </row>
    <row r="69" hidden="1" outlineLevel="1">
      <c r="A69" s="1087"/>
      <c r="B69" s="1087"/>
      <c r="C69" s="1087"/>
      <c r="D69" s="1087" t="s">
        <v>2845</v>
      </c>
      <c r="E69" s="1087"/>
      <c r="F69" s="1086">
        <v>642.0</v>
      </c>
      <c r="G69" s="1086">
        <v>2.0</v>
      </c>
      <c r="H69" s="1088">
        <f>SUM(H70:H75)</f>
        <v>327061</v>
      </c>
      <c r="I69" s="1145" t="str">
        <f t="shared" si="177"/>
        <v/>
      </c>
      <c r="J69" s="1145">
        <f>IFERROR(H69/H$68,"")</f>
        <v>0.8213609447</v>
      </c>
      <c r="K69" s="1088">
        <f>SUM(K70:K75)</f>
        <v>327061</v>
      </c>
      <c r="L69" s="1145" t="str">
        <f t="shared" si="178"/>
        <v/>
      </c>
      <c r="M69" s="1145">
        <f>IFERROR(K69/K$68,"")</f>
        <v>0.8275960667</v>
      </c>
      <c r="N69" s="1088">
        <f>SUM(N70:N75)</f>
        <v>327061</v>
      </c>
      <c r="O69" s="1145" t="str">
        <f t="shared" si="179"/>
        <v/>
      </c>
      <c r="P69" s="1145">
        <f>IFERROR(N69/N$68,"")</f>
        <v>0.8275960667</v>
      </c>
      <c r="Q69" s="1088">
        <f t="shared" si="210"/>
        <v>327061</v>
      </c>
      <c r="R69" s="1145" t="str">
        <f t="shared" si="180"/>
        <v/>
      </c>
      <c r="S69" s="1145">
        <f t="shared" ref="S69:S77" si="217">IFERROR(Q69/Q$68,"")</f>
        <v>0.8213609447</v>
      </c>
      <c r="T69" s="1088">
        <f>SUM(T70:T75)</f>
        <v>327061</v>
      </c>
      <c r="U69" s="1145" t="str">
        <f t="shared" si="181"/>
        <v/>
      </c>
      <c r="V69" s="1145">
        <f>IFERROR(T69/T$68,"")</f>
        <v>0.8275960667</v>
      </c>
      <c r="W69" s="1088">
        <f>SUM(W70:W75)</f>
        <v>327061</v>
      </c>
      <c r="X69" s="1145" t="str">
        <f t="shared" si="182"/>
        <v/>
      </c>
      <c r="Y69" s="1145">
        <f>IFERROR(W69/W$68,"")</f>
        <v>0.8364111102</v>
      </c>
      <c r="Z69" s="1088">
        <f>SUM(Z70:Z75)</f>
        <v>327061</v>
      </c>
      <c r="AA69" s="1145" t="str">
        <f t="shared" si="183"/>
        <v/>
      </c>
      <c r="AB69" s="1145">
        <f>IFERROR(Z69/Z$68,"")</f>
        <v>0.8364111102</v>
      </c>
      <c r="AC69" s="1088">
        <f t="shared" si="211"/>
        <v>327061</v>
      </c>
      <c r="AD69" s="1145" t="str">
        <f t="shared" si="184"/>
        <v/>
      </c>
      <c r="AE69" s="1145">
        <f t="shared" ref="AE69:AE77" si="218">IFERROR(AC69/AC$68,"")</f>
        <v>0.8275960667</v>
      </c>
      <c r="AF69" s="1088">
        <f t="shared" si="212"/>
        <v>654122</v>
      </c>
      <c r="AG69" s="1145" t="str">
        <f t="shared" si="185"/>
        <v/>
      </c>
      <c r="AH69" s="1145">
        <f t="shared" ref="AH69:AH77" si="219">IFERROR(AF69/AF$68,"")</f>
        <v>0.8244667174</v>
      </c>
      <c r="AI69" s="1088">
        <f>SUM(AI70:AI75)</f>
        <v>327061</v>
      </c>
      <c r="AJ69" s="1145" t="str">
        <f t="shared" si="186"/>
        <v/>
      </c>
      <c r="AK69" s="1145">
        <f>IFERROR(AI69/AI$68,"")</f>
        <v>0.8364111102</v>
      </c>
      <c r="AL69" s="1088">
        <f>SUM(AL70:AL75)</f>
        <v>327061</v>
      </c>
      <c r="AM69" s="1145" t="str">
        <f t="shared" si="187"/>
        <v/>
      </c>
      <c r="AN69" s="1145">
        <f>IFERROR(AL69/AL$68,"")</f>
        <v>0.8364111102</v>
      </c>
      <c r="AO69" s="1132" t="str">
        <f t="shared" si="27"/>
        <v/>
      </c>
      <c r="AP69" s="1088">
        <f>SUM(AP70:AP75)</f>
        <v>327061</v>
      </c>
      <c r="AQ69" s="1145" t="str">
        <f t="shared" si="188"/>
        <v/>
      </c>
      <c r="AR69" s="1145">
        <f>IFERROR(AP69/AP$68,"")</f>
        <v>0.8364111102</v>
      </c>
      <c r="AS69" s="1088">
        <f t="shared" si="213"/>
        <v>327061</v>
      </c>
      <c r="AT69" s="1145" t="str">
        <f t="shared" si="189"/>
        <v/>
      </c>
      <c r="AU69" s="1145">
        <f t="shared" ref="AU69:AU77" si="220">IFERROR(AS69/AS$68,"")</f>
        <v>0.8364111102</v>
      </c>
      <c r="AV69" s="1088">
        <f>SUM(AV70:AV75)</f>
        <v>327061</v>
      </c>
      <c r="AW69" s="1145" t="str">
        <f t="shared" si="190"/>
        <v/>
      </c>
      <c r="AX69" s="1145">
        <f>IFERROR(AV69/AV$68,"")</f>
        <v>0.8364111102</v>
      </c>
      <c r="AY69" s="1088">
        <f>SUM(AY70:AY75)</f>
        <v>327061</v>
      </c>
      <c r="AZ69" s="1145" t="str">
        <f t="shared" si="191"/>
        <v/>
      </c>
      <c r="BA69" s="1145">
        <f>IFERROR(AY69/AY$68,"")</f>
        <v>0.8364111102</v>
      </c>
      <c r="BB69" s="1088">
        <f>SUM(BB70:BB75)</f>
        <v>327061</v>
      </c>
      <c r="BC69" s="1145" t="str">
        <f t="shared" si="192"/>
        <v/>
      </c>
      <c r="BD69" s="1145">
        <f>IFERROR(BB69/BB$68,"")</f>
        <v>0.8364111102</v>
      </c>
      <c r="BE69" s="1088">
        <f t="shared" si="214"/>
        <v>327061</v>
      </c>
      <c r="BF69" s="1145" t="str">
        <f t="shared" si="193"/>
        <v/>
      </c>
      <c r="BG69" s="1145">
        <f t="shared" ref="BG69:BG77" si="221">IFERROR(BE69/BE$68,"")</f>
        <v>0.8364111102</v>
      </c>
      <c r="BH69" s="1088">
        <f t="shared" si="215"/>
        <v>654122</v>
      </c>
      <c r="BI69" s="1145" t="str">
        <f t="shared" si="194"/>
        <v/>
      </c>
      <c r="BJ69" s="1145">
        <f t="shared" ref="BJ69:BJ77" si="222">IFERROR(BH69/BH$68,"")</f>
        <v>0.8364111102</v>
      </c>
      <c r="BK69" s="1088">
        <f t="shared" si="216"/>
        <v>1308244</v>
      </c>
      <c r="BL69" s="1145" t="str">
        <f t="shared" si="195"/>
        <v/>
      </c>
      <c r="BM69" s="1145">
        <f t="shared" ref="BM69:BM77" si="223">IFERROR(BK69/BK$68,"")</f>
        <v>0.8303959641</v>
      </c>
    </row>
    <row r="70" hidden="1" outlineLevel="1">
      <c r="A70" s="737"/>
      <c r="B70" s="737"/>
      <c r="C70" s="737"/>
      <c r="D70" s="737" t="s">
        <v>2846</v>
      </c>
      <c r="E70" s="737" t="s">
        <v>293</v>
      </c>
      <c r="F70" s="737"/>
      <c r="G70" s="748">
        <v>3.0</v>
      </c>
      <c r="H70" s="1146">
        <f>SUMIFS(BP_SOTIEN,BP_THANG,H$2,BP_KM,$E70)/1000</f>
        <v>0</v>
      </c>
      <c r="I70" s="1091" t="str">
        <f t="shared" si="177"/>
        <v/>
      </c>
      <c r="J70" s="1091"/>
      <c r="K70" s="1146">
        <f>SUMIFS(BP_SOTIEN,BP_THANG,K$2,BP_KM,$E70)/1000</f>
        <v>0</v>
      </c>
      <c r="L70" s="1091" t="str">
        <f t="shared" si="178"/>
        <v/>
      </c>
      <c r="M70" s="1091"/>
      <c r="N70" s="1146">
        <f>SUMIFS(BP_SOTIEN,BP_THANG,N$2,BP_KM,$E70)/1000</f>
        <v>0</v>
      </c>
      <c r="O70" s="1091" t="str">
        <f t="shared" si="179"/>
        <v/>
      </c>
      <c r="P70" s="1091"/>
      <c r="Q70" s="1146">
        <f t="shared" si="210"/>
        <v>0</v>
      </c>
      <c r="R70" s="1091" t="str">
        <f t="shared" si="180"/>
        <v/>
      </c>
      <c r="S70" s="1091">
        <f t="shared" si="217"/>
        <v>0</v>
      </c>
      <c r="T70" s="1146">
        <f>SUMIFS(BP_SOTIEN,BP_THANG,T$2,BP_KM,$E70)/1000</f>
        <v>0</v>
      </c>
      <c r="U70" s="1091" t="str">
        <f t="shared" si="181"/>
        <v/>
      </c>
      <c r="V70" s="1091"/>
      <c r="W70" s="1146">
        <f>SUMIFS(BP_SOTIEN,BP_THANG,W$2,BP_KM,$E70)/1000</f>
        <v>0</v>
      </c>
      <c r="X70" s="1091" t="str">
        <f t="shared" si="182"/>
        <v/>
      </c>
      <c r="Y70" s="1091"/>
      <c r="Z70" s="1146">
        <f>SUMIFS(BP_SOTIEN,BP_THANG,Z$2,BP_KM,$E70)/1000</f>
        <v>0</v>
      </c>
      <c r="AA70" s="1091" t="str">
        <f t="shared" si="183"/>
        <v/>
      </c>
      <c r="AB70" s="1091"/>
      <c r="AC70" s="1146">
        <f t="shared" si="211"/>
        <v>0</v>
      </c>
      <c r="AD70" s="1091" t="str">
        <f t="shared" si="184"/>
        <v/>
      </c>
      <c r="AE70" s="1091">
        <f t="shared" si="218"/>
        <v>0</v>
      </c>
      <c r="AF70" s="1146">
        <f t="shared" si="212"/>
        <v>0</v>
      </c>
      <c r="AG70" s="1091" t="str">
        <f t="shared" si="185"/>
        <v/>
      </c>
      <c r="AH70" s="1091">
        <f t="shared" si="219"/>
        <v>0</v>
      </c>
      <c r="AI70" s="1146">
        <f>SUMIFS(BP_SOTIEN,BP_THANG,AI$2,BP_KM,$E70)/1000</f>
        <v>0</v>
      </c>
      <c r="AJ70" s="1091" t="str">
        <f t="shared" si="186"/>
        <v/>
      </c>
      <c r="AK70" s="1091"/>
      <c r="AL70" s="1146">
        <f>SUMIFS(BP_SOTIEN,BP_THANG,AL$2,BP_KM,$E70)/1000</f>
        <v>0</v>
      </c>
      <c r="AM70" s="1091" t="str">
        <f t="shared" si="187"/>
        <v/>
      </c>
      <c r="AN70" s="1091"/>
      <c r="AO70" s="1091" t="str">
        <f t="shared" si="27"/>
        <v/>
      </c>
      <c r="AP70" s="1146">
        <f>SUMIFS(BP_SOTIEN,BP_THANG,AP$2,BP_KM,$E70)/1000</f>
        <v>0</v>
      </c>
      <c r="AQ70" s="1091" t="str">
        <f t="shared" si="188"/>
        <v/>
      </c>
      <c r="AR70" s="1091"/>
      <c r="AS70" s="1146">
        <f t="shared" si="213"/>
        <v>0</v>
      </c>
      <c r="AT70" s="1091" t="str">
        <f t="shared" si="189"/>
        <v/>
      </c>
      <c r="AU70" s="1091">
        <f t="shared" si="220"/>
        <v>0</v>
      </c>
      <c r="AV70" s="1146">
        <f>SUMIFS(BP_SOTIEN,BP_THANG,AV$2,BP_KM,$E70)/1000</f>
        <v>0</v>
      </c>
      <c r="AW70" s="1091" t="str">
        <f t="shared" si="190"/>
        <v/>
      </c>
      <c r="AX70" s="1091"/>
      <c r="AY70" s="1146">
        <f>SUMIFS(BP_SOTIEN,BP_THANG,AY$2,BP_KM,$E70)/1000</f>
        <v>0</v>
      </c>
      <c r="AZ70" s="1091" t="str">
        <f t="shared" si="191"/>
        <v/>
      </c>
      <c r="BA70" s="1091"/>
      <c r="BB70" s="1146">
        <f>SUMIFS(BP_SOTIEN,BP_THANG,BB$2,BP_KM,$E70)/1000</f>
        <v>0</v>
      </c>
      <c r="BC70" s="1091" t="str">
        <f t="shared" si="192"/>
        <v/>
      </c>
      <c r="BD70" s="1091"/>
      <c r="BE70" s="1146">
        <f t="shared" si="214"/>
        <v>0</v>
      </c>
      <c r="BF70" s="1091" t="str">
        <f t="shared" si="193"/>
        <v/>
      </c>
      <c r="BG70" s="1091">
        <f t="shared" si="221"/>
        <v>0</v>
      </c>
      <c r="BH70" s="1146">
        <f t="shared" si="215"/>
        <v>0</v>
      </c>
      <c r="BI70" s="1091" t="str">
        <f t="shared" si="194"/>
        <v/>
      </c>
      <c r="BJ70" s="1091">
        <f t="shared" si="222"/>
        <v>0</v>
      </c>
      <c r="BK70" s="1146">
        <f t="shared" si="216"/>
        <v>0</v>
      </c>
      <c r="BL70" s="1091" t="str">
        <f t="shared" si="195"/>
        <v/>
      </c>
      <c r="BM70" s="1091">
        <f t="shared" si="223"/>
        <v>0</v>
      </c>
    </row>
    <row r="71" hidden="1" outlineLevel="1">
      <c r="A71" s="737"/>
      <c r="B71" s="737"/>
      <c r="C71" s="737"/>
      <c r="D71" s="737" t="s">
        <v>2847</v>
      </c>
      <c r="E71" s="737" t="s">
        <v>267</v>
      </c>
      <c r="F71" s="737"/>
      <c r="G71" s="748">
        <v>3.0</v>
      </c>
      <c r="H71" s="1146">
        <f>SUMIFS(BP_SOTIEN,BP_THANG,H$2,BP_KM,$E71)/1000</f>
        <v>318400</v>
      </c>
      <c r="I71" s="1091" t="str">
        <f t="shared" si="177"/>
        <v/>
      </c>
      <c r="J71" s="1091"/>
      <c r="K71" s="1146">
        <f>SUMIFS(BP_SOTIEN,BP_THANG,K$2,BP_KM,$E71)/1000</f>
        <v>318400</v>
      </c>
      <c r="L71" s="1091" t="str">
        <f t="shared" si="178"/>
        <v/>
      </c>
      <c r="M71" s="1091"/>
      <c r="N71" s="1146">
        <f>SUMIFS(BP_SOTIEN,BP_THANG,N$2,BP_KM,$E71)/1000</f>
        <v>318400</v>
      </c>
      <c r="O71" s="1091" t="str">
        <f t="shared" si="179"/>
        <v/>
      </c>
      <c r="P71" s="1091"/>
      <c r="Q71" s="1146">
        <f t="shared" si="210"/>
        <v>318400</v>
      </c>
      <c r="R71" s="1091" t="str">
        <f t="shared" si="180"/>
        <v/>
      </c>
      <c r="S71" s="1091">
        <f t="shared" si="217"/>
        <v>0.7996102402</v>
      </c>
      <c r="T71" s="1146">
        <f>SUMIFS(BP_SOTIEN,BP_THANG,T$2,BP_KM,$E71)/1000</f>
        <v>318400</v>
      </c>
      <c r="U71" s="1091" t="str">
        <f t="shared" si="181"/>
        <v/>
      </c>
      <c r="V71" s="1091"/>
      <c r="W71" s="1146">
        <f>SUMIFS(BP_SOTIEN,BP_THANG,W$2,BP_KM,$E71)/1000</f>
        <v>318400</v>
      </c>
      <c r="X71" s="1091" t="str">
        <f t="shared" si="182"/>
        <v/>
      </c>
      <c r="Y71" s="1091"/>
      <c r="Z71" s="1146">
        <f>SUMIFS(BP_SOTIEN,BP_THANG,Z$2,BP_KM,$E71)/1000</f>
        <v>318400</v>
      </c>
      <c r="AA71" s="1091" t="str">
        <f t="shared" si="183"/>
        <v/>
      </c>
      <c r="AB71" s="1091"/>
      <c r="AC71" s="1146">
        <f t="shared" si="211"/>
        <v>318400</v>
      </c>
      <c r="AD71" s="1091" t="str">
        <f t="shared" si="184"/>
        <v/>
      </c>
      <c r="AE71" s="1091">
        <f t="shared" si="218"/>
        <v>0.8056802482</v>
      </c>
      <c r="AF71" s="1146">
        <f t="shared" si="212"/>
        <v>636800</v>
      </c>
      <c r="AG71" s="1091" t="str">
        <f t="shared" si="185"/>
        <v/>
      </c>
      <c r="AH71" s="1091">
        <f t="shared" si="219"/>
        <v>0.8026337681</v>
      </c>
      <c r="AI71" s="1146">
        <f>SUMIFS(BP_SOTIEN,BP_THANG,AI$2,BP_KM,$E71)/1000</f>
        <v>318400</v>
      </c>
      <c r="AJ71" s="1091" t="str">
        <f t="shared" si="186"/>
        <v/>
      </c>
      <c r="AK71" s="1091"/>
      <c r="AL71" s="1146">
        <f>SUMIFS(BP_SOTIEN,BP_THANG,AL$2,BP_KM,$E71)/1000</f>
        <v>318400</v>
      </c>
      <c r="AM71" s="1091" t="str">
        <f t="shared" si="187"/>
        <v/>
      </c>
      <c r="AN71" s="1091"/>
      <c r="AO71" s="1091" t="str">
        <f t="shared" si="27"/>
        <v/>
      </c>
      <c r="AP71" s="1146">
        <f>SUMIFS(BP_SOTIEN,BP_THANG,AP$2,BP_KM,$E71)/1000</f>
        <v>318400</v>
      </c>
      <c r="AQ71" s="1091" t="str">
        <f t="shared" si="188"/>
        <v/>
      </c>
      <c r="AR71" s="1091"/>
      <c r="AS71" s="1146">
        <f t="shared" si="213"/>
        <v>318400</v>
      </c>
      <c r="AT71" s="1091" t="str">
        <f t="shared" si="189"/>
        <v/>
      </c>
      <c r="AU71" s="1091">
        <f t="shared" si="220"/>
        <v>0.8142618578</v>
      </c>
      <c r="AV71" s="1146">
        <f>SUMIFS(BP_SOTIEN,BP_THANG,AV$2,BP_KM,$E71)/1000</f>
        <v>318400</v>
      </c>
      <c r="AW71" s="1091" t="str">
        <f t="shared" si="190"/>
        <v/>
      </c>
      <c r="AX71" s="1091"/>
      <c r="AY71" s="1146">
        <f>SUMIFS(BP_SOTIEN,BP_THANG,AY$2,BP_KM,$E71)/1000</f>
        <v>318400</v>
      </c>
      <c r="AZ71" s="1091" t="str">
        <f t="shared" si="191"/>
        <v/>
      </c>
      <c r="BA71" s="1091"/>
      <c r="BB71" s="1146">
        <f>SUMIFS(BP_SOTIEN,BP_THANG,BB$2,BP_KM,$E71)/1000</f>
        <v>318400</v>
      </c>
      <c r="BC71" s="1091" t="str">
        <f t="shared" si="192"/>
        <v/>
      </c>
      <c r="BD71" s="1091"/>
      <c r="BE71" s="1146">
        <f t="shared" si="214"/>
        <v>318400</v>
      </c>
      <c r="BF71" s="1091" t="str">
        <f t="shared" si="193"/>
        <v/>
      </c>
      <c r="BG71" s="1091">
        <f t="shared" si="221"/>
        <v>0.8142618578</v>
      </c>
      <c r="BH71" s="1146">
        <f t="shared" si="215"/>
        <v>636800</v>
      </c>
      <c r="BI71" s="1091" t="str">
        <f t="shared" si="194"/>
        <v/>
      </c>
      <c r="BJ71" s="1091">
        <f t="shared" si="222"/>
        <v>0.8142618578</v>
      </c>
      <c r="BK71" s="1146">
        <f t="shared" si="216"/>
        <v>1273600</v>
      </c>
      <c r="BL71" s="1091" t="str">
        <f t="shared" si="195"/>
        <v/>
      </c>
      <c r="BM71" s="1091">
        <f t="shared" si="223"/>
        <v>0.8084060006</v>
      </c>
    </row>
    <row r="72" hidden="1" outlineLevel="1">
      <c r="A72" s="737"/>
      <c r="B72" s="737"/>
      <c r="C72" s="737"/>
      <c r="D72" s="737" t="s">
        <v>2848</v>
      </c>
      <c r="E72" s="737" t="s">
        <v>1211</v>
      </c>
      <c r="F72" s="737"/>
      <c r="G72" s="748">
        <v>3.0</v>
      </c>
      <c r="H72" s="1146">
        <f>SUMIFS(BP_SOTIEN,BP_THANG,H$2,BP_KM,$E72)/1000</f>
        <v>0</v>
      </c>
      <c r="I72" s="1091" t="str">
        <f t="shared" si="177"/>
        <v/>
      </c>
      <c r="J72" s="1091"/>
      <c r="K72" s="1146">
        <f>SUMIFS(BP_SOTIEN,BP_THANG,K$2,BP_KM,$E72)/1000</f>
        <v>0</v>
      </c>
      <c r="L72" s="1091" t="str">
        <f t="shared" si="178"/>
        <v/>
      </c>
      <c r="M72" s="1091"/>
      <c r="N72" s="1146">
        <f>SUMIFS(BP_SOTIEN,BP_THANG,N$2,BP_KM,$E72)/1000</f>
        <v>0</v>
      </c>
      <c r="O72" s="1091" t="str">
        <f t="shared" si="179"/>
        <v/>
      </c>
      <c r="P72" s="1091"/>
      <c r="Q72" s="1146">
        <f t="shared" si="210"/>
        <v>0</v>
      </c>
      <c r="R72" s="1091" t="str">
        <f t="shared" si="180"/>
        <v/>
      </c>
      <c r="S72" s="1091">
        <f t="shared" si="217"/>
        <v>0</v>
      </c>
      <c r="T72" s="1146">
        <f>SUMIFS(BP_SOTIEN,BP_THANG,T$2,BP_KM,$E72)/1000</f>
        <v>0</v>
      </c>
      <c r="U72" s="1091" t="str">
        <f t="shared" si="181"/>
        <v/>
      </c>
      <c r="V72" s="1091"/>
      <c r="W72" s="1146">
        <f>SUMIFS(BP_SOTIEN,BP_THANG,W$2,BP_KM,$E72)/1000</f>
        <v>0</v>
      </c>
      <c r="X72" s="1091" t="str">
        <f t="shared" si="182"/>
        <v/>
      </c>
      <c r="Y72" s="1091"/>
      <c r="Z72" s="1146">
        <f>SUMIFS(BP_SOTIEN,BP_THANG,Z$2,BP_KM,$E72)/1000</f>
        <v>0</v>
      </c>
      <c r="AA72" s="1091" t="str">
        <f t="shared" si="183"/>
        <v/>
      </c>
      <c r="AB72" s="1091"/>
      <c r="AC72" s="1146">
        <f t="shared" si="211"/>
        <v>0</v>
      </c>
      <c r="AD72" s="1091" t="str">
        <f t="shared" si="184"/>
        <v/>
      </c>
      <c r="AE72" s="1091">
        <f t="shared" si="218"/>
        <v>0</v>
      </c>
      <c r="AF72" s="1146">
        <f t="shared" si="212"/>
        <v>0</v>
      </c>
      <c r="AG72" s="1091" t="str">
        <f t="shared" si="185"/>
        <v/>
      </c>
      <c r="AH72" s="1091">
        <f t="shared" si="219"/>
        <v>0</v>
      </c>
      <c r="AI72" s="1146">
        <f>SUMIFS(BP_SOTIEN,BP_THANG,AI$2,BP_KM,$E72)/1000</f>
        <v>0</v>
      </c>
      <c r="AJ72" s="1091" t="str">
        <f t="shared" si="186"/>
        <v/>
      </c>
      <c r="AK72" s="1091"/>
      <c r="AL72" s="1146">
        <f>SUMIFS(BP_SOTIEN,BP_THANG,AL$2,BP_KM,$E72)/1000</f>
        <v>0</v>
      </c>
      <c r="AM72" s="1091" t="str">
        <f t="shared" si="187"/>
        <v/>
      </c>
      <c r="AN72" s="1091"/>
      <c r="AO72" s="1091" t="str">
        <f t="shared" si="27"/>
        <v/>
      </c>
      <c r="AP72" s="1146">
        <f>SUMIFS(BP_SOTIEN,BP_THANG,AP$2,BP_KM,$E72)/1000</f>
        <v>0</v>
      </c>
      <c r="AQ72" s="1091" t="str">
        <f t="shared" si="188"/>
        <v/>
      </c>
      <c r="AR72" s="1091"/>
      <c r="AS72" s="1146">
        <f t="shared" si="213"/>
        <v>0</v>
      </c>
      <c r="AT72" s="1091" t="str">
        <f t="shared" si="189"/>
        <v/>
      </c>
      <c r="AU72" s="1091">
        <f t="shared" si="220"/>
        <v>0</v>
      </c>
      <c r="AV72" s="1146">
        <f>SUMIFS(BP_SOTIEN,BP_THANG,AV$2,BP_KM,$E72)/1000</f>
        <v>0</v>
      </c>
      <c r="AW72" s="1091" t="str">
        <f t="shared" si="190"/>
        <v/>
      </c>
      <c r="AX72" s="1091"/>
      <c r="AY72" s="1146">
        <f>SUMIFS(BP_SOTIEN,BP_THANG,AY$2,BP_KM,$E72)/1000</f>
        <v>0</v>
      </c>
      <c r="AZ72" s="1091" t="str">
        <f t="shared" si="191"/>
        <v/>
      </c>
      <c r="BA72" s="1091"/>
      <c r="BB72" s="1146">
        <f>SUMIFS(BP_SOTIEN,BP_THANG,BB$2,BP_KM,$E72)/1000</f>
        <v>0</v>
      </c>
      <c r="BC72" s="1091" t="str">
        <f t="shared" si="192"/>
        <v/>
      </c>
      <c r="BD72" s="1091"/>
      <c r="BE72" s="1146">
        <f t="shared" si="214"/>
        <v>0</v>
      </c>
      <c r="BF72" s="1091" t="str">
        <f t="shared" si="193"/>
        <v/>
      </c>
      <c r="BG72" s="1091">
        <f t="shared" si="221"/>
        <v>0</v>
      </c>
      <c r="BH72" s="1146">
        <f t="shared" si="215"/>
        <v>0</v>
      </c>
      <c r="BI72" s="1091" t="str">
        <f t="shared" si="194"/>
        <v/>
      </c>
      <c r="BJ72" s="1091">
        <f t="shared" si="222"/>
        <v>0</v>
      </c>
      <c r="BK72" s="1146">
        <f t="shared" si="216"/>
        <v>0</v>
      </c>
      <c r="BL72" s="1091" t="str">
        <f t="shared" si="195"/>
        <v/>
      </c>
      <c r="BM72" s="1091">
        <f t="shared" si="223"/>
        <v>0</v>
      </c>
    </row>
    <row r="73" hidden="1" outlineLevel="1">
      <c r="A73" s="737"/>
      <c r="B73" s="737"/>
      <c r="C73" s="737"/>
      <c r="D73" s="737" t="s">
        <v>2849</v>
      </c>
      <c r="E73" s="737" t="s">
        <v>2850</v>
      </c>
      <c r="F73" s="737"/>
      <c r="G73" s="748">
        <v>3.0</v>
      </c>
      <c r="H73" s="1146">
        <f>SUMIFS(BP_SOTIEN,BP_THANG,H$2,BP_KM,$E73)/1000</f>
        <v>0</v>
      </c>
      <c r="I73" s="1091" t="str">
        <f t="shared" si="177"/>
        <v/>
      </c>
      <c r="J73" s="1091"/>
      <c r="K73" s="1146">
        <f>SUMIFS(BP_SOTIEN,BP_THANG,K$2,BP_KM,$E73)/1000</f>
        <v>0</v>
      </c>
      <c r="L73" s="1091" t="str">
        <f t="shared" si="178"/>
        <v/>
      </c>
      <c r="M73" s="1091"/>
      <c r="N73" s="1146">
        <f>SUMIFS(BP_SOTIEN,BP_THANG,N$2,BP_KM,$E73)/1000</f>
        <v>0</v>
      </c>
      <c r="O73" s="1091" t="str">
        <f t="shared" si="179"/>
        <v/>
      </c>
      <c r="P73" s="1091"/>
      <c r="Q73" s="1146">
        <f t="shared" si="210"/>
        <v>0</v>
      </c>
      <c r="R73" s="1091" t="str">
        <f t="shared" si="180"/>
        <v/>
      </c>
      <c r="S73" s="1091">
        <f t="shared" si="217"/>
        <v>0</v>
      </c>
      <c r="T73" s="1146">
        <f>SUMIFS(BP_SOTIEN,BP_THANG,T$2,BP_KM,$E73)/1000</f>
        <v>0</v>
      </c>
      <c r="U73" s="1091" t="str">
        <f t="shared" si="181"/>
        <v/>
      </c>
      <c r="V73" s="1091"/>
      <c r="W73" s="1146">
        <f>SUMIFS(BP_SOTIEN,BP_THANG,W$2,BP_KM,$E73)/1000</f>
        <v>0</v>
      </c>
      <c r="X73" s="1091" t="str">
        <f t="shared" si="182"/>
        <v/>
      </c>
      <c r="Y73" s="1091"/>
      <c r="Z73" s="1146">
        <f>SUMIFS(BP_SOTIEN,BP_THANG,Z$2,BP_KM,$E73)/1000</f>
        <v>0</v>
      </c>
      <c r="AA73" s="1091" t="str">
        <f t="shared" si="183"/>
        <v/>
      </c>
      <c r="AB73" s="1091"/>
      <c r="AC73" s="1146">
        <f t="shared" si="211"/>
        <v>0</v>
      </c>
      <c r="AD73" s="1091" t="str">
        <f t="shared" si="184"/>
        <v/>
      </c>
      <c r="AE73" s="1091">
        <f t="shared" si="218"/>
        <v>0</v>
      </c>
      <c r="AF73" s="1146">
        <f t="shared" si="212"/>
        <v>0</v>
      </c>
      <c r="AG73" s="1091" t="str">
        <f t="shared" si="185"/>
        <v/>
      </c>
      <c r="AH73" s="1091">
        <f t="shared" si="219"/>
        <v>0</v>
      </c>
      <c r="AI73" s="1146">
        <f>SUMIFS(BP_SOTIEN,BP_THANG,AI$2,BP_KM,$E73)/1000</f>
        <v>0</v>
      </c>
      <c r="AJ73" s="1091" t="str">
        <f t="shared" si="186"/>
        <v/>
      </c>
      <c r="AK73" s="1091"/>
      <c r="AL73" s="1146">
        <f>SUMIFS(BP_SOTIEN,BP_THANG,AL$2,BP_KM,$E73)/1000</f>
        <v>0</v>
      </c>
      <c r="AM73" s="1091" t="str">
        <f t="shared" si="187"/>
        <v/>
      </c>
      <c r="AN73" s="1091"/>
      <c r="AO73" s="1091" t="str">
        <f t="shared" si="27"/>
        <v/>
      </c>
      <c r="AP73" s="1146">
        <f>SUMIFS(BP_SOTIEN,BP_THANG,AP$2,BP_KM,$E73)/1000</f>
        <v>0</v>
      </c>
      <c r="AQ73" s="1091" t="str">
        <f t="shared" si="188"/>
        <v/>
      </c>
      <c r="AR73" s="1091"/>
      <c r="AS73" s="1146">
        <f t="shared" si="213"/>
        <v>0</v>
      </c>
      <c r="AT73" s="1091" t="str">
        <f t="shared" si="189"/>
        <v/>
      </c>
      <c r="AU73" s="1091">
        <f t="shared" si="220"/>
        <v>0</v>
      </c>
      <c r="AV73" s="1146">
        <f>SUMIFS(BP_SOTIEN,BP_THANG,AV$2,BP_KM,$E73)/1000</f>
        <v>0</v>
      </c>
      <c r="AW73" s="1091" t="str">
        <f t="shared" si="190"/>
        <v/>
      </c>
      <c r="AX73" s="1091"/>
      <c r="AY73" s="1146">
        <f>SUMIFS(BP_SOTIEN,BP_THANG,AY$2,BP_KM,$E73)/1000</f>
        <v>0</v>
      </c>
      <c r="AZ73" s="1091" t="str">
        <f t="shared" si="191"/>
        <v/>
      </c>
      <c r="BA73" s="1091"/>
      <c r="BB73" s="1146">
        <f>SUMIFS(BP_SOTIEN,BP_THANG,BB$2,BP_KM,$E73)/1000</f>
        <v>0</v>
      </c>
      <c r="BC73" s="1091" t="str">
        <f t="shared" si="192"/>
        <v/>
      </c>
      <c r="BD73" s="1091"/>
      <c r="BE73" s="1146">
        <f t="shared" si="214"/>
        <v>0</v>
      </c>
      <c r="BF73" s="1091" t="str">
        <f t="shared" si="193"/>
        <v/>
      </c>
      <c r="BG73" s="1091">
        <f t="shared" si="221"/>
        <v>0</v>
      </c>
      <c r="BH73" s="1146">
        <f t="shared" si="215"/>
        <v>0</v>
      </c>
      <c r="BI73" s="1091" t="str">
        <f t="shared" si="194"/>
        <v/>
      </c>
      <c r="BJ73" s="1091">
        <f t="shared" si="222"/>
        <v>0</v>
      </c>
      <c r="BK73" s="1146">
        <f t="shared" si="216"/>
        <v>0</v>
      </c>
      <c r="BL73" s="1091" t="str">
        <f t="shared" si="195"/>
        <v/>
      </c>
      <c r="BM73" s="1091">
        <f t="shared" si="223"/>
        <v>0</v>
      </c>
    </row>
    <row r="74" hidden="1" outlineLevel="1">
      <c r="A74" s="737"/>
      <c r="B74" s="737"/>
      <c r="C74" s="737"/>
      <c r="D74" s="737" t="s">
        <v>2851</v>
      </c>
      <c r="E74" s="737" t="s">
        <v>1273</v>
      </c>
      <c r="F74" s="737"/>
      <c r="G74" s="748">
        <v>3.0</v>
      </c>
      <c r="H74" s="1146">
        <f>SUMIFS(BP_SOTIEN,BP_THANG,H$2,BP_KM,$E74)/1000</f>
        <v>328</v>
      </c>
      <c r="I74" s="1091" t="str">
        <f t="shared" si="177"/>
        <v/>
      </c>
      <c r="J74" s="1091"/>
      <c r="K74" s="1146">
        <f>SUMIFS(BP_SOTIEN,BP_THANG,K$2,BP_KM,$E74)/1000</f>
        <v>328</v>
      </c>
      <c r="L74" s="1091" t="str">
        <f t="shared" si="178"/>
        <v/>
      </c>
      <c r="M74" s="1091"/>
      <c r="N74" s="1146">
        <f>SUMIFS(BP_SOTIEN,BP_THANG,N$2,BP_KM,$E74)/1000</f>
        <v>328</v>
      </c>
      <c r="O74" s="1091" t="str">
        <f t="shared" si="179"/>
        <v/>
      </c>
      <c r="P74" s="1091"/>
      <c r="Q74" s="1146">
        <f t="shared" si="210"/>
        <v>328</v>
      </c>
      <c r="R74" s="1091" t="str">
        <f t="shared" si="180"/>
        <v/>
      </c>
      <c r="S74" s="1091">
        <f t="shared" si="217"/>
        <v>0.0008237190917</v>
      </c>
      <c r="T74" s="1146">
        <f>SUMIFS(BP_SOTIEN,BP_THANG,T$2,BP_KM,$E74)/1000</f>
        <v>328</v>
      </c>
      <c r="U74" s="1091" t="str">
        <f t="shared" si="181"/>
        <v/>
      </c>
      <c r="V74" s="1091"/>
      <c r="W74" s="1146">
        <f>SUMIFS(BP_SOTIEN,BP_THANG,W$2,BP_KM,$E74)/1000</f>
        <v>328</v>
      </c>
      <c r="X74" s="1091" t="str">
        <f t="shared" si="182"/>
        <v/>
      </c>
      <c r="Y74" s="1091"/>
      <c r="Z74" s="1146">
        <f>SUMIFS(BP_SOTIEN,BP_THANG,Z$2,BP_KM,$E74)/1000</f>
        <v>328</v>
      </c>
      <c r="AA74" s="1091" t="str">
        <f t="shared" si="183"/>
        <v/>
      </c>
      <c r="AB74" s="1091"/>
      <c r="AC74" s="1146">
        <f t="shared" si="211"/>
        <v>328</v>
      </c>
      <c r="AD74" s="1091" t="str">
        <f t="shared" si="184"/>
        <v/>
      </c>
      <c r="AE74" s="1091">
        <f t="shared" si="218"/>
        <v>0.000829972115</v>
      </c>
      <c r="AF74" s="1146">
        <f t="shared" si="212"/>
        <v>656</v>
      </c>
      <c r="AG74" s="1091" t="str">
        <f t="shared" si="185"/>
        <v/>
      </c>
      <c r="AH74" s="1091">
        <f t="shared" si="219"/>
        <v>0.0008268337812</v>
      </c>
      <c r="AI74" s="1146">
        <f>SUMIFS(BP_SOTIEN,BP_THANG,AI$2,BP_KM,$E74)/1000</f>
        <v>328</v>
      </c>
      <c r="AJ74" s="1091" t="str">
        <f t="shared" si="186"/>
        <v/>
      </c>
      <c r="AK74" s="1091"/>
      <c r="AL74" s="1146">
        <f>SUMIFS(BP_SOTIEN,BP_THANG,AL$2,BP_KM,$E74)/1000</f>
        <v>328</v>
      </c>
      <c r="AM74" s="1091" t="str">
        <f t="shared" si="187"/>
        <v/>
      </c>
      <c r="AN74" s="1091"/>
      <c r="AO74" s="1091" t="str">
        <f t="shared" si="27"/>
        <v/>
      </c>
      <c r="AP74" s="1146">
        <f>SUMIFS(BP_SOTIEN,BP_THANG,AP$2,BP_KM,$E74)/1000</f>
        <v>328</v>
      </c>
      <c r="AQ74" s="1091" t="str">
        <f t="shared" si="188"/>
        <v/>
      </c>
      <c r="AR74" s="1091"/>
      <c r="AS74" s="1146">
        <f t="shared" si="213"/>
        <v>328</v>
      </c>
      <c r="AT74" s="1091" t="str">
        <f t="shared" si="189"/>
        <v/>
      </c>
      <c r="AU74" s="1091">
        <f t="shared" si="220"/>
        <v>0.0008388124666</v>
      </c>
      <c r="AV74" s="1146">
        <f>SUMIFS(BP_SOTIEN,BP_THANG,AV$2,BP_KM,$E74)/1000</f>
        <v>328</v>
      </c>
      <c r="AW74" s="1091" t="str">
        <f t="shared" si="190"/>
        <v/>
      </c>
      <c r="AX74" s="1091"/>
      <c r="AY74" s="1146">
        <f>SUMIFS(BP_SOTIEN,BP_THANG,AY$2,BP_KM,$E74)/1000</f>
        <v>328</v>
      </c>
      <c r="AZ74" s="1091" t="str">
        <f t="shared" si="191"/>
        <v/>
      </c>
      <c r="BA74" s="1091"/>
      <c r="BB74" s="1146">
        <f>SUMIFS(BP_SOTIEN,BP_THANG,BB$2,BP_KM,$E74)/1000</f>
        <v>328</v>
      </c>
      <c r="BC74" s="1091" t="str">
        <f t="shared" si="192"/>
        <v/>
      </c>
      <c r="BD74" s="1091"/>
      <c r="BE74" s="1146">
        <f t="shared" si="214"/>
        <v>328</v>
      </c>
      <c r="BF74" s="1091" t="str">
        <f t="shared" si="193"/>
        <v/>
      </c>
      <c r="BG74" s="1091">
        <f t="shared" si="221"/>
        <v>0.0008388124666</v>
      </c>
      <c r="BH74" s="1146">
        <f t="shared" si="215"/>
        <v>656</v>
      </c>
      <c r="BI74" s="1091" t="str">
        <f t="shared" si="194"/>
        <v/>
      </c>
      <c r="BJ74" s="1091">
        <f t="shared" si="222"/>
        <v>0.0008388124666</v>
      </c>
      <c r="BK74" s="1146">
        <f t="shared" si="216"/>
        <v>1312</v>
      </c>
      <c r="BL74" s="1091" t="str">
        <f t="shared" si="195"/>
        <v/>
      </c>
      <c r="BM74" s="1091">
        <f t="shared" si="223"/>
        <v>0.0008327800509</v>
      </c>
    </row>
    <row r="75" hidden="1" outlineLevel="1">
      <c r="A75" s="737"/>
      <c r="B75" s="737"/>
      <c r="C75" s="737"/>
      <c r="D75" s="737" t="s">
        <v>2852</v>
      </c>
      <c r="E75" s="737" t="s">
        <v>1153</v>
      </c>
      <c r="F75" s="737"/>
      <c r="G75" s="748">
        <v>3.0</v>
      </c>
      <c r="H75" s="1146">
        <f>SUMIFS(BP_SOTIEN,BP_THANG,H$2,BP_KM,$E75)/1000</f>
        <v>8333</v>
      </c>
      <c r="I75" s="1091" t="str">
        <f t="shared" si="177"/>
        <v/>
      </c>
      <c r="J75" s="1091"/>
      <c r="K75" s="1146">
        <f>SUMIFS(BP_SOTIEN,BP_THANG,K$2,BP_KM,$E75)/1000</f>
        <v>8333</v>
      </c>
      <c r="L75" s="1091" t="str">
        <f t="shared" si="178"/>
        <v/>
      </c>
      <c r="M75" s="1091"/>
      <c r="N75" s="1146">
        <f>SUMIFS(BP_SOTIEN,BP_THANG,N$2,BP_KM,$E75)/1000</f>
        <v>8333</v>
      </c>
      <c r="O75" s="1091" t="str">
        <f t="shared" si="179"/>
        <v/>
      </c>
      <c r="P75" s="1091"/>
      <c r="Q75" s="1146">
        <f t="shared" si="210"/>
        <v>8333</v>
      </c>
      <c r="R75" s="1091" t="str">
        <f t="shared" si="180"/>
        <v/>
      </c>
      <c r="S75" s="1091">
        <f t="shared" si="217"/>
        <v>0.02092698534</v>
      </c>
      <c r="T75" s="1146">
        <f>SUMIFS(BP_SOTIEN,BP_THANG,T$2,BP_KM,$E75)/1000</f>
        <v>8333</v>
      </c>
      <c r="U75" s="1091" t="str">
        <f t="shared" si="181"/>
        <v/>
      </c>
      <c r="V75" s="1091"/>
      <c r="W75" s="1146">
        <f>SUMIFS(BP_SOTIEN,BP_THANG,W$2,BP_KM,$E75)/1000</f>
        <v>8333</v>
      </c>
      <c r="X75" s="1091" t="str">
        <f t="shared" si="182"/>
        <v/>
      </c>
      <c r="Y75" s="1091"/>
      <c r="Z75" s="1146">
        <f>SUMIFS(BP_SOTIEN,BP_THANG,Z$2,BP_KM,$E75)/1000</f>
        <v>8333</v>
      </c>
      <c r="AA75" s="1091" t="str">
        <f t="shared" si="183"/>
        <v/>
      </c>
      <c r="AB75" s="1091"/>
      <c r="AC75" s="1146">
        <f t="shared" si="211"/>
        <v>8333</v>
      </c>
      <c r="AD75" s="1091" t="str">
        <f t="shared" si="184"/>
        <v/>
      </c>
      <c r="AE75" s="1091">
        <f t="shared" si="218"/>
        <v>0.02108584645</v>
      </c>
      <c r="AF75" s="1146">
        <f t="shared" si="212"/>
        <v>16666</v>
      </c>
      <c r="AG75" s="1091" t="str">
        <f t="shared" si="185"/>
        <v/>
      </c>
      <c r="AH75" s="1091">
        <f t="shared" si="219"/>
        <v>0.02100611554</v>
      </c>
      <c r="AI75" s="1146">
        <f>SUMIFS(BP_SOTIEN,BP_THANG,AI$2,BP_KM,$E75)/1000</f>
        <v>8333</v>
      </c>
      <c r="AJ75" s="1091" t="str">
        <f t="shared" si="186"/>
        <v/>
      </c>
      <c r="AK75" s="1091"/>
      <c r="AL75" s="1146">
        <f>SUMIFS(BP_SOTIEN,BP_THANG,AL$2,BP_KM,$E75)/1000</f>
        <v>8333</v>
      </c>
      <c r="AM75" s="1091" t="str">
        <f t="shared" si="187"/>
        <v/>
      </c>
      <c r="AN75" s="1091"/>
      <c r="AO75" s="1091" t="str">
        <f t="shared" si="27"/>
        <v/>
      </c>
      <c r="AP75" s="1146">
        <f>SUMIFS(BP_SOTIEN,BP_THANG,AP$2,BP_KM,$E75)/1000</f>
        <v>8333</v>
      </c>
      <c r="AQ75" s="1091" t="str">
        <f t="shared" si="188"/>
        <v/>
      </c>
      <c r="AR75" s="1091"/>
      <c r="AS75" s="1146">
        <f t="shared" si="213"/>
        <v>8333</v>
      </c>
      <c r="AT75" s="1091" t="str">
        <f t="shared" si="189"/>
        <v/>
      </c>
      <c r="AU75" s="1091">
        <f t="shared" si="220"/>
        <v>0.02131043989</v>
      </c>
      <c r="AV75" s="1146">
        <f>SUMIFS(BP_SOTIEN,BP_THANG,AV$2,BP_KM,$E75)/1000</f>
        <v>8333</v>
      </c>
      <c r="AW75" s="1091" t="str">
        <f t="shared" si="190"/>
        <v/>
      </c>
      <c r="AX75" s="1091"/>
      <c r="AY75" s="1146">
        <f>SUMIFS(BP_SOTIEN,BP_THANG,AY$2,BP_KM,$E75)/1000</f>
        <v>8333</v>
      </c>
      <c r="AZ75" s="1091" t="str">
        <f t="shared" si="191"/>
        <v/>
      </c>
      <c r="BA75" s="1091"/>
      <c r="BB75" s="1146">
        <f>SUMIFS(BP_SOTIEN,BP_THANG,BB$2,BP_KM,$E75)/1000</f>
        <v>8333</v>
      </c>
      <c r="BC75" s="1091" t="str">
        <f t="shared" si="192"/>
        <v/>
      </c>
      <c r="BD75" s="1091"/>
      <c r="BE75" s="1146">
        <f t="shared" si="214"/>
        <v>8333</v>
      </c>
      <c r="BF75" s="1091" t="str">
        <f t="shared" si="193"/>
        <v/>
      </c>
      <c r="BG75" s="1091">
        <f t="shared" si="221"/>
        <v>0.02131043989</v>
      </c>
      <c r="BH75" s="1146">
        <f t="shared" si="215"/>
        <v>16666</v>
      </c>
      <c r="BI75" s="1091" t="str">
        <f t="shared" si="194"/>
        <v/>
      </c>
      <c r="BJ75" s="1091">
        <f t="shared" si="222"/>
        <v>0.02131043989</v>
      </c>
      <c r="BK75" s="1146">
        <f t="shared" si="216"/>
        <v>33332</v>
      </c>
      <c r="BL75" s="1091" t="str">
        <f t="shared" si="195"/>
        <v/>
      </c>
      <c r="BM75" s="1091">
        <f t="shared" si="223"/>
        <v>0.02115718343</v>
      </c>
    </row>
    <row r="76" hidden="1" outlineLevel="1">
      <c r="A76" s="1087"/>
      <c r="B76" s="1087"/>
      <c r="C76" s="1087"/>
      <c r="D76" s="1087" t="s">
        <v>2853</v>
      </c>
      <c r="E76" s="1087" t="s">
        <v>270</v>
      </c>
      <c r="F76" s="1086">
        <v>642.0</v>
      </c>
      <c r="G76" s="1086">
        <v>2.0</v>
      </c>
      <c r="H76" s="1088">
        <f>SUMIFS(BP_SOTIEN,BP_THANG,H$2,BP_KM,$E76)/1000</f>
        <v>45143</v>
      </c>
      <c r="I76" s="1091" t="str">
        <f t="shared" si="177"/>
        <v/>
      </c>
      <c r="J76" s="1091"/>
      <c r="K76" s="1088">
        <f>SUMIFS(BP_SOTIEN,BP_THANG,K$2,BP_KM,$E76)/1000</f>
        <v>45143</v>
      </c>
      <c r="L76" s="1091" t="str">
        <f t="shared" si="178"/>
        <v/>
      </c>
      <c r="M76" s="1091"/>
      <c r="N76" s="1088">
        <f>SUMIFS(BP_SOTIEN,BP_THANG,N$2,BP_KM,$E76)/1000</f>
        <v>45143</v>
      </c>
      <c r="O76" s="1091" t="str">
        <f t="shared" si="179"/>
        <v/>
      </c>
      <c r="P76" s="1091"/>
      <c r="Q76" s="1088">
        <f t="shared" si="210"/>
        <v>45143</v>
      </c>
      <c r="R76" s="1091" t="str">
        <f t="shared" si="180"/>
        <v/>
      </c>
      <c r="S76" s="1091">
        <f t="shared" si="217"/>
        <v>0.1133693627</v>
      </c>
      <c r="T76" s="1088">
        <f>SUMIFS(BP_SOTIEN,BP_THANG,T$2,BP_KM,$E76)/1000</f>
        <v>45143</v>
      </c>
      <c r="U76" s="1091" t="str">
        <f t="shared" si="181"/>
        <v/>
      </c>
      <c r="V76" s="1091"/>
      <c r="W76" s="1088">
        <f>SUMIFS(BP_SOTIEN,BP_THANG,W$2,BP_KM,$E76)/1000</f>
        <v>45143</v>
      </c>
      <c r="X76" s="1091" t="str">
        <f t="shared" si="182"/>
        <v/>
      </c>
      <c r="Y76" s="1091"/>
      <c r="Z76" s="1088">
        <f>SUMIFS(BP_SOTIEN,BP_THANG,Z$2,BP_KM,$E76)/1000</f>
        <v>45143</v>
      </c>
      <c r="AA76" s="1091" t="str">
        <f t="shared" si="183"/>
        <v/>
      </c>
      <c r="AB76" s="1091"/>
      <c r="AC76" s="1088">
        <f t="shared" si="211"/>
        <v>45143</v>
      </c>
      <c r="AD76" s="1091" t="str">
        <f t="shared" si="184"/>
        <v/>
      </c>
      <c r="AE76" s="1091">
        <f t="shared" si="218"/>
        <v>0.1142299731</v>
      </c>
      <c r="AF76" s="1088">
        <f t="shared" si="212"/>
        <v>90286</v>
      </c>
      <c r="AG76" s="1091" t="str">
        <f t="shared" si="185"/>
        <v/>
      </c>
      <c r="AH76" s="1091">
        <f t="shared" si="219"/>
        <v>0.1137980408</v>
      </c>
      <c r="AI76" s="1088">
        <f>SUMIFS(BP_SOTIEN,BP_THANG,AI$2,BP_KM,$E76)/1000</f>
        <v>45143</v>
      </c>
      <c r="AJ76" s="1091" t="str">
        <f t="shared" si="186"/>
        <v/>
      </c>
      <c r="AK76" s="1091"/>
      <c r="AL76" s="1088">
        <f>SUMIFS(BP_SOTIEN,BP_THANG,AL$2,BP_KM,$E76)/1000</f>
        <v>45143</v>
      </c>
      <c r="AM76" s="1091" t="str">
        <f t="shared" si="187"/>
        <v/>
      </c>
      <c r="AN76" s="1091"/>
      <c r="AO76" s="1091" t="str">
        <f t="shared" si="27"/>
        <v/>
      </c>
      <c r="AP76" s="1088">
        <f>SUMIFS(BP_SOTIEN,BP_THANG,AP$2,BP_KM,$E76)/1000</f>
        <v>45143</v>
      </c>
      <c r="AQ76" s="1091" t="str">
        <f t="shared" si="188"/>
        <v/>
      </c>
      <c r="AR76" s="1091"/>
      <c r="AS76" s="1088">
        <f t="shared" si="213"/>
        <v>45143</v>
      </c>
      <c r="AT76" s="1091" t="str">
        <f t="shared" si="189"/>
        <v/>
      </c>
      <c r="AU76" s="1091">
        <f t="shared" si="220"/>
        <v>0.1154466804</v>
      </c>
      <c r="AV76" s="1088">
        <f>SUMIFS(BP_SOTIEN,BP_THANG,AV$2,BP_KM,$E76)/1000</f>
        <v>45143</v>
      </c>
      <c r="AW76" s="1091" t="str">
        <f t="shared" si="190"/>
        <v/>
      </c>
      <c r="AX76" s="1091"/>
      <c r="AY76" s="1088">
        <f>SUMIFS(BP_SOTIEN,BP_THANG,AY$2,BP_KM,$E76)/1000</f>
        <v>45143</v>
      </c>
      <c r="AZ76" s="1091" t="str">
        <f t="shared" si="191"/>
        <v/>
      </c>
      <c r="BA76" s="1091"/>
      <c r="BB76" s="1088">
        <f>SUMIFS(BP_SOTIEN,BP_THANG,BB$2,BP_KM,$E76)/1000</f>
        <v>45143</v>
      </c>
      <c r="BC76" s="1091" t="str">
        <f t="shared" si="192"/>
        <v/>
      </c>
      <c r="BD76" s="1091"/>
      <c r="BE76" s="1088">
        <f t="shared" si="214"/>
        <v>45143</v>
      </c>
      <c r="BF76" s="1091" t="str">
        <f t="shared" si="193"/>
        <v/>
      </c>
      <c r="BG76" s="1091">
        <f t="shared" si="221"/>
        <v>0.1154466804</v>
      </c>
      <c r="BH76" s="1088">
        <f t="shared" si="215"/>
        <v>90286</v>
      </c>
      <c r="BI76" s="1091" t="str">
        <f t="shared" si="194"/>
        <v/>
      </c>
      <c r="BJ76" s="1091">
        <f t="shared" si="222"/>
        <v>0.1154466804</v>
      </c>
      <c r="BK76" s="1088">
        <f t="shared" si="216"/>
        <v>180572</v>
      </c>
      <c r="BL76" s="1091" t="str">
        <f t="shared" si="195"/>
        <v/>
      </c>
      <c r="BM76" s="1091">
        <f t="shared" si="223"/>
        <v>0.1146164324</v>
      </c>
    </row>
    <row r="77" hidden="1" outlineLevel="1">
      <c r="A77" s="1087"/>
      <c r="B77" s="1087"/>
      <c r="C77" s="1087"/>
      <c r="D77" s="1087" t="s">
        <v>2854</v>
      </c>
      <c r="E77" s="1087"/>
      <c r="F77" s="1086">
        <v>642.0</v>
      </c>
      <c r="G77" s="1086">
        <v>2.0</v>
      </c>
      <c r="H77" s="1088">
        <f>SUM(H78:H94)</f>
        <v>21825</v>
      </c>
      <c r="I77" s="1091" t="str">
        <f t="shared" si="177"/>
        <v/>
      </c>
      <c r="J77" s="1091">
        <f>IFERROR(H77/H$68,"")</f>
        <v>0.054809967</v>
      </c>
      <c r="K77" s="1088">
        <f>SUM(K78:K94)</f>
        <v>18825</v>
      </c>
      <c r="L77" s="1091" t="str">
        <f t="shared" si="178"/>
        <v/>
      </c>
      <c r="M77" s="1091">
        <f>IFERROR(K77/K$68,"")</f>
        <v>0.04763483251</v>
      </c>
      <c r="N77" s="1088">
        <f>SUM(N78:N94)</f>
        <v>18825</v>
      </c>
      <c r="O77" s="1091" t="str">
        <f t="shared" si="179"/>
        <v/>
      </c>
      <c r="P77" s="1091">
        <f>IFERROR(N77/N$68,"")</f>
        <v>0.04763483251</v>
      </c>
      <c r="Q77" s="1088">
        <f t="shared" si="210"/>
        <v>21825</v>
      </c>
      <c r="R77" s="1091" t="str">
        <f t="shared" si="180"/>
        <v/>
      </c>
      <c r="S77" s="1091">
        <f t="shared" si="217"/>
        <v>0.054809967</v>
      </c>
      <c r="T77" s="1088">
        <f>SUM(T78:T94)</f>
        <v>18825</v>
      </c>
      <c r="U77" s="1091" t="str">
        <f t="shared" si="181"/>
        <v/>
      </c>
      <c r="V77" s="1091">
        <f>IFERROR(T77/T$68,"")</f>
        <v>0.04763483251</v>
      </c>
      <c r="W77" s="1088">
        <f>SUM(W78:W94)</f>
        <v>18825</v>
      </c>
      <c r="X77" s="1091" t="str">
        <f t="shared" si="182"/>
        <v/>
      </c>
      <c r="Y77" s="1091">
        <f>IFERROR(W77/W$68,"")</f>
        <v>0.0481422094</v>
      </c>
      <c r="Z77" s="1088">
        <f>SUM(Z78:Z94)</f>
        <v>18825</v>
      </c>
      <c r="AA77" s="1091" t="str">
        <f t="shared" si="183"/>
        <v/>
      </c>
      <c r="AB77" s="1091">
        <f>IFERROR(Z77/Z$68,"")</f>
        <v>0.0481422094</v>
      </c>
      <c r="AC77" s="1088">
        <f t="shared" si="211"/>
        <v>18825</v>
      </c>
      <c r="AD77" s="1091" t="str">
        <f t="shared" si="184"/>
        <v/>
      </c>
      <c r="AE77" s="1091">
        <f t="shared" si="218"/>
        <v>0.04763483251</v>
      </c>
      <c r="AF77" s="1088">
        <f t="shared" si="212"/>
        <v>40650</v>
      </c>
      <c r="AG77" s="1091" t="str">
        <f t="shared" si="185"/>
        <v/>
      </c>
      <c r="AH77" s="1091">
        <f t="shared" si="219"/>
        <v>0.05123596525</v>
      </c>
      <c r="AI77" s="1088">
        <f>SUM(AI78:AI94)</f>
        <v>18825</v>
      </c>
      <c r="AJ77" s="1091" t="str">
        <f t="shared" si="186"/>
        <v/>
      </c>
      <c r="AK77" s="1091">
        <f>IFERROR(AI77/AI$68,"")</f>
        <v>0.0481422094</v>
      </c>
      <c r="AL77" s="1088">
        <f>SUM(AL78:AL94)</f>
        <v>18825</v>
      </c>
      <c r="AM77" s="1091" t="str">
        <f t="shared" si="187"/>
        <v/>
      </c>
      <c r="AN77" s="1091">
        <f>IFERROR(AL77/AL$68,"")</f>
        <v>0.0481422094</v>
      </c>
      <c r="AO77" s="1132" t="str">
        <f t="shared" si="27"/>
        <v/>
      </c>
      <c r="AP77" s="1088">
        <f>SUM(AP78:AP94)</f>
        <v>18825</v>
      </c>
      <c r="AQ77" s="1091" t="str">
        <f t="shared" si="188"/>
        <v/>
      </c>
      <c r="AR77" s="1091">
        <f>IFERROR(AP77/AP$68,"")</f>
        <v>0.0481422094</v>
      </c>
      <c r="AS77" s="1088">
        <f t="shared" si="213"/>
        <v>18825</v>
      </c>
      <c r="AT77" s="1091" t="str">
        <f t="shared" si="189"/>
        <v/>
      </c>
      <c r="AU77" s="1091">
        <f t="shared" si="220"/>
        <v>0.0481422094</v>
      </c>
      <c r="AV77" s="1088">
        <f>SUM(AV78:AV94)</f>
        <v>18825</v>
      </c>
      <c r="AW77" s="1091" t="str">
        <f t="shared" si="190"/>
        <v/>
      </c>
      <c r="AX77" s="1091">
        <f>IFERROR(AV77/AV$68,"")</f>
        <v>0.0481422094</v>
      </c>
      <c r="AY77" s="1088">
        <f>SUM(AY78:AY94)</f>
        <v>18825</v>
      </c>
      <c r="AZ77" s="1091" t="str">
        <f t="shared" si="191"/>
        <v/>
      </c>
      <c r="BA77" s="1091">
        <f>IFERROR(AY77/AY$68,"")</f>
        <v>0.0481422094</v>
      </c>
      <c r="BB77" s="1088">
        <f>SUM(BB78:BB94)</f>
        <v>18825</v>
      </c>
      <c r="BC77" s="1091" t="str">
        <f t="shared" si="192"/>
        <v/>
      </c>
      <c r="BD77" s="1091">
        <f>IFERROR(BB77/BB$68,"")</f>
        <v>0.0481422094</v>
      </c>
      <c r="BE77" s="1088">
        <f t="shared" si="214"/>
        <v>18825</v>
      </c>
      <c r="BF77" s="1091" t="str">
        <f t="shared" si="193"/>
        <v/>
      </c>
      <c r="BG77" s="1091">
        <f t="shared" si="221"/>
        <v>0.0481422094</v>
      </c>
      <c r="BH77" s="1088">
        <f t="shared" si="215"/>
        <v>37650</v>
      </c>
      <c r="BI77" s="1091" t="str">
        <f t="shared" si="194"/>
        <v/>
      </c>
      <c r="BJ77" s="1091">
        <f t="shared" si="222"/>
        <v>0.0481422094</v>
      </c>
      <c r="BK77" s="1088">
        <f t="shared" si="216"/>
        <v>78300</v>
      </c>
      <c r="BL77" s="1091" t="str">
        <f t="shared" si="195"/>
        <v/>
      </c>
      <c r="BM77" s="1091">
        <f t="shared" si="223"/>
        <v>0.04970021188</v>
      </c>
    </row>
    <row r="78" hidden="1" outlineLevel="1">
      <c r="A78" s="737"/>
      <c r="B78" s="737"/>
      <c r="C78" s="737"/>
      <c r="D78" s="737" t="s">
        <v>2855</v>
      </c>
      <c r="E78" s="737" t="s">
        <v>2215</v>
      </c>
      <c r="F78" s="737"/>
      <c r="G78" s="748">
        <v>3.0</v>
      </c>
      <c r="H78" s="1146">
        <f>SUMIFS(BP_SOTIEN,BP_THANG,H$2,BP_KM,$E78)/1000</f>
        <v>43</v>
      </c>
      <c r="I78" s="1091" t="str">
        <f t="shared" si="177"/>
        <v/>
      </c>
      <c r="J78" s="1091"/>
      <c r="K78" s="1146">
        <f>SUMIFS(BP_SOTIEN,BP_THANG,K$2,BP_KM,$E78)/1000</f>
        <v>43</v>
      </c>
      <c r="L78" s="1091" t="str">
        <f t="shared" si="178"/>
        <v/>
      </c>
      <c r="M78" s="1091"/>
      <c r="N78" s="1146">
        <f>SUMIFS(BP_SOTIEN,BP_THANG,N$2,BP_KM,$E78)/1000</f>
        <v>43</v>
      </c>
      <c r="O78" s="1091" t="str">
        <f t="shared" si="179"/>
        <v/>
      </c>
      <c r="P78" s="1091"/>
      <c r="Q78" s="1146">
        <f t="shared" si="210"/>
        <v>43</v>
      </c>
      <c r="R78" s="1091" t="str">
        <f t="shared" si="180"/>
        <v/>
      </c>
      <c r="S78" s="1091">
        <f t="shared" ref="S78:S94" si="224">IFERROR(Q78/Q$77,"")</f>
        <v>0.00197021764</v>
      </c>
      <c r="T78" s="1146">
        <f>SUMIFS(BP_SOTIEN,BP_THANG,T$2,BP_KM,$E78)/1000</f>
        <v>43</v>
      </c>
      <c r="U78" s="1091" t="str">
        <f t="shared" si="181"/>
        <v/>
      </c>
      <c r="V78" s="1091"/>
      <c r="W78" s="1146">
        <f>SUMIFS(BP_SOTIEN,BP_THANG,W$2,BP_KM,$E78)/1000</f>
        <v>43</v>
      </c>
      <c r="X78" s="1091" t="str">
        <f t="shared" si="182"/>
        <v/>
      </c>
      <c r="Y78" s="1091"/>
      <c r="Z78" s="1146">
        <f>SUMIFS(BP_SOTIEN,BP_THANG,Z$2,BP_KM,$E78)/1000</f>
        <v>43</v>
      </c>
      <c r="AA78" s="1091" t="str">
        <f t="shared" si="183"/>
        <v/>
      </c>
      <c r="AB78" s="1091"/>
      <c r="AC78" s="1146">
        <f t="shared" si="211"/>
        <v>43</v>
      </c>
      <c r="AD78" s="1091" t="str">
        <f t="shared" si="184"/>
        <v/>
      </c>
      <c r="AE78" s="1091">
        <f t="shared" ref="AE78:AE94" si="225">IFERROR(AC78/AC$77,"")</f>
        <v>0.002284196547</v>
      </c>
      <c r="AF78" s="1146">
        <f t="shared" si="212"/>
        <v>86</v>
      </c>
      <c r="AG78" s="1091" t="str">
        <f t="shared" si="185"/>
        <v/>
      </c>
      <c r="AH78" s="1091">
        <f t="shared" ref="AH78:AH94" si="226">IFERROR(AF78/AF$77,"")</f>
        <v>0.002115621156</v>
      </c>
      <c r="AI78" s="1146">
        <f>SUMIFS(BP_SOTIEN,BP_THANG,AI$2,BP_KM,$E78)/1000</f>
        <v>43</v>
      </c>
      <c r="AJ78" s="1091" t="str">
        <f t="shared" si="186"/>
        <v/>
      </c>
      <c r="AK78" s="1091"/>
      <c r="AL78" s="1146">
        <f>SUMIFS(BP_SOTIEN,BP_THANG,AL$2,BP_KM,$E78)/1000</f>
        <v>43</v>
      </c>
      <c r="AM78" s="1091" t="str">
        <f t="shared" si="187"/>
        <v/>
      </c>
      <c r="AN78" s="1091"/>
      <c r="AO78" s="1091" t="str">
        <f t="shared" si="27"/>
        <v/>
      </c>
      <c r="AP78" s="1146">
        <f>SUMIFS(BP_SOTIEN,BP_THANG,AP$2,BP_KM,$E78)/1000</f>
        <v>43</v>
      </c>
      <c r="AQ78" s="1091" t="str">
        <f t="shared" si="188"/>
        <v/>
      </c>
      <c r="AR78" s="1091"/>
      <c r="AS78" s="1146">
        <f t="shared" si="213"/>
        <v>43</v>
      </c>
      <c r="AT78" s="1091" t="str">
        <f t="shared" si="189"/>
        <v/>
      </c>
      <c r="AU78" s="1091">
        <f t="shared" ref="AU78:AU94" si="227">IFERROR(AS78/AS$77,"")</f>
        <v>0.002284196547</v>
      </c>
      <c r="AV78" s="1146">
        <f>SUMIFS(BP_SOTIEN,BP_THANG,AV$2,BP_KM,$E78)/1000</f>
        <v>43</v>
      </c>
      <c r="AW78" s="1091" t="str">
        <f t="shared" si="190"/>
        <v/>
      </c>
      <c r="AX78" s="1091"/>
      <c r="AY78" s="1146">
        <f>SUMIFS(BP_SOTIEN,BP_THANG,AY$2,BP_KM,$E78)/1000</f>
        <v>43</v>
      </c>
      <c r="AZ78" s="1091" t="str">
        <f t="shared" si="191"/>
        <v/>
      </c>
      <c r="BA78" s="1091"/>
      <c r="BB78" s="1146">
        <f>SUMIFS(BP_SOTIEN,BP_THANG,BB$2,BP_KM,$E78)/1000</f>
        <v>43</v>
      </c>
      <c r="BC78" s="1091" t="str">
        <f t="shared" si="192"/>
        <v/>
      </c>
      <c r="BD78" s="1091"/>
      <c r="BE78" s="1146">
        <f t="shared" si="214"/>
        <v>43</v>
      </c>
      <c r="BF78" s="1091" t="str">
        <f t="shared" si="193"/>
        <v/>
      </c>
      <c r="BG78" s="1091">
        <f t="shared" ref="BG78:BG94" si="228">IFERROR(BE78/BE$77,"")</f>
        <v>0.002284196547</v>
      </c>
      <c r="BH78" s="1146">
        <f t="shared" si="215"/>
        <v>86</v>
      </c>
      <c r="BI78" s="1091" t="str">
        <f t="shared" si="194"/>
        <v/>
      </c>
      <c r="BJ78" s="1091">
        <f t="shared" ref="BJ78:BJ94" si="229">IFERROR(BH78/BH$77,"")</f>
        <v>0.002284196547</v>
      </c>
      <c r="BK78" s="1146">
        <f t="shared" si="216"/>
        <v>172</v>
      </c>
      <c r="BL78" s="1091" t="str">
        <f t="shared" si="195"/>
        <v/>
      </c>
      <c r="BM78" s="1091">
        <f t="shared" ref="BM78:BM94" si="230">IFERROR(BK78/BK$77,"")</f>
        <v>0.002196679438</v>
      </c>
    </row>
    <row r="79" hidden="1" outlineLevel="1">
      <c r="A79" s="737"/>
      <c r="B79" s="737"/>
      <c r="C79" s="737"/>
      <c r="D79" s="737" t="s">
        <v>2856</v>
      </c>
      <c r="E79" s="737" t="s">
        <v>419</v>
      </c>
      <c r="F79" s="737"/>
      <c r="G79" s="748">
        <v>3.0</v>
      </c>
      <c r="H79" s="1146">
        <f>SUMIFS(BP_SOTIEN,BP_THANG,H$2,BP_KM,$E79)/1000</f>
        <v>166</v>
      </c>
      <c r="I79" s="1091" t="str">
        <f t="shared" si="177"/>
        <v/>
      </c>
      <c r="J79" s="1091"/>
      <c r="K79" s="1146">
        <f>SUMIFS(BP_SOTIEN,BP_THANG,K$2,BP_KM,$E79)/1000</f>
        <v>166</v>
      </c>
      <c r="L79" s="1091" t="str">
        <f t="shared" si="178"/>
        <v/>
      </c>
      <c r="M79" s="1091"/>
      <c r="N79" s="1146">
        <f>SUMIFS(BP_SOTIEN,BP_THANG,N$2,BP_KM,$E79)/1000</f>
        <v>166</v>
      </c>
      <c r="O79" s="1091" t="str">
        <f t="shared" si="179"/>
        <v/>
      </c>
      <c r="P79" s="1091"/>
      <c r="Q79" s="1146">
        <f t="shared" si="210"/>
        <v>166</v>
      </c>
      <c r="R79" s="1091" t="str">
        <f t="shared" si="180"/>
        <v/>
      </c>
      <c r="S79" s="1091">
        <f t="shared" si="224"/>
        <v>0.007605956472</v>
      </c>
      <c r="T79" s="1146">
        <f>SUMIFS(BP_SOTIEN,BP_THANG,T$2,BP_KM,$E79)/1000</f>
        <v>166</v>
      </c>
      <c r="U79" s="1091" t="str">
        <f t="shared" si="181"/>
        <v/>
      </c>
      <c r="V79" s="1091"/>
      <c r="W79" s="1146">
        <f>SUMIFS(BP_SOTIEN,BP_THANG,W$2,BP_KM,$E79)/1000</f>
        <v>166</v>
      </c>
      <c r="X79" s="1091" t="str">
        <f t="shared" si="182"/>
        <v/>
      </c>
      <c r="Y79" s="1091"/>
      <c r="Z79" s="1146">
        <f>SUMIFS(BP_SOTIEN,BP_THANG,Z$2,BP_KM,$E79)/1000</f>
        <v>166</v>
      </c>
      <c r="AA79" s="1091" t="str">
        <f t="shared" si="183"/>
        <v/>
      </c>
      <c r="AB79" s="1091"/>
      <c r="AC79" s="1146">
        <f t="shared" si="211"/>
        <v>166</v>
      </c>
      <c r="AD79" s="1091" t="str">
        <f t="shared" si="184"/>
        <v/>
      </c>
      <c r="AE79" s="1091">
        <f t="shared" si="225"/>
        <v>0.008818061089</v>
      </c>
      <c r="AF79" s="1146">
        <f t="shared" si="212"/>
        <v>332</v>
      </c>
      <c r="AG79" s="1091" t="str">
        <f t="shared" si="185"/>
        <v/>
      </c>
      <c r="AH79" s="1091">
        <f t="shared" si="226"/>
        <v>0.008167281673</v>
      </c>
      <c r="AI79" s="1146">
        <f>SUMIFS(BP_SOTIEN,BP_THANG,AI$2,BP_KM,$E79)/1000</f>
        <v>166</v>
      </c>
      <c r="AJ79" s="1091" t="str">
        <f t="shared" si="186"/>
        <v/>
      </c>
      <c r="AK79" s="1091"/>
      <c r="AL79" s="1146">
        <f>SUMIFS(BP_SOTIEN,BP_THANG,AL$2,BP_KM,$E79)/1000</f>
        <v>166</v>
      </c>
      <c r="AM79" s="1091" t="str">
        <f t="shared" si="187"/>
        <v/>
      </c>
      <c r="AN79" s="1091"/>
      <c r="AO79" s="1091" t="str">
        <f t="shared" si="27"/>
        <v/>
      </c>
      <c r="AP79" s="1146">
        <f>SUMIFS(BP_SOTIEN,BP_THANG,AP$2,BP_KM,$E79)/1000</f>
        <v>166</v>
      </c>
      <c r="AQ79" s="1091" t="str">
        <f t="shared" si="188"/>
        <v/>
      </c>
      <c r="AR79" s="1091"/>
      <c r="AS79" s="1146">
        <f t="shared" si="213"/>
        <v>166</v>
      </c>
      <c r="AT79" s="1091" t="str">
        <f t="shared" si="189"/>
        <v/>
      </c>
      <c r="AU79" s="1091">
        <f t="shared" si="227"/>
        <v>0.008818061089</v>
      </c>
      <c r="AV79" s="1146">
        <f>SUMIFS(BP_SOTIEN,BP_THANG,AV$2,BP_KM,$E79)/1000</f>
        <v>166</v>
      </c>
      <c r="AW79" s="1091" t="str">
        <f t="shared" si="190"/>
        <v/>
      </c>
      <c r="AX79" s="1091"/>
      <c r="AY79" s="1146">
        <f>SUMIFS(BP_SOTIEN,BP_THANG,AY$2,BP_KM,$E79)/1000</f>
        <v>166</v>
      </c>
      <c r="AZ79" s="1091" t="str">
        <f t="shared" si="191"/>
        <v/>
      </c>
      <c r="BA79" s="1091"/>
      <c r="BB79" s="1146">
        <f>SUMIFS(BP_SOTIEN,BP_THANG,BB$2,BP_KM,$E79)/1000</f>
        <v>166</v>
      </c>
      <c r="BC79" s="1091" t="str">
        <f t="shared" si="192"/>
        <v/>
      </c>
      <c r="BD79" s="1091"/>
      <c r="BE79" s="1146">
        <f t="shared" si="214"/>
        <v>166</v>
      </c>
      <c r="BF79" s="1091" t="str">
        <f t="shared" si="193"/>
        <v/>
      </c>
      <c r="BG79" s="1091">
        <f t="shared" si="228"/>
        <v>0.008818061089</v>
      </c>
      <c r="BH79" s="1146">
        <f t="shared" si="215"/>
        <v>332</v>
      </c>
      <c r="BI79" s="1091" t="str">
        <f t="shared" si="194"/>
        <v/>
      </c>
      <c r="BJ79" s="1091">
        <f t="shared" si="229"/>
        <v>0.008818061089</v>
      </c>
      <c r="BK79" s="1146">
        <f t="shared" si="216"/>
        <v>664</v>
      </c>
      <c r="BL79" s="1091" t="str">
        <f t="shared" si="195"/>
        <v/>
      </c>
      <c r="BM79" s="1091">
        <f t="shared" si="230"/>
        <v>0.008480204342</v>
      </c>
    </row>
    <row r="80" hidden="1" outlineLevel="1">
      <c r="A80" s="737"/>
      <c r="B80" s="737"/>
      <c r="C80" s="737"/>
      <c r="D80" s="737" t="s">
        <v>2857</v>
      </c>
      <c r="E80" s="737" t="s">
        <v>573</v>
      </c>
      <c r="F80" s="737"/>
      <c r="G80" s="748">
        <v>3.0</v>
      </c>
      <c r="H80" s="1146">
        <f>SUMIFS(BP_SOTIEN,BP_THANG,H$2,BP_KM,$E80)/1000</f>
        <v>250</v>
      </c>
      <c r="I80" s="1091" t="str">
        <f t="shared" si="177"/>
        <v/>
      </c>
      <c r="J80" s="1091"/>
      <c r="K80" s="1146">
        <f>SUMIFS(BP_SOTIEN,BP_THANG,K$2,BP_KM,$E80)/1000</f>
        <v>250</v>
      </c>
      <c r="L80" s="1091" t="str">
        <f t="shared" si="178"/>
        <v/>
      </c>
      <c r="M80" s="1091"/>
      <c r="N80" s="1146">
        <f>SUMIFS(BP_SOTIEN,BP_THANG,N$2,BP_KM,$E80)/1000</f>
        <v>250</v>
      </c>
      <c r="O80" s="1091" t="str">
        <f t="shared" si="179"/>
        <v/>
      </c>
      <c r="P80" s="1091"/>
      <c r="Q80" s="1146">
        <f t="shared" si="210"/>
        <v>250</v>
      </c>
      <c r="R80" s="1091" t="str">
        <f t="shared" si="180"/>
        <v/>
      </c>
      <c r="S80" s="1091">
        <f t="shared" si="224"/>
        <v>0.01145475372</v>
      </c>
      <c r="T80" s="1146">
        <f>SUMIFS(BP_SOTIEN,BP_THANG,T$2,BP_KM,$E80)/1000</f>
        <v>250</v>
      </c>
      <c r="U80" s="1091" t="str">
        <f t="shared" si="181"/>
        <v/>
      </c>
      <c r="V80" s="1091"/>
      <c r="W80" s="1146">
        <f>SUMIFS(BP_SOTIEN,BP_THANG,W$2,BP_KM,$E80)/1000</f>
        <v>250</v>
      </c>
      <c r="X80" s="1091" t="str">
        <f t="shared" si="182"/>
        <v/>
      </c>
      <c r="Y80" s="1091"/>
      <c r="Z80" s="1146">
        <f>SUMIFS(BP_SOTIEN,BP_THANG,Z$2,BP_KM,$E80)/1000</f>
        <v>250</v>
      </c>
      <c r="AA80" s="1091" t="str">
        <f t="shared" si="183"/>
        <v/>
      </c>
      <c r="AB80" s="1091"/>
      <c r="AC80" s="1146">
        <f t="shared" si="211"/>
        <v>250</v>
      </c>
      <c r="AD80" s="1091" t="str">
        <f t="shared" si="184"/>
        <v/>
      </c>
      <c r="AE80" s="1091">
        <f t="shared" si="225"/>
        <v>0.01328021248</v>
      </c>
      <c r="AF80" s="1146">
        <f t="shared" si="212"/>
        <v>500</v>
      </c>
      <c r="AG80" s="1091" t="str">
        <f t="shared" si="185"/>
        <v/>
      </c>
      <c r="AH80" s="1091">
        <f t="shared" si="226"/>
        <v>0.012300123</v>
      </c>
      <c r="AI80" s="1146">
        <f>SUMIFS(BP_SOTIEN,BP_THANG,AI$2,BP_KM,$E80)/1000</f>
        <v>250</v>
      </c>
      <c r="AJ80" s="1091" t="str">
        <f t="shared" si="186"/>
        <v/>
      </c>
      <c r="AK80" s="1091"/>
      <c r="AL80" s="1146">
        <f>SUMIFS(BP_SOTIEN,BP_THANG,AL$2,BP_KM,$E80)/1000</f>
        <v>250</v>
      </c>
      <c r="AM80" s="1091" t="str">
        <f t="shared" si="187"/>
        <v/>
      </c>
      <c r="AN80" s="1091"/>
      <c r="AO80" s="1091" t="str">
        <f t="shared" si="27"/>
        <v/>
      </c>
      <c r="AP80" s="1146">
        <f>SUMIFS(BP_SOTIEN,BP_THANG,AP$2,BP_KM,$E80)/1000</f>
        <v>250</v>
      </c>
      <c r="AQ80" s="1091" t="str">
        <f t="shared" si="188"/>
        <v/>
      </c>
      <c r="AR80" s="1091"/>
      <c r="AS80" s="1146">
        <f t="shared" si="213"/>
        <v>250</v>
      </c>
      <c r="AT80" s="1091" t="str">
        <f t="shared" si="189"/>
        <v/>
      </c>
      <c r="AU80" s="1091">
        <f t="shared" si="227"/>
        <v>0.01328021248</v>
      </c>
      <c r="AV80" s="1146">
        <f>SUMIFS(BP_SOTIEN,BP_THANG,AV$2,BP_KM,$E80)/1000</f>
        <v>250</v>
      </c>
      <c r="AW80" s="1091" t="str">
        <f t="shared" si="190"/>
        <v/>
      </c>
      <c r="AX80" s="1091"/>
      <c r="AY80" s="1146">
        <f>SUMIFS(BP_SOTIEN,BP_THANG,AY$2,BP_KM,$E80)/1000</f>
        <v>250</v>
      </c>
      <c r="AZ80" s="1091" t="str">
        <f t="shared" si="191"/>
        <v/>
      </c>
      <c r="BA80" s="1091"/>
      <c r="BB80" s="1146">
        <f>SUMIFS(BP_SOTIEN,BP_THANG,BB$2,BP_KM,$E80)/1000</f>
        <v>250</v>
      </c>
      <c r="BC80" s="1091" t="str">
        <f t="shared" si="192"/>
        <v/>
      </c>
      <c r="BD80" s="1091"/>
      <c r="BE80" s="1146">
        <f t="shared" si="214"/>
        <v>250</v>
      </c>
      <c r="BF80" s="1091" t="str">
        <f t="shared" si="193"/>
        <v/>
      </c>
      <c r="BG80" s="1091">
        <f t="shared" si="228"/>
        <v>0.01328021248</v>
      </c>
      <c r="BH80" s="1146">
        <f t="shared" si="215"/>
        <v>500</v>
      </c>
      <c r="BI80" s="1091" t="str">
        <f t="shared" si="194"/>
        <v/>
      </c>
      <c r="BJ80" s="1091">
        <f t="shared" si="229"/>
        <v>0.01328021248</v>
      </c>
      <c r="BK80" s="1146">
        <f t="shared" si="216"/>
        <v>1000</v>
      </c>
      <c r="BL80" s="1091" t="str">
        <f t="shared" si="195"/>
        <v/>
      </c>
      <c r="BM80" s="1091">
        <f t="shared" si="230"/>
        <v>0.01277139208</v>
      </c>
    </row>
    <row r="81" hidden="1" outlineLevel="1">
      <c r="A81" s="737"/>
      <c r="B81" s="737"/>
      <c r="C81" s="737"/>
      <c r="D81" s="737" t="s">
        <v>2858</v>
      </c>
      <c r="E81" s="737" t="s">
        <v>2220</v>
      </c>
      <c r="F81" s="737"/>
      <c r="G81" s="748">
        <v>3.0</v>
      </c>
      <c r="H81" s="1146">
        <f>SUMIFS(BP_SOTIEN,BP_THANG,H$2,BP_KM,$E81)/1000</f>
        <v>416</v>
      </c>
      <c r="I81" s="1091" t="str">
        <f t="shared" si="177"/>
        <v/>
      </c>
      <c r="J81" s="1091"/>
      <c r="K81" s="1146">
        <f>SUMIFS(BP_SOTIEN,BP_THANG,K$2,BP_KM,$E81)/1000</f>
        <v>416</v>
      </c>
      <c r="L81" s="1091" t="str">
        <f t="shared" si="178"/>
        <v/>
      </c>
      <c r="M81" s="1091"/>
      <c r="N81" s="1146">
        <f>SUMIFS(BP_SOTIEN,BP_THANG,N$2,BP_KM,$E81)/1000</f>
        <v>416</v>
      </c>
      <c r="O81" s="1091" t="str">
        <f t="shared" si="179"/>
        <v/>
      </c>
      <c r="P81" s="1091"/>
      <c r="Q81" s="1146">
        <f t="shared" si="210"/>
        <v>416</v>
      </c>
      <c r="R81" s="1091" t="str">
        <f t="shared" si="180"/>
        <v/>
      </c>
      <c r="S81" s="1091">
        <f t="shared" si="224"/>
        <v>0.01906071019</v>
      </c>
      <c r="T81" s="1146">
        <f>SUMIFS(BP_SOTIEN,BP_THANG,T$2,BP_KM,$E81)/1000</f>
        <v>416</v>
      </c>
      <c r="U81" s="1091" t="str">
        <f t="shared" si="181"/>
        <v/>
      </c>
      <c r="V81" s="1091"/>
      <c r="W81" s="1146">
        <f>SUMIFS(BP_SOTIEN,BP_THANG,W$2,BP_KM,$E81)/1000</f>
        <v>416</v>
      </c>
      <c r="X81" s="1091" t="str">
        <f t="shared" si="182"/>
        <v/>
      </c>
      <c r="Y81" s="1091"/>
      <c r="Z81" s="1146">
        <f>SUMIFS(BP_SOTIEN,BP_THANG,Z$2,BP_KM,$E81)/1000</f>
        <v>416</v>
      </c>
      <c r="AA81" s="1091" t="str">
        <f t="shared" si="183"/>
        <v/>
      </c>
      <c r="AB81" s="1091"/>
      <c r="AC81" s="1146">
        <f t="shared" si="211"/>
        <v>416</v>
      </c>
      <c r="AD81" s="1091" t="str">
        <f t="shared" si="184"/>
        <v/>
      </c>
      <c r="AE81" s="1091">
        <f t="shared" si="225"/>
        <v>0.02209827357</v>
      </c>
      <c r="AF81" s="1146">
        <f t="shared" si="212"/>
        <v>832</v>
      </c>
      <c r="AG81" s="1091" t="str">
        <f t="shared" si="185"/>
        <v/>
      </c>
      <c r="AH81" s="1091">
        <f t="shared" si="226"/>
        <v>0.02046740467</v>
      </c>
      <c r="AI81" s="1146">
        <f>SUMIFS(BP_SOTIEN,BP_THANG,AI$2,BP_KM,$E81)/1000</f>
        <v>416</v>
      </c>
      <c r="AJ81" s="1091" t="str">
        <f t="shared" si="186"/>
        <v/>
      </c>
      <c r="AK81" s="1091"/>
      <c r="AL81" s="1146">
        <f>SUMIFS(BP_SOTIEN,BP_THANG,AL$2,BP_KM,$E81)/1000</f>
        <v>416</v>
      </c>
      <c r="AM81" s="1091" t="str">
        <f t="shared" si="187"/>
        <v/>
      </c>
      <c r="AN81" s="1091"/>
      <c r="AO81" s="1091" t="str">
        <f t="shared" si="27"/>
        <v/>
      </c>
      <c r="AP81" s="1146">
        <f>SUMIFS(BP_SOTIEN,BP_THANG,AP$2,BP_KM,$E81)/1000</f>
        <v>416</v>
      </c>
      <c r="AQ81" s="1091" t="str">
        <f t="shared" si="188"/>
        <v/>
      </c>
      <c r="AR81" s="1091"/>
      <c r="AS81" s="1146">
        <f t="shared" si="213"/>
        <v>416</v>
      </c>
      <c r="AT81" s="1091" t="str">
        <f t="shared" si="189"/>
        <v/>
      </c>
      <c r="AU81" s="1091">
        <f t="shared" si="227"/>
        <v>0.02209827357</v>
      </c>
      <c r="AV81" s="1146">
        <f>SUMIFS(BP_SOTIEN,BP_THANG,AV$2,BP_KM,$E81)/1000</f>
        <v>416</v>
      </c>
      <c r="AW81" s="1091" t="str">
        <f t="shared" si="190"/>
        <v/>
      </c>
      <c r="AX81" s="1091"/>
      <c r="AY81" s="1146">
        <f>SUMIFS(BP_SOTIEN,BP_THANG,AY$2,BP_KM,$E81)/1000</f>
        <v>416</v>
      </c>
      <c r="AZ81" s="1091" t="str">
        <f t="shared" si="191"/>
        <v/>
      </c>
      <c r="BA81" s="1091"/>
      <c r="BB81" s="1146">
        <f>SUMIFS(BP_SOTIEN,BP_THANG,BB$2,BP_KM,$E81)/1000</f>
        <v>416</v>
      </c>
      <c r="BC81" s="1091" t="str">
        <f t="shared" si="192"/>
        <v/>
      </c>
      <c r="BD81" s="1091"/>
      <c r="BE81" s="1146">
        <f t="shared" si="214"/>
        <v>416</v>
      </c>
      <c r="BF81" s="1091" t="str">
        <f t="shared" si="193"/>
        <v/>
      </c>
      <c r="BG81" s="1091">
        <f t="shared" si="228"/>
        <v>0.02209827357</v>
      </c>
      <c r="BH81" s="1146">
        <f t="shared" si="215"/>
        <v>832</v>
      </c>
      <c r="BI81" s="1091" t="str">
        <f t="shared" si="194"/>
        <v/>
      </c>
      <c r="BJ81" s="1091">
        <f t="shared" si="229"/>
        <v>0.02209827357</v>
      </c>
      <c r="BK81" s="1146">
        <f t="shared" si="216"/>
        <v>1664</v>
      </c>
      <c r="BL81" s="1091" t="str">
        <f t="shared" si="195"/>
        <v/>
      </c>
      <c r="BM81" s="1091">
        <f t="shared" si="230"/>
        <v>0.02125159642</v>
      </c>
    </row>
    <row r="82" hidden="1" outlineLevel="1">
      <c r="A82" s="737"/>
      <c r="B82" s="737"/>
      <c r="C82" s="737"/>
      <c r="D82" s="737" t="s">
        <v>2859</v>
      </c>
      <c r="E82" s="737" t="s">
        <v>2236</v>
      </c>
      <c r="F82" s="737"/>
      <c r="G82" s="748">
        <v>3.0</v>
      </c>
      <c r="H82" s="1146">
        <f>SUMIFS(BP_SOTIEN,BP_THANG,H$2,BP_KM,$E82)/1000</f>
        <v>1666</v>
      </c>
      <c r="I82" s="1091" t="str">
        <f t="shared" si="177"/>
        <v/>
      </c>
      <c r="J82" s="1091"/>
      <c r="K82" s="1146">
        <f>SUMIFS(BP_SOTIEN,BP_THANG,K$2,BP_KM,$E82)/1000</f>
        <v>1666</v>
      </c>
      <c r="L82" s="1091" t="str">
        <f t="shared" si="178"/>
        <v/>
      </c>
      <c r="M82" s="1091"/>
      <c r="N82" s="1146">
        <f>SUMIFS(BP_SOTIEN,BP_THANG,N$2,BP_KM,$E82)/1000</f>
        <v>1666</v>
      </c>
      <c r="O82" s="1091" t="str">
        <f t="shared" si="179"/>
        <v/>
      </c>
      <c r="P82" s="1091"/>
      <c r="Q82" s="1146">
        <f t="shared" si="210"/>
        <v>1666</v>
      </c>
      <c r="R82" s="1091" t="str">
        <f t="shared" si="180"/>
        <v/>
      </c>
      <c r="S82" s="1091">
        <f t="shared" si="224"/>
        <v>0.07633447881</v>
      </c>
      <c r="T82" s="1146">
        <f>SUMIFS(BP_SOTIEN,BP_THANG,T$2,BP_KM,$E82)/1000</f>
        <v>1666</v>
      </c>
      <c r="U82" s="1091" t="str">
        <f t="shared" si="181"/>
        <v/>
      </c>
      <c r="V82" s="1091"/>
      <c r="W82" s="1146">
        <f>SUMIFS(BP_SOTIEN,BP_THANG,W$2,BP_KM,$E82)/1000</f>
        <v>1666</v>
      </c>
      <c r="X82" s="1091" t="str">
        <f t="shared" si="182"/>
        <v/>
      </c>
      <c r="Y82" s="1091"/>
      <c r="Z82" s="1146">
        <f>SUMIFS(BP_SOTIEN,BP_THANG,Z$2,BP_KM,$E82)/1000</f>
        <v>1666</v>
      </c>
      <c r="AA82" s="1091" t="str">
        <f t="shared" si="183"/>
        <v/>
      </c>
      <c r="AB82" s="1091"/>
      <c r="AC82" s="1146">
        <f t="shared" si="211"/>
        <v>1666</v>
      </c>
      <c r="AD82" s="1091" t="str">
        <f t="shared" si="184"/>
        <v/>
      </c>
      <c r="AE82" s="1091">
        <f t="shared" si="225"/>
        <v>0.08849933599</v>
      </c>
      <c r="AF82" s="1146">
        <f t="shared" si="212"/>
        <v>3332</v>
      </c>
      <c r="AG82" s="1091" t="str">
        <f t="shared" si="185"/>
        <v/>
      </c>
      <c r="AH82" s="1091">
        <f t="shared" si="226"/>
        <v>0.08196801968</v>
      </c>
      <c r="AI82" s="1146">
        <f>SUMIFS(BP_SOTIEN,BP_THANG,AI$2,BP_KM,$E82)/1000</f>
        <v>1666</v>
      </c>
      <c r="AJ82" s="1091" t="str">
        <f t="shared" si="186"/>
        <v/>
      </c>
      <c r="AK82" s="1091"/>
      <c r="AL82" s="1146">
        <f>SUMIFS(BP_SOTIEN,BP_THANG,AL$2,BP_KM,$E82)/1000</f>
        <v>1666</v>
      </c>
      <c r="AM82" s="1091" t="str">
        <f t="shared" si="187"/>
        <v/>
      </c>
      <c r="AN82" s="1091"/>
      <c r="AO82" s="1091" t="str">
        <f t="shared" si="27"/>
        <v/>
      </c>
      <c r="AP82" s="1146">
        <f>SUMIFS(BP_SOTIEN,BP_THANG,AP$2,BP_KM,$E82)/1000</f>
        <v>1666</v>
      </c>
      <c r="AQ82" s="1091" t="str">
        <f t="shared" si="188"/>
        <v/>
      </c>
      <c r="AR82" s="1091"/>
      <c r="AS82" s="1146">
        <f t="shared" si="213"/>
        <v>1666</v>
      </c>
      <c r="AT82" s="1091" t="str">
        <f t="shared" si="189"/>
        <v/>
      </c>
      <c r="AU82" s="1091">
        <f t="shared" si="227"/>
        <v>0.08849933599</v>
      </c>
      <c r="AV82" s="1146">
        <f>SUMIFS(BP_SOTIEN,BP_THANG,AV$2,BP_KM,$E82)/1000</f>
        <v>1666</v>
      </c>
      <c r="AW82" s="1091" t="str">
        <f t="shared" si="190"/>
        <v/>
      </c>
      <c r="AX82" s="1091"/>
      <c r="AY82" s="1146">
        <f>SUMIFS(BP_SOTIEN,BP_THANG,AY$2,BP_KM,$E82)/1000</f>
        <v>1666</v>
      </c>
      <c r="AZ82" s="1091" t="str">
        <f t="shared" si="191"/>
        <v/>
      </c>
      <c r="BA82" s="1091"/>
      <c r="BB82" s="1146">
        <f>SUMIFS(BP_SOTIEN,BP_THANG,BB$2,BP_KM,$E82)/1000</f>
        <v>1666</v>
      </c>
      <c r="BC82" s="1091" t="str">
        <f t="shared" si="192"/>
        <v/>
      </c>
      <c r="BD82" s="1091"/>
      <c r="BE82" s="1146">
        <f t="shared" si="214"/>
        <v>1666</v>
      </c>
      <c r="BF82" s="1091" t="str">
        <f t="shared" si="193"/>
        <v/>
      </c>
      <c r="BG82" s="1091">
        <f t="shared" si="228"/>
        <v>0.08849933599</v>
      </c>
      <c r="BH82" s="1146">
        <f t="shared" si="215"/>
        <v>3332</v>
      </c>
      <c r="BI82" s="1091" t="str">
        <f t="shared" si="194"/>
        <v/>
      </c>
      <c r="BJ82" s="1091">
        <f t="shared" si="229"/>
        <v>0.08849933599</v>
      </c>
      <c r="BK82" s="1146">
        <f t="shared" si="216"/>
        <v>6664</v>
      </c>
      <c r="BL82" s="1091" t="str">
        <f t="shared" si="195"/>
        <v/>
      </c>
      <c r="BM82" s="1091">
        <f t="shared" si="230"/>
        <v>0.08510855683</v>
      </c>
    </row>
    <row r="83" hidden="1" outlineLevel="1">
      <c r="A83" s="737"/>
      <c r="B83" s="737"/>
      <c r="C83" s="737"/>
      <c r="D83" s="737" t="s">
        <v>2860</v>
      </c>
      <c r="E83" s="737" t="s">
        <v>413</v>
      </c>
      <c r="F83" s="737"/>
      <c r="G83" s="748">
        <v>3.0</v>
      </c>
      <c r="H83" s="1146">
        <f>SUMIFS(BP_SOTIEN,BP_THANG,H$2,BP_KM,$E83)/1000</f>
        <v>0</v>
      </c>
      <c r="I83" s="1091" t="str">
        <f t="shared" si="177"/>
        <v/>
      </c>
      <c r="J83" s="1091"/>
      <c r="K83" s="1146">
        <f>SUMIFS(BP_SOTIEN,BP_THANG,K$2,BP_KM,$E83)/1000</f>
        <v>0</v>
      </c>
      <c r="L83" s="1091" t="str">
        <f t="shared" si="178"/>
        <v/>
      </c>
      <c r="M83" s="1091"/>
      <c r="N83" s="1146">
        <f>SUMIFS(BP_SOTIEN,BP_THANG,N$2,BP_KM,$E83)/1000</f>
        <v>0</v>
      </c>
      <c r="O83" s="1091" t="str">
        <f t="shared" si="179"/>
        <v/>
      </c>
      <c r="P83" s="1091"/>
      <c r="Q83" s="1146">
        <f t="shared" si="210"/>
        <v>0</v>
      </c>
      <c r="R83" s="1091" t="str">
        <f t="shared" si="180"/>
        <v/>
      </c>
      <c r="S83" s="1091">
        <f t="shared" si="224"/>
        <v>0</v>
      </c>
      <c r="T83" s="1146">
        <f>SUMIFS(BP_SOTIEN,BP_THANG,T$2,BP_KM,$E83)/1000</f>
        <v>0</v>
      </c>
      <c r="U83" s="1091" t="str">
        <f t="shared" si="181"/>
        <v/>
      </c>
      <c r="V83" s="1091"/>
      <c r="W83" s="1146">
        <f>SUMIFS(BP_SOTIEN,BP_THANG,W$2,BP_KM,$E83)/1000</f>
        <v>0</v>
      </c>
      <c r="X83" s="1091" t="str">
        <f t="shared" si="182"/>
        <v/>
      </c>
      <c r="Y83" s="1091"/>
      <c r="Z83" s="1146">
        <f>SUMIFS(BP_SOTIEN,BP_THANG,Z$2,BP_KM,$E83)/1000</f>
        <v>0</v>
      </c>
      <c r="AA83" s="1091" t="str">
        <f t="shared" si="183"/>
        <v/>
      </c>
      <c r="AB83" s="1091"/>
      <c r="AC83" s="1146">
        <f t="shared" si="211"/>
        <v>0</v>
      </c>
      <c r="AD83" s="1091" t="str">
        <f t="shared" si="184"/>
        <v/>
      </c>
      <c r="AE83" s="1091">
        <f t="shared" si="225"/>
        <v>0</v>
      </c>
      <c r="AF83" s="1146">
        <f t="shared" si="212"/>
        <v>0</v>
      </c>
      <c r="AG83" s="1091" t="str">
        <f t="shared" si="185"/>
        <v/>
      </c>
      <c r="AH83" s="1091">
        <f t="shared" si="226"/>
        <v>0</v>
      </c>
      <c r="AI83" s="1146">
        <f>SUMIFS(BP_SOTIEN,BP_THANG,AI$2,BP_KM,$E83)/1000</f>
        <v>0</v>
      </c>
      <c r="AJ83" s="1091" t="str">
        <f t="shared" si="186"/>
        <v/>
      </c>
      <c r="AK83" s="1091"/>
      <c r="AL83" s="1146">
        <f>SUMIFS(BP_SOTIEN,BP_THANG,AL$2,BP_KM,$E83)/1000</f>
        <v>0</v>
      </c>
      <c r="AM83" s="1091" t="str">
        <f t="shared" si="187"/>
        <v/>
      </c>
      <c r="AN83" s="1091"/>
      <c r="AO83" s="1091" t="str">
        <f t="shared" si="27"/>
        <v/>
      </c>
      <c r="AP83" s="1146">
        <f>SUMIFS(BP_SOTIEN,BP_THANG,AP$2,BP_KM,$E83)/1000</f>
        <v>0</v>
      </c>
      <c r="AQ83" s="1091" t="str">
        <f t="shared" si="188"/>
        <v/>
      </c>
      <c r="AR83" s="1091"/>
      <c r="AS83" s="1146">
        <f t="shared" si="213"/>
        <v>0</v>
      </c>
      <c r="AT83" s="1091" t="str">
        <f t="shared" si="189"/>
        <v/>
      </c>
      <c r="AU83" s="1091">
        <f t="shared" si="227"/>
        <v>0</v>
      </c>
      <c r="AV83" s="1146">
        <f>SUMIFS(BP_SOTIEN,BP_THANG,AV$2,BP_KM,$E83)/1000</f>
        <v>0</v>
      </c>
      <c r="AW83" s="1091" t="str">
        <f t="shared" si="190"/>
        <v/>
      </c>
      <c r="AX83" s="1091"/>
      <c r="AY83" s="1146">
        <f>SUMIFS(BP_SOTIEN,BP_THANG,AY$2,BP_KM,$E83)/1000</f>
        <v>0</v>
      </c>
      <c r="AZ83" s="1091" t="str">
        <f t="shared" si="191"/>
        <v/>
      </c>
      <c r="BA83" s="1091"/>
      <c r="BB83" s="1146">
        <f>SUMIFS(BP_SOTIEN,BP_THANG,BB$2,BP_KM,$E83)/1000</f>
        <v>0</v>
      </c>
      <c r="BC83" s="1091" t="str">
        <f t="shared" si="192"/>
        <v/>
      </c>
      <c r="BD83" s="1091"/>
      <c r="BE83" s="1146">
        <f t="shared" si="214"/>
        <v>0</v>
      </c>
      <c r="BF83" s="1091" t="str">
        <f t="shared" si="193"/>
        <v/>
      </c>
      <c r="BG83" s="1091">
        <f t="shared" si="228"/>
        <v>0</v>
      </c>
      <c r="BH83" s="1146">
        <f t="shared" si="215"/>
        <v>0</v>
      </c>
      <c r="BI83" s="1091" t="str">
        <f t="shared" si="194"/>
        <v/>
      </c>
      <c r="BJ83" s="1091">
        <f t="shared" si="229"/>
        <v>0</v>
      </c>
      <c r="BK83" s="1146">
        <f t="shared" si="216"/>
        <v>0</v>
      </c>
      <c r="BL83" s="1091" t="str">
        <f t="shared" si="195"/>
        <v/>
      </c>
      <c r="BM83" s="1091">
        <f t="shared" si="230"/>
        <v>0</v>
      </c>
    </row>
    <row r="84" hidden="1" outlineLevel="1">
      <c r="A84" s="737"/>
      <c r="B84" s="737"/>
      <c r="C84" s="737"/>
      <c r="D84" s="737" t="s">
        <v>2861</v>
      </c>
      <c r="E84" s="737" t="s">
        <v>262</v>
      </c>
      <c r="F84" s="737"/>
      <c r="G84" s="748">
        <v>3.0</v>
      </c>
      <c r="H84" s="1146">
        <f>SUMIFS(BP_SOTIEN,BP_THANG,H$2,BP_KM,$E84)/1000</f>
        <v>833</v>
      </c>
      <c r="I84" s="1091" t="str">
        <f t="shared" si="177"/>
        <v/>
      </c>
      <c r="J84" s="1091"/>
      <c r="K84" s="1146">
        <f>SUMIFS(BP_SOTIEN,BP_THANG,K$2,BP_KM,$E84)/1000</f>
        <v>833</v>
      </c>
      <c r="L84" s="1091" t="str">
        <f t="shared" si="178"/>
        <v/>
      </c>
      <c r="M84" s="1091"/>
      <c r="N84" s="1146">
        <f>SUMIFS(BP_SOTIEN,BP_THANG,N$2,BP_KM,$E84)/1000</f>
        <v>833</v>
      </c>
      <c r="O84" s="1091" t="str">
        <f t="shared" si="179"/>
        <v/>
      </c>
      <c r="P84" s="1091"/>
      <c r="Q84" s="1146">
        <f t="shared" si="210"/>
        <v>833</v>
      </c>
      <c r="R84" s="1091" t="str">
        <f t="shared" si="180"/>
        <v/>
      </c>
      <c r="S84" s="1091">
        <f t="shared" si="224"/>
        <v>0.0381672394</v>
      </c>
      <c r="T84" s="1146">
        <f>SUMIFS(BP_SOTIEN,BP_THANG,T$2,BP_KM,$E84)/1000</f>
        <v>833</v>
      </c>
      <c r="U84" s="1091" t="str">
        <f t="shared" si="181"/>
        <v/>
      </c>
      <c r="V84" s="1091"/>
      <c r="W84" s="1146">
        <f>SUMIFS(BP_SOTIEN,BP_THANG,W$2,BP_KM,$E84)/1000</f>
        <v>833</v>
      </c>
      <c r="X84" s="1091" t="str">
        <f t="shared" si="182"/>
        <v/>
      </c>
      <c r="Y84" s="1091"/>
      <c r="Z84" s="1146">
        <f>SUMIFS(BP_SOTIEN,BP_THANG,Z$2,BP_KM,$E84)/1000</f>
        <v>833</v>
      </c>
      <c r="AA84" s="1091" t="str">
        <f t="shared" si="183"/>
        <v/>
      </c>
      <c r="AB84" s="1091"/>
      <c r="AC84" s="1146">
        <f t="shared" si="211"/>
        <v>833</v>
      </c>
      <c r="AD84" s="1091" t="str">
        <f t="shared" si="184"/>
        <v/>
      </c>
      <c r="AE84" s="1091">
        <f t="shared" si="225"/>
        <v>0.04424966799</v>
      </c>
      <c r="AF84" s="1146">
        <f t="shared" si="212"/>
        <v>1666</v>
      </c>
      <c r="AG84" s="1091" t="str">
        <f t="shared" si="185"/>
        <v/>
      </c>
      <c r="AH84" s="1091">
        <f t="shared" si="226"/>
        <v>0.04098400984</v>
      </c>
      <c r="AI84" s="1146">
        <f>SUMIFS(BP_SOTIEN,BP_THANG,AI$2,BP_KM,$E84)/1000</f>
        <v>833</v>
      </c>
      <c r="AJ84" s="1091" t="str">
        <f t="shared" si="186"/>
        <v/>
      </c>
      <c r="AK84" s="1091"/>
      <c r="AL84" s="1146">
        <f>SUMIFS(BP_SOTIEN,BP_THANG,AL$2,BP_KM,$E84)/1000</f>
        <v>833</v>
      </c>
      <c r="AM84" s="1091" t="str">
        <f t="shared" si="187"/>
        <v/>
      </c>
      <c r="AN84" s="1091"/>
      <c r="AO84" s="1091" t="str">
        <f t="shared" si="27"/>
        <v/>
      </c>
      <c r="AP84" s="1146">
        <f>SUMIFS(BP_SOTIEN,BP_THANG,AP$2,BP_KM,$E84)/1000</f>
        <v>833</v>
      </c>
      <c r="AQ84" s="1091" t="str">
        <f t="shared" si="188"/>
        <v/>
      </c>
      <c r="AR84" s="1091"/>
      <c r="AS84" s="1146">
        <f t="shared" si="213"/>
        <v>833</v>
      </c>
      <c r="AT84" s="1091" t="str">
        <f t="shared" si="189"/>
        <v/>
      </c>
      <c r="AU84" s="1091">
        <f t="shared" si="227"/>
        <v>0.04424966799</v>
      </c>
      <c r="AV84" s="1146">
        <f>SUMIFS(BP_SOTIEN,BP_THANG,AV$2,BP_KM,$E84)/1000</f>
        <v>833</v>
      </c>
      <c r="AW84" s="1091" t="str">
        <f t="shared" si="190"/>
        <v/>
      </c>
      <c r="AX84" s="1091"/>
      <c r="AY84" s="1146">
        <f>SUMIFS(BP_SOTIEN,BP_THANG,AY$2,BP_KM,$E84)/1000</f>
        <v>833</v>
      </c>
      <c r="AZ84" s="1091" t="str">
        <f t="shared" si="191"/>
        <v/>
      </c>
      <c r="BA84" s="1091"/>
      <c r="BB84" s="1146">
        <f>SUMIFS(BP_SOTIEN,BP_THANG,BB$2,BP_KM,$E84)/1000</f>
        <v>833</v>
      </c>
      <c r="BC84" s="1091" t="str">
        <f t="shared" si="192"/>
        <v/>
      </c>
      <c r="BD84" s="1091"/>
      <c r="BE84" s="1146">
        <f t="shared" si="214"/>
        <v>833</v>
      </c>
      <c r="BF84" s="1091" t="str">
        <f t="shared" si="193"/>
        <v/>
      </c>
      <c r="BG84" s="1091">
        <f t="shared" si="228"/>
        <v>0.04424966799</v>
      </c>
      <c r="BH84" s="1146">
        <f t="shared" si="215"/>
        <v>1666</v>
      </c>
      <c r="BI84" s="1091" t="str">
        <f t="shared" si="194"/>
        <v/>
      </c>
      <c r="BJ84" s="1091">
        <f t="shared" si="229"/>
        <v>0.04424966799</v>
      </c>
      <c r="BK84" s="1146">
        <f t="shared" si="216"/>
        <v>3332</v>
      </c>
      <c r="BL84" s="1091" t="str">
        <f t="shared" si="195"/>
        <v/>
      </c>
      <c r="BM84" s="1091">
        <f t="shared" si="230"/>
        <v>0.04255427842</v>
      </c>
    </row>
    <row r="85" hidden="1" outlineLevel="1">
      <c r="A85" s="737"/>
      <c r="B85" s="737"/>
      <c r="C85" s="737"/>
      <c r="D85" s="737" t="s">
        <v>2862</v>
      </c>
      <c r="E85" s="737" t="s">
        <v>2223</v>
      </c>
      <c r="F85" s="737"/>
      <c r="G85" s="748">
        <v>3.0</v>
      </c>
      <c r="H85" s="1146">
        <f>SUMIFS(BP_SOTIEN,BP_THANG,H$2,BP_KM,$E85)/1000</f>
        <v>4166</v>
      </c>
      <c r="I85" s="1091" t="str">
        <f t="shared" si="177"/>
        <v/>
      </c>
      <c r="J85" s="1091"/>
      <c r="K85" s="1146">
        <f>SUMIFS(BP_SOTIEN,BP_THANG,K$2,BP_KM,$E85)/1000</f>
        <v>4166</v>
      </c>
      <c r="L85" s="1091" t="str">
        <f t="shared" si="178"/>
        <v/>
      </c>
      <c r="M85" s="1091"/>
      <c r="N85" s="1146">
        <f>SUMIFS(BP_SOTIEN,BP_THANG,N$2,BP_KM,$E85)/1000</f>
        <v>4166</v>
      </c>
      <c r="O85" s="1091" t="str">
        <f t="shared" si="179"/>
        <v/>
      </c>
      <c r="P85" s="1091"/>
      <c r="Q85" s="1146">
        <f t="shared" si="210"/>
        <v>4166</v>
      </c>
      <c r="R85" s="1091" t="str">
        <f t="shared" si="180"/>
        <v/>
      </c>
      <c r="S85" s="1091">
        <f t="shared" si="224"/>
        <v>0.190882016</v>
      </c>
      <c r="T85" s="1146">
        <f>SUMIFS(BP_SOTIEN,BP_THANG,T$2,BP_KM,$E85)/1000</f>
        <v>4166</v>
      </c>
      <c r="U85" s="1091" t="str">
        <f t="shared" si="181"/>
        <v/>
      </c>
      <c r="V85" s="1091"/>
      <c r="W85" s="1146">
        <f>SUMIFS(BP_SOTIEN,BP_THANG,W$2,BP_KM,$E85)/1000</f>
        <v>4166</v>
      </c>
      <c r="X85" s="1091" t="str">
        <f t="shared" si="182"/>
        <v/>
      </c>
      <c r="Y85" s="1091"/>
      <c r="Z85" s="1146">
        <f>SUMIFS(BP_SOTIEN,BP_THANG,Z$2,BP_KM,$E85)/1000</f>
        <v>4166</v>
      </c>
      <c r="AA85" s="1091" t="str">
        <f t="shared" si="183"/>
        <v/>
      </c>
      <c r="AB85" s="1091"/>
      <c r="AC85" s="1146">
        <f t="shared" si="211"/>
        <v>4166</v>
      </c>
      <c r="AD85" s="1091" t="str">
        <f t="shared" si="184"/>
        <v/>
      </c>
      <c r="AE85" s="1091">
        <f t="shared" si="225"/>
        <v>0.2213014608</v>
      </c>
      <c r="AF85" s="1146">
        <f t="shared" si="212"/>
        <v>8332</v>
      </c>
      <c r="AG85" s="1091" t="str">
        <f t="shared" si="185"/>
        <v/>
      </c>
      <c r="AH85" s="1091">
        <f t="shared" si="226"/>
        <v>0.2049692497</v>
      </c>
      <c r="AI85" s="1146">
        <f>SUMIFS(BP_SOTIEN,BP_THANG,AI$2,BP_KM,$E85)/1000</f>
        <v>4166</v>
      </c>
      <c r="AJ85" s="1091" t="str">
        <f t="shared" si="186"/>
        <v/>
      </c>
      <c r="AK85" s="1091"/>
      <c r="AL85" s="1146">
        <f>SUMIFS(BP_SOTIEN,BP_THANG,AL$2,BP_KM,$E85)/1000</f>
        <v>4166</v>
      </c>
      <c r="AM85" s="1091" t="str">
        <f t="shared" si="187"/>
        <v/>
      </c>
      <c r="AN85" s="1091"/>
      <c r="AO85" s="1091" t="str">
        <f t="shared" si="27"/>
        <v/>
      </c>
      <c r="AP85" s="1146">
        <f>SUMIFS(BP_SOTIEN,BP_THANG,AP$2,BP_KM,$E85)/1000</f>
        <v>4166</v>
      </c>
      <c r="AQ85" s="1091" t="str">
        <f t="shared" si="188"/>
        <v/>
      </c>
      <c r="AR85" s="1091"/>
      <c r="AS85" s="1146">
        <f t="shared" si="213"/>
        <v>4166</v>
      </c>
      <c r="AT85" s="1091" t="str">
        <f t="shared" si="189"/>
        <v/>
      </c>
      <c r="AU85" s="1091">
        <f t="shared" si="227"/>
        <v>0.2213014608</v>
      </c>
      <c r="AV85" s="1146">
        <f>SUMIFS(BP_SOTIEN,BP_THANG,AV$2,BP_KM,$E85)/1000</f>
        <v>4166</v>
      </c>
      <c r="AW85" s="1091" t="str">
        <f t="shared" si="190"/>
        <v/>
      </c>
      <c r="AX85" s="1091"/>
      <c r="AY85" s="1146">
        <f>SUMIFS(BP_SOTIEN,BP_THANG,AY$2,BP_KM,$E85)/1000</f>
        <v>4166</v>
      </c>
      <c r="AZ85" s="1091" t="str">
        <f t="shared" si="191"/>
        <v/>
      </c>
      <c r="BA85" s="1091"/>
      <c r="BB85" s="1146">
        <f>SUMIFS(BP_SOTIEN,BP_THANG,BB$2,BP_KM,$E85)/1000</f>
        <v>4166</v>
      </c>
      <c r="BC85" s="1091" t="str">
        <f t="shared" si="192"/>
        <v/>
      </c>
      <c r="BD85" s="1091"/>
      <c r="BE85" s="1146">
        <f t="shared" si="214"/>
        <v>4166</v>
      </c>
      <c r="BF85" s="1091" t="str">
        <f t="shared" si="193"/>
        <v/>
      </c>
      <c r="BG85" s="1091">
        <f t="shared" si="228"/>
        <v>0.2213014608</v>
      </c>
      <c r="BH85" s="1146">
        <f t="shared" si="215"/>
        <v>8332</v>
      </c>
      <c r="BI85" s="1091" t="str">
        <f t="shared" si="194"/>
        <v/>
      </c>
      <c r="BJ85" s="1091">
        <f t="shared" si="229"/>
        <v>0.2213014608</v>
      </c>
      <c r="BK85" s="1146">
        <f t="shared" si="216"/>
        <v>16664</v>
      </c>
      <c r="BL85" s="1091" t="str">
        <f t="shared" si="195"/>
        <v/>
      </c>
      <c r="BM85" s="1091">
        <f t="shared" si="230"/>
        <v>0.2128224777</v>
      </c>
    </row>
    <row r="86" hidden="1" outlineLevel="1">
      <c r="A86" s="737"/>
      <c r="B86" s="737"/>
      <c r="C86" s="737"/>
      <c r="D86" s="737" t="s">
        <v>2863</v>
      </c>
      <c r="E86" s="737" t="s">
        <v>272</v>
      </c>
      <c r="F86" s="737"/>
      <c r="G86" s="748">
        <v>3.0</v>
      </c>
      <c r="H86" s="1146">
        <f>SUMIFS(BP_SOTIEN,BP_THANG,H$2,BP_KM,$E86)/1000</f>
        <v>6666</v>
      </c>
      <c r="I86" s="1091" t="str">
        <f t="shared" si="177"/>
        <v/>
      </c>
      <c r="J86" s="1091"/>
      <c r="K86" s="1146">
        <f>SUMIFS(BP_SOTIEN,BP_THANG,K$2,BP_KM,$E86)/1000</f>
        <v>6666</v>
      </c>
      <c r="L86" s="1091" t="str">
        <f t="shared" si="178"/>
        <v/>
      </c>
      <c r="M86" s="1091"/>
      <c r="N86" s="1146">
        <f>SUMIFS(BP_SOTIEN,BP_THANG,N$2,BP_KM,$E86)/1000</f>
        <v>6666</v>
      </c>
      <c r="O86" s="1091" t="str">
        <f t="shared" si="179"/>
        <v/>
      </c>
      <c r="P86" s="1091"/>
      <c r="Q86" s="1146">
        <f t="shared" si="210"/>
        <v>6666</v>
      </c>
      <c r="R86" s="1091" t="str">
        <f t="shared" si="180"/>
        <v/>
      </c>
      <c r="S86" s="1091">
        <f t="shared" si="224"/>
        <v>0.3054295533</v>
      </c>
      <c r="T86" s="1146">
        <f>SUMIFS(BP_SOTIEN,BP_THANG,T$2,BP_KM,$E86)/1000</f>
        <v>6666</v>
      </c>
      <c r="U86" s="1091" t="str">
        <f t="shared" si="181"/>
        <v/>
      </c>
      <c r="V86" s="1091"/>
      <c r="W86" s="1146">
        <f>SUMIFS(BP_SOTIEN,BP_THANG,W$2,BP_KM,$E86)/1000</f>
        <v>6666</v>
      </c>
      <c r="X86" s="1091" t="str">
        <f t="shared" si="182"/>
        <v/>
      </c>
      <c r="Y86" s="1091"/>
      <c r="Z86" s="1146">
        <f>SUMIFS(BP_SOTIEN,BP_THANG,Z$2,BP_KM,$E86)/1000</f>
        <v>6666</v>
      </c>
      <c r="AA86" s="1091" t="str">
        <f t="shared" si="183"/>
        <v/>
      </c>
      <c r="AB86" s="1091"/>
      <c r="AC86" s="1146">
        <f t="shared" si="211"/>
        <v>6666</v>
      </c>
      <c r="AD86" s="1091" t="str">
        <f t="shared" si="184"/>
        <v/>
      </c>
      <c r="AE86" s="1091">
        <f t="shared" si="225"/>
        <v>0.3541035857</v>
      </c>
      <c r="AF86" s="1146">
        <f t="shared" si="212"/>
        <v>13332</v>
      </c>
      <c r="AG86" s="1091" t="str">
        <f t="shared" si="185"/>
        <v/>
      </c>
      <c r="AH86" s="1091">
        <f t="shared" si="226"/>
        <v>0.3279704797</v>
      </c>
      <c r="AI86" s="1146">
        <f>SUMIFS(BP_SOTIEN,BP_THANG,AI$2,BP_KM,$E86)/1000</f>
        <v>6666</v>
      </c>
      <c r="AJ86" s="1091" t="str">
        <f t="shared" si="186"/>
        <v/>
      </c>
      <c r="AK86" s="1091"/>
      <c r="AL86" s="1146">
        <f>SUMIFS(BP_SOTIEN,BP_THANG,AL$2,BP_KM,$E86)/1000</f>
        <v>6666</v>
      </c>
      <c r="AM86" s="1091" t="str">
        <f t="shared" si="187"/>
        <v/>
      </c>
      <c r="AN86" s="1091"/>
      <c r="AO86" s="1091" t="str">
        <f t="shared" si="27"/>
        <v/>
      </c>
      <c r="AP86" s="1146">
        <f>SUMIFS(BP_SOTIEN,BP_THANG,AP$2,BP_KM,$E86)/1000</f>
        <v>6666</v>
      </c>
      <c r="AQ86" s="1091" t="str">
        <f t="shared" si="188"/>
        <v/>
      </c>
      <c r="AR86" s="1091"/>
      <c r="AS86" s="1146">
        <f t="shared" si="213"/>
        <v>6666</v>
      </c>
      <c r="AT86" s="1091" t="str">
        <f t="shared" si="189"/>
        <v/>
      </c>
      <c r="AU86" s="1091">
        <f t="shared" si="227"/>
        <v>0.3541035857</v>
      </c>
      <c r="AV86" s="1146">
        <f>SUMIFS(BP_SOTIEN,BP_THANG,AV$2,BP_KM,$E86)/1000</f>
        <v>6666</v>
      </c>
      <c r="AW86" s="1091" t="str">
        <f t="shared" si="190"/>
        <v/>
      </c>
      <c r="AX86" s="1091"/>
      <c r="AY86" s="1146">
        <f>SUMIFS(BP_SOTIEN,BP_THANG,AY$2,BP_KM,$E86)/1000</f>
        <v>6666</v>
      </c>
      <c r="AZ86" s="1091" t="str">
        <f t="shared" si="191"/>
        <v/>
      </c>
      <c r="BA86" s="1091"/>
      <c r="BB86" s="1146">
        <f>SUMIFS(BP_SOTIEN,BP_THANG,BB$2,BP_KM,$E86)/1000</f>
        <v>6666</v>
      </c>
      <c r="BC86" s="1091" t="str">
        <f t="shared" si="192"/>
        <v/>
      </c>
      <c r="BD86" s="1091"/>
      <c r="BE86" s="1146">
        <f t="shared" si="214"/>
        <v>6666</v>
      </c>
      <c r="BF86" s="1091" t="str">
        <f t="shared" si="193"/>
        <v/>
      </c>
      <c r="BG86" s="1091">
        <f t="shared" si="228"/>
        <v>0.3541035857</v>
      </c>
      <c r="BH86" s="1146">
        <f t="shared" si="215"/>
        <v>13332</v>
      </c>
      <c r="BI86" s="1091" t="str">
        <f t="shared" si="194"/>
        <v/>
      </c>
      <c r="BJ86" s="1091">
        <f t="shared" si="229"/>
        <v>0.3541035857</v>
      </c>
      <c r="BK86" s="1146">
        <f t="shared" si="216"/>
        <v>26664</v>
      </c>
      <c r="BL86" s="1091" t="str">
        <f t="shared" si="195"/>
        <v/>
      </c>
      <c r="BM86" s="1091">
        <f t="shared" si="230"/>
        <v>0.3405363985</v>
      </c>
    </row>
    <row r="87" hidden="1" outlineLevel="1">
      <c r="A87" s="737"/>
      <c r="B87" s="737"/>
      <c r="C87" s="737"/>
      <c r="D87" s="737" t="s">
        <v>2864</v>
      </c>
      <c r="E87" s="737" t="s">
        <v>219</v>
      </c>
      <c r="F87" s="737"/>
      <c r="G87" s="748">
        <v>3.0</v>
      </c>
      <c r="H87" s="1146">
        <f>SUMIFS(BP_SOTIEN,BP_THANG,H$2,BP_KM,$E87)/1000</f>
        <v>0</v>
      </c>
      <c r="I87" s="1091" t="str">
        <f t="shared" si="177"/>
        <v/>
      </c>
      <c r="J87" s="1091"/>
      <c r="K87" s="1146">
        <f>SUMIFS(BP_SOTIEN,BP_THANG,K$2,BP_KM,$E87)/1000</f>
        <v>0</v>
      </c>
      <c r="L87" s="1091" t="str">
        <f t="shared" si="178"/>
        <v/>
      </c>
      <c r="M87" s="1091"/>
      <c r="N87" s="1146">
        <f>SUMIFS(BP_SOTIEN,BP_THANG,N$2,BP_KM,$E87)/1000</f>
        <v>0</v>
      </c>
      <c r="O87" s="1091" t="str">
        <f t="shared" si="179"/>
        <v/>
      </c>
      <c r="P87" s="1091"/>
      <c r="Q87" s="1146">
        <f t="shared" si="210"/>
        <v>0</v>
      </c>
      <c r="R87" s="1091" t="str">
        <f t="shared" si="180"/>
        <v/>
      </c>
      <c r="S87" s="1091">
        <f t="shared" si="224"/>
        <v>0</v>
      </c>
      <c r="T87" s="1146">
        <f>SUMIFS(BP_SOTIEN,BP_THANG,T$2,BP_KM,$E87)/1000</f>
        <v>0</v>
      </c>
      <c r="U87" s="1091" t="str">
        <f t="shared" si="181"/>
        <v/>
      </c>
      <c r="V87" s="1091"/>
      <c r="W87" s="1146">
        <f>SUMIFS(BP_SOTIEN,BP_THANG,W$2,BP_KM,$E87)/1000</f>
        <v>0</v>
      </c>
      <c r="X87" s="1091" t="str">
        <f t="shared" si="182"/>
        <v/>
      </c>
      <c r="Y87" s="1091"/>
      <c r="Z87" s="1146">
        <f>SUMIFS(BP_SOTIEN,BP_THANG,Z$2,BP_KM,$E87)/1000</f>
        <v>0</v>
      </c>
      <c r="AA87" s="1091" t="str">
        <f t="shared" si="183"/>
        <v/>
      </c>
      <c r="AB87" s="1091"/>
      <c r="AC87" s="1146">
        <f t="shared" si="211"/>
        <v>0</v>
      </c>
      <c r="AD87" s="1091" t="str">
        <f t="shared" si="184"/>
        <v/>
      </c>
      <c r="AE87" s="1091">
        <f t="shared" si="225"/>
        <v>0</v>
      </c>
      <c r="AF87" s="1146">
        <f t="shared" si="212"/>
        <v>0</v>
      </c>
      <c r="AG87" s="1091" t="str">
        <f t="shared" si="185"/>
        <v/>
      </c>
      <c r="AH87" s="1091">
        <f t="shared" si="226"/>
        <v>0</v>
      </c>
      <c r="AI87" s="1146">
        <f>SUMIFS(BP_SOTIEN,BP_THANG,AI$2,BP_KM,$E87)/1000</f>
        <v>0</v>
      </c>
      <c r="AJ87" s="1091" t="str">
        <f t="shared" si="186"/>
        <v/>
      </c>
      <c r="AK87" s="1091"/>
      <c r="AL87" s="1146">
        <f>SUMIFS(BP_SOTIEN,BP_THANG,AL$2,BP_KM,$E87)/1000</f>
        <v>0</v>
      </c>
      <c r="AM87" s="1091" t="str">
        <f t="shared" si="187"/>
        <v/>
      </c>
      <c r="AN87" s="1091"/>
      <c r="AO87" s="1091" t="str">
        <f t="shared" si="27"/>
        <v/>
      </c>
      <c r="AP87" s="1146">
        <f>SUMIFS(BP_SOTIEN,BP_THANG,AP$2,BP_KM,$E87)/1000</f>
        <v>0</v>
      </c>
      <c r="AQ87" s="1091" t="str">
        <f t="shared" si="188"/>
        <v/>
      </c>
      <c r="AR87" s="1091"/>
      <c r="AS87" s="1146">
        <f t="shared" si="213"/>
        <v>0</v>
      </c>
      <c r="AT87" s="1091" t="str">
        <f t="shared" si="189"/>
        <v/>
      </c>
      <c r="AU87" s="1091">
        <f t="shared" si="227"/>
        <v>0</v>
      </c>
      <c r="AV87" s="1146">
        <f>SUMIFS(BP_SOTIEN,BP_THANG,AV$2,BP_KM,$E87)/1000</f>
        <v>0</v>
      </c>
      <c r="AW87" s="1091" t="str">
        <f t="shared" si="190"/>
        <v/>
      </c>
      <c r="AX87" s="1091"/>
      <c r="AY87" s="1146">
        <f>SUMIFS(BP_SOTIEN,BP_THANG,AY$2,BP_KM,$E87)/1000</f>
        <v>0</v>
      </c>
      <c r="AZ87" s="1091" t="str">
        <f t="shared" si="191"/>
        <v/>
      </c>
      <c r="BA87" s="1091"/>
      <c r="BB87" s="1146">
        <f>SUMIFS(BP_SOTIEN,BP_THANG,BB$2,BP_KM,$E87)/1000</f>
        <v>0</v>
      </c>
      <c r="BC87" s="1091" t="str">
        <f t="shared" si="192"/>
        <v/>
      </c>
      <c r="BD87" s="1091"/>
      <c r="BE87" s="1146">
        <f t="shared" si="214"/>
        <v>0</v>
      </c>
      <c r="BF87" s="1091" t="str">
        <f t="shared" si="193"/>
        <v/>
      </c>
      <c r="BG87" s="1091">
        <f t="shared" si="228"/>
        <v>0</v>
      </c>
      <c r="BH87" s="1146">
        <f t="shared" si="215"/>
        <v>0</v>
      </c>
      <c r="BI87" s="1091" t="str">
        <f t="shared" si="194"/>
        <v/>
      </c>
      <c r="BJ87" s="1091">
        <f t="shared" si="229"/>
        <v>0</v>
      </c>
      <c r="BK87" s="1146">
        <f t="shared" si="216"/>
        <v>0</v>
      </c>
      <c r="BL87" s="1091" t="str">
        <f t="shared" si="195"/>
        <v/>
      </c>
      <c r="BM87" s="1091">
        <f t="shared" si="230"/>
        <v>0</v>
      </c>
    </row>
    <row r="88" hidden="1" outlineLevel="1">
      <c r="A88" s="737"/>
      <c r="B88" s="737"/>
      <c r="C88" s="737"/>
      <c r="D88" s="737" t="s">
        <v>2865</v>
      </c>
      <c r="E88" s="737" t="s">
        <v>222</v>
      </c>
      <c r="F88" s="737"/>
      <c r="G88" s="748">
        <v>3.0</v>
      </c>
      <c r="H88" s="1146">
        <f>SUMIFS(BP_SOTIEN,BP_THANG,H$2,BP_KM,$E88)/1000</f>
        <v>416</v>
      </c>
      <c r="I88" s="1091" t="str">
        <f t="shared" si="177"/>
        <v/>
      </c>
      <c r="J88" s="1091"/>
      <c r="K88" s="1146">
        <f>SUMIFS(BP_SOTIEN,BP_THANG,K$2,BP_KM,$E88)/1000</f>
        <v>416</v>
      </c>
      <c r="L88" s="1091" t="str">
        <f t="shared" si="178"/>
        <v/>
      </c>
      <c r="M88" s="1091"/>
      <c r="N88" s="1146">
        <f>SUMIFS(BP_SOTIEN,BP_THANG,N$2,BP_KM,$E88)/1000</f>
        <v>416</v>
      </c>
      <c r="O88" s="1091" t="str">
        <f t="shared" si="179"/>
        <v/>
      </c>
      <c r="P88" s="1091"/>
      <c r="Q88" s="1146">
        <f t="shared" si="210"/>
        <v>416</v>
      </c>
      <c r="R88" s="1091" t="str">
        <f t="shared" si="180"/>
        <v/>
      </c>
      <c r="S88" s="1091">
        <f t="shared" si="224"/>
        <v>0.01906071019</v>
      </c>
      <c r="T88" s="1146">
        <f>SUMIFS(BP_SOTIEN,BP_THANG,T$2,BP_KM,$E88)/1000</f>
        <v>416</v>
      </c>
      <c r="U88" s="1091" t="str">
        <f t="shared" si="181"/>
        <v/>
      </c>
      <c r="V88" s="1091"/>
      <c r="W88" s="1146">
        <f>SUMIFS(BP_SOTIEN,BP_THANG,W$2,BP_KM,$E88)/1000</f>
        <v>416</v>
      </c>
      <c r="X88" s="1091" t="str">
        <f t="shared" si="182"/>
        <v/>
      </c>
      <c r="Y88" s="1091"/>
      <c r="Z88" s="1146">
        <f>SUMIFS(BP_SOTIEN,BP_THANG,Z$2,BP_KM,$E88)/1000</f>
        <v>416</v>
      </c>
      <c r="AA88" s="1091" t="str">
        <f t="shared" si="183"/>
        <v/>
      </c>
      <c r="AB88" s="1091"/>
      <c r="AC88" s="1146">
        <f t="shared" si="211"/>
        <v>416</v>
      </c>
      <c r="AD88" s="1091" t="str">
        <f t="shared" si="184"/>
        <v/>
      </c>
      <c r="AE88" s="1091">
        <f t="shared" si="225"/>
        <v>0.02209827357</v>
      </c>
      <c r="AF88" s="1146">
        <f t="shared" si="212"/>
        <v>832</v>
      </c>
      <c r="AG88" s="1091" t="str">
        <f t="shared" si="185"/>
        <v/>
      </c>
      <c r="AH88" s="1091">
        <f t="shared" si="226"/>
        <v>0.02046740467</v>
      </c>
      <c r="AI88" s="1146">
        <f>SUMIFS(BP_SOTIEN,BP_THANG,AI$2,BP_KM,$E88)/1000</f>
        <v>416</v>
      </c>
      <c r="AJ88" s="1091" t="str">
        <f t="shared" si="186"/>
        <v/>
      </c>
      <c r="AK88" s="1091"/>
      <c r="AL88" s="1146">
        <f>SUMIFS(BP_SOTIEN,BP_THANG,AL$2,BP_KM,$E88)/1000</f>
        <v>416</v>
      </c>
      <c r="AM88" s="1091" t="str">
        <f t="shared" si="187"/>
        <v/>
      </c>
      <c r="AN88" s="1091"/>
      <c r="AO88" s="1091" t="str">
        <f t="shared" si="27"/>
        <v/>
      </c>
      <c r="AP88" s="1146">
        <f>SUMIFS(BP_SOTIEN,BP_THANG,AP$2,BP_KM,$E88)/1000</f>
        <v>416</v>
      </c>
      <c r="AQ88" s="1091" t="str">
        <f t="shared" si="188"/>
        <v/>
      </c>
      <c r="AR88" s="1091"/>
      <c r="AS88" s="1146">
        <f t="shared" si="213"/>
        <v>416</v>
      </c>
      <c r="AT88" s="1091" t="str">
        <f t="shared" si="189"/>
        <v/>
      </c>
      <c r="AU88" s="1091">
        <f t="shared" si="227"/>
        <v>0.02209827357</v>
      </c>
      <c r="AV88" s="1146">
        <f>SUMIFS(BP_SOTIEN,BP_THANG,AV$2,BP_KM,$E88)/1000</f>
        <v>416</v>
      </c>
      <c r="AW88" s="1091" t="str">
        <f t="shared" si="190"/>
        <v/>
      </c>
      <c r="AX88" s="1091"/>
      <c r="AY88" s="1146">
        <f>SUMIFS(BP_SOTIEN,BP_THANG,AY$2,BP_KM,$E88)/1000</f>
        <v>416</v>
      </c>
      <c r="AZ88" s="1091" t="str">
        <f t="shared" si="191"/>
        <v/>
      </c>
      <c r="BA88" s="1091"/>
      <c r="BB88" s="1146">
        <f>SUMIFS(BP_SOTIEN,BP_THANG,BB$2,BP_KM,$E88)/1000</f>
        <v>416</v>
      </c>
      <c r="BC88" s="1091" t="str">
        <f t="shared" si="192"/>
        <v/>
      </c>
      <c r="BD88" s="1091"/>
      <c r="BE88" s="1146">
        <f t="shared" si="214"/>
        <v>416</v>
      </c>
      <c r="BF88" s="1091" t="str">
        <f t="shared" si="193"/>
        <v/>
      </c>
      <c r="BG88" s="1091">
        <f t="shared" si="228"/>
        <v>0.02209827357</v>
      </c>
      <c r="BH88" s="1146">
        <f t="shared" si="215"/>
        <v>832</v>
      </c>
      <c r="BI88" s="1091" t="str">
        <f t="shared" si="194"/>
        <v/>
      </c>
      <c r="BJ88" s="1091">
        <f t="shared" si="229"/>
        <v>0.02209827357</v>
      </c>
      <c r="BK88" s="1146">
        <f t="shared" si="216"/>
        <v>1664</v>
      </c>
      <c r="BL88" s="1091" t="str">
        <f t="shared" si="195"/>
        <v/>
      </c>
      <c r="BM88" s="1091">
        <f t="shared" si="230"/>
        <v>0.02125159642</v>
      </c>
    </row>
    <row r="89" hidden="1" outlineLevel="1">
      <c r="A89" s="737"/>
      <c r="B89" s="737"/>
      <c r="C89" s="737"/>
      <c r="D89" s="737" t="s">
        <v>2866</v>
      </c>
      <c r="E89" s="737" t="s">
        <v>410</v>
      </c>
      <c r="F89" s="737"/>
      <c r="G89" s="748">
        <v>3.0</v>
      </c>
      <c r="H89" s="1146">
        <f>SUMIFS(BP_SOTIEN,BP_THANG,H$2,BP_KM,$E89)/1000</f>
        <v>1250</v>
      </c>
      <c r="I89" s="1091" t="str">
        <f t="shared" si="177"/>
        <v/>
      </c>
      <c r="J89" s="1091"/>
      <c r="K89" s="1146">
        <f>SUMIFS(BP_SOTIEN,BP_THANG,K$2,BP_KM,$E89)/1000</f>
        <v>1250</v>
      </c>
      <c r="L89" s="1091" t="str">
        <f t="shared" si="178"/>
        <v/>
      </c>
      <c r="M89" s="1091"/>
      <c r="N89" s="1146">
        <f>SUMIFS(BP_SOTIEN,BP_THANG,N$2,BP_KM,$E89)/1000</f>
        <v>1250</v>
      </c>
      <c r="O89" s="1091" t="str">
        <f t="shared" si="179"/>
        <v/>
      </c>
      <c r="P89" s="1091"/>
      <c r="Q89" s="1146">
        <f t="shared" si="210"/>
        <v>1250</v>
      </c>
      <c r="R89" s="1091" t="str">
        <f t="shared" si="180"/>
        <v/>
      </c>
      <c r="S89" s="1091">
        <f t="shared" si="224"/>
        <v>0.05727376861</v>
      </c>
      <c r="T89" s="1146">
        <f>SUMIFS(BP_SOTIEN,BP_THANG,T$2,BP_KM,$E89)/1000</f>
        <v>1250</v>
      </c>
      <c r="U89" s="1091" t="str">
        <f t="shared" si="181"/>
        <v/>
      </c>
      <c r="V89" s="1091"/>
      <c r="W89" s="1146">
        <f>SUMIFS(BP_SOTIEN,BP_THANG,W$2,BP_KM,$E89)/1000</f>
        <v>1250</v>
      </c>
      <c r="X89" s="1091" t="str">
        <f t="shared" si="182"/>
        <v/>
      </c>
      <c r="Y89" s="1091"/>
      <c r="Z89" s="1146">
        <f>SUMIFS(BP_SOTIEN,BP_THANG,Z$2,BP_KM,$E89)/1000</f>
        <v>1250</v>
      </c>
      <c r="AA89" s="1091" t="str">
        <f t="shared" si="183"/>
        <v/>
      </c>
      <c r="AB89" s="1091"/>
      <c r="AC89" s="1146">
        <f t="shared" si="211"/>
        <v>1250</v>
      </c>
      <c r="AD89" s="1091" t="str">
        <f t="shared" si="184"/>
        <v/>
      </c>
      <c r="AE89" s="1091">
        <f t="shared" si="225"/>
        <v>0.06640106242</v>
      </c>
      <c r="AF89" s="1146">
        <f t="shared" si="212"/>
        <v>2500</v>
      </c>
      <c r="AG89" s="1091" t="str">
        <f t="shared" si="185"/>
        <v/>
      </c>
      <c r="AH89" s="1091">
        <f t="shared" si="226"/>
        <v>0.06150061501</v>
      </c>
      <c r="AI89" s="1146">
        <f>SUMIFS(BP_SOTIEN,BP_THANG,AI$2,BP_KM,$E89)/1000</f>
        <v>1250</v>
      </c>
      <c r="AJ89" s="1091" t="str">
        <f t="shared" si="186"/>
        <v/>
      </c>
      <c r="AK89" s="1091"/>
      <c r="AL89" s="1146">
        <f>SUMIFS(BP_SOTIEN,BP_THANG,AL$2,BP_KM,$E89)/1000</f>
        <v>1250</v>
      </c>
      <c r="AM89" s="1091" t="str">
        <f t="shared" si="187"/>
        <v/>
      </c>
      <c r="AN89" s="1091"/>
      <c r="AO89" s="1091" t="str">
        <f t="shared" si="27"/>
        <v/>
      </c>
      <c r="AP89" s="1146">
        <f>SUMIFS(BP_SOTIEN,BP_THANG,AP$2,BP_KM,$E89)/1000</f>
        <v>1250</v>
      </c>
      <c r="AQ89" s="1091" t="str">
        <f t="shared" si="188"/>
        <v/>
      </c>
      <c r="AR89" s="1091"/>
      <c r="AS89" s="1146">
        <f t="shared" si="213"/>
        <v>1250</v>
      </c>
      <c r="AT89" s="1091" t="str">
        <f t="shared" si="189"/>
        <v/>
      </c>
      <c r="AU89" s="1091">
        <f t="shared" si="227"/>
        <v>0.06640106242</v>
      </c>
      <c r="AV89" s="1146">
        <f>SUMIFS(BP_SOTIEN,BP_THANG,AV$2,BP_KM,$E89)/1000</f>
        <v>1250</v>
      </c>
      <c r="AW89" s="1091" t="str">
        <f t="shared" si="190"/>
        <v/>
      </c>
      <c r="AX89" s="1091"/>
      <c r="AY89" s="1146">
        <f>SUMIFS(BP_SOTIEN,BP_THANG,AY$2,BP_KM,$E89)/1000</f>
        <v>1250</v>
      </c>
      <c r="AZ89" s="1091" t="str">
        <f t="shared" si="191"/>
        <v/>
      </c>
      <c r="BA89" s="1091"/>
      <c r="BB89" s="1146">
        <f>SUMIFS(BP_SOTIEN,BP_THANG,BB$2,BP_KM,$E89)/1000</f>
        <v>1250</v>
      </c>
      <c r="BC89" s="1091" t="str">
        <f t="shared" si="192"/>
        <v/>
      </c>
      <c r="BD89" s="1091"/>
      <c r="BE89" s="1146">
        <f t="shared" si="214"/>
        <v>1250</v>
      </c>
      <c r="BF89" s="1091" t="str">
        <f t="shared" si="193"/>
        <v/>
      </c>
      <c r="BG89" s="1091">
        <f t="shared" si="228"/>
        <v>0.06640106242</v>
      </c>
      <c r="BH89" s="1146">
        <f t="shared" si="215"/>
        <v>2500</v>
      </c>
      <c r="BI89" s="1091" t="str">
        <f t="shared" si="194"/>
        <v/>
      </c>
      <c r="BJ89" s="1091">
        <f t="shared" si="229"/>
        <v>0.06640106242</v>
      </c>
      <c r="BK89" s="1146">
        <f t="shared" si="216"/>
        <v>5000</v>
      </c>
      <c r="BL89" s="1091" t="str">
        <f t="shared" si="195"/>
        <v/>
      </c>
      <c r="BM89" s="1091">
        <f t="shared" si="230"/>
        <v>0.06385696041</v>
      </c>
    </row>
    <row r="90" hidden="1" outlineLevel="1">
      <c r="A90" s="737"/>
      <c r="B90" s="737"/>
      <c r="C90" s="737"/>
      <c r="D90" s="737" t="s">
        <v>2867</v>
      </c>
      <c r="E90" s="737" t="s">
        <v>226</v>
      </c>
      <c r="F90" s="737"/>
      <c r="G90" s="748">
        <v>3.0</v>
      </c>
      <c r="H90" s="1146">
        <f>SUMIFS(BP_SOTIEN,BP_THANG,H$2,BP_KM,$E90)/1000</f>
        <v>1250</v>
      </c>
      <c r="I90" s="1091" t="str">
        <f t="shared" si="177"/>
        <v/>
      </c>
      <c r="J90" s="1091"/>
      <c r="K90" s="1146">
        <f>SUMIFS(BP_SOTIEN,BP_THANG,K$2,BP_KM,$E90)/1000</f>
        <v>1250</v>
      </c>
      <c r="L90" s="1091" t="str">
        <f t="shared" si="178"/>
        <v/>
      </c>
      <c r="M90" s="1091"/>
      <c r="N90" s="1146">
        <f>SUMIFS(BP_SOTIEN,BP_THANG,N$2,BP_KM,$E90)/1000</f>
        <v>1250</v>
      </c>
      <c r="O90" s="1091" t="str">
        <f t="shared" si="179"/>
        <v/>
      </c>
      <c r="P90" s="1091"/>
      <c r="Q90" s="1146">
        <f t="shared" si="210"/>
        <v>1250</v>
      </c>
      <c r="R90" s="1091" t="str">
        <f t="shared" si="180"/>
        <v/>
      </c>
      <c r="S90" s="1091">
        <f t="shared" si="224"/>
        <v>0.05727376861</v>
      </c>
      <c r="T90" s="1146">
        <f>SUMIFS(BP_SOTIEN,BP_THANG,T$2,BP_KM,$E90)/1000</f>
        <v>1250</v>
      </c>
      <c r="U90" s="1091" t="str">
        <f t="shared" si="181"/>
        <v/>
      </c>
      <c r="V90" s="1091"/>
      <c r="W90" s="1146">
        <f>SUMIFS(BP_SOTIEN,BP_THANG,W$2,BP_KM,$E90)/1000</f>
        <v>1250</v>
      </c>
      <c r="X90" s="1091" t="str">
        <f t="shared" si="182"/>
        <v/>
      </c>
      <c r="Y90" s="1091"/>
      <c r="Z90" s="1146">
        <f>SUMIFS(BP_SOTIEN,BP_THANG,Z$2,BP_KM,$E90)/1000</f>
        <v>1250</v>
      </c>
      <c r="AA90" s="1091" t="str">
        <f t="shared" si="183"/>
        <v/>
      </c>
      <c r="AB90" s="1091"/>
      <c r="AC90" s="1146">
        <f t="shared" si="211"/>
        <v>1250</v>
      </c>
      <c r="AD90" s="1091" t="str">
        <f t="shared" si="184"/>
        <v/>
      </c>
      <c r="AE90" s="1091">
        <f t="shared" si="225"/>
        <v>0.06640106242</v>
      </c>
      <c r="AF90" s="1146">
        <f t="shared" si="212"/>
        <v>2500</v>
      </c>
      <c r="AG90" s="1091" t="str">
        <f t="shared" si="185"/>
        <v/>
      </c>
      <c r="AH90" s="1091">
        <f t="shared" si="226"/>
        <v>0.06150061501</v>
      </c>
      <c r="AI90" s="1146">
        <f>SUMIFS(BP_SOTIEN,BP_THANG,AI$2,BP_KM,$E90)/1000</f>
        <v>1250</v>
      </c>
      <c r="AJ90" s="1091" t="str">
        <f t="shared" si="186"/>
        <v/>
      </c>
      <c r="AK90" s="1091"/>
      <c r="AL90" s="1146">
        <f>SUMIFS(BP_SOTIEN,BP_THANG,AL$2,BP_KM,$E90)/1000</f>
        <v>1250</v>
      </c>
      <c r="AM90" s="1091" t="str">
        <f t="shared" si="187"/>
        <v/>
      </c>
      <c r="AN90" s="1091"/>
      <c r="AO90" s="1091" t="str">
        <f t="shared" si="27"/>
        <v/>
      </c>
      <c r="AP90" s="1146">
        <f>SUMIFS(BP_SOTIEN,BP_THANG,AP$2,BP_KM,$E90)/1000</f>
        <v>1250</v>
      </c>
      <c r="AQ90" s="1091" t="str">
        <f t="shared" si="188"/>
        <v/>
      </c>
      <c r="AR90" s="1091"/>
      <c r="AS90" s="1146">
        <f t="shared" si="213"/>
        <v>1250</v>
      </c>
      <c r="AT90" s="1091" t="str">
        <f t="shared" si="189"/>
        <v/>
      </c>
      <c r="AU90" s="1091">
        <f t="shared" si="227"/>
        <v>0.06640106242</v>
      </c>
      <c r="AV90" s="1146">
        <f>SUMIFS(BP_SOTIEN,BP_THANG,AV$2,BP_KM,$E90)/1000</f>
        <v>1250</v>
      </c>
      <c r="AW90" s="1091" t="str">
        <f t="shared" si="190"/>
        <v/>
      </c>
      <c r="AX90" s="1091"/>
      <c r="AY90" s="1146">
        <f>SUMIFS(BP_SOTIEN,BP_THANG,AY$2,BP_KM,$E90)/1000</f>
        <v>1250</v>
      </c>
      <c r="AZ90" s="1091" t="str">
        <f t="shared" si="191"/>
        <v/>
      </c>
      <c r="BA90" s="1091"/>
      <c r="BB90" s="1146">
        <f>SUMIFS(BP_SOTIEN,BP_THANG,BB$2,BP_KM,$E90)/1000</f>
        <v>1250</v>
      </c>
      <c r="BC90" s="1091" t="str">
        <f t="shared" si="192"/>
        <v/>
      </c>
      <c r="BD90" s="1091"/>
      <c r="BE90" s="1146">
        <f t="shared" si="214"/>
        <v>1250</v>
      </c>
      <c r="BF90" s="1091" t="str">
        <f t="shared" si="193"/>
        <v/>
      </c>
      <c r="BG90" s="1091">
        <f t="shared" si="228"/>
        <v>0.06640106242</v>
      </c>
      <c r="BH90" s="1146">
        <f t="shared" si="215"/>
        <v>2500</v>
      </c>
      <c r="BI90" s="1091" t="str">
        <f t="shared" si="194"/>
        <v/>
      </c>
      <c r="BJ90" s="1091">
        <f t="shared" si="229"/>
        <v>0.06640106242</v>
      </c>
      <c r="BK90" s="1146">
        <f t="shared" si="216"/>
        <v>5000</v>
      </c>
      <c r="BL90" s="1091" t="str">
        <f t="shared" si="195"/>
        <v/>
      </c>
      <c r="BM90" s="1091">
        <f t="shared" si="230"/>
        <v>0.06385696041</v>
      </c>
    </row>
    <row r="91" hidden="1" outlineLevel="1">
      <c r="A91" s="737"/>
      <c r="B91" s="737"/>
      <c r="C91" s="737"/>
      <c r="D91" s="744" t="s">
        <v>2868</v>
      </c>
      <c r="E91" s="744" t="s">
        <v>206</v>
      </c>
      <c r="F91" s="737"/>
      <c r="G91" s="748">
        <v>3.0</v>
      </c>
      <c r="H91" s="1146">
        <f>SUMIFS(BP_SOTIEN,BP_THANG,H$2,BP_KM,$E91)/1000</f>
        <v>1703</v>
      </c>
      <c r="I91" s="1091" t="str">
        <f t="shared" si="177"/>
        <v/>
      </c>
      <c r="J91" s="1091"/>
      <c r="K91" s="1146">
        <f>SUMIFS(BP_SOTIEN,BP_THANG,K$2,BP_KM,$E91)/1000</f>
        <v>1703</v>
      </c>
      <c r="L91" s="1091" t="str">
        <f t="shared" si="178"/>
        <v/>
      </c>
      <c r="M91" s="1091"/>
      <c r="N91" s="1146">
        <f>SUMIFS(BP_SOTIEN,BP_THANG,N$2,BP_KM,$E91)/1000</f>
        <v>1703</v>
      </c>
      <c r="O91" s="1091" t="str">
        <f t="shared" si="179"/>
        <v/>
      </c>
      <c r="P91" s="1091"/>
      <c r="Q91" s="1146">
        <f t="shared" si="210"/>
        <v>1703</v>
      </c>
      <c r="R91" s="1091" t="str">
        <f t="shared" si="180"/>
        <v/>
      </c>
      <c r="S91" s="1091">
        <f t="shared" si="224"/>
        <v>0.07802978236</v>
      </c>
      <c r="T91" s="1146">
        <f>SUMIFS(BP_SOTIEN,BP_THANG,T$2,BP_KM,$E91)/1000</f>
        <v>1703</v>
      </c>
      <c r="U91" s="1091" t="str">
        <f t="shared" si="181"/>
        <v/>
      </c>
      <c r="V91" s="1091"/>
      <c r="W91" s="1146">
        <f>SUMIFS(BP_SOTIEN,BP_THANG,W$2,BP_KM,$E91)/1000</f>
        <v>1703</v>
      </c>
      <c r="X91" s="1091" t="str">
        <f t="shared" si="182"/>
        <v/>
      </c>
      <c r="Y91" s="1091"/>
      <c r="Z91" s="1146">
        <f>SUMIFS(BP_SOTIEN,BP_THANG,Z$2,BP_KM,$E91)/1000</f>
        <v>1703</v>
      </c>
      <c r="AA91" s="1091" t="str">
        <f t="shared" si="183"/>
        <v/>
      </c>
      <c r="AB91" s="1091"/>
      <c r="AC91" s="1146">
        <f t="shared" si="211"/>
        <v>1703</v>
      </c>
      <c r="AD91" s="1091" t="str">
        <f t="shared" si="184"/>
        <v/>
      </c>
      <c r="AE91" s="1091">
        <f t="shared" si="225"/>
        <v>0.09046480744</v>
      </c>
      <c r="AF91" s="1146">
        <f t="shared" si="212"/>
        <v>3406</v>
      </c>
      <c r="AG91" s="1091" t="str">
        <f t="shared" si="185"/>
        <v/>
      </c>
      <c r="AH91" s="1091">
        <f t="shared" si="226"/>
        <v>0.08378843788</v>
      </c>
      <c r="AI91" s="1146">
        <f>SUMIFS(BP_SOTIEN,BP_THANG,AI$2,BP_KM,$E91)/1000</f>
        <v>1703</v>
      </c>
      <c r="AJ91" s="1091" t="str">
        <f t="shared" si="186"/>
        <v/>
      </c>
      <c r="AK91" s="1091"/>
      <c r="AL91" s="1146">
        <f>SUMIFS(BP_SOTIEN,BP_THANG,AL$2,BP_KM,$E91)/1000</f>
        <v>1703</v>
      </c>
      <c r="AM91" s="1091" t="str">
        <f t="shared" si="187"/>
        <v/>
      </c>
      <c r="AN91" s="1091"/>
      <c r="AO91" s="1091" t="str">
        <f t="shared" si="27"/>
        <v/>
      </c>
      <c r="AP91" s="1146">
        <f>SUMIFS(BP_SOTIEN,BP_THANG,AP$2,BP_KM,$E91)/1000</f>
        <v>1703</v>
      </c>
      <c r="AQ91" s="1091" t="str">
        <f t="shared" si="188"/>
        <v/>
      </c>
      <c r="AR91" s="1091"/>
      <c r="AS91" s="1146">
        <f t="shared" si="213"/>
        <v>1703</v>
      </c>
      <c r="AT91" s="1091" t="str">
        <f t="shared" si="189"/>
        <v/>
      </c>
      <c r="AU91" s="1091">
        <f t="shared" si="227"/>
        <v>0.09046480744</v>
      </c>
      <c r="AV91" s="1146">
        <f>SUMIFS(BP_SOTIEN,BP_THANG,AV$2,BP_KM,$E91)/1000</f>
        <v>1703</v>
      </c>
      <c r="AW91" s="1091" t="str">
        <f t="shared" si="190"/>
        <v/>
      </c>
      <c r="AX91" s="1091"/>
      <c r="AY91" s="1146">
        <f>SUMIFS(BP_SOTIEN,BP_THANG,AY$2,BP_KM,$E91)/1000</f>
        <v>1703</v>
      </c>
      <c r="AZ91" s="1091" t="str">
        <f t="shared" si="191"/>
        <v/>
      </c>
      <c r="BA91" s="1091"/>
      <c r="BB91" s="1146">
        <f>SUMIFS(BP_SOTIEN,BP_THANG,BB$2,BP_KM,$E91)/1000</f>
        <v>1703</v>
      </c>
      <c r="BC91" s="1091" t="str">
        <f t="shared" si="192"/>
        <v/>
      </c>
      <c r="BD91" s="1091"/>
      <c r="BE91" s="1146">
        <f t="shared" si="214"/>
        <v>1703</v>
      </c>
      <c r="BF91" s="1091" t="str">
        <f t="shared" si="193"/>
        <v/>
      </c>
      <c r="BG91" s="1091">
        <f t="shared" si="228"/>
        <v>0.09046480744</v>
      </c>
      <c r="BH91" s="1146">
        <f t="shared" si="215"/>
        <v>3406</v>
      </c>
      <c r="BI91" s="1091" t="str">
        <f t="shared" si="194"/>
        <v/>
      </c>
      <c r="BJ91" s="1091">
        <f t="shared" si="229"/>
        <v>0.09046480744</v>
      </c>
      <c r="BK91" s="1146">
        <f t="shared" si="216"/>
        <v>6812</v>
      </c>
      <c r="BL91" s="1091" t="str">
        <f t="shared" si="195"/>
        <v/>
      </c>
      <c r="BM91" s="1091">
        <f t="shared" si="230"/>
        <v>0.08699872286</v>
      </c>
    </row>
    <row r="92" hidden="1" outlineLevel="1">
      <c r="A92" s="737"/>
      <c r="B92" s="737"/>
      <c r="C92" s="737"/>
      <c r="D92" s="1148" t="s">
        <v>2869</v>
      </c>
      <c r="E92" s="1148" t="s">
        <v>377</v>
      </c>
      <c r="F92" s="737"/>
      <c r="G92" s="748">
        <v>3.0</v>
      </c>
      <c r="H92" s="1146">
        <f>SUMIFS(BP_SOTIEN,BP_THANG,H$2,BP_KM,$E92)/1000</f>
        <v>0</v>
      </c>
      <c r="I92" s="1091" t="str">
        <f t="shared" si="177"/>
        <v/>
      </c>
      <c r="J92" s="1091"/>
      <c r="K92" s="1146">
        <f>SUMIFS(BP_SOTIEN,BP_THANG,K$2,BP_KM,$E92)/1000</f>
        <v>0</v>
      </c>
      <c r="L92" s="1091" t="str">
        <f t="shared" si="178"/>
        <v/>
      </c>
      <c r="M92" s="1091"/>
      <c r="N92" s="1146">
        <f>SUMIFS(BP_SOTIEN,BP_THANG,N$2,BP_KM,$E92)/1000</f>
        <v>0</v>
      </c>
      <c r="O92" s="1091" t="str">
        <f t="shared" si="179"/>
        <v/>
      </c>
      <c r="P92" s="1091"/>
      <c r="Q92" s="1146">
        <f t="shared" si="210"/>
        <v>0</v>
      </c>
      <c r="R92" s="1091" t="str">
        <f t="shared" si="180"/>
        <v/>
      </c>
      <c r="S92" s="1091">
        <f t="shared" si="224"/>
        <v>0</v>
      </c>
      <c r="T92" s="1146">
        <f>SUMIFS(BP_SOTIEN,BP_THANG,T$2,BP_KM,$E92)/1000</f>
        <v>0</v>
      </c>
      <c r="U92" s="1091" t="str">
        <f t="shared" si="181"/>
        <v/>
      </c>
      <c r="V92" s="1091"/>
      <c r="W92" s="1146">
        <f>SUMIFS(BP_SOTIEN,BP_THANG,W$2,BP_KM,$E92)/1000</f>
        <v>0</v>
      </c>
      <c r="X92" s="1091" t="str">
        <f t="shared" si="182"/>
        <v/>
      </c>
      <c r="Y92" s="1091"/>
      <c r="Z92" s="1146">
        <f>SUMIFS(BP_SOTIEN,BP_THANG,Z$2,BP_KM,$E92)/1000</f>
        <v>0</v>
      </c>
      <c r="AA92" s="1091" t="str">
        <f t="shared" si="183"/>
        <v/>
      </c>
      <c r="AB92" s="1091"/>
      <c r="AC92" s="1146">
        <f t="shared" si="211"/>
        <v>0</v>
      </c>
      <c r="AD92" s="1091" t="str">
        <f t="shared" si="184"/>
        <v/>
      </c>
      <c r="AE92" s="1091">
        <f t="shared" si="225"/>
        <v>0</v>
      </c>
      <c r="AF92" s="1146">
        <f t="shared" si="212"/>
        <v>0</v>
      </c>
      <c r="AG92" s="1091" t="str">
        <f t="shared" si="185"/>
        <v/>
      </c>
      <c r="AH92" s="1091">
        <f t="shared" si="226"/>
        <v>0</v>
      </c>
      <c r="AI92" s="1146">
        <f>SUMIFS(BP_SOTIEN,BP_THANG,AI$2,BP_KM,$E92)/1000</f>
        <v>0</v>
      </c>
      <c r="AJ92" s="1091" t="str">
        <f t="shared" si="186"/>
        <v/>
      </c>
      <c r="AK92" s="1091"/>
      <c r="AL92" s="1146">
        <f>SUMIFS(BP_SOTIEN,BP_THANG,AL$2,BP_KM,$E92)/1000</f>
        <v>0</v>
      </c>
      <c r="AM92" s="1091" t="str">
        <f t="shared" si="187"/>
        <v/>
      </c>
      <c r="AN92" s="1091"/>
      <c r="AO92" s="1091" t="str">
        <f t="shared" si="27"/>
        <v/>
      </c>
      <c r="AP92" s="1146">
        <f>SUMIFS(BP_SOTIEN,BP_THANG,AP$2,BP_KM,$E92)/1000</f>
        <v>0</v>
      </c>
      <c r="AQ92" s="1091" t="str">
        <f t="shared" si="188"/>
        <v/>
      </c>
      <c r="AR92" s="1091"/>
      <c r="AS92" s="1146">
        <f t="shared" si="213"/>
        <v>0</v>
      </c>
      <c r="AT92" s="1091" t="str">
        <f t="shared" si="189"/>
        <v/>
      </c>
      <c r="AU92" s="1091">
        <f t="shared" si="227"/>
        <v>0</v>
      </c>
      <c r="AV92" s="1146">
        <f>SUMIFS(BP_SOTIEN,BP_THANG,AV$2,BP_KM,$E92)/1000</f>
        <v>0</v>
      </c>
      <c r="AW92" s="1091" t="str">
        <f t="shared" si="190"/>
        <v/>
      </c>
      <c r="AX92" s="1091"/>
      <c r="AY92" s="1146">
        <f>SUMIFS(BP_SOTIEN,BP_THANG,AY$2,BP_KM,$E92)/1000</f>
        <v>0</v>
      </c>
      <c r="AZ92" s="1091" t="str">
        <f t="shared" si="191"/>
        <v/>
      </c>
      <c r="BA92" s="1091"/>
      <c r="BB92" s="1146">
        <f>SUMIFS(BP_SOTIEN,BP_THANG,BB$2,BP_KM,$E92)/1000</f>
        <v>0</v>
      </c>
      <c r="BC92" s="1091" t="str">
        <f t="shared" si="192"/>
        <v/>
      </c>
      <c r="BD92" s="1091"/>
      <c r="BE92" s="1146">
        <f t="shared" si="214"/>
        <v>0</v>
      </c>
      <c r="BF92" s="1091" t="str">
        <f t="shared" si="193"/>
        <v/>
      </c>
      <c r="BG92" s="1091">
        <f t="shared" si="228"/>
        <v>0</v>
      </c>
      <c r="BH92" s="1146">
        <f t="shared" si="215"/>
        <v>0</v>
      </c>
      <c r="BI92" s="1091" t="str">
        <f t="shared" si="194"/>
        <v/>
      </c>
      <c r="BJ92" s="1091">
        <f t="shared" si="229"/>
        <v>0</v>
      </c>
      <c r="BK92" s="1146">
        <f t="shared" si="216"/>
        <v>0</v>
      </c>
      <c r="BL92" s="1091" t="str">
        <f t="shared" si="195"/>
        <v/>
      </c>
      <c r="BM92" s="1091">
        <f t="shared" si="230"/>
        <v>0</v>
      </c>
    </row>
    <row r="93" hidden="1" outlineLevel="1">
      <c r="A93" s="737"/>
      <c r="B93" s="737"/>
      <c r="C93" s="737"/>
      <c r="D93" s="737" t="s">
        <v>2870</v>
      </c>
      <c r="E93" s="737" t="s">
        <v>307</v>
      </c>
      <c r="F93" s="737"/>
      <c r="G93" s="748">
        <v>3.0</v>
      </c>
      <c r="H93" s="1146">
        <f>SUMIFS(BP_SOTIEN,BP_THANG,H$2,BP_KM,$E93)/1000</f>
        <v>3000</v>
      </c>
      <c r="I93" s="1091" t="str">
        <f t="shared" si="177"/>
        <v/>
      </c>
      <c r="J93" s="1091"/>
      <c r="K93" s="1146">
        <f>SUMIFS(BP_SOTIEN,BP_THANG,K$2,BP_KM,$E93)/1000</f>
        <v>0</v>
      </c>
      <c r="L93" s="1091" t="str">
        <f t="shared" si="178"/>
        <v/>
      </c>
      <c r="M93" s="1091"/>
      <c r="N93" s="1146">
        <f>SUMIFS(BP_SOTIEN,BP_THANG,N$2,BP_KM,$E93)/1000</f>
        <v>0</v>
      </c>
      <c r="O93" s="1091" t="str">
        <f t="shared" si="179"/>
        <v/>
      </c>
      <c r="P93" s="1091"/>
      <c r="Q93" s="1146">
        <f t="shared" si="210"/>
        <v>3000</v>
      </c>
      <c r="R93" s="1091" t="str">
        <f t="shared" si="180"/>
        <v/>
      </c>
      <c r="S93" s="1091">
        <f t="shared" si="224"/>
        <v>0.1374570447</v>
      </c>
      <c r="T93" s="1146">
        <f>SUMIFS(BP_SOTIEN,BP_THANG,T$2,BP_KM,$E93)/1000</f>
        <v>0</v>
      </c>
      <c r="U93" s="1091" t="str">
        <f t="shared" si="181"/>
        <v/>
      </c>
      <c r="V93" s="1091"/>
      <c r="W93" s="1146">
        <f>SUMIFS(BP_SOTIEN,BP_THANG,W$2,BP_KM,$E93)/1000</f>
        <v>0</v>
      </c>
      <c r="X93" s="1091" t="str">
        <f t="shared" si="182"/>
        <v/>
      </c>
      <c r="Y93" s="1091"/>
      <c r="Z93" s="1146">
        <f>SUMIFS(BP_SOTIEN,BP_THANG,Z$2,BP_KM,$E93)/1000</f>
        <v>0</v>
      </c>
      <c r="AA93" s="1091" t="str">
        <f t="shared" si="183"/>
        <v/>
      </c>
      <c r="AB93" s="1091"/>
      <c r="AC93" s="1146">
        <f t="shared" si="211"/>
        <v>0</v>
      </c>
      <c r="AD93" s="1091" t="str">
        <f t="shared" si="184"/>
        <v/>
      </c>
      <c r="AE93" s="1091">
        <f t="shared" si="225"/>
        <v>0</v>
      </c>
      <c r="AF93" s="1146">
        <f t="shared" si="212"/>
        <v>3000</v>
      </c>
      <c r="AG93" s="1091" t="str">
        <f t="shared" si="185"/>
        <v/>
      </c>
      <c r="AH93" s="1091">
        <f t="shared" si="226"/>
        <v>0.07380073801</v>
      </c>
      <c r="AI93" s="1146">
        <f>SUMIFS(BP_SOTIEN,BP_THANG,AI$2,BP_KM,$E93)/1000</f>
        <v>0</v>
      </c>
      <c r="AJ93" s="1091" t="str">
        <f t="shared" si="186"/>
        <v/>
      </c>
      <c r="AK93" s="1091"/>
      <c r="AL93" s="1146">
        <f>SUMIFS(BP_SOTIEN,BP_THANG,AL$2,BP_KM,$E93)/1000</f>
        <v>0</v>
      </c>
      <c r="AM93" s="1091" t="str">
        <f t="shared" si="187"/>
        <v/>
      </c>
      <c r="AN93" s="1091"/>
      <c r="AO93" s="1091" t="str">
        <f t="shared" si="27"/>
        <v/>
      </c>
      <c r="AP93" s="1146">
        <f>SUMIFS(BP_SOTIEN,BP_THANG,AP$2,BP_KM,$E93)/1000</f>
        <v>0</v>
      </c>
      <c r="AQ93" s="1091" t="str">
        <f t="shared" si="188"/>
        <v/>
      </c>
      <c r="AR93" s="1091"/>
      <c r="AS93" s="1146">
        <f t="shared" si="213"/>
        <v>0</v>
      </c>
      <c r="AT93" s="1091" t="str">
        <f t="shared" si="189"/>
        <v/>
      </c>
      <c r="AU93" s="1091">
        <f t="shared" si="227"/>
        <v>0</v>
      </c>
      <c r="AV93" s="1146">
        <f>SUMIFS(BP_SOTIEN,BP_THANG,AV$2,BP_KM,$E93)/1000</f>
        <v>0</v>
      </c>
      <c r="AW93" s="1091" t="str">
        <f t="shared" si="190"/>
        <v/>
      </c>
      <c r="AX93" s="1091"/>
      <c r="AY93" s="1146">
        <f>SUMIFS(BP_SOTIEN,BP_THANG,AY$2,BP_KM,$E93)/1000</f>
        <v>0</v>
      </c>
      <c r="AZ93" s="1091" t="str">
        <f t="shared" si="191"/>
        <v/>
      </c>
      <c r="BA93" s="1091"/>
      <c r="BB93" s="1146">
        <f>SUMIFS(BP_SOTIEN,BP_THANG,BB$2,BP_KM,$E93)/1000</f>
        <v>0</v>
      </c>
      <c r="BC93" s="1091" t="str">
        <f t="shared" si="192"/>
        <v/>
      </c>
      <c r="BD93" s="1091"/>
      <c r="BE93" s="1146">
        <f t="shared" si="214"/>
        <v>0</v>
      </c>
      <c r="BF93" s="1091" t="str">
        <f t="shared" si="193"/>
        <v/>
      </c>
      <c r="BG93" s="1091">
        <f t="shared" si="228"/>
        <v>0</v>
      </c>
      <c r="BH93" s="1146">
        <f t="shared" si="215"/>
        <v>0</v>
      </c>
      <c r="BI93" s="1091" t="str">
        <f t="shared" si="194"/>
        <v/>
      </c>
      <c r="BJ93" s="1091">
        <f t="shared" si="229"/>
        <v>0</v>
      </c>
      <c r="BK93" s="1146">
        <f t="shared" si="216"/>
        <v>3000</v>
      </c>
      <c r="BL93" s="1091" t="str">
        <f t="shared" si="195"/>
        <v/>
      </c>
      <c r="BM93" s="1091">
        <f t="shared" si="230"/>
        <v>0.03831417625</v>
      </c>
    </row>
    <row r="94" hidden="1" outlineLevel="1">
      <c r="A94" s="737"/>
      <c r="B94" s="737"/>
      <c r="C94" s="737"/>
      <c r="D94" s="737"/>
      <c r="E94" s="737"/>
      <c r="F94" s="737"/>
      <c r="G94" s="748">
        <v>3.0</v>
      </c>
      <c r="H94" s="1146">
        <f>SUMIFS(BP_SOTIEN,BP_THANG,H$2,BP_KM,$E94)/1000</f>
        <v>0</v>
      </c>
      <c r="I94" s="1091" t="str">
        <f t="shared" si="177"/>
        <v/>
      </c>
      <c r="J94" s="1091"/>
      <c r="K94" s="1146">
        <f>SUMIFS(BP_SOTIEN,BP_THANG,K$2,BP_KM,$E94)/1000</f>
        <v>0</v>
      </c>
      <c r="L94" s="1091" t="str">
        <f t="shared" si="178"/>
        <v/>
      </c>
      <c r="M94" s="1091"/>
      <c r="N94" s="1146">
        <f>SUMIFS(BP_SOTIEN,BP_THANG,N$2,BP_KM,$E94)/1000</f>
        <v>0</v>
      </c>
      <c r="O94" s="1091" t="str">
        <f t="shared" si="179"/>
        <v/>
      </c>
      <c r="P94" s="1091"/>
      <c r="Q94" s="1146">
        <f t="shared" si="210"/>
        <v>0</v>
      </c>
      <c r="R94" s="1091" t="str">
        <f t="shared" si="180"/>
        <v/>
      </c>
      <c r="S94" s="1091">
        <f t="shared" si="224"/>
        <v>0</v>
      </c>
      <c r="T94" s="1146">
        <f>SUMIFS(BP_SOTIEN,BP_THANG,T$2,BP_KM,$E94)/1000</f>
        <v>0</v>
      </c>
      <c r="U94" s="1091" t="str">
        <f t="shared" si="181"/>
        <v/>
      </c>
      <c r="V94" s="1091"/>
      <c r="W94" s="1146">
        <f>SUMIFS(BP_SOTIEN,BP_THANG,W$2,BP_KM,$E94)/1000</f>
        <v>0</v>
      </c>
      <c r="X94" s="1091" t="str">
        <f t="shared" si="182"/>
        <v/>
      </c>
      <c r="Y94" s="1091"/>
      <c r="Z94" s="1146">
        <f>SUMIFS(BP_SOTIEN,BP_THANG,Z$2,BP_KM,$E94)/1000</f>
        <v>0</v>
      </c>
      <c r="AA94" s="1091" t="str">
        <f t="shared" si="183"/>
        <v/>
      </c>
      <c r="AB94" s="1091"/>
      <c r="AC94" s="1146">
        <f t="shared" si="211"/>
        <v>0</v>
      </c>
      <c r="AD94" s="1091" t="str">
        <f t="shared" si="184"/>
        <v/>
      </c>
      <c r="AE94" s="1091">
        <f t="shared" si="225"/>
        <v>0</v>
      </c>
      <c r="AF94" s="1146">
        <f t="shared" si="212"/>
        <v>0</v>
      </c>
      <c r="AG94" s="1091" t="str">
        <f t="shared" si="185"/>
        <v/>
      </c>
      <c r="AH94" s="1091">
        <f t="shared" si="226"/>
        <v>0</v>
      </c>
      <c r="AI94" s="1146">
        <f>SUMIFS(BP_SOTIEN,BP_THANG,AI$2,BP_KM,$E94)/1000</f>
        <v>0</v>
      </c>
      <c r="AJ94" s="1091" t="str">
        <f t="shared" si="186"/>
        <v/>
      </c>
      <c r="AK94" s="1091"/>
      <c r="AL94" s="1146">
        <f>SUMIFS(BP_SOTIEN,BP_THANG,AL$2,BP_KM,$E94)/1000</f>
        <v>0</v>
      </c>
      <c r="AM94" s="1091" t="str">
        <f t="shared" si="187"/>
        <v/>
      </c>
      <c r="AN94" s="1091"/>
      <c r="AO94" s="1091" t="str">
        <f t="shared" si="27"/>
        <v/>
      </c>
      <c r="AP94" s="1146">
        <f>SUMIFS(BP_SOTIEN,BP_THANG,AP$2,BP_KM,$E94)/1000</f>
        <v>0</v>
      </c>
      <c r="AQ94" s="1091" t="str">
        <f t="shared" si="188"/>
        <v/>
      </c>
      <c r="AR94" s="1091"/>
      <c r="AS94" s="1146">
        <f t="shared" si="213"/>
        <v>0</v>
      </c>
      <c r="AT94" s="1091" t="str">
        <f t="shared" si="189"/>
        <v/>
      </c>
      <c r="AU94" s="1091">
        <f t="shared" si="227"/>
        <v>0</v>
      </c>
      <c r="AV94" s="1146">
        <f>SUMIFS(BP_SOTIEN,BP_THANG,AV$2,BP_KM,$E94)/1000</f>
        <v>0</v>
      </c>
      <c r="AW94" s="1091" t="str">
        <f t="shared" si="190"/>
        <v/>
      </c>
      <c r="AX94" s="1091"/>
      <c r="AY94" s="1146">
        <f>SUMIFS(BP_SOTIEN,BP_THANG,AY$2,BP_KM,$E94)/1000</f>
        <v>0</v>
      </c>
      <c r="AZ94" s="1091" t="str">
        <f t="shared" si="191"/>
        <v/>
      </c>
      <c r="BA94" s="1091"/>
      <c r="BB94" s="1146">
        <f>SUMIFS(BP_SOTIEN,BP_THANG,BB$2,BP_KM,$E94)/1000</f>
        <v>0</v>
      </c>
      <c r="BC94" s="1091" t="str">
        <f t="shared" si="192"/>
        <v/>
      </c>
      <c r="BD94" s="1091"/>
      <c r="BE94" s="1146">
        <f t="shared" si="214"/>
        <v>0</v>
      </c>
      <c r="BF94" s="1091" t="str">
        <f t="shared" si="193"/>
        <v/>
      </c>
      <c r="BG94" s="1091">
        <f t="shared" si="228"/>
        <v>0</v>
      </c>
      <c r="BH94" s="1146">
        <f t="shared" si="215"/>
        <v>0</v>
      </c>
      <c r="BI94" s="1091" t="str">
        <f t="shared" si="194"/>
        <v/>
      </c>
      <c r="BJ94" s="1091">
        <f t="shared" si="229"/>
        <v>0</v>
      </c>
      <c r="BK94" s="1146">
        <f t="shared" si="216"/>
        <v>0</v>
      </c>
      <c r="BL94" s="1091" t="str">
        <f t="shared" si="195"/>
        <v/>
      </c>
      <c r="BM94" s="1091">
        <f t="shared" si="230"/>
        <v>0</v>
      </c>
    </row>
    <row r="95" hidden="1" outlineLevel="1">
      <c r="A95" s="737"/>
      <c r="B95" s="737"/>
      <c r="C95" s="737"/>
      <c r="D95" s="737" t="s">
        <v>2871</v>
      </c>
      <c r="E95" s="737" t="s">
        <v>2872</v>
      </c>
      <c r="F95" s="1086">
        <v>642.0</v>
      </c>
      <c r="G95" s="1086">
        <v>2.0</v>
      </c>
      <c r="H95" s="1088">
        <f>SUMIFS(BP_SOTIEN,BP_THANG,H$2,BP_KM,$E95)/1000</f>
        <v>0</v>
      </c>
      <c r="I95" s="1091" t="str">
        <f t="shared" si="177"/>
        <v/>
      </c>
      <c r="J95" s="1091"/>
      <c r="K95" s="1088">
        <f>SUMIFS(BP_SOTIEN,BP_THANG,K$2,BP_KM,$E95)/1000</f>
        <v>0</v>
      </c>
      <c r="L95" s="1091" t="str">
        <f t="shared" si="178"/>
        <v/>
      </c>
      <c r="M95" s="1091"/>
      <c r="N95" s="1088">
        <f>SUMIFS(BP_SOTIEN,BP_THANG,N$2,BP_KM,$E95)/1000</f>
        <v>0</v>
      </c>
      <c r="O95" s="1091" t="str">
        <f t="shared" si="179"/>
        <v/>
      </c>
      <c r="P95" s="1091"/>
      <c r="Q95" s="1088">
        <f t="shared" si="210"/>
        <v>0</v>
      </c>
      <c r="R95" s="1091" t="str">
        <f t="shared" si="180"/>
        <v/>
      </c>
      <c r="S95" s="1091">
        <f t="shared" ref="S95:S96" si="231">IFERROR(Q95/Q$68,"")</f>
        <v>0</v>
      </c>
      <c r="T95" s="1088">
        <f>SUMIFS(BP_SOTIEN,BP_THANG,T$2,BP_KM,$E95)/1000</f>
        <v>0</v>
      </c>
      <c r="U95" s="1091" t="str">
        <f t="shared" si="181"/>
        <v/>
      </c>
      <c r="V95" s="1091"/>
      <c r="W95" s="1088">
        <f>SUMIFS(BP_SOTIEN,BP_THANG,W$2,BP_KM,$E95)/1000</f>
        <v>0</v>
      </c>
      <c r="X95" s="1091" t="str">
        <f t="shared" si="182"/>
        <v/>
      </c>
      <c r="Y95" s="1091"/>
      <c r="Z95" s="1088">
        <f>SUMIFS(BP_SOTIEN,BP_THANG,Z$2,BP_KM,$E95)/1000</f>
        <v>0</v>
      </c>
      <c r="AA95" s="1091" t="str">
        <f t="shared" si="183"/>
        <v/>
      </c>
      <c r="AB95" s="1091"/>
      <c r="AC95" s="1088">
        <f t="shared" si="211"/>
        <v>0</v>
      </c>
      <c r="AD95" s="1091" t="str">
        <f t="shared" si="184"/>
        <v/>
      </c>
      <c r="AE95" s="1091">
        <f t="shared" ref="AE95:AE96" si="232">IFERROR(AC95/AC$68,"")</f>
        <v>0</v>
      </c>
      <c r="AF95" s="1088">
        <f t="shared" si="212"/>
        <v>0</v>
      </c>
      <c r="AG95" s="1091" t="str">
        <f t="shared" si="185"/>
        <v/>
      </c>
      <c r="AH95" s="1091">
        <f t="shared" ref="AH95:AH96" si="233">IFERROR(AF95/AF$68,"")</f>
        <v>0</v>
      </c>
      <c r="AI95" s="1088">
        <f>SUMIFS(BP_SOTIEN,BP_THANG,AI$2,BP_KM,$E95)/1000</f>
        <v>0</v>
      </c>
      <c r="AJ95" s="1091" t="str">
        <f t="shared" si="186"/>
        <v/>
      </c>
      <c r="AK95" s="1091"/>
      <c r="AL95" s="1088">
        <f>SUMIFS(BP_SOTIEN,BP_THANG,AL$2,BP_KM,$E95)/1000</f>
        <v>0</v>
      </c>
      <c r="AM95" s="1091" t="str">
        <f t="shared" si="187"/>
        <v/>
      </c>
      <c r="AN95" s="1091"/>
      <c r="AO95" s="1091" t="str">
        <f t="shared" si="27"/>
        <v/>
      </c>
      <c r="AP95" s="1088">
        <f>SUMIFS(BP_SOTIEN,BP_THANG,AP$2,BP_KM,$E95)/1000</f>
        <v>0</v>
      </c>
      <c r="AQ95" s="1091" t="str">
        <f t="shared" si="188"/>
        <v/>
      </c>
      <c r="AR95" s="1091"/>
      <c r="AS95" s="1088">
        <f t="shared" si="213"/>
        <v>0</v>
      </c>
      <c r="AT95" s="1091" t="str">
        <f t="shared" si="189"/>
        <v/>
      </c>
      <c r="AU95" s="1091">
        <f t="shared" ref="AU95:AU96" si="234">IFERROR(AS95/AS$68,"")</f>
        <v>0</v>
      </c>
      <c r="AV95" s="1088">
        <f>SUMIFS(BP_SOTIEN,BP_THANG,AV$2,BP_KM,$E95)/1000</f>
        <v>0</v>
      </c>
      <c r="AW95" s="1091" t="str">
        <f t="shared" si="190"/>
        <v/>
      </c>
      <c r="AX95" s="1091"/>
      <c r="AY95" s="1088">
        <f>SUMIFS(BP_SOTIEN,BP_THANG,AY$2,BP_KM,$E95)/1000</f>
        <v>0</v>
      </c>
      <c r="AZ95" s="1091" t="str">
        <f t="shared" si="191"/>
        <v/>
      </c>
      <c r="BA95" s="1091"/>
      <c r="BB95" s="1088">
        <f>SUMIFS(BP_SOTIEN,BP_THANG,BB$2,BP_KM,$E95)/1000</f>
        <v>0</v>
      </c>
      <c r="BC95" s="1091" t="str">
        <f t="shared" si="192"/>
        <v/>
      </c>
      <c r="BD95" s="1091"/>
      <c r="BE95" s="1088">
        <f t="shared" si="214"/>
        <v>0</v>
      </c>
      <c r="BF95" s="1091" t="str">
        <f t="shared" si="193"/>
        <v/>
      </c>
      <c r="BG95" s="1091">
        <f t="shared" ref="BG95:BG96" si="235">IFERROR(BE95/BE$68,"")</f>
        <v>0</v>
      </c>
      <c r="BH95" s="1088">
        <f t="shared" si="215"/>
        <v>0</v>
      </c>
      <c r="BI95" s="1091" t="str">
        <f t="shared" si="194"/>
        <v/>
      </c>
      <c r="BJ95" s="1091">
        <f t="shared" ref="BJ95:BJ96" si="236">IFERROR(BH95/BH$68,"")</f>
        <v>0</v>
      </c>
      <c r="BK95" s="1088">
        <f t="shared" si="216"/>
        <v>0</v>
      </c>
      <c r="BL95" s="1091" t="str">
        <f t="shared" si="195"/>
        <v/>
      </c>
      <c r="BM95" s="1091">
        <f t="shared" ref="BM95:BM96" si="237">IFERROR(BK95/BK$68,"")</f>
        <v>0</v>
      </c>
    </row>
    <row r="96" hidden="1" outlineLevel="1">
      <c r="A96" s="737"/>
      <c r="B96" s="737"/>
      <c r="C96" s="737"/>
      <c r="D96" s="737" t="s">
        <v>2873</v>
      </c>
      <c r="E96" s="737" t="s">
        <v>382</v>
      </c>
      <c r="F96" s="1086">
        <v>642.0</v>
      </c>
      <c r="G96" s="1086">
        <v>2.0</v>
      </c>
      <c r="H96" s="1088">
        <f>SUMIFS(BP_SOTIEN,BP_THANG,H$2,BP_KM,$E96)/1000</f>
        <v>4165</v>
      </c>
      <c r="I96" s="1091" t="str">
        <f t="shared" si="177"/>
        <v/>
      </c>
      <c r="J96" s="1091"/>
      <c r="K96" s="1088">
        <f>SUMIFS(BP_SOTIEN,BP_THANG,K$2,BP_KM,$E96)/1000</f>
        <v>4165</v>
      </c>
      <c r="L96" s="1091" t="str">
        <f t="shared" si="178"/>
        <v/>
      </c>
      <c r="M96" s="1091"/>
      <c r="N96" s="1088">
        <f>SUMIFS(BP_SOTIEN,BP_THANG,N$2,BP_KM,$E96)/1000</f>
        <v>4165</v>
      </c>
      <c r="O96" s="1091" t="str">
        <f t="shared" si="179"/>
        <v/>
      </c>
      <c r="P96" s="1091"/>
      <c r="Q96" s="1088">
        <f t="shared" si="210"/>
        <v>4165</v>
      </c>
      <c r="R96" s="1091" t="str">
        <f t="shared" si="180"/>
        <v/>
      </c>
      <c r="S96" s="1091">
        <f t="shared" si="231"/>
        <v>0.01045972566</v>
      </c>
      <c r="T96" s="1088">
        <f>SUMIFS(BP_SOTIEN,BP_THANG,T$2,BP_KM,$E96)/1000</f>
        <v>4165</v>
      </c>
      <c r="U96" s="1091" t="str">
        <f t="shared" si="181"/>
        <v/>
      </c>
      <c r="V96" s="1091"/>
      <c r="W96" s="1088">
        <f>SUMIFS(BP_SOTIEN,BP_THANG,W$2,BP_KM,$E96)/1000</f>
        <v>0</v>
      </c>
      <c r="X96" s="1091" t="str">
        <f t="shared" si="182"/>
        <v/>
      </c>
      <c r="Y96" s="1091"/>
      <c r="Z96" s="1088">
        <f>SUMIFS(BP_SOTIEN,BP_THANG,Z$2,BP_KM,$E96)/1000</f>
        <v>0</v>
      </c>
      <c r="AA96" s="1091" t="str">
        <f t="shared" si="183"/>
        <v/>
      </c>
      <c r="AB96" s="1091"/>
      <c r="AC96" s="1088">
        <f t="shared" si="211"/>
        <v>4165</v>
      </c>
      <c r="AD96" s="1091" t="str">
        <f t="shared" si="184"/>
        <v/>
      </c>
      <c r="AE96" s="1091">
        <f t="shared" si="232"/>
        <v>0.01053912762</v>
      </c>
      <c r="AF96" s="1088">
        <f t="shared" si="212"/>
        <v>8330</v>
      </c>
      <c r="AG96" s="1091" t="str">
        <f t="shared" si="185"/>
        <v/>
      </c>
      <c r="AH96" s="1091">
        <f t="shared" si="233"/>
        <v>0.01049927652</v>
      </c>
      <c r="AI96" s="1088">
        <f>SUMIFS(BP_SOTIEN,BP_THANG,AI$2,BP_KM,$E96)/1000</f>
        <v>0</v>
      </c>
      <c r="AJ96" s="1091" t="str">
        <f t="shared" si="186"/>
        <v/>
      </c>
      <c r="AK96" s="1091"/>
      <c r="AL96" s="1088">
        <f>SUMIFS(BP_SOTIEN,BP_THANG,AL$2,BP_KM,$E96)/1000</f>
        <v>0</v>
      </c>
      <c r="AM96" s="1091" t="str">
        <f t="shared" si="187"/>
        <v/>
      </c>
      <c r="AN96" s="1091"/>
      <c r="AO96" s="1091" t="str">
        <f t="shared" si="27"/>
        <v/>
      </c>
      <c r="AP96" s="1088">
        <f>SUMIFS(BP_SOTIEN,BP_THANG,AP$2,BP_KM,$E96)/1000</f>
        <v>0</v>
      </c>
      <c r="AQ96" s="1091" t="str">
        <f t="shared" si="188"/>
        <v/>
      </c>
      <c r="AR96" s="1091"/>
      <c r="AS96" s="1088">
        <f t="shared" si="213"/>
        <v>0</v>
      </c>
      <c r="AT96" s="1091" t="str">
        <f t="shared" si="189"/>
        <v/>
      </c>
      <c r="AU96" s="1091">
        <f t="shared" si="234"/>
        <v>0</v>
      </c>
      <c r="AV96" s="1088">
        <f>SUMIFS(BP_SOTIEN,BP_THANG,AV$2,BP_KM,$E96)/1000</f>
        <v>0</v>
      </c>
      <c r="AW96" s="1091" t="str">
        <f t="shared" si="190"/>
        <v/>
      </c>
      <c r="AX96" s="1091"/>
      <c r="AY96" s="1088">
        <f>SUMIFS(BP_SOTIEN,BP_THANG,AY$2,BP_KM,$E96)/1000</f>
        <v>0</v>
      </c>
      <c r="AZ96" s="1091" t="str">
        <f t="shared" si="191"/>
        <v/>
      </c>
      <c r="BA96" s="1091"/>
      <c r="BB96" s="1088">
        <f>SUMIFS(BP_SOTIEN,BP_THANG,BB$2,BP_KM,$E96)/1000</f>
        <v>0</v>
      </c>
      <c r="BC96" s="1091" t="str">
        <f t="shared" si="192"/>
        <v/>
      </c>
      <c r="BD96" s="1091"/>
      <c r="BE96" s="1088">
        <f t="shared" si="214"/>
        <v>0</v>
      </c>
      <c r="BF96" s="1091" t="str">
        <f t="shared" si="193"/>
        <v/>
      </c>
      <c r="BG96" s="1091">
        <f t="shared" si="235"/>
        <v>0</v>
      </c>
      <c r="BH96" s="1088">
        <f t="shared" si="215"/>
        <v>0</v>
      </c>
      <c r="BI96" s="1091" t="str">
        <f t="shared" si="194"/>
        <v/>
      </c>
      <c r="BJ96" s="1091">
        <f t="shared" si="236"/>
        <v>0</v>
      </c>
      <c r="BK96" s="1088">
        <f t="shared" si="216"/>
        <v>8330</v>
      </c>
      <c r="BL96" s="1091" t="str">
        <f t="shared" si="195"/>
        <v/>
      </c>
      <c r="BM96" s="1091">
        <f t="shared" si="237"/>
        <v>0.005287391634</v>
      </c>
    </row>
    <row r="97">
      <c r="A97" s="1149" t="s">
        <v>2874</v>
      </c>
      <c r="B97" s="1150"/>
      <c r="C97" s="1150"/>
      <c r="D97" s="1150"/>
      <c r="E97" s="1150"/>
      <c r="F97" s="1150"/>
      <c r="G97" s="1150"/>
      <c r="H97" s="1151">
        <f>H68+H50+H49</f>
        <v>451364</v>
      </c>
      <c r="I97" s="1152" t="str">
        <f t="shared" si="177"/>
        <v/>
      </c>
      <c r="J97" s="3"/>
      <c r="K97" s="1151">
        <f>K68+K50+K49</f>
        <v>448364</v>
      </c>
      <c r="L97" s="1152" t="str">
        <f t="shared" si="178"/>
        <v/>
      </c>
      <c r="M97" s="3"/>
      <c r="N97" s="1151">
        <f>N68+N50+N49</f>
        <v>448364</v>
      </c>
      <c r="O97" s="1152" t="str">
        <f t="shared" si="179"/>
        <v/>
      </c>
      <c r="P97" s="3"/>
      <c r="Q97" s="1151">
        <f t="shared" si="210"/>
        <v>451364</v>
      </c>
      <c r="R97" s="1152" t="str">
        <f t="shared" si="180"/>
        <v/>
      </c>
      <c r="S97" s="3"/>
      <c r="T97" s="1151">
        <f>T68+T50+T49</f>
        <v>8105364</v>
      </c>
      <c r="U97" s="1152" t="str">
        <f t="shared" si="181"/>
        <v/>
      </c>
      <c r="V97" s="3"/>
      <c r="W97" s="1151">
        <f>W68+W50+W49</f>
        <v>8101199</v>
      </c>
      <c r="X97" s="1152" t="str">
        <f t="shared" si="182"/>
        <v/>
      </c>
      <c r="Y97" s="3"/>
      <c r="Z97" s="1151">
        <f>Z68+Z50+Z49</f>
        <v>8101199</v>
      </c>
      <c r="AA97" s="1152" t="str">
        <f t="shared" si="183"/>
        <v/>
      </c>
      <c r="AB97" s="3"/>
      <c r="AC97" s="1151">
        <f t="shared" si="211"/>
        <v>8105364</v>
      </c>
      <c r="AD97" s="1152" t="str">
        <f t="shared" si="184"/>
        <v/>
      </c>
      <c r="AE97" s="3"/>
      <c r="AF97" s="1151">
        <f t="shared" si="212"/>
        <v>8556728</v>
      </c>
      <c r="AG97" s="1152" t="str">
        <f t="shared" si="185"/>
        <v/>
      </c>
      <c r="AH97" s="3"/>
      <c r="AI97" s="1151">
        <f>AI68+AI50+AI49</f>
        <v>8101199</v>
      </c>
      <c r="AJ97" s="1152" t="str">
        <f t="shared" si="186"/>
        <v/>
      </c>
      <c r="AK97" s="3"/>
      <c r="AL97" s="1151">
        <f>AL68+AL50+AL49</f>
        <v>8101199</v>
      </c>
      <c r="AM97" s="1152" t="str">
        <f t="shared" si="187"/>
        <v/>
      </c>
      <c r="AN97" s="3"/>
      <c r="AO97" s="1154" t="str">
        <f t="shared" si="27"/>
        <v/>
      </c>
      <c r="AP97" s="1151">
        <f>AP68+AP50+AP49</f>
        <v>8101199</v>
      </c>
      <c r="AQ97" s="1152" t="str">
        <f t="shared" si="188"/>
        <v/>
      </c>
      <c r="AR97" s="3"/>
      <c r="AS97" s="1151">
        <f t="shared" si="213"/>
        <v>8101199</v>
      </c>
      <c r="AT97" s="1152" t="str">
        <f t="shared" si="189"/>
        <v/>
      </c>
      <c r="AU97" s="3"/>
      <c r="AV97" s="1151">
        <f>AV68+AV50+AV49</f>
        <v>8101199</v>
      </c>
      <c r="AW97" s="1152" t="str">
        <f t="shared" si="190"/>
        <v/>
      </c>
      <c r="AX97" s="3"/>
      <c r="AY97" s="1151">
        <f>AY68+AY50+AY49</f>
        <v>8101199</v>
      </c>
      <c r="AZ97" s="1152" t="str">
        <f t="shared" si="191"/>
        <v/>
      </c>
      <c r="BA97" s="3"/>
      <c r="BB97" s="1151">
        <f>BB68+BB50+BB49</f>
        <v>8101199</v>
      </c>
      <c r="BC97" s="1152" t="str">
        <f t="shared" si="192"/>
        <v/>
      </c>
      <c r="BD97" s="3"/>
      <c r="BE97" s="1151">
        <f t="shared" si="214"/>
        <v>8101199</v>
      </c>
      <c r="BF97" s="1152" t="str">
        <f t="shared" si="193"/>
        <v/>
      </c>
      <c r="BG97" s="3"/>
      <c r="BH97" s="1151">
        <f t="shared" si="215"/>
        <v>16202398</v>
      </c>
      <c r="BI97" s="1152" t="str">
        <f t="shared" si="194"/>
        <v/>
      </c>
      <c r="BJ97" s="3"/>
      <c r="BK97" s="1151">
        <f t="shared" si="216"/>
        <v>24759126</v>
      </c>
      <c r="BL97" s="1152" t="str">
        <f t="shared" si="195"/>
        <v/>
      </c>
      <c r="BM97" s="3"/>
    </row>
    <row r="98">
      <c r="A98" s="1155" t="s">
        <v>2875</v>
      </c>
      <c r="B98" s="1156"/>
      <c r="C98" s="1156"/>
      <c r="D98" s="1156"/>
      <c r="E98" s="1156"/>
      <c r="F98" s="1156"/>
      <c r="G98" s="1157">
        <v>1.0</v>
      </c>
      <c r="H98" s="1158">
        <f>H33+H48-H97</f>
        <v>-451364</v>
      </c>
      <c r="I98" s="1159" t="str">
        <f t="shared" si="177"/>
        <v/>
      </c>
      <c r="J98" s="3"/>
      <c r="K98" s="1158">
        <f>K33+K48-K97</f>
        <v>-448364</v>
      </c>
      <c r="L98" s="1159" t="str">
        <f t="shared" si="178"/>
        <v/>
      </c>
      <c r="M98" s="3"/>
      <c r="N98" s="1158">
        <f>N33+N48-N97</f>
        <v>-448364</v>
      </c>
      <c r="O98" s="1159" t="str">
        <f t="shared" si="179"/>
        <v/>
      </c>
      <c r="P98" s="3"/>
      <c r="Q98" s="1158">
        <f t="shared" si="210"/>
        <v>-451364</v>
      </c>
      <c r="R98" s="1159" t="str">
        <f t="shared" si="180"/>
        <v/>
      </c>
      <c r="S98" s="3"/>
      <c r="T98" s="1158">
        <f>T33+T48-T97</f>
        <v>-4105364</v>
      </c>
      <c r="U98" s="1159" t="str">
        <f t="shared" si="181"/>
        <v/>
      </c>
      <c r="V98" s="3"/>
      <c r="W98" s="1158">
        <f>W33+W48-W97</f>
        <v>-4101199</v>
      </c>
      <c r="X98" s="1159" t="str">
        <f t="shared" si="182"/>
        <v/>
      </c>
      <c r="Y98" s="3"/>
      <c r="Z98" s="1158">
        <f>Z33+Z48-Z97</f>
        <v>-4101199</v>
      </c>
      <c r="AA98" s="1159" t="str">
        <f t="shared" si="183"/>
        <v/>
      </c>
      <c r="AB98" s="3"/>
      <c r="AC98" s="1158">
        <f t="shared" si="211"/>
        <v>-4105364</v>
      </c>
      <c r="AD98" s="1159" t="str">
        <f t="shared" si="184"/>
        <v/>
      </c>
      <c r="AE98" s="3"/>
      <c r="AF98" s="1158">
        <f t="shared" si="212"/>
        <v>-4556728</v>
      </c>
      <c r="AG98" s="1159" t="str">
        <f t="shared" si="185"/>
        <v/>
      </c>
      <c r="AH98" s="3"/>
      <c r="AI98" s="1158">
        <f>AI33+AI48-AI97</f>
        <v>-4101199</v>
      </c>
      <c r="AJ98" s="1159" t="str">
        <f t="shared" si="186"/>
        <v/>
      </c>
      <c r="AK98" s="3"/>
      <c r="AL98" s="1158">
        <f>AL33+AL48-AL97</f>
        <v>-4101199</v>
      </c>
      <c r="AM98" s="1159" t="str">
        <f t="shared" si="187"/>
        <v/>
      </c>
      <c r="AN98" s="3"/>
      <c r="AO98" s="1162" t="str">
        <f t="shared" si="27"/>
        <v/>
      </c>
      <c r="AP98" s="1158">
        <f>AP33+AP48-AP97</f>
        <v>-4101199</v>
      </c>
      <c r="AQ98" s="1159" t="str">
        <f t="shared" si="188"/>
        <v/>
      </c>
      <c r="AR98" s="3"/>
      <c r="AS98" s="1158">
        <f t="shared" si="213"/>
        <v>-4101199</v>
      </c>
      <c r="AT98" s="1159" t="str">
        <f t="shared" si="189"/>
        <v/>
      </c>
      <c r="AU98" s="3"/>
      <c r="AV98" s="1158">
        <f>AV33+AV48-AV97</f>
        <v>-4101199</v>
      </c>
      <c r="AW98" s="1159" t="str">
        <f t="shared" si="190"/>
        <v/>
      </c>
      <c r="AX98" s="3"/>
      <c r="AY98" s="1158">
        <f>AY33+AY48-AY97</f>
        <v>-4101199</v>
      </c>
      <c r="AZ98" s="1159" t="str">
        <f t="shared" si="191"/>
        <v/>
      </c>
      <c r="BA98" s="3"/>
      <c r="BB98" s="1158">
        <f>BB33+BB48-BB97</f>
        <v>-4101199</v>
      </c>
      <c r="BC98" s="1159" t="str">
        <f t="shared" si="192"/>
        <v/>
      </c>
      <c r="BD98" s="3"/>
      <c r="BE98" s="1158">
        <f t="shared" si="214"/>
        <v>-4101199</v>
      </c>
      <c r="BF98" s="1159" t="str">
        <f t="shared" si="193"/>
        <v/>
      </c>
      <c r="BG98" s="3"/>
      <c r="BH98" s="1158">
        <f t="shared" si="215"/>
        <v>-8202398</v>
      </c>
      <c r="BI98" s="1159" t="str">
        <f t="shared" si="194"/>
        <v/>
      </c>
      <c r="BJ98" s="3"/>
      <c r="BK98" s="1158">
        <f t="shared" si="216"/>
        <v>-12759126</v>
      </c>
      <c r="BL98" s="1159" t="str">
        <f t="shared" si="195"/>
        <v/>
      </c>
      <c r="BM98" s="3"/>
    </row>
    <row r="99">
      <c r="A99" s="1135"/>
      <c r="B99" s="1135"/>
      <c r="C99" s="1135"/>
      <c r="D99" s="1135" t="s">
        <v>2876</v>
      </c>
      <c r="E99" s="1135" t="s">
        <v>2877</v>
      </c>
      <c r="F99" s="1136">
        <v>711.0</v>
      </c>
      <c r="G99" s="1136">
        <v>2.0</v>
      </c>
      <c r="H99" s="1137">
        <f>SUMIFS(BP_SOTIEN,BP_THANG,H$2,BP_KM,$E99)/1000</f>
        <v>0</v>
      </c>
      <c r="I99" s="1138" t="str">
        <f t="shared" si="177"/>
        <v/>
      </c>
      <c r="J99" s="3"/>
      <c r="K99" s="1137">
        <f>SUMIFS(BP_SOTIEN,BP_THANG,K$2,BP_KM,$E99)/1000</f>
        <v>0</v>
      </c>
      <c r="L99" s="1138" t="str">
        <f t="shared" si="178"/>
        <v/>
      </c>
      <c r="M99" s="3"/>
      <c r="N99" s="1137">
        <f>SUMIFS(BP_SOTIEN,BP_THANG,N$2,BP_KM,$E99)/1000</f>
        <v>0</v>
      </c>
      <c r="O99" s="1138" t="str">
        <f t="shared" si="179"/>
        <v/>
      </c>
      <c r="P99" s="3"/>
      <c r="Q99" s="1137">
        <f t="shared" si="210"/>
        <v>0</v>
      </c>
      <c r="R99" s="1138" t="str">
        <f t="shared" si="180"/>
        <v/>
      </c>
      <c r="S99" s="3"/>
      <c r="T99" s="1137">
        <f>SUMIFS(BP_SOTIEN,BP_THANG,T$2,BP_KM,$E99)/1000</f>
        <v>0</v>
      </c>
      <c r="U99" s="1138" t="str">
        <f t="shared" si="181"/>
        <v/>
      </c>
      <c r="V99" s="3"/>
      <c r="W99" s="1137">
        <f>SUMIFS(BP_SOTIEN,BP_THANG,W$2,BP_KM,$E99)/1000</f>
        <v>0</v>
      </c>
      <c r="X99" s="1138" t="str">
        <f t="shared" si="182"/>
        <v/>
      </c>
      <c r="Y99" s="3"/>
      <c r="Z99" s="1137">
        <f>SUMIFS(BP_SOTIEN,BP_THANG,Z$2,BP_KM,$E99)/1000</f>
        <v>0</v>
      </c>
      <c r="AA99" s="1138" t="str">
        <f t="shared" si="183"/>
        <v/>
      </c>
      <c r="AB99" s="3"/>
      <c r="AC99" s="1137">
        <f t="shared" si="211"/>
        <v>0</v>
      </c>
      <c r="AD99" s="1138" t="str">
        <f t="shared" si="184"/>
        <v/>
      </c>
      <c r="AE99" s="3"/>
      <c r="AF99" s="1137">
        <f t="shared" si="212"/>
        <v>0</v>
      </c>
      <c r="AG99" s="1138" t="str">
        <f t="shared" si="185"/>
        <v/>
      </c>
      <c r="AH99" s="3"/>
      <c r="AI99" s="1137">
        <f>SUMIFS(BP_SOTIEN,BP_THANG,AI$2,BP_KM,$E99)/1000</f>
        <v>0</v>
      </c>
      <c r="AJ99" s="1138" t="str">
        <f t="shared" si="186"/>
        <v/>
      </c>
      <c r="AK99" s="3"/>
      <c r="AL99" s="1137">
        <f>SUMIFS(BP_SOTIEN,BP_THANG,AL$2,BP_KM,$E99)/1000</f>
        <v>0</v>
      </c>
      <c r="AM99" s="1138" t="str">
        <f t="shared" si="187"/>
        <v/>
      </c>
      <c r="AN99" s="3"/>
      <c r="AO99" s="1140" t="str">
        <f t="shared" si="27"/>
        <v/>
      </c>
      <c r="AP99" s="1137">
        <f>SUMIFS(BP_SOTIEN,BP_THANG,AP$2,BP_KM,$E99)/1000</f>
        <v>0</v>
      </c>
      <c r="AQ99" s="1138" t="str">
        <f t="shared" si="188"/>
        <v/>
      </c>
      <c r="AR99" s="3"/>
      <c r="AS99" s="1137">
        <f t="shared" si="213"/>
        <v>0</v>
      </c>
      <c r="AT99" s="1138" t="str">
        <f t="shared" si="189"/>
        <v/>
      </c>
      <c r="AU99" s="3"/>
      <c r="AV99" s="1137">
        <f>SUMIFS(BP_SOTIEN,BP_THANG,AV$2,BP_KM,$E99)/1000</f>
        <v>0</v>
      </c>
      <c r="AW99" s="1138" t="str">
        <f t="shared" si="190"/>
        <v/>
      </c>
      <c r="AX99" s="3"/>
      <c r="AY99" s="1137">
        <f>SUMIFS(BP_SOTIEN,BP_THANG,AY$2,BP_KM,$E99)/1000</f>
        <v>0</v>
      </c>
      <c r="AZ99" s="1138" t="str">
        <f t="shared" si="191"/>
        <v/>
      </c>
      <c r="BA99" s="3"/>
      <c r="BB99" s="1137">
        <f>SUMIFS(BP_SOTIEN,BP_THANG,BB$2,BP_KM,$E99)/1000</f>
        <v>0</v>
      </c>
      <c r="BC99" s="1138" t="str">
        <f t="shared" si="192"/>
        <v/>
      </c>
      <c r="BD99" s="3"/>
      <c r="BE99" s="1137">
        <f t="shared" si="214"/>
        <v>0</v>
      </c>
      <c r="BF99" s="1138" t="str">
        <f t="shared" si="193"/>
        <v/>
      </c>
      <c r="BG99" s="3"/>
      <c r="BH99" s="1137">
        <f t="shared" si="215"/>
        <v>0</v>
      </c>
      <c r="BI99" s="1138" t="str">
        <f t="shared" si="194"/>
        <v/>
      </c>
      <c r="BJ99" s="3"/>
      <c r="BK99" s="1137">
        <f t="shared" si="216"/>
        <v>0</v>
      </c>
      <c r="BL99" s="1138" t="str">
        <f t="shared" si="195"/>
        <v/>
      </c>
      <c r="BM99" s="3"/>
    </row>
    <row r="100">
      <c r="A100" s="1108"/>
      <c r="B100" s="1108"/>
      <c r="C100" s="1108"/>
      <c r="D100" s="1108" t="s">
        <v>2090</v>
      </c>
      <c r="E100" s="1108" t="s">
        <v>380</v>
      </c>
      <c r="F100" s="1141">
        <v>811.0</v>
      </c>
      <c r="G100" s="1141">
        <v>2.0</v>
      </c>
      <c r="H100" s="1110">
        <f>SUMIFS(BP_SOTIEN,BP_THANG,H$2,BP_KM,$E100)/1000</f>
        <v>0</v>
      </c>
      <c r="I100" s="1111" t="str">
        <f t="shared" si="177"/>
        <v/>
      </c>
      <c r="J100" s="3"/>
      <c r="K100" s="1110">
        <f>SUMIFS(BP_SOTIEN,BP_THANG,K$2,BP_KM,$E100)/1000</f>
        <v>0</v>
      </c>
      <c r="L100" s="1111" t="str">
        <f t="shared" si="178"/>
        <v/>
      </c>
      <c r="M100" s="3"/>
      <c r="N100" s="1110">
        <f>SUMIFS(BP_SOTIEN,BP_THANG,N$2,BP_KM,$E100)/1000</f>
        <v>0</v>
      </c>
      <c r="O100" s="1111" t="str">
        <f t="shared" si="179"/>
        <v/>
      </c>
      <c r="P100" s="3"/>
      <c r="Q100" s="1110">
        <f t="shared" si="210"/>
        <v>0</v>
      </c>
      <c r="R100" s="1111" t="str">
        <f t="shared" si="180"/>
        <v/>
      </c>
      <c r="S100" s="3"/>
      <c r="T100" s="1110">
        <f>SUMIFS(BP_SOTIEN,BP_THANG,T$2,BP_KM,$E100)/1000</f>
        <v>0</v>
      </c>
      <c r="U100" s="1111" t="str">
        <f t="shared" si="181"/>
        <v/>
      </c>
      <c r="V100" s="3"/>
      <c r="W100" s="1110">
        <f>SUMIFS(BP_SOTIEN,BP_THANG,W$2,BP_KM,$E100)/1000</f>
        <v>4165</v>
      </c>
      <c r="X100" s="1111" t="str">
        <f t="shared" si="182"/>
        <v/>
      </c>
      <c r="Y100" s="3"/>
      <c r="Z100" s="1110">
        <f>SUMIFS(BP_SOTIEN,BP_THANG,Z$2,BP_KM,$E100)/1000</f>
        <v>4165</v>
      </c>
      <c r="AA100" s="1111" t="str">
        <f t="shared" si="183"/>
        <v/>
      </c>
      <c r="AB100" s="3"/>
      <c r="AC100" s="1110">
        <f t="shared" si="211"/>
        <v>0</v>
      </c>
      <c r="AD100" s="1111" t="str">
        <f t="shared" si="184"/>
        <v/>
      </c>
      <c r="AE100" s="3"/>
      <c r="AF100" s="1110">
        <f t="shared" si="212"/>
        <v>0</v>
      </c>
      <c r="AG100" s="1111" t="str">
        <f t="shared" si="185"/>
        <v/>
      </c>
      <c r="AH100" s="3"/>
      <c r="AI100" s="1110">
        <f>SUMIFS(BP_SOTIEN,BP_THANG,AI$2,BP_KM,$E100)/1000</f>
        <v>4165</v>
      </c>
      <c r="AJ100" s="1111" t="str">
        <f t="shared" si="186"/>
        <v/>
      </c>
      <c r="AK100" s="3"/>
      <c r="AL100" s="1110">
        <f>SUMIFS(BP_SOTIEN,BP_THANG,AL$2,BP_KM,$E100)/1000</f>
        <v>4165</v>
      </c>
      <c r="AM100" s="1111" t="str">
        <f t="shared" si="187"/>
        <v/>
      </c>
      <c r="AN100" s="3"/>
      <c r="AO100" s="1144" t="str">
        <f t="shared" si="27"/>
        <v/>
      </c>
      <c r="AP100" s="1110">
        <f>SUMIFS(BP_SOTIEN,BP_THANG,AP$2,BP_KM,$E100)/1000</f>
        <v>4165</v>
      </c>
      <c r="AQ100" s="1111" t="str">
        <f t="shared" si="188"/>
        <v/>
      </c>
      <c r="AR100" s="3"/>
      <c r="AS100" s="1110">
        <f t="shared" si="213"/>
        <v>4165</v>
      </c>
      <c r="AT100" s="1111" t="str">
        <f t="shared" si="189"/>
        <v/>
      </c>
      <c r="AU100" s="3"/>
      <c r="AV100" s="1110">
        <f>SUMIFS(BP_SOTIEN,BP_THANG,AV$2,BP_KM,$E100)/1000</f>
        <v>4165</v>
      </c>
      <c r="AW100" s="1111" t="str">
        <f t="shared" si="190"/>
        <v/>
      </c>
      <c r="AX100" s="3"/>
      <c r="AY100" s="1110">
        <f>SUMIFS(BP_SOTIEN,BP_THANG,AY$2,BP_KM,$E100)/1000</f>
        <v>4165</v>
      </c>
      <c r="AZ100" s="1111" t="str">
        <f t="shared" si="191"/>
        <v/>
      </c>
      <c r="BA100" s="3"/>
      <c r="BB100" s="1110">
        <f>SUMIFS(BP_SOTIEN,BP_THANG,BB$2,BP_KM,$E100)/1000</f>
        <v>4165</v>
      </c>
      <c r="BC100" s="1111" t="str">
        <f t="shared" si="192"/>
        <v/>
      </c>
      <c r="BD100" s="3"/>
      <c r="BE100" s="1110">
        <f t="shared" si="214"/>
        <v>4165</v>
      </c>
      <c r="BF100" s="1111" t="str">
        <f t="shared" si="193"/>
        <v/>
      </c>
      <c r="BG100" s="3"/>
      <c r="BH100" s="1110">
        <f t="shared" si="215"/>
        <v>8330</v>
      </c>
      <c r="BI100" s="1111" t="str">
        <f t="shared" si="194"/>
        <v/>
      </c>
      <c r="BJ100" s="3"/>
      <c r="BK100" s="1110">
        <f t="shared" si="216"/>
        <v>8330</v>
      </c>
      <c r="BL100" s="1111" t="str">
        <f t="shared" si="195"/>
        <v/>
      </c>
      <c r="BM100" s="3"/>
    </row>
    <row r="101">
      <c r="A101" s="1156"/>
      <c r="B101" s="1156"/>
      <c r="C101" s="1156"/>
      <c r="D101" s="1156" t="s">
        <v>2878</v>
      </c>
      <c r="E101" s="1156"/>
      <c r="F101" s="1156"/>
      <c r="G101" s="1156"/>
      <c r="H101" s="1158">
        <f>H99-H100</f>
        <v>0</v>
      </c>
      <c r="I101" s="1159" t="str">
        <f t="shared" si="177"/>
        <v/>
      </c>
      <c r="J101" s="3"/>
      <c r="K101" s="1158">
        <f>K99-K100</f>
        <v>0</v>
      </c>
      <c r="L101" s="1159" t="str">
        <f t="shared" si="178"/>
        <v/>
      </c>
      <c r="M101" s="3"/>
      <c r="N101" s="1158">
        <f>N99-N100</f>
        <v>0</v>
      </c>
      <c r="O101" s="1159" t="str">
        <f t="shared" si="179"/>
        <v/>
      </c>
      <c r="P101" s="3"/>
      <c r="Q101" s="1158">
        <f t="shared" si="210"/>
        <v>0</v>
      </c>
      <c r="R101" s="1159" t="str">
        <f t="shared" si="180"/>
        <v/>
      </c>
      <c r="S101" s="3"/>
      <c r="T101" s="1158">
        <f>T99-T100</f>
        <v>0</v>
      </c>
      <c r="U101" s="1159" t="str">
        <f t="shared" si="181"/>
        <v/>
      </c>
      <c r="V101" s="3"/>
      <c r="W101" s="1158">
        <f>W99-W100</f>
        <v>-4165</v>
      </c>
      <c r="X101" s="1159" t="str">
        <f t="shared" si="182"/>
        <v/>
      </c>
      <c r="Y101" s="3"/>
      <c r="Z101" s="1158">
        <f>Z99-Z100</f>
        <v>-4165</v>
      </c>
      <c r="AA101" s="1159" t="str">
        <f t="shared" si="183"/>
        <v/>
      </c>
      <c r="AB101" s="3"/>
      <c r="AC101" s="1158">
        <f t="shared" si="211"/>
        <v>0</v>
      </c>
      <c r="AD101" s="1159" t="str">
        <f t="shared" si="184"/>
        <v/>
      </c>
      <c r="AE101" s="3"/>
      <c r="AF101" s="1158">
        <f t="shared" si="212"/>
        <v>0</v>
      </c>
      <c r="AG101" s="1159" t="str">
        <f t="shared" si="185"/>
        <v/>
      </c>
      <c r="AH101" s="3"/>
      <c r="AI101" s="1158">
        <f>AI99-AI100</f>
        <v>-4165</v>
      </c>
      <c r="AJ101" s="1159" t="str">
        <f t="shared" si="186"/>
        <v/>
      </c>
      <c r="AK101" s="3"/>
      <c r="AL101" s="1158">
        <f>AL99-AL100</f>
        <v>-4165</v>
      </c>
      <c r="AM101" s="1159" t="str">
        <f t="shared" si="187"/>
        <v/>
      </c>
      <c r="AN101" s="3"/>
      <c r="AO101" s="1162" t="str">
        <f t="shared" si="27"/>
        <v/>
      </c>
      <c r="AP101" s="1158">
        <f>AP99-AP100</f>
        <v>-4165</v>
      </c>
      <c r="AQ101" s="1159" t="str">
        <f t="shared" si="188"/>
        <v/>
      </c>
      <c r="AR101" s="3"/>
      <c r="AS101" s="1158">
        <f t="shared" si="213"/>
        <v>-4165</v>
      </c>
      <c r="AT101" s="1159" t="str">
        <f t="shared" si="189"/>
        <v/>
      </c>
      <c r="AU101" s="3"/>
      <c r="AV101" s="1158">
        <f>AV99-AV100</f>
        <v>-4165</v>
      </c>
      <c r="AW101" s="1159" t="str">
        <f t="shared" si="190"/>
        <v/>
      </c>
      <c r="AX101" s="3"/>
      <c r="AY101" s="1158">
        <f>AY99-AY100</f>
        <v>-4165</v>
      </c>
      <c r="AZ101" s="1159" t="str">
        <f t="shared" si="191"/>
        <v/>
      </c>
      <c r="BA101" s="3"/>
      <c r="BB101" s="1158">
        <f>BB99-BB100</f>
        <v>-4165</v>
      </c>
      <c r="BC101" s="1159" t="str">
        <f t="shared" si="192"/>
        <v/>
      </c>
      <c r="BD101" s="3"/>
      <c r="BE101" s="1158">
        <f t="shared" si="214"/>
        <v>-4165</v>
      </c>
      <c r="BF101" s="1159" t="str">
        <f t="shared" si="193"/>
        <v/>
      </c>
      <c r="BG101" s="3"/>
      <c r="BH101" s="1158">
        <f t="shared" si="215"/>
        <v>-8330</v>
      </c>
      <c r="BI101" s="1159" t="str">
        <f t="shared" si="194"/>
        <v/>
      </c>
      <c r="BJ101" s="3"/>
      <c r="BK101" s="1158">
        <f t="shared" si="216"/>
        <v>-8330</v>
      </c>
      <c r="BL101" s="1159" t="str">
        <f t="shared" si="195"/>
        <v/>
      </c>
      <c r="BM101" s="3"/>
    </row>
    <row r="102">
      <c r="A102" s="1155" t="s">
        <v>2879</v>
      </c>
      <c r="B102" s="1156"/>
      <c r="C102" s="1156"/>
      <c r="D102" s="1156"/>
      <c r="E102" s="1156"/>
      <c r="F102" s="1156"/>
      <c r="G102" s="1156"/>
      <c r="H102" s="1158">
        <f>H98+H101</f>
        <v>-451364</v>
      </c>
      <c r="I102" s="1159" t="str">
        <f t="shared" si="177"/>
        <v/>
      </c>
      <c r="J102" s="3"/>
      <c r="K102" s="1158">
        <f>K98+K101</f>
        <v>-448364</v>
      </c>
      <c r="L102" s="1159" t="str">
        <f t="shared" si="178"/>
        <v/>
      </c>
      <c r="M102" s="3"/>
      <c r="N102" s="1158">
        <f>N98+N101</f>
        <v>-448364</v>
      </c>
      <c r="O102" s="1159" t="str">
        <f t="shared" si="179"/>
        <v/>
      </c>
      <c r="P102" s="3"/>
      <c r="Q102" s="1158">
        <f t="shared" si="210"/>
        <v>-451364</v>
      </c>
      <c r="R102" s="1159" t="str">
        <f t="shared" si="180"/>
        <v/>
      </c>
      <c r="S102" s="3"/>
      <c r="T102" s="1158">
        <f>T98+T101</f>
        <v>-4105364</v>
      </c>
      <c r="U102" s="1159" t="str">
        <f t="shared" si="181"/>
        <v/>
      </c>
      <c r="V102" s="3"/>
      <c r="W102" s="1158">
        <f>W98+W101</f>
        <v>-4105364</v>
      </c>
      <c r="X102" s="1159" t="str">
        <f t="shared" si="182"/>
        <v/>
      </c>
      <c r="Y102" s="3"/>
      <c r="Z102" s="1158">
        <f>Z98+Z101</f>
        <v>-4105364</v>
      </c>
      <c r="AA102" s="1159" t="str">
        <f t="shared" si="183"/>
        <v/>
      </c>
      <c r="AB102" s="3"/>
      <c r="AC102" s="1158">
        <f t="shared" si="211"/>
        <v>-4105364</v>
      </c>
      <c r="AD102" s="1159" t="str">
        <f t="shared" si="184"/>
        <v/>
      </c>
      <c r="AE102" s="3"/>
      <c r="AF102" s="1158">
        <f t="shared" si="212"/>
        <v>-4556728</v>
      </c>
      <c r="AG102" s="1159" t="str">
        <f t="shared" si="185"/>
        <v/>
      </c>
      <c r="AH102" s="3"/>
      <c r="AI102" s="1158">
        <f>AI98+AI101</f>
        <v>-4105364</v>
      </c>
      <c r="AJ102" s="1159" t="str">
        <f t="shared" si="186"/>
        <v/>
      </c>
      <c r="AK102" s="3"/>
      <c r="AL102" s="1158">
        <f>AL98+AL101</f>
        <v>-4105364</v>
      </c>
      <c r="AM102" s="1159" t="str">
        <f t="shared" si="187"/>
        <v/>
      </c>
      <c r="AN102" s="3"/>
      <c r="AO102" s="1162" t="str">
        <f t="shared" si="27"/>
        <v/>
      </c>
      <c r="AP102" s="1158">
        <f>AP98+AP101</f>
        <v>-4105364</v>
      </c>
      <c r="AQ102" s="1159" t="str">
        <f t="shared" si="188"/>
        <v/>
      </c>
      <c r="AR102" s="3"/>
      <c r="AS102" s="1158">
        <f t="shared" si="213"/>
        <v>-4105364</v>
      </c>
      <c r="AT102" s="1159" t="str">
        <f t="shared" si="189"/>
        <v/>
      </c>
      <c r="AU102" s="3"/>
      <c r="AV102" s="1158">
        <f>AV98+AV101</f>
        <v>-4105364</v>
      </c>
      <c r="AW102" s="1159" t="str">
        <f t="shared" si="190"/>
        <v/>
      </c>
      <c r="AX102" s="3"/>
      <c r="AY102" s="1158">
        <f>AY98+AY101</f>
        <v>-4105364</v>
      </c>
      <c r="AZ102" s="1159" t="str">
        <f t="shared" si="191"/>
        <v/>
      </c>
      <c r="BA102" s="3"/>
      <c r="BB102" s="1158">
        <f>BB98+BB101</f>
        <v>-4105364</v>
      </c>
      <c r="BC102" s="1159" t="str">
        <f t="shared" si="192"/>
        <v/>
      </c>
      <c r="BD102" s="3"/>
      <c r="BE102" s="1158">
        <f t="shared" si="214"/>
        <v>-4105364</v>
      </c>
      <c r="BF102" s="1159" t="str">
        <f t="shared" si="193"/>
        <v/>
      </c>
      <c r="BG102" s="3"/>
      <c r="BH102" s="1158">
        <f t="shared" si="215"/>
        <v>-8210728</v>
      </c>
      <c r="BI102" s="1159" t="str">
        <f t="shared" si="194"/>
        <v/>
      </c>
      <c r="BJ102" s="3"/>
      <c r="BK102" s="1158">
        <f t="shared" si="216"/>
        <v>-12767456</v>
      </c>
      <c r="BL102" s="1159" t="str">
        <f t="shared" si="195"/>
        <v/>
      </c>
      <c r="BM102" s="3"/>
    </row>
    <row r="103">
      <c r="A103" s="1107" t="s">
        <v>2880</v>
      </c>
      <c r="B103" s="1108"/>
      <c r="C103" s="1108"/>
      <c r="D103" s="1108"/>
      <c r="E103" s="1108" t="s">
        <v>2881</v>
      </c>
      <c r="F103" s="1108"/>
      <c r="G103" s="1141">
        <v>1.0</v>
      </c>
      <c r="H103" s="1110">
        <f>H102*0.14</f>
        <v>-63190.96</v>
      </c>
      <c r="I103" s="1111" t="str">
        <f t="shared" si="177"/>
        <v/>
      </c>
      <c r="J103" s="3"/>
      <c r="K103" s="1110" t="str">
        <f>IF(K102&gt;0,K102*0.14,"")</f>
        <v/>
      </c>
      <c r="L103" s="1111" t="str">
        <f t="shared" si="178"/>
        <v/>
      </c>
      <c r="M103" s="3"/>
      <c r="N103" s="1110" t="str">
        <f>IF(N102&gt;0,N102*0.14,"")</f>
        <v/>
      </c>
      <c r="O103" s="1111" t="str">
        <f t="shared" si="179"/>
        <v/>
      </c>
      <c r="P103" s="3"/>
      <c r="Q103" s="1110" t="str">
        <f>IF(Q102&gt;0,Q102*0.14,"")</f>
        <v/>
      </c>
      <c r="R103" s="1111" t="str">
        <f t="shared" si="180"/>
        <v/>
      </c>
      <c r="S103" s="3"/>
      <c r="T103" s="1110" t="str">
        <f>IF(T102&gt;0,T102*0.14,"")</f>
        <v/>
      </c>
      <c r="U103" s="1111" t="str">
        <f t="shared" si="181"/>
        <v/>
      </c>
      <c r="V103" s="3"/>
      <c r="W103" s="1110" t="str">
        <f>IF(W102&gt;0,W102*0.14,"")</f>
        <v/>
      </c>
      <c r="X103" s="1111" t="str">
        <f t="shared" si="182"/>
        <v/>
      </c>
      <c r="Y103" s="3"/>
      <c r="Z103" s="1110" t="str">
        <f>IF(Z102&gt;0,Z102*0.14,"")</f>
        <v/>
      </c>
      <c r="AA103" s="1111" t="str">
        <f t="shared" si="183"/>
        <v/>
      </c>
      <c r="AB103" s="3"/>
      <c r="AC103" s="1110" t="str">
        <f>IF(AC102&gt;0,AC102*0.14,"")</f>
        <v/>
      </c>
      <c r="AD103" s="1111" t="str">
        <f t="shared" si="184"/>
        <v/>
      </c>
      <c r="AE103" s="3"/>
      <c r="AF103" s="1110" t="str">
        <f>IF(AF102&gt;0,AF102*0.14,"")</f>
        <v/>
      </c>
      <c r="AG103" s="1111" t="str">
        <f t="shared" si="185"/>
        <v/>
      </c>
      <c r="AH103" s="3"/>
      <c r="AI103" s="1110" t="str">
        <f>IF(AI102&gt;0,AI102*0.14,"")</f>
        <v/>
      </c>
      <c r="AJ103" s="1111" t="str">
        <f t="shared" si="186"/>
        <v/>
      </c>
      <c r="AK103" s="3"/>
      <c r="AL103" s="1110" t="str">
        <f>IF(AL102&gt;0,AL102*0.14,"")</f>
        <v/>
      </c>
      <c r="AM103" s="1111" t="str">
        <f t="shared" si="187"/>
        <v/>
      </c>
      <c r="AN103" s="3"/>
      <c r="AO103" s="1112" t="str">
        <f t="shared" si="27"/>
        <v/>
      </c>
      <c r="AP103" s="1110" t="str">
        <f>IF(AP102&gt;0,AP102*0.14,"")</f>
        <v/>
      </c>
      <c r="AQ103" s="1111" t="str">
        <f t="shared" si="188"/>
        <v/>
      </c>
      <c r="AR103" s="3"/>
      <c r="AS103" s="1110">
        <f t="shared" si="213"/>
        <v>0</v>
      </c>
      <c r="AT103" s="1111" t="str">
        <f t="shared" si="189"/>
        <v/>
      </c>
      <c r="AU103" s="3"/>
      <c r="AV103" s="1110" t="str">
        <f>IF(AV102&gt;0,AV102*0.14,"")</f>
        <v/>
      </c>
      <c r="AW103" s="1111" t="str">
        <f t="shared" si="190"/>
        <v/>
      </c>
      <c r="AX103" s="3"/>
      <c r="AY103" s="1110" t="str">
        <f>IF(AY102&gt;0,AY102*0.14,"")</f>
        <v/>
      </c>
      <c r="AZ103" s="1111" t="str">
        <f t="shared" si="191"/>
        <v/>
      </c>
      <c r="BA103" s="3"/>
      <c r="BB103" s="1110" t="str">
        <f>IF(BB102&gt;0,BB102*0.14,"")</f>
        <v/>
      </c>
      <c r="BC103" s="1111" t="str">
        <f t="shared" si="192"/>
        <v/>
      </c>
      <c r="BD103" s="3"/>
      <c r="BE103" s="1110">
        <f t="shared" si="214"/>
        <v>0</v>
      </c>
      <c r="BF103" s="1111" t="str">
        <f t="shared" si="193"/>
        <v/>
      </c>
      <c r="BG103" s="3"/>
      <c r="BH103" s="1110">
        <f t="shared" si="215"/>
        <v>0</v>
      </c>
      <c r="BI103" s="1111" t="str">
        <f t="shared" si="194"/>
        <v/>
      </c>
      <c r="BJ103" s="3"/>
      <c r="BK103" s="1110">
        <f t="shared" si="216"/>
        <v>0</v>
      </c>
      <c r="BL103" s="1111" t="str">
        <f t="shared" si="195"/>
        <v/>
      </c>
      <c r="BM103" s="3"/>
    </row>
    <row r="104">
      <c r="A104" s="1155" t="s">
        <v>2882</v>
      </c>
      <c r="B104" s="1156"/>
      <c r="C104" s="1156"/>
      <c r="D104" s="1156"/>
      <c r="E104" s="1156"/>
      <c r="F104" s="1156"/>
      <c r="G104" s="1156"/>
      <c r="H104" s="1158">
        <f>H102-H103</f>
        <v>-388173.04</v>
      </c>
      <c r="I104" s="1159" t="str">
        <f t="shared" si="177"/>
        <v/>
      </c>
      <c r="J104" s="3"/>
      <c r="K104" s="1158">
        <f>K102-K103</f>
        <v>-448364</v>
      </c>
      <c r="L104" s="1159" t="str">
        <f t="shared" si="178"/>
        <v/>
      </c>
      <c r="M104" s="3"/>
      <c r="N104" s="1158">
        <f>N102-N103</f>
        <v>-448364</v>
      </c>
      <c r="O104" s="1159" t="str">
        <f t="shared" si="179"/>
        <v/>
      </c>
      <c r="P104" s="3"/>
      <c r="Q104" s="1158">
        <f t="shared" ref="Q104:Q105" si="238">SUMIF(#REF!,#REF!,H104:P104)</f>
        <v>-388173.04</v>
      </c>
      <c r="R104" s="1159" t="str">
        <f t="shared" si="180"/>
        <v/>
      </c>
      <c r="S104" s="3"/>
      <c r="T104" s="1158">
        <f>T102-T103</f>
        <v>-4105364</v>
      </c>
      <c r="U104" s="1159" t="str">
        <f t="shared" si="181"/>
        <v/>
      </c>
      <c r="V104" s="3"/>
      <c r="W104" s="1158">
        <f>W102-W103</f>
        <v>-4105364</v>
      </c>
      <c r="X104" s="1159" t="str">
        <f t="shared" si="182"/>
        <v/>
      </c>
      <c r="Y104" s="3"/>
      <c r="Z104" s="1158">
        <f>Z102-Z103</f>
        <v>-4105364</v>
      </c>
      <c r="AA104" s="1159" t="str">
        <f t="shared" si="183"/>
        <v/>
      </c>
      <c r="AB104" s="3"/>
      <c r="AC104" s="1158">
        <f t="shared" ref="AC104:AC105" si="239">SUMIF(#REF!,#REF!,T104:AB104)</f>
        <v>-4105364</v>
      </c>
      <c r="AD104" s="1159" t="str">
        <f t="shared" si="184"/>
        <v/>
      </c>
      <c r="AE104" s="3"/>
      <c r="AF104" s="1158">
        <f t="shared" ref="AF104:AF105" si="240">Q104+AC104</f>
        <v>-4493537.04</v>
      </c>
      <c r="AG104" s="1159" t="str">
        <f t="shared" si="185"/>
        <v/>
      </c>
      <c r="AH104" s="3"/>
      <c r="AI104" s="1158">
        <f>AI102-AI103</f>
        <v>-4105364</v>
      </c>
      <c r="AJ104" s="1159" t="str">
        <f t="shared" si="186"/>
        <v/>
      </c>
      <c r="AK104" s="3"/>
      <c r="AL104" s="1158">
        <f>AL102-AL103</f>
        <v>-4105364</v>
      </c>
      <c r="AM104" s="1159" t="str">
        <f t="shared" si="187"/>
        <v/>
      </c>
      <c r="AN104" s="3"/>
      <c r="AO104" s="1162" t="str">
        <f t="shared" si="27"/>
        <v/>
      </c>
      <c r="AP104" s="1158">
        <f>AP102-AP103</f>
        <v>-4105364</v>
      </c>
      <c r="AQ104" s="1159" t="str">
        <f t="shared" si="188"/>
        <v/>
      </c>
      <c r="AR104" s="3"/>
      <c r="AS104" s="1158">
        <f t="shared" si="213"/>
        <v>-4105364</v>
      </c>
      <c r="AT104" s="1159" t="str">
        <f t="shared" si="189"/>
        <v/>
      </c>
      <c r="AU104" s="3"/>
      <c r="AV104" s="1158">
        <f>AV102-AV103</f>
        <v>-4105364</v>
      </c>
      <c r="AW104" s="1159" t="str">
        <f t="shared" si="190"/>
        <v/>
      </c>
      <c r="AX104" s="3"/>
      <c r="AY104" s="1158">
        <f>AY102-AY103</f>
        <v>-4105364</v>
      </c>
      <c r="AZ104" s="1159" t="str">
        <f t="shared" si="191"/>
        <v/>
      </c>
      <c r="BA104" s="3"/>
      <c r="BB104" s="1158">
        <f>BB102-BB103</f>
        <v>-4105364</v>
      </c>
      <c r="BC104" s="1159" t="str">
        <f t="shared" si="192"/>
        <v/>
      </c>
      <c r="BD104" s="3"/>
      <c r="BE104" s="1158">
        <f t="shared" si="214"/>
        <v>-4105364</v>
      </c>
      <c r="BF104" s="1159" t="str">
        <f t="shared" si="193"/>
        <v/>
      </c>
      <c r="BG104" s="3"/>
      <c r="BH104" s="1158">
        <f t="shared" si="215"/>
        <v>-8210728</v>
      </c>
      <c r="BI104" s="1159" t="str">
        <f t="shared" si="194"/>
        <v/>
      </c>
      <c r="BJ104" s="3"/>
      <c r="BK104" s="1158">
        <f t="shared" si="216"/>
        <v>-12704265.04</v>
      </c>
      <c r="BL104" s="1159" t="str">
        <f t="shared" si="195"/>
        <v/>
      </c>
      <c r="BM104" s="3"/>
    </row>
    <row r="105" outlineLevel="1">
      <c r="A105" s="1087"/>
      <c r="B105" s="1087"/>
      <c r="C105" s="1087"/>
      <c r="D105" s="1087" t="s">
        <v>2091</v>
      </c>
      <c r="E105" s="656" t="s">
        <v>203</v>
      </c>
      <c r="F105" s="1087"/>
      <c r="G105" s="1086">
        <v>2.0</v>
      </c>
      <c r="H105" s="1088">
        <f>SUMIFS(BP_SOTIEN,BP_THANG,H$2,BP_KM,$E105)/1000</f>
        <v>0</v>
      </c>
      <c r="I105" s="1091" t="str">
        <f t="shared" si="177"/>
        <v/>
      </c>
      <c r="J105" s="1091"/>
      <c r="K105" s="1088">
        <f>SUMIFS(BP_SOTIEN,BP_THANG,K$2,BP_KM,$E105)/1000</f>
        <v>0</v>
      </c>
      <c r="L105" s="1091" t="str">
        <f t="shared" si="178"/>
        <v/>
      </c>
      <c r="M105" s="1091"/>
      <c r="N105" s="1088">
        <f>SUMIFS(BP_SOTIEN,BP_THANG,N$2,BP_KM,$E105)/1000</f>
        <v>0</v>
      </c>
      <c r="O105" s="1091" t="str">
        <f t="shared" si="179"/>
        <v/>
      </c>
      <c r="P105" s="1091"/>
      <c r="Q105" s="1088">
        <f t="shared" si="238"/>
        <v>0</v>
      </c>
      <c r="R105" s="1091" t="str">
        <f t="shared" si="180"/>
        <v/>
      </c>
      <c r="S105" s="1091">
        <f>IFERROR(Q105/Q$50,"")</f>
        <v>0</v>
      </c>
      <c r="T105" s="1088">
        <f>SUMIFS(BP_SOTIEN,BP_THANG,T$2,BP_KM,$E105)/1000</f>
        <v>0</v>
      </c>
      <c r="U105" s="1091" t="str">
        <f t="shared" si="181"/>
        <v/>
      </c>
      <c r="V105" s="1091"/>
      <c r="W105" s="1088">
        <f>SUMIFS(BP_SOTIEN,BP_THANG,W$2,BP_KM,$E105)/1000</f>
        <v>0</v>
      </c>
      <c r="X105" s="1091" t="str">
        <f t="shared" si="182"/>
        <v/>
      </c>
      <c r="Y105" s="1091"/>
      <c r="Z105" s="1088">
        <f>SUMIFS(BP_SOTIEN,BP_THANG,Z$2,BP_KM,$E105)/1000</f>
        <v>0</v>
      </c>
      <c r="AA105" s="1091" t="str">
        <f t="shared" si="183"/>
        <v/>
      </c>
      <c r="AB105" s="1091"/>
      <c r="AC105" s="1088">
        <f t="shared" si="239"/>
        <v>0</v>
      </c>
      <c r="AD105" s="1091" t="str">
        <f t="shared" si="184"/>
        <v/>
      </c>
      <c r="AE105" s="1091">
        <f>IFERROR(AC105/AC$50,"")</f>
        <v>0</v>
      </c>
      <c r="AF105" s="1088">
        <f t="shared" si="240"/>
        <v>0</v>
      </c>
      <c r="AG105" s="1091" t="str">
        <f t="shared" si="185"/>
        <v/>
      </c>
      <c r="AH105" s="1091">
        <f>IFERROR(AF105/AF$50,"")</f>
        <v>0</v>
      </c>
      <c r="AI105" s="1088">
        <f>SUMIFS(BP_SOTIEN,BP_THANG,AI$2,BP_KM,$E105)/1000</f>
        <v>0</v>
      </c>
      <c r="AJ105" s="1091" t="str">
        <f t="shared" si="186"/>
        <v/>
      </c>
      <c r="AK105" s="1091"/>
      <c r="AL105" s="1088">
        <f>SUMIFS(BP_SOTIEN,BP_THANG,AL$2,BP_KM,$E105)/1000</f>
        <v>0</v>
      </c>
      <c r="AM105" s="1091" t="str">
        <f t="shared" si="187"/>
        <v/>
      </c>
      <c r="AN105" s="1091"/>
      <c r="AO105" s="1091" t="str">
        <f t="shared" si="27"/>
        <v/>
      </c>
      <c r="AP105" s="1088">
        <f>SUMIFS(BP_SOTIEN,BP_THANG,AP$2,BP_KM,$E105)/1000</f>
        <v>0</v>
      </c>
      <c r="AQ105" s="1091" t="str">
        <f t="shared" si="188"/>
        <v/>
      </c>
      <c r="AR105" s="1091"/>
      <c r="AS105" s="1088">
        <f t="shared" si="213"/>
        <v>0</v>
      </c>
      <c r="AT105" s="1091" t="str">
        <f t="shared" si="189"/>
        <v/>
      </c>
      <c r="AU105" s="1091">
        <f>IFERROR(AS105/AS$50,"")</f>
        <v>0</v>
      </c>
      <c r="AV105" s="1088">
        <f>SUMIFS(BP_SOTIEN,BP_THANG,AV$2,BP_KM,$E105)/1000</f>
        <v>0</v>
      </c>
      <c r="AW105" s="1091" t="str">
        <f t="shared" si="190"/>
        <v/>
      </c>
      <c r="AX105" s="1091"/>
      <c r="AY105" s="1088">
        <f>SUMIFS(BP_SOTIEN,BP_THANG,AY$2,BP_KM,$E105)/1000</f>
        <v>0</v>
      </c>
      <c r="AZ105" s="1091" t="str">
        <f t="shared" si="191"/>
        <v/>
      </c>
      <c r="BA105" s="1091"/>
      <c r="BB105" s="1088">
        <f>SUMIFS(BP_SOTIEN,BP_THANG,BB$2,BP_KM,$E105)/1000</f>
        <v>0</v>
      </c>
      <c r="BC105" s="1091" t="str">
        <f t="shared" si="192"/>
        <v/>
      </c>
      <c r="BD105" s="1091"/>
      <c r="BE105" s="1088">
        <f t="shared" si="214"/>
        <v>0</v>
      </c>
      <c r="BF105" s="1091" t="str">
        <f t="shared" si="193"/>
        <v/>
      </c>
      <c r="BG105" s="1091">
        <f>IFERROR(BE105/BE$50,"")</f>
        <v>0</v>
      </c>
      <c r="BH105" s="1088">
        <f t="shared" si="215"/>
        <v>0</v>
      </c>
      <c r="BI105" s="1091" t="str">
        <f t="shared" si="194"/>
        <v/>
      </c>
      <c r="BJ105" s="1091">
        <f>IFERROR(BH105/BH$50,"")</f>
        <v>0</v>
      </c>
      <c r="BK105" s="1088">
        <f t="shared" si="216"/>
        <v>0</v>
      </c>
      <c r="BL105" s="1091" t="str">
        <f t="shared" si="195"/>
        <v/>
      </c>
      <c r="BM105" s="1091">
        <f>IFERROR(BK105/BK$50,"")</f>
        <v>0</v>
      </c>
    </row>
  </sheetData>
  <mergeCells count="229">
    <mergeCell ref="AY2:BA2"/>
    <mergeCell ref="BB2:BD2"/>
    <mergeCell ref="BE2:BG2"/>
    <mergeCell ref="BH2:BJ2"/>
    <mergeCell ref="BK2:BM2"/>
    <mergeCell ref="AC2:AE2"/>
    <mergeCell ref="AF2:AH2"/>
    <mergeCell ref="AI2:AK2"/>
    <mergeCell ref="AL2:AO2"/>
    <mergeCell ref="AP2:AR2"/>
    <mergeCell ref="AS2:AU2"/>
    <mergeCell ref="AV2:AX2"/>
    <mergeCell ref="K2:M2"/>
    <mergeCell ref="N2:P2"/>
    <mergeCell ref="Q2:S2"/>
    <mergeCell ref="T2:V2"/>
    <mergeCell ref="W2:Y2"/>
    <mergeCell ref="Z2:AB2"/>
    <mergeCell ref="X14:Y14"/>
    <mergeCell ref="AW18:AX18"/>
    <mergeCell ref="AZ18:BA18"/>
    <mergeCell ref="BC18:BD18"/>
    <mergeCell ref="BF18:BG18"/>
    <mergeCell ref="BI18:BJ18"/>
    <mergeCell ref="BL18:BM18"/>
    <mergeCell ref="AA18:AB18"/>
    <mergeCell ref="AD18:AE18"/>
    <mergeCell ref="AG18:AH18"/>
    <mergeCell ref="AJ18:AK18"/>
    <mergeCell ref="AM18:AN18"/>
    <mergeCell ref="AQ18:AR18"/>
    <mergeCell ref="AT18:AU18"/>
    <mergeCell ref="H2:J2"/>
    <mergeCell ref="I18:J18"/>
    <mergeCell ref="L18:M18"/>
    <mergeCell ref="O18:P18"/>
    <mergeCell ref="R18:S18"/>
    <mergeCell ref="U18:V18"/>
    <mergeCell ref="X18:Y18"/>
    <mergeCell ref="BF33:BG33"/>
    <mergeCell ref="BI33:BJ33"/>
    <mergeCell ref="BL33:BM33"/>
    <mergeCell ref="I33:J33"/>
    <mergeCell ref="L33:M33"/>
    <mergeCell ref="O33:P33"/>
    <mergeCell ref="R33:S33"/>
    <mergeCell ref="U33:V33"/>
    <mergeCell ref="X33:Y33"/>
    <mergeCell ref="AA33:AB33"/>
    <mergeCell ref="AZ33:BA33"/>
    <mergeCell ref="BC33:BD33"/>
    <mergeCell ref="AD33:AE33"/>
    <mergeCell ref="AG33:AH33"/>
    <mergeCell ref="AJ33:AK33"/>
    <mergeCell ref="AM33:AN33"/>
    <mergeCell ref="AQ33:AR33"/>
    <mergeCell ref="AT33:AU33"/>
    <mergeCell ref="AW33:AX33"/>
    <mergeCell ref="AZ48:BA48"/>
    <mergeCell ref="BC48:BD48"/>
    <mergeCell ref="BF48:BG48"/>
    <mergeCell ref="BI48:BJ48"/>
    <mergeCell ref="BL48:BM48"/>
    <mergeCell ref="AD48:AE48"/>
    <mergeCell ref="AG48:AH48"/>
    <mergeCell ref="AJ48:AK48"/>
    <mergeCell ref="AM48:AN48"/>
    <mergeCell ref="AQ48:AR48"/>
    <mergeCell ref="AT48:AU48"/>
    <mergeCell ref="AW48:AX48"/>
    <mergeCell ref="I48:J48"/>
    <mergeCell ref="L48:M48"/>
    <mergeCell ref="O48:P48"/>
    <mergeCell ref="R48:S48"/>
    <mergeCell ref="U48:V48"/>
    <mergeCell ref="X48:Y48"/>
    <mergeCell ref="AA48:AB48"/>
    <mergeCell ref="AZ97:BA97"/>
    <mergeCell ref="BC97:BD97"/>
    <mergeCell ref="BF97:BG97"/>
    <mergeCell ref="BI97:BJ97"/>
    <mergeCell ref="BL97:BM97"/>
    <mergeCell ref="AD97:AE97"/>
    <mergeCell ref="AG97:AH97"/>
    <mergeCell ref="AJ97:AK97"/>
    <mergeCell ref="AM97:AN97"/>
    <mergeCell ref="AQ97:AR97"/>
    <mergeCell ref="AT97:AU97"/>
    <mergeCell ref="AW97:AX97"/>
    <mergeCell ref="I97:J97"/>
    <mergeCell ref="O97:P97"/>
    <mergeCell ref="U97:V97"/>
    <mergeCell ref="AA97:AB97"/>
    <mergeCell ref="I98:J98"/>
    <mergeCell ref="O98:P98"/>
    <mergeCell ref="U98:V98"/>
    <mergeCell ref="AW98:AX98"/>
    <mergeCell ref="AZ98:BA98"/>
    <mergeCell ref="BC98:BD98"/>
    <mergeCell ref="BF98:BG98"/>
    <mergeCell ref="BI98:BJ98"/>
    <mergeCell ref="BL98:BM98"/>
    <mergeCell ref="AA98:AB98"/>
    <mergeCell ref="AD98:AE98"/>
    <mergeCell ref="AG98:AH98"/>
    <mergeCell ref="AJ98:AK98"/>
    <mergeCell ref="AM98:AN98"/>
    <mergeCell ref="AQ98:AR98"/>
    <mergeCell ref="AT98:AU98"/>
    <mergeCell ref="X97:Y97"/>
    <mergeCell ref="X98:Y98"/>
    <mergeCell ref="X99:Y99"/>
    <mergeCell ref="AA99:AB99"/>
    <mergeCell ref="AD99:AE99"/>
    <mergeCell ref="AG99:AH99"/>
    <mergeCell ref="AJ99:AK99"/>
    <mergeCell ref="BI99:BJ99"/>
    <mergeCell ref="BL99:BM99"/>
    <mergeCell ref="AM99:AN99"/>
    <mergeCell ref="AQ99:AR99"/>
    <mergeCell ref="AT99:AU99"/>
    <mergeCell ref="AW99:AX99"/>
    <mergeCell ref="AZ99:BA99"/>
    <mergeCell ref="BC99:BD99"/>
    <mergeCell ref="BF99:BG99"/>
    <mergeCell ref="AW100:AX100"/>
    <mergeCell ref="AZ100:BA100"/>
    <mergeCell ref="BC100:BD100"/>
    <mergeCell ref="BF100:BG100"/>
    <mergeCell ref="BI100:BJ100"/>
    <mergeCell ref="BL100:BM100"/>
    <mergeCell ref="AA100:AB100"/>
    <mergeCell ref="AD100:AE100"/>
    <mergeCell ref="AG100:AH100"/>
    <mergeCell ref="AJ100:AK100"/>
    <mergeCell ref="AM100:AN100"/>
    <mergeCell ref="AQ100:AR100"/>
    <mergeCell ref="AT100:AU100"/>
    <mergeCell ref="L102:M102"/>
    <mergeCell ref="L103:M103"/>
    <mergeCell ref="I104:J104"/>
    <mergeCell ref="L104:M104"/>
    <mergeCell ref="O104:P104"/>
    <mergeCell ref="R102:S102"/>
    <mergeCell ref="R103:S103"/>
    <mergeCell ref="R104:S104"/>
    <mergeCell ref="U104:V104"/>
    <mergeCell ref="I102:J102"/>
    <mergeCell ref="O102:P102"/>
    <mergeCell ref="U102:V102"/>
    <mergeCell ref="AA102:AB102"/>
    <mergeCell ref="I103:J103"/>
    <mergeCell ref="O103:P103"/>
    <mergeCell ref="U103:V103"/>
    <mergeCell ref="AW103:AX103"/>
    <mergeCell ref="AZ103:BA103"/>
    <mergeCell ref="BC103:BD103"/>
    <mergeCell ref="BF103:BG103"/>
    <mergeCell ref="BI103:BJ103"/>
    <mergeCell ref="BL103:BM103"/>
    <mergeCell ref="AA103:AB103"/>
    <mergeCell ref="AD103:AE103"/>
    <mergeCell ref="AG103:AH103"/>
    <mergeCell ref="AJ103:AK103"/>
    <mergeCell ref="AM103:AN103"/>
    <mergeCell ref="AQ103:AR103"/>
    <mergeCell ref="AT103:AU103"/>
    <mergeCell ref="X102:Y102"/>
    <mergeCell ref="X103:Y103"/>
    <mergeCell ref="X104:Y104"/>
    <mergeCell ref="AA104:AB104"/>
    <mergeCell ref="AD104:AE104"/>
    <mergeCell ref="AG104:AH104"/>
    <mergeCell ref="AJ104:AK104"/>
    <mergeCell ref="BI104:BJ104"/>
    <mergeCell ref="BL104:BM104"/>
    <mergeCell ref="AM104:AN104"/>
    <mergeCell ref="AQ104:AR104"/>
    <mergeCell ref="AT104:AU104"/>
    <mergeCell ref="AW104:AX104"/>
    <mergeCell ref="AZ104:BA104"/>
    <mergeCell ref="BC104:BD104"/>
    <mergeCell ref="BF104:BG104"/>
    <mergeCell ref="R97:S97"/>
    <mergeCell ref="R98:S98"/>
    <mergeCell ref="R99:S99"/>
    <mergeCell ref="U99:V99"/>
    <mergeCell ref="R100:S100"/>
    <mergeCell ref="U100:V100"/>
    <mergeCell ref="X100:Y100"/>
    <mergeCell ref="I100:J100"/>
    <mergeCell ref="I101:J101"/>
    <mergeCell ref="L101:M101"/>
    <mergeCell ref="O101:P101"/>
    <mergeCell ref="R101:S101"/>
    <mergeCell ref="U101:V101"/>
    <mergeCell ref="X101:Y101"/>
    <mergeCell ref="AW101:AX101"/>
    <mergeCell ref="AZ101:BA101"/>
    <mergeCell ref="BC101:BD101"/>
    <mergeCell ref="BF101:BG101"/>
    <mergeCell ref="BI101:BJ101"/>
    <mergeCell ref="BL101:BM101"/>
    <mergeCell ref="AA101:AB101"/>
    <mergeCell ref="AD101:AE101"/>
    <mergeCell ref="AG101:AH101"/>
    <mergeCell ref="AJ101:AK101"/>
    <mergeCell ref="AM101:AN101"/>
    <mergeCell ref="AQ101:AR101"/>
    <mergeCell ref="AT101:AU101"/>
    <mergeCell ref="L97:M97"/>
    <mergeCell ref="L98:M98"/>
    <mergeCell ref="I99:J99"/>
    <mergeCell ref="L99:M99"/>
    <mergeCell ref="O99:P99"/>
    <mergeCell ref="L100:M100"/>
    <mergeCell ref="O100:P100"/>
    <mergeCell ref="AZ102:BA102"/>
    <mergeCell ref="BC102:BD102"/>
    <mergeCell ref="BF102:BG102"/>
    <mergeCell ref="BI102:BJ102"/>
    <mergeCell ref="BL102:BM102"/>
    <mergeCell ref="AD102:AE102"/>
    <mergeCell ref="AG102:AH102"/>
    <mergeCell ref="AJ102:AK102"/>
    <mergeCell ref="AM102:AN102"/>
    <mergeCell ref="AQ102:AR102"/>
    <mergeCell ref="AT102:AU102"/>
    <mergeCell ref="AW102:AX102"/>
  </mergeCells>
  <dataValidations>
    <dataValidation type="list" allowBlank="1" showErrorMessage="1" sqref="C4:C17 C19:C32 C34:C47">
      <formula1>MA_DUAN</formula1>
    </dataValidation>
    <dataValidation type="list" allowBlank="1" showErrorMessage="1" sqref="E4:E105">
      <formula1>MA_KM</formula1>
    </dataValidation>
  </dataValidation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outlineLevelCol="1"/>
  <cols>
    <col customWidth="1" min="1" max="1" width="11.29"/>
    <col customWidth="1" min="2" max="2" width="8.57" outlineLevel="1"/>
    <col customWidth="1" min="3" max="3" width="11.0" outlineLevel="1"/>
    <col customWidth="1" min="4" max="4" width="20.71" outlineLevel="1"/>
    <col customWidth="1" min="5" max="5" width="20.0"/>
    <col customWidth="1" min="6" max="6" width="22.71"/>
    <col customWidth="1" min="7" max="7" width="16.57"/>
    <col customWidth="1" min="8" max="9" width="15.43" outlineLevel="1"/>
    <col min="10" max="10" width="14.43" outlineLevel="1"/>
    <col customWidth="1" min="11" max="11" width="18.86"/>
    <col customWidth="1" min="12" max="12" width="22.29"/>
    <col customWidth="1" min="13" max="13" width="17.0"/>
    <col customWidth="1" min="14" max="14" width="16.86"/>
    <col customWidth="1" min="15" max="15" width="23.14"/>
  </cols>
  <sheetData>
    <row r="1">
      <c r="A1" s="1166" t="s">
        <v>2884</v>
      </c>
      <c r="B1" s="1167" t="s">
        <v>119</v>
      </c>
      <c r="C1" s="1167" t="s">
        <v>2208</v>
      </c>
      <c r="D1" s="1168" t="s">
        <v>2885</v>
      </c>
      <c r="E1" s="1168" t="s">
        <v>2886</v>
      </c>
      <c r="F1" s="1168" t="s">
        <v>2887</v>
      </c>
      <c r="G1" s="1168" t="s">
        <v>2888</v>
      </c>
      <c r="H1" s="1169" t="s">
        <v>143</v>
      </c>
      <c r="I1" s="1168" t="s">
        <v>131</v>
      </c>
      <c r="J1" s="1168" t="s">
        <v>132</v>
      </c>
      <c r="K1" s="1167" t="s">
        <v>2889</v>
      </c>
      <c r="L1" s="1168" t="s">
        <v>2890</v>
      </c>
      <c r="M1" s="1167" t="s">
        <v>1921</v>
      </c>
      <c r="N1" s="1170" t="s">
        <v>2891</v>
      </c>
      <c r="O1" s="1171" t="s">
        <v>2892</v>
      </c>
      <c r="P1" s="1172"/>
    </row>
    <row r="2" hidden="1">
      <c r="A2" s="1173">
        <v>44562.0</v>
      </c>
      <c r="B2" s="1174" t="str">
        <f t="shared" ref="B2:B1043" si="1">IF(A2="","",TEXT(A2,"MM/YYYY"))</f>
        <v>01/2022</v>
      </c>
      <c r="C2" s="1174" t="str">
        <f>IF(A2="","",VLOOKUP(A2,'THAM CHIẾU'!$A:$B,2,0))</f>
        <v>#N/A</v>
      </c>
      <c r="D2" s="1174" t="str">
        <f>IF(E2&lt;&gt;0,VLOOKUP(E2,DM_DUAN,3,0),"")</f>
        <v/>
      </c>
      <c r="E2" s="1175"/>
      <c r="F2" s="1174"/>
      <c r="G2" s="1174"/>
      <c r="H2" s="70"/>
      <c r="I2" s="1174" t="str">
        <f>IF($K2&lt;&gt;0,VLOOKUP($K2,DM_KM,3,0),"")</f>
        <v/>
      </c>
      <c r="J2" s="1174" t="str">
        <f>IF($K2&lt;&gt;0,VLOOKUP($K2,DM_KM,5,0),"")</f>
        <v/>
      </c>
      <c r="K2" s="1175"/>
      <c r="L2" s="1174"/>
      <c r="M2" s="1176"/>
      <c r="N2" s="745"/>
      <c r="O2" s="1174"/>
      <c r="P2" s="1177"/>
    </row>
    <row r="3" hidden="1">
      <c r="A3" s="1173">
        <v>44593.0</v>
      </c>
      <c r="B3" s="1174" t="str">
        <f t="shared" si="1"/>
        <v>02/2022</v>
      </c>
      <c r="C3" s="1174" t="str">
        <f>IF(A3="","",VLOOKUP(A3,'THAM CHIẾU'!$A:$B,2,0))</f>
        <v>#N/A</v>
      </c>
      <c r="D3" s="1174" t="str">
        <f>IF(E3&lt;&gt;0,VLOOKUP(E3,DM_DUAN,3,0),"")</f>
        <v/>
      </c>
      <c r="E3" s="1175"/>
      <c r="F3" s="1174"/>
      <c r="G3" s="1174"/>
      <c r="H3" s="70"/>
      <c r="I3" s="1174" t="str">
        <f>IF($K3&lt;&gt;0,VLOOKUP($K3,DM_KM,3,0),"")</f>
        <v/>
      </c>
      <c r="J3" s="1174" t="str">
        <f>IF($K3&lt;&gt;0,VLOOKUP($K3,DM_KM,5,0),"")</f>
        <v/>
      </c>
      <c r="K3" s="1175"/>
      <c r="L3" s="1174"/>
      <c r="M3" s="1176"/>
      <c r="N3" s="745"/>
      <c r="O3" s="1174"/>
      <c r="P3" s="1177"/>
    </row>
    <row r="4" hidden="1">
      <c r="A4" s="1173">
        <v>44621.0</v>
      </c>
      <c r="B4" s="1174" t="str">
        <f t="shared" si="1"/>
        <v>03/2022</v>
      </c>
      <c r="C4" s="1174" t="str">
        <f>IF(A4="","",VLOOKUP(A4,'THAM CHIẾU'!$A:$B,2,0))</f>
        <v>#N/A</v>
      </c>
      <c r="D4" s="1174" t="str">
        <f>IF(E4&lt;&gt;0,VLOOKUP(E4,DM_DUAN,3,0),"")</f>
        <v/>
      </c>
      <c r="E4" s="1175"/>
      <c r="F4" s="1174"/>
      <c r="G4" s="1174"/>
      <c r="H4" s="70"/>
      <c r="I4" s="1174" t="str">
        <f>IF($K4&lt;&gt;0,VLOOKUP($K4,DM_KM,3,0),"")</f>
        <v/>
      </c>
      <c r="J4" s="1174" t="str">
        <f>IF($K4&lt;&gt;0,VLOOKUP($K4,DM_KM,5,0),"")</f>
        <v/>
      </c>
      <c r="K4" s="1175"/>
      <c r="L4" s="1174"/>
      <c r="M4" s="1176"/>
      <c r="N4" s="745"/>
      <c r="O4" s="1174"/>
      <c r="P4" s="1177"/>
    </row>
    <row r="5" hidden="1">
      <c r="A5" s="1173">
        <v>44652.0</v>
      </c>
      <c r="B5" s="1174" t="str">
        <f t="shared" si="1"/>
        <v>04/2022</v>
      </c>
      <c r="C5" s="1174" t="str">
        <f>IF(A5="","",VLOOKUP(A5,'THAM CHIẾU'!$A:$B,2,0))</f>
        <v>#N/A</v>
      </c>
      <c r="D5" s="1174" t="str">
        <f>IF(E5&lt;&gt;0,VLOOKUP(E5,DM_DUAN,3,0),"")</f>
        <v/>
      </c>
      <c r="E5" s="1175"/>
      <c r="F5" s="1174"/>
      <c r="G5" s="1174"/>
      <c r="H5" s="70"/>
      <c r="I5" s="1174" t="str">
        <f>IF($K5&lt;&gt;0,VLOOKUP($K5,DM_KM,3,0),"")</f>
        <v/>
      </c>
      <c r="J5" s="1174" t="str">
        <f>IF($K5&lt;&gt;0,VLOOKUP($K5,DM_KM,5,0),"")</f>
        <v/>
      </c>
      <c r="K5" s="1175"/>
      <c r="L5" s="1174"/>
      <c r="M5" s="1176"/>
      <c r="N5" s="745"/>
      <c r="O5" s="1174"/>
      <c r="P5" s="1177"/>
    </row>
    <row r="6" hidden="1">
      <c r="A6" s="1173">
        <v>44652.0</v>
      </c>
      <c r="B6" s="1174" t="str">
        <f t="shared" si="1"/>
        <v>04/2022</v>
      </c>
      <c r="C6" s="1174" t="str">
        <f>IF(A6="","",VLOOKUP(A6,'THAM CHIẾU'!$A:$B,2,0))</f>
        <v>#N/A</v>
      </c>
      <c r="D6" s="1174" t="str">
        <f>IF(E6&lt;&gt;0,VLOOKUP(E6,DM_DUAN,3,0),"")</f>
        <v>NAMPHONG</v>
      </c>
      <c r="E6" s="1175" t="s">
        <v>2067</v>
      </c>
      <c r="F6" s="1174"/>
      <c r="G6" s="1174"/>
      <c r="H6" s="70"/>
      <c r="I6" s="1174" t="str">
        <f>IF($K6&lt;&gt;0,VLOOKUP($K6,DM_KM,3,0),"")</f>
        <v>#N/A</v>
      </c>
      <c r="J6" s="1174" t="str">
        <f>IF($K6&lt;&gt;0,VLOOKUP($K6,DM_KM,5,0),"")</f>
        <v>#N/A</v>
      </c>
      <c r="K6" s="1175" t="s">
        <v>198</v>
      </c>
      <c r="L6" s="1174"/>
      <c r="M6" s="1176"/>
      <c r="N6" s="1178">
        <v>2.0E10</v>
      </c>
      <c r="O6" s="1174"/>
      <c r="P6" s="1177"/>
    </row>
    <row r="7" hidden="1">
      <c r="A7" s="1173">
        <v>44652.0</v>
      </c>
      <c r="B7" s="1174" t="str">
        <f t="shared" si="1"/>
        <v>04/2022</v>
      </c>
      <c r="C7" s="1174" t="str">
        <f>IF(A7="","",VLOOKUP(A7,'THAM CHIẾU'!$A:$B,2,0))</f>
        <v>#N/A</v>
      </c>
      <c r="D7" s="1174" t="str">
        <f>IF(E7&lt;&gt;0,VLOOKUP(E7,DM_DUAN,3,0),"")</f>
        <v/>
      </c>
      <c r="E7" s="1175"/>
      <c r="F7" s="1174"/>
      <c r="G7" s="1174"/>
      <c r="H7" s="70"/>
      <c r="I7" s="1174" t="str">
        <f>IF($K7&lt;&gt;0,VLOOKUP($K7,DM_KM,3,0),"")</f>
        <v/>
      </c>
      <c r="J7" s="1174" t="str">
        <f>IF($K7&lt;&gt;0,VLOOKUP($K7,DM_KM,5,0),"")</f>
        <v/>
      </c>
      <c r="K7" s="1175"/>
      <c r="L7" s="1174"/>
      <c r="M7" s="1176"/>
      <c r="N7" s="745"/>
      <c r="O7" s="1174"/>
      <c r="P7" s="1177"/>
    </row>
    <row r="8">
      <c r="A8" s="1173">
        <v>44652.0</v>
      </c>
      <c r="B8" s="1174" t="str">
        <f t="shared" si="1"/>
        <v>04/2022</v>
      </c>
      <c r="C8" s="1174" t="str">
        <f>IF(A8="","",VLOOKUP(A8,'THAM CHIẾU'!$A:$B,2,0))</f>
        <v>#N/A</v>
      </c>
      <c r="D8" s="1174" t="str">
        <f>IF(E8&lt;&gt;0,VLOOKUP(E8,DM_DUAN,3,0),"")</f>
        <v>THANHNAM</v>
      </c>
      <c r="E8" s="1175" t="s">
        <v>175</v>
      </c>
      <c r="F8" s="1174"/>
      <c r="G8" s="1174"/>
      <c r="H8" s="70"/>
      <c r="I8" s="1174" t="str">
        <f>IF($K8&lt;&gt;0,VLOOKUP($K8,DM_KM,3,0),"")</f>
        <v>#N/A</v>
      </c>
      <c r="J8" s="1174" t="str">
        <f>IF($K8&lt;&gt;0,VLOOKUP($K8,DM_KM,5,0),"")</f>
        <v>#N/A</v>
      </c>
      <c r="K8" s="1175" t="s">
        <v>198</v>
      </c>
      <c r="L8" s="1174"/>
      <c r="M8" s="1176"/>
      <c r="N8" s="1178">
        <v>1.3333333333E10</v>
      </c>
      <c r="O8" s="1174"/>
      <c r="P8" s="1177"/>
    </row>
    <row r="9" hidden="1">
      <c r="A9" s="1173">
        <v>44652.0</v>
      </c>
      <c r="B9" s="1174" t="str">
        <f t="shared" si="1"/>
        <v>04/2022</v>
      </c>
      <c r="C9" s="1174" t="str">
        <f>IF(A9="","",VLOOKUP(A9,'THAM CHIẾU'!$A:$B,2,0))</f>
        <v>#N/A</v>
      </c>
      <c r="D9" s="1174" t="str">
        <f>IF(E9&lt;&gt;0,VLOOKUP(E9,DM_DUAN,3,0),"")</f>
        <v/>
      </c>
      <c r="E9" s="1175"/>
      <c r="F9" s="1174"/>
      <c r="G9" s="1174"/>
      <c r="H9" s="70"/>
      <c r="I9" s="1174" t="str">
        <f>IF($K9&lt;&gt;0,VLOOKUP($K9,DM_KM,3,0),"")</f>
        <v/>
      </c>
      <c r="J9" s="1174" t="str">
        <f>IF($K9&lt;&gt;0,VLOOKUP($K9,DM_KM,5,0),"")</f>
        <v/>
      </c>
      <c r="K9" s="1175"/>
      <c r="L9" s="1174"/>
      <c r="M9" s="1176"/>
      <c r="N9" s="745"/>
      <c r="O9" s="1174"/>
      <c r="P9" s="1177"/>
    </row>
    <row r="10" hidden="1">
      <c r="A10" s="1173">
        <v>44652.0</v>
      </c>
      <c r="B10" s="1174" t="str">
        <f t="shared" si="1"/>
        <v>04/2022</v>
      </c>
      <c r="C10" s="1174" t="str">
        <f>IF(A10="","",VLOOKUP(A10,'THAM CHIẾU'!$A:$B,2,0))</f>
        <v>#N/A</v>
      </c>
      <c r="D10" s="1174" t="str">
        <f>IF(E10&lt;&gt;0,VLOOKUP(E10,DM_DUAN,3,0),"")</f>
        <v/>
      </c>
      <c r="E10" s="1175"/>
      <c r="F10" s="1174"/>
      <c r="G10" s="1174"/>
      <c r="H10" s="70"/>
      <c r="I10" s="1174" t="str">
        <f>IF($K10&lt;&gt;0,VLOOKUP($K10,DM_KM,3,0),"")</f>
        <v/>
      </c>
      <c r="J10" s="1174" t="str">
        <f>IF($K10&lt;&gt;0,VLOOKUP($K10,DM_KM,5,0),"")</f>
        <v/>
      </c>
      <c r="K10" s="1175"/>
      <c r="L10" s="1174"/>
      <c r="M10" s="1176"/>
      <c r="N10" s="745"/>
      <c r="O10" s="1174"/>
      <c r="P10" s="1177"/>
    </row>
    <row r="11" hidden="1">
      <c r="A11" s="1173">
        <v>44652.0</v>
      </c>
      <c r="B11" s="1174" t="str">
        <f t="shared" si="1"/>
        <v>04/2022</v>
      </c>
      <c r="C11" s="1174" t="str">
        <f>IF(A11="","",VLOOKUP(A11,'THAM CHIẾU'!$A:$B,2,0))</f>
        <v>#N/A</v>
      </c>
      <c r="D11" s="1174" t="str">
        <f>IF(E11&lt;&gt;0,VLOOKUP(E11,DM_DUAN,3,0),"")</f>
        <v/>
      </c>
      <c r="E11" s="1175"/>
      <c r="F11" s="1174"/>
      <c r="G11" s="1174"/>
      <c r="H11" s="70"/>
      <c r="I11" s="1174" t="str">
        <f>IF($K11&lt;&gt;0,VLOOKUP($K11,DM_KM,3,0),"")</f>
        <v/>
      </c>
      <c r="J11" s="1174" t="str">
        <f>IF($K11&lt;&gt;0,VLOOKUP($K11,DM_KM,5,0),"")</f>
        <v/>
      </c>
      <c r="K11" s="1175"/>
      <c r="L11" s="1174"/>
      <c r="M11" s="1176"/>
      <c r="N11" s="745"/>
      <c r="O11" s="1174"/>
      <c r="P11" s="1177"/>
    </row>
    <row r="12" hidden="1">
      <c r="A12" s="1173">
        <v>44652.0</v>
      </c>
      <c r="B12" s="1174" t="str">
        <f t="shared" si="1"/>
        <v>04/2022</v>
      </c>
      <c r="C12" s="1174" t="str">
        <f>IF(A12="","",VLOOKUP(A12,'THAM CHIẾU'!$A:$B,2,0))</f>
        <v>#N/A</v>
      </c>
      <c r="D12" s="1174" t="str">
        <f>IF(E12&lt;&gt;0,VLOOKUP(E12,DM_DUAN,3,0),"")</f>
        <v/>
      </c>
      <c r="E12" s="1175"/>
      <c r="F12" s="1174"/>
      <c r="G12" s="1174"/>
      <c r="H12" s="70"/>
      <c r="I12" s="1174" t="str">
        <f>IF($K12&lt;&gt;0,VLOOKUP($K12,DM_KM,3,0),"")</f>
        <v/>
      </c>
      <c r="J12" s="1174" t="str">
        <f>IF($K12&lt;&gt;0,VLOOKUP($K12,DM_KM,5,0),"")</f>
        <v/>
      </c>
      <c r="K12" s="1175"/>
      <c r="L12" s="1174"/>
      <c r="M12" s="1176"/>
      <c r="N12" s="745"/>
      <c r="O12" s="1174"/>
      <c r="P12" s="1177"/>
    </row>
    <row r="13" hidden="1">
      <c r="A13" s="1173">
        <v>44652.0</v>
      </c>
      <c r="B13" s="1174" t="str">
        <f t="shared" si="1"/>
        <v>04/2022</v>
      </c>
      <c r="C13" s="1174" t="str">
        <f>IF(A13="","",VLOOKUP(A13,'THAM CHIẾU'!$A:$B,2,0))</f>
        <v>#N/A</v>
      </c>
      <c r="D13" s="1174" t="str">
        <f>IF(E13&lt;&gt;0,VLOOKUP(E13,DM_DUAN,3,0),"")</f>
        <v/>
      </c>
      <c r="E13" s="1175"/>
      <c r="F13" s="1174"/>
      <c r="G13" s="1174"/>
      <c r="H13" s="70"/>
      <c r="I13" s="1174" t="str">
        <f>IF($K13&lt;&gt;0,VLOOKUP($K13,DM_KM,3,0),"")</f>
        <v/>
      </c>
      <c r="J13" s="1174" t="str">
        <f>IF($K13&lt;&gt;0,VLOOKUP($K13,DM_KM,5,0),"")</f>
        <v/>
      </c>
      <c r="K13" s="1175"/>
      <c r="L13" s="1174"/>
      <c r="M13" s="1176"/>
      <c r="N13" s="745"/>
      <c r="O13" s="1174"/>
      <c r="P13" s="1177"/>
    </row>
    <row r="14" hidden="1">
      <c r="A14" s="1173">
        <v>44682.0</v>
      </c>
      <c r="B14" s="1174" t="str">
        <f t="shared" si="1"/>
        <v>05/2022</v>
      </c>
      <c r="C14" s="1174" t="str">
        <f>IF(A14="","",VLOOKUP(A14,'THAM CHIẾU'!$A:$B,2,0))</f>
        <v>#N/A</v>
      </c>
      <c r="D14" s="1174" t="str">
        <f>IF(E14&lt;&gt;0,VLOOKUP(E14,DM_DUAN,3,0),"")</f>
        <v/>
      </c>
      <c r="E14" s="1175"/>
      <c r="F14" s="1174"/>
      <c r="G14" s="1174"/>
      <c r="H14" s="70"/>
      <c r="I14" s="1174" t="str">
        <f>IF($K14&lt;&gt;0,VLOOKUP($K14,DM_KM,3,0),"")</f>
        <v/>
      </c>
      <c r="J14" s="1174" t="str">
        <f>IF($K14&lt;&gt;0,VLOOKUP($K14,DM_KM,5,0),"")</f>
        <v/>
      </c>
      <c r="K14" s="1175"/>
      <c r="L14" s="1174"/>
      <c r="M14" s="1176"/>
      <c r="N14" s="745"/>
      <c r="O14" s="1174"/>
      <c r="P14" s="1177"/>
    </row>
    <row r="15" hidden="1">
      <c r="A15" s="1173">
        <v>44682.0</v>
      </c>
      <c r="B15" s="1174" t="str">
        <f t="shared" si="1"/>
        <v>05/2022</v>
      </c>
      <c r="C15" s="1174" t="str">
        <f>IF(A15="","",VLOOKUP(A15,'THAM CHIẾU'!$A:$B,2,0))</f>
        <v>#N/A</v>
      </c>
      <c r="D15" s="1174" t="str">
        <f>IF(E15&lt;&gt;0,VLOOKUP(E15,DM_DUAN,3,0),"")</f>
        <v>NAMPHONG</v>
      </c>
      <c r="E15" s="1175" t="s">
        <v>2067</v>
      </c>
      <c r="F15" s="1174"/>
      <c r="G15" s="1174"/>
      <c r="H15" s="70"/>
      <c r="I15" s="1174" t="str">
        <f>IF($K15&lt;&gt;0,VLOOKUP($K15,DM_KM,3,0),"")</f>
        <v>#N/A</v>
      </c>
      <c r="J15" s="1174" t="str">
        <f>IF($K15&lt;&gt;0,VLOOKUP($K15,DM_KM,5,0),"")</f>
        <v>#N/A</v>
      </c>
      <c r="K15" s="1175" t="s">
        <v>198</v>
      </c>
      <c r="L15" s="1174"/>
      <c r="M15" s="1176"/>
      <c r="N15" s="1178">
        <v>2.0E10</v>
      </c>
      <c r="O15" s="1174"/>
      <c r="P15" s="1177"/>
    </row>
    <row r="16" hidden="1">
      <c r="A16" s="1173">
        <v>44682.0</v>
      </c>
      <c r="B16" s="1174" t="str">
        <f t="shared" si="1"/>
        <v>05/2022</v>
      </c>
      <c r="C16" s="1174" t="str">
        <f>IF(A16="","",VLOOKUP(A16,'THAM CHIẾU'!$A:$B,2,0))</f>
        <v>#N/A</v>
      </c>
      <c r="D16" s="1174" t="str">
        <f>IF(E16&lt;&gt;0,VLOOKUP(E16,DM_DUAN,3,0),"")</f>
        <v/>
      </c>
      <c r="E16" s="1175"/>
      <c r="F16" s="1174"/>
      <c r="G16" s="1174"/>
      <c r="H16" s="70"/>
      <c r="I16" s="1174" t="str">
        <f>IF($K16&lt;&gt;0,VLOOKUP($K16,DM_KM,3,0),"")</f>
        <v/>
      </c>
      <c r="J16" s="1174" t="str">
        <f>IF($K16&lt;&gt;0,VLOOKUP($K16,DM_KM,5,0),"")</f>
        <v/>
      </c>
      <c r="K16" s="1175"/>
      <c r="L16" s="1174"/>
      <c r="M16" s="1176"/>
      <c r="N16" s="745"/>
      <c r="O16" s="1174"/>
      <c r="P16" s="1177"/>
    </row>
    <row r="17">
      <c r="A17" s="1173">
        <v>44682.0</v>
      </c>
      <c r="B17" s="1174" t="str">
        <f t="shared" si="1"/>
        <v>05/2022</v>
      </c>
      <c r="C17" s="1174" t="str">
        <f>IF(A17="","",VLOOKUP(A17,'THAM CHIẾU'!$A:$B,2,0))</f>
        <v>#N/A</v>
      </c>
      <c r="D17" s="1174" t="str">
        <f>IF(E17&lt;&gt;0,VLOOKUP(E17,DM_DUAN,3,0),"")</f>
        <v>THANHNAM</v>
      </c>
      <c r="E17" s="1175" t="s">
        <v>175</v>
      </c>
      <c r="F17" s="1174"/>
      <c r="G17" s="1174"/>
      <c r="H17" s="70"/>
      <c r="I17" s="1174" t="str">
        <f>IF($K17&lt;&gt;0,VLOOKUP($K17,DM_KM,3,0),"")</f>
        <v>#N/A</v>
      </c>
      <c r="J17" s="1174" t="str">
        <f>IF($K17&lt;&gt;0,VLOOKUP($K17,DM_KM,5,0),"")</f>
        <v>#N/A</v>
      </c>
      <c r="K17" s="1175" t="s">
        <v>198</v>
      </c>
      <c r="L17" s="1174"/>
      <c r="M17" s="1176"/>
      <c r="N17" s="1178">
        <v>1.3333333333E10</v>
      </c>
      <c r="O17" s="1174"/>
      <c r="P17" s="1177"/>
    </row>
    <row r="18" hidden="1">
      <c r="A18" s="1173">
        <v>44682.0</v>
      </c>
      <c r="B18" s="1174" t="str">
        <f t="shared" si="1"/>
        <v>05/2022</v>
      </c>
      <c r="C18" s="1174" t="str">
        <f>IF(A18="","",VLOOKUP(A18,'THAM CHIẾU'!$A:$B,2,0))</f>
        <v>#N/A</v>
      </c>
      <c r="D18" s="1174" t="str">
        <f>IF(E18&lt;&gt;0,VLOOKUP(E18,DM_DUAN,3,0),"")</f>
        <v/>
      </c>
      <c r="E18" s="1175"/>
      <c r="F18" s="1174"/>
      <c r="G18" s="1174"/>
      <c r="H18" s="70"/>
      <c r="I18" s="1174" t="str">
        <f>IF($K18&lt;&gt;0,VLOOKUP($K18,DM_KM,3,0),"")</f>
        <v/>
      </c>
      <c r="J18" s="1174" t="str">
        <f>IF($K18&lt;&gt;0,VLOOKUP($K18,DM_KM,5,0),"")</f>
        <v/>
      </c>
      <c r="K18" s="1175"/>
      <c r="L18" s="1174"/>
      <c r="M18" s="1176"/>
      <c r="N18" s="745"/>
      <c r="O18" s="1174"/>
      <c r="P18" s="1177"/>
    </row>
    <row r="19" hidden="1">
      <c r="A19" s="1173">
        <v>44682.0</v>
      </c>
      <c r="B19" s="1174" t="str">
        <f t="shared" si="1"/>
        <v>05/2022</v>
      </c>
      <c r="C19" s="1174" t="str">
        <f>IF(A19="","",VLOOKUP(A19,'THAM CHIẾU'!$A:$B,2,0))</f>
        <v>#N/A</v>
      </c>
      <c r="D19" s="1174" t="str">
        <f>IF(E19&lt;&gt;0,VLOOKUP(E19,DM_DUAN,3,0),"")</f>
        <v/>
      </c>
      <c r="E19" s="1175"/>
      <c r="F19" s="1174"/>
      <c r="G19" s="1174"/>
      <c r="H19" s="70"/>
      <c r="I19" s="1174" t="str">
        <f>IF($K19&lt;&gt;0,VLOOKUP($K19,DM_KM,3,0),"")</f>
        <v/>
      </c>
      <c r="J19" s="1174" t="str">
        <f>IF($K19&lt;&gt;0,VLOOKUP($K19,DM_KM,5,0),"")</f>
        <v/>
      </c>
      <c r="K19" s="1175"/>
      <c r="L19" s="1174"/>
      <c r="M19" s="1176"/>
      <c r="N19" s="745"/>
      <c r="O19" s="1174"/>
      <c r="P19" s="1177"/>
    </row>
    <row r="20" hidden="1">
      <c r="A20" s="1173">
        <v>44682.0</v>
      </c>
      <c r="B20" s="1174" t="str">
        <f t="shared" si="1"/>
        <v>05/2022</v>
      </c>
      <c r="C20" s="1174" t="str">
        <f>IF(A20="","",VLOOKUP(A20,'THAM CHIẾU'!$A:$B,2,0))</f>
        <v>#N/A</v>
      </c>
      <c r="D20" s="1174" t="str">
        <f>IF(E20&lt;&gt;0,VLOOKUP(E20,DM_DUAN,3,0),"")</f>
        <v/>
      </c>
      <c r="E20" s="1175"/>
      <c r="F20" s="1174"/>
      <c r="G20" s="1174"/>
      <c r="H20" s="70"/>
      <c r="I20" s="1174" t="str">
        <f>IF($K20&lt;&gt;0,VLOOKUP($K20,DM_KM,3,0),"")</f>
        <v/>
      </c>
      <c r="J20" s="1174" t="str">
        <f>IF($K20&lt;&gt;0,VLOOKUP($K20,DM_KM,5,0),"")</f>
        <v/>
      </c>
      <c r="K20" s="1175"/>
      <c r="L20" s="1174"/>
      <c r="M20" s="1176"/>
      <c r="N20" s="745"/>
      <c r="O20" s="1174"/>
      <c r="P20" s="1177"/>
    </row>
    <row r="21" hidden="1">
      <c r="A21" s="1173">
        <v>44682.0</v>
      </c>
      <c r="B21" s="1174" t="str">
        <f t="shared" si="1"/>
        <v>05/2022</v>
      </c>
      <c r="C21" s="1174" t="str">
        <f>IF(A21="","",VLOOKUP(A21,'THAM CHIẾU'!$A:$B,2,0))</f>
        <v>#N/A</v>
      </c>
      <c r="D21" s="1174" t="str">
        <f>IF(E21&lt;&gt;0,VLOOKUP(E21,DM_DUAN,3,0),"")</f>
        <v/>
      </c>
      <c r="E21" s="1175"/>
      <c r="F21" s="1174"/>
      <c r="G21" s="1174"/>
      <c r="H21" s="70"/>
      <c r="I21" s="1174" t="str">
        <f>IF($K21&lt;&gt;0,VLOOKUP($K21,DM_KM,3,0),"")</f>
        <v/>
      </c>
      <c r="J21" s="1174" t="str">
        <f>IF($K21&lt;&gt;0,VLOOKUP($K21,DM_KM,5,0),"")</f>
        <v/>
      </c>
      <c r="K21" s="1175"/>
      <c r="L21" s="1174"/>
      <c r="M21" s="1176"/>
      <c r="N21" s="745"/>
      <c r="O21" s="1174"/>
      <c r="P21" s="1177"/>
    </row>
    <row r="22" hidden="1">
      <c r="A22" s="1173">
        <v>44682.0</v>
      </c>
      <c r="B22" s="1174" t="str">
        <f t="shared" si="1"/>
        <v>05/2022</v>
      </c>
      <c r="C22" s="1174" t="str">
        <f>IF(A22="","",VLOOKUP(A22,'THAM CHIẾU'!$A:$B,2,0))</f>
        <v>#N/A</v>
      </c>
      <c r="D22" s="1174" t="str">
        <f>IF(E22&lt;&gt;0,VLOOKUP(E22,DM_DUAN,3,0),"")</f>
        <v/>
      </c>
      <c r="E22" s="1175"/>
      <c r="F22" s="1174"/>
      <c r="G22" s="1174"/>
      <c r="H22" s="70"/>
      <c r="I22" s="1174" t="str">
        <f>IF($K22&lt;&gt;0,VLOOKUP($K22,DM_KM,3,0),"")</f>
        <v/>
      </c>
      <c r="J22" s="1174" t="str">
        <f>IF($K22&lt;&gt;0,VLOOKUP($K22,DM_KM,5,0),"")</f>
        <v/>
      </c>
      <c r="K22" s="1175"/>
      <c r="L22" s="1174"/>
      <c r="M22" s="1176"/>
      <c r="N22" s="745"/>
      <c r="O22" s="1174"/>
      <c r="P22" s="1177"/>
    </row>
    <row r="23" hidden="1">
      <c r="A23" s="1173">
        <v>44713.0</v>
      </c>
      <c r="B23" s="1174" t="str">
        <f t="shared" si="1"/>
        <v>06/2022</v>
      </c>
      <c r="C23" s="1174" t="str">
        <f>IF(A23="","",VLOOKUP(A23,'THAM CHIẾU'!$A:$B,2,0))</f>
        <v>#N/A</v>
      </c>
      <c r="D23" s="1174" t="str">
        <f>IF(E23&lt;&gt;0,VLOOKUP(E23,DM_DUAN,3,0),"")</f>
        <v/>
      </c>
      <c r="E23" s="1175"/>
      <c r="F23" s="1174"/>
      <c r="G23" s="1174"/>
      <c r="H23" s="70"/>
      <c r="I23" s="1174" t="str">
        <f>IF($K23&lt;&gt;0,VLOOKUP($K23,DM_KM,3,0),"")</f>
        <v/>
      </c>
      <c r="J23" s="1174" t="str">
        <f>IF($K23&lt;&gt;0,VLOOKUP($K23,DM_KM,5,0),"")</f>
        <v/>
      </c>
      <c r="K23" s="1175"/>
      <c r="L23" s="1174"/>
      <c r="M23" s="1176"/>
      <c r="N23" s="745"/>
      <c r="O23" s="1174"/>
      <c r="P23" s="1177"/>
    </row>
    <row r="24" hidden="1">
      <c r="A24" s="1173">
        <v>44713.0</v>
      </c>
      <c r="B24" s="1174" t="str">
        <f t="shared" si="1"/>
        <v>06/2022</v>
      </c>
      <c r="C24" s="1174" t="str">
        <f>IF(A24="","",VLOOKUP(A24,'THAM CHIẾU'!$A:$B,2,0))</f>
        <v>#N/A</v>
      </c>
      <c r="D24" s="1174" t="str">
        <f>IF(E24&lt;&gt;0,VLOOKUP(E24,DM_DUAN,3,0),"")</f>
        <v>NAMPHONG</v>
      </c>
      <c r="E24" s="1175" t="s">
        <v>2067</v>
      </c>
      <c r="F24" s="1174"/>
      <c r="G24" s="1174"/>
      <c r="H24" s="70"/>
      <c r="I24" s="1174" t="str">
        <f>IF($K24&lt;&gt;0,VLOOKUP($K24,DM_KM,3,0),"")</f>
        <v>#N/A</v>
      </c>
      <c r="J24" s="1174" t="str">
        <f>IF($K24&lt;&gt;0,VLOOKUP($K24,DM_KM,5,0),"")</f>
        <v>#N/A</v>
      </c>
      <c r="K24" s="1175" t="s">
        <v>198</v>
      </c>
      <c r="L24" s="1174"/>
      <c r="M24" s="1176"/>
      <c r="N24" s="1178">
        <v>2.0E10</v>
      </c>
      <c r="O24" s="1174"/>
      <c r="P24" s="1177"/>
    </row>
    <row r="25" hidden="1">
      <c r="A25" s="1173">
        <v>44713.0</v>
      </c>
      <c r="B25" s="1174" t="str">
        <f t="shared" si="1"/>
        <v>06/2022</v>
      </c>
      <c r="C25" s="1174" t="str">
        <f>IF(A25="","",VLOOKUP(A25,'THAM CHIẾU'!$A:$B,2,0))</f>
        <v>#N/A</v>
      </c>
      <c r="D25" s="1174" t="str">
        <f>IF(E25&lt;&gt;0,VLOOKUP(E25,DM_DUAN,3,0),"")</f>
        <v/>
      </c>
      <c r="E25" s="1175"/>
      <c r="F25" s="1174"/>
      <c r="G25" s="1174"/>
      <c r="H25" s="70"/>
      <c r="I25" s="1174" t="str">
        <f>IF($K25&lt;&gt;0,VLOOKUP($K25,DM_KM,3,0),"")</f>
        <v/>
      </c>
      <c r="J25" s="1174" t="str">
        <f>IF($K25&lt;&gt;0,VLOOKUP($K25,DM_KM,5,0),"")</f>
        <v/>
      </c>
      <c r="K25" s="1175"/>
      <c r="L25" s="1174"/>
      <c r="M25" s="1176"/>
      <c r="N25" s="745"/>
      <c r="O25" s="1174"/>
      <c r="P25" s="1177"/>
    </row>
    <row r="26">
      <c r="A26" s="1173">
        <v>44713.0</v>
      </c>
      <c r="B26" s="1174" t="str">
        <f t="shared" si="1"/>
        <v>06/2022</v>
      </c>
      <c r="C26" s="1174" t="str">
        <f>IF(A26="","",VLOOKUP(A26,'THAM CHIẾU'!$A:$B,2,0))</f>
        <v>#N/A</v>
      </c>
      <c r="D26" s="1174" t="str">
        <f>IF(E26&lt;&gt;0,VLOOKUP(E26,DM_DUAN,3,0),"")</f>
        <v>THANHNAM</v>
      </c>
      <c r="E26" s="1175" t="s">
        <v>175</v>
      </c>
      <c r="F26" s="1174"/>
      <c r="G26" s="1174"/>
      <c r="H26" s="70"/>
      <c r="I26" s="1174" t="str">
        <f>IF($K26&lt;&gt;0,VLOOKUP($K26,DM_KM,3,0),"")</f>
        <v>#N/A</v>
      </c>
      <c r="J26" s="1174" t="str">
        <f>IF($K26&lt;&gt;0,VLOOKUP($K26,DM_KM,5,0),"")</f>
        <v>#N/A</v>
      </c>
      <c r="K26" s="1175" t="s">
        <v>198</v>
      </c>
      <c r="L26" s="1174"/>
      <c r="M26" s="1176"/>
      <c r="N26" s="1178">
        <v>1.3333333333E10</v>
      </c>
      <c r="O26" s="1174"/>
      <c r="P26" s="1177"/>
    </row>
    <row r="27" hidden="1">
      <c r="A27" s="1173">
        <v>44713.0</v>
      </c>
      <c r="B27" s="1174" t="str">
        <f t="shared" si="1"/>
        <v>06/2022</v>
      </c>
      <c r="C27" s="1174" t="str">
        <f>IF(A27="","",VLOOKUP(A27,'THAM CHIẾU'!$A:$B,2,0))</f>
        <v>#N/A</v>
      </c>
      <c r="D27" s="1174" t="str">
        <f>IF(E27&lt;&gt;0,VLOOKUP(E27,DM_DUAN,3,0),"")</f>
        <v/>
      </c>
      <c r="E27" s="1175"/>
      <c r="F27" s="1174"/>
      <c r="G27" s="1174"/>
      <c r="H27" s="70"/>
      <c r="I27" s="1174" t="str">
        <f>IF($K27&lt;&gt;0,VLOOKUP($K27,DM_KM,3,0),"")</f>
        <v/>
      </c>
      <c r="J27" s="1174" t="str">
        <f>IF($K27&lt;&gt;0,VLOOKUP($K27,DM_KM,5,0),"")</f>
        <v/>
      </c>
      <c r="K27" s="1175"/>
      <c r="L27" s="1174"/>
      <c r="M27" s="1176"/>
      <c r="N27" s="745"/>
      <c r="O27" s="1174"/>
      <c r="P27" s="1177"/>
    </row>
    <row r="28" hidden="1">
      <c r="A28" s="1173">
        <v>44713.0</v>
      </c>
      <c r="B28" s="1174" t="str">
        <f t="shared" si="1"/>
        <v>06/2022</v>
      </c>
      <c r="C28" s="1174" t="str">
        <f>IF(A28="","",VLOOKUP(A28,'THAM CHIẾU'!$A:$B,2,0))</f>
        <v>#N/A</v>
      </c>
      <c r="D28" s="1174" t="str">
        <f>IF(E28&lt;&gt;0,VLOOKUP(E28,DM_DUAN,3,0),"")</f>
        <v/>
      </c>
      <c r="E28" s="1175"/>
      <c r="F28" s="1174"/>
      <c r="G28" s="1174"/>
      <c r="H28" s="70"/>
      <c r="I28" s="1174" t="str">
        <f>IF($K28&lt;&gt;0,VLOOKUP($K28,DM_KM,3,0),"")</f>
        <v/>
      </c>
      <c r="J28" s="1174" t="str">
        <f>IF($K28&lt;&gt;0,VLOOKUP($K28,DM_KM,5,0),"")</f>
        <v/>
      </c>
      <c r="K28" s="1175"/>
      <c r="L28" s="1174"/>
      <c r="M28" s="1176"/>
      <c r="N28" s="745"/>
      <c r="O28" s="1174"/>
      <c r="P28" s="1177"/>
    </row>
    <row r="29" hidden="1">
      <c r="A29" s="1173">
        <v>44713.0</v>
      </c>
      <c r="B29" s="1174" t="str">
        <f t="shared" si="1"/>
        <v>06/2022</v>
      </c>
      <c r="C29" s="1174" t="str">
        <f>IF(A29="","",VLOOKUP(A29,'THAM CHIẾU'!$A:$B,2,0))</f>
        <v>#N/A</v>
      </c>
      <c r="D29" s="1174" t="str">
        <f>IF(E29&lt;&gt;0,VLOOKUP(E29,DM_DUAN,3,0),"")</f>
        <v/>
      </c>
      <c r="E29" s="1175"/>
      <c r="F29" s="1174"/>
      <c r="G29" s="1174"/>
      <c r="H29" s="70"/>
      <c r="I29" s="1174" t="str">
        <f>IF($K29&lt;&gt;0,VLOOKUP($K29,DM_KM,3,0),"")</f>
        <v/>
      </c>
      <c r="J29" s="1174" t="str">
        <f>IF($K29&lt;&gt;0,VLOOKUP($K29,DM_KM,5,0),"")</f>
        <v/>
      </c>
      <c r="K29" s="1175"/>
      <c r="L29" s="1174"/>
      <c r="M29" s="1176"/>
      <c r="N29" s="745"/>
      <c r="O29" s="1174"/>
      <c r="P29" s="1177"/>
    </row>
    <row r="30" hidden="1">
      <c r="A30" s="1173">
        <v>44713.0</v>
      </c>
      <c r="B30" s="1174" t="str">
        <f t="shared" si="1"/>
        <v>06/2022</v>
      </c>
      <c r="C30" s="1174" t="str">
        <f>IF(A30="","",VLOOKUP(A30,'THAM CHIẾU'!$A:$B,2,0))</f>
        <v>#N/A</v>
      </c>
      <c r="D30" s="1174" t="str">
        <f>IF(E30&lt;&gt;0,VLOOKUP(E30,DM_DUAN,3,0),"")</f>
        <v/>
      </c>
      <c r="E30" s="1175"/>
      <c r="F30" s="1174"/>
      <c r="G30" s="1174"/>
      <c r="H30" s="70"/>
      <c r="I30" s="1174" t="str">
        <f>IF($K30&lt;&gt;0,VLOOKUP($K30,DM_KM,3,0),"")</f>
        <v/>
      </c>
      <c r="J30" s="1174" t="str">
        <f>IF($K30&lt;&gt;0,VLOOKUP($K30,DM_KM,5,0),"")</f>
        <v/>
      </c>
      <c r="K30" s="1175"/>
      <c r="L30" s="1174"/>
      <c r="M30" s="1176"/>
      <c r="N30" s="745"/>
      <c r="O30" s="1174"/>
      <c r="P30" s="1177"/>
    </row>
    <row r="31" hidden="1">
      <c r="A31" s="1173">
        <v>44713.0</v>
      </c>
      <c r="B31" s="1174" t="str">
        <f t="shared" si="1"/>
        <v>06/2022</v>
      </c>
      <c r="C31" s="1174" t="str">
        <f>IF(A31="","",VLOOKUP(A31,'THAM CHIẾU'!$A:$B,2,0))</f>
        <v>#N/A</v>
      </c>
      <c r="D31" s="1174" t="str">
        <f>IF(E31&lt;&gt;0,VLOOKUP(E31,DM_DUAN,3,0),"")</f>
        <v/>
      </c>
      <c r="E31" s="1175"/>
      <c r="F31" s="1174"/>
      <c r="G31" s="1174"/>
      <c r="H31" s="70"/>
      <c r="I31" s="1174" t="str">
        <f>IF($K31&lt;&gt;0,VLOOKUP($K31,DM_KM,3,0),"")</f>
        <v/>
      </c>
      <c r="J31" s="1174" t="str">
        <f>IF($K31&lt;&gt;0,VLOOKUP($K31,DM_KM,5,0),"")</f>
        <v/>
      </c>
      <c r="K31" s="1175"/>
      <c r="L31" s="1174"/>
      <c r="M31" s="1176"/>
      <c r="N31" s="745"/>
      <c r="O31" s="1174"/>
      <c r="P31" s="1177"/>
    </row>
    <row r="32" hidden="1">
      <c r="A32" s="1173">
        <v>44743.0</v>
      </c>
      <c r="B32" s="1174" t="str">
        <f t="shared" si="1"/>
        <v>07/2022</v>
      </c>
      <c r="C32" s="1174" t="str">
        <f>IF(A32="","",VLOOKUP(A32,'THAM CHIẾU'!$A:$B,2,0))</f>
        <v>#N/A</v>
      </c>
      <c r="D32" s="1174" t="str">
        <f>IF(E32&lt;&gt;0,VLOOKUP(E32,DM_DUAN,3,0),"")</f>
        <v/>
      </c>
      <c r="E32" s="1175"/>
      <c r="F32" s="1174"/>
      <c r="G32" s="1174"/>
      <c r="H32" s="70"/>
      <c r="I32" s="1174" t="str">
        <f>IF($K32&lt;&gt;0,VLOOKUP($K32,DM_KM,3,0),"")</f>
        <v/>
      </c>
      <c r="J32" s="1174" t="str">
        <f>IF($K32&lt;&gt;0,VLOOKUP($K32,DM_KM,5,0),"")</f>
        <v/>
      </c>
      <c r="K32" s="1175"/>
      <c r="L32" s="1174"/>
      <c r="M32" s="1176"/>
      <c r="N32" s="745"/>
      <c r="O32" s="1174"/>
      <c r="P32" s="1177"/>
    </row>
    <row r="33" hidden="1">
      <c r="A33" s="1173">
        <v>44743.0</v>
      </c>
      <c r="B33" s="1174" t="str">
        <f t="shared" si="1"/>
        <v>07/2022</v>
      </c>
      <c r="C33" s="1174" t="str">
        <f>IF(A33="","",VLOOKUP(A33,'THAM CHIẾU'!$A:$B,2,0))</f>
        <v>#N/A</v>
      </c>
      <c r="D33" s="1174" t="str">
        <f>IF(E33&lt;&gt;0,VLOOKUP(E33,DM_DUAN,3,0),"")</f>
        <v>NAMPHONG</v>
      </c>
      <c r="E33" s="1175" t="s">
        <v>2067</v>
      </c>
      <c r="F33" s="1174"/>
      <c r="G33" s="1174"/>
      <c r="H33" s="70"/>
      <c r="I33" s="1174" t="str">
        <f>IF($K33&lt;&gt;0,VLOOKUP($K33,DM_KM,3,0),"")</f>
        <v>#N/A</v>
      </c>
      <c r="J33" s="1174" t="str">
        <f>IF($K33&lt;&gt;0,VLOOKUP($K33,DM_KM,5,0),"")</f>
        <v>#N/A</v>
      </c>
      <c r="K33" s="1175" t="s">
        <v>198</v>
      </c>
      <c r="L33" s="1174"/>
      <c r="M33" s="1176"/>
      <c r="N33" s="1178">
        <v>2.0E10</v>
      </c>
      <c r="O33" s="1174"/>
      <c r="P33" s="1177"/>
    </row>
    <row r="34" hidden="1">
      <c r="A34" s="1173">
        <v>44743.0</v>
      </c>
      <c r="B34" s="1174" t="str">
        <f t="shared" si="1"/>
        <v>07/2022</v>
      </c>
      <c r="C34" s="1174" t="str">
        <f>IF(A34="","",VLOOKUP(A34,'THAM CHIẾU'!$A:$B,2,0))</f>
        <v>#N/A</v>
      </c>
      <c r="D34" s="1174" t="str">
        <f>IF(E34&lt;&gt;0,VLOOKUP(E34,DM_DUAN,3,0),"")</f>
        <v/>
      </c>
      <c r="E34" s="1175"/>
      <c r="F34" s="1174"/>
      <c r="G34" s="1174"/>
      <c r="H34" s="70"/>
      <c r="I34" s="1174" t="str">
        <f>IF($K34&lt;&gt;0,VLOOKUP($K34,DM_KM,3,0),"")</f>
        <v/>
      </c>
      <c r="J34" s="1174" t="str">
        <f>IF($K34&lt;&gt;0,VLOOKUP($K34,DM_KM,5,0),"")</f>
        <v/>
      </c>
      <c r="K34" s="1175"/>
      <c r="L34" s="1174"/>
      <c r="M34" s="1176"/>
      <c r="N34" s="745"/>
      <c r="O34" s="1174"/>
      <c r="P34" s="1177"/>
    </row>
    <row r="35">
      <c r="A35" s="1173">
        <v>44743.0</v>
      </c>
      <c r="B35" s="1174" t="str">
        <f t="shared" si="1"/>
        <v>07/2022</v>
      </c>
      <c r="C35" s="1174" t="str">
        <f>IF(A35="","",VLOOKUP(A35,'THAM CHIẾU'!$A:$B,2,0))</f>
        <v>#N/A</v>
      </c>
      <c r="D35" s="1174" t="str">
        <f>IF(E35&lt;&gt;0,VLOOKUP(E35,DM_DUAN,3,0),"")</f>
        <v>THANHNAM</v>
      </c>
      <c r="E35" s="1175" t="s">
        <v>175</v>
      </c>
      <c r="F35" s="1174"/>
      <c r="G35" s="1174"/>
      <c r="H35" s="70"/>
      <c r="I35" s="1174" t="str">
        <f>IF($K35&lt;&gt;0,VLOOKUP($K35,DM_KM,3,0),"")</f>
        <v>#N/A</v>
      </c>
      <c r="J35" s="1174" t="str">
        <f>IF($K35&lt;&gt;0,VLOOKUP($K35,DM_KM,5,0),"")</f>
        <v>#N/A</v>
      </c>
      <c r="K35" s="1175" t="s">
        <v>198</v>
      </c>
      <c r="L35" s="1174"/>
      <c r="M35" s="1176"/>
      <c r="N35" s="1178">
        <v>1.3333333333E10</v>
      </c>
      <c r="O35" s="1174"/>
      <c r="P35" s="1177"/>
    </row>
    <row r="36" hidden="1">
      <c r="A36" s="1173">
        <v>44743.0</v>
      </c>
      <c r="B36" s="1174" t="str">
        <f t="shared" si="1"/>
        <v>07/2022</v>
      </c>
      <c r="C36" s="1174" t="str">
        <f>IF(A36="","",VLOOKUP(A36,'THAM CHIẾU'!$A:$B,2,0))</f>
        <v>#N/A</v>
      </c>
      <c r="D36" s="1174" t="str">
        <f>IF(E36&lt;&gt;0,VLOOKUP(E36,DM_DUAN,3,0),"")</f>
        <v/>
      </c>
      <c r="E36" s="1175"/>
      <c r="F36" s="1174"/>
      <c r="G36" s="1174"/>
      <c r="H36" s="70"/>
      <c r="I36" s="1174" t="str">
        <f>IF($K36&lt;&gt;0,VLOOKUP($K36,DM_KM,3,0),"")</f>
        <v/>
      </c>
      <c r="J36" s="1174" t="str">
        <f>IF($K36&lt;&gt;0,VLOOKUP($K36,DM_KM,5,0),"")</f>
        <v/>
      </c>
      <c r="K36" s="1175"/>
      <c r="L36" s="1174"/>
      <c r="M36" s="1176"/>
      <c r="N36" s="745"/>
      <c r="O36" s="1174"/>
      <c r="P36" s="1177"/>
    </row>
    <row r="37" hidden="1">
      <c r="A37" s="1173">
        <v>44743.0</v>
      </c>
      <c r="B37" s="1174" t="str">
        <f t="shared" si="1"/>
        <v>07/2022</v>
      </c>
      <c r="C37" s="1174" t="str">
        <f>IF(A37="","",VLOOKUP(A37,'THAM CHIẾU'!$A:$B,2,0))</f>
        <v>#N/A</v>
      </c>
      <c r="D37" s="1174" t="str">
        <f>IF(E37&lt;&gt;0,VLOOKUP(E37,DM_DUAN,3,0),"")</f>
        <v/>
      </c>
      <c r="E37" s="1175"/>
      <c r="F37" s="1174"/>
      <c r="G37" s="1174"/>
      <c r="H37" s="70"/>
      <c r="I37" s="1174" t="str">
        <f>IF($K37&lt;&gt;0,VLOOKUP($K37,DM_KM,3,0),"")</f>
        <v/>
      </c>
      <c r="J37" s="1174" t="str">
        <f>IF($K37&lt;&gt;0,VLOOKUP($K37,DM_KM,5,0),"")</f>
        <v/>
      </c>
      <c r="K37" s="1175"/>
      <c r="L37" s="1174"/>
      <c r="M37" s="1176"/>
      <c r="N37" s="745"/>
      <c r="O37" s="1174"/>
      <c r="P37" s="1177"/>
    </row>
    <row r="38" hidden="1">
      <c r="A38" s="1173">
        <v>44743.0</v>
      </c>
      <c r="B38" s="1174" t="str">
        <f t="shared" si="1"/>
        <v>07/2022</v>
      </c>
      <c r="C38" s="1174" t="str">
        <f>IF(A38="","",VLOOKUP(A38,'THAM CHIẾU'!$A:$B,2,0))</f>
        <v>#N/A</v>
      </c>
      <c r="D38" s="1174" t="str">
        <f>IF(E38&lt;&gt;0,VLOOKUP(E38,DM_DUAN,3,0),"")</f>
        <v/>
      </c>
      <c r="E38" s="1175"/>
      <c r="F38" s="1174"/>
      <c r="G38" s="1174"/>
      <c r="H38" s="70"/>
      <c r="I38" s="1174" t="str">
        <f>IF($K38&lt;&gt;0,VLOOKUP($K38,DM_KM,3,0),"")</f>
        <v/>
      </c>
      <c r="J38" s="1174" t="str">
        <f>IF($K38&lt;&gt;0,VLOOKUP($K38,DM_KM,5,0),"")</f>
        <v/>
      </c>
      <c r="K38" s="1175"/>
      <c r="L38" s="1174"/>
      <c r="M38" s="1176"/>
      <c r="N38" s="745"/>
      <c r="O38" s="1174"/>
      <c r="P38" s="1177"/>
    </row>
    <row r="39" hidden="1">
      <c r="A39" s="1173">
        <v>44743.0</v>
      </c>
      <c r="B39" s="1174" t="str">
        <f t="shared" si="1"/>
        <v>07/2022</v>
      </c>
      <c r="C39" s="1174" t="str">
        <f>IF(A39="","",VLOOKUP(A39,'THAM CHIẾU'!$A:$B,2,0))</f>
        <v>#N/A</v>
      </c>
      <c r="D39" s="1174" t="str">
        <f>IF(E39&lt;&gt;0,VLOOKUP(E39,DM_DUAN,3,0),"")</f>
        <v/>
      </c>
      <c r="E39" s="1175"/>
      <c r="F39" s="1174"/>
      <c r="G39" s="1174"/>
      <c r="H39" s="70"/>
      <c r="I39" s="1174" t="str">
        <f>IF($K39&lt;&gt;0,VLOOKUP($K39,DM_KM,3,0),"")</f>
        <v/>
      </c>
      <c r="J39" s="1174" t="str">
        <f>IF($K39&lt;&gt;0,VLOOKUP($K39,DM_KM,5,0),"")</f>
        <v/>
      </c>
      <c r="K39" s="1175"/>
      <c r="L39" s="1174"/>
      <c r="M39" s="1176"/>
      <c r="N39" s="745"/>
      <c r="O39" s="1174"/>
      <c r="P39" s="1177"/>
    </row>
    <row r="40" hidden="1">
      <c r="A40" s="1173">
        <v>44743.0</v>
      </c>
      <c r="B40" s="1174" t="str">
        <f t="shared" si="1"/>
        <v>07/2022</v>
      </c>
      <c r="C40" s="1174" t="str">
        <f>IF(A40="","",VLOOKUP(A40,'THAM CHIẾU'!$A:$B,2,0))</f>
        <v>#N/A</v>
      </c>
      <c r="D40" s="1174" t="str">
        <f>IF(E40&lt;&gt;0,VLOOKUP(E40,DM_DUAN,3,0),"")</f>
        <v/>
      </c>
      <c r="E40" s="1175"/>
      <c r="F40" s="1174"/>
      <c r="G40" s="1174"/>
      <c r="H40" s="70"/>
      <c r="I40" s="1174" t="str">
        <f>IF($K40&lt;&gt;0,VLOOKUP($K40,DM_KM,3,0),"")</f>
        <v/>
      </c>
      <c r="J40" s="1174" t="str">
        <f>IF($K40&lt;&gt;0,VLOOKUP($K40,DM_KM,5,0),"")</f>
        <v/>
      </c>
      <c r="K40" s="1175"/>
      <c r="L40" s="1174"/>
      <c r="M40" s="1176"/>
      <c r="N40" s="745"/>
      <c r="O40" s="1174"/>
      <c r="P40" s="1177"/>
    </row>
    <row r="41" hidden="1">
      <c r="A41" s="1173">
        <v>44774.0</v>
      </c>
      <c r="B41" s="1174" t="str">
        <f t="shared" si="1"/>
        <v>08/2022</v>
      </c>
      <c r="C41" s="1174" t="str">
        <f>IF(A41="","",VLOOKUP(A41,'THAM CHIẾU'!$A:$B,2,0))</f>
        <v>#N/A</v>
      </c>
      <c r="D41" s="1174" t="str">
        <f>IF(E41&lt;&gt;0,VLOOKUP(E41,DM_DUAN,3,0),"")</f>
        <v/>
      </c>
      <c r="E41" s="1175"/>
      <c r="F41" s="1174"/>
      <c r="G41" s="1174"/>
      <c r="H41" s="70"/>
      <c r="I41" s="1174" t="str">
        <f>IF($K41&lt;&gt;0,VLOOKUP($K41,DM_KM,3,0),"")</f>
        <v/>
      </c>
      <c r="J41" s="1174" t="str">
        <f>IF($K41&lt;&gt;0,VLOOKUP($K41,DM_KM,5,0),"")</f>
        <v/>
      </c>
      <c r="K41" s="1175"/>
      <c r="L41" s="1174"/>
      <c r="M41" s="1176"/>
      <c r="N41" s="745"/>
      <c r="O41" s="1174"/>
      <c r="P41" s="1177"/>
    </row>
    <row r="42" hidden="1">
      <c r="A42" s="1173">
        <v>44774.0</v>
      </c>
      <c r="B42" s="1174" t="str">
        <f t="shared" si="1"/>
        <v>08/2022</v>
      </c>
      <c r="C42" s="1174" t="str">
        <f>IF(A42="","",VLOOKUP(A42,'THAM CHIẾU'!$A:$B,2,0))</f>
        <v>#N/A</v>
      </c>
      <c r="D42" s="1174" t="str">
        <f>IF(E42&lt;&gt;0,VLOOKUP(E42,DM_DUAN,3,0),"")</f>
        <v>NAMPHONG</v>
      </c>
      <c r="E42" s="1175" t="s">
        <v>2067</v>
      </c>
      <c r="F42" s="1174"/>
      <c r="G42" s="1174"/>
      <c r="H42" s="70"/>
      <c r="I42" s="1174" t="str">
        <f>IF($K42&lt;&gt;0,VLOOKUP($K42,DM_KM,3,0),"")</f>
        <v>#N/A</v>
      </c>
      <c r="J42" s="1174" t="str">
        <f>IF($K42&lt;&gt;0,VLOOKUP($K42,DM_KM,5,0),"")</f>
        <v>#N/A</v>
      </c>
      <c r="K42" s="1175" t="s">
        <v>198</v>
      </c>
      <c r="L42" s="1174"/>
      <c r="M42" s="1176"/>
      <c r="N42" s="1178">
        <v>2.0E10</v>
      </c>
      <c r="O42" s="1174"/>
      <c r="P42" s="1177"/>
    </row>
    <row r="43" hidden="1">
      <c r="A43" s="1173">
        <v>44774.0</v>
      </c>
      <c r="B43" s="1174" t="str">
        <f t="shared" si="1"/>
        <v>08/2022</v>
      </c>
      <c r="C43" s="1174" t="str">
        <f>IF(A43="","",VLOOKUP(A43,'THAM CHIẾU'!$A:$B,2,0))</f>
        <v>#N/A</v>
      </c>
      <c r="D43" s="1174" t="str">
        <f>IF(E43&lt;&gt;0,VLOOKUP(E43,DM_DUAN,3,0),"")</f>
        <v/>
      </c>
      <c r="E43" s="1175"/>
      <c r="F43" s="1174"/>
      <c r="G43" s="1174"/>
      <c r="H43" s="70"/>
      <c r="I43" s="1174" t="str">
        <f>IF($K43&lt;&gt;0,VLOOKUP($K43,DM_KM,3,0),"")</f>
        <v/>
      </c>
      <c r="J43" s="1174" t="str">
        <f>IF($K43&lt;&gt;0,VLOOKUP($K43,DM_KM,5,0),"")</f>
        <v/>
      </c>
      <c r="K43" s="1175"/>
      <c r="L43" s="1174"/>
      <c r="M43" s="1176"/>
      <c r="N43" s="745"/>
      <c r="O43" s="1174"/>
      <c r="P43" s="1177"/>
    </row>
    <row r="44">
      <c r="A44" s="1173">
        <v>44774.0</v>
      </c>
      <c r="B44" s="1174" t="str">
        <f t="shared" si="1"/>
        <v>08/2022</v>
      </c>
      <c r="C44" s="1174" t="str">
        <f>IF(A44="","",VLOOKUP(A44,'THAM CHIẾU'!$A:$B,2,0))</f>
        <v>#N/A</v>
      </c>
      <c r="D44" s="1174" t="str">
        <f>IF(E44&lt;&gt;0,VLOOKUP(E44,DM_DUAN,3,0),"")</f>
        <v>THANHNAM</v>
      </c>
      <c r="E44" s="1175" t="s">
        <v>175</v>
      </c>
      <c r="F44" s="1174"/>
      <c r="G44" s="1174"/>
      <c r="H44" s="70"/>
      <c r="I44" s="1174" t="str">
        <f>IF($K44&lt;&gt;0,VLOOKUP($K44,DM_KM,3,0),"")</f>
        <v>#N/A</v>
      </c>
      <c r="J44" s="1174" t="str">
        <f>IF($K44&lt;&gt;0,VLOOKUP($K44,DM_KM,5,0),"")</f>
        <v>#N/A</v>
      </c>
      <c r="K44" s="1175" t="s">
        <v>198</v>
      </c>
      <c r="L44" s="1174"/>
      <c r="M44" s="1176"/>
      <c r="N44" s="1178">
        <v>1.3333333333E10</v>
      </c>
      <c r="O44" s="1174"/>
      <c r="P44" s="1177"/>
    </row>
    <row r="45" hidden="1">
      <c r="A45" s="1173">
        <v>44774.0</v>
      </c>
      <c r="B45" s="1174" t="str">
        <f t="shared" si="1"/>
        <v>08/2022</v>
      </c>
      <c r="C45" s="1174" t="str">
        <f>IF(A45="","",VLOOKUP(A45,'THAM CHIẾU'!$A:$B,2,0))</f>
        <v>#N/A</v>
      </c>
      <c r="D45" s="1174" t="str">
        <f>IF(E45&lt;&gt;0,VLOOKUP(E45,DM_DUAN,3,0),"")</f>
        <v/>
      </c>
      <c r="E45" s="1175"/>
      <c r="F45" s="1174"/>
      <c r="G45" s="1174"/>
      <c r="H45" s="70"/>
      <c r="I45" s="1174" t="str">
        <f>IF($K45&lt;&gt;0,VLOOKUP($K45,DM_KM,3,0),"")</f>
        <v/>
      </c>
      <c r="J45" s="1174" t="str">
        <f>IF($K45&lt;&gt;0,VLOOKUP($K45,DM_KM,5,0),"")</f>
        <v/>
      </c>
      <c r="K45" s="1175"/>
      <c r="L45" s="1174"/>
      <c r="M45" s="1176"/>
      <c r="N45" s="745"/>
      <c r="O45" s="1174"/>
      <c r="P45" s="1177"/>
    </row>
    <row r="46" hidden="1">
      <c r="A46" s="1173">
        <v>44774.0</v>
      </c>
      <c r="B46" s="1174" t="str">
        <f t="shared" si="1"/>
        <v>08/2022</v>
      </c>
      <c r="C46" s="1174" t="str">
        <f>IF(A46="","",VLOOKUP(A46,'THAM CHIẾU'!$A:$B,2,0))</f>
        <v>#N/A</v>
      </c>
      <c r="D46" s="1174" t="str">
        <f>IF(E46&lt;&gt;0,VLOOKUP(E46,DM_DUAN,3,0),"")</f>
        <v/>
      </c>
      <c r="E46" s="1175"/>
      <c r="F46" s="1174"/>
      <c r="G46" s="1174"/>
      <c r="H46" s="70"/>
      <c r="I46" s="1174" t="str">
        <f>IF($K46&lt;&gt;0,VLOOKUP($K46,DM_KM,3,0),"")</f>
        <v/>
      </c>
      <c r="J46" s="1174" t="str">
        <f>IF($K46&lt;&gt;0,VLOOKUP($K46,DM_KM,5,0),"")</f>
        <v/>
      </c>
      <c r="K46" s="1175"/>
      <c r="L46" s="1174"/>
      <c r="M46" s="1176"/>
      <c r="N46" s="745"/>
      <c r="O46" s="1174"/>
      <c r="P46" s="1177"/>
    </row>
    <row r="47" hidden="1">
      <c r="A47" s="1173">
        <v>44774.0</v>
      </c>
      <c r="B47" s="1174" t="str">
        <f t="shared" si="1"/>
        <v>08/2022</v>
      </c>
      <c r="C47" s="1174" t="str">
        <f>IF(A47="","",VLOOKUP(A47,'THAM CHIẾU'!$A:$B,2,0))</f>
        <v>#N/A</v>
      </c>
      <c r="D47" s="1174" t="str">
        <f>IF(E47&lt;&gt;0,VLOOKUP(E47,DM_DUAN,3,0),"")</f>
        <v/>
      </c>
      <c r="E47" s="1175"/>
      <c r="F47" s="1174"/>
      <c r="G47" s="1174"/>
      <c r="H47" s="70"/>
      <c r="I47" s="1174" t="str">
        <f>IF($K47&lt;&gt;0,VLOOKUP($K47,DM_KM,3,0),"")</f>
        <v/>
      </c>
      <c r="J47" s="1174" t="str">
        <f>IF($K47&lt;&gt;0,VLOOKUP($K47,DM_KM,5,0),"")</f>
        <v/>
      </c>
      <c r="K47" s="1175"/>
      <c r="L47" s="1174"/>
      <c r="M47" s="1176"/>
      <c r="N47" s="745"/>
      <c r="O47" s="1174"/>
      <c r="P47" s="1177"/>
    </row>
    <row r="48" hidden="1">
      <c r="A48" s="1173">
        <v>44774.0</v>
      </c>
      <c r="B48" s="1174" t="str">
        <f t="shared" si="1"/>
        <v>08/2022</v>
      </c>
      <c r="C48" s="1174" t="str">
        <f>IF(A48="","",VLOOKUP(A48,'THAM CHIẾU'!$A:$B,2,0))</f>
        <v>#N/A</v>
      </c>
      <c r="D48" s="1174" t="str">
        <f>IF(E48&lt;&gt;0,VLOOKUP(E48,DM_DUAN,3,0),"")</f>
        <v/>
      </c>
      <c r="E48" s="1175"/>
      <c r="F48" s="1174"/>
      <c r="G48" s="1174"/>
      <c r="H48" s="70"/>
      <c r="I48" s="1174" t="str">
        <f>IF($K48&lt;&gt;0,VLOOKUP($K48,DM_KM,3,0),"")</f>
        <v/>
      </c>
      <c r="J48" s="1174" t="str">
        <f>IF($K48&lt;&gt;0,VLOOKUP($K48,DM_KM,5,0),"")</f>
        <v/>
      </c>
      <c r="K48" s="1175"/>
      <c r="L48" s="1174"/>
      <c r="M48" s="1176"/>
      <c r="N48" s="745"/>
      <c r="O48" s="1174"/>
      <c r="P48" s="1177"/>
    </row>
    <row r="49" hidden="1">
      <c r="A49" s="1173">
        <v>44774.0</v>
      </c>
      <c r="B49" s="1174" t="str">
        <f t="shared" si="1"/>
        <v>08/2022</v>
      </c>
      <c r="C49" s="1174" t="str">
        <f>IF(A49="","",VLOOKUP(A49,'THAM CHIẾU'!$A:$B,2,0))</f>
        <v>#N/A</v>
      </c>
      <c r="D49" s="1174" t="str">
        <f>IF(E49&lt;&gt;0,VLOOKUP(E49,DM_DUAN,3,0),"")</f>
        <v/>
      </c>
      <c r="E49" s="1175"/>
      <c r="F49" s="1174"/>
      <c r="G49" s="1174"/>
      <c r="H49" s="70"/>
      <c r="I49" s="1174" t="str">
        <f>IF($K49&lt;&gt;0,VLOOKUP($K49,DM_KM,3,0),"")</f>
        <v/>
      </c>
      <c r="J49" s="1174" t="str">
        <f>IF($K49&lt;&gt;0,VLOOKUP($K49,DM_KM,5,0),"")</f>
        <v/>
      </c>
      <c r="K49" s="1175"/>
      <c r="L49" s="1174"/>
      <c r="M49" s="1176"/>
      <c r="N49" s="745"/>
      <c r="O49" s="1174"/>
      <c r="P49" s="1177"/>
    </row>
    <row r="50" hidden="1">
      <c r="A50" s="1173">
        <v>44805.0</v>
      </c>
      <c r="B50" s="1174" t="str">
        <f t="shared" si="1"/>
        <v>09/2022</v>
      </c>
      <c r="C50" s="1174" t="str">
        <f>IF(A50="","",VLOOKUP(A50,'THAM CHIẾU'!$A:$B,2,0))</f>
        <v>#N/A</v>
      </c>
      <c r="D50" s="1174" t="str">
        <f>IF(E50&lt;&gt;0,VLOOKUP(E50,DM_DUAN,3,0),"")</f>
        <v/>
      </c>
      <c r="E50" s="1175"/>
      <c r="F50" s="1174"/>
      <c r="G50" s="1174"/>
      <c r="H50" s="70"/>
      <c r="I50" s="1174" t="str">
        <f>IF($K50&lt;&gt;0,VLOOKUP($K50,DM_KM,3,0),"")</f>
        <v/>
      </c>
      <c r="J50" s="1174" t="str">
        <f>IF($K50&lt;&gt;0,VLOOKUP($K50,DM_KM,5,0),"")</f>
        <v/>
      </c>
      <c r="K50" s="1175"/>
      <c r="L50" s="1174"/>
      <c r="M50" s="1176"/>
      <c r="N50" s="745"/>
      <c r="O50" s="1174"/>
      <c r="P50" s="1177"/>
    </row>
    <row r="51" hidden="1">
      <c r="A51" s="1173">
        <v>44805.0</v>
      </c>
      <c r="B51" s="1174" t="str">
        <f t="shared" si="1"/>
        <v>09/2022</v>
      </c>
      <c r="C51" s="1174" t="str">
        <f>IF(A51="","",VLOOKUP(A51,'THAM CHIẾU'!$A:$B,2,0))</f>
        <v>#N/A</v>
      </c>
      <c r="D51" s="1174" t="str">
        <f>IF(E51&lt;&gt;0,VLOOKUP(E51,DM_DUAN,3,0),"")</f>
        <v>NAMPHONG</v>
      </c>
      <c r="E51" s="1175" t="s">
        <v>2067</v>
      </c>
      <c r="F51" s="1174"/>
      <c r="G51" s="1174"/>
      <c r="H51" s="70"/>
      <c r="I51" s="1174" t="str">
        <f>IF($K51&lt;&gt;0,VLOOKUP($K51,DM_KM,3,0),"")</f>
        <v>#N/A</v>
      </c>
      <c r="J51" s="1174" t="str">
        <f>IF($K51&lt;&gt;0,VLOOKUP($K51,DM_KM,5,0),"")</f>
        <v>#N/A</v>
      </c>
      <c r="K51" s="1175" t="s">
        <v>198</v>
      </c>
      <c r="L51" s="1174"/>
      <c r="M51" s="1176"/>
      <c r="N51" s="1178">
        <v>2.0E10</v>
      </c>
      <c r="O51" s="1174"/>
      <c r="P51" s="1177"/>
    </row>
    <row r="52" hidden="1">
      <c r="A52" s="1173">
        <v>44805.0</v>
      </c>
      <c r="B52" s="1174" t="str">
        <f t="shared" si="1"/>
        <v>09/2022</v>
      </c>
      <c r="C52" s="1174" t="str">
        <f>IF(A52="","",VLOOKUP(A52,'THAM CHIẾU'!$A:$B,2,0))</f>
        <v>#N/A</v>
      </c>
      <c r="D52" s="1174" t="str">
        <f>IF(E52&lt;&gt;0,VLOOKUP(E52,DM_DUAN,3,0),"")</f>
        <v/>
      </c>
      <c r="E52" s="1175"/>
      <c r="F52" s="1174"/>
      <c r="G52" s="1174"/>
      <c r="H52" s="70"/>
      <c r="I52" s="1174" t="str">
        <f>IF($K52&lt;&gt;0,VLOOKUP($K52,DM_KM,3,0),"")</f>
        <v/>
      </c>
      <c r="J52" s="1174" t="str">
        <f>IF($K52&lt;&gt;0,VLOOKUP($K52,DM_KM,5,0),"")</f>
        <v/>
      </c>
      <c r="K52" s="1175"/>
      <c r="L52" s="1174"/>
      <c r="M52" s="1176"/>
      <c r="N52" s="745"/>
      <c r="O52" s="1174"/>
      <c r="P52" s="1177"/>
    </row>
    <row r="53">
      <c r="A53" s="1173">
        <v>44805.0</v>
      </c>
      <c r="B53" s="1174" t="str">
        <f t="shared" si="1"/>
        <v>09/2022</v>
      </c>
      <c r="C53" s="1174" t="str">
        <f>IF(A53="","",VLOOKUP(A53,'THAM CHIẾU'!$A:$B,2,0))</f>
        <v>#N/A</v>
      </c>
      <c r="D53" s="1174" t="str">
        <f>IF(E53&lt;&gt;0,VLOOKUP(E53,DM_DUAN,3,0),"")</f>
        <v>THANHNAM</v>
      </c>
      <c r="E53" s="1175" t="s">
        <v>175</v>
      </c>
      <c r="F53" s="1174"/>
      <c r="G53" s="1174"/>
      <c r="H53" s="70"/>
      <c r="I53" s="1174" t="str">
        <f>IF($K53&lt;&gt;0,VLOOKUP($K53,DM_KM,3,0),"")</f>
        <v>#N/A</v>
      </c>
      <c r="J53" s="1174" t="str">
        <f>IF($K53&lt;&gt;0,VLOOKUP($K53,DM_KM,5,0),"")</f>
        <v>#N/A</v>
      </c>
      <c r="K53" s="1175" t="s">
        <v>198</v>
      </c>
      <c r="L53" s="1174"/>
      <c r="M53" s="1176"/>
      <c r="N53" s="1178">
        <v>1.3333333333E10</v>
      </c>
      <c r="O53" s="1174"/>
      <c r="P53" s="1177"/>
    </row>
    <row r="54" hidden="1">
      <c r="A54" s="1173">
        <v>44805.0</v>
      </c>
      <c r="B54" s="1174" t="str">
        <f t="shared" si="1"/>
        <v>09/2022</v>
      </c>
      <c r="C54" s="1174" t="str">
        <f>IF(A54="","",VLOOKUP(A54,'THAM CHIẾU'!$A:$B,2,0))</f>
        <v>#N/A</v>
      </c>
      <c r="D54" s="1174" t="str">
        <f>IF(E54&lt;&gt;0,VLOOKUP(E54,DM_DUAN,3,0),"")</f>
        <v/>
      </c>
      <c r="E54" s="1175"/>
      <c r="F54" s="1174"/>
      <c r="G54" s="1174"/>
      <c r="H54" s="70"/>
      <c r="I54" s="1174" t="str">
        <f>IF($K54&lt;&gt;0,VLOOKUP($K54,DM_KM,3,0),"")</f>
        <v/>
      </c>
      <c r="J54" s="1174" t="str">
        <f>IF($K54&lt;&gt;0,VLOOKUP($K54,DM_KM,5,0),"")</f>
        <v/>
      </c>
      <c r="K54" s="1175"/>
      <c r="L54" s="1174"/>
      <c r="M54" s="1176"/>
      <c r="N54" s="745"/>
      <c r="O54" s="1174"/>
      <c r="P54" s="1177"/>
    </row>
    <row r="55" hidden="1">
      <c r="A55" s="1173">
        <v>44805.0</v>
      </c>
      <c r="B55" s="1174" t="str">
        <f t="shared" si="1"/>
        <v>09/2022</v>
      </c>
      <c r="C55" s="1174" t="str">
        <f>IF(A55="","",VLOOKUP(A55,'THAM CHIẾU'!$A:$B,2,0))</f>
        <v>#N/A</v>
      </c>
      <c r="D55" s="1174" t="str">
        <f>IF(E55&lt;&gt;0,VLOOKUP(E55,DM_DUAN,3,0),"")</f>
        <v/>
      </c>
      <c r="E55" s="1175"/>
      <c r="F55" s="1174"/>
      <c r="G55" s="1174"/>
      <c r="H55" s="70"/>
      <c r="I55" s="1174" t="str">
        <f>IF($K55&lt;&gt;0,VLOOKUP($K55,DM_KM,3,0),"")</f>
        <v/>
      </c>
      <c r="J55" s="1174" t="str">
        <f>IF($K55&lt;&gt;0,VLOOKUP($K55,DM_KM,5,0),"")</f>
        <v/>
      </c>
      <c r="K55" s="1175"/>
      <c r="L55" s="1174"/>
      <c r="M55" s="1176"/>
      <c r="N55" s="745"/>
      <c r="O55" s="1174"/>
      <c r="P55" s="1177"/>
    </row>
    <row r="56" hidden="1">
      <c r="A56" s="1173">
        <v>44805.0</v>
      </c>
      <c r="B56" s="1174" t="str">
        <f t="shared" si="1"/>
        <v>09/2022</v>
      </c>
      <c r="C56" s="1174" t="str">
        <f>IF(A56="","",VLOOKUP(A56,'THAM CHIẾU'!$A:$B,2,0))</f>
        <v>#N/A</v>
      </c>
      <c r="D56" s="1174" t="str">
        <f>IF(E56&lt;&gt;0,VLOOKUP(E56,DM_DUAN,3,0),"")</f>
        <v/>
      </c>
      <c r="E56" s="1175"/>
      <c r="F56" s="1174"/>
      <c r="G56" s="1174"/>
      <c r="H56" s="70"/>
      <c r="I56" s="1174" t="str">
        <f>IF($K56&lt;&gt;0,VLOOKUP($K56,DM_KM,3,0),"")</f>
        <v/>
      </c>
      <c r="J56" s="1174" t="str">
        <f>IF($K56&lt;&gt;0,VLOOKUP($K56,DM_KM,5,0),"")</f>
        <v/>
      </c>
      <c r="K56" s="1175"/>
      <c r="L56" s="1174"/>
      <c r="M56" s="1176"/>
      <c r="N56" s="745"/>
      <c r="O56" s="1174"/>
      <c r="P56" s="1177"/>
    </row>
    <row r="57" hidden="1">
      <c r="A57" s="1173">
        <v>44805.0</v>
      </c>
      <c r="B57" s="1174" t="str">
        <f t="shared" si="1"/>
        <v>09/2022</v>
      </c>
      <c r="C57" s="1174" t="str">
        <f>IF(A57="","",VLOOKUP(A57,'THAM CHIẾU'!$A:$B,2,0))</f>
        <v>#N/A</v>
      </c>
      <c r="D57" s="1174" t="str">
        <f>IF(E57&lt;&gt;0,VLOOKUP(E57,DM_DUAN,3,0),"")</f>
        <v/>
      </c>
      <c r="E57" s="1175"/>
      <c r="F57" s="1174"/>
      <c r="G57" s="1174"/>
      <c r="H57" s="70"/>
      <c r="I57" s="1174" t="str">
        <f>IF($K57&lt;&gt;0,VLOOKUP($K57,DM_KM,3,0),"")</f>
        <v/>
      </c>
      <c r="J57" s="1174" t="str">
        <f>IF($K57&lt;&gt;0,VLOOKUP($K57,DM_KM,5,0),"")</f>
        <v/>
      </c>
      <c r="K57" s="1175"/>
      <c r="L57" s="1174"/>
      <c r="M57" s="1176"/>
      <c r="N57" s="745"/>
      <c r="O57" s="1174"/>
      <c r="P57" s="1177"/>
    </row>
    <row r="58" hidden="1">
      <c r="A58" s="1173">
        <v>44805.0</v>
      </c>
      <c r="B58" s="1174" t="str">
        <f t="shared" si="1"/>
        <v>09/2022</v>
      </c>
      <c r="C58" s="1174" t="str">
        <f>IF(A58="","",VLOOKUP(A58,'THAM CHIẾU'!$A:$B,2,0))</f>
        <v>#N/A</v>
      </c>
      <c r="D58" s="1174" t="str">
        <f>IF(E58&lt;&gt;0,VLOOKUP(E58,DM_DUAN,3,0),"")</f>
        <v/>
      </c>
      <c r="E58" s="1175"/>
      <c r="F58" s="1174"/>
      <c r="G58" s="1174"/>
      <c r="H58" s="70"/>
      <c r="I58" s="1174" t="str">
        <f>IF($K58&lt;&gt;0,VLOOKUP($K58,DM_KM,3,0),"")</f>
        <v/>
      </c>
      <c r="J58" s="1174" t="str">
        <f>IF($K58&lt;&gt;0,VLOOKUP($K58,DM_KM,5,0),"")</f>
        <v/>
      </c>
      <c r="K58" s="1175"/>
      <c r="L58" s="1174"/>
      <c r="M58" s="1176"/>
      <c r="N58" s="745"/>
      <c r="O58" s="1174"/>
      <c r="P58" s="1177"/>
    </row>
    <row r="59" hidden="1">
      <c r="A59" s="1173">
        <v>44835.0</v>
      </c>
      <c r="B59" s="1174" t="str">
        <f t="shared" si="1"/>
        <v>10/2022</v>
      </c>
      <c r="C59" s="1174" t="str">
        <f>IF(A59="","",VLOOKUP(A59,'THAM CHIẾU'!$A:$B,2,0))</f>
        <v>#N/A</v>
      </c>
      <c r="D59" s="1174" t="str">
        <f>IF(E59&lt;&gt;0,VLOOKUP(E59,DM_DUAN,3,0),"")</f>
        <v/>
      </c>
      <c r="E59" s="1175"/>
      <c r="F59" s="1174"/>
      <c r="G59" s="1174"/>
      <c r="H59" s="70"/>
      <c r="I59" s="1174" t="str">
        <f>IF($K59&lt;&gt;0,VLOOKUP($K59,DM_KM,3,0),"")</f>
        <v/>
      </c>
      <c r="J59" s="1174" t="str">
        <f>IF($K59&lt;&gt;0,VLOOKUP($K59,DM_KM,5,0),"")</f>
        <v/>
      </c>
      <c r="K59" s="1175"/>
      <c r="L59" s="1174"/>
      <c r="M59" s="1176"/>
      <c r="N59" s="745"/>
      <c r="O59" s="1174"/>
      <c r="P59" s="1177"/>
    </row>
    <row r="60" hidden="1">
      <c r="A60" s="1173">
        <v>44835.0</v>
      </c>
      <c r="B60" s="1174" t="str">
        <f t="shared" si="1"/>
        <v>10/2022</v>
      </c>
      <c r="C60" s="1174" t="str">
        <f>IF(A60="","",VLOOKUP(A60,'THAM CHIẾU'!$A:$B,2,0))</f>
        <v>#N/A</v>
      </c>
      <c r="D60" s="1174" t="str">
        <f>IF(E60&lt;&gt;0,VLOOKUP(E60,DM_DUAN,3,0),"")</f>
        <v>NAMPHONG</v>
      </c>
      <c r="E60" s="1175" t="s">
        <v>2067</v>
      </c>
      <c r="F60" s="1174"/>
      <c r="G60" s="1174"/>
      <c r="H60" s="70"/>
      <c r="I60" s="1174" t="str">
        <f>IF($K60&lt;&gt;0,VLOOKUP($K60,DM_KM,3,0),"")</f>
        <v>#N/A</v>
      </c>
      <c r="J60" s="1174" t="str">
        <f>IF($K60&lt;&gt;0,VLOOKUP($K60,DM_KM,5,0),"")</f>
        <v>#N/A</v>
      </c>
      <c r="K60" s="1175" t="s">
        <v>198</v>
      </c>
      <c r="L60" s="1174"/>
      <c r="M60" s="1176"/>
      <c r="N60" s="1178">
        <v>2.0E10</v>
      </c>
      <c r="O60" s="1174"/>
      <c r="P60" s="1177"/>
    </row>
    <row r="61" hidden="1">
      <c r="A61" s="1173">
        <v>44835.0</v>
      </c>
      <c r="B61" s="1174" t="str">
        <f t="shared" si="1"/>
        <v>10/2022</v>
      </c>
      <c r="C61" s="1174" t="str">
        <f>IF(A61="","",VLOOKUP(A61,'THAM CHIẾU'!$A:$B,2,0))</f>
        <v>#N/A</v>
      </c>
      <c r="D61" s="1174" t="str">
        <f>IF(E61&lt;&gt;0,VLOOKUP(E61,DM_DUAN,3,0),"")</f>
        <v/>
      </c>
      <c r="E61" s="1175"/>
      <c r="F61" s="1174"/>
      <c r="G61" s="1174"/>
      <c r="H61" s="70"/>
      <c r="I61" s="1174" t="str">
        <f>IF($K61&lt;&gt;0,VLOOKUP($K61,DM_KM,3,0),"")</f>
        <v/>
      </c>
      <c r="J61" s="1174" t="str">
        <f>IF($K61&lt;&gt;0,VLOOKUP($K61,DM_KM,5,0),"")</f>
        <v/>
      </c>
      <c r="K61" s="1175"/>
      <c r="L61" s="1174"/>
      <c r="M61" s="1176"/>
      <c r="N61" s="745"/>
      <c r="O61" s="1174"/>
      <c r="P61" s="1177"/>
    </row>
    <row r="62">
      <c r="A62" s="1173">
        <v>44835.0</v>
      </c>
      <c r="B62" s="1174" t="str">
        <f t="shared" si="1"/>
        <v>10/2022</v>
      </c>
      <c r="C62" s="1174" t="str">
        <f>IF(A62="","",VLOOKUP(A62,'THAM CHIẾU'!$A:$B,2,0))</f>
        <v>#N/A</v>
      </c>
      <c r="D62" s="1174" t="str">
        <f>IF(E62&lt;&gt;0,VLOOKUP(E62,DM_DUAN,3,0),"")</f>
        <v>THANHNAM</v>
      </c>
      <c r="E62" s="1175" t="s">
        <v>175</v>
      </c>
      <c r="F62" s="1174"/>
      <c r="G62" s="1174"/>
      <c r="H62" s="70"/>
      <c r="I62" s="1174" t="str">
        <f>IF($K62&lt;&gt;0,VLOOKUP($K62,DM_KM,3,0),"")</f>
        <v>#N/A</v>
      </c>
      <c r="J62" s="1174" t="str">
        <f>IF($K62&lt;&gt;0,VLOOKUP($K62,DM_KM,5,0),"")</f>
        <v>#N/A</v>
      </c>
      <c r="K62" s="1175" t="s">
        <v>198</v>
      </c>
      <c r="L62" s="1174"/>
      <c r="M62" s="1176"/>
      <c r="N62" s="1178">
        <v>1.3333333333E10</v>
      </c>
      <c r="O62" s="1174"/>
      <c r="P62" s="1177"/>
    </row>
    <row r="63" hidden="1">
      <c r="A63" s="1173">
        <v>44835.0</v>
      </c>
      <c r="B63" s="1174" t="str">
        <f t="shared" si="1"/>
        <v>10/2022</v>
      </c>
      <c r="C63" s="1174" t="str">
        <f>IF(A63="","",VLOOKUP(A63,'THAM CHIẾU'!$A:$B,2,0))</f>
        <v>#N/A</v>
      </c>
      <c r="D63" s="1174" t="str">
        <f>IF(E63&lt;&gt;0,VLOOKUP(E63,DM_DUAN,3,0),"")</f>
        <v/>
      </c>
      <c r="E63" s="1175"/>
      <c r="F63" s="1174"/>
      <c r="G63" s="1174"/>
      <c r="H63" s="70"/>
      <c r="I63" s="1174" t="str">
        <f>IF($K63&lt;&gt;0,VLOOKUP($K63,DM_KM,3,0),"")</f>
        <v/>
      </c>
      <c r="J63" s="1174" t="str">
        <f>IF($K63&lt;&gt;0,VLOOKUP($K63,DM_KM,5,0),"")</f>
        <v/>
      </c>
      <c r="K63" s="1175"/>
      <c r="L63" s="1174"/>
      <c r="M63" s="1176"/>
      <c r="N63" s="745"/>
      <c r="O63" s="1174"/>
      <c r="P63" s="1177"/>
    </row>
    <row r="64" hidden="1">
      <c r="A64" s="1173">
        <v>44835.0</v>
      </c>
      <c r="B64" s="1174" t="str">
        <f t="shared" si="1"/>
        <v>10/2022</v>
      </c>
      <c r="C64" s="1174" t="str">
        <f>IF(A64="","",VLOOKUP(A64,'THAM CHIẾU'!$A:$B,2,0))</f>
        <v>#N/A</v>
      </c>
      <c r="D64" s="1174" t="str">
        <f>IF(E64&lt;&gt;0,VLOOKUP(E64,DM_DUAN,3,0),"")</f>
        <v/>
      </c>
      <c r="E64" s="1175"/>
      <c r="F64" s="1174"/>
      <c r="G64" s="1174"/>
      <c r="H64" s="70"/>
      <c r="I64" s="1174" t="str">
        <f>IF($K64&lt;&gt;0,VLOOKUP($K64,DM_KM,3,0),"")</f>
        <v/>
      </c>
      <c r="J64" s="1174" t="str">
        <f>IF($K64&lt;&gt;0,VLOOKUP($K64,DM_KM,5,0),"")</f>
        <v/>
      </c>
      <c r="K64" s="1175"/>
      <c r="L64" s="1174"/>
      <c r="M64" s="1176"/>
      <c r="N64" s="745"/>
      <c r="O64" s="1174"/>
      <c r="P64" s="1177"/>
    </row>
    <row r="65" hidden="1">
      <c r="A65" s="1173">
        <v>44835.0</v>
      </c>
      <c r="B65" s="1174" t="str">
        <f t="shared" si="1"/>
        <v>10/2022</v>
      </c>
      <c r="C65" s="1174" t="str">
        <f>IF(A65="","",VLOOKUP(A65,'THAM CHIẾU'!$A:$B,2,0))</f>
        <v>#N/A</v>
      </c>
      <c r="D65" s="1174" t="str">
        <f>IF(E65&lt;&gt;0,VLOOKUP(E65,DM_DUAN,3,0),"")</f>
        <v/>
      </c>
      <c r="E65" s="1175"/>
      <c r="F65" s="1174"/>
      <c r="G65" s="1174"/>
      <c r="H65" s="70"/>
      <c r="I65" s="1174" t="str">
        <f>IF($K65&lt;&gt;0,VLOOKUP($K65,DM_KM,3,0),"")</f>
        <v/>
      </c>
      <c r="J65" s="1174" t="str">
        <f>IF($K65&lt;&gt;0,VLOOKUP($K65,DM_KM,5,0),"")</f>
        <v/>
      </c>
      <c r="K65" s="1175"/>
      <c r="L65" s="1174"/>
      <c r="M65" s="1176"/>
      <c r="N65" s="745"/>
      <c r="O65" s="1174"/>
      <c r="P65" s="1177"/>
    </row>
    <row r="66" hidden="1">
      <c r="A66" s="1173">
        <v>44835.0</v>
      </c>
      <c r="B66" s="1174" t="str">
        <f t="shared" si="1"/>
        <v>10/2022</v>
      </c>
      <c r="C66" s="1174" t="str">
        <f>IF(A66="","",VLOOKUP(A66,'THAM CHIẾU'!$A:$B,2,0))</f>
        <v>#N/A</v>
      </c>
      <c r="D66" s="1174" t="str">
        <f>IF(E66&lt;&gt;0,VLOOKUP(E66,DM_DUAN,3,0),"")</f>
        <v/>
      </c>
      <c r="E66" s="1175"/>
      <c r="F66" s="1174"/>
      <c r="G66" s="1174"/>
      <c r="H66" s="70"/>
      <c r="I66" s="1174" t="str">
        <f>IF($K66&lt;&gt;0,VLOOKUP($K66,DM_KM,3,0),"")</f>
        <v/>
      </c>
      <c r="J66" s="1174" t="str">
        <f>IF($K66&lt;&gt;0,VLOOKUP($K66,DM_KM,5,0),"")</f>
        <v/>
      </c>
      <c r="K66" s="1175"/>
      <c r="L66" s="1174"/>
      <c r="M66" s="1176"/>
      <c r="N66" s="745"/>
      <c r="O66" s="1174"/>
      <c r="P66" s="1177"/>
    </row>
    <row r="67" hidden="1">
      <c r="A67" s="1173">
        <v>44835.0</v>
      </c>
      <c r="B67" s="1174" t="str">
        <f t="shared" si="1"/>
        <v>10/2022</v>
      </c>
      <c r="C67" s="1174" t="str">
        <f>IF(A67="","",VLOOKUP(A67,'THAM CHIẾU'!$A:$B,2,0))</f>
        <v>#N/A</v>
      </c>
      <c r="D67" s="1174" t="str">
        <f>IF(E67&lt;&gt;0,VLOOKUP(E67,DM_DUAN,3,0),"")</f>
        <v/>
      </c>
      <c r="E67" s="1175"/>
      <c r="F67" s="1174"/>
      <c r="G67" s="1174"/>
      <c r="H67" s="70"/>
      <c r="I67" s="1174" t="str">
        <f>IF($K67&lt;&gt;0,VLOOKUP($K67,DM_KM,3,0),"")</f>
        <v/>
      </c>
      <c r="J67" s="1174" t="str">
        <f>IF($K67&lt;&gt;0,VLOOKUP($K67,DM_KM,5,0),"")</f>
        <v/>
      </c>
      <c r="K67" s="1175"/>
      <c r="L67" s="1174"/>
      <c r="M67" s="1176"/>
      <c r="N67" s="745"/>
      <c r="O67" s="1174"/>
      <c r="P67" s="1177"/>
    </row>
    <row r="68" hidden="1">
      <c r="A68" s="1173">
        <v>44866.0</v>
      </c>
      <c r="B68" s="1174" t="str">
        <f t="shared" si="1"/>
        <v>11/2022</v>
      </c>
      <c r="C68" s="1174" t="str">
        <f>IF(A68="","",VLOOKUP(A68,'THAM CHIẾU'!$A:$B,2,0))</f>
        <v>#N/A</v>
      </c>
      <c r="D68" s="1174" t="str">
        <f>IF(E68&lt;&gt;0,VLOOKUP(E68,DM_DUAN,3,0),"")</f>
        <v/>
      </c>
      <c r="E68" s="1175"/>
      <c r="F68" s="1174"/>
      <c r="G68" s="1174"/>
      <c r="H68" s="70"/>
      <c r="I68" s="1174" t="str">
        <f>IF($K68&lt;&gt;0,VLOOKUP($K68,DM_KM,3,0),"")</f>
        <v/>
      </c>
      <c r="J68" s="1174" t="str">
        <f>IF($K68&lt;&gt;0,VLOOKUP($K68,DM_KM,5,0),"")</f>
        <v/>
      </c>
      <c r="K68" s="1175"/>
      <c r="L68" s="1174"/>
      <c r="M68" s="1176"/>
      <c r="N68" s="745"/>
      <c r="O68" s="1174"/>
      <c r="P68" s="1177"/>
    </row>
    <row r="69" hidden="1">
      <c r="A69" s="1173">
        <v>44866.0</v>
      </c>
      <c r="B69" s="1174" t="str">
        <f t="shared" si="1"/>
        <v>11/2022</v>
      </c>
      <c r="C69" s="1174" t="str">
        <f>IF(A69="","",VLOOKUP(A69,'THAM CHIẾU'!$A:$B,2,0))</f>
        <v>#N/A</v>
      </c>
      <c r="D69" s="1174" t="str">
        <f>IF(E69&lt;&gt;0,VLOOKUP(E69,DM_DUAN,3,0),"")</f>
        <v>NAMPHONG</v>
      </c>
      <c r="E69" s="1175" t="s">
        <v>2067</v>
      </c>
      <c r="F69" s="1174"/>
      <c r="G69" s="1174"/>
      <c r="H69" s="70"/>
      <c r="I69" s="1174" t="str">
        <f>IF($K69&lt;&gt;0,VLOOKUP($K69,DM_KM,3,0),"")</f>
        <v>#N/A</v>
      </c>
      <c r="J69" s="1174" t="str">
        <f>IF($K69&lt;&gt;0,VLOOKUP($K69,DM_KM,5,0),"")</f>
        <v>#N/A</v>
      </c>
      <c r="K69" s="1175" t="s">
        <v>198</v>
      </c>
      <c r="L69" s="1174"/>
      <c r="M69" s="1176"/>
      <c r="N69" s="1178">
        <v>2.0E10</v>
      </c>
      <c r="O69" s="1174"/>
      <c r="P69" s="1177"/>
    </row>
    <row r="70" hidden="1">
      <c r="A70" s="1173">
        <v>44866.0</v>
      </c>
      <c r="B70" s="1174" t="str">
        <f t="shared" si="1"/>
        <v>11/2022</v>
      </c>
      <c r="C70" s="1174" t="str">
        <f>IF(A70="","",VLOOKUP(A70,'THAM CHIẾU'!$A:$B,2,0))</f>
        <v>#N/A</v>
      </c>
      <c r="D70" s="1174" t="str">
        <f>IF(E70&lt;&gt;0,VLOOKUP(E70,DM_DUAN,3,0),"")</f>
        <v/>
      </c>
      <c r="E70" s="1175"/>
      <c r="F70" s="1174"/>
      <c r="G70" s="1174"/>
      <c r="H70" s="70"/>
      <c r="I70" s="1174" t="str">
        <f>IF($K70&lt;&gt;0,VLOOKUP($K70,DM_KM,3,0),"")</f>
        <v/>
      </c>
      <c r="J70" s="1174" t="str">
        <f>IF($K70&lt;&gt;0,VLOOKUP($K70,DM_KM,5,0),"")</f>
        <v/>
      </c>
      <c r="K70" s="1175"/>
      <c r="L70" s="1174"/>
      <c r="M70" s="1176"/>
      <c r="N70" s="745"/>
      <c r="O70" s="1174"/>
      <c r="P70" s="1177"/>
    </row>
    <row r="71">
      <c r="A71" s="1173">
        <v>44866.0</v>
      </c>
      <c r="B71" s="1174" t="str">
        <f t="shared" si="1"/>
        <v>11/2022</v>
      </c>
      <c r="C71" s="1174" t="str">
        <f>IF(A71="","",VLOOKUP(A71,'THAM CHIẾU'!$A:$B,2,0))</f>
        <v>#N/A</v>
      </c>
      <c r="D71" s="1174" t="str">
        <f>IF(E71&lt;&gt;0,VLOOKUP(E71,DM_DUAN,3,0),"")</f>
        <v>THANHNAM</v>
      </c>
      <c r="E71" s="1175" t="s">
        <v>175</v>
      </c>
      <c r="F71" s="1174"/>
      <c r="G71" s="1174"/>
      <c r="H71" s="70"/>
      <c r="I71" s="1174" t="str">
        <f>IF($K71&lt;&gt;0,VLOOKUP($K71,DM_KM,3,0),"")</f>
        <v>#N/A</v>
      </c>
      <c r="J71" s="1174" t="str">
        <f>IF($K71&lt;&gt;0,VLOOKUP($K71,DM_KM,5,0),"")</f>
        <v>#N/A</v>
      </c>
      <c r="K71" s="1175" t="s">
        <v>198</v>
      </c>
      <c r="L71" s="1174"/>
      <c r="M71" s="1176"/>
      <c r="N71" s="1178">
        <v>1.3333333333E10</v>
      </c>
      <c r="O71" s="1174"/>
      <c r="P71" s="1177"/>
    </row>
    <row r="72" hidden="1">
      <c r="A72" s="1173">
        <v>44866.0</v>
      </c>
      <c r="B72" s="1174" t="str">
        <f t="shared" si="1"/>
        <v>11/2022</v>
      </c>
      <c r="C72" s="1174" t="str">
        <f>IF(A72="","",VLOOKUP(A72,'THAM CHIẾU'!$A:$B,2,0))</f>
        <v>#N/A</v>
      </c>
      <c r="D72" s="1174" t="str">
        <f>IF(E72&lt;&gt;0,VLOOKUP(E72,DM_DUAN,3,0),"")</f>
        <v/>
      </c>
      <c r="E72" s="1175"/>
      <c r="F72" s="1174"/>
      <c r="G72" s="1174"/>
      <c r="H72" s="70"/>
      <c r="I72" s="1174" t="str">
        <f>IF($K72&lt;&gt;0,VLOOKUP($K72,DM_KM,3,0),"")</f>
        <v/>
      </c>
      <c r="J72" s="1174" t="str">
        <f>IF($K72&lt;&gt;0,VLOOKUP($K72,DM_KM,5,0),"")</f>
        <v/>
      </c>
      <c r="K72" s="1175"/>
      <c r="L72" s="1174"/>
      <c r="M72" s="1176"/>
      <c r="N72" s="745"/>
      <c r="O72" s="1174"/>
      <c r="P72" s="1177"/>
    </row>
    <row r="73" hidden="1">
      <c r="A73" s="1173">
        <v>44866.0</v>
      </c>
      <c r="B73" s="1174" t="str">
        <f t="shared" si="1"/>
        <v>11/2022</v>
      </c>
      <c r="C73" s="1174" t="str">
        <f>IF(A73="","",VLOOKUP(A73,'THAM CHIẾU'!$A:$B,2,0))</f>
        <v>#N/A</v>
      </c>
      <c r="D73" s="1174" t="str">
        <f>IF(E73&lt;&gt;0,VLOOKUP(E73,DM_DUAN,3,0),"")</f>
        <v/>
      </c>
      <c r="E73" s="1175"/>
      <c r="F73" s="1174"/>
      <c r="G73" s="1174"/>
      <c r="H73" s="70"/>
      <c r="I73" s="1174" t="str">
        <f>IF($K73&lt;&gt;0,VLOOKUP($K73,DM_KM,3,0),"")</f>
        <v/>
      </c>
      <c r="J73" s="1174" t="str">
        <f>IF($K73&lt;&gt;0,VLOOKUP($K73,DM_KM,5,0),"")</f>
        <v/>
      </c>
      <c r="K73" s="1175"/>
      <c r="L73" s="1174"/>
      <c r="M73" s="1176"/>
      <c r="N73" s="745"/>
      <c r="O73" s="1174"/>
      <c r="P73" s="1177"/>
    </row>
    <row r="74" hidden="1">
      <c r="A74" s="1173">
        <v>44866.0</v>
      </c>
      <c r="B74" s="1174" t="str">
        <f t="shared" si="1"/>
        <v>11/2022</v>
      </c>
      <c r="C74" s="1174" t="str">
        <f>IF(A74="","",VLOOKUP(A74,'THAM CHIẾU'!$A:$B,2,0))</f>
        <v>#N/A</v>
      </c>
      <c r="D74" s="1174" t="str">
        <f>IF(E74&lt;&gt;0,VLOOKUP(E74,DM_DUAN,3,0),"")</f>
        <v/>
      </c>
      <c r="E74" s="1175"/>
      <c r="F74" s="1174"/>
      <c r="G74" s="1174"/>
      <c r="H74" s="70"/>
      <c r="I74" s="1174" t="str">
        <f>IF($K74&lt;&gt;0,VLOOKUP($K74,DM_KM,3,0),"")</f>
        <v/>
      </c>
      <c r="J74" s="1174" t="str">
        <f>IF($K74&lt;&gt;0,VLOOKUP($K74,DM_KM,5,0),"")</f>
        <v/>
      </c>
      <c r="K74" s="1175"/>
      <c r="L74" s="1174"/>
      <c r="M74" s="1176"/>
      <c r="N74" s="745"/>
      <c r="O74" s="1174"/>
      <c r="P74" s="1177"/>
    </row>
    <row r="75" hidden="1">
      <c r="A75" s="1173">
        <v>44866.0</v>
      </c>
      <c r="B75" s="1174" t="str">
        <f t="shared" si="1"/>
        <v>11/2022</v>
      </c>
      <c r="C75" s="1174" t="str">
        <f>IF(A75="","",VLOOKUP(A75,'THAM CHIẾU'!$A:$B,2,0))</f>
        <v>#N/A</v>
      </c>
      <c r="D75" s="1174" t="str">
        <f>IF(E75&lt;&gt;0,VLOOKUP(E75,DM_DUAN,3,0),"")</f>
        <v/>
      </c>
      <c r="E75" s="1175"/>
      <c r="F75" s="1174"/>
      <c r="G75" s="1174"/>
      <c r="H75" s="70"/>
      <c r="I75" s="1174" t="str">
        <f>IF($K75&lt;&gt;0,VLOOKUP($K75,DM_KM,3,0),"")</f>
        <v/>
      </c>
      <c r="J75" s="1174" t="str">
        <f>IF($K75&lt;&gt;0,VLOOKUP($K75,DM_KM,5,0),"")</f>
        <v/>
      </c>
      <c r="K75" s="1175"/>
      <c r="L75" s="1174"/>
      <c r="M75" s="1176"/>
      <c r="N75" s="745"/>
      <c r="O75" s="1174"/>
      <c r="P75" s="1177"/>
    </row>
    <row r="76" hidden="1">
      <c r="A76" s="1173">
        <v>44866.0</v>
      </c>
      <c r="B76" s="1174" t="str">
        <f t="shared" si="1"/>
        <v>11/2022</v>
      </c>
      <c r="C76" s="1174" t="str">
        <f>IF(A76="","",VLOOKUP(A76,'THAM CHIẾU'!$A:$B,2,0))</f>
        <v>#N/A</v>
      </c>
      <c r="D76" s="1174" t="str">
        <f>IF(E76&lt;&gt;0,VLOOKUP(E76,DM_DUAN,3,0),"")</f>
        <v/>
      </c>
      <c r="E76" s="1175"/>
      <c r="F76" s="1174"/>
      <c r="G76" s="1174"/>
      <c r="H76" s="70"/>
      <c r="I76" s="1174" t="str">
        <f>IF($K76&lt;&gt;0,VLOOKUP($K76,DM_KM,3,0),"")</f>
        <v/>
      </c>
      <c r="J76" s="1174" t="str">
        <f>IF($K76&lt;&gt;0,VLOOKUP($K76,DM_KM,5,0),"")</f>
        <v/>
      </c>
      <c r="K76" s="1175"/>
      <c r="L76" s="1174"/>
      <c r="M76" s="1176"/>
      <c r="N76" s="745"/>
      <c r="O76" s="1174"/>
      <c r="P76" s="1177"/>
    </row>
    <row r="77" hidden="1">
      <c r="A77" s="1173">
        <v>44896.0</v>
      </c>
      <c r="B77" s="1174" t="str">
        <f t="shared" si="1"/>
        <v>12/2022</v>
      </c>
      <c r="C77" s="1174" t="str">
        <f>IF(A77="","",VLOOKUP(A77,'THAM CHIẾU'!$A:$B,2,0))</f>
        <v>#N/A</v>
      </c>
      <c r="D77" s="1174" t="str">
        <f>IF(E77&lt;&gt;0,VLOOKUP(E77,DM_DUAN,3,0),"")</f>
        <v/>
      </c>
      <c r="E77" s="1175"/>
      <c r="F77" s="1174"/>
      <c r="G77" s="1174"/>
      <c r="H77" s="70"/>
      <c r="I77" s="1174" t="str">
        <f>IF($K77&lt;&gt;0,VLOOKUP($K77,DM_KM,3,0),"")</f>
        <v/>
      </c>
      <c r="J77" s="1174" t="str">
        <f>IF($K77&lt;&gt;0,VLOOKUP($K77,DM_KM,5,0),"")</f>
        <v/>
      </c>
      <c r="K77" s="1175"/>
      <c r="L77" s="1174"/>
      <c r="M77" s="1176"/>
      <c r="N77" s="745"/>
      <c r="O77" s="1174"/>
      <c r="P77" s="1177"/>
    </row>
    <row r="78" hidden="1">
      <c r="A78" s="1173">
        <v>44896.0</v>
      </c>
      <c r="B78" s="1174" t="str">
        <f t="shared" si="1"/>
        <v>12/2022</v>
      </c>
      <c r="C78" s="1174" t="str">
        <f>IF(A78="","",VLOOKUP(A78,'THAM CHIẾU'!$A:$B,2,0))</f>
        <v>#N/A</v>
      </c>
      <c r="D78" s="1174" t="str">
        <f>IF(E78&lt;&gt;0,VLOOKUP(E78,DM_DUAN,3,0),"")</f>
        <v>NAMPHONG</v>
      </c>
      <c r="E78" s="1175" t="s">
        <v>2067</v>
      </c>
      <c r="F78" s="1174"/>
      <c r="G78" s="1174"/>
      <c r="H78" s="70"/>
      <c r="I78" s="1174" t="str">
        <f>IF($K78&lt;&gt;0,VLOOKUP($K78,DM_KM,3,0),"")</f>
        <v>#N/A</v>
      </c>
      <c r="J78" s="1174" t="str">
        <f>IF($K78&lt;&gt;0,VLOOKUP($K78,DM_KM,5,0),"")</f>
        <v>#N/A</v>
      </c>
      <c r="K78" s="1175" t="s">
        <v>198</v>
      </c>
      <c r="L78" s="1174"/>
      <c r="M78" s="1176"/>
      <c r="N78" s="1178">
        <v>2.0E10</v>
      </c>
      <c r="O78" s="1174"/>
      <c r="P78" s="1177"/>
    </row>
    <row r="79" hidden="1">
      <c r="A79" s="1173">
        <v>44896.0</v>
      </c>
      <c r="B79" s="1174" t="str">
        <f t="shared" si="1"/>
        <v>12/2022</v>
      </c>
      <c r="C79" s="1174" t="str">
        <f>IF(A79="","",VLOOKUP(A79,'THAM CHIẾU'!$A:$B,2,0))</f>
        <v>#N/A</v>
      </c>
      <c r="D79" s="1174" t="str">
        <f>IF(E79&lt;&gt;0,VLOOKUP(E79,DM_DUAN,3,0),"")</f>
        <v/>
      </c>
      <c r="E79" s="1175"/>
      <c r="F79" s="1174"/>
      <c r="G79" s="1174"/>
      <c r="H79" s="70"/>
      <c r="I79" s="1174" t="str">
        <f>IF($K79&lt;&gt;0,VLOOKUP($K79,DM_KM,3,0),"")</f>
        <v/>
      </c>
      <c r="J79" s="1174" t="str">
        <f>IF($K79&lt;&gt;0,VLOOKUP($K79,DM_KM,5,0),"")</f>
        <v/>
      </c>
      <c r="K79" s="1175"/>
      <c r="L79" s="1174"/>
      <c r="M79" s="1176"/>
      <c r="N79" s="745"/>
      <c r="O79" s="1174"/>
      <c r="P79" s="1177"/>
    </row>
    <row r="80">
      <c r="A80" s="1173">
        <v>44896.0</v>
      </c>
      <c r="B80" s="1174" t="str">
        <f t="shared" si="1"/>
        <v>12/2022</v>
      </c>
      <c r="C80" s="1174" t="str">
        <f>IF(A80="","",VLOOKUP(A80,'THAM CHIẾU'!$A:$B,2,0))</f>
        <v>#N/A</v>
      </c>
      <c r="D80" s="1174" t="str">
        <f>IF(E80&lt;&gt;0,VLOOKUP(E80,DM_DUAN,3,0),"")</f>
        <v>THANHNAM</v>
      </c>
      <c r="E80" s="1175" t="s">
        <v>175</v>
      </c>
      <c r="F80" s="1174"/>
      <c r="G80" s="1174"/>
      <c r="H80" s="70"/>
      <c r="I80" s="1174" t="str">
        <f>IF($K80&lt;&gt;0,VLOOKUP($K80,DM_KM,3,0),"")</f>
        <v>#N/A</v>
      </c>
      <c r="J80" s="1174" t="str">
        <f>IF($K80&lt;&gt;0,VLOOKUP($K80,DM_KM,5,0),"")</f>
        <v>#N/A</v>
      </c>
      <c r="K80" s="1175" t="s">
        <v>198</v>
      </c>
      <c r="L80" s="1174"/>
      <c r="M80" s="1176"/>
      <c r="N80" s="1178">
        <v>1.3333333333E10</v>
      </c>
      <c r="O80" s="1174"/>
      <c r="P80" s="1177"/>
    </row>
    <row r="81" hidden="1">
      <c r="A81" s="1173">
        <v>44896.0</v>
      </c>
      <c r="B81" s="1174" t="str">
        <f t="shared" si="1"/>
        <v>12/2022</v>
      </c>
      <c r="C81" s="1174" t="str">
        <f>IF(A81="","",VLOOKUP(A81,'THAM CHIẾU'!$A:$B,2,0))</f>
        <v>#N/A</v>
      </c>
      <c r="D81" s="1174" t="str">
        <f>IF(E81&lt;&gt;0,VLOOKUP(E81,DM_DUAN,3,0),"")</f>
        <v/>
      </c>
      <c r="E81" s="1175"/>
      <c r="F81" s="1174"/>
      <c r="G81" s="1174"/>
      <c r="H81" s="70"/>
      <c r="I81" s="1174" t="str">
        <f>IF($K81&lt;&gt;0,VLOOKUP($K81,DM_KM,3,0),"")</f>
        <v/>
      </c>
      <c r="J81" s="1174" t="str">
        <f>IF($K81&lt;&gt;0,VLOOKUP($K81,DM_KM,5,0),"")</f>
        <v/>
      </c>
      <c r="K81" s="1175"/>
      <c r="L81" s="1174"/>
      <c r="M81" s="1176"/>
      <c r="N81" s="745"/>
      <c r="O81" s="1174"/>
      <c r="P81" s="1177"/>
    </row>
    <row r="82" hidden="1">
      <c r="A82" s="1173">
        <v>44896.0</v>
      </c>
      <c r="B82" s="1174" t="str">
        <f t="shared" si="1"/>
        <v>12/2022</v>
      </c>
      <c r="C82" s="1174" t="str">
        <f>IF(A82="","",VLOOKUP(A82,'THAM CHIẾU'!$A:$B,2,0))</f>
        <v>#N/A</v>
      </c>
      <c r="D82" s="1174" t="str">
        <f>IF(E82&lt;&gt;0,VLOOKUP(E82,DM_DUAN,3,0),"")</f>
        <v/>
      </c>
      <c r="E82" s="1175"/>
      <c r="F82" s="1174"/>
      <c r="G82" s="1174"/>
      <c r="H82" s="70"/>
      <c r="I82" s="1174" t="str">
        <f>IF($K82&lt;&gt;0,VLOOKUP($K82,DM_KM,3,0),"")</f>
        <v/>
      </c>
      <c r="J82" s="1174" t="str">
        <f>IF($K82&lt;&gt;0,VLOOKUP($K82,DM_KM,5,0),"")</f>
        <v/>
      </c>
      <c r="K82" s="1175"/>
      <c r="L82" s="1174"/>
      <c r="M82" s="1176"/>
      <c r="N82" s="745"/>
      <c r="O82" s="1174"/>
      <c r="P82" s="1177"/>
    </row>
    <row r="83" hidden="1">
      <c r="A83" s="1173">
        <v>44896.0</v>
      </c>
      <c r="B83" s="1174" t="str">
        <f t="shared" si="1"/>
        <v>12/2022</v>
      </c>
      <c r="C83" s="1174" t="str">
        <f>IF(A83="","",VLOOKUP(A83,'THAM CHIẾU'!$A:$B,2,0))</f>
        <v>#N/A</v>
      </c>
      <c r="D83" s="1174" t="str">
        <f>IF(E83&lt;&gt;0,VLOOKUP(E83,DM_DUAN,3,0),"")</f>
        <v/>
      </c>
      <c r="E83" s="1175"/>
      <c r="F83" s="1174"/>
      <c r="G83" s="1174"/>
      <c r="H83" s="70"/>
      <c r="I83" s="1174" t="str">
        <f>IF($K83&lt;&gt;0,VLOOKUP($K83,DM_KM,3,0),"")</f>
        <v/>
      </c>
      <c r="J83" s="1174" t="str">
        <f>IF($K83&lt;&gt;0,VLOOKUP($K83,DM_KM,5,0),"")</f>
        <v/>
      </c>
      <c r="K83" s="1175"/>
      <c r="L83" s="1174"/>
      <c r="M83" s="1176"/>
      <c r="N83" s="745"/>
      <c r="O83" s="1174"/>
      <c r="P83" s="1177"/>
    </row>
    <row r="84" hidden="1">
      <c r="A84" s="1173">
        <v>44896.0</v>
      </c>
      <c r="B84" s="1174" t="str">
        <f t="shared" si="1"/>
        <v>12/2022</v>
      </c>
      <c r="C84" s="1174" t="str">
        <f>IF(A84="","",VLOOKUP(A84,'THAM CHIẾU'!$A:$B,2,0))</f>
        <v>#N/A</v>
      </c>
      <c r="D84" s="1174" t="str">
        <f>IF(E84&lt;&gt;0,VLOOKUP(E84,DM_DUAN,3,0),"")</f>
        <v/>
      </c>
      <c r="E84" s="1175"/>
      <c r="F84" s="1174"/>
      <c r="G84" s="1174"/>
      <c r="H84" s="70"/>
      <c r="I84" s="1174" t="str">
        <f>IF($K84&lt;&gt;0,VLOOKUP($K84,DM_KM,3,0),"")</f>
        <v/>
      </c>
      <c r="J84" s="1174" t="str">
        <f>IF($K84&lt;&gt;0,VLOOKUP($K84,DM_KM,5,0),"")</f>
        <v/>
      </c>
      <c r="K84" s="1175"/>
      <c r="L84" s="1174"/>
      <c r="M84" s="1176"/>
      <c r="N84" s="745"/>
      <c r="O84" s="1174"/>
      <c r="P84" s="1177"/>
    </row>
    <row r="85" hidden="1">
      <c r="A85" s="1173">
        <v>44896.0</v>
      </c>
      <c r="B85" s="1174" t="str">
        <f t="shared" si="1"/>
        <v>12/2022</v>
      </c>
      <c r="C85" s="1174" t="str">
        <f>IF(A85="","",VLOOKUP(A85,'THAM CHIẾU'!$A:$B,2,0))</f>
        <v>#N/A</v>
      </c>
      <c r="D85" s="1174" t="str">
        <f>IF(E85&lt;&gt;0,VLOOKUP(E85,DM_DUAN,3,0),"")</f>
        <v/>
      </c>
      <c r="E85" s="1175"/>
      <c r="F85" s="1174"/>
      <c r="G85" s="1174"/>
      <c r="H85" s="70"/>
      <c r="I85" s="1174" t="str">
        <f>IF($K85&lt;&gt;0,VLOOKUP($K85,DM_KM,3,0),"")</f>
        <v/>
      </c>
      <c r="J85" s="1174" t="str">
        <f>IF($K85&lt;&gt;0,VLOOKUP($K85,DM_KM,5,0),"")</f>
        <v/>
      </c>
      <c r="K85" s="1175"/>
      <c r="L85" s="1174"/>
      <c r="M85" s="1176"/>
      <c r="N85" s="745"/>
      <c r="O85" s="1174"/>
      <c r="P85" s="1177"/>
    </row>
    <row r="86" hidden="1">
      <c r="A86" s="1179">
        <v>44562.0</v>
      </c>
      <c r="B86" s="1180" t="str">
        <f t="shared" si="1"/>
        <v>01/2022</v>
      </c>
      <c r="C86" s="1180" t="str">
        <f>IF(A86="","",VLOOKUP(A86,'THAM CHIẾU'!$A:$B,2,0))</f>
        <v>#N/A</v>
      </c>
      <c r="D86" s="1180" t="str">
        <f>IF(E86&lt;&gt;0,VLOOKUP(E86,DM_DUAN,3,0),"")</f>
        <v/>
      </c>
      <c r="E86" s="1181"/>
      <c r="F86" s="1180"/>
      <c r="G86" s="1180"/>
      <c r="H86" s="70"/>
      <c r="I86" s="1180" t="str">
        <f>IF($K86&lt;&gt;0,VLOOKUP($K86,DM_KM,3,0),"")</f>
        <v/>
      </c>
      <c r="J86" s="1180" t="str">
        <f>IF($K86&lt;&gt;0,VLOOKUP($K86,DM_KM,5,0),"")</f>
        <v/>
      </c>
      <c r="K86" s="1181"/>
      <c r="L86" s="1180"/>
      <c r="M86" s="1182"/>
      <c r="N86" s="1183"/>
      <c r="O86" s="1180"/>
      <c r="P86" s="1184"/>
    </row>
    <row r="87" hidden="1">
      <c r="A87" s="1179">
        <v>44593.0</v>
      </c>
      <c r="B87" s="1180" t="str">
        <f t="shared" si="1"/>
        <v>02/2022</v>
      </c>
      <c r="C87" s="1180" t="str">
        <f>IF(A87="","",VLOOKUP(A87,'THAM CHIẾU'!$A:$B,2,0))</f>
        <v>#N/A</v>
      </c>
      <c r="D87" s="1180" t="str">
        <f>IF(E87&lt;&gt;0,VLOOKUP(E87,DM_DUAN,3,0),"")</f>
        <v/>
      </c>
      <c r="E87" s="1181"/>
      <c r="F87" s="1180"/>
      <c r="G87" s="1180"/>
      <c r="H87" s="70"/>
      <c r="I87" s="1180" t="str">
        <f>IF($K87&lt;&gt;0,VLOOKUP($K87,DM_KM,3,0),"")</f>
        <v/>
      </c>
      <c r="J87" s="1180" t="str">
        <f>IF($K87&lt;&gt;0,VLOOKUP($K87,DM_KM,5,0),"")</f>
        <v/>
      </c>
      <c r="K87" s="1181"/>
      <c r="L87" s="1180"/>
      <c r="M87" s="1182"/>
      <c r="N87" s="1183"/>
      <c r="O87" s="1180"/>
      <c r="P87" s="1184"/>
    </row>
    <row r="88" hidden="1">
      <c r="A88" s="1179">
        <v>44621.0</v>
      </c>
      <c r="B88" s="1180" t="str">
        <f t="shared" si="1"/>
        <v>03/2022</v>
      </c>
      <c r="C88" s="1180" t="str">
        <f>IF(A88="","",VLOOKUP(A88,'THAM CHIẾU'!$A:$B,2,0))</f>
        <v>#N/A</v>
      </c>
      <c r="D88" s="1180" t="str">
        <f>IF(E88&lt;&gt;0,VLOOKUP(E88,DM_DUAN,3,0),"")</f>
        <v/>
      </c>
      <c r="E88" s="1181"/>
      <c r="F88" s="1180"/>
      <c r="G88" s="1180"/>
      <c r="H88" s="70"/>
      <c r="I88" s="1180" t="str">
        <f>IF($K88&lt;&gt;0,VLOOKUP($K88,DM_KM,3,0),"")</f>
        <v/>
      </c>
      <c r="J88" s="1180" t="str">
        <f>IF($K88&lt;&gt;0,VLOOKUP($K88,DM_KM,5,0),"")</f>
        <v/>
      </c>
      <c r="K88" s="1181"/>
      <c r="L88" s="1180"/>
      <c r="M88" s="1182"/>
      <c r="N88" s="1183"/>
      <c r="O88" s="1180"/>
      <c r="P88" s="1184"/>
    </row>
    <row r="89" hidden="1">
      <c r="A89" s="1179">
        <v>44652.0</v>
      </c>
      <c r="B89" s="1180" t="str">
        <f t="shared" si="1"/>
        <v>04/2022</v>
      </c>
      <c r="C89" s="1180" t="str">
        <f>IF(A89="","",VLOOKUP(A89,'THAM CHIẾU'!$A:$B,2,0))</f>
        <v>#N/A</v>
      </c>
      <c r="D89" s="1180" t="str">
        <f>IF(E89&lt;&gt;0,VLOOKUP(E89,DM_DUAN,3,0),"")</f>
        <v/>
      </c>
      <c r="E89" s="1181"/>
      <c r="F89" s="1180"/>
      <c r="G89" s="1180"/>
      <c r="H89" s="70"/>
      <c r="I89" s="1180" t="str">
        <f>IF($K89&lt;&gt;0,VLOOKUP($K89,DM_KM,3,0),"")</f>
        <v/>
      </c>
      <c r="J89" s="1180" t="str">
        <f>IF($K89&lt;&gt;0,VLOOKUP($K89,DM_KM,5,0),"")</f>
        <v/>
      </c>
      <c r="K89" s="1181"/>
      <c r="L89" s="1180"/>
      <c r="M89" s="1182"/>
      <c r="N89" s="1183"/>
      <c r="O89" s="1180"/>
      <c r="P89" s="1184"/>
    </row>
    <row r="90" hidden="1">
      <c r="A90" s="1179">
        <v>44652.0</v>
      </c>
      <c r="B90" s="1180" t="str">
        <f t="shared" si="1"/>
        <v>04/2022</v>
      </c>
      <c r="C90" s="1180" t="str">
        <f>IF(A90="","",VLOOKUP(A90,'THAM CHIẾU'!$A:$B,2,0))</f>
        <v>#N/A</v>
      </c>
      <c r="D90" s="1180" t="str">
        <f>IF(E90&lt;&gt;0,VLOOKUP(E90,DM_DUAN,3,0),"")</f>
        <v>NAMPHONG</v>
      </c>
      <c r="E90" s="1181" t="s">
        <v>2067</v>
      </c>
      <c r="F90" s="1180"/>
      <c r="G90" s="1180"/>
      <c r="H90" s="70"/>
      <c r="I90" s="1180" t="str">
        <f>IF($K90&lt;&gt;0,VLOOKUP($K90,DM_KM,3,0),"")</f>
        <v>511_TK</v>
      </c>
      <c r="J90" s="1180">
        <f>IF($K90&lt;&gt;0,VLOOKUP($K90,DM_KM,5,0),"")</f>
        <v>511</v>
      </c>
      <c r="K90" s="1181" t="s">
        <v>187</v>
      </c>
      <c r="L90" s="1180"/>
      <c r="M90" s="1182"/>
      <c r="N90" s="1185">
        <v>2.4E9</v>
      </c>
      <c r="O90" s="1180"/>
      <c r="P90" s="1184"/>
    </row>
    <row r="91" hidden="1">
      <c r="A91" s="1179">
        <v>44652.0</v>
      </c>
      <c r="B91" s="1180" t="str">
        <f t="shared" si="1"/>
        <v>04/2022</v>
      </c>
      <c r="C91" s="1180" t="str">
        <f>IF(A91="","",VLOOKUP(A91,'THAM CHIẾU'!$A:$B,2,0))</f>
        <v>#N/A</v>
      </c>
      <c r="D91" s="1180" t="str">
        <f>IF(E91&lt;&gt;0,VLOOKUP(E91,DM_DUAN,3,0),"")</f>
        <v/>
      </c>
      <c r="E91" s="1181"/>
      <c r="F91" s="1180"/>
      <c r="G91" s="1180"/>
      <c r="H91" s="70"/>
      <c r="I91" s="1180" t="str">
        <f>IF($K91&lt;&gt;0,VLOOKUP($K91,DM_KM,3,0),"")</f>
        <v/>
      </c>
      <c r="J91" s="1180" t="str">
        <f>IF($K91&lt;&gt;0,VLOOKUP($K91,DM_KM,5,0),"")</f>
        <v/>
      </c>
      <c r="K91" s="1181"/>
      <c r="L91" s="1180"/>
      <c r="M91" s="1182"/>
      <c r="N91" s="1183"/>
      <c r="O91" s="1180"/>
      <c r="P91" s="1184"/>
    </row>
    <row r="92">
      <c r="A92" s="1179">
        <v>44652.0</v>
      </c>
      <c r="B92" s="1180" t="str">
        <f t="shared" si="1"/>
        <v>04/2022</v>
      </c>
      <c r="C92" s="1180" t="str">
        <f>IF(A92="","",VLOOKUP(A92,'THAM CHIẾU'!$A:$B,2,0))</f>
        <v>#N/A</v>
      </c>
      <c r="D92" s="1180" t="str">
        <f>IF(E92&lt;&gt;0,VLOOKUP(E92,DM_DUAN,3,0),"")</f>
        <v>THANHNAM</v>
      </c>
      <c r="E92" s="1181" t="s">
        <v>175</v>
      </c>
      <c r="F92" s="1180"/>
      <c r="G92" s="1180"/>
      <c r="H92" s="70"/>
      <c r="I92" s="1180" t="str">
        <f>IF($K92&lt;&gt;0,VLOOKUP($K92,DM_KM,3,0),"")</f>
        <v>511_TK</v>
      </c>
      <c r="J92" s="1180">
        <f>IF($K92&lt;&gt;0,VLOOKUP($K92,DM_KM,5,0),"")</f>
        <v>511</v>
      </c>
      <c r="K92" s="1181" t="s">
        <v>187</v>
      </c>
      <c r="L92" s="1180"/>
      <c r="M92" s="1182"/>
      <c r="N92" s="1185">
        <v>1.6E9</v>
      </c>
      <c r="O92" s="1180"/>
      <c r="P92" s="1184"/>
    </row>
    <row r="93" hidden="1">
      <c r="A93" s="1179">
        <v>44652.0</v>
      </c>
      <c r="B93" s="1180" t="str">
        <f t="shared" si="1"/>
        <v>04/2022</v>
      </c>
      <c r="C93" s="1180" t="str">
        <f>IF(A93="","",VLOOKUP(A93,'THAM CHIẾU'!$A:$B,2,0))</f>
        <v>#N/A</v>
      </c>
      <c r="D93" s="1180" t="str">
        <f>IF(E93&lt;&gt;0,VLOOKUP(E93,DM_DUAN,3,0),"")</f>
        <v/>
      </c>
      <c r="E93" s="1181"/>
      <c r="F93" s="1180"/>
      <c r="G93" s="1180"/>
      <c r="H93" s="70"/>
      <c r="I93" s="1180" t="str">
        <f>IF($K93&lt;&gt;0,VLOOKUP($K93,DM_KM,3,0),"")</f>
        <v/>
      </c>
      <c r="J93" s="1180" t="str">
        <f>IF($K93&lt;&gt;0,VLOOKUP($K93,DM_KM,5,0),"")</f>
        <v/>
      </c>
      <c r="K93" s="1181"/>
      <c r="L93" s="1180"/>
      <c r="M93" s="1182"/>
      <c r="N93" s="1183"/>
      <c r="O93" s="1180"/>
      <c r="P93" s="1184"/>
    </row>
    <row r="94" hidden="1">
      <c r="A94" s="1179">
        <v>44652.0</v>
      </c>
      <c r="B94" s="1180" t="str">
        <f t="shared" si="1"/>
        <v>04/2022</v>
      </c>
      <c r="C94" s="1180" t="str">
        <f>IF(A94="","",VLOOKUP(A94,'THAM CHIẾU'!$A:$B,2,0))</f>
        <v>#N/A</v>
      </c>
      <c r="D94" s="1180" t="str">
        <f>IF(E94&lt;&gt;0,VLOOKUP(E94,DM_DUAN,3,0),"")</f>
        <v/>
      </c>
      <c r="E94" s="1181"/>
      <c r="F94" s="1180"/>
      <c r="G94" s="1180"/>
      <c r="H94" s="70"/>
      <c r="I94" s="1180" t="str">
        <f>IF($K94&lt;&gt;0,VLOOKUP($K94,DM_KM,3,0),"")</f>
        <v/>
      </c>
      <c r="J94" s="1180" t="str">
        <f>IF($K94&lt;&gt;0,VLOOKUP($K94,DM_KM,5,0),"")</f>
        <v/>
      </c>
      <c r="K94" s="1181"/>
      <c r="L94" s="1180"/>
      <c r="M94" s="1182"/>
      <c r="N94" s="1183"/>
      <c r="O94" s="1180"/>
      <c r="P94" s="1184"/>
    </row>
    <row r="95" hidden="1">
      <c r="A95" s="1179">
        <v>44652.0</v>
      </c>
      <c r="B95" s="1180" t="str">
        <f t="shared" si="1"/>
        <v>04/2022</v>
      </c>
      <c r="C95" s="1180" t="str">
        <f>IF(A95="","",VLOOKUP(A95,'THAM CHIẾU'!$A:$B,2,0))</f>
        <v>#N/A</v>
      </c>
      <c r="D95" s="1180" t="str">
        <f>IF(E95&lt;&gt;0,VLOOKUP(E95,DM_DUAN,3,0),"")</f>
        <v/>
      </c>
      <c r="E95" s="1181"/>
      <c r="F95" s="1180"/>
      <c r="G95" s="1180"/>
      <c r="H95" s="70"/>
      <c r="I95" s="1180" t="str">
        <f>IF($K95&lt;&gt;0,VLOOKUP($K95,DM_KM,3,0),"")</f>
        <v/>
      </c>
      <c r="J95" s="1180" t="str">
        <f>IF($K95&lt;&gt;0,VLOOKUP($K95,DM_KM,5,0),"")</f>
        <v/>
      </c>
      <c r="K95" s="1181"/>
      <c r="L95" s="1180"/>
      <c r="M95" s="1182"/>
      <c r="N95" s="1183"/>
      <c r="O95" s="1180"/>
      <c r="P95" s="1184"/>
    </row>
    <row r="96" hidden="1">
      <c r="A96" s="1179">
        <v>44652.0</v>
      </c>
      <c r="B96" s="1180" t="str">
        <f t="shared" si="1"/>
        <v>04/2022</v>
      </c>
      <c r="C96" s="1180" t="str">
        <f>IF(A96="","",VLOOKUP(A96,'THAM CHIẾU'!$A:$B,2,0))</f>
        <v>#N/A</v>
      </c>
      <c r="D96" s="1180" t="str">
        <f>IF(E96&lt;&gt;0,VLOOKUP(E96,DM_DUAN,3,0),"")</f>
        <v/>
      </c>
      <c r="E96" s="1181"/>
      <c r="F96" s="1180"/>
      <c r="G96" s="1180"/>
      <c r="H96" s="70"/>
      <c r="I96" s="1180" t="str">
        <f>IF($K96&lt;&gt;0,VLOOKUP($K96,DM_KM,3,0),"")</f>
        <v/>
      </c>
      <c r="J96" s="1180" t="str">
        <f>IF($K96&lt;&gt;0,VLOOKUP($K96,DM_KM,5,0),"")</f>
        <v/>
      </c>
      <c r="K96" s="1181"/>
      <c r="L96" s="1180"/>
      <c r="M96" s="1182"/>
      <c r="N96" s="1183"/>
      <c r="O96" s="1180"/>
      <c r="P96" s="1184"/>
    </row>
    <row r="97" hidden="1">
      <c r="A97" s="1179">
        <v>44652.0</v>
      </c>
      <c r="B97" s="1180" t="str">
        <f t="shared" si="1"/>
        <v>04/2022</v>
      </c>
      <c r="C97" s="1180" t="str">
        <f>IF(A97="","",VLOOKUP(A97,'THAM CHIẾU'!$A:$B,2,0))</f>
        <v>#N/A</v>
      </c>
      <c r="D97" s="1180" t="str">
        <f>IF(E97&lt;&gt;0,VLOOKUP(E97,DM_DUAN,3,0),"")</f>
        <v/>
      </c>
      <c r="E97" s="1181"/>
      <c r="F97" s="1180"/>
      <c r="G97" s="1180"/>
      <c r="H97" s="70"/>
      <c r="I97" s="1180" t="str">
        <f>IF($K97&lt;&gt;0,VLOOKUP($K97,DM_KM,3,0),"")</f>
        <v/>
      </c>
      <c r="J97" s="1180" t="str">
        <f>IF($K97&lt;&gt;0,VLOOKUP($K97,DM_KM,5,0),"")</f>
        <v/>
      </c>
      <c r="K97" s="1181"/>
      <c r="L97" s="1180"/>
      <c r="M97" s="1182"/>
      <c r="N97" s="1183"/>
      <c r="O97" s="1180"/>
      <c r="P97" s="1184"/>
    </row>
    <row r="98" hidden="1">
      <c r="A98" s="1179">
        <v>44682.0</v>
      </c>
      <c r="B98" s="1180" t="str">
        <f t="shared" si="1"/>
        <v>05/2022</v>
      </c>
      <c r="C98" s="1180" t="str">
        <f>IF(A98="","",VLOOKUP(A98,'THAM CHIẾU'!$A:$B,2,0))</f>
        <v>#N/A</v>
      </c>
      <c r="D98" s="1180" t="str">
        <f>IF(E98&lt;&gt;0,VLOOKUP(E98,DM_DUAN,3,0),"")</f>
        <v/>
      </c>
      <c r="E98" s="1181"/>
      <c r="F98" s="1180"/>
      <c r="G98" s="1180"/>
      <c r="H98" s="70"/>
      <c r="I98" s="1180" t="str">
        <f>IF($K98&lt;&gt;0,VLOOKUP($K98,DM_KM,3,0),"")</f>
        <v/>
      </c>
      <c r="J98" s="1180" t="str">
        <f>IF($K98&lt;&gt;0,VLOOKUP($K98,DM_KM,5,0),"")</f>
        <v/>
      </c>
      <c r="K98" s="1181"/>
      <c r="L98" s="1180"/>
      <c r="M98" s="1182"/>
      <c r="N98" s="1183"/>
      <c r="O98" s="1180"/>
      <c r="P98" s="1184"/>
    </row>
    <row r="99" hidden="1">
      <c r="A99" s="1179">
        <v>44682.0</v>
      </c>
      <c r="B99" s="1180" t="str">
        <f t="shared" si="1"/>
        <v>05/2022</v>
      </c>
      <c r="C99" s="1180" t="str">
        <f>IF(A99="","",VLOOKUP(A99,'THAM CHIẾU'!$A:$B,2,0))</f>
        <v>#N/A</v>
      </c>
      <c r="D99" s="1180" t="str">
        <f>IF(E99&lt;&gt;0,VLOOKUP(E99,DM_DUAN,3,0),"")</f>
        <v>NAMPHONG</v>
      </c>
      <c r="E99" s="1181" t="s">
        <v>2067</v>
      </c>
      <c r="F99" s="1180"/>
      <c r="G99" s="1180"/>
      <c r="H99" s="70"/>
      <c r="I99" s="1180" t="str">
        <f>IF($K99&lt;&gt;0,VLOOKUP($K99,DM_KM,3,0),"")</f>
        <v>511_TK</v>
      </c>
      <c r="J99" s="1180">
        <f>IF($K99&lt;&gt;0,VLOOKUP($K99,DM_KM,5,0),"")</f>
        <v>511</v>
      </c>
      <c r="K99" s="1181" t="s">
        <v>187</v>
      </c>
      <c r="L99" s="1180"/>
      <c r="M99" s="1182"/>
      <c r="N99" s="1185">
        <v>2.4E9</v>
      </c>
      <c r="O99" s="1180"/>
      <c r="P99" s="1184"/>
    </row>
    <row r="100" hidden="1">
      <c r="A100" s="1179">
        <v>44682.0</v>
      </c>
      <c r="B100" s="1180" t="str">
        <f t="shared" si="1"/>
        <v>05/2022</v>
      </c>
      <c r="C100" s="1180" t="str">
        <f>IF(A100="","",VLOOKUP(A100,'THAM CHIẾU'!$A:$B,2,0))</f>
        <v>#N/A</v>
      </c>
      <c r="D100" s="1180" t="str">
        <f>IF(E100&lt;&gt;0,VLOOKUP(E100,DM_DUAN,3,0),"")</f>
        <v/>
      </c>
      <c r="E100" s="1181"/>
      <c r="F100" s="1180"/>
      <c r="G100" s="1180"/>
      <c r="H100" s="70"/>
      <c r="I100" s="1180" t="str">
        <f>IF($K100&lt;&gt;0,VLOOKUP($K100,DM_KM,3,0),"")</f>
        <v/>
      </c>
      <c r="J100" s="1180" t="str">
        <f>IF($K100&lt;&gt;0,VLOOKUP($K100,DM_KM,5,0),"")</f>
        <v/>
      </c>
      <c r="K100" s="1181"/>
      <c r="L100" s="1180"/>
      <c r="M100" s="1182"/>
      <c r="N100" s="1183"/>
      <c r="O100" s="1180"/>
      <c r="P100" s="1184"/>
    </row>
    <row r="101">
      <c r="A101" s="1179">
        <v>44682.0</v>
      </c>
      <c r="B101" s="1180" t="str">
        <f t="shared" si="1"/>
        <v>05/2022</v>
      </c>
      <c r="C101" s="1180" t="str">
        <f>IF(A101="","",VLOOKUP(A101,'THAM CHIẾU'!$A:$B,2,0))</f>
        <v>#N/A</v>
      </c>
      <c r="D101" s="1180" t="str">
        <f>IF(E101&lt;&gt;0,VLOOKUP(E101,DM_DUAN,3,0),"")</f>
        <v>THANHNAM</v>
      </c>
      <c r="E101" s="1181" t="s">
        <v>175</v>
      </c>
      <c r="F101" s="1180"/>
      <c r="G101" s="1180"/>
      <c r="H101" s="70"/>
      <c r="I101" s="1180" t="str">
        <f>IF($K101&lt;&gt;0,VLOOKUP($K101,DM_KM,3,0),"")</f>
        <v>511_TK</v>
      </c>
      <c r="J101" s="1180">
        <f>IF($K101&lt;&gt;0,VLOOKUP($K101,DM_KM,5,0),"")</f>
        <v>511</v>
      </c>
      <c r="K101" s="1181" t="s">
        <v>187</v>
      </c>
      <c r="L101" s="1180"/>
      <c r="M101" s="1182"/>
      <c r="N101" s="1185">
        <v>1.6E9</v>
      </c>
      <c r="O101" s="1180"/>
      <c r="P101" s="1184"/>
    </row>
    <row r="102" hidden="1">
      <c r="A102" s="1179">
        <v>44682.0</v>
      </c>
      <c r="B102" s="1180" t="str">
        <f t="shared" si="1"/>
        <v>05/2022</v>
      </c>
      <c r="C102" s="1180" t="str">
        <f>IF(A102="","",VLOOKUP(A102,'THAM CHIẾU'!$A:$B,2,0))</f>
        <v>#N/A</v>
      </c>
      <c r="D102" s="1180" t="str">
        <f>IF(E102&lt;&gt;0,VLOOKUP(E102,DM_DUAN,3,0),"")</f>
        <v/>
      </c>
      <c r="E102" s="1181"/>
      <c r="F102" s="1180"/>
      <c r="G102" s="1180"/>
      <c r="H102" s="70"/>
      <c r="I102" s="1180" t="str">
        <f>IF($K102&lt;&gt;0,VLOOKUP($K102,DM_KM,3,0),"")</f>
        <v/>
      </c>
      <c r="J102" s="1180" t="str">
        <f>IF($K102&lt;&gt;0,VLOOKUP($K102,DM_KM,5,0),"")</f>
        <v/>
      </c>
      <c r="K102" s="1181"/>
      <c r="L102" s="1180"/>
      <c r="M102" s="1182"/>
      <c r="N102" s="1183"/>
      <c r="O102" s="1180"/>
      <c r="P102" s="1184"/>
    </row>
    <row r="103" hidden="1">
      <c r="A103" s="1179">
        <v>44682.0</v>
      </c>
      <c r="B103" s="1180" t="str">
        <f t="shared" si="1"/>
        <v>05/2022</v>
      </c>
      <c r="C103" s="1180" t="str">
        <f>IF(A103="","",VLOOKUP(A103,'THAM CHIẾU'!$A:$B,2,0))</f>
        <v>#N/A</v>
      </c>
      <c r="D103" s="1180" t="str">
        <f>IF(E103&lt;&gt;0,VLOOKUP(E103,DM_DUAN,3,0),"")</f>
        <v/>
      </c>
      <c r="E103" s="1181"/>
      <c r="F103" s="1180"/>
      <c r="G103" s="1180"/>
      <c r="H103" s="70"/>
      <c r="I103" s="1180" t="str">
        <f>IF($K103&lt;&gt;0,VLOOKUP($K103,DM_KM,3,0),"")</f>
        <v/>
      </c>
      <c r="J103" s="1180" t="str">
        <f>IF($K103&lt;&gt;0,VLOOKUP($K103,DM_KM,5,0),"")</f>
        <v/>
      </c>
      <c r="K103" s="1181"/>
      <c r="L103" s="1180"/>
      <c r="M103" s="1182"/>
      <c r="N103" s="1183"/>
      <c r="O103" s="1180"/>
      <c r="P103" s="1184"/>
    </row>
    <row r="104" hidden="1">
      <c r="A104" s="1179">
        <v>44682.0</v>
      </c>
      <c r="B104" s="1180" t="str">
        <f t="shared" si="1"/>
        <v>05/2022</v>
      </c>
      <c r="C104" s="1180" t="str">
        <f>IF(A104="","",VLOOKUP(A104,'THAM CHIẾU'!$A:$B,2,0))</f>
        <v>#N/A</v>
      </c>
      <c r="D104" s="1180" t="str">
        <f>IF(E104&lt;&gt;0,VLOOKUP(E104,DM_DUAN,3,0),"")</f>
        <v/>
      </c>
      <c r="E104" s="1181"/>
      <c r="F104" s="1180"/>
      <c r="G104" s="1180"/>
      <c r="H104" s="70"/>
      <c r="I104" s="1180" t="str">
        <f>IF($K104&lt;&gt;0,VLOOKUP($K104,DM_KM,3,0),"")</f>
        <v/>
      </c>
      <c r="J104" s="1180" t="str">
        <f>IF($K104&lt;&gt;0,VLOOKUP($K104,DM_KM,5,0),"")</f>
        <v/>
      </c>
      <c r="K104" s="1181"/>
      <c r="L104" s="1180"/>
      <c r="M104" s="1182"/>
      <c r="N104" s="1183"/>
      <c r="O104" s="1180"/>
      <c r="P104" s="1184"/>
    </row>
    <row r="105" hidden="1">
      <c r="A105" s="1179">
        <v>44682.0</v>
      </c>
      <c r="B105" s="1180" t="str">
        <f t="shared" si="1"/>
        <v>05/2022</v>
      </c>
      <c r="C105" s="1180" t="str">
        <f>IF(A105="","",VLOOKUP(A105,'THAM CHIẾU'!$A:$B,2,0))</f>
        <v>#N/A</v>
      </c>
      <c r="D105" s="1180" t="str">
        <f>IF(E105&lt;&gt;0,VLOOKUP(E105,DM_DUAN,3,0),"")</f>
        <v/>
      </c>
      <c r="E105" s="1181"/>
      <c r="F105" s="1180"/>
      <c r="G105" s="1180"/>
      <c r="H105" s="70"/>
      <c r="I105" s="1180" t="str">
        <f>IF($K105&lt;&gt;0,VLOOKUP($K105,DM_KM,3,0),"")</f>
        <v/>
      </c>
      <c r="J105" s="1180" t="str">
        <f>IF($K105&lt;&gt;0,VLOOKUP($K105,DM_KM,5,0),"")</f>
        <v/>
      </c>
      <c r="K105" s="1181"/>
      <c r="L105" s="1180"/>
      <c r="M105" s="1182"/>
      <c r="N105" s="1183"/>
      <c r="O105" s="1180"/>
      <c r="P105" s="1184"/>
    </row>
    <row r="106" hidden="1">
      <c r="A106" s="1179">
        <v>44682.0</v>
      </c>
      <c r="B106" s="1180" t="str">
        <f t="shared" si="1"/>
        <v>05/2022</v>
      </c>
      <c r="C106" s="1180" t="str">
        <f>IF(A106="","",VLOOKUP(A106,'THAM CHIẾU'!$A:$B,2,0))</f>
        <v>#N/A</v>
      </c>
      <c r="D106" s="1180" t="str">
        <f>IF(E106&lt;&gt;0,VLOOKUP(E106,DM_DUAN,3,0),"")</f>
        <v/>
      </c>
      <c r="E106" s="1181"/>
      <c r="F106" s="1180"/>
      <c r="G106" s="1180"/>
      <c r="H106" s="70"/>
      <c r="I106" s="1180" t="str">
        <f>IF($K106&lt;&gt;0,VLOOKUP($K106,DM_KM,3,0),"")</f>
        <v/>
      </c>
      <c r="J106" s="1180" t="str">
        <f>IF($K106&lt;&gt;0,VLOOKUP($K106,DM_KM,5,0),"")</f>
        <v/>
      </c>
      <c r="K106" s="1181"/>
      <c r="L106" s="1180"/>
      <c r="M106" s="1182"/>
      <c r="N106" s="1183"/>
      <c r="O106" s="1180"/>
      <c r="P106" s="1184"/>
    </row>
    <row r="107" hidden="1">
      <c r="A107" s="1179">
        <v>44713.0</v>
      </c>
      <c r="B107" s="1180" t="str">
        <f t="shared" si="1"/>
        <v>06/2022</v>
      </c>
      <c r="C107" s="1180" t="str">
        <f>IF(A107="","",VLOOKUP(A107,'THAM CHIẾU'!$A:$B,2,0))</f>
        <v>#N/A</v>
      </c>
      <c r="D107" s="1180" t="str">
        <f>IF(E107&lt;&gt;0,VLOOKUP(E107,DM_DUAN,3,0),"")</f>
        <v/>
      </c>
      <c r="E107" s="1181"/>
      <c r="F107" s="1180"/>
      <c r="G107" s="1180"/>
      <c r="H107" s="70"/>
      <c r="I107" s="1180" t="str">
        <f>IF($K107&lt;&gt;0,VLOOKUP($K107,DM_KM,3,0),"")</f>
        <v/>
      </c>
      <c r="J107" s="1180" t="str">
        <f>IF($K107&lt;&gt;0,VLOOKUP($K107,DM_KM,5,0),"")</f>
        <v/>
      </c>
      <c r="K107" s="1181"/>
      <c r="L107" s="1180"/>
      <c r="M107" s="1182"/>
      <c r="N107" s="1183"/>
      <c r="O107" s="1180"/>
      <c r="P107" s="1184"/>
    </row>
    <row r="108" hidden="1">
      <c r="A108" s="1179">
        <v>44713.0</v>
      </c>
      <c r="B108" s="1180" t="str">
        <f t="shared" si="1"/>
        <v>06/2022</v>
      </c>
      <c r="C108" s="1180" t="str">
        <f>IF(A108="","",VLOOKUP(A108,'THAM CHIẾU'!$A:$B,2,0))</f>
        <v>#N/A</v>
      </c>
      <c r="D108" s="1180" t="str">
        <f>IF(E108&lt;&gt;0,VLOOKUP(E108,DM_DUAN,3,0),"")</f>
        <v>NAMPHONG</v>
      </c>
      <c r="E108" s="1181" t="s">
        <v>2067</v>
      </c>
      <c r="F108" s="1180"/>
      <c r="G108" s="1180"/>
      <c r="H108" s="70"/>
      <c r="I108" s="1180" t="str">
        <f>IF($K108&lt;&gt;0,VLOOKUP($K108,DM_KM,3,0),"")</f>
        <v>511_TK</v>
      </c>
      <c r="J108" s="1180">
        <f>IF($K108&lt;&gt;0,VLOOKUP($K108,DM_KM,5,0),"")</f>
        <v>511</v>
      </c>
      <c r="K108" s="1181" t="s">
        <v>187</v>
      </c>
      <c r="L108" s="1180"/>
      <c r="M108" s="1182"/>
      <c r="N108" s="1185">
        <v>2.4E9</v>
      </c>
      <c r="O108" s="1180"/>
      <c r="P108" s="1184"/>
    </row>
    <row r="109" hidden="1">
      <c r="A109" s="1179">
        <v>44713.0</v>
      </c>
      <c r="B109" s="1180" t="str">
        <f t="shared" si="1"/>
        <v>06/2022</v>
      </c>
      <c r="C109" s="1180" t="str">
        <f>IF(A109="","",VLOOKUP(A109,'THAM CHIẾU'!$A:$B,2,0))</f>
        <v>#N/A</v>
      </c>
      <c r="D109" s="1180" t="str">
        <f>IF(E109&lt;&gt;0,VLOOKUP(E109,DM_DUAN,3,0),"")</f>
        <v/>
      </c>
      <c r="E109" s="1181"/>
      <c r="F109" s="1180"/>
      <c r="G109" s="1180"/>
      <c r="H109" s="70"/>
      <c r="I109" s="1180" t="str">
        <f>IF($K109&lt;&gt;0,VLOOKUP($K109,DM_KM,3,0),"")</f>
        <v/>
      </c>
      <c r="J109" s="1180" t="str">
        <f>IF($K109&lt;&gt;0,VLOOKUP($K109,DM_KM,5,0),"")</f>
        <v/>
      </c>
      <c r="K109" s="1181"/>
      <c r="L109" s="1180"/>
      <c r="M109" s="1182"/>
      <c r="N109" s="1183"/>
      <c r="O109" s="1180"/>
      <c r="P109" s="1184"/>
    </row>
    <row r="110">
      <c r="A110" s="1179">
        <v>44713.0</v>
      </c>
      <c r="B110" s="1180" t="str">
        <f t="shared" si="1"/>
        <v>06/2022</v>
      </c>
      <c r="C110" s="1180" t="str">
        <f>IF(A110="","",VLOOKUP(A110,'THAM CHIẾU'!$A:$B,2,0))</f>
        <v>#N/A</v>
      </c>
      <c r="D110" s="1180" t="str">
        <f>IF(E110&lt;&gt;0,VLOOKUP(E110,DM_DUAN,3,0),"")</f>
        <v>THANHNAM</v>
      </c>
      <c r="E110" s="1181" t="s">
        <v>175</v>
      </c>
      <c r="F110" s="1180"/>
      <c r="G110" s="1180"/>
      <c r="H110" s="70"/>
      <c r="I110" s="1180" t="str">
        <f>IF($K110&lt;&gt;0,VLOOKUP($K110,DM_KM,3,0),"")</f>
        <v>511_TK</v>
      </c>
      <c r="J110" s="1180">
        <f>IF($K110&lt;&gt;0,VLOOKUP($K110,DM_KM,5,0),"")</f>
        <v>511</v>
      </c>
      <c r="K110" s="1181" t="s">
        <v>187</v>
      </c>
      <c r="L110" s="1180"/>
      <c r="M110" s="1182"/>
      <c r="N110" s="1185">
        <v>1.6E9</v>
      </c>
      <c r="O110" s="1180"/>
      <c r="P110" s="1184"/>
    </row>
    <row r="111" hidden="1">
      <c r="A111" s="1179">
        <v>44713.0</v>
      </c>
      <c r="B111" s="1180" t="str">
        <f t="shared" si="1"/>
        <v>06/2022</v>
      </c>
      <c r="C111" s="1180" t="str">
        <f>IF(A111="","",VLOOKUP(A111,'THAM CHIẾU'!$A:$B,2,0))</f>
        <v>#N/A</v>
      </c>
      <c r="D111" s="1180" t="str">
        <f>IF(E111&lt;&gt;0,VLOOKUP(E111,DM_DUAN,3,0),"")</f>
        <v/>
      </c>
      <c r="E111" s="1181"/>
      <c r="F111" s="1180"/>
      <c r="G111" s="1180"/>
      <c r="H111" s="70"/>
      <c r="I111" s="1180" t="str">
        <f>IF($K111&lt;&gt;0,VLOOKUP($K111,DM_KM,3,0),"")</f>
        <v/>
      </c>
      <c r="J111" s="1180" t="str">
        <f>IF($K111&lt;&gt;0,VLOOKUP($K111,DM_KM,5,0),"")</f>
        <v/>
      </c>
      <c r="K111" s="1181"/>
      <c r="L111" s="1180"/>
      <c r="M111" s="1182"/>
      <c r="N111" s="1183"/>
      <c r="O111" s="1180"/>
      <c r="P111" s="1184"/>
    </row>
    <row r="112" hidden="1">
      <c r="A112" s="1179">
        <v>44713.0</v>
      </c>
      <c r="B112" s="1180" t="str">
        <f t="shared" si="1"/>
        <v>06/2022</v>
      </c>
      <c r="C112" s="1180" t="str">
        <f>IF(A112="","",VLOOKUP(A112,'THAM CHIẾU'!$A:$B,2,0))</f>
        <v>#N/A</v>
      </c>
      <c r="D112" s="1180" t="str">
        <f>IF(E112&lt;&gt;0,VLOOKUP(E112,DM_DUAN,3,0),"")</f>
        <v/>
      </c>
      <c r="E112" s="1181"/>
      <c r="F112" s="1180"/>
      <c r="G112" s="1180"/>
      <c r="H112" s="70"/>
      <c r="I112" s="1180" t="str">
        <f>IF($K112&lt;&gt;0,VLOOKUP($K112,DM_KM,3,0),"")</f>
        <v/>
      </c>
      <c r="J112" s="1180" t="str">
        <f>IF($K112&lt;&gt;0,VLOOKUP($K112,DM_KM,5,0),"")</f>
        <v/>
      </c>
      <c r="K112" s="1181"/>
      <c r="L112" s="1180"/>
      <c r="M112" s="1182"/>
      <c r="N112" s="1183"/>
      <c r="O112" s="1180"/>
      <c r="P112" s="1184"/>
    </row>
    <row r="113" hidden="1">
      <c r="A113" s="1179">
        <v>44713.0</v>
      </c>
      <c r="B113" s="1180" t="str">
        <f t="shared" si="1"/>
        <v>06/2022</v>
      </c>
      <c r="C113" s="1180" t="str">
        <f>IF(A113="","",VLOOKUP(A113,'THAM CHIẾU'!$A:$B,2,0))</f>
        <v>#N/A</v>
      </c>
      <c r="D113" s="1180" t="str">
        <f>IF(E113&lt;&gt;0,VLOOKUP(E113,DM_DUAN,3,0),"")</f>
        <v/>
      </c>
      <c r="E113" s="1181"/>
      <c r="F113" s="1180"/>
      <c r="G113" s="1180"/>
      <c r="H113" s="70"/>
      <c r="I113" s="1180" t="str">
        <f>IF($K113&lt;&gt;0,VLOOKUP($K113,DM_KM,3,0),"")</f>
        <v/>
      </c>
      <c r="J113" s="1180" t="str">
        <f>IF($K113&lt;&gt;0,VLOOKUP($K113,DM_KM,5,0),"")</f>
        <v/>
      </c>
      <c r="K113" s="1181"/>
      <c r="L113" s="1180"/>
      <c r="M113" s="1182"/>
      <c r="N113" s="1183"/>
      <c r="O113" s="1180"/>
      <c r="P113" s="1184"/>
    </row>
    <row r="114" hidden="1">
      <c r="A114" s="1179">
        <v>44713.0</v>
      </c>
      <c r="B114" s="1180" t="str">
        <f t="shared" si="1"/>
        <v>06/2022</v>
      </c>
      <c r="C114" s="1180" t="str">
        <f>IF(A114="","",VLOOKUP(A114,'THAM CHIẾU'!$A:$B,2,0))</f>
        <v>#N/A</v>
      </c>
      <c r="D114" s="1180" t="str">
        <f>IF(E114&lt;&gt;0,VLOOKUP(E114,DM_DUAN,3,0),"")</f>
        <v/>
      </c>
      <c r="E114" s="1181"/>
      <c r="F114" s="1180"/>
      <c r="G114" s="1180"/>
      <c r="H114" s="70"/>
      <c r="I114" s="1180" t="str">
        <f>IF($K114&lt;&gt;0,VLOOKUP($K114,DM_KM,3,0),"")</f>
        <v/>
      </c>
      <c r="J114" s="1180" t="str">
        <f>IF($K114&lt;&gt;0,VLOOKUP($K114,DM_KM,5,0),"")</f>
        <v/>
      </c>
      <c r="K114" s="1181"/>
      <c r="L114" s="1180"/>
      <c r="M114" s="1182"/>
      <c r="N114" s="1183"/>
      <c r="O114" s="1180"/>
      <c r="P114" s="1184"/>
    </row>
    <row r="115" hidden="1">
      <c r="A115" s="1179">
        <v>44713.0</v>
      </c>
      <c r="B115" s="1180" t="str">
        <f t="shared" si="1"/>
        <v>06/2022</v>
      </c>
      <c r="C115" s="1180" t="str">
        <f>IF(A115="","",VLOOKUP(A115,'THAM CHIẾU'!$A:$B,2,0))</f>
        <v>#N/A</v>
      </c>
      <c r="D115" s="1180" t="str">
        <f>IF(E115&lt;&gt;0,VLOOKUP(E115,DM_DUAN,3,0),"")</f>
        <v/>
      </c>
      <c r="E115" s="1181"/>
      <c r="F115" s="1180"/>
      <c r="G115" s="1180"/>
      <c r="H115" s="70"/>
      <c r="I115" s="1180" t="str">
        <f>IF($K115&lt;&gt;0,VLOOKUP($K115,DM_KM,3,0),"")</f>
        <v/>
      </c>
      <c r="J115" s="1180" t="str">
        <f>IF($K115&lt;&gt;0,VLOOKUP($K115,DM_KM,5,0),"")</f>
        <v/>
      </c>
      <c r="K115" s="1181"/>
      <c r="L115" s="1180"/>
      <c r="M115" s="1182"/>
      <c r="N115" s="1183"/>
      <c r="O115" s="1180"/>
      <c r="P115" s="1184"/>
    </row>
    <row r="116" hidden="1">
      <c r="A116" s="1179">
        <v>44743.0</v>
      </c>
      <c r="B116" s="1180" t="str">
        <f t="shared" si="1"/>
        <v>07/2022</v>
      </c>
      <c r="C116" s="1180" t="str">
        <f>IF(A116="","",VLOOKUP(A116,'THAM CHIẾU'!$A:$B,2,0))</f>
        <v>#N/A</v>
      </c>
      <c r="D116" s="1180" t="str">
        <f>IF(E116&lt;&gt;0,VLOOKUP(E116,DM_DUAN,3,0),"")</f>
        <v/>
      </c>
      <c r="E116" s="1181"/>
      <c r="F116" s="1180"/>
      <c r="G116" s="1180"/>
      <c r="H116" s="70"/>
      <c r="I116" s="1180" t="str">
        <f>IF($K116&lt;&gt;0,VLOOKUP($K116,DM_KM,3,0),"")</f>
        <v/>
      </c>
      <c r="J116" s="1180" t="str">
        <f>IF($K116&lt;&gt;0,VLOOKUP($K116,DM_KM,5,0),"")</f>
        <v/>
      </c>
      <c r="K116" s="1181"/>
      <c r="L116" s="1180"/>
      <c r="M116" s="1182"/>
      <c r="N116" s="1183"/>
      <c r="O116" s="1180"/>
      <c r="P116" s="1184"/>
    </row>
    <row r="117" hidden="1">
      <c r="A117" s="1179">
        <v>44743.0</v>
      </c>
      <c r="B117" s="1180" t="str">
        <f t="shared" si="1"/>
        <v>07/2022</v>
      </c>
      <c r="C117" s="1180" t="str">
        <f>IF(A117="","",VLOOKUP(A117,'THAM CHIẾU'!$A:$B,2,0))</f>
        <v>#N/A</v>
      </c>
      <c r="D117" s="1180" t="str">
        <f>IF(E117&lt;&gt;0,VLOOKUP(E117,DM_DUAN,3,0),"")</f>
        <v>NAMPHONG</v>
      </c>
      <c r="E117" s="1181" t="s">
        <v>2067</v>
      </c>
      <c r="F117" s="1180"/>
      <c r="G117" s="1180"/>
      <c r="H117" s="70"/>
      <c r="I117" s="1180" t="str">
        <f>IF($K117&lt;&gt;0,VLOOKUP($K117,DM_KM,3,0),"")</f>
        <v>511_TK</v>
      </c>
      <c r="J117" s="1180">
        <f>IF($K117&lt;&gt;0,VLOOKUP($K117,DM_KM,5,0),"")</f>
        <v>511</v>
      </c>
      <c r="K117" s="1181" t="s">
        <v>187</v>
      </c>
      <c r="L117" s="1180"/>
      <c r="M117" s="1182"/>
      <c r="N117" s="1185">
        <v>2.4E9</v>
      </c>
      <c r="O117" s="1180"/>
      <c r="P117" s="1184"/>
    </row>
    <row r="118" hidden="1">
      <c r="A118" s="1179">
        <v>44743.0</v>
      </c>
      <c r="B118" s="1180" t="str">
        <f t="shared" si="1"/>
        <v>07/2022</v>
      </c>
      <c r="C118" s="1180" t="str">
        <f>IF(A118="","",VLOOKUP(A118,'THAM CHIẾU'!$A:$B,2,0))</f>
        <v>#N/A</v>
      </c>
      <c r="D118" s="1180" t="str">
        <f>IF(E118&lt;&gt;0,VLOOKUP(E118,DM_DUAN,3,0),"")</f>
        <v/>
      </c>
      <c r="E118" s="1181"/>
      <c r="F118" s="1180"/>
      <c r="G118" s="1180"/>
      <c r="H118" s="70"/>
      <c r="I118" s="1180" t="str">
        <f>IF($K118&lt;&gt;0,VLOOKUP($K118,DM_KM,3,0),"")</f>
        <v/>
      </c>
      <c r="J118" s="1180" t="str">
        <f>IF($K118&lt;&gt;0,VLOOKUP($K118,DM_KM,5,0),"")</f>
        <v/>
      </c>
      <c r="K118" s="1181"/>
      <c r="L118" s="1180"/>
      <c r="M118" s="1182"/>
      <c r="N118" s="1183"/>
      <c r="O118" s="1180"/>
      <c r="P118" s="1184"/>
    </row>
    <row r="119">
      <c r="A119" s="1179">
        <v>44743.0</v>
      </c>
      <c r="B119" s="1180" t="str">
        <f t="shared" si="1"/>
        <v>07/2022</v>
      </c>
      <c r="C119" s="1180" t="str">
        <f>IF(A119="","",VLOOKUP(A119,'THAM CHIẾU'!$A:$B,2,0))</f>
        <v>#N/A</v>
      </c>
      <c r="D119" s="1180" t="str">
        <f>IF(E119&lt;&gt;0,VLOOKUP(E119,DM_DUAN,3,0),"")</f>
        <v>THANHNAM</v>
      </c>
      <c r="E119" s="1181" t="s">
        <v>175</v>
      </c>
      <c r="F119" s="1180"/>
      <c r="G119" s="1180"/>
      <c r="H119" s="70"/>
      <c r="I119" s="1180" t="str">
        <f>IF($K119&lt;&gt;0,VLOOKUP($K119,DM_KM,3,0),"")</f>
        <v>511_TK</v>
      </c>
      <c r="J119" s="1180">
        <f>IF($K119&lt;&gt;0,VLOOKUP($K119,DM_KM,5,0),"")</f>
        <v>511</v>
      </c>
      <c r="K119" s="1181" t="s">
        <v>187</v>
      </c>
      <c r="L119" s="1180"/>
      <c r="M119" s="1182"/>
      <c r="N119" s="1185">
        <v>1.6E9</v>
      </c>
      <c r="O119" s="1180"/>
      <c r="P119" s="1184"/>
    </row>
    <row r="120" hidden="1">
      <c r="A120" s="1179">
        <v>44743.0</v>
      </c>
      <c r="B120" s="1180" t="str">
        <f t="shared" si="1"/>
        <v>07/2022</v>
      </c>
      <c r="C120" s="1180" t="str">
        <f>IF(A120="","",VLOOKUP(A120,'THAM CHIẾU'!$A:$B,2,0))</f>
        <v>#N/A</v>
      </c>
      <c r="D120" s="1180" t="str">
        <f>IF(E120&lt;&gt;0,VLOOKUP(E120,DM_DUAN,3,0),"")</f>
        <v/>
      </c>
      <c r="E120" s="1181"/>
      <c r="F120" s="1180"/>
      <c r="G120" s="1180"/>
      <c r="H120" s="70"/>
      <c r="I120" s="1180" t="str">
        <f>IF($K120&lt;&gt;0,VLOOKUP($K120,DM_KM,3,0),"")</f>
        <v/>
      </c>
      <c r="J120" s="1180" t="str">
        <f>IF($K120&lt;&gt;0,VLOOKUP($K120,DM_KM,5,0),"")</f>
        <v/>
      </c>
      <c r="K120" s="1181"/>
      <c r="L120" s="1180"/>
      <c r="M120" s="1182"/>
      <c r="N120" s="1183"/>
      <c r="O120" s="1180"/>
      <c r="P120" s="1184"/>
    </row>
    <row r="121" hidden="1">
      <c r="A121" s="1179">
        <v>44743.0</v>
      </c>
      <c r="B121" s="1180" t="str">
        <f t="shared" si="1"/>
        <v>07/2022</v>
      </c>
      <c r="C121" s="1180" t="str">
        <f>IF(A121="","",VLOOKUP(A121,'THAM CHIẾU'!$A:$B,2,0))</f>
        <v>#N/A</v>
      </c>
      <c r="D121" s="1180" t="str">
        <f>IF(E121&lt;&gt;0,VLOOKUP(E121,DM_DUAN,3,0),"")</f>
        <v/>
      </c>
      <c r="E121" s="1181"/>
      <c r="F121" s="1180"/>
      <c r="G121" s="1180"/>
      <c r="H121" s="70"/>
      <c r="I121" s="1180" t="str">
        <f>IF($K121&lt;&gt;0,VLOOKUP($K121,DM_KM,3,0),"")</f>
        <v/>
      </c>
      <c r="J121" s="1180" t="str">
        <f>IF($K121&lt;&gt;0,VLOOKUP($K121,DM_KM,5,0),"")</f>
        <v/>
      </c>
      <c r="K121" s="1181"/>
      <c r="L121" s="1180"/>
      <c r="M121" s="1182"/>
      <c r="N121" s="1183"/>
      <c r="O121" s="1180"/>
      <c r="P121" s="1184"/>
    </row>
    <row r="122" hidden="1">
      <c r="A122" s="1179">
        <v>44743.0</v>
      </c>
      <c r="B122" s="1180" t="str">
        <f t="shared" si="1"/>
        <v>07/2022</v>
      </c>
      <c r="C122" s="1180" t="str">
        <f>IF(A122="","",VLOOKUP(A122,'THAM CHIẾU'!$A:$B,2,0))</f>
        <v>#N/A</v>
      </c>
      <c r="D122" s="1180" t="str">
        <f>IF(E122&lt;&gt;0,VLOOKUP(E122,DM_DUAN,3,0),"")</f>
        <v/>
      </c>
      <c r="E122" s="1181"/>
      <c r="F122" s="1180"/>
      <c r="G122" s="1180"/>
      <c r="H122" s="70"/>
      <c r="I122" s="1180" t="str">
        <f>IF($K122&lt;&gt;0,VLOOKUP($K122,DM_KM,3,0),"")</f>
        <v/>
      </c>
      <c r="J122" s="1180" t="str">
        <f>IF($K122&lt;&gt;0,VLOOKUP($K122,DM_KM,5,0),"")</f>
        <v/>
      </c>
      <c r="K122" s="1181"/>
      <c r="L122" s="1180"/>
      <c r="M122" s="1182"/>
      <c r="N122" s="1183"/>
      <c r="O122" s="1180"/>
      <c r="P122" s="1184"/>
    </row>
    <row r="123" hidden="1">
      <c r="A123" s="1179">
        <v>44743.0</v>
      </c>
      <c r="B123" s="1180" t="str">
        <f t="shared" si="1"/>
        <v>07/2022</v>
      </c>
      <c r="C123" s="1180" t="str">
        <f>IF(A123="","",VLOOKUP(A123,'THAM CHIẾU'!$A:$B,2,0))</f>
        <v>#N/A</v>
      </c>
      <c r="D123" s="1180" t="str">
        <f>IF(E123&lt;&gt;0,VLOOKUP(E123,DM_DUAN,3,0),"")</f>
        <v/>
      </c>
      <c r="E123" s="1181"/>
      <c r="F123" s="1180"/>
      <c r="G123" s="1180"/>
      <c r="H123" s="70"/>
      <c r="I123" s="1180" t="str">
        <f>IF($K123&lt;&gt;0,VLOOKUP($K123,DM_KM,3,0),"")</f>
        <v/>
      </c>
      <c r="J123" s="1180" t="str">
        <f>IF($K123&lt;&gt;0,VLOOKUP($K123,DM_KM,5,0),"")</f>
        <v/>
      </c>
      <c r="K123" s="1181"/>
      <c r="L123" s="1180"/>
      <c r="M123" s="1182"/>
      <c r="N123" s="1183"/>
      <c r="O123" s="1180"/>
      <c r="P123" s="1184"/>
    </row>
    <row r="124" hidden="1">
      <c r="A124" s="1179">
        <v>44743.0</v>
      </c>
      <c r="B124" s="1180" t="str">
        <f t="shared" si="1"/>
        <v>07/2022</v>
      </c>
      <c r="C124" s="1180" t="str">
        <f>IF(A124="","",VLOOKUP(A124,'THAM CHIẾU'!$A:$B,2,0))</f>
        <v>#N/A</v>
      </c>
      <c r="D124" s="1180" t="str">
        <f>IF(E124&lt;&gt;0,VLOOKUP(E124,DM_DUAN,3,0),"")</f>
        <v/>
      </c>
      <c r="E124" s="1181"/>
      <c r="F124" s="1180"/>
      <c r="G124" s="1180"/>
      <c r="H124" s="70"/>
      <c r="I124" s="1180" t="str">
        <f>IF($K124&lt;&gt;0,VLOOKUP($K124,DM_KM,3,0),"")</f>
        <v/>
      </c>
      <c r="J124" s="1180" t="str">
        <f>IF($K124&lt;&gt;0,VLOOKUP($K124,DM_KM,5,0),"")</f>
        <v/>
      </c>
      <c r="K124" s="1181"/>
      <c r="L124" s="1180"/>
      <c r="M124" s="1182"/>
      <c r="N124" s="1183"/>
      <c r="O124" s="1180"/>
      <c r="P124" s="1184"/>
    </row>
    <row r="125" hidden="1">
      <c r="A125" s="1179">
        <v>44774.0</v>
      </c>
      <c r="B125" s="1180" t="str">
        <f t="shared" si="1"/>
        <v>08/2022</v>
      </c>
      <c r="C125" s="1180" t="str">
        <f>IF(A125="","",VLOOKUP(A125,'THAM CHIẾU'!$A:$B,2,0))</f>
        <v>#N/A</v>
      </c>
      <c r="D125" s="1180" t="str">
        <f>IF(E125&lt;&gt;0,VLOOKUP(E125,DM_DUAN,3,0),"")</f>
        <v/>
      </c>
      <c r="E125" s="1181"/>
      <c r="F125" s="1180"/>
      <c r="G125" s="1180"/>
      <c r="H125" s="70"/>
      <c r="I125" s="1180" t="str">
        <f>IF($K125&lt;&gt;0,VLOOKUP($K125,DM_KM,3,0),"")</f>
        <v/>
      </c>
      <c r="J125" s="1180" t="str">
        <f>IF($K125&lt;&gt;0,VLOOKUP($K125,DM_KM,5,0),"")</f>
        <v/>
      </c>
      <c r="K125" s="1181"/>
      <c r="L125" s="1180"/>
      <c r="M125" s="1182"/>
      <c r="N125" s="1183"/>
      <c r="O125" s="1180"/>
      <c r="P125" s="1184"/>
    </row>
    <row r="126" hidden="1">
      <c r="A126" s="1179">
        <v>44774.0</v>
      </c>
      <c r="B126" s="1180" t="str">
        <f t="shared" si="1"/>
        <v>08/2022</v>
      </c>
      <c r="C126" s="1180" t="str">
        <f>IF(A126="","",VLOOKUP(A126,'THAM CHIẾU'!$A:$B,2,0))</f>
        <v>#N/A</v>
      </c>
      <c r="D126" s="1180" t="str">
        <f>IF(E126&lt;&gt;0,VLOOKUP(E126,DM_DUAN,3,0),"")</f>
        <v>NAMPHONG</v>
      </c>
      <c r="E126" s="1181" t="s">
        <v>2067</v>
      </c>
      <c r="F126" s="1180"/>
      <c r="G126" s="1180"/>
      <c r="H126" s="70"/>
      <c r="I126" s="1180" t="str">
        <f>IF($K126&lt;&gt;0,VLOOKUP($K126,DM_KM,3,0),"")</f>
        <v>511_TK</v>
      </c>
      <c r="J126" s="1180">
        <f>IF($K126&lt;&gt;0,VLOOKUP($K126,DM_KM,5,0),"")</f>
        <v>511</v>
      </c>
      <c r="K126" s="1181" t="s">
        <v>187</v>
      </c>
      <c r="L126" s="1180"/>
      <c r="M126" s="1182"/>
      <c r="N126" s="1185">
        <v>2.4E9</v>
      </c>
      <c r="O126" s="1180"/>
      <c r="P126" s="1184"/>
    </row>
    <row r="127" hidden="1">
      <c r="A127" s="1179">
        <v>44774.0</v>
      </c>
      <c r="B127" s="1180" t="str">
        <f t="shared" si="1"/>
        <v>08/2022</v>
      </c>
      <c r="C127" s="1180" t="str">
        <f>IF(A127="","",VLOOKUP(A127,'THAM CHIẾU'!$A:$B,2,0))</f>
        <v>#N/A</v>
      </c>
      <c r="D127" s="1180" t="str">
        <f>IF(E127&lt;&gt;0,VLOOKUP(E127,DM_DUAN,3,0),"")</f>
        <v/>
      </c>
      <c r="E127" s="1181"/>
      <c r="F127" s="1180"/>
      <c r="G127" s="1180"/>
      <c r="H127" s="70"/>
      <c r="I127" s="1180" t="str">
        <f>IF($K127&lt;&gt;0,VLOOKUP($K127,DM_KM,3,0),"")</f>
        <v/>
      </c>
      <c r="J127" s="1180" t="str">
        <f>IF($K127&lt;&gt;0,VLOOKUP($K127,DM_KM,5,0),"")</f>
        <v/>
      </c>
      <c r="K127" s="1181"/>
      <c r="L127" s="1180"/>
      <c r="M127" s="1182"/>
      <c r="N127" s="1183"/>
      <c r="O127" s="1180"/>
      <c r="P127" s="1184"/>
    </row>
    <row r="128">
      <c r="A128" s="1179">
        <v>44774.0</v>
      </c>
      <c r="B128" s="1180" t="str">
        <f t="shared" si="1"/>
        <v>08/2022</v>
      </c>
      <c r="C128" s="1180" t="str">
        <f>IF(A128="","",VLOOKUP(A128,'THAM CHIẾU'!$A:$B,2,0))</f>
        <v>#N/A</v>
      </c>
      <c r="D128" s="1180" t="str">
        <f>IF(E128&lt;&gt;0,VLOOKUP(E128,DM_DUAN,3,0),"")</f>
        <v>THANHNAM</v>
      </c>
      <c r="E128" s="1181" t="s">
        <v>175</v>
      </c>
      <c r="F128" s="1180"/>
      <c r="G128" s="1180"/>
      <c r="H128" s="70"/>
      <c r="I128" s="1180" t="str">
        <f>IF($K128&lt;&gt;0,VLOOKUP($K128,DM_KM,3,0),"")</f>
        <v>511_TK</v>
      </c>
      <c r="J128" s="1180">
        <f>IF($K128&lt;&gt;0,VLOOKUP($K128,DM_KM,5,0),"")</f>
        <v>511</v>
      </c>
      <c r="K128" s="1181" t="s">
        <v>187</v>
      </c>
      <c r="L128" s="1180"/>
      <c r="M128" s="1182"/>
      <c r="N128" s="1185">
        <v>1.6E9</v>
      </c>
      <c r="O128" s="1180"/>
      <c r="P128" s="1184"/>
    </row>
    <row r="129" hidden="1">
      <c r="A129" s="1179">
        <v>44774.0</v>
      </c>
      <c r="B129" s="1180" t="str">
        <f t="shared" si="1"/>
        <v>08/2022</v>
      </c>
      <c r="C129" s="1180" t="str">
        <f>IF(A129="","",VLOOKUP(A129,'THAM CHIẾU'!$A:$B,2,0))</f>
        <v>#N/A</v>
      </c>
      <c r="D129" s="1180" t="str">
        <f>IF(E129&lt;&gt;0,VLOOKUP(E129,DM_DUAN,3,0),"")</f>
        <v/>
      </c>
      <c r="E129" s="1181"/>
      <c r="F129" s="1180"/>
      <c r="G129" s="1180"/>
      <c r="H129" s="70"/>
      <c r="I129" s="1180" t="str">
        <f>IF($K129&lt;&gt;0,VLOOKUP($K129,DM_KM,3,0),"")</f>
        <v/>
      </c>
      <c r="J129" s="1180" t="str">
        <f>IF($K129&lt;&gt;0,VLOOKUP($K129,DM_KM,5,0),"")</f>
        <v/>
      </c>
      <c r="K129" s="1181"/>
      <c r="L129" s="1180"/>
      <c r="M129" s="1182"/>
      <c r="N129" s="1183"/>
      <c r="O129" s="1180"/>
      <c r="P129" s="1184"/>
    </row>
    <row r="130" hidden="1">
      <c r="A130" s="1179">
        <v>44774.0</v>
      </c>
      <c r="B130" s="1180" t="str">
        <f t="shared" si="1"/>
        <v>08/2022</v>
      </c>
      <c r="C130" s="1180" t="str">
        <f>IF(A130="","",VLOOKUP(A130,'THAM CHIẾU'!$A:$B,2,0))</f>
        <v>#N/A</v>
      </c>
      <c r="D130" s="1180" t="str">
        <f>IF(E130&lt;&gt;0,VLOOKUP(E130,DM_DUAN,3,0),"")</f>
        <v/>
      </c>
      <c r="E130" s="1181"/>
      <c r="F130" s="1180"/>
      <c r="G130" s="1180"/>
      <c r="H130" s="70"/>
      <c r="I130" s="1180" t="str">
        <f>IF($K130&lt;&gt;0,VLOOKUP($K130,DM_KM,3,0),"")</f>
        <v/>
      </c>
      <c r="J130" s="1180" t="str">
        <f>IF($K130&lt;&gt;0,VLOOKUP($K130,DM_KM,5,0),"")</f>
        <v/>
      </c>
      <c r="K130" s="1181"/>
      <c r="L130" s="1180"/>
      <c r="M130" s="1182"/>
      <c r="N130" s="1183"/>
      <c r="O130" s="1180"/>
      <c r="P130" s="1184"/>
    </row>
    <row r="131" hidden="1">
      <c r="A131" s="1179">
        <v>44774.0</v>
      </c>
      <c r="B131" s="1180" t="str">
        <f t="shared" si="1"/>
        <v>08/2022</v>
      </c>
      <c r="C131" s="1180" t="str">
        <f>IF(A131="","",VLOOKUP(A131,'THAM CHIẾU'!$A:$B,2,0))</f>
        <v>#N/A</v>
      </c>
      <c r="D131" s="1180" t="str">
        <f>IF(E131&lt;&gt;0,VLOOKUP(E131,DM_DUAN,3,0),"")</f>
        <v/>
      </c>
      <c r="E131" s="1181"/>
      <c r="F131" s="1180"/>
      <c r="G131" s="1180"/>
      <c r="H131" s="70"/>
      <c r="I131" s="1180" t="str">
        <f>IF($K131&lt;&gt;0,VLOOKUP($K131,DM_KM,3,0),"")</f>
        <v/>
      </c>
      <c r="J131" s="1180" t="str">
        <f>IF($K131&lt;&gt;0,VLOOKUP($K131,DM_KM,5,0),"")</f>
        <v/>
      </c>
      <c r="K131" s="1181"/>
      <c r="L131" s="1180"/>
      <c r="M131" s="1182"/>
      <c r="N131" s="1183"/>
      <c r="O131" s="1180"/>
      <c r="P131" s="1184"/>
    </row>
    <row r="132" hidden="1">
      <c r="A132" s="1179">
        <v>44774.0</v>
      </c>
      <c r="B132" s="1180" t="str">
        <f t="shared" si="1"/>
        <v>08/2022</v>
      </c>
      <c r="C132" s="1180" t="str">
        <f>IF(A132="","",VLOOKUP(A132,'THAM CHIẾU'!$A:$B,2,0))</f>
        <v>#N/A</v>
      </c>
      <c r="D132" s="1180" t="str">
        <f>IF(E132&lt;&gt;0,VLOOKUP(E132,DM_DUAN,3,0),"")</f>
        <v/>
      </c>
      <c r="E132" s="1181"/>
      <c r="F132" s="1180"/>
      <c r="G132" s="1180"/>
      <c r="H132" s="70"/>
      <c r="I132" s="1180" t="str">
        <f>IF($K132&lt;&gt;0,VLOOKUP($K132,DM_KM,3,0),"")</f>
        <v/>
      </c>
      <c r="J132" s="1180" t="str">
        <f>IF($K132&lt;&gt;0,VLOOKUP($K132,DM_KM,5,0),"")</f>
        <v/>
      </c>
      <c r="K132" s="1181"/>
      <c r="L132" s="1180"/>
      <c r="M132" s="1182"/>
      <c r="N132" s="1183"/>
      <c r="O132" s="1180"/>
      <c r="P132" s="1184"/>
    </row>
    <row r="133" hidden="1">
      <c r="A133" s="1179">
        <v>44774.0</v>
      </c>
      <c r="B133" s="1180" t="str">
        <f t="shared" si="1"/>
        <v>08/2022</v>
      </c>
      <c r="C133" s="1180" t="str">
        <f>IF(A133="","",VLOOKUP(A133,'THAM CHIẾU'!$A:$B,2,0))</f>
        <v>#N/A</v>
      </c>
      <c r="D133" s="1180" t="str">
        <f>IF(E133&lt;&gt;0,VLOOKUP(E133,DM_DUAN,3,0),"")</f>
        <v/>
      </c>
      <c r="E133" s="1181"/>
      <c r="F133" s="1180"/>
      <c r="G133" s="1180"/>
      <c r="H133" s="70"/>
      <c r="I133" s="1180" t="str">
        <f>IF($K133&lt;&gt;0,VLOOKUP($K133,DM_KM,3,0),"")</f>
        <v/>
      </c>
      <c r="J133" s="1180" t="str">
        <f>IF($K133&lt;&gt;0,VLOOKUP($K133,DM_KM,5,0),"")</f>
        <v/>
      </c>
      <c r="K133" s="1181"/>
      <c r="L133" s="1180"/>
      <c r="M133" s="1182"/>
      <c r="N133" s="1183"/>
      <c r="O133" s="1180"/>
      <c r="P133" s="1184"/>
    </row>
    <row r="134" hidden="1">
      <c r="A134" s="1179">
        <v>44805.0</v>
      </c>
      <c r="B134" s="1180" t="str">
        <f t="shared" si="1"/>
        <v>09/2022</v>
      </c>
      <c r="C134" s="1180" t="str">
        <f>IF(A134="","",VLOOKUP(A134,'THAM CHIẾU'!$A:$B,2,0))</f>
        <v>#N/A</v>
      </c>
      <c r="D134" s="1180" t="str">
        <f>IF(E134&lt;&gt;0,VLOOKUP(E134,DM_DUAN,3,0),"")</f>
        <v/>
      </c>
      <c r="E134" s="1181"/>
      <c r="F134" s="1180"/>
      <c r="G134" s="1180"/>
      <c r="H134" s="70"/>
      <c r="I134" s="1180" t="str">
        <f>IF($K134&lt;&gt;0,VLOOKUP($K134,DM_KM,3,0),"")</f>
        <v/>
      </c>
      <c r="J134" s="1180" t="str">
        <f>IF($K134&lt;&gt;0,VLOOKUP($K134,DM_KM,5,0),"")</f>
        <v/>
      </c>
      <c r="K134" s="1181"/>
      <c r="L134" s="1180"/>
      <c r="M134" s="1182"/>
      <c r="N134" s="1183"/>
      <c r="O134" s="1180"/>
      <c r="P134" s="1184"/>
    </row>
    <row r="135" hidden="1">
      <c r="A135" s="1179">
        <v>44805.0</v>
      </c>
      <c r="B135" s="1180" t="str">
        <f t="shared" si="1"/>
        <v>09/2022</v>
      </c>
      <c r="C135" s="1180" t="str">
        <f>IF(A135="","",VLOOKUP(A135,'THAM CHIẾU'!$A:$B,2,0))</f>
        <v>#N/A</v>
      </c>
      <c r="D135" s="1180" t="str">
        <f>IF(E135&lt;&gt;0,VLOOKUP(E135,DM_DUAN,3,0),"")</f>
        <v>NAMPHONG</v>
      </c>
      <c r="E135" s="1181" t="s">
        <v>2067</v>
      </c>
      <c r="F135" s="1180"/>
      <c r="G135" s="1180"/>
      <c r="H135" s="70"/>
      <c r="I135" s="1180" t="str">
        <f>IF($K135&lt;&gt;0,VLOOKUP($K135,DM_KM,3,0),"")</f>
        <v>511_TK</v>
      </c>
      <c r="J135" s="1180">
        <f>IF($K135&lt;&gt;0,VLOOKUP($K135,DM_KM,5,0),"")</f>
        <v>511</v>
      </c>
      <c r="K135" s="1181" t="s">
        <v>187</v>
      </c>
      <c r="L135" s="1180"/>
      <c r="M135" s="1182"/>
      <c r="N135" s="1185">
        <v>2.4E9</v>
      </c>
      <c r="O135" s="1180"/>
      <c r="P135" s="1184"/>
    </row>
    <row r="136" hidden="1">
      <c r="A136" s="1179">
        <v>44805.0</v>
      </c>
      <c r="B136" s="1180" t="str">
        <f t="shared" si="1"/>
        <v>09/2022</v>
      </c>
      <c r="C136" s="1180" t="str">
        <f>IF(A136="","",VLOOKUP(A136,'THAM CHIẾU'!$A:$B,2,0))</f>
        <v>#N/A</v>
      </c>
      <c r="D136" s="1180" t="str">
        <f>IF(E136&lt;&gt;0,VLOOKUP(E136,DM_DUAN,3,0),"")</f>
        <v/>
      </c>
      <c r="E136" s="1181"/>
      <c r="F136" s="1180"/>
      <c r="G136" s="1180"/>
      <c r="H136" s="70"/>
      <c r="I136" s="1180" t="str">
        <f>IF($K136&lt;&gt;0,VLOOKUP($K136,DM_KM,3,0),"")</f>
        <v/>
      </c>
      <c r="J136" s="1180" t="str">
        <f>IF($K136&lt;&gt;0,VLOOKUP($K136,DM_KM,5,0),"")</f>
        <v/>
      </c>
      <c r="K136" s="1181"/>
      <c r="L136" s="1180"/>
      <c r="M136" s="1182"/>
      <c r="N136" s="1183"/>
      <c r="O136" s="1180"/>
      <c r="P136" s="1184"/>
    </row>
    <row r="137">
      <c r="A137" s="1179">
        <v>44805.0</v>
      </c>
      <c r="B137" s="1180" t="str">
        <f t="shared" si="1"/>
        <v>09/2022</v>
      </c>
      <c r="C137" s="1180" t="str">
        <f>IF(A137="","",VLOOKUP(A137,'THAM CHIẾU'!$A:$B,2,0))</f>
        <v>#N/A</v>
      </c>
      <c r="D137" s="1180" t="str">
        <f>IF(E137&lt;&gt;0,VLOOKUP(E137,DM_DUAN,3,0),"")</f>
        <v>THANHNAM</v>
      </c>
      <c r="E137" s="1181" t="s">
        <v>175</v>
      </c>
      <c r="F137" s="1180"/>
      <c r="G137" s="1180"/>
      <c r="H137" s="70"/>
      <c r="I137" s="1180" t="str">
        <f>IF($K137&lt;&gt;0,VLOOKUP($K137,DM_KM,3,0),"")</f>
        <v>511_TK</v>
      </c>
      <c r="J137" s="1180">
        <f>IF($K137&lt;&gt;0,VLOOKUP($K137,DM_KM,5,0),"")</f>
        <v>511</v>
      </c>
      <c r="K137" s="1181" t="s">
        <v>187</v>
      </c>
      <c r="L137" s="1180"/>
      <c r="M137" s="1182"/>
      <c r="N137" s="1185">
        <v>1.6E9</v>
      </c>
      <c r="O137" s="1180"/>
      <c r="P137" s="1184"/>
    </row>
    <row r="138" hidden="1">
      <c r="A138" s="1179">
        <v>44805.0</v>
      </c>
      <c r="B138" s="1180" t="str">
        <f t="shared" si="1"/>
        <v>09/2022</v>
      </c>
      <c r="C138" s="1180" t="str">
        <f>IF(A138="","",VLOOKUP(A138,'THAM CHIẾU'!$A:$B,2,0))</f>
        <v>#N/A</v>
      </c>
      <c r="D138" s="1180" t="str">
        <f>IF(E138&lt;&gt;0,VLOOKUP(E138,DM_DUAN,3,0),"")</f>
        <v/>
      </c>
      <c r="E138" s="1181"/>
      <c r="F138" s="1180"/>
      <c r="G138" s="1180"/>
      <c r="H138" s="70"/>
      <c r="I138" s="1180" t="str">
        <f>IF($K138&lt;&gt;0,VLOOKUP($K138,DM_KM,3,0),"")</f>
        <v/>
      </c>
      <c r="J138" s="1180" t="str">
        <f>IF($K138&lt;&gt;0,VLOOKUP($K138,DM_KM,5,0),"")</f>
        <v/>
      </c>
      <c r="K138" s="1181"/>
      <c r="L138" s="1180"/>
      <c r="M138" s="1182"/>
      <c r="N138" s="1183"/>
      <c r="O138" s="1180"/>
      <c r="P138" s="1184"/>
    </row>
    <row r="139" hidden="1">
      <c r="A139" s="1179">
        <v>44805.0</v>
      </c>
      <c r="B139" s="1180" t="str">
        <f t="shared" si="1"/>
        <v>09/2022</v>
      </c>
      <c r="C139" s="1180" t="str">
        <f>IF(A139="","",VLOOKUP(A139,'THAM CHIẾU'!$A:$B,2,0))</f>
        <v>#N/A</v>
      </c>
      <c r="D139" s="1180" t="str">
        <f>IF(E139&lt;&gt;0,VLOOKUP(E139,DM_DUAN,3,0),"")</f>
        <v/>
      </c>
      <c r="E139" s="1181"/>
      <c r="F139" s="1180"/>
      <c r="G139" s="1180"/>
      <c r="H139" s="70"/>
      <c r="I139" s="1180" t="str">
        <f>IF($K139&lt;&gt;0,VLOOKUP($K139,DM_KM,3,0),"")</f>
        <v/>
      </c>
      <c r="J139" s="1180" t="str">
        <f>IF($K139&lt;&gt;0,VLOOKUP($K139,DM_KM,5,0),"")</f>
        <v/>
      </c>
      <c r="K139" s="1181"/>
      <c r="L139" s="1180"/>
      <c r="M139" s="1182"/>
      <c r="N139" s="1183"/>
      <c r="O139" s="1180"/>
      <c r="P139" s="1184"/>
    </row>
    <row r="140" hidden="1">
      <c r="A140" s="1179">
        <v>44805.0</v>
      </c>
      <c r="B140" s="1180" t="str">
        <f t="shared" si="1"/>
        <v>09/2022</v>
      </c>
      <c r="C140" s="1180" t="str">
        <f>IF(A140="","",VLOOKUP(A140,'THAM CHIẾU'!$A:$B,2,0))</f>
        <v>#N/A</v>
      </c>
      <c r="D140" s="1180" t="str">
        <f>IF(E140&lt;&gt;0,VLOOKUP(E140,DM_DUAN,3,0),"")</f>
        <v/>
      </c>
      <c r="E140" s="1181"/>
      <c r="F140" s="1180"/>
      <c r="G140" s="1180"/>
      <c r="H140" s="70"/>
      <c r="I140" s="1180" t="str">
        <f>IF($K140&lt;&gt;0,VLOOKUP($K140,DM_KM,3,0),"")</f>
        <v/>
      </c>
      <c r="J140" s="1180" t="str">
        <f>IF($K140&lt;&gt;0,VLOOKUP($K140,DM_KM,5,0),"")</f>
        <v/>
      </c>
      <c r="K140" s="1181"/>
      <c r="L140" s="1180"/>
      <c r="M140" s="1182"/>
      <c r="N140" s="1183"/>
      <c r="O140" s="1180"/>
      <c r="P140" s="1184"/>
    </row>
    <row r="141" hidden="1">
      <c r="A141" s="1179">
        <v>44805.0</v>
      </c>
      <c r="B141" s="1180" t="str">
        <f t="shared" si="1"/>
        <v>09/2022</v>
      </c>
      <c r="C141" s="1180" t="str">
        <f>IF(A141="","",VLOOKUP(A141,'THAM CHIẾU'!$A:$B,2,0))</f>
        <v>#N/A</v>
      </c>
      <c r="D141" s="1180" t="str">
        <f>IF(E141&lt;&gt;0,VLOOKUP(E141,DM_DUAN,3,0),"")</f>
        <v/>
      </c>
      <c r="E141" s="1181"/>
      <c r="F141" s="1180"/>
      <c r="G141" s="1180"/>
      <c r="H141" s="70"/>
      <c r="I141" s="1180" t="str">
        <f>IF($K141&lt;&gt;0,VLOOKUP($K141,DM_KM,3,0),"")</f>
        <v/>
      </c>
      <c r="J141" s="1180" t="str">
        <f>IF($K141&lt;&gt;0,VLOOKUP($K141,DM_KM,5,0),"")</f>
        <v/>
      </c>
      <c r="K141" s="1181"/>
      <c r="L141" s="1180"/>
      <c r="M141" s="1182"/>
      <c r="N141" s="1183"/>
      <c r="O141" s="1180"/>
      <c r="P141" s="1184"/>
    </row>
    <row r="142" hidden="1">
      <c r="A142" s="1179">
        <v>44805.0</v>
      </c>
      <c r="B142" s="1180" t="str">
        <f t="shared" si="1"/>
        <v>09/2022</v>
      </c>
      <c r="C142" s="1180" t="str">
        <f>IF(A142="","",VLOOKUP(A142,'THAM CHIẾU'!$A:$B,2,0))</f>
        <v>#N/A</v>
      </c>
      <c r="D142" s="1180" t="str">
        <f>IF(E142&lt;&gt;0,VLOOKUP(E142,DM_DUAN,3,0),"")</f>
        <v/>
      </c>
      <c r="E142" s="1181"/>
      <c r="F142" s="1180"/>
      <c r="G142" s="1180"/>
      <c r="H142" s="70"/>
      <c r="I142" s="1180" t="str">
        <f>IF($K142&lt;&gt;0,VLOOKUP($K142,DM_KM,3,0),"")</f>
        <v/>
      </c>
      <c r="J142" s="1180" t="str">
        <f>IF($K142&lt;&gt;0,VLOOKUP($K142,DM_KM,5,0),"")</f>
        <v/>
      </c>
      <c r="K142" s="1181"/>
      <c r="L142" s="1180"/>
      <c r="M142" s="1182"/>
      <c r="N142" s="1183"/>
      <c r="O142" s="1180"/>
      <c r="P142" s="1184"/>
    </row>
    <row r="143" hidden="1">
      <c r="A143" s="1179">
        <v>44835.0</v>
      </c>
      <c r="B143" s="1180" t="str">
        <f t="shared" si="1"/>
        <v>10/2022</v>
      </c>
      <c r="C143" s="1180" t="str">
        <f>IF(A143="","",VLOOKUP(A143,'THAM CHIẾU'!$A:$B,2,0))</f>
        <v>#N/A</v>
      </c>
      <c r="D143" s="1180" t="str">
        <f>IF(E143&lt;&gt;0,VLOOKUP(E143,DM_DUAN,3,0),"")</f>
        <v/>
      </c>
      <c r="E143" s="1181"/>
      <c r="F143" s="1180"/>
      <c r="G143" s="1180"/>
      <c r="H143" s="70"/>
      <c r="I143" s="1180" t="str">
        <f>IF($K143&lt;&gt;0,VLOOKUP($K143,DM_KM,3,0),"")</f>
        <v/>
      </c>
      <c r="J143" s="1180" t="str">
        <f>IF($K143&lt;&gt;0,VLOOKUP($K143,DM_KM,5,0),"")</f>
        <v/>
      </c>
      <c r="K143" s="1181"/>
      <c r="L143" s="1180"/>
      <c r="M143" s="1182"/>
      <c r="N143" s="1183"/>
      <c r="O143" s="1180"/>
      <c r="P143" s="1184"/>
    </row>
    <row r="144" hidden="1">
      <c r="A144" s="1179">
        <v>44835.0</v>
      </c>
      <c r="B144" s="1180" t="str">
        <f t="shared" si="1"/>
        <v>10/2022</v>
      </c>
      <c r="C144" s="1180" t="str">
        <f>IF(A144="","",VLOOKUP(A144,'THAM CHIẾU'!$A:$B,2,0))</f>
        <v>#N/A</v>
      </c>
      <c r="D144" s="1180" t="str">
        <f>IF(E144&lt;&gt;0,VLOOKUP(E144,DM_DUAN,3,0),"")</f>
        <v>NAMPHONG</v>
      </c>
      <c r="E144" s="1181" t="s">
        <v>2067</v>
      </c>
      <c r="F144" s="1180"/>
      <c r="G144" s="1180"/>
      <c r="H144" s="70"/>
      <c r="I144" s="1180" t="str">
        <f>IF($K144&lt;&gt;0,VLOOKUP($K144,DM_KM,3,0),"")</f>
        <v>511_TK</v>
      </c>
      <c r="J144" s="1180">
        <f>IF($K144&lt;&gt;0,VLOOKUP($K144,DM_KM,5,0),"")</f>
        <v>511</v>
      </c>
      <c r="K144" s="1181" t="s">
        <v>187</v>
      </c>
      <c r="L144" s="1180"/>
      <c r="M144" s="1182"/>
      <c r="N144" s="1185">
        <v>2.4E9</v>
      </c>
      <c r="O144" s="1180"/>
      <c r="P144" s="1184"/>
    </row>
    <row r="145" hidden="1">
      <c r="A145" s="1179">
        <v>44835.0</v>
      </c>
      <c r="B145" s="1180" t="str">
        <f t="shared" si="1"/>
        <v>10/2022</v>
      </c>
      <c r="C145" s="1180" t="str">
        <f>IF(A145="","",VLOOKUP(A145,'THAM CHIẾU'!$A:$B,2,0))</f>
        <v>#N/A</v>
      </c>
      <c r="D145" s="1180" t="str">
        <f>IF(E145&lt;&gt;0,VLOOKUP(E145,DM_DUAN,3,0),"")</f>
        <v/>
      </c>
      <c r="E145" s="1181"/>
      <c r="F145" s="1180"/>
      <c r="G145" s="1180"/>
      <c r="H145" s="70"/>
      <c r="I145" s="1180" t="str">
        <f>IF($K145&lt;&gt;0,VLOOKUP($K145,DM_KM,3,0),"")</f>
        <v/>
      </c>
      <c r="J145" s="1180" t="str">
        <f>IF($K145&lt;&gt;0,VLOOKUP($K145,DM_KM,5,0),"")</f>
        <v/>
      </c>
      <c r="K145" s="1181"/>
      <c r="L145" s="1180"/>
      <c r="M145" s="1182"/>
      <c r="N145" s="1183"/>
      <c r="O145" s="1180"/>
      <c r="P145" s="1184"/>
    </row>
    <row r="146">
      <c r="A146" s="1179">
        <v>44835.0</v>
      </c>
      <c r="B146" s="1180" t="str">
        <f t="shared" si="1"/>
        <v>10/2022</v>
      </c>
      <c r="C146" s="1180" t="str">
        <f>IF(A146="","",VLOOKUP(A146,'THAM CHIẾU'!$A:$B,2,0))</f>
        <v>#N/A</v>
      </c>
      <c r="D146" s="1180" t="str">
        <f>IF(E146&lt;&gt;0,VLOOKUP(E146,DM_DUAN,3,0),"")</f>
        <v>THANHNAM</v>
      </c>
      <c r="E146" s="1181" t="s">
        <v>175</v>
      </c>
      <c r="F146" s="1180"/>
      <c r="G146" s="1180"/>
      <c r="H146" s="70"/>
      <c r="I146" s="1180" t="str">
        <f>IF($K146&lt;&gt;0,VLOOKUP($K146,DM_KM,3,0),"")</f>
        <v>511_TK</v>
      </c>
      <c r="J146" s="1180">
        <f>IF($K146&lt;&gt;0,VLOOKUP($K146,DM_KM,5,0),"")</f>
        <v>511</v>
      </c>
      <c r="K146" s="1181" t="s">
        <v>187</v>
      </c>
      <c r="L146" s="1180"/>
      <c r="M146" s="1182"/>
      <c r="N146" s="1185">
        <v>1.6E9</v>
      </c>
      <c r="O146" s="1180"/>
      <c r="P146" s="1184"/>
    </row>
    <row r="147" hidden="1">
      <c r="A147" s="1179">
        <v>44835.0</v>
      </c>
      <c r="B147" s="1180" t="str">
        <f t="shared" si="1"/>
        <v>10/2022</v>
      </c>
      <c r="C147" s="1180" t="str">
        <f>IF(A147="","",VLOOKUP(A147,'THAM CHIẾU'!$A:$B,2,0))</f>
        <v>#N/A</v>
      </c>
      <c r="D147" s="1180" t="str">
        <f>IF(E147&lt;&gt;0,VLOOKUP(E147,DM_DUAN,3,0),"")</f>
        <v/>
      </c>
      <c r="E147" s="1181"/>
      <c r="F147" s="1180"/>
      <c r="G147" s="1180"/>
      <c r="H147" s="70"/>
      <c r="I147" s="1180" t="str">
        <f>IF($K147&lt;&gt;0,VLOOKUP($K147,DM_KM,3,0),"")</f>
        <v/>
      </c>
      <c r="J147" s="1180" t="str">
        <f>IF($K147&lt;&gt;0,VLOOKUP($K147,DM_KM,5,0),"")</f>
        <v/>
      </c>
      <c r="K147" s="1181"/>
      <c r="L147" s="1180"/>
      <c r="M147" s="1182"/>
      <c r="N147" s="1183"/>
      <c r="O147" s="1180"/>
      <c r="P147" s="1184"/>
    </row>
    <row r="148" hidden="1">
      <c r="A148" s="1179">
        <v>44835.0</v>
      </c>
      <c r="B148" s="1180" t="str">
        <f t="shared" si="1"/>
        <v>10/2022</v>
      </c>
      <c r="C148" s="1180" t="str">
        <f>IF(A148="","",VLOOKUP(A148,'THAM CHIẾU'!$A:$B,2,0))</f>
        <v>#N/A</v>
      </c>
      <c r="D148" s="1180" t="str">
        <f>IF(E148&lt;&gt;0,VLOOKUP(E148,DM_DUAN,3,0),"")</f>
        <v/>
      </c>
      <c r="E148" s="1181"/>
      <c r="F148" s="1180"/>
      <c r="G148" s="1180"/>
      <c r="H148" s="70"/>
      <c r="I148" s="1180" t="str">
        <f>IF($K148&lt;&gt;0,VLOOKUP($K148,DM_KM,3,0),"")</f>
        <v/>
      </c>
      <c r="J148" s="1180" t="str">
        <f>IF($K148&lt;&gt;0,VLOOKUP($K148,DM_KM,5,0),"")</f>
        <v/>
      </c>
      <c r="K148" s="1181"/>
      <c r="L148" s="1180"/>
      <c r="M148" s="1182"/>
      <c r="N148" s="1183"/>
      <c r="O148" s="1180"/>
      <c r="P148" s="1184"/>
    </row>
    <row r="149" hidden="1">
      <c r="A149" s="1179">
        <v>44835.0</v>
      </c>
      <c r="B149" s="1180" t="str">
        <f t="shared" si="1"/>
        <v>10/2022</v>
      </c>
      <c r="C149" s="1180" t="str">
        <f>IF(A149="","",VLOOKUP(A149,'THAM CHIẾU'!$A:$B,2,0))</f>
        <v>#N/A</v>
      </c>
      <c r="D149" s="1180" t="str">
        <f>IF(E149&lt;&gt;0,VLOOKUP(E149,DM_DUAN,3,0),"")</f>
        <v/>
      </c>
      <c r="E149" s="1181"/>
      <c r="F149" s="1180"/>
      <c r="G149" s="1180"/>
      <c r="H149" s="70"/>
      <c r="I149" s="1180" t="str">
        <f>IF($K149&lt;&gt;0,VLOOKUP($K149,DM_KM,3,0),"")</f>
        <v/>
      </c>
      <c r="J149" s="1180" t="str">
        <f>IF($K149&lt;&gt;0,VLOOKUP($K149,DM_KM,5,0),"")</f>
        <v/>
      </c>
      <c r="K149" s="1181"/>
      <c r="L149" s="1180"/>
      <c r="M149" s="1182"/>
      <c r="N149" s="1183"/>
      <c r="O149" s="1180"/>
      <c r="P149" s="1184"/>
    </row>
    <row r="150" hidden="1">
      <c r="A150" s="1179">
        <v>44835.0</v>
      </c>
      <c r="B150" s="1180" t="str">
        <f t="shared" si="1"/>
        <v>10/2022</v>
      </c>
      <c r="C150" s="1180" t="str">
        <f>IF(A150="","",VLOOKUP(A150,'THAM CHIẾU'!$A:$B,2,0))</f>
        <v>#N/A</v>
      </c>
      <c r="D150" s="1180" t="str">
        <f>IF(E150&lt;&gt;0,VLOOKUP(E150,DM_DUAN,3,0),"")</f>
        <v/>
      </c>
      <c r="E150" s="1181"/>
      <c r="F150" s="1180"/>
      <c r="G150" s="1180"/>
      <c r="H150" s="70"/>
      <c r="I150" s="1180" t="str">
        <f>IF($K150&lt;&gt;0,VLOOKUP($K150,DM_KM,3,0),"")</f>
        <v/>
      </c>
      <c r="J150" s="1180" t="str">
        <f>IF($K150&lt;&gt;0,VLOOKUP($K150,DM_KM,5,0),"")</f>
        <v/>
      </c>
      <c r="K150" s="1181"/>
      <c r="L150" s="1180"/>
      <c r="M150" s="1182"/>
      <c r="N150" s="1183"/>
      <c r="O150" s="1180"/>
      <c r="P150" s="1184"/>
    </row>
    <row r="151" hidden="1">
      <c r="A151" s="1179">
        <v>44835.0</v>
      </c>
      <c r="B151" s="1180" t="str">
        <f t="shared" si="1"/>
        <v>10/2022</v>
      </c>
      <c r="C151" s="1180" t="str">
        <f>IF(A151="","",VLOOKUP(A151,'THAM CHIẾU'!$A:$B,2,0))</f>
        <v>#N/A</v>
      </c>
      <c r="D151" s="1180" t="str">
        <f>IF(E151&lt;&gt;0,VLOOKUP(E151,DM_DUAN,3,0),"")</f>
        <v/>
      </c>
      <c r="E151" s="1181"/>
      <c r="F151" s="1180"/>
      <c r="G151" s="1180"/>
      <c r="H151" s="70"/>
      <c r="I151" s="1180" t="str">
        <f>IF($K151&lt;&gt;0,VLOOKUP($K151,DM_KM,3,0),"")</f>
        <v/>
      </c>
      <c r="J151" s="1180" t="str">
        <f>IF($K151&lt;&gt;0,VLOOKUP($K151,DM_KM,5,0),"")</f>
        <v/>
      </c>
      <c r="K151" s="1181"/>
      <c r="L151" s="1180"/>
      <c r="M151" s="1182"/>
      <c r="N151" s="1183"/>
      <c r="O151" s="1180"/>
      <c r="P151" s="1184"/>
    </row>
    <row r="152" hidden="1">
      <c r="A152" s="1179">
        <v>44866.0</v>
      </c>
      <c r="B152" s="1180" t="str">
        <f t="shared" si="1"/>
        <v>11/2022</v>
      </c>
      <c r="C152" s="1180" t="str">
        <f>IF(A152="","",VLOOKUP(A152,'THAM CHIẾU'!$A:$B,2,0))</f>
        <v>#N/A</v>
      </c>
      <c r="D152" s="1180" t="str">
        <f>IF(E152&lt;&gt;0,VLOOKUP(E152,DM_DUAN,3,0),"")</f>
        <v/>
      </c>
      <c r="E152" s="1181"/>
      <c r="F152" s="1180"/>
      <c r="G152" s="1180"/>
      <c r="H152" s="70"/>
      <c r="I152" s="1180" t="str">
        <f>IF($K152&lt;&gt;0,VLOOKUP($K152,DM_KM,3,0),"")</f>
        <v/>
      </c>
      <c r="J152" s="1180" t="str">
        <f>IF($K152&lt;&gt;0,VLOOKUP($K152,DM_KM,5,0),"")</f>
        <v/>
      </c>
      <c r="K152" s="1181"/>
      <c r="L152" s="1180"/>
      <c r="M152" s="1182"/>
      <c r="N152" s="1183"/>
      <c r="O152" s="1180"/>
      <c r="P152" s="1184"/>
    </row>
    <row r="153" hidden="1">
      <c r="A153" s="1179">
        <v>44866.0</v>
      </c>
      <c r="B153" s="1180" t="str">
        <f t="shared" si="1"/>
        <v>11/2022</v>
      </c>
      <c r="C153" s="1180" t="str">
        <f>IF(A153="","",VLOOKUP(A153,'THAM CHIẾU'!$A:$B,2,0))</f>
        <v>#N/A</v>
      </c>
      <c r="D153" s="1180" t="str">
        <f>IF(E153&lt;&gt;0,VLOOKUP(E153,DM_DUAN,3,0),"")</f>
        <v>NAMPHONG</v>
      </c>
      <c r="E153" s="1181" t="s">
        <v>2067</v>
      </c>
      <c r="F153" s="1180"/>
      <c r="G153" s="1180"/>
      <c r="H153" s="70"/>
      <c r="I153" s="1180" t="str">
        <f>IF($K153&lt;&gt;0,VLOOKUP($K153,DM_KM,3,0),"")</f>
        <v>511_TK</v>
      </c>
      <c r="J153" s="1180">
        <f>IF($K153&lt;&gt;0,VLOOKUP($K153,DM_KM,5,0),"")</f>
        <v>511</v>
      </c>
      <c r="K153" s="1181" t="s">
        <v>187</v>
      </c>
      <c r="L153" s="1180"/>
      <c r="M153" s="1182"/>
      <c r="N153" s="1185">
        <v>2.4E9</v>
      </c>
      <c r="O153" s="1180"/>
      <c r="P153" s="1184"/>
    </row>
    <row r="154" hidden="1">
      <c r="A154" s="1179">
        <v>44866.0</v>
      </c>
      <c r="B154" s="1180" t="str">
        <f t="shared" si="1"/>
        <v>11/2022</v>
      </c>
      <c r="C154" s="1180" t="str">
        <f>IF(A154="","",VLOOKUP(A154,'THAM CHIẾU'!$A:$B,2,0))</f>
        <v>#N/A</v>
      </c>
      <c r="D154" s="1180" t="str">
        <f>IF(E154&lt;&gt;0,VLOOKUP(E154,DM_DUAN,3,0),"")</f>
        <v/>
      </c>
      <c r="E154" s="1181"/>
      <c r="F154" s="1180"/>
      <c r="G154" s="1180"/>
      <c r="H154" s="70"/>
      <c r="I154" s="1180" t="str">
        <f>IF($K154&lt;&gt;0,VLOOKUP($K154,DM_KM,3,0),"")</f>
        <v/>
      </c>
      <c r="J154" s="1180" t="str">
        <f>IF($K154&lt;&gt;0,VLOOKUP($K154,DM_KM,5,0),"")</f>
        <v/>
      </c>
      <c r="K154" s="1181"/>
      <c r="L154" s="1180"/>
      <c r="M154" s="1182"/>
      <c r="N154" s="1183"/>
      <c r="O154" s="1180"/>
      <c r="P154" s="1184"/>
    </row>
    <row r="155">
      <c r="A155" s="1179">
        <v>44866.0</v>
      </c>
      <c r="B155" s="1180" t="str">
        <f t="shared" si="1"/>
        <v>11/2022</v>
      </c>
      <c r="C155" s="1180" t="str">
        <f>IF(A155="","",VLOOKUP(A155,'THAM CHIẾU'!$A:$B,2,0))</f>
        <v>#N/A</v>
      </c>
      <c r="D155" s="1180" t="str">
        <f>IF(E155&lt;&gt;0,VLOOKUP(E155,DM_DUAN,3,0),"")</f>
        <v>THANHNAM</v>
      </c>
      <c r="E155" s="1181" t="s">
        <v>175</v>
      </c>
      <c r="F155" s="1180"/>
      <c r="G155" s="1180"/>
      <c r="H155" s="70"/>
      <c r="I155" s="1180" t="str">
        <f>IF($K155&lt;&gt;0,VLOOKUP($K155,DM_KM,3,0),"")</f>
        <v>511_TK</v>
      </c>
      <c r="J155" s="1180">
        <f>IF($K155&lt;&gt;0,VLOOKUP($K155,DM_KM,5,0),"")</f>
        <v>511</v>
      </c>
      <c r="K155" s="1181" t="s">
        <v>187</v>
      </c>
      <c r="L155" s="1180"/>
      <c r="M155" s="1182"/>
      <c r="N155" s="1185">
        <v>1.6E9</v>
      </c>
      <c r="O155" s="1180"/>
      <c r="P155" s="1184"/>
    </row>
    <row r="156" hidden="1">
      <c r="A156" s="1179">
        <v>44866.0</v>
      </c>
      <c r="B156" s="1180" t="str">
        <f t="shared" si="1"/>
        <v>11/2022</v>
      </c>
      <c r="C156" s="1180" t="str">
        <f>IF(A156="","",VLOOKUP(A156,'THAM CHIẾU'!$A:$B,2,0))</f>
        <v>#N/A</v>
      </c>
      <c r="D156" s="1180" t="str">
        <f>IF(E156&lt;&gt;0,VLOOKUP(E156,DM_DUAN,3,0),"")</f>
        <v/>
      </c>
      <c r="E156" s="1181"/>
      <c r="F156" s="1180"/>
      <c r="G156" s="1180"/>
      <c r="H156" s="70"/>
      <c r="I156" s="1180" t="str">
        <f>IF($K156&lt;&gt;0,VLOOKUP($K156,DM_KM,3,0),"")</f>
        <v/>
      </c>
      <c r="J156" s="1180" t="str">
        <f>IF($K156&lt;&gt;0,VLOOKUP($K156,DM_KM,5,0),"")</f>
        <v/>
      </c>
      <c r="K156" s="1181"/>
      <c r="L156" s="1180"/>
      <c r="M156" s="1182"/>
      <c r="N156" s="1183"/>
      <c r="O156" s="1180"/>
      <c r="P156" s="1184"/>
    </row>
    <row r="157" hidden="1">
      <c r="A157" s="1179">
        <v>44866.0</v>
      </c>
      <c r="B157" s="1180" t="str">
        <f t="shared" si="1"/>
        <v>11/2022</v>
      </c>
      <c r="C157" s="1180" t="str">
        <f>IF(A157="","",VLOOKUP(A157,'THAM CHIẾU'!$A:$B,2,0))</f>
        <v>#N/A</v>
      </c>
      <c r="D157" s="1180" t="str">
        <f>IF(E157&lt;&gt;0,VLOOKUP(E157,DM_DUAN,3,0),"")</f>
        <v/>
      </c>
      <c r="E157" s="1181"/>
      <c r="F157" s="1180"/>
      <c r="G157" s="1180"/>
      <c r="H157" s="70"/>
      <c r="I157" s="1180" t="str">
        <f>IF($K157&lt;&gt;0,VLOOKUP($K157,DM_KM,3,0),"")</f>
        <v/>
      </c>
      <c r="J157" s="1180" t="str">
        <f>IF($K157&lt;&gt;0,VLOOKUP($K157,DM_KM,5,0),"")</f>
        <v/>
      </c>
      <c r="K157" s="1181"/>
      <c r="L157" s="1180"/>
      <c r="M157" s="1182"/>
      <c r="N157" s="1183"/>
      <c r="O157" s="1180"/>
      <c r="P157" s="1184"/>
    </row>
    <row r="158" hidden="1">
      <c r="A158" s="1179">
        <v>44866.0</v>
      </c>
      <c r="B158" s="1180" t="str">
        <f t="shared" si="1"/>
        <v>11/2022</v>
      </c>
      <c r="C158" s="1180" t="str">
        <f>IF(A158="","",VLOOKUP(A158,'THAM CHIẾU'!$A:$B,2,0))</f>
        <v>#N/A</v>
      </c>
      <c r="D158" s="1180" t="str">
        <f>IF(E158&lt;&gt;0,VLOOKUP(E158,DM_DUAN,3,0),"")</f>
        <v/>
      </c>
      <c r="E158" s="1181"/>
      <c r="F158" s="1180"/>
      <c r="G158" s="1180"/>
      <c r="H158" s="70"/>
      <c r="I158" s="1180" t="str">
        <f>IF($K158&lt;&gt;0,VLOOKUP($K158,DM_KM,3,0),"")</f>
        <v/>
      </c>
      <c r="J158" s="1180" t="str">
        <f>IF($K158&lt;&gt;0,VLOOKUP($K158,DM_KM,5,0),"")</f>
        <v/>
      </c>
      <c r="K158" s="1181"/>
      <c r="L158" s="1180"/>
      <c r="M158" s="1182"/>
      <c r="N158" s="1183"/>
      <c r="O158" s="1180"/>
      <c r="P158" s="1184"/>
    </row>
    <row r="159" hidden="1">
      <c r="A159" s="1179">
        <v>44866.0</v>
      </c>
      <c r="B159" s="1180" t="str">
        <f t="shared" si="1"/>
        <v>11/2022</v>
      </c>
      <c r="C159" s="1180" t="str">
        <f>IF(A159="","",VLOOKUP(A159,'THAM CHIẾU'!$A:$B,2,0))</f>
        <v>#N/A</v>
      </c>
      <c r="D159" s="1180" t="str">
        <f>IF(E159&lt;&gt;0,VLOOKUP(E159,DM_DUAN,3,0),"")</f>
        <v/>
      </c>
      <c r="E159" s="1181"/>
      <c r="F159" s="1180"/>
      <c r="G159" s="1180"/>
      <c r="H159" s="70"/>
      <c r="I159" s="1180" t="str">
        <f>IF($K159&lt;&gt;0,VLOOKUP($K159,DM_KM,3,0),"")</f>
        <v/>
      </c>
      <c r="J159" s="1180" t="str">
        <f>IF($K159&lt;&gt;0,VLOOKUP($K159,DM_KM,5,0),"")</f>
        <v/>
      </c>
      <c r="K159" s="1181"/>
      <c r="L159" s="1180"/>
      <c r="M159" s="1182"/>
      <c r="N159" s="1183"/>
      <c r="O159" s="1180"/>
      <c r="P159" s="1184"/>
    </row>
    <row r="160" hidden="1">
      <c r="A160" s="1179">
        <v>44866.0</v>
      </c>
      <c r="B160" s="1180" t="str">
        <f t="shared" si="1"/>
        <v>11/2022</v>
      </c>
      <c r="C160" s="1180" t="str">
        <f>IF(A160="","",VLOOKUP(A160,'THAM CHIẾU'!$A:$B,2,0))</f>
        <v>#N/A</v>
      </c>
      <c r="D160" s="1180" t="str">
        <f>IF(E160&lt;&gt;0,VLOOKUP(E160,DM_DUAN,3,0),"")</f>
        <v/>
      </c>
      <c r="E160" s="1181"/>
      <c r="F160" s="1180"/>
      <c r="G160" s="1180"/>
      <c r="H160" s="70"/>
      <c r="I160" s="1180" t="str">
        <f>IF($K160&lt;&gt;0,VLOOKUP($K160,DM_KM,3,0),"")</f>
        <v/>
      </c>
      <c r="J160" s="1180" t="str">
        <f>IF($K160&lt;&gt;0,VLOOKUP($K160,DM_KM,5,0),"")</f>
        <v/>
      </c>
      <c r="K160" s="1181"/>
      <c r="L160" s="1180"/>
      <c r="M160" s="1182"/>
      <c r="N160" s="1183"/>
      <c r="O160" s="1180"/>
      <c r="P160" s="1184"/>
    </row>
    <row r="161" hidden="1">
      <c r="A161" s="1179">
        <v>44896.0</v>
      </c>
      <c r="B161" s="1180" t="str">
        <f t="shared" si="1"/>
        <v>12/2022</v>
      </c>
      <c r="C161" s="1180" t="str">
        <f>IF(A161="","",VLOOKUP(A161,'THAM CHIẾU'!$A:$B,2,0))</f>
        <v>#N/A</v>
      </c>
      <c r="D161" s="1180" t="str">
        <f>IF(E161&lt;&gt;0,VLOOKUP(E161,DM_DUAN,3,0),"")</f>
        <v/>
      </c>
      <c r="E161" s="1181"/>
      <c r="F161" s="1180"/>
      <c r="G161" s="1180"/>
      <c r="H161" s="70"/>
      <c r="I161" s="1180" t="str">
        <f>IF($K161&lt;&gt;0,VLOOKUP($K161,DM_KM,3,0),"")</f>
        <v/>
      </c>
      <c r="J161" s="1180" t="str">
        <f>IF($K161&lt;&gt;0,VLOOKUP($K161,DM_KM,5,0),"")</f>
        <v/>
      </c>
      <c r="K161" s="1181"/>
      <c r="L161" s="1180"/>
      <c r="M161" s="1182"/>
      <c r="N161" s="1183"/>
      <c r="O161" s="1180"/>
      <c r="P161" s="1184"/>
    </row>
    <row r="162" hidden="1">
      <c r="A162" s="1179">
        <v>44896.0</v>
      </c>
      <c r="B162" s="1180" t="str">
        <f t="shared" si="1"/>
        <v>12/2022</v>
      </c>
      <c r="C162" s="1180" t="str">
        <f>IF(A162="","",VLOOKUP(A162,'THAM CHIẾU'!$A:$B,2,0))</f>
        <v>#N/A</v>
      </c>
      <c r="D162" s="1180" t="str">
        <f>IF(E162&lt;&gt;0,VLOOKUP(E162,DM_DUAN,3,0),"")</f>
        <v>NAMPHONG</v>
      </c>
      <c r="E162" s="1181" t="s">
        <v>2067</v>
      </c>
      <c r="F162" s="1180"/>
      <c r="G162" s="1180"/>
      <c r="H162" s="70"/>
      <c r="I162" s="1180" t="str">
        <f>IF($K162&lt;&gt;0,VLOOKUP($K162,DM_KM,3,0),"")</f>
        <v>511_TK</v>
      </c>
      <c r="J162" s="1180">
        <f>IF($K162&lt;&gt;0,VLOOKUP($K162,DM_KM,5,0),"")</f>
        <v>511</v>
      </c>
      <c r="K162" s="1181" t="s">
        <v>187</v>
      </c>
      <c r="L162" s="1180"/>
      <c r="M162" s="1182"/>
      <c r="N162" s="1185">
        <v>2.4E9</v>
      </c>
      <c r="O162" s="1180"/>
      <c r="P162" s="1184"/>
    </row>
    <row r="163" hidden="1">
      <c r="A163" s="1179">
        <v>44896.0</v>
      </c>
      <c r="B163" s="1180" t="str">
        <f t="shared" si="1"/>
        <v>12/2022</v>
      </c>
      <c r="C163" s="1180" t="str">
        <f>IF(A163="","",VLOOKUP(A163,'THAM CHIẾU'!$A:$B,2,0))</f>
        <v>#N/A</v>
      </c>
      <c r="D163" s="1180" t="str">
        <f>IF(E163&lt;&gt;0,VLOOKUP(E163,DM_DUAN,3,0),"")</f>
        <v/>
      </c>
      <c r="E163" s="1181"/>
      <c r="F163" s="1180"/>
      <c r="G163" s="1180"/>
      <c r="H163" s="70"/>
      <c r="I163" s="1180" t="str">
        <f>IF($K163&lt;&gt;0,VLOOKUP($K163,DM_KM,3,0),"")</f>
        <v/>
      </c>
      <c r="J163" s="1180" t="str">
        <f>IF($K163&lt;&gt;0,VLOOKUP($K163,DM_KM,5,0),"")</f>
        <v/>
      </c>
      <c r="K163" s="1181"/>
      <c r="L163" s="1180"/>
      <c r="M163" s="1182"/>
      <c r="N163" s="1183"/>
      <c r="O163" s="1180"/>
      <c r="P163" s="1184"/>
    </row>
    <row r="164">
      <c r="A164" s="1179">
        <v>44896.0</v>
      </c>
      <c r="B164" s="1180" t="str">
        <f t="shared" si="1"/>
        <v>12/2022</v>
      </c>
      <c r="C164" s="1180" t="str">
        <f>IF(A164="","",VLOOKUP(A164,'THAM CHIẾU'!$A:$B,2,0))</f>
        <v>#N/A</v>
      </c>
      <c r="D164" s="1180" t="str">
        <f>IF(E164&lt;&gt;0,VLOOKUP(E164,DM_DUAN,3,0),"")</f>
        <v>THANHNAM</v>
      </c>
      <c r="E164" s="1181" t="s">
        <v>175</v>
      </c>
      <c r="F164" s="1180"/>
      <c r="G164" s="1180"/>
      <c r="H164" s="70"/>
      <c r="I164" s="1180" t="str">
        <f>IF($K164&lt;&gt;0,VLOOKUP($K164,DM_KM,3,0),"")</f>
        <v>511_TK</v>
      </c>
      <c r="J164" s="1180">
        <f>IF($K164&lt;&gt;0,VLOOKUP($K164,DM_KM,5,0),"")</f>
        <v>511</v>
      </c>
      <c r="K164" s="1181" t="s">
        <v>187</v>
      </c>
      <c r="L164" s="1180"/>
      <c r="M164" s="1182"/>
      <c r="N164" s="1185">
        <v>1.6E9</v>
      </c>
      <c r="O164" s="1180"/>
      <c r="P164" s="1184"/>
    </row>
    <row r="165" hidden="1">
      <c r="A165" s="1179">
        <v>44896.0</v>
      </c>
      <c r="B165" s="1180" t="str">
        <f t="shared" si="1"/>
        <v>12/2022</v>
      </c>
      <c r="C165" s="1180" t="str">
        <f>IF(A165="","",VLOOKUP(A165,'THAM CHIẾU'!$A:$B,2,0))</f>
        <v>#N/A</v>
      </c>
      <c r="D165" s="1180" t="str">
        <f>IF(E165&lt;&gt;0,VLOOKUP(E165,DM_DUAN,3,0),"")</f>
        <v/>
      </c>
      <c r="E165" s="1181"/>
      <c r="F165" s="1180"/>
      <c r="G165" s="1180"/>
      <c r="H165" s="70"/>
      <c r="I165" s="1180" t="str">
        <f>IF($K165&lt;&gt;0,VLOOKUP($K165,DM_KM,3,0),"")</f>
        <v/>
      </c>
      <c r="J165" s="1180" t="str">
        <f>IF($K165&lt;&gt;0,VLOOKUP($K165,DM_KM,5,0),"")</f>
        <v/>
      </c>
      <c r="K165" s="1181"/>
      <c r="L165" s="1180"/>
      <c r="M165" s="1182"/>
      <c r="N165" s="1183"/>
      <c r="O165" s="1180"/>
      <c r="P165" s="1184"/>
    </row>
    <row r="166" hidden="1">
      <c r="A166" s="1179">
        <v>44896.0</v>
      </c>
      <c r="B166" s="1180" t="str">
        <f t="shared" si="1"/>
        <v>12/2022</v>
      </c>
      <c r="C166" s="1180" t="str">
        <f>IF(A166="","",VLOOKUP(A166,'THAM CHIẾU'!$A:$B,2,0))</f>
        <v>#N/A</v>
      </c>
      <c r="D166" s="1180" t="str">
        <f>IF(E166&lt;&gt;0,VLOOKUP(E166,DM_DUAN,3,0),"")</f>
        <v/>
      </c>
      <c r="E166" s="1181"/>
      <c r="F166" s="1180"/>
      <c r="G166" s="1180"/>
      <c r="H166" s="70"/>
      <c r="I166" s="1180" t="str">
        <f>IF($K166&lt;&gt;0,VLOOKUP($K166,DM_KM,3,0),"")</f>
        <v/>
      </c>
      <c r="J166" s="1180" t="str">
        <f>IF($K166&lt;&gt;0,VLOOKUP($K166,DM_KM,5,0),"")</f>
        <v/>
      </c>
      <c r="K166" s="1181"/>
      <c r="L166" s="1180"/>
      <c r="M166" s="1182"/>
      <c r="N166" s="1183"/>
      <c r="O166" s="1180"/>
      <c r="P166" s="1184"/>
    </row>
    <row r="167" hidden="1">
      <c r="A167" s="1179">
        <v>44896.0</v>
      </c>
      <c r="B167" s="1180" t="str">
        <f t="shared" si="1"/>
        <v>12/2022</v>
      </c>
      <c r="C167" s="1180" t="str">
        <f>IF(A167="","",VLOOKUP(A167,'THAM CHIẾU'!$A:$B,2,0))</f>
        <v>#N/A</v>
      </c>
      <c r="D167" s="1180" t="str">
        <f>IF(E167&lt;&gt;0,VLOOKUP(E167,DM_DUAN,3,0),"")</f>
        <v/>
      </c>
      <c r="E167" s="1181"/>
      <c r="F167" s="1180"/>
      <c r="G167" s="1180"/>
      <c r="H167" s="70"/>
      <c r="I167" s="1180" t="str">
        <f>IF($K167&lt;&gt;0,VLOOKUP($K167,DM_KM,3,0),"")</f>
        <v/>
      </c>
      <c r="J167" s="1180" t="str">
        <f>IF($K167&lt;&gt;0,VLOOKUP($K167,DM_KM,5,0),"")</f>
        <v/>
      </c>
      <c r="K167" s="1181"/>
      <c r="L167" s="1180"/>
      <c r="M167" s="1182"/>
      <c r="N167" s="1183"/>
      <c r="O167" s="1180"/>
      <c r="P167" s="1184"/>
    </row>
    <row r="168" hidden="1">
      <c r="A168" s="1179">
        <v>44896.0</v>
      </c>
      <c r="B168" s="1180" t="str">
        <f t="shared" si="1"/>
        <v>12/2022</v>
      </c>
      <c r="C168" s="1180" t="str">
        <f>IF(A168="","",VLOOKUP(A168,'THAM CHIẾU'!$A:$B,2,0))</f>
        <v>#N/A</v>
      </c>
      <c r="D168" s="1180" t="str">
        <f>IF(E168&lt;&gt;0,VLOOKUP(E168,DM_DUAN,3,0),"")</f>
        <v/>
      </c>
      <c r="E168" s="1181"/>
      <c r="F168" s="1180"/>
      <c r="G168" s="1180"/>
      <c r="H168" s="70"/>
      <c r="I168" s="1180" t="str">
        <f>IF($K168&lt;&gt;0,VLOOKUP($K168,DM_KM,3,0),"")</f>
        <v/>
      </c>
      <c r="J168" s="1180" t="str">
        <f>IF($K168&lt;&gt;0,VLOOKUP($K168,DM_KM,5,0),"")</f>
        <v/>
      </c>
      <c r="K168" s="1181"/>
      <c r="L168" s="1180"/>
      <c r="M168" s="1182"/>
      <c r="N168" s="1183"/>
      <c r="O168" s="1180"/>
      <c r="P168" s="1184"/>
    </row>
    <row r="169" hidden="1">
      <c r="A169" s="1179">
        <v>44896.0</v>
      </c>
      <c r="B169" s="1180" t="str">
        <f t="shared" si="1"/>
        <v>12/2022</v>
      </c>
      <c r="C169" s="1180" t="str">
        <f>IF(A169="","",VLOOKUP(A169,'THAM CHIẾU'!$A:$B,2,0))</f>
        <v>#N/A</v>
      </c>
      <c r="D169" s="1180" t="str">
        <f>IF(E169&lt;&gt;0,VLOOKUP(E169,DM_DUAN,3,0),"")</f>
        <v/>
      </c>
      <c r="E169" s="1181"/>
      <c r="F169" s="1180"/>
      <c r="G169" s="1180"/>
      <c r="H169" s="70"/>
      <c r="I169" s="1180" t="str">
        <f>IF($K169&lt;&gt;0,VLOOKUP($K169,DM_KM,3,0),"")</f>
        <v/>
      </c>
      <c r="J169" s="1180" t="str">
        <f>IF($K169&lt;&gt;0,VLOOKUP($K169,DM_KM,5,0),"")</f>
        <v/>
      </c>
      <c r="K169" s="1181"/>
      <c r="L169" s="1180"/>
      <c r="M169" s="1182"/>
      <c r="N169" s="1183"/>
      <c r="O169" s="1180"/>
      <c r="P169" s="1184"/>
    </row>
    <row r="170" hidden="1">
      <c r="A170" s="1186">
        <v>44562.0</v>
      </c>
      <c r="B170" s="52" t="str">
        <f t="shared" si="1"/>
        <v>01/2022</v>
      </c>
      <c r="C170" s="52" t="str">
        <f>IF(A170="","",VLOOKUP(A170,'THAM CHIẾU'!$A:$B,2,0))</f>
        <v>#N/A</v>
      </c>
      <c r="D170" s="52" t="str">
        <f>IF(E170&lt;&gt;0,VLOOKUP(E170,DM_DUAN,3,0),"")</f>
        <v/>
      </c>
      <c r="E170" s="735"/>
      <c r="F170" s="735"/>
      <c r="G170" s="735" t="s">
        <v>207</v>
      </c>
      <c r="H170" s="70"/>
      <c r="I170" s="52" t="str">
        <f>IF($K170&lt;&gt;0,VLOOKUP($K170,DM_KM,3,0),"")</f>
        <v>#N/A</v>
      </c>
      <c r="J170" s="52" t="str">
        <f>IF($K170&lt;&gt;0,VLOOKUP($K170,DM_KM,5,0),"")</f>
        <v>#N/A</v>
      </c>
      <c r="K170" s="735" t="s">
        <v>2215</v>
      </c>
      <c r="L170" s="735"/>
      <c r="M170" s="68"/>
      <c r="N170" s="736">
        <v>43000.0</v>
      </c>
      <c r="O170" s="737" t="s">
        <v>2216</v>
      </c>
      <c r="P170" s="751"/>
    </row>
    <row r="171" hidden="1">
      <c r="A171" s="1186">
        <v>44562.0</v>
      </c>
      <c r="B171" s="52" t="str">
        <f t="shared" si="1"/>
        <v>01/2022</v>
      </c>
      <c r="C171" s="52" t="str">
        <f>IF(A171="","",VLOOKUP(A171,'THAM CHIẾU'!$A:$B,2,0))</f>
        <v>#N/A</v>
      </c>
      <c r="D171" s="52" t="str">
        <f>IF(E171&lt;&gt;0,VLOOKUP(E171,DM_DUAN,3,0),"")</f>
        <v/>
      </c>
      <c r="E171" s="735"/>
      <c r="F171" s="735"/>
      <c r="G171" s="735"/>
      <c r="H171" s="70"/>
      <c r="I171" s="52" t="str">
        <f>IF($K171&lt;&gt;0,VLOOKUP($K171,DM_KM,3,0),"")</f>
        <v>#N/A</v>
      </c>
      <c r="J171" s="52" t="str">
        <f>IF($K171&lt;&gt;0,VLOOKUP($K171,DM_KM,5,0),"")</f>
        <v>#N/A</v>
      </c>
      <c r="K171" s="1187" t="s">
        <v>419</v>
      </c>
      <c r="L171" s="735"/>
      <c r="M171" s="68"/>
      <c r="N171" s="738">
        <v>166000.0</v>
      </c>
      <c r="O171" s="1188" t="s">
        <v>2217</v>
      </c>
      <c r="P171" s="751"/>
    </row>
    <row r="172" hidden="1">
      <c r="A172" s="1186">
        <v>44562.0</v>
      </c>
      <c r="B172" s="52" t="str">
        <f t="shared" si="1"/>
        <v>01/2022</v>
      </c>
      <c r="C172" s="52" t="str">
        <f>IF(A172="","",VLOOKUP(A172,'THAM CHIẾU'!$A:$B,2,0))</f>
        <v>#N/A</v>
      </c>
      <c r="D172" s="52" t="str">
        <f>IF(E172&lt;&gt;0,VLOOKUP(E172,DM_DUAN,3,0),"")</f>
        <v/>
      </c>
      <c r="E172" s="735"/>
      <c r="F172" s="735"/>
      <c r="G172" s="735"/>
      <c r="H172" s="70"/>
      <c r="I172" s="52" t="str">
        <f>IF($K172&lt;&gt;0,VLOOKUP($K172,DM_KM,3,0),"")</f>
        <v>#N/A</v>
      </c>
      <c r="J172" s="52" t="str">
        <f>IF($K172&lt;&gt;0,VLOOKUP($K172,DM_KM,5,0),"")</f>
        <v>#N/A</v>
      </c>
      <c r="K172" s="735" t="s">
        <v>573</v>
      </c>
      <c r="L172" s="735"/>
      <c r="M172" s="68"/>
      <c r="N172" s="738">
        <v>250000.0</v>
      </c>
      <c r="O172" s="1188" t="s">
        <v>2218</v>
      </c>
      <c r="P172" s="751"/>
    </row>
    <row r="173" hidden="1">
      <c r="A173" s="1186">
        <v>44562.0</v>
      </c>
      <c r="B173" s="52" t="str">
        <f t="shared" si="1"/>
        <v>01/2022</v>
      </c>
      <c r="C173" s="52" t="str">
        <f>IF(A173="","",VLOOKUP(A173,'THAM CHIẾU'!$A:$B,2,0))</f>
        <v>#N/A</v>
      </c>
      <c r="D173" s="52" t="str">
        <f>IF(E173&lt;&gt;0,VLOOKUP(E173,DM_DUAN,3,0),"")</f>
        <v/>
      </c>
      <c r="E173" s="735"/>
      <c r="F173" s="735"/>
      <c r="G173" s="735"/>
      <c r="H173" s="70"/>
      <c r="I173" s="1189" t="str">
        <f>IF($K173&lt;&gt;0,VLOOKUP($K173,DM_KM,3,0),"")</f>
        <v>#N/A</v>
      </c>
      <c r="J173" s="52" t="str">
        <f>IF($K173&lt;&gt;0,VLOOKUP($K173,DM_KM,5,0),"")</f>
        <v>#N/A</v>
      </c>
      <c r="K173" s="735" t="s">
        <v>1273</v>
      </c>
      <c r="L173" s="735"/>
      <c r="M173" s="68"/>
      <c r="N173" s="738">
        <v>328000.0</v>
      </c>
      <c r="O173" s="737" t="s">
        <v>1273</v>
      </c>
      <c r="P173" s="751"/>
    </row>
    <row r="174" hidden="1">
      <c r="A174" s="1186">
        <v>44562.0</v>
      </c>
      <c r="B174" s="52" t="str">
        <f t="shared" si="1"/>
        <v>01/2022</v>
      </c>
      <c r="C174" s="52" t="str">
        <f>IF(A174="","",VLOOKUP(A174,'THAM CHIẾU'!$A:$B,2,0))</f>
        <v>#N/A</v>
      </c>
      <c r="D174" s="52" t="str">
        <f>IF(E174&lt;&gt;0,VLOOKUP(E174,DM_DUAN,3,0),"")</f>
        <v/>
      </c>
      <c r="E174" s="735"/>
      <c r="F174" s="735"/>
      <c r="G174" s="735"/>
      <c r="H174" s="70"/>
      <c r="I174" s="52" t="str">
        <f>IF($K174&lt;&gt;0,VLOOKUP($K174,DM_KM,3,0),"")</f>
        <v>VHVP</v>
      </c>
      <c r="J174" s="52">
        <f>IF($K174&lt;&gt;0,VLOOKUP($K174,DM_KM,5,0),"")</f>
        <v>642</v>
      </c>
      <c r="K174" s="735" t="s">
        <v>1153</v>
      </c>
      <c r="L174" s="735"/>
      <c r="M174" s="68"/>
      <c r="N174" s="738">
        <v>8333000.0</v>
      </c>
      <c r="O174" s="737" t="s">
        <v>2219</v>
      </c>
      <c r="P174" s="751"/>
    </row>
    <row r="175" hidden="1">
      <c r="A175" s="1186">
        <v>44562.0</v>
      </c>
      <c r="B175" s="52" t="str">
        <f t="shared" si="1"/>
        <v>01/2022</v>
      </c>
      <c r="C175" s="52" t="str">
        <f>IF(A175="","",VLOOKUP(A175,'THAM CHIẾU'!$A:$B,2,0))</f>
        <v>#N/A</v>
      </c>
      <c r="D175" s="52" t="str">
        <f>IF(E175&lt;&gt;0,VLOOKUP(E175,DM_DUAN,3,0),"")</f>
        <v/>
      </c>
      <c r="E175" s="735"/>
      <c r="F175" s="735"/>
      <c r="G175" s="735"/>
      <c r="H175" s="70"/>
      <c r="I175" s="52" t="str">
        <f>IF($K175&lt;&gt;0,VLOOKUP($K175,DM_KM,3,0),"")</f>
        <v>#N/A</v>
      </c>
      <c r="J175" s="52" t="str">
        <f>IF($K175&lt;&gt;0,VLOOKUP($K175,DM_KM,5,0),"")</f>
        <v>#N/A</v>
      </c>
      <c r="K175" s="735" t="s">
        <v>2220</v>
      </c>
      <c r="L175" s="735"/>
      <c r="M175" s="68"/>
      <c r="N175" s="738">
        <v>416000.0</v>
      </c>
      <c r="O175" s="737" t="s">
        <v>2221</v>
      </c>
      <c r="P175" s="751"/>
    </row>
    <row r="176" hidden="1">
      <c r="A176" s="1186">
        <v>44562.0</v>
      </c>
      <c r="B176" s="52" t="str">
        <f t="shared" si="1"/>
        <v>01/2022</v>
      </c>
      <c r="C176" s="52" t="str">
        <f>IF(A176="","",VLOOKUP(A176,'THAM CHIẾU'!$A:$B,2,0))</f>
        <v>#N/A</v>
      </c>
      <c r="D176" s="52" t="str">
        <f>IF(E176&lt;&gt;0,VLOOKUP(E176,DM_DUAN,3,0),"")</f>
        <v/>
      </c>
      <c r="E176" s="735"/>
      <c r="F176" s="735"/>
      <c r="G176" s="735"/>
      <c r="H176" s="70"/>
      <c r="I176" s="52" t="str">
        <f>IF($K176&lt;&gt;0,VLOOKUP($K176,DM_KM,3,0),"")</f>
        <v>#N/A</v>
      </c>
      <c r="J176" s="52" t="str">
        <f>IF($K176&lt;&gt;0,VLOOKUP($K176,DM_KM,5,0),"")</f>
        <v>#N/A</v>
      </c>
      <c r="K176" s="735" t="s">
        <v>262</v>
      </c>
      <c r="L176" s="735"/>
      <c r="M176" s="68"/>
      <c r="N176" s="738">
        <v>833000.0</v>
      </c>
      <c r="O176" s="737" t="s">
        <v>2222</v>
      </c>
      <c r="P176" s="751"/>
    </row>
    <row r="177" hidden="1">
      <c r="A177" s="1186">
        <v>44562.0</v>
      </c>
      <c r="B177" s="52" t="str">
        <f t="shared" si="1"/>
        <v>01/2022</v>
      </c>
      <c r="C177" s="52" t="str">
        <f>IF(A177="","",VLOOKUP(A177,'THAM CHIẾU'!$A:$B,2,0))</f>
        <v>#N/A</v>
      </c>
      <c r="D177" s="52" t="str">
        <f>IF(E177&lt;&gt;0,VLOOKUP(E177,DM_DUAN,3,0),"")</f>
        <v/>
      </c>
      <c r="E177" s="735"/>
      <c r="F177" s="735"/>
      <c r="G177" s="735"/>
      <c r="H177" s="70"/>
      <c r="I177" s="52" t="str">
        <f>IF($K177&lt;&gt;0,VLOOKUP($K177,DM_KM,3,0),"")</f>
        <v>#N/A</v>
      </c>
      <c r="J177" s="52" t="str">
        <f>IF($K177&lt;&gt;0,VLOOKUP($K177,DM_KM,5,0),"")</f>
        <v>#N/A</v>
      </c>
      <c r="K177" s="735" t="s">
        <v>2223</v>
      </c>
      <c r="L177" s="735"/>
      <c r="M177" s="68"/>
      <c r="N177" s="738">
        <v>4166000.0</v>
      </c>
      <c r="O177" s="737" t="s">
        <v>2224</v>
      </c>
      <c r="P177" s="751"/>
    </row>
    <row r="178" hidden="1">
      <c r="A178" s="1186">
        <v>44562.0</v>
      </c>
      <c r="B178" s="52" t="str">
        <f t="shared" si="1"/>
        <v>01/2022</v>
      </c>
      <c r="C178" s="52" t="str">
        <f>IF(A178="","",VLOOKUP(A178,'THAM CHIẾU'!$A:$B,2,0))</f>
        <v>#N/A</v>
      </c>
      <c r="D178" s="52" t="str">
        <f>IF(E178&lt;&gt;0,VLOOKUP(E178,DM_DUAN,3,0),"")</f>
        <v/>
      </c>
      <c r="E178" s="735"/>
      <c r="F178" s="735"/>
      <c r="G178" s="735" t="s">
        <v>176</v>
      </c>
      <c r="H178" s="70"/>
      <c r="I178" s="52" t="str">
        <f>IF($K178&lt;&gt;0,VLOOKUP($K178,DM_KM,3,0),"")</f>
        <v>#N/A</v>
      </c>
      <c r="J178" s="52" t="str">
        <f>IF($K178&lt;&gt;0,VLOOKUP($K178,DM_KM,5,0),"")</f>
        <v>#N/A</v>
      </c>
      <c r="K178" s="1187" t="s">
        <v>374</v>
      </c>
      <c r="L178" s="735"/>
      <c r="M178" s="68"/>
      <c r="N178" s="738">
        <v>1666000.0</v>
      </c>
      <c r="O178" s="1188" t="s">
        <v>2225</v>
      </c>
      <c r="P178" s="751"/>
    </row>
    <row r="179" hidden="1">
      <c r="A179" s="1186">
        <v>44562.0</v>
      </c>
      <c r="B179" s="52" t="str">
        <f t="shared" si="1"/>
        <v>01/2022</v>
      </c>
      <c r="C179" s="52" t="str">
        <f>IF(A179="","",VLOOKUP(A179,'THAM CHIẾU'!$A:$B,2,0))</f>
        <v>#N/A</v>
      </c>
      <c r="D179" s="52" t="str">
        <f>IF(E179&lt;&gt;0,VLOOKUP(E179,DM_DUAN,3,0),"")</f>
        <v/>
      </c>
      <c r="E179" s="735"/>
      <c r="F179" s="735"/>
      <c r="G179" s="735"/>
      <c r="H179" s="70"/>
      <c r="I179" s="52" t="str">
        <f>IF($K179&lt;&gt;0,VLOOKUP($K179,DM_KM,3,0),"")</f>
        <v>VHVP</v>
      </c>
      <c r="J179" s="52">
        <f>IF($K179&lt;&gt;0,VLOOKUP($K179,DM_KM,5,0),"")</f>
        <v>642</v>
      </c>
      <c r="K179" s="1187" t="s">
        <v>382</v>
      </c>
      <c r="L179" s="735"/>
      <c r="M179" s="68"/>
      <c r="N179" s="738">
        <v>1666000.0</v>
      </c>
      <c r="O179" s="1188" t="s">
        <v>2226</v>
      </c>
      <c r="P179" s="751"/>
    </row>
    <row r="180" hidden="1">
      <c r="A180" s="1186">
        <v>44562.0</v>
      </c>
      <c r="B180" s="52" t="str">
        <f t="shared" si="1"/>
        <v>01/2022</v>
      </c>
      <c r="C180" s="52" t="str">
        <f>IF(A180="","",VLOOKUP(A180,'THAM CHIẾU'!$A:$B,2,0))</f>
        <v>#N/A</v>
      </c>
      <c r="D180" s="52" t="str">
        <f>IF(E180&lt;&gt;0,VLOOKUP(E180,DM_DUAN,3,0),"")</f>
        <v/>
      </c>
      <c r="E180" s="735"/>
      <c r="F180" s="735"/>
      <c r="G180" s="735"/>
      <c r="H180" s="70"/>
      <c r="I180" s="52" t="str">
        <f>IF($K180&lt;&gt;0,VLOOKUP($K180,DM_KM,3,0),"")</f>
        <v>#N/A</v>
      </c>
      <c r="J180" s="52" t="str">
        <f>IF($K180&lt;&gt;0,VLOOKUP($K180,DM_KM,5,0),"")</f>
        <v>#N/A</v>
      </c>
      <c r="K180" s="735" t="s">
        <v>272</v>
      </c>
      <c r="L180" s="735"/>
      <c r="M180" s="68"/>
      <c r="N180" s="738">
        <v>6666000.0</v>
      </c>
      <c r="O180" s="737" t="s">
        <v>2227</v>
      </c>
      <c r="P180" s="751"/>
    </row>
    <row r="181" hidden="1">
      <c r="A181" s="1186">
        <v>44562.0</v>
      </c>
      <c r="B181" s="52" t="str">
        <f t="shared" si="1"/>
        <v>01/2022</v>
      </c>
      <c r="C181" s="52" t="str">
        <f>IF(A181="","",VLOOKUP(A181,'THAM CHIẾU'!$A:$B,2,0))</f>
        <v>#N/A</v>
      </c>
      <c r="D181" s="52" t="str">
        <f>IF(E181&lt;&gt;0,VLOOKUP(E181,DM_DUAN,3,0),"")</f>
        <v/>
      </c>
      <c r="E181" s="735"/>
      <c r="F181" s="735"/>
      <c r="G181" s="735"/>
      <c r="H181" s="70"/>
      <c r="I181" s="52" t="str">
        <f>IF($K181&lt;&gt;0,VLOOKUP($K181,DM_KM,3,0),"")</f>
        <v>VHVP</v>
      </c>
      <c r="J181" s="52">
        <f>IF($K181&lt;&gt;0,VLOOKUP($K181,DM_KM,5,0),"")</f>
        <v>642</v>
      </c>
      <c r="K181" s="1187" t="s">
        <v>382</v>
      </c>
      <c r="L181" s="735"/>
      <c r="M181" s="68"/>
      <c r="N181" s="738">
        <v>833000.0</v>
      </c>
      <c r="O181" s="1188" t="s">
        <v>2228</v>
      </c>
      <c r="P181" s="751"/>
    </row>
    <row r="182" hidden="1">
      <c r="A182" s="1186">
        <v>44562.0</v>
      </c>
      <c r="B182" s="52" t="str">
        <f t="shared" si="1"/>
        <v>01/2022</v>
      </c>
      <c r="C182" s="52" t="str">
        <f>IF(A182="","",VLOOKUP(A182,'THAM CHIẾU'!$A:$B,2,0))</f>
        <v>#N/A</v>
      </c>
      <c r="D182" s="52" t="str">
        <f>IF(E182&lt;&gt;0,VLOOKUP(E182,DM_DUAN,3,0),"")</f>
        <v/>
      </c>
      <c r="E182" s="735"/>
      <c r="F182" s="735"/>
      <c r="G182" s="735"/>
      <c r="H182" s="70"/>
      <c r="I182" s="52" t="str">
        <f>IF($K182&lt;&gt;0,VLOOKUP($K182,DM_KM,3,0),"")</f>
        <v>#N/A</v>
      </c>
      <c r="J182" s="52" t="str">
        <f>IF($K182&lt;&gt;0,VLOOKUP($K182,DM_KM,5,0),"")</f>
        <v>#N/A</v>
      </c>
      <c r="K182" s="735" t="s">
        <v>222</v>
      </c>
      <c r="L182" s="735"/>
      <c r="M182" s="68"/>
      <c r="N182" s="738">
        <v>416000.0</v>
      </c>
      <c r="O182" s="737" t="s">
        <v>2229</v>
      </c>
      <c r="P182" s="751"/>
    </row>
    <row r="183" hidden="1">
      <c r="A183" s="1186">
        <v>44562.0</v>
      </c>
      <c r="B183" s="52" t="str">
        <f t="shared" si="1"/>
        <v>01/2022</v>
      </c>
      <c r="C183" s="52" t="str">
        <f>IF(A183="","",VLOOKUP(A183,'THAM CHIẾU'!$A:$B,2,0))</f>
        <v>#N/A</v>
      </c>
      <c r="D183" s="52" t="str">
        <f>IF(E183&lt;&gt;0,VLOOKUP(E183,DM_DUAN,3,0),"")</f>
        <v/>
      </c>
      <c r="E183" s="735"/>
      <c r="F183" s="735"/>
      <c r="G183" s="735"/>
      <c r="H183" s="70"/>
      <c r="I183" s="1189" t="str">
        <f>IF($K183&lt;&gt;0,VLOOKUP($K183,DM_KM,3,0),"")</f>
        <v>#N/A</v>
      </c>
      <c r="J183" s="52" t="str">
        <f>IF($K183&lt;&gt;0,VLOOKUP($K183,DM_KM,5,0),"")</f>
        <v>#N/A</v>
      </c>
      <c r="K183" s="1187" t="s">
        <v>267</v>
      </c>
      <c r="L183" s="735"/>
      <c r="M183" s="68"/>
      <c r="N183" s="738">
        <v>3.184E8</v>
      </c>
      <c r="O183" s="1188" t="s">
        <v>2230</v>
      </c>
      <c r="P183" s="751"/>
    </row>
    <row r="184" hidden="1">
      <c r="A184" s="1186">
        <v>44562.0</v>
      </c>
      <c r="B184" s="52" t="str">
        <f t="shared" si="1"/>
        <v>01/2022</v>
      </c>
      <c r="C184" s="52" t="str">
        <f>IF(A184="","",VLOOKUP(A184,'THAM CHIẾU'!$A:$B,2,0))</f>
        <v>#N/A</v>
      </c>
      <c r="D184" s="52" t="str">
        <f>IF(E184&lt;&gt;0,VLOOKUP(E184,DM_DUAN,3,0),"")</f>
        <v/>
      </c>
      <c r="E184" s="735"/>
      <c r="F184" s="735"/>
      <c r="G184" s="735"/>
      <c r="H184" s="70"/>
      <c r="I184" s="52" t="str">
        <f>IF($K184&lt;&gt;0,VLOOKUP($K184,DM_KM,3,0),"")</f>
        <v>THUEVP</v>
      </c>
      <c r="J184" s="52">
        <f>IF($K184&lt;&gt;0,VLOOKUP($K184,DM_KM,5,0),"")</f>
        <v>642</v>
      </c>
      <c r="K184" s="735" t="s">
        <v>270</v>
      </c>
      <c r="L184" s="735"/>
      <c r="M184" s="68"/>
      <c r="N184" s="738">
        <v>4.5143E7</v>
      </c>
      <c r="O184" s="1188" t="s">
        <v>2231</v>
      </c>
      <c r="P184" s="751"/>
    </row>
    <row r="185" hidden="1">
      <c r="A185" s="1186">
        <v>44562.0</v>
      </c>
      <c r="B185" s="52" t="str">
        <f t="shared" si="1"/>
        <v>01/2022</v>
      </c>
      <c r="C185" s="52" t="str">
        <f>IF(A185="","",VLOOKUP(A185,'THAM CHIẾU'!$A:$B,2,0))</f>
        <v>#N/A</v>
      </c>
      <c r="D185" s="52" t="str">
        <f>IF(E185&lt;&gt;0,VLOOKUP(E185,DM_DUAN,3,0),"")</f>
        <v/>
      </c>
      <c r="E185" s="735"/>
      <c r="F185" s="735"/>
      <c r="G185" s="735"/>
      <c r="H185" s="70"/>
      <c r="I185" s="52" t="str">
        <f>IF($K185&lt;&gt;0,VLOOKUP($K185,DM_KM,3,0),"")</f>
        <v>#N/A</v>
      </c>
      <c r="J185" s="52" t="str">
        <f>IF($K185&lt;&gt;0,VLOOKUP($K185,DM_KM,5,0),"")</f>
        <v>#N/A</v>
      </c>
      <c r="K185" s="735" t="s">
        <v>410</v>
      </c>
      <c r="L185" s="735"/>
      <c r="M185" s="68"/>
      <c r="N185" s="738">
        <v>1250000.0</v>
      </c>
      <c r="O185" s="737" t="s">
        <v>410</v>
      </c>
      <c r="P185" s="751"/>
    </row>
    <row r="186" hidden="1">
      <c r="A186" s="1186">
        <v>44562.0</v>
      </c>
      <c r="B186" s="52" t="str">
        <f t="shared" si="1"/>
        <v>01/2022</v>
      </c>
      <c r="C186" s="52" t="str">
        <f>IF(A186="","",VLOOKUP(A186,'THAM CHIẾU'!$A:$B,2,0))</f>
        <v>#N/A</v>
      </c>
      <c r="D186" s="52" t="str">
        <f>IF(E186&lt;&gt;0,VLOOKUP(E186,DM_DUAN,3,0),"")</f>
        <v/>
      </c>
      <c r="E186" s="735"/>
      <c r="F186" s="735"/>
      <c r="G186" s="735"/>
      <c r="H186" s="70"/>
      <c r="I186" s="52" t="str">
        <f>IF($K186&lt;&gt;0,VLOOKUP($K186,DM_KM,3,0),"")</f>
        <v>#N/A</v>
      </c>
      <c r="J186" s="52" t="str">
        <f>IF($K186&lt;&gt;0,VLOOKUP($K186,DM_KM,5,0),"")</f>
        <v>#N/A</v>
      </c>
      <c r="K186" s="1187" t="s">
        <v>252</v>
      </c>
      <c r="L186" s="735"/>
      <c r="M186" s="68"/>
      <c r="N186" s="738">
        <v>1.6666E7</v>
      </c>
      <c r="O186" s="1188" t="s">
        <v>2232</v>
      </c>
      <c r="P186" s="751"/>
    </row>
    <row r="187" hidden="1">
      <c r="A187" s="1186">
        <v>44562.0</v>
      </c>
      <c r="B187" s="52" t="str">
        <f t="shared" si="1"/>
        <v>01/2022</v>
      </c>
      <c r="C187" s="52" t="str">
        <f>IF(A187="","",VLOOKUP(A187,'THAM CHIẾU'!$A:$B,2,0))</f>
        <v>#N/A</v>
      </c>
      <c r="D187" s="52" t="str">
        <f>IF(E187&lt;&gt;0,VLOOKUP(E187,DM_DUAN,3,0),"")</f>
        <v/>
      </c>
      <c r="E187" s="735"/>
      <c r="F187" s="735"/>
      <c r="G187" s="735"/>
      <c r="H187" s="70"/>
      <c r="I187" s="52" t="str">
        <f>IF($K187&lt;&gt;0,VLOOKUP($K187,DM_KM,3,0),"")</f>
        <v>VHVP</v>
      </c>
      <c r="J187" s="52">
        <f>IF($K187&lt;&gt;0,VLOOKUP($K187,DM_KM,5,0),"")</f>
        <v>642</v>
      </c>
      <c r="K187" s="1187" t="s">
        <v>382</v>
      </c>
      <c r="L187" s="735"/>
      <c r="M187" s="68"/>
      <c r="N187" s="738">
        <v>1666000.0</v>
      </c>
      <c r="O187" s="1188" t="s">
        <v>2233</v>
      </c>
      <c r="P187" s="751"/>
    </row>
    <row r="188" hidden="1">
      <c r="A188" s="1186">
        <v>44562.0</v>
      </c>
      <c r="B188" s="52" t="str">
        <f t="shared" si="1"/>
        <v>01/2022</v>
      </c>
      <c r="C188" s="52" t="str">
        <f>IF(A188="","",VLOOKUP(A188,'THAM CHIẾU'!$A:$B,2,0))</f>
        <v>#N/A</v>
      </c>
      <c r="D188" s="52" t="str">
        <f>IF(E188&lt;&gt;0,VLOOKUP(E188,DM_DUAN,3,0),"")</f>
        <v/>
      </c>
      <c r="E188" s="735"/>
      <c r="F188" s="735"/>
      <c r="G188" s="735"/>
      <c r="H188" s="70"/>
      <c r="I188" s="52" t="str">
        <f>IF($K188&lt;&gt;0,VLOOKUP($K188,DM_KM,3,0),"")</f>
        <v>#N/A</v>
      </c>
      <c r="J188" s="52" t="str">
        <f>IF($K188&lt;&gt;0,VLOOKUP($K188,DM_KM,5,0),"")</f>
        <v>#N/A</v>
      </c>
      <c r="K188" s="1187" t="s">
        <v>206</v>
      </c>
      <c r="L188" s="735"/>
      <c r="M188" s="68"/>
      <c r="N188" s="738">
        <v>1703000.0</v>
      </c>
      <c r="O188" s="1188" t="s">
        <v>206</v>
      </c>
      <c r="P188" s="751"/>
    </row>
    <row r="189" hidden="1">
      <c r="A189" s="1186">
        <v>44562.0</v>
      </c>
      <c r="B189" s="52" t="str">
        <f t="shared" si="1"/>
        <v>01/2022</v>
      </c>
      <c r="C189" s="52" t="str">
        <f>IF(A189="","",VLOOKUP(A189,'THAM CHIẾU'!$A:$B,2,0))</f>
        <v>#N/A</v>
      </c>
      <c r="D189" s="52" t="str">
        <f>IF(E189&lt;&gt;0,VLOOKUP(E189,DM_DUAN,3,0),"")</f>
        <v/>
      </c>
      <c r="E189" s="735"/>
      <c r="F189" s="735"/>
      <c r="G189" s="735"/>
      <c r="H189" s="70"/>
      <c r="I189" s="52" t="str">
        <f>IF($K189&lt;&gt;0,VLOOKUP($K189,DM_KM,3,0),"")</f>
        <v>#N/A</v>
      </c>
      <c r="J189" s="52" t="str">
        <f>IF($K189&lt;&gt;0,VLOOKUP($K189,DM_KM,5,0),"")</f>
        <v>#N/A</v>
      </c>
      <c r="K189" s="1187" t="s">
        <v>226</v>
      </c>
      <c r="L189" s="735"/>
      <c r="M189" s="68"/>
      <c r="N189" s="738">
        <v>1250000.0</v>
      </c>
      <c r="O189" s="1188" t="s">
        <v>2234</v>
      </c>
      <c r="P189" s="751"/>
    </row>
    <row r="190" hidden="1">
      <c r="A190" s="1186">
        <v>44562.0</v>
      </c>
      <c r="B190" s="52" t="str">
        <f t="shared" si="1"/>
        <v>01/2022</v>
      </c>
      <c r="C190" s="52" t="str">
        <f>IF(A190="","",VLOOKUP(A190,'THAM CHIẾU'!$A:$B,2,0))</f>
        <v>#N/A</v>
      </c>
      <c r="D190" s="52" t="str">
        <f>IF(E190&lt;&gt;0,VLOOKUP(E190,DM_DUAN,3,0),"")</f>
        <v/>
      </c>
      <c r="E190" s="735"/>
      <c r="F190" s="735"/>
      <c r="G190" s="735"/>
      <c r="H190" s="70"/>
      <c r="I190" s="52" t="str">
        <f>IF($K190&lt;&gt;0,VLOOKUP($K190,DM_KM,3,0),"")</f>
        <v>#N/A</v>
      </c>
      <c r="J190" s="52" t="str">
        <f>IF($K190&lt;&gt;0,VLOOKUP($K190,DM_KM,5,0),"")</f>
        <v>#N/A</v>
      </c>
      <c r="K190" s="735" t="s">
        <v>174</v>
      </c>
      <c r="L190" s="735"/>
      <c r="M190" s="68"/>
      <c r="N190" s="738">
        <v>4.0861E7</v>
      </c>
      <c r="O190" s="737" t="s">
        <v>2235</v>
      </c>
      <c r="P190" s="751"/>
    </row>
    <row r="191" hidden="1">
      <c r="A191" s="1186">
        <v>44562.0</v>
      </c>
      <c r="B191" s="52" t="str">
        <f t="shared" si="1"/>
        <v>01/2022</v>
      </c>
      <c r="C191" s="52" t="str">
        <f>IF(A191="","",VLOOKUP(A191,'THAM CHIẾU'!$A:$B,2,0))</f>
        <v>#N/A</v>
      </c>
      <c r="D191" s="52" t="str">
        <f>IF(E191&lt;&gt;0,VLOOKUP(E191,DM_DUAN,3,0),"")</f>
        <v/>
      </c>
      <c r="E191" s="735"/>
      <c r="F191" s="735"/>
      <c r="G191" s="735"/>
      <c r="H191" s="70"/>
      <c r="I191" s="52" t="str">
        <f>IF($K191&lt;&gt;0,VLOOKUP($K191,DM_KM,3,0),"")</f>
        <v>#N/A</v>
      </c>
      <c r="J191" s="52" t="str">
        <f>IF($K191&lt;&gt;0,VLOOKUP($K191,DM_KM,5,0),"")</f>
        <v>#N/A</v>
      </c>
      <c r="K191" s="735" t="s">
        <v>2236</v>
      </c>
      <c r="L191" s="735"/>
      <c r="M191" s="68"/>
      <c r="N191" s="738">
        <v>1666000.0</v>
      </c>
      <c r="O191" s="1188" t="s">
        <v>2237</v>
      </c>
      <c r="P191" s="751"/>
    </row>
    <row r="192" hidden="1">
      <c r="A192" s="1186">
        <v>44562.0</v>
      </c>
      <c r="B192" s="52" t="str">
        <f t="shared" si="1"/>
        <v>01/2022</v>
      </c>
      <c r="C192" s="52" t="str">
        <f>IF(A192="","",VLOOKUP(A192,'THAM CHIẾU'!$A:$B,2,0))</f>
        <v>#N/A</v>
      </c>
      <c r="D192" s="52" t="str">
        <f>IF(E192&lt;&gt;0,VLOOKUP(E192,DM_DUAN,3,0),"")</f>
        <v/>
      </c>
      <c r="E192" s="735"/>
      <c r="F192" s="735"/>
      <c r="G192" s="735"/>
      <c r="H192" s="70"/>
      <c r="I192" s="52" t="str">
        <f>IF($K192&lt;&gt;0,VLOOKUP($K192,DM_KM,3,0),"")</f>
        <v>#N/A</v>
      </c>
      <c r="J192" s="52" t="str">
        <f>IF($K192&lt;&gt;0,VLOOKUP($K192,DM_KM,5,0),"")</f>
        <v>#N/A</v>
      </c>
      <c r="K192" s="735" t="s">
        <v>307</v>
      </c>
      <c r="L192" s="735"/>
      <c r="M192" s="68"/>
      <c r="N192" s="738">
        <v>3000000.0</v>
      </c>
      <c r="O192" s="1188" t="s">
        <v>2238</v>
      </c>
      <c r="P192" s="751"/>
    </row>
    <row r="193" hidden="1">
      <c r="A193" s="1186">
        <v>44562.0</v>
      </c>
      <c r="B193" s="52" t="str">
        <f t="shared" si="1"/>
        <v>01/2022</v>
      </c>
      <c r="C193" s="52" t="str">
        <f>IF(A193="","",VLOOKUP(A193,'THAM CHIẾU'!$A:$B,2,0))</f>
        <v>#N/A</v>
      </c>
      <c r="D193" s="52" t="str">
        <f>IF(E193&lt;&gt;0,VLOOKUP(E193,DM_DUAN,3,0),"")</f>
        <v/>
      </c>
      <c r="E193" s="735"/>
      <c r="F193" s="735"/>
      <c r="G193" s="735"/>
      <c r="H193" s="70"/>
      <c r="I193" s="52" t="str">
        <f>IF($K193&lt;&gt;0,VLOOKUP($K193,DM_KM,3,0),"")</f>
        <v>#N/A</v>
      </c>
      <c r="J193" s="52" t="str">
        <f>IF($K193&lt;&gt;0,VLOOKUP($K193,DM_KM,5,0),"")</f>
        <v>#N/A</v>
      </c>
      <c r="K193" s="735" t="s">
        <v>169</v>
      </c>
      <c r="L193" s="735"/>
      <c r="M193" s="68"/>
      <c r="N193" s="738">
        <v>1.0643E7</v>
      </c>
      <c r="O193" s="1188" t="s">
        <v>2240</v>
      </c>
      <c r="P193" s="751"/>
    </row>
    <row r="194" hidden="1">
      <c r="A194" s="1186">
        <v>44562.0</v>
      </c>
      <c r="B194" s="52" t="str">
        <f t="shared" si="1"/>
        <v>01/2022</v>
      </c>
      <c r="C194" s="52" t="str">
        <f>IF(A194="","",VLOOKUP(A194,'THAM CHIẾU'!$A:$B,2,0))</f>
        <v>#N/A</v>
      </c>
      <c r="D194" s="52" t="str">
        <f>IF(E194&lt;&gt;0,VLOOKUP(E194,DM_DUAN,3,0),"")</f>
        <v/>
      </c>
      <c r="E194" s="735"/>
      <c r="F194" s="735"/>
      <c r="G194" s="735"/>
      <c r="H194" s="70"/>
      <c r="I194" s="1189" t="str">
        <f>IF($K194&lt;&gt;0,VLOOKUP($K194,DM_KM,3,0),"")</f>
        <v>#N/A</v>
      </c>
      <c r="J194" s="52" t="str">
        <f>IF($K194&lt;&gt;0,VLOOKUP($K194,DM_KM,5,0),"")</f>
        <v>#N/A</v>
      </c>
      <c r="K194" s="1187" t="s">
        <v>190</v>
      </c>
      <c r="L194" s="735"/>
      <c r="M194" s="68"/>
      <c r="N194" s="739"/>
      <c r="O194" s="1188" t="s">
        <v>2241</v>
      </c>
      <c r="P194" s="739"/>
    </row>
    <row r="195" hidden="1">
      <c r="A195" s="1186">
        <v>44562.0</v>
      </c>
      <c r="B195" s="52" t="str">
        <f t="shared" si="1"/>
        <v>01/2022</v>
      </c>
      <c r="C195" s="52" t="str">
        <f>IF(A195="","",VLOOKUP(A195,'THAM CHIẾU'!$A:$B,2,0))</f>
        <v>#N/A</v>
      </c>
      <c r="D195" s="52" t="str">
        <f>IF(E195&lt;&gt;0,VLOOKUP(E195,DM_DUAN,3,0),"")</f>
        <v/>
      </c>
      <c r="E195" s="735"/>
      <c r="F195" s="735"/>
      <c r="G195" s="735"/>
      <c r="H195" s="70"/>
      <c r="I195" s="1189" t="str">
        <f>IF($K195&lt;&gt;0,VLOOKUP($K195,DM_KM,3,0),"")</f>
        <v>#N/A</v>
      </c>
      <c r="J195" s="52" t="str">
        <f>IF($K195&lt;&gt;0,VLOOKUP($K195,DM_KM,5,0),"")</f>
        <v>#N/A</v>
      </c>
      <c r="K195" s="1187" t="s">
        <v>194</v>
      </c>
      <c r="L195" s="735"/>
      <c r="M195" s="68"/>
      <c r="N195" s="739"/>
      <c r="O195" s="1188" t="s">
        <v>2242</v>
      </c>
      <c r="P195" s="739"/>
    </row>
    <row r="196" hidden="1">
      <c r="A196" s="1186">
        <v>44562.0</v>
      </c>
      <c r="B196" s="52" t="str">
        <f t="shared" si="1"/>
        <v>01/2022</v>
      </c>
      <c r="C196" s="52" t="str">
        <f>IF(A196="","",VLOOKUP(A196,'THAM CHIẾU'!$A:$B,2,0))</f>
        <v>#N/A</v>
      </c>
      <c r="D196" s="52" t="str">
        <f>IF(E196&lt;&gt;0,VLOOKUP(E196,DM_DUAN,3,0),"")</f>
        <v/>
      </c>
      <c r="E196" s="735"/>
      <c r="F196" s="735"/>
      <c r="G196" s="735"/>
      <c r="H196" s="70"/>
      <c r="I196" s="52" t="str">
        <f>IF($K196&lt;&gt;0,VLOOKUP($K196,DM_KM,3,0),"")</f>
        <v>#N/A</v>
      </c>
      <c r="J196" s="52" t="str">
        <f>IF($K196&lt;&gt;0,VLOOKUP($K196,DM_KM,5,0),"")</f>
        <v>#N/A</v>
      </c>
      <c r="K196" s="1187" t="s">
        <v>1170</v>
      </c>
      <c r="L196" s="735"/>
      <c r="M196" s="68"/>
      <c r="N196" s="739"/>
      <c r="O196" s="1188" t="s">
        <v>1474</v>
      </c>
      <c r="P196" s="751"/>
    </row>
    <row r="197" hidden="1">
      <c r="A197" s="1186">
        <v>44562.0</v>
      </c>
      <c r="B197" s="52" t="str">
        <f t="shared" si="1"/>
        <v>01/2022</v>
      </c>
      <c r="C197" s="52" t="str">
        <f>IF(A197="","",VLOOKUP(A197,'THAM CHIẾU'!$A:$B,2,0))</f>
        <v>#N/A</v>
      </c>
      <c r="D197" s="52" t="str">
        <f>IF(E197&lt;&gt;0,VLOOKUP(E197,DM_DUAN,3,0),"")</f>
        <v/>
      </c>
      <c r="E197" s="735"/>
      <c r="F197" s="735"/>
      <c r="G197" s="735"/>
      <c r="H197" s="70"/>
      <c r="I197" s="52" t="str">
        <f>IF($K197&lt;&gt;0,VLOOKUP($K197,DM_KM,3,0),"")</f>
        <v>#N/A</v>
      </c>
      <c r="J197" s="52" t="str">
        <f>IF($K197&lt;&gt;0,VLOOKUP($K197,DM_KM,5,0),"")</f>
        <v>#N/A</v>
      </c>
      <c r="K197" s="735" t="s">
        <v>1142</v>
      </c>
      <c r="L197" s="735"/>
      <c r="M197" s="68"/>
      <c r="N197" s="739"/>
      <c r="O197" s="737" t="s">
        <v>2244</v>
      </c>
      <c r="P197" s="751"/>
    </row>
    <row r="198" hidden="1">
      <c r="A198" s="1186">
        <v>44562.0</v>
      </c>
      <c r="B198" s="52" t="str">
        <f t="shared" si="1"/>
        <v>01/2022</v>
      </c>
      <c r="C198" s="52" t="str">
        <f>IF(A198="","",VLOOKUP(A198,'THAM CHIẾU'!$A:$B,2,0))</f>
        <v>#N/A</v>
      </c>
      <c r="D198" s="52" t="str">
        <f>IF(E198&lt;&gt;0,VLOOKUP(E198,DM_DUAN,3,0),"")</f>
        <v/>
      </c>
      <c r="E198" s="735"/>
      <c r="F198" s="735"/>
      <c r="G198" s="735"/>
      <c r="H198" s="70"/>
      <c r="I198" s="1189" t="str">
        <f>IF($K198&lt;&gt;0,VLOOKUP($K198,DM_KM,3,0),"")</f>
        <v>#N/A</v>
      </c>
      <c r="J198" s="52" t="str">
        <f>IF($K198&lt;&gt;0,VLOOKUP($K198,DM_KM,5,0),"")</f>
        <v>#N/A</v>
      </c>
      <c r="K198" s="1187" t="s">
        <v>181</v>
      </c>
      <c r="L198" s="735"/>
      <c r="M198" s="68"/>
      <c r="N198" s="739"/>
      <c r="O198" s="1188" t="s">
        <v>2245</v>
      </c>
      <c r="P198" s="751"/>
    </row>
    <row r="199" hidden="1">
      <c r="A199" s="1186">
        <v>44562.0</v>
      </c>
      <c r="B199" s="52" t="str">
        <f t="shared" si="1"/>
        <v>01/2022</v>
      </c>
      <c r="C199" s="52" t="str">
        <f>IF(A199="","",VLOOKUP(A199,'THAM CHIẾU'!$A:$B,2,0))</f>
        <v>#N/A</v>
      </c>
      <c r="D199" s="52" t="str">
        <f>IF(E199&lt;&gt;0,VLOOKUP(E199,DM_DUAN,3,0),"")</f>
        <v/>
      </c>
      <c r="E199" s="735"/>
      <c r="F199" s="735"/>
      <c r="G199" s="735"/>
      <c r="H199" s="70"/>
      <c r="I199" s="52" t="str">
        <f>IF($K199&lt;&gt;0,VLOOKUP($K199,DM_KM,3,0),"")</f>
        <v>#N/A</v>
      </c>
      <c r="J199" s="52" t="str">
        <f>IF($K199&lt;&gt;0,VLOOKUP($K199,DM_KM,5,0),"")</f>
        <v>#N/A</v>
      </c>
      <c r="K199" s="735" t="s">
        <v>2243</v>
      </c>
      <c r="L199" s="735"/>
      <c r="M199" s="68"/>
      <c r="N199" s="739"/>
      <c r="O199" s="737" t="s">
        <v>2246</v>
      </c>
      <c r="P199" s="751"/>
    </row>
    <row r="200" hidden="1">
      <c r="A200" s="1186">
        <v>44593.0</v>
      </c>
      <c r="B200" s="52" t="str">
        <f t="shared" si="1"/>
        <v>02/2022</v>
      </c>
      <c r="C200" s="52" t="str">
        <f>IF(A200="","",VLOOKUP(A200,'THAM CHIẾU'!$A:$B,2,0))</f>
        <v>#N/A</v>
      </c>
      <c r="D200" s="52" t="str">
        <f>IF(E200&lt;&gt;0,VLOOKUP(E200,DM_DUAN,3,0),"")</f>
        <v/>
      </c>
      <c r="E200" s="735"/>
      <c r="F200" s="735"/>
      <c r="G200" s="735" t="s">
        <v>207</v>
      </c>
      <c r="H200" s="70"/>
      <c r="I200" s="52" t="str">
        <f>IF($K200&lt;&gt;0,VLOOKUP($K200,DM_KM,3,0),"")</f>
        <v>#N/A</v>
      </c>
      <c r="J200" s="52" t="str">
        <f>IF($K200&lt;&gt;0,VLOOKUP($K200,DM_KM,5,0),"")</f>
        <v>#N/A</v>
      </c>
      <c r="K200" s="735" t="s">
        <v>2215</v>
      </c>
      <c r="L200" s="735"/>
      <c r="M200" s="68"/>
      <c r="N200" s="738">
        <v>43000.0</v>
      </c>
      <c r="O200" s="737" t="s">
        <v>2216</v>
      </c>
      <c r="P200" s="751"/>
    </row>
    <row r="201" hidden="1">
      <c r="A201" s="1186">
        <v>44593.0</v>
      </c>
      <c r="B201" s="52" t="str">
        <f t="shared" si="1"/>
        <v>02/2022</v>
      </c>
      <c r="C201" s="52" t="str">
        <f>IF(A201="","",VLOOKUP(A201,'THAM CHIẾU'!$A:$B,2,0))</f>
        <v>#N/A</v>
      </c>
      <c r="D201" s="52" t="str">
        <f>IF(E201&lt;&gt;0,VLOOKUP(E201,DM_DUAN,3,0),"")</f>
        <v/>
      </c>
      <c r="E201" s="735"/>
      <c r="F201" s="735"/>
      <c r="G201" s="735"/>
      <c r="H201" s="70"/>
      <c r="I201" s="52" t="str">
        <f>IF($K201&lt;&gt;0,VLOOKUP($K201,DM_KM,3,0),"")</f>
        <v>#N/A</v>
      </c>
      <c r="J201" s="52" t="str">
        <f>IF($K201&lt;&gt;0,VLOOKUP($K201,DM_KM,5,0),"")</f>
        <v>#N/A</v>
      </c>
      <c r="K201" s="1187" t="s">
        <v>419</v>
      </c>
      <c r="L201" s="735"/>
      <c r="M201" s="68"/>
      <c r="N201" s="738">
        <v>166000.0</v>
      </c>
      <c r="O201" s="1188" t="s">
        <v>2217</v>
      </c>
      <c r="P201" s="751"/>
    </row>
    <row r="202" hidden="1">
      <c r="A202" s="1186">
        <v>44593.0</v>
      </c>
      <c r="B202" s="52" t="str">
        <f t="shared" si="1"/>
        <v>02/2022</v>
      </c>
      <c r="C202" s="52" t="str">
        <f>IF(A202="","",VLOOKUP(A202,'THAM CHIẾU'!$A:$B,2,0))</f>
        <v>#N/A</v>
      </c>
      <c r="D202" s="52" t="str">
        <f>IF(E202&lt;&gt;0,VLOOKUP(E202,DM_DUAN,3,0),"")</f>
        <v/>
      </c>
      <c r="E202" s="735"/>
      <c r="F202" s="735"/>
      <c r="G202" s="735"/>
      <c r="H202" s="70"/>
      <c r="I202" s="52" t="str">
        <f>IF($K202&lt;&gt;0,VLOOKUP($K202,DM_KM,3,0),"")</f>
        <v>#N/A</v>
      </c>
      <c r="J202" s="52" t="str">
        <f>IF($K202&lt;&gt;0,VLOOKUP($K202,DM_KM,5,0),"")</f>
        <v>#N/A</v>
      </c>
      <c r="K202" s="735" t="s">
        <v>573</v>
      </c>
      <c r="L202" s="735"/>
      <c r="M202" s="68"/>
      <c r="N202" s="738">
        <v>250000.0</v>
      </c>
      <c r="O202" s="1188" t="s">
        <v>2218</v>
      </c>
      <c r="P202" s="751"/>
    </row>
    <row r="203" hidden="1">
      <c r="A203" s="1186">
        <v>44593.0</v>
      </c>
      <c r="B203" s="52" t="str">
        <f t="shared" si="1"/>
        <v>02/2022</v>
      </c>
      <c r="C203" s="52" t="str">
        <f>IF(A203="","",VLOOKUP(A203,'THAM CHIẾU'!$A:$B,2,0))</f>
        <v>#N/A</v>
      </c>
      <c r="D203" s="52" t="str">
        <f>IF(E203&lt;&gt;0,VLOOKUP(E203,DM_DUAN,3,0),"")</f>
        <v/>
      </c>
      <c r="E203" s="735"/>
      <c r="F203" s="735"/>
      <c r="G203" s="735"/>
      <c r="H203" s="70"/>
      <c r="I203" s="1189" t="str">
        <f>IF($K203&lt;&gt;0,VLOOKUP($K203,DM_KM,3,0),"")</f>
        <v>#N/A</v>
      </c>
      <c r="J203" s="52" t="str">
        <f>IF($K203&lt;&gt;0,VLOOKUP($K203,DM_KM,5,0),"")</f>
        <v>#N/A</v>
      </c>
      <c r="K203" s="735" t="s">
        <v>1273</v>
      </c>
      <c r="L203" s="735"/>
      <c r="M203" s="68"/>
      <c r="N203" s="738">
        <v>328000.0</v>
      </c>
      <c r="O203" s="737" t="s">
        <v>1273</v>
      </c>
      <c r="P203" s="751"/>
    </row>
    <row r="204" hidden="1">
      <c r="A204" s="1186">
        <v>44593.0</v>
      </c>
      <c r="B204" s="52" t="str">
        <f t="shared" si="1"/>
        <v>02/2022</v>
      </c>
      <c r="C204" s="52" t="str">
        <f>IF(A204="","",VLOOKUP(A204,'THAM CHIẾU'!$A:$B,2,0))</f>
        <v>#N/A</v>
      </c>
      <c r="D204" s="52" t="str">
        <f>IF(E204&lt;&gt;0,VLOOKUP(E204,DM_DUAN,3,0),"")</f>
        <v/>
      </c>
      <c r="E204" s="735"/>
      <c r="F204" s="735"/>
      <c r="G204" s="735"/>
      <c r="H204" s="70"/>
      <c r="I204" s="52" t="str">
        <f>IF($K204&lt;&gt;0,VLOOKUP($K204,DM_KM,3,0),"")</f>
        <v>VHVP</v>
      </c>
      <c r="J204" s="52">
        <f>IF($K204&lt;&gt;0,VLOOKUP($K204,DM_KM,5,0),"")</f>
        <v>642</v>
      </c>
      <c r="K204" s="735" t="s">
        <v>1153</v>
      </c>
      <c r="L204" s="735"/>
      <c r="M204" s="68"/>
      <c r="N204" s="738">
        <v>8333000.0</v>
      </c>
      <c r="O204" s="737" t="s">
        <v>2219</v>
      </c>
      <c r="P204" s="751"/>
    </row>
    <row r="205" hidden="1">
      <c r="A205" s="1186">
        <v>44593.0</v>
      </c>
      <c r="B205" s="52" t="str">
        <f t="shared" si="1"/>
        <v>02/2022</v>
      </c>
      <c r="C205" s="52" t="str">
        <f>IF(A205="","",VLOOKUP(A205,'THAM CHIẾU'!$A:$B,2,0))</f>
        <v>#N/A</v>
      </c>
      <c r="D205" s="52" t="str">
        <f>IF(E205&lt;&gt;0,VLOOKUP(E205,DM_DUAN,3,0),"")</f>
        <v/>
      </c>
      <c r="E205" s="735"/>
      <c r="F205" s="735"/>
      <c r="G205" s="735"/>
      <c r="H205" s="70"/>
      <c r="I205" s="52" t="str">
        <f>IF($K205&lt;&gt;0,VLOOKUP($K205,DM_KM,3,0),"")</f>
        <v>#N/A</v>
      </c>
      <c r="J205" s="52" t="str">
        <f>IF($K205&lt;&gt;0,VLOOKUP($K205,DM_KM,5,0),"")</f>
        <v>#N/A</v>
      </c>
      <c r="K205" s="735" t="s">
        <v>2220</v>
      </c>
      <c r="L205" s="735"/>
      <c r="M205" s="68"/>
      <c r="N205" s="738">
        <v>416000.0</v>
      </c>
      <c r="O205" s="737" t="s">
        <v>2221</v>
      </c>
      <c r="P205" s="751"/>
    </row>
    <row r="206" hidden="1">
      <c r="A206" s="1186">
        <v>44593.0</v>
      </c>
      <c r="B206" s="52" t="str">
        <f t="shared" si="1"/>
        <v>02/2022</v>
      </c>
      <c r="C206" s="52" t="str">
        <f>IF(A206="","",VLOOKUP(A206,'THAM CHIẾU'!$A:$B,2,0))</f>
        <v>#N/A</v>
      </c>
      <c r="D206" s="52" t="str">
        <f>IF(E206&lt;&gt;0,VLOOKUP(E206,DM_DUAN,3,0),"")</f>
        <v/>
      </c>
      <c r="E206" s="735"/>
      <c r="F206" s="735"/>
      <c r="G206" s="735"/>
      <c r="H206" s="70"/>
      <c r="I206" s="52" t="str">
        <f>IF($K206&lt;&gt;0,VLOOKUP($K206,DM_KM,3,0),"")</f>
        <v>#N/A</v>
      </c>
      <c r="J206" s="52" t="str">
        <f>IF($K206&lt;&gt;0,VLOOKUP($K206,DM_KM,5,0),"")</f>
        <v>#N/A</v>
      </c>
      <c r="K206" s="735" t="s">
        <v>262</v>
      </c>
      <c r="L206" s="735"/>
      <c r="M206" s="68"/>
      <c r="N206" s="738">
        <v>833000.0</v>
      </c>
      <c r="O206" s="737" t="s">
        <v>2222</v>
      </c>
      <c r="P206" s="751"/>
    </row>
    <row r="207" hidden="1">
      <c r="A207" s="1186">
        <v>44593.0</v>
      </c>
      <c r="B207" s="52" t="str">
        <f t="shared" si="1"/>
        <v>02/2022</v>
      </c>
      <c r="C207" s="52" t="str">
        <f>IF(A207="","",VLOOKUP(A207,'THAM CHIẾU'!$A:$B,2,0))</f>
        <v>#N/A</v>
      </c>
      <c r="D207" s="52" t="str">
        <f>IF(E207&lt;&gt;0,VLOOKUP(E207,DM_DUAN,3,0),"")</f>
        <v/>
      </c>
      <c r="E207" s="735"/>
      <c r="F207" s="735"/>
      <c r="G207" s="735"/>
      <c r="H207" s="70"/>
      <c r="I207" s="52" t="str">
        <f>IF($K207&lt;&gt;0,VLOOKUP($K207,DM_KM,3,0),"")</f>
        <v>#N/A</v>
      </c>
      <c r="J207" s="52" t="str">
        <f>IF($K207&lt;&gt;0,VLOOKUP($K207,DM_KM,5,0),"")</f>
        <v>#N/A</v>
      </c>
      <c r="K207" s="735" t="s">
        <v>2223</v>
      </c>
      <c r="L207" s="735"/>
      <c r="M207" s="68"/>
      <c r="N207" s="738">
        <v>4166000.0</v>
      </c>
      <c r="O207" s="737" t="s">
        <v>2224</v>
      </c>
      <c r="P207" s="751"/>
    </row>
    <row r="208" hidden="1">
      <c r="A208" s="1186">
        <v>44593.0</v>
      </c>
      <c r="B208" s="52" t="str">
        <f t="shared" si="1"/>
        <v>02/2022</v>
      </c>
      <c r="C208" s="52" t="str">
        <f>IF(A208="","",VLOOKUP(A208,'THAM CHIẾU'!$A:$B,2,0))</f>
        <v>#N/A</v>
      </c>
      <c r="D208" s="52" t="str">
        <f>IF(E208&lt;&gt;0,VLOOKUP(E208,DM_DUAN,3,0),"")</f>
        <v/>
      </c>
      <c r="E208" s="735"/>
      <c r="F208" s="735"/>
      <c r="G208" s="735" t="s">
        <v>176</v>
      </c>
      <c r="H208" s="70"/>
      <c r="I208" s="52" t="str">
        <f>IF($K208&lt;&gt;0,VLOOKUP($K208,DM_KM,3,0),"")</f>
        <v>#N/A</v>
      </c>
      <c r="J208" s="52" t="str">
        <f>IF($K208&lt;&gt;0,VLOOKUP($K208,DM_KM,5,0),"")</f>
        <v>#N/A</v>
      </c>
      <c r="K208" s="1187" t="s">
        <v>374</v>
      </c>
      <c r="L208" s="735"/>
      <c r="M208" s="68"/>
      <c r="N208" s="738">
        <v>1666000.0</v>
      </c>
      <c r="O208" s="1188" t="s">
        <v>2225</v>
      </c>
      <c r="P208" s="751"/>
    </row>
    <row r="209" hidden="1">
      <c r="A209" s="1186">
        <v>44593.0</v>
      </c>
      <c r="B209" s="52" t="str">
        <f t="shared" si="1"/>
        <v>02/2022</v>
      </c>
      <c r="C209" s="52" t="str">
        <f>IF(A209="","",VLOOKUP(A209,'THAM CHIẾU'!$A:$B,2,0))</f>
        <v>#N/A</v>
      </c>
      <c r="D209" s="52" t="str">
        <f>IF(E209&lt;&gt;0,VLOOKUP(E209,DM_DUAN,3,0),"")</f>
        <v/>
      </c>
      <c r="E209" s="735"/>
      <c r="F209" s="735"/>
      <c r="G209" s="735"/>
      <c r="H209" s="70"/>
      <c r="I209" s="52" t="str">
        <f>IF($K209&lt;&gt;0,VLOOKUP($K209,DM_KM,3,0),"")</f>
        <v>VHVP</v>
      </c>
      <c r="J209" s="52">
        <f>IF($K209&lt;&gt;0,VLOOKUP($K209,DM_KM,5,0),"")</f>
        <v>642</v>
      </c>
      <c r="K209" s="1187" t="s">
        <v>382</v>
      </c>
      <c r="L209" s="735"/>
      <c r="M209" s="68"/>
      <c r="N209" s="738">
        <v>1666000.0</v>
      </c>
      <c r="O209" s="1188" t="s">
        <v>2226</v>
      </c>
      <c r="P209" s="751"/>
    </row>
    <row r="210" hidden="1">
      <c r="A210" s="1186">
        <v>44593.0</v>
      </c>
      <c r="B210" s="52" t="str">
        <f t="shared" si="1"/>
        <v>02/2022</v>
      </c>
      <c r="C210" s="52" t="str">
        <f>IF(A210="","",VLOOKUP(A210,'THAM CHIẾU'!$A:$B,2,0))</f>
        <v>#N/A</v>
      </c>
      <c r="D210" s="52" t="str">
        <f>IF(E210&lt;&gt;0,VLOOKUP(E210,DM_DUAN,3,0),"")</f>
        <v/>
      </c>
      <c r="E210" s="735"/>
      <c r="F210" s="735"/>
      <c r="G210" s="735"/>
      <c r="H210" s="70"/>
      <c r="I210" s="52" t="str">
        <f>IF($K210&lt;&gt;0,VLOOKUP($K210,DM_KM,3,0),"")</f>
        <v>#N/A</v>
      </c>
      <c r="J210" s="52" t="str">
        <f>IF($K210&lt;&gt;0,VLOOKUP($K210,DM_KM,5,0),"")</f>
        <v>#N/A</v>
      </c>
      <c r="K210" s="735" t="s">
        <v>272</v>
      </c>
      <c r="L210" s="735"/>
      <c r="M210" s="68"/>
      <c r="N210" s="738">
        <v>6666000.0</v>
      </c>
      <c r="O210" s="737" t="s">
        <v>2227</v>
      </c>
      <c r="P210" s="751"/>
    </row>
    <row r="211" hidden="1">
      <c r="A211" s="1186">
        <v>44593.0</v>
      </c>
      <c r="B211" s="52" t="str">
        <f t="shared" si="1"/>
        <v>02/2022</v>
      </c>
      <c r="C211" s="52" t="str">
        <f>IF(A211="","",VLOOKUP(A211,'THAM CHIẾU'!$A:$B,2,0))</f>
        <v>#N/A</v>
      </c>
      <c r="D211" s="52" t="str">
        <f>IF(E211&lt;&gt;0,VLOOKUP(E211,DM_DUAN,3,0),"")</f>
        <v/>
      </c>
      <c r="E211" s="735"/>
      <c r="F211" s="735"/>
      <c r="G211" s="735"/>
      <c r="H211" s="70"/>
      <c r="I211" s="52" t="str">
        <f>IF($K211&lt;&gt;0,VLOOKUP($K211,DM_KM,3,0),"")</f>
        <v>VHVP</v>
      </c>
      <c r="J211" s="52">
        <f>IF($K211&lt;&gt;0,VLOOKUP($K211,DM_KM,5,0),"")</f>
        <v>642</v>
      </c>
      <c r="K211" s="1187" t="s">
        <v>382</v>
      </c>
      <c r="L211" s="735"/>
      <c r="M211" s="68"/>
      <c r="N211" s="738">
        <v>833000.0</v>
      </c>
      <c r="O211" s="1188" t="s">
        <v>2228</v>
      </c>
      <c r="P211" s="751"/>
    </row>
    <row r="212" hidden="1">
      <c r="A212" s="1186">
        <v>44593.0</v>
      </c>
      <c r="B212" s="52" t="str">
        <f t="shared" si="1"/>
        <v>02/2022</v>
      </c>
      <c r="C212" s="52" t="str">
        <f>IF(A212="","",VLOOKUP(A212,'THAM CHIẾU'!$A:$B,2,0))</f>
        <v>#N/A</v>
      </c>
      <c r="D212" s="52" t="str">
        <f>IF(E212&lt;&gt;0,VLOOKUP(E212,DM_DUAN,3,0),"")</f>
        <v/>
      </c>
      <c r="E212" s="735"/>
      <c r="F212" s="735"/>
      <c r="G212" s="735"/>
      <c r="H212" s="70"/>
      <c r="I212" s="52" t="str">
        <f>IF($K212&lt;&gt;0,VLOOKUP($K212,DM_KM,3,0),"")</f>
        <v>#N/A</v>
      </c>
      <c r="J212" s="52" t="str">
        <f>IF($K212&lt;&gt;0,VLOOKUP($K212,DM_KM,5,0),"")</f>
        <v>#N/A</v>
      </c>
      <c r="K212" s="735" t="s">
        <v>222</v>
      </c>
      <c r="L212" s="735"/>
      <c r="M212" s="68"/>
      <c r="N212" s="738">
        <v>416000.0</v>
      </c>
      <c r="O212" s="737" t="s">
        <v>2229</v>
      </c>
      <c r="P212" s="751"/>
    </row>
    <row r="213" hidden="1">
      <c r="A213" s="1186">
        <v>44593.0</v>
      </c>
      <c r="B213" s="52" t="str">
        <f t="shared" si="1"/>
        <v>02/2022</v>
      </c>
      <c r="C213" s="52" t="str">
        <f>IF(A213="","",VLOOKUP(A213,'THAM CHIẾU'!$A:$B,2,0))</f>
        <v>#N/A</v>
      </c>
      <c r="D213" s="52" t="str">
        <f>IF(E213&lt;&gt;0,VLOOKUP(E213,DM_DUAN,3,0),"")</f>
        <v/>
      </c>
      <c r="E213" s="735"/>
      <c r="F213" s="735"/>
      <c r="G213" s="735"/>
      <c r="H213" s="70"/>
      <c r="I213" s="1189" t="str">
        <f>IF($K213&lt;&gt;0,VLOOKUP($K213,DM_KM,3,0),"")</f>
        <v>#N/A</v>
      </c>
      <c r="J213" s="52" t="str">
        <f>IF($K213&lt;&gt;0,VLOOKUP($K213,DM_KM,5,0),"")</f>
        <v>#N/A</v>
      </c>
      <c r="K213" s="1187" t="s">
        <v>267</v>
      </c>
      <c r="L213" s="735"/>
      <c r="M213" s="68"/>
      <c r="N213" s="738">
        <v>3.184E8</v>
      </c>
      <c r="O213" s="1188" t="s">
        <v>2230</v>
      </c>
      <c r="P213" s="751"/>
    </row>
    <row r="214" hidden="1">
      <c r="A214" s="1186">
        <v>44593.0</v>
      </c>
      <c r="B214" s="52" t="str">
        <f t="shared" si="1"/>
        <v>02/2022</v>
      </c>
      <c r="C214" s="52" t="str">
        <f>IF(A214="","",VLOOKUP(A214,'THAM CHIẾU'!$A:$B,2,0))</f>
        <v>#N/A</v>
      </c>
      <c r="D214" s="52" t="str">
        <f>IF(E214&lt;&gt;0,VLOOKUP(E214,DM_DUAN,3,0),"")</f>
        <v/>
      </c>
      <c r="E214" s="735"/>
      <c r="F214" s="735"/>
      <c r="G214" s="735"/>
      <c r="H214" s="70"/>
      <c r="I214" s="52" t="str">
        <f>IF($K214&lt;&gt;0,VLOOKUP($K214,DM_KM,3,0),"")</f>
        <v>THUEVP</v>
      </c>
      <c r="J214" s="52">
        <f>IF($K214&lt;&gt;0,VLOOKUP($K214,DM_KM,5,0),"")</f>
        <v>642</v>
      </c>
      <c r="K214" s="735" t="s">
        <v>270</v>
      </c>
      <c r="L214" s="735"/>
      <c r="M214" s="68"/>
      <c r="N214" s="738">
        <v>4.5143E7</v>
      </c>
      <c r="O214" s="1188" t="s">
        <v>2231</v>
      </c>
      <c r="P214" s="751"/>
    </row>
    <row r="215" hidden="1">
      <c r="A215" s="1186">
        <v>44593.0</v>
      </c>
      <c r="B215" s="52" t="str">
        <f t="shared" si="1"/>
        <v>02/2022</v>
      </c>
      <c r="C215" s="52" t="str">
        <f>IF(A215="","",VLOOKUP(A215,'THAM CHIẾU'!$A:$B,2,0))</f>
        <v>#N/A</v>
      </c>
      <c r="D215" s="52" t="str">
        <f>IF(E215&lt;&gt;0,VLOOKUP(E215,DM_DUAN,3,0),"")</f>
        <v/>
      </c>
      <c r="E215" s="735"/>
      <c r="F215" s="735"/>
      <c r="G215" s="735"/>
      <c r="H215" s="70"/>
      <c r="I215" s="52" t="str">
        <f>IF($K215&lt;&gt;0,VLOOKUP($K215,DM_KM,3,0),"")</f>
        <v>#N/A</v>
      </c>
      <c r="J215" s="52" t="str">
        <f>IF($K215&lt;&gt;0,VLOOKUP($K215,DM_KM,5,0),"")</f>
        <v>#N/A</v>
      </c>
      <c r="K215" s="735" t="s">
        <v>410</v>
      </c>
      <c r="L215" s="735"/>
      <c r="M215" s="68"/>
      <c r="N215" s="738">
        <v>1250000.0</v>
      </c>
      <c r="O215" s="737" t="s">
        <v>410</v>
      </c>
      <c r="P215" s="751"/>
    </row>
    <row r="216" hidden="1">
      <c r="A216" s="1186">
        <v>44593.0</v>
      </c>
      <c r="B216" s="52" t="str">
        <f t="shared" si="1"/>
        <v>02/2022</v>
      </c>
      <c r="C216" s="52" t="str">
        <f>IF(A216="","",VLOOKUP(A216,'THAM CHIẾU'!$A:$B,2,0))</f>
        <v>#N/A</v>
      </c>
      <c r="D216" s="52" t="str">
        <f>IF(E216&lt;&gt;0,VLOOKUP(E216,DM_DUAN,3,0),"")</f>
        <v/>
      </c>
      <c r="E216" s="735"/>
      <c r="F216" s="735"/>
      <c r="G216" s="735"/>
      <c r="H216" s="70"/>
      <c r="I216" s="52" t="str">
        <f>IF($K216&lt;&gt;0,VLOOKUP($K216,DM_KM,3,0),"")</f>
        <v>#N/A</v>
      </c>
      <c r="J216" s="52" t="str">
        <f>IF($K216&lt;&gt;0,VLOOKUP($K216,DM_KM,5,0),"")</f>
        <v>#N/A</v>
      </c>
      <c r="K216" s="1187" t="s">
        <v>252</v>
      </c>
      <c r="L216" s="735"/>
      <c r="M216" s="68"/>
      <c r="N216" s="738">
        <v>1.6666E7</v>
      </c>
      <c r="O216" s="1188" t="s">
        <v>2232</v>
      </c>
      <c r="P216" s="751"/>
    </row>
    <row r="217" hidden="1">
      <c r="A217" s="1186">
        <v>44593.0</v>
      </c>
      <c r="B217" s="52" t="str">
        <f t="shared" si="1"/>
        <v>02/2022</v>
      </c>
      <c r="C217" s="52" t="str">
        <f>IF(A217="","",VLOOKUP(A217,'THAM CHIẾU'!$A:$B,2,0))</f>
        <v>#N/A</v>
      </c>
      <c r="D217" s="52" t="str">
        <f>IF(E217&lt;&gt;0,VLOOKUP(E217,DM_DUAN,3,0),"")</f>
        <v/>
      </c>
      <c r="E217" s="735"/>
      <c r="F217" s="735"/>
      <c r="G217" s="735"/>
      <c r="H217" s="70"/>
      <c r="I217" s="52" t="str">
        <f>IF($K217&lt;&gt;0,VLOOKUP($K217,DM_KM,3,0),"")</f>
        <v>VHVP</v>
      </c>
      <c r="J217" s="52">
        <f>IF($K217&lt;&gt;0,VLOOKUP($K217,DM_KM,5,0),"")</f>
        <v>642</v>
      </c>
      <c r="K217" s="1187" t="s">
        <v>382</v>
      </c>
      <c r="L217" s="735"/>
      <c r="M217" s="68"/>
      <c r="N217" s="738">
        <v>1666000.0</v>
      </c>
      <c r="O217" s="1188" t="s">
        <v>2233</v>
      </c>
      <c r="P217" s="751"/>
    </row>
    <row r="218" hidden="1">
      <c r="A218" s="1186">
        <v>44593.0</v>
      </c>
      <c r="B218" s="52" t="str">
        <f t="shared" si="1"/>
        <v>02/2022</v>
      </c>
      <c r="C218" s="52" t="str">
        <f>IF(A218="","",VLOOKUP(A218,'THAM CHIẾU'!$A:$B,2,0))</f>
        <v>#N/A</v>
      </c>
      <c r="D218" s="52" t="str">
        <f>IF(E218&lt;&gt;0,VLOOKUP(E218,DM_DUAN,3,0),"")</f>
        <v/>
      </c>
      <c r="E218" s="735"/>
      <c r="F218" s="735"/>
      <c r="G218" s="735"/>
      <c r="H218" s="70"/>
      <c r="I218" s="52" t="str">
        <f>IF($K218&lt;&gt;0,VLOOKUP($K218,DM_KM,3,0),"")</f>
        <v>#N/A</v>
      </c>
      <c r="J218" s="52" t="str">
        <f>IF($K218&lt;&gt;0,VLOOKUP($K218,DM_KM,5,0),"")</f>
        <v>#N/A</v>
      </c>
      <c r="K218" s="1187" t="s">
        <v>206</v>
      </c>
      <c r="L218" s="735"/>
      <c r="M218" s="68"/>
      <c r="N218" s="738">
        <v>1703000.0</v>
      </c>
      <c r="O218" s="1188" t="s">
        <v>206</v>
      </c>
      <c r="P218" s="751"/>
    </row>
    <row r="219" hidden="1">
      <c r="A219" s="1186">
        <v>44593.0</v>
      </c>
      <c r="B219" s="52" t="str">
        <f t="shared" si="1"/>
        <v>02/2022</v>
      </c>
      <c r="C219" s="52" t="str">
        <f>IF(A219="","",VLOOKUP(A219,'THAM CHIẾU'!$A:$B,2,0))</f>
        <v>#N/A</v>
      </c>
      <c r="D219" s="52" t="str">
        <f>IF(E219&lt;&gt;0,VLOOKUP(E219,DM_DUAN,3,0),"")</f>
        <v/>
      </c>
      <c r="E219" s="735"/>
      <c r="F219" s="735"/>
      <c r="G219" s="735"/>
      <c r="H219" s="70"/>
      <c r="I219" s="52" t="str">
        <f>IF($K219&lt;&gt;0,VLOOKUP($K219,DM_KM,3,0),"")</f>
        <v>#N/A</v>
      </c>
      <c r="J219" s="52" t="str">
        <f>IF($K219&lt;&gt;0,VLOOKUP($K219,DM_KM,5,0),"")</f>
        <v>#N/A</v>
      </c>
      <c r="K219" s="1187" t="s">
        <v>226</v>
      </c>
      <c r="L219" s="735"/>
      <c r="M219" s="68"/>
      <c r="N219" s="738">
        <v>1250000.0</v>
      </c>
      <c r="O219" s="1188" t="s">
        <v>2234</v>
      </c>
      <c r="P219" s="751"/>
    </row>
    <row r="220" hidden="1">
      <c r="A220" s="1186">
        <v>44593.0</v>
      </c>
      <c r="B220" s="52" t="str">
        <f t="shared" si="1"/>
        <v>02/2022</v>
      </c>
      <c r="C220" s="52" t="str">
        <f>IF(A220="","",VLOOKUP(A220,'THAM CHIẾU'!$A:$B,2,0))</f>
        <v>#N/A</v>
      </c>
      <c r="D220" s="52" t="str">
        <f>IF(E220&lt;&gt;0,VLOOKUP(E220,DM_DUAN,3,0),"")</f>
        <v/>
      </c>
      <c r="E220" s="735"/>
      <c r="F220" s="735"/>
      <c r="G220" s="735"/>
      <c r="H220" s="70"/>
      <c r="I220" s="52" t="str">
        <f>IF($K220&lt;&gt;0,VLOOKUP($K220,DM_KM,3,0),"")</f>
        <v>#N/A</v>
      </c>
      <c r="J220" s="52" t="str">
        <f>IF($K220&lt;&gt;0,VLOOKUP($K220,DM_KM,5,0),"")</f>
        <v>#N/A</v>
      </c>
      <c r="K220" s="735" t="s">
        <v>174</v>
      </c>
      <c r="L220" s="735"/>
      <c r="M220" s="68"/>
      <c r="N220" s="738">
        <v>4.0861E7</v>
      </c>
      <c r="O220" s="737" t="s">
        <v>2235</v>
      </c>
      <c r="P220" s="751"/>
    </row>
    <row r="221" hidden="1">
      <c r="A221" s="1186">
        <v>44593.0</v>
      </c>
      <c r="B221" s="52" t="str">
        <f t="shared" si="1"/>
        <v>02/2022</v>
      </c>
      <c r="C221" s="52" t="str">
        <f>IF(A221="","",VLOOKUP(A221,'THAM CHIẾU'!$A:$B,2,0))</f>
        <v>#N/A</v>
      </c>
      <c r="D221" s="52" t="str">
        <f>IF(E221&lt;&gt;0,VLOOKUP(E221,DM_DUAN,3,0),"")</f>
        <v/>
      </c>
      <c r="E221" s="735"/>
      <c r="F221" s="735"/>
      <c r="G221" s="735"/>
      <c r="H221" s="70"/>
      <c r="I221" s="52" t="str">
        <f>IF($K221&lt;&gt;0,VLOOKUP($K221,DM_KM,3,0),"")</f>
        <v>#N/A</v>
      </c>
      <c r="J221" s="52" t="str">
        <f>IF($K221&lt;&gt;0,VLOOKUP($K221,DM_KM,5,0),"")</f>
        <v>#N/A</v>
      </c>
      <c r="K221" s="735" t="s">
        <v>2236</v>
      </c>
      <c r="L221" s="735"/>
      <c r="M221" s="68"/>
      <c r="N221" s="738">
        <v>1666000.0</v>
      </c>
      <c r="O221" s="1188" t="s">
        <v>2237</v>
      </c>
      <c r="P221" s="751"/>
    </row>
    <row r="222" hidden="1">
      <c r="A222" s="1186">
        <v>44593.0</v>
      </c>
      <c r="B222" s="52" t="str">
        <f t="shared" si="1"/>
        <v>02/2022</v>
      </c>
      <c r="C222" s="52" t="str">
        <f>IF(A222="","",VLOOKUP(A222,'THAM CHIẾU'!$A:$B,2,0))</f>
        <v>#N/A</v>
      </c>
      <c r="D222" s="52" t="str">
        <f>IF(E222&lt;&gt;0,VLOOKUP(E222,DM_DUAN,3,0),"")</f>
        <v/>
      </c>
      <c r="E222" s="735"/>
      <c r="F222" s="735"/>
      <c r="G222" s="735"/>
      <c r="H222" s="70"/>
      <c r="I222" s="52" t="str">
        <f>IF($K222&lt;&gt;0,VLOOKUP($K222,DM_KM,3,0),"")</f>
        <v/>
      </c>
      <c r="J222" s="52" t="str">
        <f>IF($K222&lt;&gt;0,VLOOKUP($K222,DM_KM,5,0),"")</f>
        <v/>
      </c>
      <c r="K222" s="735"/>
      <c r="L222" s="735"/>
      <c r="M222" s="68"/>
      <c r="N222" s="738"/>
      <c r="O222" s="1188"/>
      <c r="P222" s="751"/>
    </row>
    <row r="223" hidden="1">
      <c r="A223" s="1186">
        <v>44593.0</v>
      </c>
      <c r="B223" s="52" t="str">
        <f t="shared" si="1"/>
        <v>02/2022</v>
      </c>
      <c r="C223" s="52" t="str">
        <f>IF(A223="","",VLOOKUP(A223,'THAM CHIẾU'!$A:$B,2,0))</f>
        <v>#N/A</v>
      </c>
      <c r="D223" s="52" t="str">
        <f>IF(E223&lt;&gt;0,VLOOKUP(E223,DM_DUAN,3,0),"")</f>
        <v/>
      </c>
      <c r="E223" s="735"/>
      <c r="F223" s="735"/>
      <c r="G223" s="735"/>
      <c r="H223" s="70"/>
      <c r="I223" s="52" t="str">
        <f>IF($K223&lt;&gt;0,VLOOKUP($K223,DM_KM,3,0),"")</f>
        <v>#N/A</v>
      </c>
      <c r="J223" s="52" t="str">
        <f>IF($K223&lt;&gt;0,VLOOKUP($K223,DM_KM,5,0),"")</f>
        <v>#N/A</v>
      </c>
      <c r="K223" s="735" t="s">
        <v>169</v>
      </c>
      <c r="L223" s="735"/>
      <c r="M223" s="68"/>
      <c r="N223" s="738">
        <v>1.0643E7</v>
      </c>
      <c r="O223" s="1188" t="s">
        <v>2240</v>
      </c>
      <c r="P223" s="751"/>
    </row>
    <row r="224" hidden="1">
      <c r="A224" s="1186">
        <v>44593.0</v>
      </c>
      <c r="B224" s="52" t="str">
        <f t="shared" si="1"/>
        <v>02/2022</v>
      </c>
      <c r="C224" s="52" t="str">
        <f>IF(A224="","",VLOOKUP(A224,'THAM CHIẾU'!$A:$B,2,0))</f>
        <v>#N/A</v>
      </c>
      <c r="D224" s="52" t="str">
        <f>IF(E224&lt;&gt;0,VLOOKUP(E224,DM_DUAN,3,0),"")</f>
        <v/>
      </c>
      <c r="E224" s="735"/>
      <c r="F224" s="735"/>
      <c r="G224" s="735"/>
      <c r="H224" s="70"/>
      <c r="I224" s="1189" t="str">
        <f>IF($K224&lt;&gt;0,VLOOKUP($K224,DM_KM,3,0),"")</f>
        <v>#N/A</v>
      </c>
      <c r="J224" s="52" t="str">
        <f>IF($K224&lt;&gt;0,VLOOKUP($K224,DM_KM,5,0),"")</f>
        <v>#N/A</v>
      </c>
      <c r="K224" s="1187" t="s">
        <v>190</v>
      </c>
      <c r="L224" s="735"/>
      <c r="M224" s="68"/>
      <c r="N224" s="739"/>
      <c r="O224" s="1188" t="s">
        <v>2241</v>
      </c>
      <c r="P224" s="739"/>
    </row>
    <row r="225" hidden="1">
      <c r="A225" s="1186">
        <v>44593.0</v>
      </c>
      <c r="B225" s="52" t="str">
        <f t="shared" si="1"/>
        <v>02/2022</v>
      </c>
      <c r="C225" s="52" t="str">
        <f>IF(A225="","",VLOOKUP(A225,'THAM CHIẾU'!$A:$B,2,0))</f>
        <v>#N/A</v>
      </c>
      <c r="D225" s="52" t="str">
        <f>IF(E225&lt;&gt;0,VLOOKUP(E225,DM_DUAN,3,0),"")</f>
        <v/>
      </c>
      <c r="E225" s="735"/>
      <c r="F225" s="735"/>
      <c r="G225" s="735"/>
      <c r="H225" s="70"/>
      <c r="I225" s="1189" t="str">
        <f>IF($K225&lt;&gt;0,VLOOKUP($K225,DM_KM,3,0),"")</f>
        <v>#N/A</v>
      </c>
      <c r="J225" s="52" t="str">
        <f>IF($K225&lt;&gt;0,VLOOKUP($K225,DM_KM,5,0),"")</f>
        <v>#N/A</v>
      </c>
      <c r="K225" s="1187" t="s">
        <v>194</v>
      </c>
      <c r="L225" s="735"/>
      <c r="M225" s="68"/>
      <c r="N225" s="739"/>
      <c r="O225" s="1188" t="s">
        <v>2242</v>
      </c>
      <c r="P225" s="739"/>
    </row>
    <row r="226" hidden="1">
      <c r="A226" s="1186">
        <v>44593.0</v>
      </c>
      <c r="B226" s="52" t="str">
        <f t="shared" si="1"/>
        <v>02/2022</v>
      </c>
      <c r="C226" s="52" t="str">
        <f>IF(A226="","",VLOOKUP(A226,'THAM CHIẾU'!$A:$B,2,0))</f>
        <v>#N/A</v>
      </c>
      <c r="D226" s="52" t="str">
        <f>IF(E226&lt;&gt;0,VLOOKUP(E226,DM_DUAN,3,0),"")</f>
        <v/>
      </c>
      <c r="E226" s="735"/>
      <c r="F226" s="735"/>
      <c r="G226" s="735"/>
      <c r="H226" s="70"/>
      <c r="I226" s="52" t="str">
        <f>IF($K226&lt;&gt;0,VLOOKUP($K226,DM_KM,3,0),"")</f>
        <v>#N/A</v>
      </c>
      <c r="J226" s="52" t="str">
        <f>IF($K226&lt;&gt;0,VLOOKUP($K226,DM_KM,5,0),"")</f>
        <v>#N/A</v>
      </c>
      <c r="K226" s="1187" t="s">
        <v>1170</v>
      </c>
      <c r="L226" s="735"/>
      <c r="M226" s="68"/>
      <c r="N226" s="739"/>
      <c r="O226" s="1188" t="s">
        <v>1474</v>
      </c>
      <c r="P226" s="751"/>
    </row>
    <row r="227" hidden="1">
      <c r="A227" s="1186">
        <v>44593.0</v>
      </c>
      <c r="B227" s="52" t="str">
        <f t="shared" si="1"/>
        <v>02/2022</v>
      </c>
      <c r="C227" s="52" t="str">
        <f>IF(A227="","",VLOOKUP(A227,'THAM CHIẾU'!$A:$B,2,0))</f>
        <v>#N/A</v>
      </c>
      <c r="D227" s="52" t="str">
        <f>IF(E227&lt;&gt;0,VLOOKUP(E227,DM_DUAN,3,0),"")</f>
        <v/>
      </c>
      <c r="E227" s="735"/>
      <c r="F227" s="735"/>
      <c r="G227" s="735"/>
      <c r="H227" s="70"/>
      <c r="I227" s="52" t="str">
        <f>IF($K227&lt;&gt;0,VLOOKUP($K227,DM_KM,3,0),"")</f>
        <v>#N/A</v>
      </c>
      <c r="J227" s="52" t="str">
        <f>IF($K227&lt;&gt;0,VLOOKUP($K227,DM_KM,5,0),"")</f>
        <v>#N/A</v>
      </c>
      <c r="K227" s="735" t="s">
        <v>1142</v>
      </c>
      <c r="L227" s="735"/>
      <c r="M227" s="68"/>
      <c r="N227" s="739"/>
      <c r="O227" s="737" t="s">
        <v>2244</v>
      </c>
      <c r="P227" s="751"/>
    </row>
    <row r="228" hidden="1">
      <c r="A228" s="1186">
        <v>44593.0</v>
      </c>
      <c r="B228" s="52" t="str">
        <f t="shared" si="1"/>
        <v>02/2022</v>
      </c>
      <c r="C228" s="52" t="str">
        <f>IF(A228="","",VLOOKUP(A228,'THAM CHIẾU'!$A:$B,2,0))</f>
        <v>#N/A</v>
      </c>
      <c r="D228" s="52" t="str">
        <f>IF(E228&lt;&gt;0,VLOOKUP(E228,DM_DUAN,3,0),"")</f>
        <v/>
      </c>
      <c r="E228" s="735"/>
      <c r="F228" s="735"/>
      <c r="G228" s="735"/>
      <c r="H228" s="70"/>
      <c r="I228" s="52" t="str">
        <f>IF($K228&lt;&gt;0,VLOOKUP($K228,DM_KM,3,0),"")</f>
        <v>#N/A</v>
      </c>
      <c r="J228" s="52" t="str">
        <f>IF($K228&lt;&gt;0,VLOOKUP($K228,DM_KM,5,0),"")</f>
        <v>#N/A</v>
      </c>
      <c r="K228" s="735" t="s">
        <v>2243</v>
      </c>
      <c r="L228" s="735"/>
      <c r="M228" s="68"/>
      <c r="N228" s="739"/>
      <c r="O228" s="737" t="s">
        <v>2246</v>
      </c>
      <c r="P228" s="751"/>
    </row>
    <row r="229" hidden="1">
      <c r="A229" s="1186">
        <v>44621.0</v>
      </c>
      <c r="B229" s="52" t="str">
        <f t="shared" si="1"/>
        <v>03/2022</v>
      </c>
      <c r="C229" s="52" t="str">
        <f>IF(A229="","",VLOOKUP(A229,'THAM CHIẾU'!$A:$B,2,0))</f>
        <v>#N/A</v>
      </c>
      <c r="D229" s="52" t="str">
        <f>IF(E229&lt;&gt;0,VLOOKUP(E229,DM_DUAN,3,0),"")</f>
        <v/>
      </c>
      <c r="E229" s="735"/>
      <c r="F229" s="735"/>
      <c r="G229" s="735" t="s">
        <v>207</v>
      </c>
      <c r="H229" s="70"/>
      <c r="I229" s="52" t="str">
        <f>IF($K229&lt;&gt;0,VLOOKUP($K229,DM_KM,3,0),"")</f>
        <v>#N/A</v>
      </c>
      <c r="J229" s="52" t="str">
        <f>IF($K229&lt;&gt;0,VLOOKUP($K229,DM_KM,5,0),"")</f>
        <v>#N/A</v>
      </c>
      <c r="K229" s="735" t="s">
        <v>2215</v>
      </c>
      <c r="L229" s="735"/>
      <c r="M229" s="68"/>
      <c r="N229" s="738">
        <v>43000.0</v>
      </c>
      <c r="O229" s="737" t="s">
        <v>2216</v>
      </c>
      <c r="P229" s="751"/>
    </row>
    <row r="230" hidden="1">
      <c r="A230" s="1186">
        <v>44621.0</v>
      </c>
      <c r="B230" s="52" t="str">
        <f t="shared" si="1"/>
        <v>03/2022</v>
      </c>
      <c r="C230" s="52" t="str">
        <f>IF(A230="","",VLOOKUP(A230,'THAM CHIẾU'!$A:$B,2,0))</f>
        <v>#N/A</v>
      </c>
      <c r="D230" s="52" t="str">
        <f>IF(E230&lt;&gt;0,VLOOKUP(E230,DM_DUAN,3,0),"")</f>
        <v/>
      </c>
      <c r="E230" s="735"/>
      <c r="F230" s="735"/>
      <c r="G230" s="735"/>
      <c r="H230" s="70"/>
      <c r="I230" s="52" t="str">
        <f>IF($K230&lt;&gt;0,VLOOKUP($K230,DM_KM,3,0),"")</f>
        <v>#N/A</v>
      </c>
      <c r="J230" s="52" t="str">
        <f>IF($K230&lt;&gt;0,VLOOKUP($K230,DM_KM,5,0),"")</f>
        <v>#N/A</v>
      </c>
      <c r="K230" s="1187" t="s">
        <v>419</v>
      </c>
      <c r="L230" s="735"/>
      <c r="M230" s="68"/>
      <c r="N230" s="738">
        <v>166000.0</v>
      </c>
      <c r="O230" s="1188" t="s">
        <v>2217</v>
      </c>
      <c r="P230" s="751"/>
    </row>
    <row r="231" hidden="1">
      <c r="A231" s="1186">
        <v>44621.0</v>
      </c>
      <c r="B231" s="52" t="str">
        <f t="shared" si="1"/>
        <v>03/2022</v>
      </c>
      <c r="C231" s="52" t="str">
        <f>IF(A231="","",VLOOKUP(A231,'THAM CHIẾU'!$A:$B,2,0))</f>
        <v>#N/A</v>
      </c>
      <c r="D231" s="52" t="str">
        <f>IF(E231&lt;&gt;0,VLOOKUP(E231,DM_DUAN,3,0),"")</f>
        <v/>
      </c>
      <c r="E231" s="735"/>
      <c r="F231" s="735"/>
      <c r="G231" s="735"/>
      <c r="H231" s="70"/>
      <c r="I231" s="52" t="str">
        <f>IF($K231&lt;&gt;0,VLOOKUP($K231,DM_KM,3,0),"")</f>
        <v>#N/A</v>
      </c>
      <c r="J231" s="52" t="str">
        <f>IF($K231&lt;&gt;0,VLOOKUP($K231,DM_KM,5,0),"")</f>
        <v>#N/A</v>
      </c>
      <c r="K231" s="735" t="s">
        <v>573</v>
      </c>
      <c r="L231" s="735"/>
      <c r="M231" s="68"/>
      <c r="N231" s="738">
        <v>250000.0</v>
      </c>
      <c r="O231" s="1188" t="s">
        <v>2218</v>
      </c>
      <c r="P231" s="751"/>
    </row>
    <row r="232" hidden="1">
      <c r="A232" s="1186">
        <v>44621.0</v>
      </c>
      <c r="B232" s="52" t="str">
        <f t="shared" si="1"/>
        <v>03/2022</v>
      </c>
      <c r="C232" s="52" t="str">
        <f>IF(A232="","",VLOOKUP(A232,'THAM CHIẾU'!$A:$B,2,0))</f>
        <v>#N/A</v>
      </c>
      <c r="D232" s="52" t="str">
        <f>IF(E232&lt;&gt;0,VLOOKUP(E232,DM_DUAN,3,0),"")</f>
        <v/>
      </c>
      <c r="E232" s="735"/>
      <c r="F232" s="735"/>
      <c r="G232" s="735"/>
      <c r="H232" s="70"/>
      <c r="I232" s="1189" t="str">
        <f>IF($K232&lt;&gt;0,VLOOKUP($K232,DM_KM,3,0),"")</f>
        <v>#N/A</v>
      </c>
      <c r="J232" s="52" t="str">
        <f>IF($K232&lt;&gt;0,VLOOKUP($K232,DM_KM,5,0),"")</f>
        <v>#N/A</v>
      </c>
      <c r="K232" s="735" t="s">
        <v>1273</v>
      </c>
      <c r="L232" s="735"/>
      <c r="M232" s="68"/>
      <c r="N232" s="738">
        <v>328000.0</v>
      </c>
      <c r="O232" s="737" t="s">
        <v>1273</v>
      </c>
      <c r="P232" s="751"/>
    </row>
    <row r="233" hidden="1">
      <c r="A233" s="1186">
        <v>44621.0</v>
      </c>
      <c r="B233" s="52" t="str">
        <f t="shared" si="1"/>
        <v>03/2022</v>
      </c>
      <c r="C233" s="52" t="str">
        <f>IF(A233="","",VLOOKUP(A233,'THAM CHIẾU'!$A:$B,2,0))</f>
        <v>#N/A</v>
      </c>
      <c r="D233" s="52" t="str">
        <f>IF(E233&lt;&gt;0,VLOOKUP(E233,DM_DUAN,3,0),"")</f>
        <v/>
      </c>
      <c r="E233" s="735"/>
      <c r="F233" s="735"/>
      <c r="G233" s="735"/>
      <c r="H233" s="70"/>
      <c r="I233" s="52" t="str">
        <f>IF($K233&lt;&gt;0,VLOOKUP($K233,DM_KM,3,0),"")</f>
        <v>VHVP</v>
      </c>
      <c r="J233" s="52">
        <f>IF($K233&lt;&gt;0,VLOOKUP($K233,DM_KM,5,0),"")</f>
        <v>642</v>
      </c>
      <c r="K233" s="735" t="s">
        <v>1153</v>
      </c>
      <c r="L233" s="735"/>
      <c r="M233" s="68"/>
      <c r="N233" s="738">
        <v>8333000.0</v>
      </c>
      <c r="O233" s="737" t="s">
        <v>2219</v>
      </c>
      <c r="P233" s="751"/>
    </row>
    <row r="234" hidden="1">
      <c r="A234" s="1186">
        <v>44621.0</v>
      </c>
      <c r="B234" s="52" t="str">
        <f t="shared" si="1"/>
        <v>03/2022</v>
      </c>
      <c r="C234" s="52" t="str">
        <f>IF(A234="","",VLOOKUP(A234,'THAM CHIẾU'!$A:$B,2,0))</f>
        <v>#N/A</v>
      </c>
      <c r="D234" s="52" t="str">
        <f>IF(E234&lt;&gt;0,VLOOKUP(E234,DM_DUAN,3,0),"")</f>
        <v/>
      </c>
      <c r="E234" s="735"/>
      <c r="F234" s="735"/>
      <c r="G234" s="735"/>
      <c r="H234" s="70"/>
      <c r="I234" s="52" t="str">
        <f>IF($K234&lt;&gt;0,VLOOKUP($K234,DM_KM,3,0),"")</f>
        <v>#N/A</v>
      </c>
      <c r="J234" s="52" t="str">
        <f>IF($K234&lt;&gt;0,VLOOKUP($K234,DM_KM,5,0),"")</f>
        <v>#N/A</v>
      </c>
      <c r="K234" s="735" t="s">
        <v>2220</v>
      </c>
      <c r="L234" s="735"/>
      <c r="M234" s="68"/>
      <c r="N234" s="738">
        <v>416000.0</v>
      </c>
      <c r="O234" s="737" t="s">
        <v>2221</v>
      </c>
      <c r="P234" s="751"/>
    </row>
    <row r="235" hidden="1">
      <c r="A235" s="1186">
        <v>44621.0</v>
      </c>
      <c r="B235" s="52" t="str">
        <f t="shared" si="1"/>
        <v>03/2022</v>
      </c>
      <c r="C235" s="52" t="str">
        <f>IF(A235="","",VLOOKUP(A235,'THAM CHIẾU'!$A:$B,2,0))</f>
        <v>#N/A</v>
      </c>
      <c r="D235" s="52" t="str">
        <f>IF(E235&lt;&gt;0,VLOOKUP(E235,DM_DUAN,3,0),"")</f>
        <v/>
      </c>
      <c r="E235" s="735"/>
      <c r="F235" s="735"/>
      <c r="G235" s="735"/>
      <c r="H235" s="70"/>
      <c r="I235" s="52" t="str">
        <f>IF($K235&lt;&gt;0,VLOOKUP($K235,DM_KM,3,0),"")</f>
        <v>#N/A</v>
      </c>
      <c r="J235" s="52" t="str">
        <f>IF($K235&lt;&gt;0,VLOOKUP($K235,DM_KM,5,0),"")</f>
        <v>#N/A</v>
      </c>
      <c r="K235" s="735" t="s">
        <v>262</v>
      </c>
      <c r="L235" s="735"/>
      <c r="M235" s="68"/>
      <c r="N235" s="738">
        <v>833000.0</v>
      </c>
      <c r="O235" s="737" t="s">
        <v>2222</v>
      </c>
      <c r="P235" s="751"/>
    </row>
    <row r="236" hidden="1">
      <c r="A236" s="1186">
        <v>44621.0</v>
      </c>
      <c r="B236" s="52" t="str">
        <f t="shared" si="1"/>
        <v>03/2022</v>
      </c>
      <c r="C236" s="52" t="str">
        <f>IF(A236="","",VLOOKUP(A236,'THAM CHIẾU'!$A:$B,2,0))</f>
        <v>#N/A</v>
      </c>
      <c r="D236" s="52" t="str">
        <f>IF(E236&lt;&gt;0,VLOOKUP(E236,DM_DUAN,3,0),"")</f>
        <v/>
      </c>
      <c r="E236" s="735"/>
      <c r="F236" s="735"/>
      <c r="G236" s="735"/>
      <c r="H236" s="70"/>
      <c r="I236" s="52" t="str">
        <f>IF($K236&lt;&gt;0,VLOOKUP($K236,DM_KM,3,0),"")</f>
        <v>#N/A</v>
      </c>
      <c r="J236" s="52" t="str">
        <f>IF($K236&lt;&gt;0,VLOOKUP($K236,DM_KM,5,0),"")</f>
        <v>#N/A</v>
      </c>
      <c r="K236" s="735" t="s">
        <v>2223</v>
      </c>
      <c r="L236" s="735"/>
      <c r="M236" s="68"/>
      <c r="N236" s="738">
        <v>4166000.0</v>
      </c>
      <c r="O236" s="737" t="s">
        <v>2224</v>
      </c>
      <c r="P236" s="751"/>
    </row>
    <row r="237" hidden="1">
      <c r="A237" s="1186">
        <v>44621.0</v>
      </c>
      <c r="B237" s="52" t="str">
        <f t="shared" si="1"/>
        <v>03/2022</v>
      </c>
      <c r="C237" s="52" t="str">
        <f>IF(A237="","",VLOOKUP(A237,'THAM CHIẾU'!$A:$B,2,0))</f>
        <v>#N/A</v>
      </c>
      <c r="D237" s="52" t="str">
        <f>IF(E237&lt;&gt;0,VLOOKUP(E237,DM_DUAN,3,0),"")</f>
        <v/>
      </c>
      <c r="E237" s="735"/>
      <c r="F237" s="735"/>
      <c r="G237" s="735" t="s">
        <v>176</v>
      </c>
      <c r="H237" s="70"/>
      <c r="I237" s="52" t="str">
        <f>IF($K237&lt;&gt;0,VLOOKUP($K237,DM_KM,3,0),"")</f>
        <v>#N/A</v>
      </c>
      <c r="J237" s="52" t="str">
        <f>IF($K237&lt;&gt;0,VLOOKUP($K237,DM_KM,5,0),"")</f>
        <v>#N/A</v>
      </c>
      <c r="K237" s="1187" t="s">
        <v>374</v>
      </c>
      <c r="L237" s="735"/>
      <c r="M237" s="68"/>
      <c r="N237" s="738">
        <v>1666000.0</v>
      </c>
      <c r="O237" s="1188" t="s">
        <v>2225</v>
      </c>
      <c r="P237" s="751"/>
    </row>
    <row r="238" hidden="1">
      <c r="A238" s="1186">
        <v>44621.0</v>
      </c>
      <c r="B238" s="52" t="str">
        <f t="shared" si="1"/>
        <v>03/2022</v>
      </c>
      <c r="C238" s="52" t="str">
        <f>IF(A238="","",VLOOKUP(A238,'THAM CHIẾU'!$A:$B,2,0))</f>
        <v>#N/A</v>
      </c>
      <c r="D238" s="52" t="str">
        <f>IF(E238&lt;&gt;0,VLOOKUP(E238,DM_DUAN,3,0),"")</f>
        <v/>
      </c>
      <c r="E238" s="735"/>
      <c r="F238" s="735"/>
      <c r="G238" s="735"/>
      <c r="H238" s="70"/>
      <c r="I238" s="52" t="str">
        <f>IF($K238&lt;&gt;0,VLOOKUP($K238,DM_KM,3,0),"")</f>
        <v>VHVP</v>
      </c>
      <c r="J238" s="52">
        <f>IF($K238&lt;&gt;0,VLOOKUP($K238,DM_KM,5,0),"")</f>
        <v>642</v>
      </c>
      <c r="K238" s="1187" t="s">
        <v>382</v>
      </c>
      <c r="L238" s="735"/>
      <c r="M238" s="68"/>
      <c r="N238" s="738">
        <v>1666000.0</v>
      </c>
      <c r="O238" s="1188" t="s">
        <v>2226</v>
      </c>
      <c r="P238" s="751"/>
    </row>
    <row r="239" hidden="1">
      <c r="A239" s="1186">
        <v>44621.0</v>
      </c>
      <c r="B239" s="52" t="str">
        <f t="shared" si="1"/>
        <v>03/2022</v>
      </c>
      <c r="C239" s="52" t="str">
        <f>IF(A239="","",VLOOKUP(A239,'THAM CHIẾU'!$A:$B,2,0))</f>
        <v>#N/A</v>
      </c>
      <c r="D239" s="52" t="str">
        <f>IF(E239&lt;&gt;0,VLOOKUP(E239,DM_DUAN,3,0),"")</f>
        <v/>
      </c>
      <c r="E239" s="735"/>
      <c r="F239" s="735"/>
      <c r="G239" s="735"/>
      <c r="H239" s="70"/>
      <c r="I239" s="52" t="str">
        <f>IF($K239&lt;&gt;0,VLOOKUP($K239,DM_KM,3,0),"")</f>
        <v>#N/A</v>
      </c>
      <c r="J239" s="52" t="str">
        <f>IF($K239&lt;&gt;0,VLOOKUP($K239,DM_KM,5,0),"")</f>
        <v>#N/A</v>
      </c>
      <c r="K239" s="735" t="s">
        <v>272</v>
      </c>
      <c r="L239" s="735"/>
      <c r="M239" s="68"/>
      <c r="N239" s="738">
        <v>6666000.0</v>
      </c>
      <c r="O239" s="737" t="s">
        <v>2227</v>
      </c>
      <c r="P239" s="751"/>
    </row>
    <row r="240" hidden="1">
      <c r="A240" s="1186">
        <v>44621.0</v>
      </c>
      <c r="B240" s="52" t="str">
        <f t="shared" si="1"/>
        <v>03/2022</v>
      </c>
      <c r="C240" s="52" t="str">
        <f>IF(A240="","",VLOOKUP(A240,'THAM CHIẾU'!$A:$B,2,0))</f>
        <v>#N/A</v>
      </c>
      <c r="D240" s="52" t="str">
        <f>IF(E240&lt;&gt;0,VLOOKUP(E240,DM_DUAN,3,0),"")</f>
        <v/>
      </c>
      <c r="E240" s="735"/>
      <c r="F240" s="735"/>
      <c r="G240" s="735"/>
      <c r="H240" s="70"/>
      <c r="I240" s="52" t="str">
        <f>IF($K240&lt;&gt;0,VLOOKUP($K240,DM_KM,3,0),"")</f>
        <v>VHVP</v>
      </c>
      <c r="J240" s="52">
        <f>IF($K240&lt;&gt;0,VLOOKUP($K240,DM_KM,5,0),"")</f>
        <v>642</v>
      </c>
      <c r="K240" s="1187" t="s">
        <v>382</v>
      </c>
      <c r="L240" s="735"/>
      <c r="M240" s="68"/>
      <c r="N240" s="738">
        <v>833000.0</v>
      </c>
      <c r="O240" s="1188" t="s">
        <v>2228</v>
      </c>
      <c r="P240" s="751"/>
    </row>
    <row r="241" hidden="1">
      <c r="A241" s="1186">
        <v>44621.0</v>
      </c>
      <c r="B241" s="52" t="str">
        <f t="shared" si="1"/>
        <v>03/2022</v>
      </c>
      <c r="C241" s="52" t="str">
        <f>IF(A241="","",VLOOKUP(A241,'THAM CHIẾU'!$A:$B,2,0))</f>
        <v>#N/A</v>
      </c>
      <c r="D241" s="52" t="str">
        <f>IF(E241&lt;&gt;0,VLOOKUP(E241,DM_DUAN,3,0),"")</f>
        <v/>
      </c>
      <c r="E241" s="735"/>
      <c r="F241" s="735"/>
      <c r="G241" s="735"/>
      <c r="H241" s="70"/>
      <c r="I241" s="52" t="str">
        <f>IF($K241&lt;&gt;0,VLOOKUP($K241,DM_KM,3,0),"")</f>
        <v>#N/A</v>
      </c>
      <c r="J241" s="52" t="str">
        <f>IF($K241&lt;&gt;0,VLOOKUP($K241,DM_KM,5,0),"")</f>
        <v>#N/A</v>
      </c>
      <c r="K241" s="735" t="s">
        <v>222</v>
      </c>
      <c r="L241" s="735"/>
      <c r="M241" s="68"/>
      <c r="N241" s="738">
        <v>416000.0</v>
      </c>
      <c r="O241" s="737" t="s">
        <v>2229</v>
      </c>
      <c r="P241" s="751"/>
    </row>
    <row r="242" hidden="1">
      <c r="A242" s="1186">
        <v>44621.0</v>
      </c>
      <c r="B242" s="52" t="str">
        <f t="shared" si="1"/>
        <v>03/2022</v>
      </c>
      <c r="C242" s="52" t="str">
        <f>IF(A242="","",VLOOKUP(A242,'THAM CHIẾU'!$A:$B,2,0))</f>
        <v>#N/A</v>
      </c>
      <c r="D242" s="52" t="str">
        <f>IF(E242&lt;&gt;0,VLOOKUP(E242,DM_DUAN,3,0),"")</f>
        <v/>
      </c>
      <c r="E242" s="735"/>
      <c r="F242" s="735"/>
      <c r="G242" s="735"/>
      <c r="H242" s="70"/>
      <c r="I242" s="1189" t="str">
        <f>IF($K242&lt;&gt;0,VLOOKUP($K242,DM_KM,3,0),"")</f>
        <v>#N/A</v>
      </c>
      <c r="J242" s="52" t="str">
        <f>IF($K242&lt;&gt;0,VLOOKUP($K242,DM_KM,5,0),"")</f>
        <v>#N/A</v>
      </c>
      <c r="K242" s="1187" t="s">
        <v>267</v>
      </c>
      <c r="L242" s="735"/>
      <c r="M242" s="68"/>
      <c r="N242" s="738">
        <v>3.184E8</v>
      </c>
      <c r="O242" s="1188" t="s">
        <v>2230</v>
      </c>
      <c r="P242" s="751"/>
    </row>
    <row r="243" hidden="1">
      <c r="A243" s="1186">
        <v>44621.0</v>
      </c>
      <c r="B243" s="52" t="str">
        <f t="shared" si="1"/>
        <v>03/2022</v>
      </c>
      <c r="C243" s="52" t="str">
        <f>IF(A243="","",VLOOKUP(A243,'THAM CHIẾU'!$A:$B,2,0))</f>
        <v>#N/A</v>
      </c>
      <c r="D243" s="52" t="str">
        <f>IF(E243&lt;&gt;0,VLOOKUP(E243,DM_DUAN,3,0),"")</f>
        <v/>
      </c>
      <c r="E243" s="735"/>
      <c r="F243" s="735"/>
      <c r="G243" s="735"/>
      <c r="H243" s="70"/>
      <c r="I243" s="52" t="str">
        <f>IF($K243&lt;&gt;0,VLOOKUP($K243,DM_KM,3,0),"")</f>
        <v>THUEVP</v>
      </c>
      <c r="J243" s="52">
        <f>IF($K243&lt;&gt;0,VLOOKUP($K243,DM_KM,5,0),"")</f>
        <v>642</v>
      </c>
      <c r="K243" s="735" t="s">
        <v>270</v>
      </c>
      <c r="L243" s="735"/>
      <c r="M243" s="68"/>
      <c r="N243" s="738">
        <v>4.5143E7</v>
      </c>
      <c r="O243" s="1188" t="s">
        <v>2231</v>
      </c>
      <c r="P243" s="751"/>
    </row>
    <row r="244" hidden="1">
      <c r="A244" s="1186">
        <v>44621.0</v>
      </c>
      <c r="B244" s="52" t="str">
        <f t="shared" si="1"/>
        <v>03/2022</v>
      </c>
      <c r="C244" s="52" t="str">
        <f>IF(A244="","",VLOOKUP(A244,'THAM CHIẾU'!$A:$B,2,0))</f>
        <v>#N/A</v>
      </c>
      <c r="D244" s="52" t="str">
        <f>IF(E244&lt;&gt;0,VLOOKUP(E244,DM_DUAN,3,0),"")</f>
        <v/>
      </c>
      <c r="E244" s="735"/>
      <c r="F244" s="735"/>
      <c r="G244" s="735"/>
      <c r="H244" s="70"/>
      <c r="I244" s="52" t="str">
        <f>IF($K244&lt;&gt;0,VLOOKUP($K244,DM_KM,3,0),"")</f>
        <v>#N/A</v>
      </c>
      <c r="J244" s="52" t="str">
        <f>IF($K244&lt;&gt;0,VLOOKUP($K244,DM_KM,5,0),"")</f>
        <v>#N/A</v>
      </c>
      <c r="K244" s="735" t="s">
        <v>410</v>
      </c>
      <c r="L244" s="735"/>
      <c r="M244" s="68"/>
      <c r="N244" s="738">
        <v>1250000.0</v>
      </c>
      <c r="O244" s="737" t="s">
        <v>410</v>
      </c>
      <c r="P244" s="751"/>
    </row>
    <row r="245" hidden="1">
      <c r="A245" s="1186">
        <v>44621.0</v>
      </c>
      <c r="B245" s="52" t="str">
        <f t="shared" si="1"/>
        <v>03/2022</v>
      </c>
      <c r="C245" s="52" t="str">
        <f>IF(A245="","",VLOOKUP(A245,'THAM CHIẾU'!$A:$B,2,0))</f>
        <v>#N/A</v>
      </c>
      <c r="D245" s="52" t="str">
        <f>IF(E245&lt;&gt;0,VLOOKUP(E245,DM_DUAN,3,0),"")</f>
        <v/>
      </c>
      <c r="E245" s="735"/>
      <c r="F245" s="735"/>
      <c r="G245" s="735"/>
      <c r="H245" s="70"/>
      <c r="I245" s="52" t="str">
        <f>IF($K245&lt;&gt;0,VLOOKUP($K245,DM_KM,3,0),"")</f>
        <v>#N/A</v>
      </c>
      <c r="J245" s="52" t="str">
        <f>IF($K245&lt;&gt;0,VLOOKUP($K245,DM_KM,5,0),"")</f>
        <v>#N/A</v>
      </c>
      <c r="K245" s="1187" t="s">
        <v>252</v>
      </c>
      <c r="L245" s="735"/>
      <c r="M245" s="68"/>
      <c r="N245" s="738">
        <v>1.6666E7</v>
      </c>
      <c r="O245" s="1188" t="s">
        <v>2232</v>
      </c>
      <c r="P245" s="751"/>
    </row>
    <row r="246" hidden="1">
      <c r="A246" s="1186">
        <v>44621.0</v>
      </c>
      <c r="B246" s="52" t="str">
        <f t="shared" si="1"/>
        <v>03/2022</v>
      </c>
      <c r="C246" s="52" t="str">
        <f>IF(A246="","",VLOOKUP(A246,'THAM CHIẾU'!$A:$B,2,0))</f>
        <v>#N/A</v>
      </c>
      <c r="D246" s="52" t="str">
        <f>IF(E246&lt;&gt;0,VLOOKUP(E246,DM_DUAN,3,0),"")</f>
        <v/>
      </c>
      <c r="E246" s="735"/>
      <c r="F246" s="735"/>
      <c r="G246" s="735"/>
      <c r="H246" s="70"/>
      <c r="I246" s="52" t="str">
        <f>IF($K246&lt;&gt;0,VLOOKUP($K246,DM_KM,3,0),"")</f>
        <v>VHVP</v>
      </c>
      <c r="J246" s="52">
        <f>IF($K246&lt;&gt;0,VLOOKUP($K246,DM_KM,5,0),"")</f>
        <v>642</v>
      </c>
      <c r="K246" s="1187" t="s">
        <v>382</v>
      </c>
      <c r="L246" s="735"/>
      <c r="M246" s="68"/>
      <c r="N246" s="738">
        <v>1666000.0</v>
      </c>
      <c r="O246" s="1188" t="s">
        <v>2233</v>
      </c>
      <c r="P246" s="751"/>
    </row>
    <row r="247" hidden="1">
      <c r="A247" s="1186">
        <v>44621.0</v>
      </c>
      <c r="B247" s="52" t="str">
        <f t="shared" si="1"/>
        <v>03/2022</v>
      </c>
      <c r="C247" s="52" t="str">
        <f>IF(A247="","",VLOOKUP(A247,'THAM CHIẾU'!$A:$B,2,0))</f>
        <v>#N/A</v>
      </c>
      <c r="D247" s="52" t="str">
        <f>IF(E247&lt;&gt;0,VLOOKUP(E247,DM_DUAN,3,0),"")</f>
        <v/>
      </c>
      <c r="E247" s="735"/>
      <c r="F247" s="735"/>
      <c r="G247" s="735"/>
      <c r="H247" s="70"/>
      <c r="I247" s="52" t="str">
        <f>IF($K247&lt;&gt;0,VLOOKUP($K247,DM_KM,3,0),"")</f>
        <v>#N/A</v>
      </c>
      <c r="J247" s="52" t="str">
        <f>IF($K247&lt;&gt;0,VLOOKUP($K247,DM_KM,5,0),"")</f>
        <v>#N/A</v>
      </c>
      <c r="K247" s="1187" t="s">
        <v>206</v>
      </c>
      <c r="L247" s="735"/>
      <c r="M247" s="68"/>
      <c r="N247" s="738">
        <v>1703000.0</v>
      </c>
      <c r="O247" s="1188" t="s">
        <v>206</v>
      </c>
      <c r="P247" s="751"/>
    </row>
    <row r="248" hidden="1">
      <c r="A248" s="1186">
        <v>44621.0</v>
      </c>
      <c r="B248" s="52" t="str">
        <f t="shared" si="1"/>
        <v>03/2022</v>
      </c>
      <c r="C248" s="52" t="str">
        <f>IF(A248="","",VLOOKUP(A248,'THAM CHIẾU'!$A:$B,2,0))</f>
        <v>#N/A</v>
      </c>
      <c r="D248" s="52" t="str">
        <f>IF(E248&lt;&gt;0,VLOOKUP(E248,DM_DUAN,3,0),"")</f>
        <v/>
      </c>
      <c r="E248" s="735"/>
      <c r="F248" s="735"/>
      <c r="G248" s="735"/>
      <c r="H248" s="70"/>
      <c r="I248" s="52" t="str">
        <f>IF($K248&lt;&gt;0,VLOOKUP($K248,DM_KM,3,0),"")</f>
        <v>#N/A</v>
      </c>
      <c r="J248" s="52" t="str">
        <f>IF($K248&lt;&gt;0,VLOOKUP($K248,DM_KM,5,0),"")</f>
        <v>#N/A</v>
      </c>
      <c r="K248" s="1187" t="s">
        <v>226</v>
      </c>
      <c r="L248" s="735"/>
      <c r="M248" s="68"/>
      <c r="N248" s="738">
        <v>1250000.0</v>
      </c>
      <c r="O248" s="1188" t="s">
        <v>2234</v>
      </c>
      <c r="P248" s="751"/>
    </row>
    <row r="249" hidden="1">
      <c r="A249" s="1186">
        <v>44621.0</v>
      </c>
      <c r="B249" s="52" t="str">
        <f t="shared" si="1"/>
        <v>03/2022</v>
      </c>
      <c r="C249" s="52" t="str">
        <f>IF(A249="","",VLOOKUP(A249,'THAM CHIẾU'!$A:$B,2,0))</f>
        <v>#N/A</v>
      </c>
      <c r="D249" s="52" t="str">
        <f>IF(E249&lt;&gt;0,VLOOKUP(E249,DM_DUAN,3,0),"")</f>
        <v/>
      </c>
      <c r="E249" s="735"/>
      <c r="F249" s="735"/>
      <c r="G249" s="735"/>
      <c r="H249" s="70"/>
      <c r="I249" s="52" t="str">
        <f>IF($K249&lt;&gt;0,VLOOKUP($K249,DM_KM,3,0),"")</f>
        <v>#N/A</v>
      </c>
      <c r="J249" s="52" t="str">
        <f>IF($K249&lt;&gt;0,VLOOKUP($K249,DM_KM,5,0),"")</f>
        <v>#N/A</v>
      </c>
      <c r="K249" s="735" t="s">
        <v>174</v>
      </c>
      <c r="L249" s="735"/>
      <c r="M249" s="68"/>
      <c r="N249" s="738">
        <v>4.0861E7</v>
      </c>
      <c r="O249" s="737" t="s">
        <v>2235</v>
      </c>
      <c r="P249" s="751"/>
    </row>
    <row r="250" hidden="1">
      <c r="A250" s="1186">
        <v>44621.0</v>
      </c>
      <c r="B250" s="52" t="str">
        <f t="shared" si="1"/>
        <v>03/2022</v>
      </c>
      <c r="C250" s="52" t="str">
        <f>IF(A250="","",VLOOKUP(A250,'THAM CHIẾU'!$A:$B,2,0))</f>
        <v>#N/A</v>
      </c>
      <c r="D250" s="52" t="str">
        <f>IF(E250&lt;&gt;0,VLOOKUP(E250,DM_DUAN,3,0),"")</f>
        <v/>
      </c>
      <c r="E250" s="735"/>
      <c r="F250" s="735"/>
      <c r="G250" s="735"/>
      <c r="H250" s="70"/>
      <c r="I250" s="52" t="str">
        <f>IF($K250&lt;&gt;0,VLOOKUP($K250,DM_KM,3,0),"")</f>
        <v>#N/A</v>
      </c>
      <c r="J250" s="52" t="str">
        <f>IF($K250&lt;&gt;0,VLOOKUP($K250,DM_KM,5,0),"")</f>
        <v>#N/A</v>
      </c>
      <c r="K250" s="735" t="s">
        <v>2236</v>
      </c>
      <c r="L250" s="735"/>
      <c r="M250" s="68"/>
      <c r="N250" s="738">
        <v>1666000.0</v>
      </c>
      <c r="O250" s="1188" t="s">
        <v>2237</v>
      </c>
      <c r="P250" s="751"/>
    </row>
    <row r="251" hidden="1">
      <c r="A251" s="1186">
        <v>44621.0</v>
      </c>
      <c r="B251" s="52" t="str">
        <f t="shared" si="1"/>
        <v>03/2022</v>
      </c>
      <c r="C251" s="52" t="str">
        <f>IF(A251="","",VLOOKUP(A251,'THAM CHIẾU'!$A:$B,2,0))</f>
        <v>#N/A</v>
      </c>
      <c r="D251" s="52" t="str">
        <f>IF(E251&lt;&gt;0,VLOOKUP(E251,DM_DUAN,3,0),"")</f>
        <v/>
      </c>
      <c r="E251" s="735"/>
      <c r="F251" s="735"/>
      <c r="G251" s="735"/>
      <c r="H251" s="70"/>
      <c r="I251" s="52" t="str">
        <f>IF($K251&lt;&gt;0,VLOOKUP($K251,DM_KM,3,0),"")</f>
        <v/>
      </c>
      <c r="J251" s="52" t="str">
        <f>IF($K251&lt;&gt;0,VLOOKUP($K251,DM_KM,5,0),"")</f>
        <v/>
      </c>
      <c r="K251" s="735"/>
      <c r="L251" s="735"/>
      <c r="M251" s="68"/>
      <c r="N251" s="738"/>
      <c r="O251" s="1188"/>
      <c r="P251" s="751"/>
    </row>
    <row r="252" hidden="1">
      <c r="A252" s="1186">
        <v>44621.0</v>
      </c>
      <c r="B252" s="52" t="str">
        <f t="shared" si="1"/>
        <v>03/2022</v>
      </c>
      <c r="C252" s="52" t="str">
        <f>IF(A252="","",VLOOKUP(A252,'THAM CHIẾU'!$A:$B,2,0))</f>
        <v>#N/A</v>
      </c>
      <c r="D252" s="52" t="str">
        <f>IF(E252&lt;&gt;0,VLOOKUP(E252,DM_DUAN,3,0),"")</f>
        <v/>
      </c>
      <c r="E252" s="735"/>
      <c r="F252" s="735"/>
      <c r="G252" s="735"/>
      <c r="H252" s="70"/>
      <c r="I252" s="52" t="str">
        <f>IF($K252&lt;&gt;0,VLOOKUP($K252,DM_KM,3,0),"")</f>
        <v>#N/A</v>
      </c>
      <c r="J252" s="52" t="str">
        <f>IF($K252&lt;&gt;0,VLOOKUP($K252,DM_KM,5,0),"")</f>
        <v>#N/A</v>
      </c>
      <c r="K252" s="735" t="s">
        <v>169</v>
      </c>
      <c r="L252" s="735"/>
      <c r="M252" s="68"/>
      <c r="N252" s="738">
        <v>1.0643E7</v>
      </c>
      <c r="O252" s="1188" t="s">
        <v>2240</v>
      </c>
      <c r="P252" s="751"/>
    </row>
    <row r="253" hidden="1">
      <c r="A253" s="1186">
        <v>44621.0</v>
      </c>
      <c r="B253" s="52" t="str">
        <f t="shared" si="1"/>
        <v>03/2022</v>
      </c>
      <c r="C253" s="52" t="str">
        <f>IF(A253="","",VLOOKUP(A253,'THAM CHIẾU'!$A:$B,2,0))</f>
        <v>#N/A</v>
      </c>
      <c r="D253" s="52" t="str">
        <f>IF(E253&lt;&gt;0,VLOOKUP(E253,DM_DUAN,3,0),"")</f>
        <v/>
      </c>
      <c r="E253" s="735"/>
      <c r="F253" s="735"/>
      <c r="G253" s="735"/>
      <c r="H253" s="70"/>
      <c r="I253" s="1189" t="str">
        <f>IF($K253&lt;&gt;0,VLOOKUP($K253,DM_KM,3,0),"")</f>
        <v>#N/A</v>
      </c>
      <c r="J253" s="52" t="str">
        <f>IF($K253&lt;&gt;0,VLOOKUP($K253,DM_KM,5,0),"")</f>
        <v>#N/A</v>
      </c>
      <c r="K253" s="1187" t="s">
        <v>194</v>
      </c>
      <c r="L253" s="735"/>
      <c r="M253" s="68"/>
      <c r="N253" s="739"/>
      <c r="O253" s="1188" t="s">
        <v>2242</v>
      </c>
      <c r="P253" s="739"/>
    </row>
    <row r="254" hidden="1">
      <c r="A254" s="1186">
        <v>44621.0</v>
      </c>
      <c r="B254" s="52" t="str">
        <f t="shared" si="1"/>
        <v>03/2022</v>
      </c>
      <c r="C254" s="52" t="str">
        <f>IF(A254="","",VLOOKUP(A254,'THAM CHIẾU'!$A:$B,2,0))</f>
        <v>#N/A</v>
      </c>
      <c r="D254" s="52" t="str">
        <f>IF(E254&lt;&gt;0,VLOOKUP(E254,DM_DUAN,3,0),"")</f>
        <v/>
      </c>
      <c r="E254" s="735"/>
      <c r="F254" s="735"/>
      <c r="G254" s="735"/>
      <c r="H254" s="70"/>
      <c r="I254" s="52" t="str">
        <f>IF($K254&lt;&gt;0,VLOOKUP($K254,DM_KM,3,0),"")</f>
        <v>#N/A</v>
      </c>
      <c r="J254" s="52" t="str">
        <f>IF($K254&lt;&gt;0,VLOOKUP($K254,DM_KM,5,0),"")</f>
        <v>#N/A</v>
      </c>
      <c r="K254" s="1187" t="s">
        <v>1170</v>
      </c>
      <c r="L254" s="735"/>
      <c r="M254" s="68"/>
      <c r="N254" s="739"/>
      <c r="O254" s="1188" t="s">
        <v>1474</v>
      </c>
      <c r="P254" s="751"/>
    </row>
    <row r="255" hidden="1">
      <c r="A255" s="1186">
        <v>44621.0</v>
      </c>
      <c r="B255" s="52" t="str">
        <f t="shared" si="1"/>
        <v>03/2022</v>
      </c>
      <c r="C255" s="52" t="str">
        <f>IF(A255="","",VLOOKUP(A255,'THAM CHIẾU'!$A:$B,2,0))</f>
        <v>#N/A</v>
      </c>
      <c r="D255" s="52" t="str">
        <f>IF(E255&lt;&gt;0,VLOOKUP(E255,DM_DUAN,3,0),"")</f>
        <v/>
      </c>
      <c r="E255" s="735"/>
      <c r="F255" s="735"/>
      <c r="G255" s="735"/>
      <c r="H255" s="70"/>
      <c r="I255" s="52" t="str">
        <f>IF($K255&lt;&gt;0,VLOOKUP($K255,DM_KM,3,0),"")</f>
        <v>#N/A</v>
      </c>
      <c r="J255" s="52" t="str">
        <f>IF($K255&lt;&gt;0,VLOOKUP($K255,DM_KM,5,0),"")</f>
        <v>#N/A</v>
      </c>
      <c r="K255" s="735" t="s">
        <v>1142</v>
      </c>
      <c r="L255" s="735"/>
      <c r="M255" s="68"/>
      <c r="N255" s="739"/>
      <c r="O255" s="737" t="s">
        <v>2244</v>
      </c>
      <c r="P255" s="751"/>
    </row>
    <row r="256" hidden="1">
      <c r="A256" s="1186">
        <v>44621.0</v>
      </c>
      <c r="B256" s="52" t="str">
        <f t="shared" si="1"/>
        <v>03/2022</v>
      </c>
      <c r="C256" s="52" t="str">
        <f>IF(A256="","",VLOOKUP(A256,'THAM CHIẾU'!$A:$B,2,0))</f>
        <v>#N/A</v>
      </c>
      <c r="D256" s="52" t="str">
        <f>IF(E256&lt;&gt;0,VLOOKUP(E256,DM_DUAN,3,0),"")</f>
        <v/>
      </c>
      <c r="E256" s="735"/>
      <c r="F256" s="735"/>
      <c r="G256" s="735"/>
      <c r="H256" s="70"/>
      <c r="I256" s="1189" t="str">
        <f>IF($K256&lt;&gt;0,VLOOKUP($K256,DM_KM,3,0),"")</f>
        <v>#N/A</v>
      </c>
      <c r="J256" s="52" t="str">
        <f>IF($K256&lt;&gt;0,VLOOKUP($K256,DM_KM,5,0),"")</f>
        <v>#N/A</v>
      </c>
      <c r="K256" s="1187" t="s">
        <v>181</v>
      </c>
      <c r="L256" s="735"/>
      <c r="M256" s="68"/>
      <c r="N256" s="739"/>
      <c r="O256" s="1188" t="s">
        <v>2245</v>
      </c>
      <c r="P256" s="751"/>
    </row>
    <row r="257" hidden="1">
      <c r="A257" s="1186">
        <v>44621.0</v>
      </c>
      <c r="B257" s="52" t="str">
        <f t="shared" si="1"/>
        <v>03/2022</v>
      </c>
      <c r="C257" s="52" t="str">
        <f>IF(A257="","",VLOOKUP(A257,'THAM CHIẾU'!$A:$B,2,0))</f>
        <v>#N/A</v>
      </c>
      <c r="D257" s="52" t="str">
        <f>IF(E257&lt;&gt;0,VLOOKUP(E257,DM_DUAN,3,0),"")</f>
        <v/>
      </c>
      <c r="E257" s="735"/>
      <c r="F257" s="735"/>
      <c r="G257" s="735"/>
      <c r="H257" s="70"/>
      <c r="I257" s="52" t="str">
        <f>IF($K257&lt;&gt;0,VLOOKUP($K257,DM_KM,3,0),"")</f>
        <v>#N/A</v>
      </c>
      <c r="J257" s="52" t="str">
        <f>IF($K257&lt;&gt;0,VLOOKUP($K257,DM_KM,5,0),"")</f>
        <v>#N/A</v>
      </c>
      <c r="K257" s="735" t="s">
        <v>2243</v>
      </c>
      <c r="L257" s="735"/>
      <c r="M257" s="68"/>
      <c r="N257" s="739"/>
      <c r="O257" s="737" t="s">
        <v>2246</v>
      </c>
      <c r="P257" s="751"/>
    </row>
    <row r="258" hidden="1">
      <c r="A258" s="1186">
        <v>44621.0</v>
      </c>
      <c r="B258" s="52" t="str">
        <f t="shared" si="1"/>
        <v>03/2022</v>
      </c>
      <c r="C258" s="52" t="str">
        <f>IF(A258="","",VLOOKUP(A258,'THAM CHIẾU'!$A:$B,2,0))</f>
        <v>#N/A</v>
      </c>
      <c r="D258" s="52" t="str">
        <f>IF(E258&lt;&gt;0,VLOOKUP(E258,DM_DUAN,3,0),"")</f>
        <v/>
      </c>
      <c r="E258" s="735"/>
      <c r="F258" s="735"/>
      <c r="G258" s="735"/>
      <c r="H258" s="70"/>
      <c r="I258" s="52" t="str">
        <f>IF($K258&lt;&gt;0,VLOOKUP($K258,DM_KM,3,0),"")</f>
        <v/>
      </c>
      <c r="J258" s="52" t="str">
        <f>IF($K258&lt;&gt;0,VLOOKUP($K258,DM_KM,5,0),"")</f>
        <v/>
      </c>
      <c r="K258" s="735"/>
      <c r="L258" s="735"/>
      <c r="M258" s="68"/>
      <c r="N258" s="739"/>
      <c r="O258" s="737"/>
      <c r="P258" s="751"/>
    </row>
    <row r="259" hidden="1">
      <c r="A259" s="1186">
        <v>44652.0</v>
      </c>
      <c r="B259" s="52" t="str">
        <f t="shared" si="1"/>
        <v>04/2022</v>
      </c>
      <c r="C259" s="52" t="str">
        <f>IF(A259="","",VLOOKUP(A259,'THAM CHIẾU'!$A:$B,2,0))</f>
        <v>#N/A</v>
      </c>
      <c r="D259" s="52" t="str">
        <f>IF(E259&lt;&gt;0,VLOOKUP(E259,DM_DUAN,3,0),"")</f>
        <v/>
      </c>
      <c r="E259" s="735"/>
      <c r="F259" s="735"/>
      <c r="G259" s="735"/>
      <c r="H259" s="70"/>
      <c r="I259" s="52" t="str">
        <f>IF($K259&lt;&gt;0,VLOOKUP($K259,DM_KM,3,0),"")</f>
        <v/>
      </c>
      <c r="J259" s="52" t="str">
        <f>IF($K259&lt;&gt;0,VLOOKUP($K259,DM_KM,5,0),"")</f>
        <v/>
      </c>
      <c r="K259" s="735"/>
      <c r="L259" s="735"/>
      <c r="M259" s="68"/>
      <c r="N259" s="738">
        <v>0.0</v>
      </c>
      <c r="O259" s="737"/>
      <c r="P259" s="751"/>
    </row>
    <row r="260" hidden="1">
      <c r="A260" s="1186">
        <v>44652.0</v>
      </c>
      <c r="B260" s="52" t="str">
        <f t="shared" si="1"/>
        <v>04/2022</v>
      </c>
      <c r="C260" s="52" t="str">
        <f>IF(A260="","",VLOOKUP(A260,'THAM CHIẾU'!$A:$B,2,0))</f>
        <v>#N/A</v>
      </c>
      <c r="D260" s="52" t="str">
        <f>IF(E260&lt;&gt;0,VLOOKUP(E260,DM_DUAN,3,0),"")</f>
        <v/>
      </c>
      <c r="E260" s="735"/>
      <c r="F260" s="735"/>
      <c r="G260" s="735"/>
      <c r="H260" s="70"/>
      <c r="I260" s="52" t="str">
        <f>IF($K260&lt;&gt;0,VLOOKUP($K260,DM_KM,3,0),"")</f>
        <v/>
      </c>
      <c r="J260" s="52" t="str">
        <f>IF($K260&lt;&gt;0,VLOOKUP($K260,DM_KM,5,0),"")</f>
        <v/>
      </c>
      <c r="K260" s="735"/>
      <c r="L260" s="735"/>
      <c r="M260" s="68"/>
      <c r="N260" s="738">
        <v>0.0</v>
      </c>
      <c r="O260" s="737"/>
      <c r="P260" s="751"/>
    </row>
    <row r="261" hidden="1">
      <c r="A261" s="1186">
        <v>44652.0</v>
      </c>
      <c r="B261" s="52" t="str">
        <f t="shared" si="1"/>
        <v>04/2022</v>
      </c>
      <c r="C261" s="52" t="str">
        <f>IF(A261="","",VLOOKUP(A261,'THAM CHIẾU'!$A:$B,2,0))</f>
        <v>#N/A</v>
      </c>
      <c r="D261" s="52" t="str">
        <f>IF(E261&lt;&gt;0,VLOOKUP(E261,DM_DUAN,3,0),"")</f>
        <v/>
      </c>
      <c r="E261" s="735"/>
      <c r="F261" s="735"/>
      <c r="G261" s="735"/>
      <c r="H261" s="70"/>
      <c r="I261" s="52" t="str">
        <f>IF($K261&lt;&gt;0,VLOOKUP($K261,DM_KM,3,0),"")</f>
        <v/>
      </c>
      <c r="J261" s="52" t="str">
        <f>IF($K261&lt;&gt;0,VLOOKUP($K261,DM_KM,5,0),"")</f>
        <v/>
      </c>
      <c r="K261" s="735"/>
      <c r="L261" s="735"/>
      <c r="M261" s="68"/>
      <c r="N261" s="738">
        <v>0.0</v>
      </c>
      <c r="O261" s="737"/>
      <c r="P261" s="751"/>
    </row>
    <row r="262" hidden="1">
      <c r="A262" s="1186">
        <v>44652.0</v>
      </c>
      <c r="B262" s="52" t="str">
        <f t="shared" si="1"/>
        <v>04/2022</v>
      </c>
      <c r="C262" s="52" t="str">
        <f>IF(A262="","",VLOOKUP(A262,'THAM CHIẾU'!$A:$B,2,0))</f>
        <v>#N/A</v>
      </c>
      <c r="D262" s="52" t="str">
        <f>IF(E262&lt;&gt;0,VLOOKUP(E262,DM_DUAN,3,0),"")</f>
        <v/>
      </c>
      <c r="E262" s="735"/>
      <c r="F262" s="735"/>
      <c r="G262" s="735" t="s">
        <v>207</v>
      </c>
      <c r="H262" s="70"/>
      <c r="I262" s="52" t="str">
        <f>IF($K262&lt;&gt;0,VLOOKUP($K262,DM_KM,3,0),"")</f>
        <v>#N/A</v>
      </c>
      <c r="J262" s="52" t="str">
        <f>IF($K262&lt;&gt;0,VLOOKUP($K262,DM_KM,5,0),"")</f>
        <v>#N/A</v>
      </c>
      <c r="K262" s="735" t="s">
        <v>2215</v>
      </c>
      <c r="L262" s="735"/>
      <c r="M262" s="68"/>
      <c r="N262" s="738">
        <v>43000.0</v>
      </c>
      <c r="O262" s="737" t="s">
        <v>2216</v>
      </c>
      <c r="P262" s="751"/>
    </row>
    <row r="263" hidden="1">
      <c r="A263" s="1186">
        <v>44652.0</v>
      </c>
      <c r="B263" s="52" t="str">
        <f t="shared" si="1"/>
        <v>04/2022</v>
      </c>
      <c r="C263" s="52" t="str">
        <f>IF(A263="","",VLOOKUP(A263,'THAM CHIẾU'!$A:$B,2,0))</f>
        <v>#N/A</v>
      </c>
      <c r="D263" s="52" t="str">
        <f>IF(E263&lt;&gt;0,VLOOKUP(E263,DM_DUAN,3,0),"")</f>
        <v/>
      </c>
      <c r="E263" s="735"/>
      <c r="F263" s="735"/>
      <c r="G263" s="735"/>
      <c r="H263" s="70"/>
      <c r="I263" s="52" t="str">
        <f>IF($K263&lt;&gt;0,VLOOKUP($K263,DM_KM,3,0),"")</f>
        <v>#N/A</v>
      </c>
      <c r="J263" s="52" t="str">
        <f>IF($K263&lt;&gt;0,VLOOKUP($K263,DM_KM,5,0),"")</f>
        <v>#N/A</v>
      </c>
      <c r="K263" s="1187" t="s">
        <v>419</v>
      </c>
      <c r="L263" s="735"/>
      <c r="M263" s="68"/>
      <c r="N263" s="738">
        <v>166000.0</v>
      </c>
      <c r="O263" s="1188" t="s">
        <v>2217</v>
      </c>
      <c r="P263" s="751"/>
    </row>
    <row r="264" hidden="1">
      <c r="A264" s="1186">
        <v>44652.0</v>
      </c>
      <c r="B264" s="52" t="str">
        <f t="shared" si="1"/>
        <v>04/2022</v>
      </c>
      <c r="C264" s="52" t="str">
        <f>IF(A264="","",VLOOKUP(A264,'THAM CHIẾU'!$A:$B,2,0))</f>
        <v>#N/A</v>
      </c>
      <c r="D264" s="52" t="str">
        <f>IF(E264&lt;&gt;0,VLOOKUP(E264,DM_DUAN,3,0),"")</f>
        <v/>
      </c>
      <c r="E264" s="735"/>
      <c r="F264" s="735"/>
      <c r="G264" s="735"/>
      <c r="H264" s="70"/>
      <c r="I264" s="52" t="str">
        <f>IF($K264&lt;&gt;0,VLOOKUP($K264,DM_KM,3,0),"")</f>
        <v>#N/A</v>
      </c>
      <c r="J264" s="52" t="str">
        <f>IF($K264&lt;&gt;0,VLOOKUP($K264,DM_KM,5,0),"")</f>
        <v>#N/A</v>
      </c>
      <c r="K264" s="735" t="s">
        <v>573</v>
      </c>
      <c r="L264" s="735"/>
      <c r="M264" s="68"/>
      <c r="N264" s="738">
        <v>250000.0</v>
      </c>
      <c r="O264" s="1188" t="s">
        <v>2218</v>
      </c>
      <c r="P264" s="751"/>
    </row>
    <row r="265" hidden="1">
      <c r="A265" s="1186">
        <v>44652.0</v>
      </c>
      <c r="B265" s="52" t="str">
        <f t="shared" si="1"/>
        <v>04/2022</v>
      </c>
      <c r="C265" s="52" t="str">
        <f>IF(A265="","",VLOOKUP(A265,'THAM CHIẾU'!$A:$B,2,0))</f>
        <v>#N/A</v>
      </c>
      <c r="D265" s="52" t="str">
        <f>IF(E265&lt;&gt;0,VLOOKUP(E265,DM_DUAN,3,0),"")</f>
        <v/>
      </c>
      <c r="E265" s="735"/>
      <c r="F265" s="735"/>
      <c r="G265" s="735"/>
      <c r="H265" s="70"/>
      <c r="I265" s="1189" t="str">
        <f>IF($K265&lt;&gt;0,VLOOKUP($K265,DM_KM,3,0),"")</f>
        <v>#N/A</v>
      </c>
      <c r="J265" s="52" t="str">
        <f>IF($K265&lt;&gt;0,VLOOKUP($K265,DM_KM,5,0),"")</f>
        <v>#N/A</v>
      </c>
      <c r="K265" s="735" t="s">
        <v>1273</v>
      </c>
      <c r="L265" s="735"/>
      <c r="M265" s="68"/>
      <c r="N265" s="738">
        <v>328000.0</v>
      </c>
      <c r="O265" s="737" t="s">
        <v>1273</v>
      </c>
      <c r="P265" s="751"/>
    </row>
    <row r="266" hidden="1">
      <c r="A266" s="1186">
        <v>44652.0</v>
      </c>
      <c r="B266" s="52" t="str">
        <f t="shared" si="1"/>
        <v>04/2022</v>
      </c>
      <c r="C266" s="52" t="str">
        <f>IF(A266="","",VLOOKUP(A266,'THAM CHIẾU'!$A:$B,2,0))</f>
        <v>#N/A</v>
      </c>
      <c r="D266" s="52" t="str">
        <f>IF(E266&lt;&gt;0,VLOOKUP(E266,DM_DUAN,3,0),"")</f>
        <v/>
      </c>
      <c r="E266" s="735"/>
      <c r="F266" s="735"/>
      <c r="G266" s="735"/>
      <c r="H266" s="70"/>
      <c r="I266" s="52" t="str">
        <f>IF($K266&lt;&gt;0,VLOOKUP($K266,DM_KM,3,0),"")</f>
        <v>VHVP</v>
      </c>
      <c r="J266" s="52">
        <f>IF($K266&lt;&gt;0,VLOOKUP($K266,DM_KM,5,0),"")</f>
        <v>642</v>
      </c>
      <c r="K266" s="735" t="s">
        <v>1153</v>
      </c>
      <c r="L266" s="735"/>
      <c r="M266" s="68"/>
      <c r="N266" s="738">
        <v>8333000.0</v>
      </c>
      <c r="O266" s="737" t="s">
        <v>2219</v>
      </c>
      <c r="P266" s="751"/>
    </row>
    <row r="267" hidden="1">
      <c r="A267" s="1186">
        <v>44652.0</v>
      </c>
      <c r="B267" s="52" t="str">
        <f t="shared" si="1"/>
        <v>04/2022</v>
      </c>
      <c r="C267" s="52" t="str">
        <f>IF(A267="","",VLOOKUP(A267,'THAM CHIẾU'!$A:$B,2,0))</f>
        <v>#N/A</v>
      </c>
      <c r="D267" s="52" t="str">
        <f>IF(E267&lt;&gt;0,VLOOKUP(E267,DM_DUAN,3,0),"")</f>
        <v/>
      </c>
      <c r="E267" s="735"/>
      <c r="F267" s="735"/>
      <c r="G267" s="735"/>
      <c r="H267" s="70"/>
      <c r="I267" s="52" t="str">
        <f>IF($K267&lt;&gt;0,VLOOKUP($K267,DM_KM,3,0),"")</f>
        <v>#N/A</v>
      </c>
      <c r="J267" s="52" t="str">
        <f>IF($K267&lt;&gt;0,VLOOKUP($K267,DM_KM,5,0),"")</f>
        <v>#N/A</v>
      </c>
      <c r="K267" s="735" t="s">
        <v>2220</v>
      </c>
      <c r="L267" s="735"/>
      <c r="M267" s="68"/>
      <c r="N267" s="738">
        <v>416000.0</v>
      </c>
      <c r="O267" s="737" t="s">
        <v>2221</v>
      </c>
      <c r="P267" s="751"/>
    </row>
    <row r="268" hidden="1">
      <c r="A268" s="1186">
        <v>44652.0</v>
      </c>
      <c r="B268" s="52" t="str">
        <f t="shared" si="1"/>
        <v>04/2022</v>
      </c>
      <c r="C268" s="52" t="str">
        <f>IF(A268="","",VLOOKUP(A268,'THAM CHIẾU'!$A:$B,2,0))</f>
        <v>#N/A</v>
      </c>
      <c r="D268" s="52" t="str">
        <f>IF(E268&lt;&gt;0,VLOOKUP(E268,DM_DUAN,3,0),"")</f>
        <v/>
      </c>
      <c r="E268" s="735"/>
      <c r="F268" s="735"/>
      <c r="G268" s="735"/>
      <c r="H268" s="70"/>
      <c r="I268" s="52" t="str">
        <f>IF($K268&lt;&gt;0,VLOOKUP($K268,DM_KM,3,0),"")</f>
        <v>#N/A</v>
      </c>
      <c r="J268" s="52" t="str">
        <f>IF($K268&lt;&gt;0,VLOOKUP($K268,DM_KM,5,0),"")</f>
        <v>#N/A</v>
      </c>
      <c r="K268" s="735" t="s">
        <v>262</v>
      </c>
      <c r="L268" s="735"/>
      <c r="M268" s="68"/>
      <c r="N268" s="738">
        <v>833000.0</v>
      </c>
      <c r="O268" s="737" t="s">
        <v>2222</v>
      </c>
      <c r="P268" s="751"/>
    </row>
    <row r="269" hidden="1">
      <c r="A269" s="1186">
        <v>44652.0</v>
      </c>
      <c r="B269" s="52" t="str">
        <f t="shared" si="1"/>
        <v>04/2022</v>
      </c>
      <c r="C269" s="52" t="str">
        <f>IF(A269="","",VLOOKUP(A269,'THAM CHIẾU'!$A:$B,2,0))</f>
        <v>#N/A</v>
      </c>
      <c r="D269" s="52" t="str">
        <f>IF(E269&lt;&gt;0,VLOOKUP(E269,DM_DUAN,3,0),"")</f>
        <v/>
      </c>
      <c r="E269" s="735"/>
      <c r="F269" s="735"/>
      <c r="G269" s="735"/>
      <c r="H269" s="70"/>
      <c r="I269" s="52" t="str">
        <f>IF($K269&lt;&gt;0,VLOOKUP($K269,DM_KM,3,0),"")</f>
        <v>#N/A</v>
      </c>
      <c r="J269" s="52" t="str">
        <f>IF($K269&lt;&gt;0,VLOOKUP($K269,DM_KM,5,0),"")</f>
        <v>#N/A</v>
      </c>
      <c r="K269" s="735" t="s">
        <v>2223</v>
      </c>
      <c r="L269" s="735"/>
      <c r="M269" s="68"/>
      <c r="N269" s="738">
        <v>4166000.0</v>
      </c>
      <c r="O269" s="737" t="s">
        <v>2224</v>
      </c>
      <c r="P269" s="751"/>
    </row>
    <row r="270" hidden="1">
      <c r="A270" s="1186">
        <v>44652.0</v>
      </c>
      <c r="B270" s="52" t="str">
        <f t="shared" si="1"/>
        <v>04/2022</v>
      </c>
      <c r="C270" s="52" t="str">
        <f>IF(A270="","",VLOOKUP(A270,'THAM CHIẾU'!$A:$B,2,0))</f>
        <v>#N/A</v>
      </c>
      <c r="D270" s="52" t="str">
        <f>IF(E270&lt;&gt;0,VLOOKUP(E270,DM_DUAN,3,0),"")</f>
        <v/>
      </c>
      <c r="E270" s="735"/>
      <c r="F270" s="735"/>
      <c r="G270" s="735" t="s">
        <v>176</v>
      </c>
      <c r="H270" s="70"/>
      <c r="I270" s="52" t="str">
        <f>IF($K270&lt;&gt;0,VLOOKUP($K270,DM_KM,3,0),"")</f>
        <v>#N/A</v>
      </c>
      <c r="J270" s="52" t="str">
        <f>IF($K270&lt;&gt;0,VLOOKUP($K270,DM_KM,5,0),"")</f>
        <v>#N/A</v>
      </c>
      <c r="K270" s="1187" t="s">
        <v>374</v>
      </c>
      <c r="L270" s="735"/>
      <c r="M270" s="68"/>
      <c r="N270" s="738">
        <v>1666000.0</v>
      </c>
      <c r="O270" s="1188" t="s">
        <v>2225</v>
      </c>
      <c r="P270" s="751"/>
    </row>
    <row r="271" hidden="1">
      <c r="A271" s="1186">
        <v>44652.0</v>
      </c>
      <c r="B271" s="52" t="str">
        <f t="shared" si="1"/>
        <v>04/2022</v>
      </c>
      <c r="C271" s="52" t="str">
        <f>IF(A271="","",VLOOKUP(A271,'THAM CHIẾU'!$A:$B,2,0))</f>
        <v>#N/A</v>
      </c>
      <c r="D271" s="52" t="str">
        <f>IF(E271&lt;&gt;0,VLOOKUP(E271,DM_DUAN,3,0),"")</f>
        <v/>
      </c>
      <c r="E271" s="735"/>
      <c r="F271" s="735"/>
      <c r="G271" s="735"/>
      <c r="H271" s="70"/>
      <c r="I271" s="52" t="str">
        <f>IF($K271&lt;&gt;0,VLOOKUP($K271,DM_KM,3,0),"")</f>
        <v>VHVP</v>
      </c>
      <c r="J271" s="52">
        <f>IF($K271&lt;&gt;0,VLOOKUP($K271,DM_KM,5,0),"")</f>
        <v>642</v>
      </c>
      <c r="K271" s="1187" t="s">
        <v>382</v>
      </c>
      <c r="L271" s="735"/>
      <c r="M271" s="68"/>
      <c r="N271" s="738">
        <v>1666000.0</v>
      </c>
      <c r="O271" s="1188" t="s">
        <v>2226</v>
      </c>
      <c r="P271" s="751"/>
    </row>
    <row r="272" hidden="1">
      <c r="A272" s="1186">
        <v>44652.0</v>
      </c>
      <c r="B272" s="52" t="str">
        <f t="shared" si="1"/>
        <v>04/2022</v>
      </c>
      <c r="C272" s="52" t="str">
        <f>IF(A272="","",VLOOKUP(A272,'THAM CHIẾU'!$A:$B,2,0))</f>
        <v>#N/A</v>
      </c>
      <c r="D272" s="52" t="str">
        <f>IF(E272&lt;&gt;0,VLOOKUP(E272,DM_DUAN,3,0),"")</f>
        <v/>
      </c>
      <c r="E272" s="735"/>
      <c r="F272" s="735"/>
      <c r="G272" s="735"/>
      <c r="H272" s="70"/>
      <c r="I272" s="52" t="str">
        <f>IF($K272&lt;&gt;0,VLOOKUP($K272,DM_KM,3,0),"")</f>
        <v>#N/A</v>
      </c>
      <c r="J272" s="52" t="str">
        <f>IF($K272&lt;&gt;0,VLOOKUP($K272,DM_KM,5,0),"")</f>
        <v>#N/A</v>
      </c>
      <c r="K272" s="735" t="s">
        <v>272</v>
      </c>
      <c r="L272" s="735"/>
      <c r="M272" s="68"/>
      <c r="N272" s="738">
        <v>6666000.0</v>
      </c>
      <c r="O272" s="737" t="s">
        <v>2227</v>
      </c>
      <c r="P272" s="751"/>
    </row>
    <row r="273" hidden="1">
      <c r="A273" s="1186">
        <v>44652.0</v>
      </c>
      <c r="B273" s="52" t="str">
        <f t="shared" si="1"/>
        <v>04/2022</v>
      </c>
      <c r="C273" s="52" t="str">
        <f>IF(A273="","",VLOOKUP(A273,'THAM CHIẾU'!$A:$B,2,0))</f>
        <v>#N/A</v>
      </c>
      <c r="D273" s="52" t="str">
        <f>IF(E273&lt;&gt;0,VLOOKUP(E273,DM_DUAN,3,0),"")</f>
        <v/>
      </c>
      <c r="E273" s="735"/>
      <c r="F273" s="735"/>
      <c r="G273" s="735"/>
      <c r="H273" s="70"/>
      <c r="I273" s="52" t="str">
        <f>IF($K273&lt;&gt;0,VLOOKUP($K273,DM_KM,3,0),"")</f>
        <v>VHVP</v>
      </c>
      <c r="J273" s="52">
        <f>IF($K273&lt;&gt;0,VLOOKUP($K273,DM_KM,5,0),"")</f>
        <v>642</v>
      </c>
      <c r="K273" s="1187" t="s">
        <v>382</v>
      </c>
      <c r="L273" s="735"/>
      <c r="M273" s="68"/>
      <c r="N273" s="738">
        <v>833000.0</v>
      </c>
      <c r="O273" s="1188" t="s">
        <v>2228</v>
      </c>
      <c r="P273" s="751"/>
    </row>
    <row r="274" hidden="1">
      <c r="A274" s="1186">
        <v>44652.0</v>
      </c>
      <c r="B274" s="52" t="str">
        <f t="shared" si="1"/>
        <v>04/2022</v>
      </c>
      <c r="C274" s="52" t="str">
        <f>IF(A274="","",VLOOKUP(A274,'THAM CHIẾU'!$A:$B,2,0))</f>
        <v>#N/A</v>
      </c>
      <c r="D274" s="52" t="str">
        <f>IF(E274&lt;&gt;0,VLOOKUP(E274,DM_DUAN,3,0),"")</f>
        <v/>
      </c>
      <c r="E274" s="735"/>
      <c r="F274" s="735"/>
      <c r="G274" s="735"/>
      <c r="H274" s="70"/>
      <c r="I274" s="52" t="str">
        <f>IF($K274&lt;&gt;0,VLOOKUP($K274,DM_KM,3,0),"")</f>
        <v>#N/A</v>
      </c>
      <c r="J274" s="52" t="str">
        <f>IF($K274&lt;&gt;0,VLOOKUP($K274,DM_KM,5,0),"")</f>
        <v>#N/A</v>
      </c>
      <c r="K274" s="735" t="s">
        <v>222</v>
      </c>
      <c r="L274" s="735"/>
      <c r="M274" s="68"/>
      <c r="N274" s="738">
        <v>416000.0</v>
      </c>
      <c r="O274" s="737" t="s">
        <v>2229</v>
      </c>
      <c r="P274" s="751"/>
    </row>
    <row r="275" hidden="1">
      <c r="A275" s="1186">
        <v>44652.0</v>
      </c>
      <c r="B275" s="52" t="str">
        <f t="shared" si="1"/>
        <v>04/2022</v>
      </c>
      <c r="C275" s="52" t="str">
        <f>IF(A275="","",VLOOKUP(A275,'THAM CHIẾU'!$A:$B,2,0))</f>
        <v>#N/A</v>
      </c>
      <c r="D275" s="52" t="str">
        <f>IF(E275&lt;&gt;0,VLOOKUP(E275,DM_DUAN,3,0),"")</f>
        <v/>
      </c>
      <c r="E275" s="735"/>
      <c r="F275" s="735"/>
      <c r="G275" s="735"/>
      <c r="H275" s="70"/>
      <c r="I275" s="1189" t="str">
        <f>IF($K275&lt;&gt;0,VLOOKUP($K275,DM_KM,3,0),"")</f>
        <v>#N/A</v>
      </c>
      <c r="J275" s="52" t="str">
        <f>IF($K275&lt;&gt;0,VLOOKUP($K275,DM_KM,5,0),"")</f>
        <v>#N/A</v>
      </c>
      <c r="K275" s="1187" t="s">
        <v>267</v>
      </c>
      <c r="L275" s="735"/>
      <c r="M275" s="68"/>
      <c r="N275" s="738">
        <v>3.184E8</v>
      </c>
      <c r="O275" s="1188" t="s">
        <v>2230</v>
      </c>
      <c r="P275" s="751"/>
    </row>
    <row r="276" hidden="1">
      <c r="A276" s="1186">
        <v>44652.0</v>
      </c>
      <c r="B276" s="52" t="str">
        <f t="shared" si="1"/>
        <v>04/2022</v>
      </c>
      <c r="C276" s="52" t="str">
        <f>IF(A276="","",VLOOKUP(A276,'THAM CHIẾU'!$A:$B,2,0))</f>
        <v>#N/A</v>
      </c>
      <c r="D276" s="52" t="str">
        <f>IF(E276&lt;&gt;0,VLOOKUP(E276,DM_DUAN,3,0),"")</f>
        <v/>
      </c>
      <c r="E276" s="735"/>
      <c r="F276" s="735"/>
      <c r="G276" s="735"/>
      <c r="H276" s="70"/>
      <c r="I276" s="52" t="str">
        <f>IF($K276&lt;&gt;0,VLOOKUP($K276,DM_KM,3,0),"")</f>
        <v>THUEVP</v>
      </c>
      <c r="J276" s="52">
        <f>IF($K276&lt;&gt;0,VLOOKUP($K276,DM_KM,5,0),"")</f>
        <v>642</v>
      </c>
      <c r="K276" s="735" t="s">
        <v>270</v>
      </c>
      <c r="L276" s="735"/>
      <c r="M276" s="68"/>
      <c r="N276" s="738">
        <v>4.5143E7</v>
      </c>
      <c r="O276" s="1188" t="s">
        <v>2231</v>
      </c>
      <c r="P276" s="751"/>
    </row>
    <row r="277" hidden="1">
      <c r="A277" s="1186">
        <v>44652.0</v>
      </c>
      <c r="B277" s="52" t="str">
        <f t="shared" si="1"/>
        <v>04/2022</v>
      </c>
      <c r="C277" s="52" t="str">
        <f>IF(A277="","",VLOOKUP(A277,'THAM CHIẾU'!$A:$B,2,0))</f>
        <v>#N/A</v>
      </c>
      <c r="D277" s="52" t="str">
        <f>IF(E277&lt;&gt;0,VLOOKUP(E277,DM_DUAN,3,0),"")</f>
        <v/>
      </c>
      <c r="E277" s="735"/>
      <c r="F277" s="735"/>
      <c r="G277" s="735"/>
      <c r="H277" s="70"/>
      <c r="I277" s="52" t="str">
        <f>IF($K277&lt;&gt;0,VLOOKUP($K277,DM_KM,3,0),"")</f>
        <v>#N/A</v>
      </c>
      <c r="J277" s="52" t="str">
        <f>IF($K277&lt;&gt;0,VLOOKUP($K277,DM_KM,5,0),"")</f>
        <v>#N/A</v>
      </c>
      <c r="K277" s="735" t="s">
        <v>410</v>
      </c>
      <c r="L277" s="735"/>
      <c r="M277" s="68"/>
      <c r="N277" s="738">
        <v>1250000.0</v>
      </c>
      <c r="O277" s="737" t="s">
        <v>410</v>
      </c>
      <c r="P277" s="751"/>
    </row>
    <row r="278" hidden="1">
      <c r="A278" s="1186">
        <v>44652.0</v>
      </c>
      <c r="B278" s="52" t="str">
        <f t="shared" si="1"/>
        <v>04/2022</v>
      </c>
      <c r="C278" s="52" t="str">
        <f>IF(A278="","",VLOOKUP(A278,'THAM CHIẾU'!$A:$B,2,0))</f>
        <v>#N/A</v>
      </c>
      <c r="D278" s="52" t="str">
        <f>IF(E278&lt;&gt;0,VLOOKUP(E278,DM_DUAN,3,0),"")</f>
        <v/>
      </c>
      <c r="E278" s="735"/>
      <c r="F278" s="735"/>
      <c r="G278" s="735"/>
      <c r="H278" s="70"/>
      <c r="I278" s="52" t="str">
        <f>IF($K278&lt;&gt;0,VLOOKUP($K278,DM_KM,3,0),"")</f>
        <v>#N/A</v>
      </c>
      <c r="J278" s="52" t="str">
        <f>IF($K278&lt;&gt;0,VLOOKUP($K278,DM_KM,5,0),"")</f>
        <v>#N/A</v>
      </c>
      <c r="K278" s="1187" t="s">
        <v>252</v>
      </c>
      <c r="L278" s="735"/>
      <c r="M278" s="68"/>
      <c r="N278" s="738">
        <v>1.6666E7</v>
      </c>
      <c r="O278" s="1188" t="s">
        <v>2232</v>
      </c>
      <c r="P278" s="751"/>
    </row>
    <row r="279" hidden="1">
      <c r="A279" s="1186">
        <v>44652.0</v>
      </c>
      <c r="B279" s="52" t="str">
        <f t="shared" si="1"/>
        <v>04/2022</v>
      </c>
      <c r="C279" s="52" t="str">
        <f>IF(A279="","",VLOOKUP(A279,'THAM CHIẾU'!$A:$B,2,0))</f>
        <v>#N/A</v>
      </c>
      <c r="D279" s="52" t="str">
        <f>IF(E279&lt;&gt;0,VLOOKUP(E279,DM_DUAN,3,0),"")</f>
        <v/>
      </c>
      <c r="E279" s="735"/>
      <c r="F279" s="735"/>
      <c r="G279" s="735"/>
      <c r="H279" s="70"/>
      <c r="I279" s="52" t="str">
        <f>IF($K279&lt;&gt;0,VLOOKUP($K279,DM_KM,3,0),"")</f>
        <v>VHVP</v>
      </c>
      <c r="J279" s="52">
        <f>IF($K279&lt;&gt;0,VLOOKUP($K279,DM_KM,5,0),"")</f>
        <v>642</v>
      </c>
      <c r="K279" s="1187" t="s">
        <v>382</v>
      </c>
      <c r="L279" s="735"/>
      <c r="M279" s="68"/>
      <c r="N279" s="738">
        <v>1666000.0</v>
      </c>
      <c r="O279" s="1188" t="s">
        <v>2233</v>
      </c>
      <c r="P279" s="751"/>
    </row>
    <row r="280" hidden="1">
      <c r="A280" s="1186">
        <v>44652.0</v>
      </c>
      <c r="B280" s="52" t="str">
        <f t="shared" si="1"/>
        <v>04/2022</v>
      </c>
      <c r="C280" s="52" t="str">
        <f>IF(A280="","",VLOOKUP(A280,'THAM CHIẾU'!$A:$B,2,0))</f>
        <v>#N/A</v>
      </c>
      <c r="D280" s="52" t="str">
        <f>IF(E280&lt;&gt;0,VLOOKUP(E280,DM_DUAN,3,0),"")</f>
        <v/>
      </c>
      <c r="E280" s="735"/>
      <c r="F280" s="735"/>
      <c r="G280" s="735"/>
      <c r="H280" s="70"/>
      <c r="I280" s="52" t="str">
        <f>IF($K280&lt;&gt;0,VLOOKUP($K280,DM_KM,3,0),"")</f>
        <v>#N/A</v>
      </c>
      <c r="J280" s="52" t="str">
        <f>IF($K280&lt;&gt;0,VLOOKUP($K280,DM_KM,5,0),"")</f>
        <v>#N/A</v>
      </c>
      <c r="K280" s="1187" t="s">
        <v>206</v>
      </c>
      <c r="L280" s="735"/>
      <c r="M280" s="68"/>
      <c r="N280" s="738">
        <v>1703000.0</v>
      </c>
      <c r="O280" s="1188" t="s">
        <v>206</v>
      </c>
      <c r="P280" s="751"/>
    </row>
    <row r="281" hidden="1">
      <c r="A281" s="1186">
        <v>44652.0</v>
      </c>
      <c r="B281" s="52" t="str">
        <f t="shared" si="1"/>
        <v>04/2022</v>
      </c>
      <c r="C281" s="52" t="str">
        <f>IF(A281="","",VLOOKUP(A281,'THAM CHIẾU'!$A:$B,2,0))</f>
        <v>#N/A</v>
      </c>
      <c r="D281" s="52" t="str">
        <f>IF(E281&lt;&gt;0,VLOOKUP(E281,DM_DUAN,3,0),"")</f>
        <v/>
      </c>
      <c r="E281" s="735"/>
      <c r="F281" s="735"/>
      <c r="G281" s="735"/>
      <c r="H281" s="70"/>
      <c r="I281" s="52" t="str">
        <f>IF($K281&lt;&gt;0,VLOOKUP($K281,DM_KM,3,0),"")</f>
        <v>#N/A</v>
      </c>
      <c r="J281" s="52" t="str">
        <f>IF($K281&lt;&gt;0,VLOOKUP($K281,DM_KM,5,0),"")</f>
        <v>#N/A</v>
      </c>
      <c r="K281" s="1187" t="s">
        <v>226</v>
      </c>
      <c r="L281" s="735"/>
      <c r="M281" s="68"/>
      <c r="N281" s="738">
        <v>1250000.0</v>
      </c>
      <c r="O281" s="1188" t="s">
        <v>2234</v>
      </c>
      <c r="P281" s="751"/>
    </row>
    <row r="282" hidden="1">
      <c r="A282" s="1186">
        <v>44652.0</v>
      </c>
      <c r="B282" s="52" t="str">
        <f t="shared" si="1"/>
        <v>04/2022</v>
      </c>
      <c r="C282" s="52" t="str">
        <f>IF(A282="","",VLOOKUP(A282,'THAM CHIẾU'!$A:$B,2,0))</f>
        <v>#N/A</v>
      </c>
      <c r="D282" s="52" t="str">
        <f>IF(E282&lt;&gt;0,VLOOKUP(E282,DM_DUAN,3,0),"")</f>
        <v/>
      </c>
      <c r="E282" s="735"/>
      <c r="F282" s="735"/>
      <c r="G282" s="735"/>
      <c r="H282" s="70"/>
      <c r="I282" s="52" t="str">
        <f>IF($K282&lt;&gt;0,VLOOKUP($K282,DM_KM,3,0),"")</f>
        <v>#N/A</v>
      </c>
      <c r="J282" s="52" t="str">
        <f>IF($K282&lt;&gt;0,VLOOKUP($K282,DM_KM,5,0),"")</f>
        <v>#N/A</v>
      </c>
      <c r="K282" s="735" t="s">
        <v>174</v>
      </c>
      <c r="L282" s="735"/>
      <c r="M282" s="68"/>
      <c r="N282" s="738">
        <v>4.0861E7</v>
      </c>
      <c r="O282" s="737" t="s">
        <v>2235</v>
      </c>
      <c r="P282" s="751"/>
    </row>
    <row r="283" hidden="1">
      <c r="A283" s="1186">
        <v>44652.0</v>
      </c>
      <c r="B283" s="52" t="str">
        <f t="shared" si="1"/>
        <v>04/2022</v>
      </c>
      <c r="C283" s="52" t="str">
        <f>IF(A283="","",VLOOKUP(A283,'THAM CHIẾU'!$A:$B,2,0))</f>
        <v>#N/A</v>
      </c>
      <c r="D283" s="52" t="str">
        <f>IF(E283&lt;&gt;0,VLOOKUP(E283,DM_DUAN,3,0),"")</f>
        <v/>
      </c>
      <c r="E283" s="735"/>
      <c r="F283" s="735"/>
      <c r="G283" s="735"/>
      <c r="H283" s="70"/>
      <c r="I283" s="52" t="str">
        <f>IF($K283&lt;&gt;0,VLOOKUP($K283,DM_KM,3,0),"")</f>
        <v>#N/A</v>
      </c>
      <c r="J283" s="52" t="str">
        <f>IF($K283&lt;&gt;0,VLOOKUP($K283,DM_KM,5,0),"")</f>
        <v>#N/A</v>
      </c>
      <c r="K283" s="735" t="s">
        <v>2236</v>
      </c>
      <c r="L283" s="735"/>
      <c r="M283" s="68"/>
      <c r="N283" s="738">
        <v>1666000.0</v>
      </c>
      <c r="O283" s="1188" t="s">
        <v>2237</v>
      </c>
      <c r="P283" s="751"/>
    </row>
    <row r="284" hidden="1">
      <c r="A284" s="1186">
        <v>44652.0</v>
      </c>
      <c r="B284" s="52" t="str">
        <f t="shared" si="1"/>
        <v>04/2022</v>
      </c>
      <c r="C284" s="52" t="str">
        <f>IF(A284="","",VLOOKUP(A284,'THAM CHIẾU'!$A:$B,2,0))</f>
        <v>#N/A</v>
      </c>
      <c r="D284" s="52" t="str">
        <f>IF(E284&lt;&gt;0,VLOOKUP(E284,DM_DUAN,3,0),"")</f>
        <v/>
      </c>
      <c r="E284" s="735"/>
      <c r="F284" s="735"/>
      <c r="G284" s="735"/>
      <c r="H284" s="70"/>
      <c r="I284" s="52" t="str">
        <f>IF($K284&lt;&gt;0,VLOOKUP($K284,DM_KM,3,0),"")</f>
        <v/>
      </c>
      <c r="J284" s="52" t="str">
        <f>IF($K284&lt;&gt;0,VLOOKUP($K284,DM_KM,5,0),"")</f>
        <v/>
      </c>
      <c r="K284" s="735"/>
      <c r="L284" s="735"/>
      <c r="M284" s="68"/>
      <c r="N284" s="738"/>
      <c r="O284" s="1188"/>
      <c r="P284" s="751"/>
    </row>
    <row r="285" hidden="1">
      <c r="A285" s="1186">
        <v>44652.0</v>
      </c>
      <c r="B285" s="52" t="str">
        <f t="shared" si="1"/>
        <v>04/2022</v>
      </c>
      <c r="C285" s="52" t="str">
        <f>IF(A285="","",VLOOKUP(A285,'THAM CHIẾU'!$A:$B,2,0))</f>
        <v>#N/A</v>
      </c>
      <c r="D285" s="52" t="str">
        <f>IF(E285&lt;&gt;0,VLOOKUP(E285,DM_DUAN,3,0),"")</f>
        <v/>
      </c>
      <c r="E285" s="735"/>
      <c r="F285" s="735"/>
      <c r="G285" s="735"/>
      <c r="H285" s="70"/>
      <c r="I285" s="52" t="str">
        <f>IF($K285&lt;&gt;0,VLOOKUP($K285,DM_KM,3,0),"")</f>
        <v>#N/A</v>
      </c>
      <c r="J285" s="52" t="str">
        <f>IF($K285&lt;&gt;0,VLOOKUP($K285,DM_KM,5,0),"")</f>
        <v>#N/A</v>
      </c>
      <c r="K285" s="735" t="s">
        <v>169</v>
      </c>
      <c r="L285" s="735"/>
      <c r="M285" s="68"/>
      <c r="N285" s="738">
        <v>1.0643E7</v>
      </c>
      <c r="O285" s="1188" t="s">
        <v>2240</v>
      </c>
      <c r="P285" s="751"/>
    </row>
    <row r="286" hidden="1">
      <c r="A286" s="1186">
        <v>44652.0</v>
      </c>
      <c r="B286" s="52" t="str">
        <f t="shared" si="1"/>
        <v>04/2022</v>
      </c>
      <c r="C286" s="52" t="str">
        <f>IF(A286="","",VLOOKUP(A286,'THAM CHIẾU'!$A:$B,2,0))</f>
        <v>#N/A</v>
      </c>
      <c r="D286" s="52" t="str">
        <f>IF(E286&lt;&gt;0,VLOOKUP(E286,DM_DUAN,3,0),"")</f>
        <v/>
      </c>
      <c r="E286" s="735"/>
      <c r="F286" s="735"/>
      <c r="G286" s="735"/>
      <c r="H286" s="70"/>
      <c r="I286" s="1189" t="str">
        <f>IF($K286&lt;&gt;0,VLOOKUP($K286,DM_KM,3,0),"")</f>
        <v>#N/A</v>
      </c>
      <c r="J286" s="52" t="str">
        <f>IF($K286&lt;&gt;0,VLOOKUP($K286,DM_KM,5,0),"")</f>
        <v>#N/A</v>
      </c>
      <c r="K286" s="1187" t="s">
        <v>190</v>
      </c>
      <c r="L286" s="735"/>
      <c r="M286" s="68"/>
      <c r="N286" s="738">
        <v>3.9E9</v>
      </c>
      <c r="O286" s="1188" t="s">
        <v>2241</v>
      </c>
      <c r="P286" s="739"/>
    </row>
    <row r="287" hidden="1">
      <c r="A287" s="1186">
        <v>44652.0</v>
      </c>
      <c r="B287" s="52" t="str">
        <f t="shared" si="1"/>
        <v>04/2022</v>
      </c>
      <c r="C287" s="52" t="str">
        <f>IF(A287="","",VLOOKUP(A287,'THAM CHIẾU'!$A:$B,2,0))</f>
        <v>#N/A</v>
      </c>
      <c r="D287" s="52" t="str">
        <f>IF(E287&lt;&gt;0,VLOOKUP(E287,DM_DUAN,3,0),"")</f>
        <v/>
      </c>
      <c r="E287" s="735"/>
      <c r="F287" s="735"/>
      <c r="G287" s="735"/>
      <c r="H287" s="70"/>
      <c r="I287" s="1189" t="str">
        <f>IF($K287&lt;&gt;0,VLOOKUP($K287,DM_KM,3,0),"")</f>
        <v>#N/A</v>
      </c>
      <c r="J287" s="52" t="str">
        <f>IF($K287&lt;&gt;0,VLOOKUP($K287,DM_KM,5,0),"")</f>
        <v>#N/A</v>
      </c>
      <c r="K287" s="1187" t="s">
        <v>194</v>
      </c>
      <c r="L287" s="735"/>
      <c r="M287" s="68"/>
      <c r="N287" s="738">
        <v>1.04E9</v>
      </c>
      <c r="O287" s="1188" t="s">
        <v>2242</v>
      </c>
      <c r="P287" s="739"/>
    </row>
    <row r="288" hidden="1">
      <c r="A288" s="1186">
        <v>44652.0</v>
      </c>
      <c r="B288" s="52" t="str">
        <f t="shared" si="1"/>
        <v>04/2022</v>
      </c>
      <c r="C288" s="52" t="str">
        <f>IF(A288="","",VLOOKUP(A288,'THAM CHIẾU'!$A:$B,2,0))</f>
        <v>#N/A</v>
      </c>
      <c r="D288" s="52" t="str">
        <f>IF(E288&lt;&gt;0,VLOOKUP(E288,DM_DUAN,3,0),"")</f>
        <v/>
      </c>
      <c r="E288" s="735"/>
      <c r="F288" s="735"/>
      <c r="G288" s="735"/>
      <c r="H288" s="70"/>
      <c r="I288" s="52" t="str">
        <f>IF($K288&lt;&gt;0,VLOOKUP($K288,DM_KM,3,0),"")</f>
        <v>#N/A</v>
      </c>
      <c r="J288" s="52" t="str">
        <f>IF($K288&lt;&gt;0,VLOOKUP($K288,DM_KM,5,0),"")</f>
        <v>#N/A</v>
      </c>
      <c r="K288" s="1187" t="s">
        <v>1170</v>
      </c>
      <c r="L288" s="735"/>
      <c r="M288" s="68"/>
      <c r="N288" s="738">
        <v>1.3E8</v>
      </c>
      <c r="O288" s="1188" t="s">
        <v>1474</v>
      </c>
      <c r="P288" s="751"/>
    </row>
    <row r="289" hidden="1">
      <c r="A289" s="1186">
        <v>44652.0</v>
      </c>
      <c r="B289" s="52" t="str">
        <f t="shared" si="1"/>
        <v>04/2022</v>
      </c>
      <c r="C289" s="52" t="str">
        <f>IF(A289="","",VLOOKUP(A289,'THAM CHIẾU'!$A:$B,2,0))</f>
        <v>#N/A</v>
      </c>
      <c r="D289" s="52" t="str">
        <f>IF(E289&lt;&gt;0,VLOOKUP(E289,DM_DUAN,3,0),"")</f>
        <v/>
      </c>
      <c r="E289" s="735"/>
      <c r="F289" s="735"/>
      <c r="G289" s="735"/>
      <c r="H289" s="70"/>
      <c r="I289" s="52" t="str">
        <f>IF($K289&lt;&gt;0,VLOOKUP($K289,DM_KM,3,0),"")</f>
        <v>#N/A</v>
      </c>
      <c r="J289" s="52" t="str">
        <f>IF($K289&lt;&gt;0,VLOOKUP($K289,DM_KM,5,0),"")</f>
        <v>#N/A</v>
      </c>
      <c r="K289" s="735" t="s">
        <v>1142</v>
      </c>
      <c r="L289" s="735"/>
      <c r="M289" s="68"/>
      <c r="N289" s="738">
        <v>1.248E9</v>
      </c>
      <c r="O289" s="737" t="s">
        <v>2244</v>
      </c>
      <c r="P289" s="751"/>
    </row>
    <row r="290" hidden="1">
      <c r="A290" s="1186">
        <v>44652.0</v>
      </c>
      <c r="B290" s="52" t="str">
        <f t="shared" si="1"/>
        <v>04/2022</v>
      </c>
      <c r="C290" s="52" t="str">
        <f>IF(A290="","",VLOOKUP(A290,'THAM CHIẾU'!$A:$B,2,0))</f>
        <v>#N/A</v>
      </c>
      <c r="D290" s="52" t="str">
        <f>IF(E290&lt;&gt;0,VLOOKUP(E290,DM_DUAN,3,0),"")</f>
        <v/>
      </c>
      <c r="E290" s="735"/>
      <c r="F290" s="735"/>
      <c r="G290" s="735"/>
      <c r="H290" s="70"/>
      <c r="I290" s="1189" t="str">
        <f>IF($K290&lt;&gt;0,VLOOKUP($K290,DM_KM,3,0),"")</f>
        <v>#N/A</v>
      </c>
      <c r="J290" s="52" t="str">
        <f>IF($K290&lt;&gt;0,VLOOKUP($K290,DM_KM,5,0),"")</f>
        <v>#N/A</v>
      </c>
      <c r="K290" s="1187" t="s">
        <v>181</v>
      </c>
      <c r="L290" s="735"/>
      <c r="M290" s="68"/>
      <c r="N290" s="738">
        <v>1.3E9</v>
      </c>
      <c r="O290" s="1188" t="s">
        <v>2245</v>
      </c>
      <c r="P290" s="751"/>
    </row>
    <row r="291" hidden="1">
      <c r="A291" s="1186">
        <v>44652.0</v>
      </c>
      <c r="B291" s="52" t="str">
        <f t="shared" si="1"/>
        <v>04/2022</v>
      </c>
      <c r="C291" s="52" t="str">
        <f>IF(A291="","",VLOOKUP(A291,'THAM CHIẾU'!$A:$B,2,0))</f>
        <v>#N/A</v>
      </c>
      <c r="D291" s="52" t="str">
        <f>IF(E291&lt;&gt;0,VLOOKUP(E291,DM_DUAN,3,0),"")</f>
        <v/>
      </c>
      <c r="E291" s="735"/>
      <c r="F291" s="735"/>
      <c r="G291" s="735"/>
      <c r="H291" s="70"/>
      <c r="I291" s="52" t="str">
        <f>IF($K291&lt;&gt;0,VLOOKUP($K291,DM_KM,3,0),"")</f>
        <v>#N/A</v>
      </c>
      <c r="J291" s="52" t="str">
        <f>IF($K291&lt;&gt;0,VLOOKUP($K291,DM_KM,5,0),"")</f>
        <v>#N/A</v>
      </c>
      <c r="K291" s="735" t="s">
        <v>2243</v>
      </c>
      <c r="L291" s="735"/>
      <c r="M291" s="68"/>
      <c r="N291" s="738">
        <v>3.9E7</v>
      </c>
      <c r="O291" s="737" t="s">
        <v>2246</v>
      </c>
      <c r="P291" s="751"/>
    </row>
    <row r="292" hidden="1">
      <c r="A292" s="1190"/>
      <c r="B292" s="52" t="str">
        <f t="shared" si="1"/>
        <v/>
      </c>
      <c r="C292" s="52" t="str">
        <f>IF(A292="","",VLOOKUP(A292,'THAM CHIẾU'!$A:$B,2,0))</f>
        <v/>
      </c>
      <c r="D292" s="52" t="str">
        <f>IF(E292&lt;&gt;0,VLOOKUP(E292,DM_DUAN,3,0),"")</f>
        <v/>
      </c>
      <c r="E292" s="735"/>
      <c r="F292" s="735"/>
      <c r="G292" s="735"/>
      <c r="H292" s="70"/>
      <c r="I292" s="52" t="str">
        <f>IF($K292&lt;&gt;0,VLOOKUP($K292,DM_KM,3,0),"")</f>
        <v/>
      </c>
      <c r="J292" s="52" t="str">
        <f>IF($K292&lt;&gt;0,VLOOKUP($K292,DM_KM,5,0),"")</f>
        <v/>
      </c>
      <c r="K292" s="735"/>
      <c r="L292" s="735"/>
      <c r="M292" s="68"/>
      <c r="N292" s="738">
        <v>0.0</v>
      </c>
      <c r="O292" s="737"/>
      <c r="P292" s="751"/>
    </row>
    <row r="293" hidden="1">
      <c r="A293" s="1186">
        <v>44682.0</v>
      </c>
      <c r="B293" s="52" t="str">
        <f t="shared" si="1"/>
        <v>05/2022</v>
      </c>
      <c r="C293" s="52" t="str">
        <f>IF(A293="","",VLOOKUP(A293,'THAM CHIẾU'!$A:$B,2,0))</f>
        <v>#N/A</v>
      </c>
      <c r="D293" s="52" t="str">
        <f>IF(E293&lt;&gt;0,VLOOKUP(E293,DM_DUAN,3,0),"")</f>
        <v/>
      </c>
      <c r="E293" s="735"/>
      <c r="F293" s="735"/>
      <c r="G293" s="735" t="s">
        <v>207</v>
      </c>
      <c r="H293" s="70"/>
      <c r="I293" s="52" t="str">
        <f>IF($K293&lt;&gt;0,VLOOKUP($K293,DM_KM,3,0),"")</f>
        <v>#N/A</v>
      </c>
      <c r="J293" s="52" t="str">
        <f>IF($K293&lt;&gt;0,VLOOKUP($K293,DM_KM,5,0),"")</f>
        <v>#N/A</v>
      </c>
      <c r="K293" s="735" t="s">
        <v>2215</v>
      </c>
      <c r="L293" s="735"/>
      <c r="M293" s="68"/>
      <c r="N293" s="738">
        <v>43000.0</v>
      </c>
      <c r="O293" s="737" t="s">
        <v>2216</v>
      </c>
      <c r="P293" s="751"/>
    </row>
    <row r="294" hidden="1">
      <c r="A294" s="1186">
        <v>44682.0</v>
      </c>
      <c r="B294" s="52" t="str">
        <f t="shared" si="1"/>
        <v>05/2022</v>
      </c>
      <c r="C294" s="52" t="str">
        <f>IF(A294="","",VLOOKUP(A294,'THAM CHIẾU'!$A:$B,2,0))</f>
        <v>#N/A</v>
      </c>
      <c r="D294" s="52" t="str">
        <f>IF(E294&lt;&gt;0,VLOOKUP(E294,DM_DUAN,3,0),"")</f>
        <v/>
      </c>
      <c r="E294" s="735"/>
      <c r="F294" s="735"/>
      <c r="G294" s="735"/>
      <c r="H294" s="70"/>
      <c r="I294" s="52" t="str">
        <f>IF($K294&lt;&gt;0,VLOOKUP($K294,DM_KM,3,0),"")</f>
        <v>#N/A</v>
      </c>
      <c r="J294" s="52" t="str">
        <f>IF($K294&lt;&gt;0,VLOOKUP($K294,DM_KM,5,0),"")</f>
        <v>#N/A</v>
      </c>
      <c r="K294" s="1187" t="s">
        <v>419</v>
      </c>
      <c r="L294" s="735"/>
      <c r="M294" s="68"/>
      <c r="N294" s="738">
        <v>166000.0</v>
      </c>
      <c r="O294" s="1188" t="s">
        <v>2217</v>
      </c>
      <c r="P294" s="751"/>
    </row>
    <row r="295" hidden="1">
      <c r="A295" s="1186">
        <v>44682.0</v>
      </c>
      <c r="B295" s="52" t="str">
        <f t="shared" si="1"/>
        <v>05/2022</v>
      </c>
      <c r="C295" s="52" t="str">
        <f>IF(A295="","",VLOOKUP(A295,'THAM CHIẾU'!$A:$B,2,0))</f>
        <v>#N/A</v>
      </c>
      <c r="D295" s="52" t="str">
        <f>IF(E295&lt;&gt;0,VLOOKUP(E295,DM_DUAN,3,0),"")</f>
        <v/>
      </c>
      <c r="E295" s="735"/>
      <c r="F295" s="735"/>
      <c r="G295" s="735"/>
      <c r="H295" s="70"/>
      <c r="I295" s="52" t="str">
        <f>IF($K295&lt;&gt;0,VLOOKUP($K295,DM_KM,3,0),"")</f>
        <v>#N/A</v>
      </c>
      <c r="J295" s="52" t="str">
        <f>IF($K295&lt;&gt;0,VLOOKUP($K295,DM_KM,5,0),"")</f>
        <v>#N/A</v>
      </c>
      <c r="K295" s="735" t="s">
        <v>573</v>
      </c>
      <c r="L295" s="735"/>
      <c r="M295" s="68"/>
      <c r="N295" s="738">
        <v>250000.0</v>
      </c>
      <c r="O295" s="1188" t="s">
        <v>2218</v>
      </c>
      <c r="P295" s="751"/>
    </row>
    <row r="296" hidden="1">
      <c r="A296" s="1186">
        <v>44682.0</v>
      </c>
      <c r="B296" s="52" t="str">
        <f t="shared" si="1"/>
        <v>05/2022</v>
      </c>
      <c r="C296" s="52" t="str">
        <f>IF(A296="","",VLOOKUP(A296,'THAM CHIẾU'!$A:$B,2,0))</f>
        <v>#N/A</v>
      </c>
      <c r="D296" s="52" t="str">
        <f>IF(E296&lt;&gt;0,VLOOKUP(E296,DM_DUAN,3,0),"")</f>
        <v/>
      </c>
      <c r="E296" s="735"/>
      <c r="F296" s="735"/>
      <c r="G296" s="735"/>
      <c r="H296" s="70"/>
      <c r="I296" s="1189" t="str">
        <f>IF($K296&lt;&gt;0,VLOOKUP($K296,DM_KM,3,0),"")</f>
        <v>#N/A</v>
      </c>
      <c r="J296" s="52" t="str">
        <f>IF($K296&lt;&gt;0,VLOOKUP($K296,DM_KM,5,0),"")</f>
        <v>#N/A</v>
      </c>
      <c r="K296" s="735" t="s">
        <v>1273</v>
      </c>
      <c r="L296" s="735"/>
      <c r="M296" s="68"/>
      <c r="N296" s="738">
        <v>328000.0</v>
      </c>
      <c r="O296" s="737" t="s">
        <v>1273</v>
      </c>
      <c r="P296" s="751"/>
    </row>
    <row r="297" hidden="1">
      <c r="A297" s="1186">
        <v>44682.0</v>
      </c>
      <c r="B297" s="52" t="str">
        <f t="shared" si="1"/>
        <v>05/2022</v>
      </c>
      <c r="C297" s="52" t="str">
        <f>IF(A297="","",VLOOKUP(A297,'THAM CHIẾU'!$A:$B,2,0))</f>
        <v>#N/A</v>
      </c>
      <c r="D297" s="52" t="str">
        <f>IF(E297&lt;&gt;0,VLOOKUP(E297,DM_DUAN,3,0),"")</f>
        <v/>
      </c>
      <c r="E297" s="735"/>
      <c r="F297" s="735"/>
      <c r="G297" s="735"/>
      <c r="H297" s="70"/>
      <c r="I297" s="52" t="str">
        <f>IF($K297&lt;&gt;0,VLOOKUP($K297,DM_KM,3,0),"")</f>
        <v>VHVP</v>
      </c>
      <c r="J297" s="52">
        <f>IF($K297&lt;&gt;0,VLOOKUP($K297,DM_KM,5,0),"")</f>
        <v>642</v>
      </c>
      <c r="K297" s="735" t="s">
        <v>1153</v>
      </c>
      <c r="L297" s="735"/>
      <c r="M297" s="68"/>
      <c r="N297" s="738">
        <v>8333000.0</v>
      </c>
      <c r="O297" s="737" t="s">
        <v>2219</v>
      </c>
      <c r="P297" s="751"/>
    </row>
    <row r="298" hidden="1">
      <c r="A298" s="1186">
        <v>44682.0</v>
      </c>
      <c r="B298" s="52" t="str">
        <f t="shared" si="1"/>
        <v>05/2022</v>
      </c>
      <c r="C298" s="52" t="str">
        <f>IF(A298="","",VLOOKUP(A298,'THAM CHIẾU'!$A:$B,2,0))</f>
        <v>#N/A</v>
      </c>
      <c r="D298" s="52" t="str">
        <f>IF(E298&lt;&gt;0,VLOOKUP(E298,DM_DUAN,3,0),"")</f>
        <v/>
      </c>
      <c r="E298" s="735"/>
      <c r="F298" s="735"/>
      <c r="G298" s="735"/>
      <c r="H298" s="70"/>
      <c r="I298" s="52" t="str">
        <f>IF($K298&lt;&gt;0,VLOOKUP($K298,DM_KM,3,0),"")</f>
        <v>#N/A</v>
      </c>
      <c r="J298" s="52" t="str">
        <f>IF($K298&lt;&gt;0,VLOOKUP($K298,DM_KM,5,0),"")</f>
        <v>#N/A</v>
      </c>
      <c r="K298" s="735" t="s">
        <v>2220</v>
      </c>
      <c r="L298" s="735"/>
      <c r="M298" s="68"/>
      <c r="N298" s="738">
        <v>416000.0</v>
      </c>
      <c r="O298" s="737" t="s">
        <v>2221</v>
      </c>
      <c r="P298" s="751"/>
    </row>
    <row r="299" hidden="1">
      <c r="A299" s="1186">
        <v>44682.0</v>
      </c>
      <c r="B299" s="52" t="str">
        <f t="shared" si="1"/>
        <v>05/2022</v>
      </c>
      <c r="C299" s="52" t="str">
        <f>IF(A299="","",VLOOKUP(A299,'THAM CHIẾU'!$A:$B,2,0))</f>
        <v>#N/A</v>
      </c>
      <c r="D299" s="52" t="str">
        <f>IF(E299&lt;&gt;0,VLOOKUP(E299,DM_DUAN,3,0),"")</f>
        <v/>
      </c>
      <c r="E299" s="735"/>
      <c r="F299" s="735"/>
      <c r="G299" s="735"/>
      <c r="H299" s="70"/>
      <c r="I299" s="52" t="str">
        <f>IF($K299&lt;&gt;0,VLOOKUP($K299,DM_KM,3,0),"")</f>
        <v>#N/A</v>
      </c>
      <c r="J299" s="52" t="str">
        <f>IF($K299&lt;&gt;0,VLOOKUP($K299,DM_KM,5,0),"")</f>
        <v>#N/A</v>
      </c>
      <c r="K299" s="735" t="s">
        <v>262</v>
      </c>
      <c r="L299" s="735"/>
      <c r="M299" s="68"/>
      <c r="N299" s="738">
        <v>833000.0</v>
      </c>
      <c r="O299" s="737" t="s">
        <v>2222</v>
      </c>
      <c r="P299" s="751"/>
    </row>
    <row r="300" hidden="1">
      <c r="A300" s="1186">
        <v>44682.0</v>
      </c>
      <c r="B300" s="52" t="str">
        <f t="shared" si="1"/>
        <v>05/2022</v>
      </c>
      <c r="C300" s="52" t="str">
        <f>IF(A300="","",VLOOKUP(A300,'THAM CHIẾU'!$A:$B,2,0))</f>
        <v>#N/A</v>
      </c>
      <c r="D300" s="52" t="str">
        <f>IF(E300&lt;&gt;0,VLOOKUP(E300,DM_DUAN,3,0),"")</f>
        <v/>
      </c>
      <c r="E300" s="735"/>
      <c r="F300" s="735"/>
      <c r="G300" s="735"/>
      <c r="H300" s="70"/>
      <c r="I300" s="52" t="str">
        <f>IF($K300&lt;&gt;0,VLOOKUP($K300,DM_KM,3,0),"")</f>
        <v>#N/A</v>
      </c>
      <c r="J300" s="52" t="str">
        <f>IF($K300&lt;&gt;0,VLOOKUP($K300,DM_KM,5,0),"")</f>
        <v>#N/A</v>
      </c>
      <c r="K300" s="735" t="s">
        <v>2223</v>
      </c>
      <c r="L300" s="735"/>
      <c r="M300" s="68"/>
      <c r="N300" s="738">
        <v>4166000.0</v>
      </c>
      <c r="O300" s="737" t="s">
        <v>2224</v>
      </c>
      <c r="P300" s="751"/>
    </row>
    <row r="301" hidden="1">
      <c r="A301" s="1186">
        <v>44682.0</v>
      </c>
      <c r="B301" s="52" t="str">
        <f t="shared" si="1"/>
        <v>05/2022</v>
      </c>
      <c r="C301" s="52" t="str">
        <f>IF(A301="","",VLOOKUP(A301,'THAM CHIẾU'!$A:$B,2,0))</f>
        <v>#N/A</v>
      </c>
      <c r="D301" s="52" t="str">
        <f>IF(E301&lt;&gt;0,VLOOKUP(E301,DM_DUAN,3,0),"")</f>
        <v/>
      </c>
      <c r="E301" s="735"/>
      <c r="F301" s="735"/>
      <c r="G301" s="735" t="s">
        <v>176</v>
      </c>
      <c r="H301" s="70"/>
      <c r="I301" s="52" t="str">
        <f>IF($K301&lt;&gt;0,VLOOKUP($K301,DM_KM,3,0),"")</f>
        <v>#N/A</v>
      </c>
      <c r="J301" s="52" t="str">
        <f>IF($K301&lt;&gt;0,VLOOKUP($K301,DM_KM,5,0),"")</f>
        <v>#N/A</v>
      </c>
      <c r="K301" s="1187" t="s">
        <v>374</v>
      </c>
      <c r="L301" s="735"/>
      <c r="M301" s="68"/>
      <c r="N301" s="738">
        <v>1666000.0</v>
      </c>
      <c r="O301" s="1188" t="s">
        <v>2225</v>
      </c>
      <c r="P301" s="751"/>
    </row>
    <row r="302" hidden="1">
      <c r="A302" s="1186">
        <v>44682.0</v>
      </c>
      <c r="B302" s="52" t="str">
        <f t="shared" si="1"/>
        <v>05/2022</v>
      </c>
      <c r="C302" s="52" t="str">
        <f>IF(A302="","",VLOOKUP(A302,'THAM CHIẾU'!$A:$B,2,0))</f>
        <v>#N/A</v>
      </c>
      <c r="D302" s="52" t="str">
        <f>IF(E302&lt;&gt;0,VLOOKUP(E302,DM_DUAN,3,0),"")</f>
        <v/>
      </c>
      <c r="E302" s="735"/>
      <c r="F302" s="735"/>
      <c r="G302" s="735"/>
      <c r="H302" s="70"/>
      <c r="I302" s="52" t="str">
        <f>IF($K302&lt;&gt;0,VLOOKUP($K302,DM_KM,3,0),"")</f>
        <v>#N/A</v>
      </c>
      <c r="J302" s="52" t="str">
        <f>IF($K302&lt;&gt;0,VLOOKUP($K302,DM_KM,5,0),"")</f>
        <v>#N/A</v>
      </c>
      <c r="K302" s="735" t="s">
        <v>380</v>
      </c>
      <c r="L302" s="735"/>
      <c r="M302" s="68"/>
      <c r="N302" s="738">
        <v>1666000.0</v>
      </c>
      <c r="O302" s="1188" t="s">
        <v>2226</v>
      </c>
      <c r="P302" s="751"/>
    </row>
    <row r="303" hidden="1">
      <c r="A303" s="1186">
        <v>44682.0</v>
      </c>
      <c r="B303" s="52" t="str">
        <f t="shared" si="1"/>
        <v>05/2022</v>
      </c>
      <c r="C303" s="52" t="str">
        <f>IF(A303="","",VLOOKUP(A303,'THAM CHIẾU'!$A:$B,2,0))</f>
        <v>#N/A</v>
      </c>
      <c r="D303" s="52" t="str">
        <f>IF(E303&lt;&gt;0,VLOOKUP(E303,DM_DUAN,3,0),"")</f>
        <v/>
      </c>
      <c r="E303" s="735"/>
      <c r="F303" s="735"/>
      <c r="G303" s="735"/>
      <c r="H303" s="70"/>
      <c r="I303" s="52" t="str">
        <f>IF($K303&lt;&gt;0,VLOOKUP($K303,DM_KM,3,0),"")</f>
        <v>#N/A</v>
      </c>
      <c r="J303" s="52" t="str">
        <f>IF($K303&lt;&gt;0,VLOOKUP($K303,DM_KM,5,0),"")</f>
        <v>#N/A</v>
      </c>
      <c r="K303" s="735" t="s">
        <v>272</v>
      </c>
      <c r="L303" s="735"/>
      <c r="M303" s="68"/>
      <c r="N303" s="738">
        <v>6666000.0</v>
      </c>
      <c r="O303" s="737" t="s">
        <v>2227</v>
      </c>
      <c r="P303" s="751"/>
    </row>
    <row r="304" hidden="1">
      <c r="A304" s="1186">
        <v>44682.0</v>
      </c>
      <c r="B304" s="52" t="str">
        <f t="shared" si="1"/>
        <v>05/2022</v>
      </c>
      <c r="C304" s="52" t="str">
        <f>IF(A304="","",VLOOKUP(A304,'THAM CHIẾU'!$A:$B,2,0))</f>
        <v>#N/A</v>
      </c>
      <c r="D304" s="52" t="str">
        <f>IF(E304&lt;&gt;0,VLOOKUP(E304,DM_DUAN,3,0),"")</f>
        <v/>
      </c>
      <c r="E304" s="735"/>
      <c r="F304" s="735"/>
      <c r="G304" s="735"/>
      <c r="H304" s="70"/>
      <c r="I304" s="52" t="str">
        <f>IF($K304&lt;&gt;0,VLOOKUP($K304,DM_KM,3,0),"")</f>
        <v>#N/A</v>
      </c>
      <c r="J304" s="52" t="str">
        <f>IF($K304&lt;&gt;0,VLOOKUP($K304,DM_KM,5,0),"")</f>
        <v>#N/A</v>
      </c>
      <c r="K304" s="735" t="s">
        <v>380</v>
      </c>
      <c r="L304" s="735"/>
      <c r="M304" s="68"/>
      <c r="N304" s="738">
        <v>833000.0</v>
      </c>
      <c r="O304" s="1188" t="s">
        <v>2228</v>
      </c>
      <c r="P304" s="751"/>
    </row>
    <row r="305" hidden="1">
      <c r="A305" s="1186">
        <v>44682.0</v>
      </c>
      <c r="B305" s="52" t="str">
        <f t="shared" si="1"/>
        <v>05/2022</v>
      </c>
      <c r="C305" s="52" t="str">
        <f>IF(A305="","",VLOOKUP(A305,'THAM CHIẾU'!$A:$B,2,0))</f>
        <v>#N/A</v>
      </c>
      <c r="D305" s="52" t="str">
        <f>IF(E305&lt;&gt;0,VLOOKUP(E305,DM_DUAN,3,0),"")</f>
        <v/>
      </c>
      <c r="E305" s="735"/>
      <c r="F305" s="735"/>
      <c r="G305" s="735"/>
      <c r="H305" s="70"/>
      <c r="I305" s="52" t="str">
        <f>IF($K305&lt;&gt;0,VLOOKUP($K305,DM_KM,3,0),"")</f>
        <v>#N/A</v>
      </c>
      <c r="J305" s="52" t="str">
        <f>IF($K305&lt;&gt;0,VLOOKUP($K305,DM_KM,5,0),"")</f>
        <v>#N/A</v>
      </c>
      <c r="K305" s="735" t="s">
        <v>222</v>
      </c>
      <c r="L305" s="735"/>
      <c r="M305" s="68"/>
      <c r="N305" s="738">
        <v>416000.0</v>
      </c>
      <c r="O305" s="737" t="s">
        <v>2229</v>
      </c>
      <c r="P305" s="751"/>
    </row>
    <row r="306" hidden="1">
      <c r="A306" s="1186">
        <v>44682.0</v>
      </c>
      <c r="B306" s="52" t="str">
        <f t="shared" si="1"/>
        <v>05/2022</v>
      </c>
      <c r="C306" s="52" t="str">
        <f>IF(A306="","",VLOOKUP(A306,'THAM CHIẾU'!$A:$B,2,0))</f>
        <v>#N/A</v>
      </c>
      <c r="D306" s="52" t="str">
        <f>IF(E306&lt;&gt;0,VLOOKUP(E306,DM_DUAN,3,0),"")</f>
        <v/>
      </c>
      <c r="E306" s="735"/>
      <c r="F306" s="735"/>
      <c r="G306" s="735"/>
      <c r="H306" s="70"/>
      <c r="I306" s="1189" t="str">
        <f>IF($K306&lt;&gt;0,VLOOKUP($K306,DM_KM,3,0),"")</f>
        <v>#N/A</v>
      </c>
      <c r="J306" s="52" t="str">
        <f>IF($K306&lt;&gt;0,VLOOKUP($K306,DM_KM,5,0),"")</f>
        <v>#N/A</v>
      </c>
      <c r="K306" s="1187" t="s">
        <v>267</v>
      </c>
      <c r="L306" s="735"/>
      <c r="M306" s="68"/>
      <c r="N306" s="738">
        <v>3.184E8</v>
      </c>
      <c r="O306" s="1188" t="s">
        <v>2230</v>
      </c>
      <c r="P306" s="751"/>
    </row>
    <row r="307" hidden="1">
      <c r="A307" s="1186">
        <v>44682.0</v>
      </c>
      <c r="B307" s="52" t="str">
        <f t="shared" si="1"/>
        <v>05/2022</v>
      </c>
      <c r="C307" s="52" t="str">
        <f>IF(A307="","",VLOOKUP(A307,'THAM CHIẾU'!$A:$B,2,0))</f>
        <v>#N/A</v>
      </c>
      <c r="D307" s="52" t="str">
        <f>IF(E307&lt;&gt;0,VLOOKUP(E307,DM_DUAN,3,0),"")</f>
        <v/>
      </c>
      <c r="E307" s="735"/>
      <c r="F307" s="735"/>
      <c r="G307" s="735"/>
      <c r="H307" s="70"/>
      <c r="I307" s="52" t="str">
        <f>IF($K307&lt;&gt;0,VLOOKUP($K307,DM_KM,3,0),"")</f>
        <v>THUEVP</v>
      </c>
      <c r="J307" s="52">
        <f>IF($K307&lt;&gt;0,VLOOKUP($K307,DM_KM,5,0),"")</f>
        <v>642</v>
      </c>
      <c r="K307" s="735" t="s">
        <v>270</v>
      </c>
      <c r="L307" s="735"/>
      <c r="M307" s="68"/>
      <c r="N307" s="738">
        <v>4.5143E7</v>
      </c>
      <c r="O307" s="1188" t="s">
        <v>2231</v>
      </c>
      <c r="P307" s="751"/>
    </row>
    <row r="308" hidden="1">
      <c r="A308" s="1186">
        <v>44682.0</v>
      </c>
      <c r="B308" s="52" t="str">
        <f t="shared" si="1"/>
        <v>05/2022</v>
      </c>
      <c r="C308" s="52" t="str">
        <f>IF(A308="","",VLOOKUP(A308,'THAM CHIẾU'!$A:$B,2,0))</f>
        <v>#N/A</v>
      </c>
      <c r="D308" s="52" t="str">
        <f>IF(E308&lt;&gt;0,VLOOKUP(E308,DM_DUAN,3,0),"")</f>
        <v/>
      </c>
      <c r="E308" s="735"/>
      <c r="F308" s="735"/>
      <c r="G308" s="735"/>
      <c r="H308" s="70"/>
      <c r="I308" s="52" t="str">
        <f>IF($K308&lt;&gt;0,VLOOKUP($K308,DM_KM,3,0),"")</f>
        <v>#N/A</v>
      </c>
      <c r="J308" s="52" t="str">
        <f>IF($K308&lt;&gt;0,VLOOKUP($K308,DM_KM,5,0),"")</f>
        <v>#N/A</v>
      </c>
      <c r="K308" s="735" t="s">
        <v>410</v>
      </c>
      <c r="L308" s="735"/>
      <c r="M308" s="68"/>
      <c r="N308" s="738">
        <v>1250000.0</v>
      </c>
      <c r="O308" s="737" t="s">
        <v>410</v>
      </c>
      <c r="P308" s="751"/>
    </row>
    <row r="309" hidden="1">
      <c r="A309" s="1186">
        <v>44682.0</v>
      </c>
      <c r="B309" s="52" t="str">
        <f t="shared" si="1"/>
        <v>05/2022</v>
      </c>
      <c r="C309" s="52" t="str">
        <f>IF(A309="","",VLOOKUP(A309,'THAM CHIẾU'!$A:$B,2,0))</f>
        <v>#N/A</v>
      </c>
      <c r="D309" s="52" t="str">
        <f>IF(E309&lt;&gt;0,VLOOKUP(E309,DM_DUAN,3,0),"")</f>
        <v/>
      </c>
      <c r="E309" s="735"/>
      <c r="F309" s="735"/>
      <c r="G309" s="735"/>
      <c r="H309" s="70"/>
      <c r="I309" s="52" t="str">
        <f>IF($K309&lt;&gt;0,VLOOKUP($K309,DM_KM,3,0),"")</f>
        <v>#N/A</v>
      </c>
      <c r="J309" s="52" t="str">
        <f>IF($K309&lt;&gt;0,VLOOKUP($K309,DM_KM,5,0),"")</f>
        <v>#N/A</v>
      </c>
      <c r="K309" s="1187" t="s">
        <v>252</v>
      </c>
      <c r="L309" s="735"/>
      <c r="M309" s="68"/>
      <c r="N309" s="738">
        <v>1.6666E7</v>
      </c>
      <c r="O309" s="1188" t="s">
        <v>2232</v>
      </c>
      <c r="P309" s="751"/>
    </row>
    <row r="310" hidden="1">
      <c r="A310" s="1186">
        <v>44682.0</v>
      </c>
      <c r="B310" s="52" t="str">
        <f t="shared" si="1"/>
        <v>05/2022</v>
      </c>
      <c r="C310" s="52" t="str">
        <f>IF(A310="","",VLOOKUP(A310,'THAM CHIẾU'!$A:$B,2,0))</f>
        <v>#N/A</v>
      </c>
      <c r="D310" s="52" t="str">
        <f>IF(E310&lt;&gt;0,VLOOKUP(E310,DM_DUAN,3,0),"")</f>
        <v/>
      </c>
      <c r="E310" s="735"/>
      <c r="F310" s="735"/>
      <c r="G310" s="735"/>
      <c r="H310" s="70"/>
      <c r="I310" s="52" t="str">
        <f>IF($K310&lt;&gt;0,VLOOKUP($K310,DM_KM,3,0),"")</f>
        <v>#N/A</v>
      </c>
      <c r="J310" s="52" t="str">
        <f>IF($K310&lt;&gt;0,VLOOKUP($K310,DM_KM,5,0),"")</f>
        <v>#N/A</v>
      </c>
      <c r="K310" s="735" t="s">
        <v>380</v>
      </c>
      <c r="L310" s="735"/>
      <c r="M310" s="68"/>
      <c r="N310" s="738">
        <v>1666000.0</v>
      </c>
      <c r="O310" s="1188" t="s">
        <v>2233</v>
      </c>
      <c r="P310" s="751"/>
    </row>
    <row r="311" hidden="1">
      <c r="A311" s="1186">
        <v>44682.0</v>
      </c>
      <c r="B311" s="52" t="str">
        <f t="shared" si="1"/>
        <v>05/2022</v>
      </c>
      <c r="C311" s="52" t="str">
        <f>IF(A311="","",VLOOKUP(A311,'THAM CHIẾU'!$A:$B,2,0))</f>
        <v>#N/A</v>
      </c>
      <c r="D311" s="52" t="str">
        <f>IF(E311&lt;&gt;0,VLOOKUP(E311,DM_DUAN,3,0),"")</f>
        <v/>
      </c>
      <c r="E311" s="735"/>
      <c r="F311" s="735"/>
      <c r="G311" s="735"/>
      <c r="H311" s="70"/>
      <c r="I311" s="52" t="str">
        <f>IF($K311&lt;&gt;0,VLOOKUP($K311,DM_KM,3,0),"")</f>
        <v>#N/A</v>
      </c>
      <c r="J311" s="52" t="str">
        <f>IF($K311&lt;&gt;0,VLOOKUP($K311,DM_KM,5,0),"")</f>
        <v>#N/A</v>
      </c>
      <c r="K311" s="1187" t="s">
        <v>206</v>
      </c>
      <c r="L311" s="735"/>
      <c r="M311" s="68"/>
      <c r="N311" s="738">
        <v>1703000.0</v>
      </c>
      <c r="O311" s="1188" t="s">
        <v>206</v>
      </c>
      <c r="P311" s="751"/>
    </row>
    <row r="312" hidden="1">
      <c r="A312" s="1186">
        <v>44682.0</v>
      </c>
      <c r="B312" s="52" t="str">
        <f t="shared" si="1"/>
        <v>05/2022</v>
      </c>
      <c r="C312" s="52" t="str">
        <f>IF(A312="","",VLOOKUP(A312,'THAM CHIẾU'!$A:$B,2,0))</f>
        <v>#N/A</v>
      </c>
      <c r="D312" s="52" t="str">
        <f>IF(E312&lt;&gt;0,VLOOKUP(E312,DM_DUAN,3,0),"")</f>
        <v/>
      </c>
      <c r="E312" s="735"/>
      <c r="F312" s="735"/>
      <c r="G312" s="735"/>
      <c r="H312" s="70"/>
      <c r="I312" s="52" t="str">
        <f>IF($K312&lt;&gt;0,VLOOKUP($K312,DM_KM,3,0),"")</f>
        <v>#N/A</v>
      </c>
      <c r="J312" s="52" t="str">
        <f>IF($K312&lt;&gt;0,VLOOKUP($K312,DM_KM,5,0),"")</f>
        <v>#N/A</v>
      </c>
      <c r="K312" s="1187" t="s">
        <v>226</v>
      </c>
      <c r="L312" s="735"/>
      <c r="M312" s="68"/>
      <c r="N312" s="738">
        <v>1250000.0</v>
      </c>
      <c r="O312" s="1188" t="s">
        <v>2234</v>
      </c>
      <c r="P312" s="751"/>
    </row>
    <row r="313" hidden="1">
      <c r="A313" s="1186">
        <v>44682.0</v>
      </c>
      <c r="B313" s="52" t="str">
        <f t="shared" si="1"/>
        <v>05/2022</v>
      </c>
      <c r="C313" s="52" t="str">
        <f>IF(A313="","",VLOOKUP(A313,'THAM CHIẾU'!$A:$B,2,0))</f>
        <v>#N/A</v>
      </c>
      <c r="D313" s="52" t="str">
        <f>IF(E313&lt;&gt;0,VLOOKUP(E313,DM_DUAN,3,0),"")</f>
        <v/>
      </c>
      <c r="E313" s="735"/>
      <c r="F313" s="735"/>
      <c r="G313" s="735"/>
      <c r="H313" s="70"/>
      <c r="I313" s="52" t="str">
        <f>IF($K313&lt;&gt;0,VLOOKUP($K313,DM_KM,3,0),"")</f>
        <v>#N/A</v>
      </c>
      <c r="J313" s="52" t="str">
        <f>IF($K313&lt;&gt;0,VLOOKUP($K313,DM_KM,5,0),"")</f>
        <v>#N/A</v>
      </c>
      <c r="K313" s="735" t="s">
        <v>174</v>
      </c>
      <c r="L313" s="735"/>
      <c r="M313" s="68"/>
      <c r="N313" s="738">
        <v>4.0861E7</v>
      </c>
      <c r="O313" s="737" t="s">
        <v>2235</v>
      </c>
      <c r="P313" s="751"/>
    </row>
    <row r="314" hidden="1">
      <c r="A314" s="1186">
        <v>44682.0</v>
      </c>
      <c r="B314" s="52" t="str">
        <f t="shared" si="1"/>
        <v>05/2022</v>
      </c>
      <c r="C314" s="52" t="str">
        <f>IF(A314="","",VLOOKUP(A314,'THAM CHIẾU'!$A:$B,2,0))</f>
        <v>#N/A</v>
      </c>
      <c r="D314" s="52" t="str">
        <f>IF(E314&lt;&gt;0,VLOOKUP(E314,DM_DUAN,3,0),"")</f>
        <v/>
      </c>
      <c r="E314" s="735"/>
      <c r="F314" s="735"/>
      <c r="G314" s="735"/>
      <c r="H314" s="70"/>
      <c r="I314" s="52" t="str">
        <f>IF($K314&lt;&gt;0,VLOOKUP($K314,DM_KM,3,0),"")</f>
        <v>#N/A</v>
      </c>
      <c r="J314" s="52" t="str">
        <f>IF($K314&lt;&gt;0,VLOOKUP($K314,DM_KM,5,0),"")</f>
        <v>#N/A</v>
      </c>
      <c r="K314" s="735" t="s">
        <v>2236</v>
      </c>
      <c r="L314" s="735"/>
      <c r="M314" s="68"/>
      <c r="N314" s="738">
        <v>1666000.0</v>
      </c>
      <c r="O314" s="1188" t="s">
        <v>2237</v>
      </c>
      <c r="P314" s="751"/>
    </row>
    <row r="315" hidden="1">
      <c r="A315" s="1186">
        <v>44682.0</v>
      </c>
      <c r="B315" s="52" t="str">
        <f t="shared" si="1"/>
        <v>05/2022</v>
      </c>
      <c r="C315" s="52" t="str">
        <f>IF(A315="","",VLOOKUP(A315,'THAM CHIẾU'!$A:$B,2,0))</f>
        <v>#N/A</v>
      </c>
      <c r="D315" s="52" t="str">
        <f>IF(E315&lt;&gt;0,VLOOKUP(E315,DM_DUAN,3,0),"")</f>
        <v/>
      </c>
      <c r="E315" s="735"/>
      <c r="F315" s="735"/>
      <c r="G315" s="735"/>
      <c r="H315" s="70"/>
      <c r="I315" s="52" t="str">
        <f>IF($K315&lt;&gt;0,VLOOKUP($K315,DM_KM,3,0),"")</f>
        <v/>
      </c>
      <c r="J315" s="52" t="str">
        <f>IF($K315&lt;&gt;0,VLOOKUP($K315,DM_KM,5,0),"")</f>
        <v/>
      </c>
      <c r="K315" s="735"/>
      <c r="L315" s="735"/>
      <c r="M315" s="68"/>
      <c r="N315" s="738"/>
      <c r="O315" s="1188"/>
      <c r="P315" s="751"/>
    </row>
    <row r="316" hidden="1">
      <c r="A316" s="1186">
        <v>44682.0</v>
      </c>
      <c r="B316" s="52" t="str">
        <f t="shared" si="1"/>
        <v>05/2022</v>
      </c>
      <c r="C316" s="52" t="str">
        <f>IF(A316="","",VLOOKUP(A316,'THAM CHIẾU'!$A:$B,2,0))</f>
        <v>#N/A</v>
      </c>
      <c r="D316" s="52" t="str">
        <f>IF(E316&lt;&gt;0,VLOOKUP(E316,DM_DUAN,3,0),"")</f>
        <v/>
      </c>
      <c r="E316" s="735"/>
      <c r="F316" s="735"/>
      <c r="G316" s="735"/>
      <c r="H316" s="70"/>
      <c r="I316" s="52" t="str">
        <f>IF($K316&lt;&gt;0,VLOOKUP($K316,DM_KM,3,0),"")</f>
        <v>#N/A</v>
      </c>
      <c r="J316" s="52" t="str">
        <f>IF($K316&lt;&gt;0,VLOOKUP($K316,DM_KM,5,0),"")</f>
        <v>#N/A</v>
      </c>
      <c r="K316" s="735" t="s">
        <v>169</v>
      </c>
      <c r="L316" s="735"/>
      <c r="M316" s="68"/>
      <c r="N316" s="738">
        <v>1.0643E7</v>
      </c>
      <c r="O316" s="1188" t="s">
        <v>2240</v>
      </c>
      <c r="P316" s="751"/>
    </row>
    <row r="317" hidden="1">
      <c r="A317" s="1186">
        <v>44682.0</v>
      </c>
      <c r="B317" s="52" t="str">
        <f t="shared" si="1"/>
        <v>05/2022</v>
      </c>
      <c r="C317" s="52" t="str">
        <f>IF(A317="","",VLOOKUP(A317,'THAM CHIẾU'!$A:$B,2,0))</f>
        <v>#N/A</v>
      </c>
      <c r="D317" s="52" t="str">
        <f>IF(E317&lt;&gt;0,VLOOKUP(E317,DM_DUAN,3,0),"")</f>
        <v/>
      </c>
      <c r="E317" s="735"/>
      <c r="F317" s="735"/>
      <c r="G317" s="735"/>
      <c r="H317" s="70"/>
      <c r="I317" s="1189" t="str">
        <f>IF($K317&lt;&gt;0,VLOOKUP($K317,DM_KM,3,0),"")</f>
        <v>#N/A</v>
      </c>
      <c r="J317" s="52" t="str">
        <f>IF($K317&lt;&gt;0,VLOOKUP($K317,DM_KM,5,0),"")</f>
        <v>#N/A</v>
      </c>
      <c r="K317" s="1187" t="s">
        <v>190</v>
      </c>
      <c r="L317" s="735"/>
      <c r="M317" s="68"/>
      <c r="N317" s="738">
        <v>3.9E9</v>
      </c>
      <c r="O317" s="1188" t="s">
        <v>2241</v>
      </c>
      <c r="P317" s="739"/>
    </row>
    <row r="318" hidden="1">
      <c r="A318" s="1186">
        <v>44682.0</v>
      </c>
      <c r="B318" s="52" t="str">
        <f t="shared" si="1"/>
        <v>05/2022</v>
      </c>
      <c r="C318" s="52" t="str">
        <f>IF(A318="","",VLOOKUP(A318,'THAM CHIẾU'!$A:$B,2,0))</f>
        <v>#N/A</v>
      </c>
      <c r="D318" s="52" t="str">
        <f>IF(E318&lt;&gt;0,VLOOKUP(E318,DM_DUAN,3,0),"")</f>
        <v/>
      </c>
      <c r="E318" s="735"/>
      <c r="F318" s="735"/>
      <c r="G318" s="735"/>
      <c r="H318" s="70"/>
      <c r="I318" s="1189" t="str">
        <f>IF($K318&lt;&gt;0,VLOOKUP($K318,DM_KM,3,0),"")</f>
        <v>#N/A</v>
      </c>
      <c r="J318" s="52" t="str">
        <f>IF($K318&lt;&gt;0,VLOOKUP($K318,DM_KM,5,0),"")</f>
        <v>#N/A</v>
      </c>
      <c r="K318" s="1187" t="s">
        <v>194</v>
      </c>
      <c r="L318" s="735"/>
      <c r="M318" s="68"/>
      <c r="N318" s="738">
        <v>1.04E9</v>
      </c>
      <c r="O318" s="1188" t="s">
        <v>2242</v>
      </c>
      <c r="P318" s="739"/>
    </row>
    <row r="319" hidden="1">
      <c r="A319" s="1186">
        <v>44682.0</v>
      </c>
      <c r="B319" s="52" t="str">
        <f t="shared" si="1"/>
        <v>05/2022</v>
      </c>
      <c r="C319" s="52" t="str">
        <f>IF(A319="","",VLOOKUP(A319,'THAM CHIẾU'!$A:$B,2,0))</f>
        <v>#N/A</v>
      </c>
      <c r="D319" s="52" t="str">
        <f>IF(E319&lt;&gt;0,VLOOKUP(E319,DM_DUAN,3,0),"")</f>
        <v/>
      </c>
      <c r="E319" s="735"/>
      <c r="F319" s="735"/>
      <c r="G319" s="735"/>
      <c r="H319" s="70"/>
      <c r="I319" s="52" t="str">
        <f>IF($K319&lt;&gt;0,VLOOKUP($K319,DM_KM,3,0),"")</f>
        <v>#N/A</v>
      </c>
      <c r="J319" s="52" t="str">
        <f>IF($K319&lt;&gt;0,VLOOKUP($K319,DM_KM,5,0),"")</f>
        <v>#N/A</v>
      </c>
      <c r="K319" s="1187" t="s">
        <v>1170</v>
      </c>
      <c r="L319" s="735"/>
      <c r="M319" s="68"/>
      <c r="N319" s="738">
        <v>1.3E8</v>
      </c>
      <c r="O319" s="1188" t="s">
        <v>1474</v>
      </c>
      <c r="P319" s="751"/>
    </row>
    <row r="320" hidden="1">
      <c r="A320" s="1186">
        <v>44682.0</v>
      </c>
      <c r="B320" s="52" t="str">
        <f t="shared" si="1"/>
        <v>05/2022</v>
      </c>
      <c r="C320" s="52" t="str">
        <f>IF(A320="","",VLOOKUP(A320,'THAM CHIẾU'!$A:$B,2,0))</f>
        <v>#N/A</v>
      </c>
      <c r="D320" s="52" t="str">
        <f>IF(E320&lt;&gt;0,VLOOKUP(E320,DM_DUAN,3,0),"")</f>
        <v/>
      </c>
      <c r="E320" s="735"/>
      <c r="F320" s="735"/>
      <c r="G320" s="735"/>
      <c r="H320" s="70"/>
      <c r="I320" s="52" t="str">
        <f>IF($K320&lt;&gt;0,VLOOKUP($K320,DM_KM,3,0),"")</f>
        <v>#N/A</v>
      </c>
      <c r="J320" s="52" t="str">
        <f>IF($K320&lt;&gt;0,VLOOKUP($K320,DM_KM,5,0),"")</f>
        <v>#N/A</v>
      </c>
      <c r="K320" s="735" t="s">
        <v>1142</v>
      </c>
      <c r="L320" s="735"/>
      <c r="M320" s="68"/>
      <c r="N320" s="738">
        <v>1.248E9</v>
      </c>
      <c r="O320" s="737" t="s">
        <v>2244</v>
      </c>
      <c r="P320" s="751"/>
    </row>
    <row r="321" hidden="1">
      <c r="A321" s="1186">
        <v>44682.0</v>
      </c>
      <c r="B321" s="52" t="str">
        <f t="shared" si="1"/>
        <v>05/2022</v>
      </c>
      <c r="C321" s="52" t="str">
        <f>IF(A321="","",VLOOKUP(A321,'THAM CHIẾU'!$A:$B,2,0))</f>
        <v>#N/A</v>
      </c>
      <c r="D321" s="52" t="str">
        <f>IF(E321&lt;&gt;0,VLOOKUP(E321,DM_DUAN,3,0),"")</f>
        <v/>
      </c>
      <c r="E321" s="735"/>
      <c r="F321" s="735"/>
      <c r="G321" s="735"/>
      <c r="H321" s="70"/>
      <c r="I321" s="1189" t="str">
        <f>IF($K321&lt;&gt;0,VLOOKUP($K321,DM_KM,3,0),"")</f>
        <v>#N/A</v>
      </c>
      <c r="J321" s="52" t="str">
        <f>IF($K321&lt;&gt;0,VLOOKUP($K321,DM_KM,5,0),"")</f>
        <v>#N/A</v>
      </c>
      <c r="K321" s="1187" t="s">
        <v>181</v>
      </c>
      <c r="L321" s="735"/>
      <c r="M321" s="68"/>
      <c r="N321" s="738">
        <v>1.3E9</v>
      </c>
      <c r="O321" s="1188" t="s">
        <v>2245</v>
      </c>
      <c r="P321" s="751"/>
    </row>
    <row r="322" hidden="1">
      <c r="A322" s="1186">
        <v>44682.0</v>
      </c>
      <c r="B322" s="52" t="str">
        <f t="shared" si="1"/>
        <v>05/2022</v>
      </c>
      <c r="C322" s="52" t="str">
        <f>IF(A322="","",VLOOKUP(A322,'THAM CHIẾU'!$A:$B,2,0))</f>
        <v>#N/A</v>
      </c>
      <c r="D322" s="52" t="str">
        <f>IF(E322&lt;&gt;0,VLOOKUP(E322,DM_DUAN,3,0),"")</f>
        <v/>
      </c>
      <c r="E322" s="735"/>
      <c r="F322" s="735"/>
      <c r="G322" s="735"/>
      <c r="H322" s="70"/>
      <c r="I322" s="52" t="str">
        <f>IF($K322&lt;&gt;0,VLOOKUP($K322,DM_KM,3,0),"")</f>
        <v>#N/A</v>
      </c>
      <c r="J322" s="52" t="str">
        <f>IF($K322&lt;&gt;0,VLOOKUP($K322,DM_KM,5,0),"")</f>
        <v>#N/A</v>
      </c>
      <c r="K322" s="735" t="s">
        <v>2243</v>
      </c>
      <c r="L322" s="735"/>
      <c r="M322" s="68"/>
      <c r="N322" s="738">
        <v>3.9E7</v>
      </c>
      <c r="O322" s="737" t="s">
        <v>2246</v>
      </c>
      <c r="P322" s="751"/>
    </row>
    <row r="323" hidden="1">
      <c r="A323" s="1190"/>
      <c r="B323" s="52" t="str">
        <f t="shared" si="1"/>
        <v/>
      </c>
      <c r="C323" s="52" t="str">
        <f>IF(A323="","",VLOOKUP(A323,'THAM CHIẾU'!$A:$B,2,0))</f>
        <v/>
      </c>
      <c r="D323" s="52" t="str">
        <f>IF(E323&lt;&gt;0,VLOOKUP(E323,DM_DUAN,3,0),"")</f>
        <v/>
      </c>
      <c r="E323" s="735"/>
      <c r="F323" s="735"/>
      <c r="G323" s="735"/>
      <c r="H323" s="70"/>
      <c r="I323" s="52" t="str">
        <f>IF($K323&lt;&gt;0,VLOOKUP($K323,DM_KM,3,0),"")</f>
        <v/>
      </c>
      <c r="J323" s="52" t="str">
        <f>IF($K323&lt;&gt;0,VLOOKUP($K323,DM_KM,5,0),"")</f>
        <v/>
      </c>
      <c r="K323" s="735"/>
      <c r="L323" s="735"/>
      <c r="M323" s="68"/>
      <c r="N323" s="738">
        <v>0.0</v>
      </c>
      <c r="O323" s="737"/>
      <c r="P323" s="751"/>
    </row>
    <row r="324" hidden="1">
      <c r="A324" s="1186">
        <v>44713.0</v>
      </c>
      <c r="B324" s="52" t="str">
        <f t="shared" si="1"/>
        <v>06/2022</v>
      </c>
      <c r="C324" s="52" t="str">
        <f>IF(A324="","",VLOOKUP(A324,'THAM CHIẾU'!$A:$B,2,0))</f>
        <v>#N/A</v>
      </c>
      <c r="D324" s="52" t="str">
        <f>IF(E324&lt;&gt;0,VLOOKUP(E324,DM_DUAN,3,0),"")</f>
        <v/>
      </c>
      <c r="E324" s="735"/>
      <c r="F324" s="735"/>
      <c r="G324" s="735" t="s">
        <v>207</v>
      </c>
      <c r="H324" s="70"/>
      <c r="I324" s="52" t="str">
        <f>IF($K324&lt;&gt;0,VLOOKUP($K324,DM_KM,3,0),"")</f>
        <v>#N/A</v>
      </c>
      <c r="J324" s="52" t="str">
        <f>IF($K324&lt;&gt;0,VLOOKUP($K324,DM_KM,5,0),"")</f>
        <v>#N/A</v>
      </c>
      <c r="K324" s="735" t="s">
        <v>2215</v>
      </c>
      <c r="L324" s="735"/>
      <c r="M324" s="68"/>
      <c r="N324" s="738">
        <v>43000.0</v>
      </c>
      <c r="O324" s="737" t="s">
        <v>2216</v>
      </c>
      <c r="P324" s="751"/>
    </row>
    <row r="325" hidden="1">
      <c r="A325" s="1186">
        <v>44713.0</v>
      </c>
      <c r="B325" s="52" t="str">
        <f t="shared" si="1"/>
        <v>06/2022</v>
      </c>
      <c r="C325" s="52" t="str">
        <f>IF(A325="","",VLOOKUP(A325,'THAM CHIẾU'!$A:$B,2,0))</f>
        <v>#N/A</v>
      </c>
      <c r="D325" s="52" t="str">
        <f>IF(E325&lt;&gt;0,VLOOKUP(E325,DM_DUAN,3,0),"")</f>
        <v/>
      </c>
      <c r="E325" s="735"/>
      <c r="F325" s="735"/>
      <c r="G325" s="735"/>
      <c r="H325" s="70"/>
      <c r="I325" s="52" t="str">
        <f>IF($K325&lt;&gt;0,VLOOKUP($K325,DM_KM,3,0),"")</f>
        <v>#N/A</v>
      </c>
      <c r="J325" s="52" t="str">
        <f>IF($K325&lt;&gt;0,VLOOKUP($K325,DM_KM,5,0),"")</f>
        <v>#N/A</v>
      </c>
      <c r="K325" s="1187" t="s">
        <v>419</v>
      </c>
      <c r="L325" s="735"/>
      <c r="M325" s="68"/>
      <c r="N325" s="738">
        <v>166000.0</v>
      </c>
      <c r="O325" s="1188" t="s">
        <v>2217</v>
      </c>
      <c r="P325" s="751"/>
    </row>
    <row r="326" hidden="1">
      <c r="A326" s="1186">
        <v>44713.0</v>
      </c>
      <c r="B326" s="52" t="str">
        <f t="shared" si="1"/>
        <v>06/2022</v>
      </c>
      <c r="C326" s="52" t="str">
        <f>IF(A326="","",VLOOKUP(A326,'THAM CHIẾU'!$A:$B,2,0))</f>
        <v>#N/A</v>
      </c>
      <c r="D326" s="52" t="str">
        <f>IF(E326&lt;&gt;0,VLOOKUP(E326,DM_DUAN,3,0),"")</f>
        <v/>
      </c>
      <c r="E326" s="735"/>
      <c r="F326" s="735"/>
      <c r="G326" s="735"/>
      <c r="H326" s="70"/>
      <c r="I326" s="52" t="str">
        <f>IF($K326&lt;&gt;0,VLOOKUP($K326,DM_KM,3,0),"")</f>
        <v>#N/A</v>
      </c>
      <c r="J326" s="52" t="str">
        <f>IF($K326&lt;&gt;0,VLOOKUP($K326,DM_KM,5,0),"")</f>
        <v>#N/A</v>
      </c>
      <c r="K326" s="735" t="s">
        <v>573</v>
      </c>
      <c r="L326" s="735"/>
      <c r="M326" s="68"/>
      <c r="N326" s="738">
        <v>250000.0</v>
      </c>
      <c r="O326" s="1188" t="s">
        <v>2218</v>
      </c>
      <c r="P326" s="751"/>
    </row>
    <row r="327" hidden="1">
      <c r="A327" s="1186">
        <v>44713.0</v>
      </c>
      <c r="B327" s="52" t="str">
        <f t="shared" si="1"/>
        <v>06/2022</v>
      </c>
      <c r="C327" s="52" t="str">
        <f>IF(A327="","",VLOOKUP(A327,'THAM CHIẾU'!$A:$B,2,0))</f>
        <v>#N/A</v>
      </c>
      <c r="D327" s="52" t="str">
        <f>IF(E327&lt;&gt;0,VLOOKUP(E327,DM_DUAN,3,0),"")</f>
        <v/>
      </c>
      <c r="E327" s="735"/>
      <c r="F327" s="735"/>
      <c r="G327" s="735"/>
      <c r="H327" s="70"/>
      <c r="I327" s="1189" t="str">
        <f>IF($K327&lt;&gt;0,VLOOKUP($K327,DM_KM,3,0),"")</f>
        <v>#N/A</v>
      </c>
      <c r="J327" s="52" t="str">
        <f>IF($K327&lt;&gt;0,VLOOKUP($K327,DM_KM,5,0),"")</f>
        <v>#N/A</v>
      </c>
      <c r="K327" s="735" t="s">
        <v>1273</v>
      </c>
      <c r="L327" s="735"/>
      <c r="M327" s="68"/>
      <c r="N327" s="738">
        <v>328000.0</v>
      </c>
      <c r="O327" s="737" t="s">
        <v>1273</v>
      </c>
      <c r="P327" s="751"/>
    </row>
    <row r="328" hidden="1">
      <c r="A328" s="1186">
        <v>44713.0</v>
      </c>
      <c r="B328" s="52" t="str">
        <f t="shared" si="1"/>
        <v>06/2022</v>
      </c>
      <c r="C328" s="52" t="str">
        <f>IF(A328="","",VLOOKUP(A328,'THAM CHIẾU'!$A:$B,2,0))</f>
        <v>#N/A</v>
      </c>
      <c r="D328" s="52" t="str">
        <f>IF(E328&lt;&gt;0,VLOOKUP(E328,DM_DUAN,3,0),"")</f>
        <v/>
      </c>
      <c r="E328" s="735"/>
      <c r="F328" s="735"/>
      <c r="G328" s="735"/>
      <c r="H328" s="70"/>
      <c r="I328" s="52" t="str">
        <f>IF($K328&lt;&gt;0,VLOOKUP($K328,DM_KM,3,0),"")</f>
        <v>VHVP</v>
      </c>
      <c r="J328" s="52">
        <f>IF($K328&lt;&gt;0,VLOOKUP($K328,DM_KM,5,0),"")</f>
        <v>642</v>
      </c>
      <c r="K328" s="735" t="s">
        <v>1153</v>
      </c>
      <c r="L328" s="735"/>
      <c r="M328" s="68"/>
      <c r="N328" s="738">
        <v>8333000.0</v>
      </c>
      <c r="O328" s="737" t="s">
        <v>2219</v>
      </c>
      <c r="P328" s="751"/>
    </row>
    <row r="329" hidden="1">
      <c r="A329" s="1186">
        <v>44713.0</v>
      </c>
      <c r="B329" s="52" t="str">
        <f t="shared" si="1"/>
        <v>06/2022</v>
      </c>
      <c r="C329" s="52" t="str">
        <f>IF(A329="","",VLOOKUP(A329,'THAM CHIẾU'!$A:$B,2,0))</f>
        <v>#N/A</v>
      </c>
      <c r="D329" s="52" t="str">
        <f>IF(E329&lt;&gt;0,VLOOKUP(E329,DM_DUAN,3,0),"")</f>
        <v/>
      </c>
      <c r="E329" s="735"/>
      <c r="F329" s="735"/>
      <c r="G329" s="735"/>
      <c r="H329" s="70"/>
      <c r="I329" s="52" t="str">
        <f>IF($K329&lt;&gt;0,VLOOKUP($K329,DM_KM,3,0),"")</f>
        <v>#N/A</v>
      </c>
      <c r="J329" s="52" t="str">
        <f>IF($K329&lt;&gt;0,VLOOKUP($K329,DM_KM,5,0),"")</f>
        <v>#N/A</v>
      </c>
      <c r="K329" s="735" t="s">
        <v>2220</v>
      </c>
      <c r="L329" s="735"/>
      <c r="M329" s="68"/>
      <c r="N329" s="738">
        <v>416000.0</v>
      </c>
      <c r="O329" s="737" t="s">
        <v>2221</v>
      </c>
      <c r="P329" s="751"/>
    </row>
    <row r="330" hidden="1">
      <c r="A330" s="1186">
        <v>44713.0</v>
      </c>
      <c r="B330" s="52" t="str">
        <f t="shared" si="1"/>
        <v>06/2022</v>
      </c>
      <c r="C330" s="52" t="str">
        <f>IF(A330="","",VLOOKUP(A330,'THAM CHIẾU'!$A:$B,2,0))</f>
        <v>#N/A</v>
      </c>
      <c r="D330" s="52" t="str">
        <f>IF(E330&lt;&gt;0,VLOOKUP(E330,DM_DUAN,3,0),"")</f>
        <v/>
      </c>
      <c r="E330" s="735"/>
      <c r="F330" s="735"/>
      <c r="G330" s="735"/>
      <c r="H330" s="70"/>
      <c r="I330" s="52" t="str">
        <f>IF($K330&lt;&gt;0,VLOOKUP($K330,DM_KM,3,0),"")</f>
        <v>#N/A</v>
      </c>
      <c r="J330" s="52" t="str">
        <f>IF($K330&lt;&gt;0,VLOOKUP($K330,DM_KM,5,0),"")</f>
        <v>#N/A</v>
      </c>
      <c r="K330" s="735" t="s">
        <v>262</v>
      </c>
      <c r="L330" s="735"/>
      <c r="M330" s="68"/>
      <c r="N330" s="738">
        <v>833000.0</v>
      </c>
      <c r="O330" s="737" t="s">
        <v>2222</v>
      </c>
      <c r="P330" s="751"/>
    </row>
    <row r="331" hidden="1">
      <c r="A331" s="1186">
        <v>44713.0</v>
      </c>
      <c r="B331" s="52" t="str">
        <f t="shared" si="1"/>
        <v>06/2022</v>
      </c>
      <c r="C331" s="52" t="str">
        <f>IF(A331="","",VLOOKUP(A331,'THAM CHIẾU'!$A:$B,2,0))</f>
        <v>#N/A</v>
      </c>
      <c r="D331" s="52" t="str">
        <f>IF(E331&lt;&gt;0,VLOOKUP(E331,DM_DUAN,3,0),"")</f>
        <v/>
      </c>
      <c r="E331" s="735"/>
      <c r="F331" s="735"/>
      <c r="G331" s="735"/>
      <c r="H331" s="70"/>
      <c r="I331" s="52" t="str">
        <f>IF($K331&lt;&gt;0,VLOOKUP($K331,DM_KM,3,0),"")</f>
        <v>#N/A</v>
      </c>
      <c r="J331" s="52" t="str">
        <f>IF($K331&lt;&gt;0,VLOOKUP($K331,DM_KM,5,0),"")</f>
        <v>#N/A</v>
      </c>
      <c r="K331" s="735" t="s">
        <v>2223</v>
      </c>
      <c r="L331" s="735"/>
      <c r="M331" s="68"/>
      <c r="N331" s="738">
        <v>4166000.0</v>
      </c>
      <c r="O331" s="737" t="s">
        <v>2224</v>
      </c>
      <c r="P331" s="751"/>
    </row>
    <row r="332" hidden="1">
      <c r="A332" s="1186">
        <v>44713.0</v>
      </c>
      <c r="B332" s="52" t="str">
        <f t="shared" si="1"/>
        <v>06/2022</v>
      </c>
      <c r="C332" s="52" t="str">
        <f>IF(A332="","",VLOOKUP(A332,'THAM CHIẾU'!$A:$B,2,0))</f>
        <v>#N/A</v>
      </c>
      <c r="D332" s="52" t="str">
        <f>IF(E332&lt;&gt;0,VLOOKUP(E332,DM_DUAN,3,0),"")</f>
        <v/>
      </c>
      <c r="E332" s="735"/>
      <c r="F332" s="735"/>
      <c r="G332" s="735" t="s">
        <v>176</v>
      </c>
      <c r="H332" s="70"/>
      <c r="I332" s="52" t="str">
        <f>IF($K332&lt;&gt;0,VLOOKUP($K332,DM_KM,3,0),"")</f>
        <v>#N/A</v>
      </c>
      <c r="J332" s="52" t="str">
        <f>IF($K332&lt;&gt;0,VLOOKUP($K332,DM_KM,5,0),"")</f>
        <v>#N/A</v>
      </c>
      <c r="K332" s="1187" t="s">
        <v>374</v>
      </c>
      <c r="L332" s="735"/>
      <c r="M332" s="68"/>
      <c r="N332" s="738">
        <v>1666000.0</v>
      </c>
      <c r="O332" s="1188" t="s">
        <v>2225</v>
      </c>
      <c r="P332" s="751"/>
    </row>
    <row r="333" hidden="1">
      <c r="A333" s="1186">
        <v>44713.0</v>
      </c>
      <c r="B333" s="52" t="str">
        <f t="shared" si="1"/>
        <v>06/2022</v>
      </c>
      <c r="C333" s="52" t="str">
        <f>IF(A333="","",VLOOKUP(A333,'THAM CHIẾU'!$A:$B,2,0))</f>
        <v>#N/A</v>
      </c>
      <c r="D333" s="52" t="str">
        <f>IF(E333&lt;&gt;0,VLOOKUP(E333,DM_DUAN,3,0),"")</f>
        <v/>
      </c>
      <c r="E333" s="735"/>
      <c r="F333" s="735"/>
      <c r="G333" s="735"/>
      <c r="H333" s="70"/>
      <c r="I333" s="52" t="str">
        <f>IF($K333&lt;&gt;0,VLOOKUP($K333,DM_KM,3,0),"")</f>
        <v>#N/A</v>
      </c>
      <c r="J333" s="52" t="str">
        <f>IF($K333&lt;&gt;0,VLOOKUP($K333,DM_KM,5,0),"")</f>
        <v>#N/A</v>
      </c>
      <c r="K333" s="735" t="s">
        <v>380</v>
      </c>
      <c r="L333" s="735"/>
      <c r="M333" s="68"/>
      <c r="N333" s="738">
        <v>1666000.0</v>
      </c>
      <c r="O333" s="1188" t="s">
        <v>2226</v>
      </c>
      <c r="P333" s="751"/>
    </row>
    <row r="334" hidden="1">
      <c r="A334" s="1186">
        <v>44713.0</v>
      </c>
      <c r="B334" s="52" t="str">
        <f t="shared" si="1"/>
        <v>06/2022</v>
      </c>
      <c r="C334" s="52" t="str">
        <f>IF(A334="","",VLOOKUP(A334,'THAM CHIẾU'!$A:$B,2,0))</f>
        <v>#N/A</v>
      </c>
      <c r="D334" s="52" t="str">
        <f>IF(E334&lt;&gt;0,VLOOKUP(E334,DM_DUAN,3,0),"")</f>
        <v/>
      </c>
      <c r="E334" s="735"/>
      <c r="F334" s="735"/>
      <c r="G334" s="735"/>
      <c r="H334" s="70"/>
      <c r="I334" s="52" t="str">
        <f>IF($K334&lt;&gt;0,VLOOKUP($K334,DM_KM,3,0),"")</f>
        <v>#N/A</v>
      </c>
      <c r="J334" s="52" t="str">
        <f>IF($K334&lt;&gt;0,VLOOKUP($K334,DM_KM,5,0),"")</f>
        <v>#N/A</v>
      </c>
      <c r="K334" s="735" t="s">
        <v>272</v>
      </c>
      <c r="L334" s="735"/>
      <c r="M334" s="68"/>
      <c r="N334" s="738">
        <v>6666000.0</v>
      </c>
      <c r="O334" s="737" t="s">
        <v>2227</v>
      </c>
      <c r="P334" s="751"/>
    </row>
    <row r="335" hidden="1">
      <c r="A335" s="1186">
        <v>44713.0</v>
      </c>
      <c r="B335" s="52" t="str">
        <f t="shared" si="1"/>
        <v>06/2022</v>
      </c>
      <c r="C335" s="52" t="str">
        <f>IF(A335="","",VLOOKUP(A335,'THAM CHIẾU'!$A:$B,2,0))</f>
        <v>#N/A</v>
      </c>
      <c r="D335" s="52" t="str">
        <f>IF(E335&lt;&gt;0,VLOOKUP(E335,DM_DUAN,3,0),"")</f>
        <v/>
      </c>
      <c r="E335" s="735"/>
      <c r="F335" s="735"/>
      <c r="G335" s="735"/>
      <c r="H335" s="70"/>
      <c r="I335" s="52" t="str">
        <f>IF($K335&lt;&gt;0,VLOOKUP($K335,DM_KM,3,0),"")</f>
        <v>#N/A</v>
      </c>
      <c r="J335" s="52" t="str">
        <f>IF($K335&lt;&gt;0,VLOOKUP($K335,DM_KM,5,0),"")</f>
        <v>#N/A</v>
      </c>
      <c r="K335" s="735" t="s">
        <v>380</v>
      </c>
      <c r="L335" s="735"/>
      <c r="M335" s="68"/>
      <c r="N335" s="738">
        <v>833000.0</v>
      </c>
      <c r="O335" s="1188" t="s">
        <v>2228</v>
      </c>
      <c r="P335" s="751"/>
    </row>
    <row r="336" hidden="1">
      <c r="A336" s="1186">
        <v>44713.0</v>
      </c>
      <c r="B336" s="52" t="str">
        <f t="shared" si="1"/>
        <v>06/2022</v>
      </c>
      <c r="C336" s="52" t="str">
        <f>IF(A336="","",VLOOKUP(A336,'THAM CHIẾU'!$A:$B,2,0))</f>
        <v>#N/A</v>
      </c>
      <c r="D336" s="52" t="str">
        <f>IF(E336&lt;&gt;0,VLOOKUP(E336,DM_DUAN,3,0),"")</f>
        <v/>
      </c>
      <c r="E336" s="735"/>
      <c r="F336" s="735"/>
      <c r="G336" s="735"/>
      <c r="H336" s="70"/>
      <c r="I336" s="52" t="str">
        <f>IF($K336&lt;&gt;0,VLOOKUP($K336,DM_KM,3,0),"")</f>
        <v>#N/A</v>
      </c>
      <c r="J336" s="52" t="str">
        <f>IF($K336&lt;&gt;0,VLOOKUP($K336,DM_KM,5,0),"")</f>
        <v>#N/A</v>
      </c>
      <c r="K336" s="735" t="s">
        <v>222</v>
      </c>
      <c r="L336" s="735"/>
      <c r="M336" s="68"/>
      <c r="N336" s="738">
        <v>416000.0</v>
      </c>
      <c r="O336" s="737" t="s">
        <v>2229</v>
      </c>
      <c r="P336" s="751"/>
    </row>
    <row r="337" hidden="1">
      <c r="A337" s="1186">
        <v>44713.0</v>
      </c>
      <c r="B337" s="52" t="str">
        <f t="shared" si="1"/>
        <v>06/2022</v>
      </c>
      <c r="C337" s="52" t="str">
        <f>IF(A337="","",VLOOKUP(A337,'THAM CHIẾU'!$A:$B,2,0))</f>
        <v>#N/A</v>
      </c>
      <c r="D337" s="52" t="str">
        <f>IF(E337&lt;&gt;0,VLOOKUP(E337,DM_DUAN,3,0),"")</f>
        <v/>
      </c>
      <c r="E337" s="735"/>
      <c r="F337" s="735"/>
      <c r="G337" s="735"/>
      <c r="H337" s="70"/>
      <c r="I337" s="1189" t="str">
        <f>IF($K337&lt;&gt;0,VLOOKUP($K337,DM_KM,3,0),"")</f>
        <v>#N/A</v>
      </c>
      <c r="J337" s="52" t="str">
        <f>IF($K337&lt;&gt;0,VLOOKUP($K337,DM_KM,5,0),"")</f>
        <v>#N/A</v>
      </c>
      <c r="K337" s="1187" t="s">
        <v>267</v>
      </c>
      <c r="L337" s="735"/>
      <c r="M337" s="68"/>
      <c r="N337" s="738">
        <v>3.184E8</v>
      </c>
      <c r="O337" s="1188" t="s">
        <v>2230</v>
      </c>
      <c r="P337" s="751"/>
    </row>
    <row r="338" hidden="1">
      <c r="A338" s="1186">
        <v>44713.0</v>
      </c>
      <c r="B338" s="52" t="str">
        <f t="shared" si="1"/>
        <v>06/2022</v>
      </c>
      <c r="C338" s="52" t="str">
        <f>IF(A338="","",VLOOKUP(A338,'THAM CHIẾU'!$A:$B,2,0))</f>
        <v>#N/A</v>
      </c>
      <c r="D338" s="52" t="str">
        <f>IF(E338&lt;&gt;0,VLOOKUP(E338,DM_DUAN,3,0),"")</f>
        <v/>
      </c>
      <c r="E338" s="735"/>
      <c r="F338" s="735"/>
      <c r="G338" s="735"/>
      <c r="H338" s="70"/>
      <c r="I338" s="52" t="str">
        <f>IF($K338&lt;&gt;0,VLOOKUP($K338,DM_KM,3,0),"")</f>
        <v>THUEVP</v>
      </c>
      <c r="J338" s="52">
        <f>IF($K338&lt;&gt;0,VLOOKUP($K338,DM_KM,5,0),"")</f>
        <v>642</v>
      </c>
      <c r="K338" s="735" t="s">
        <v>270</v>
      </c>
      <c r="L338" s="735"/>
      <c r="M338" s="68"/>
      <c r="N338" s="738">
        <v>4.5143E7</v>
      </c>
      <c r="O338" s="1188" t="s">
        <v>2231</v>
      </c>
      <c r="P338" s="751"/>
    </row>
    <row r="339" hidden="1">
      <c r="A339" s="1186">
        <v>44713.0</v>
      </c>
      <c r="B339" s="52" t="str">
        <f t="shared" si="1"/>
        <v>06/2022</v>
      </c>
      <c r="C339" s="52" t="str">
        <f>IF(A339="","",VLOOKUP(A339,'THAM CHIẾU'!$A:$B,2,0))</f>
        <v>#N/A</v>
      </c>
      <c r="D339" s="52" t="str">
        <f>IF(E339&lt;&gt;0,VLOOKUP(E339,DM_DUAN,3,0),"")</f>
        <v/>
      </c>
      <c r="E339" s="735"/>
      <c r="F339" s="735"/>
      <c r="G339" s="735"/>
      <c r="H339" s="70"/>
      <c r="I339" s="52" t="str">
        <f>IF($K339&lt;&gt;0,VLOOKUP($K339,DM_KM,3,0),"")</f>
        <v>#N/A</v>
      </c>
      <c r="J339" s="52" t="str">
        <f>IF($K339&lt;&gt;0,VLOOKUP($K339,DM_KM,5,0),"")</f>
        <v>#N/A</v>
      </c>
      <c r="K339" s="735" t="s">
        <v>410</v>
      </c>
      <c r="L339" s="735"/>
      <c r="M339" s="68"/>
      <c r="N339" s="738">
        <v>1250000.0</v>
      </c>
      <c r="O339" s="737" t="s">
        <v>410</v>
      </c>
      <c r="P339" s="751"/>
    </row>
    <row r="340" hidden="1">
      <c r="A340" s="1186">
        <v>44713.0</v>
      </c>
      <c r="B340" s="52" t="str">
        <f t="shared" si="1"/>
        <v>06/2022</v>
      </c>
      <c r="C340" s="52" t="str">
        <f>IF(A340="","",VLOOKUP(A340,'THAM CHIẾU'!$A:$B,2,0))</f>
        <v>#N/A</v>
      </c>
      <c r="D340" s="52" t="str">
        <f>IF(E340&lt;&gt;0,VLOOKUP(E340,DM_DUAN,3,0),"")</f>
        <v/>
      </c>
      <c r="E340" s="735"/>
      <c r="F340" s="735"/>
      <c r="G340" s="735"/>
      <c r="H340" s="70"/>
      <c r="I340" s="52" t="str">
        <f>IF($K340&lt;&gt;0,VLOOKUP($K340,DM_KM,3,0),"")</f>
        <v>#N/A</v>
      </c>
      <c r="J340" s="52" t="str">
        <f>IF($K340&lt;&gt;0,VLOOKUP($K340,DM_KM,5,0),"")</f>
        <v>#N/A</v>
      </c>
      <c r="K340" s="1187" t="s">
        <v>252</v>
      </c>
      <c r="L340" s="735"/>
      <c r="M340" s="68"/>
      <c r="N340" s="738">
        <v>1.6666E7</v>
      </c>
      <c r="O340" s="1188" t="s">
        <v>2232</v>
      </c>
      <c r="P340" s="751"/>
    </row>
    <row r="341" hidden="1">
      <c r="A341" s="1186">
        <v>44713.0</v>
      </c>
      <c r="B341" s="52" t="str">
        <f t="shared" si="1"/>
        <v>06/2022</v>
      </c>
      <c r="C341" s="52" t="str">
        <f>IF(A341="","",VLOOKUP(A341,'THAM CHIẾU'!$A:$B,2,0))</f>
        <v>#N/A</v>
      </c>
      <c r="D341" s="52" t="str">
        <f>IF(E341&lt;&gt;0,VLOOKUP(E341,DM_DUAN,3,0),"")</f>
        <v/>
      </c>
      <c r="E341" s="735"/>
      <c r="F341" s="735"/>
      <c r="G341" s="735"/>
      <c r="H341" s="70"/>
      <c r="I341" s="52" t="str">
        <f>IF($K341&lt;&gt;0,VLOOKUP($K341,DM_KM,3,0),"")</f>
        <v>#N/A</v>
      </c>
      <c r="J341" s="52" t="str">
        <f>IF($K341&lt;&gt;0,VLOOKUP($K341,DM_KM,5,0),"")</f>
        <v>#N/A</v>
      </c>
      <c r="K341" s="735" t="s">
        <v>380</v>
      </c>
      <c r="L341" s="735"/>
      <c r="M341" s="68"/>
      <c r="N341" s="738">
        <v>1666000.0</v>
      </c>
      <c r="O341" s="1188" t="s">
        <v>2233</v>
      </c>
      <c r="P341" s="751"/>
    </row>
    <row r="342" hidden="1">
      <c r="A342" s="1186">
        <v>44713.0</v>
      </c>
      <c r="B342" s="52" t="str">
        <f t="shared" si="1"/>
        <v>06/2022</v>
      </c>
      <c r="C342" s="52" t="str">
        <f>IF(A342="","",VLOOKUP(A342,'THAM CHIẾU'!$A:$B,2,0))</f>
        <v>#N/A</v>
      </c>
      <c r="D342" s="52" t="str">
        <f>IF(E342&lt;&gt;0,VLOOKUP(E342,DM_DUAN,3,0),"")</f>
        <v/>
      </c>
      <c r="E342" s="735"/>
      <c r="F342" s="735"/>
      <c r="G342" s="735"/>
      <c r="H342" s="70"/>
      <c r="I342" s="52" t="str">
        <f>IF($K342&lt;&gt;0,VLOOKUP($K342,DM_KM,3,0),"")</f>
        <v>#N/A</v>
      </c>
      <c r="J342" s="52" t="str">
        <f>IF($K342&lt;&gt;0,VLOOKUP($K342,DM_KM,5,0),"")</f>
        <v>#N/A</v>
      </c>
      <c r="K342" s="1187" t="s">
        <v>206</v>
      </c>
      <c r="L342" s="735"/>
      <c r="M342" s="68"/>
      <c r="N342" s="738">
        <v>1703000.0</v>
      </c>
      <c r="O342" s="1188" t="s">
        <v>206</v>
      </c>
      <c r="P342" s="751"/>
    </row>
    <row r="343" hidden="1">
      <c r="A343" s="1186">
        <v>44713.0</v>
      </c>
      <c r="B343" s="52" t="str">
        <f t="shared" si="1"/>
        <v>06/2022</v>
      </c>
      <c r="C343" s="52" t="str">
        <f>IF(A343="","",VLOOKUP(A343,'THAM CHIẾU'!$A:$B,2,0))</f>
        <v>#N/A</v>
      </c>
      <c r="D343" s="52" t="str">
        <f>IF(E343&lt;&gt;0,VLOOKUP(E343,DM_DUAN,3,0),"")</f>
        <v/>
      </c>
      <c r="E343" s="735"/>
      <c r="F343" s="735"/>
      <c r="G343" s="735"/>
      <c r="H343" s="70"/>
      <c r="I343" s="52" t="str">
        <f>IF($K343&lt;&gt;0,VLOOKUP($K343,DM_KM,3,0),"")</f>
        <v>#N/A</v>
      </c>
      <c r="J343" s="52" t="str">
        <f>IF($K343&lt;&gt;0,VLOOKUP($K343,DM_KM,5,0),"")</f>
        <v>#N/A</v>
      </c>
      <c r="K343" s="1187" t="s">
        <v>226</v>
      </c>
      <c r="L343" s="735"/>
      <c r="M343" s="68"/>
      <c r="N343" s="738">
        <v>1250000.0</v>
      </c>
      <c r="O343" s="1188" t="s">
        <v>2234</v>
      </c>
      <c r="P343" s="751"/>
    </row>
    <row r="344" hidden="1">
      <c r="A344" s="1186">
        <v>44713.0</v>
      </c>
      <c r="B344" s="52" t="str">
        <f t="shared" si="1"/>
        <v>06/2022</v>
      </c>
      <c r="C344" s="52" t="str">
        <f>IF(A344="","",VLOOKUP(A344,'THAM CHIẾU'!$A:$B,2,0))</f>
        <v>#N/A</v>
      </c>
      <c r="D344" s="52" t="str">
        <f>IF(E344&lt;&gt;0,VLOOKUP(E344,DM_DUAN,3,0),"")</f>
        <v/>
      </c>
      <c r="E344" s="735"/>
      <c r="F344" s="735"/>
      <c r="G344" s="735"/>
      <c r="H344" s="70"/>
      <c r="I344" s="52" t="str">
        <f>IF($K344&lt;&gt;0,VLOOKUP($K344,DM_KM,3,0),"")</f>
        <v>#N/A</v>
      </c>
      <c r="J344" s="52" t="str">
        <f>IF($K344&lt;&gt;0,VLOOKUP($K344,DM_KM,5,0),"")</f>
        <v>#N/A</v>
      </c>
      <c r="K344" s="735" t="s">
        <v>174</v>
      </c>
      <c r="L344" s="735"/>
      <c r="M344" s="68"/>
      <c r="N344" s="738">
        <v>4.0861E7</v>
      </c>
      <c r="O344" s="737" t="s">
        <v>2235</v>
      </c>
      <c r="P344" s="751"/>
    </row>
    <row r="345" hidden="1">
      <c r="A345" s="1186">
        <v>44713.0</v>
      </c>
      <c r="B345" s="52" t="str">
        <f t="shared" si="1"/>
        <v>06/2022</v>
      </c>
      <c r="C345" s="52" t="str">
        <f>IF(A345="","",VLOOKUP(A345,'THAM CHIẾU'!$A:$B,2,0))</f>
        <v>#N/A</v>
      </c>
      <c r="D345" s="52" t="str">
        <f>IF(E345&lt;&gt;0,VLOOKUP(E345,DM_DUAN,3,0),"")</f>
        <v/>
      </c>
      <c r="E345" s="735"/>
      <c r="F345" s="735"/>
      <c r="G345" s="735"/>
      <c r="H345" s="70"/>
      <c r="I345" s="52" t="str">
        <f>IF($K345&lt;&gt;0,VLOOKUP($K345,DM_KM,3,0),"")</f>
        <v>#N/A</v>
      </c>
      <c r="J345" s="52" t="str">
        <f>IF($K345&lt;&gt;0,VLOOKUP($K345,DM_KM,5,0),"")</f>
        <v>#N/A</v>
      </c>
      <c r="K345" s="735" t="s">
        <v>2236</v>
      </c>
      <c r="L345" s="735"/>
      <c r="M345" s="68"/>
      <c r="N345" s="738">
        <v>1666000.0</v>
      </c>
      <c r="O345" s="1188" t="s">
        <v>2237</v>
      </c>
      <c r="P345" s="751"/>
    </row>
    <row r="346" hidden="1">
      <c r="A346" s="1186">
        <v>44713.0</v>
      </c>
      <c r="B346" s="52" t="str">
        <f t="shared" si="1"/>
        <v>06/2022</v>
      </c>
      <c r="C346" s="52" t="str">
        <f>IF(A346="","",VLOOKUP(A346,'THAM CHIẾU'!$A:$B,2,0))</f>
        <v>#N/A</v>
      </c>
      <c r="D346" s="52" t="str">
        <f>IF(E346&lt;&gt;0,VLOOKUP(E346,DM_DUAN,3,0),"")</f>
        <v/>
      </c>
      <c r="E346" s="735"/>
      <c r="F346" s="735"/>
      <c r="G346" s="735"/>
      <c r="H346" s="70"/>
      <c r="I346" s="52" t="str">
        <f>IF($K346&lt;&gt;0,VLOOKUP($K346,DM_KM,3,0),"")</f>
        <v/>
      </c>
      <c r="J346" s="52" t="str">
        <f>IF($K346&lt;&gt;0,VLOOKUP($K346,DM_KM,5,0),"")</f>
        <v/>
      </c>
      <c r="K346" s="735"/>
      <c r="L346" s="735"/>
      <c r="M346" s="68"/>
      <c r="N346" s="738"/>
      <c r="O346" s="1188"/>
      <c r="P346" s="751"/>
    </row>
    <row r="347" hidden="1">
      <c r="A347" s="1186">
        <v>44713.0</v>
      </c>
      <c r="B347" s="52" t="str">
        <f t="shared" si="1"/>
        <v>06/2022</v>
      </c>
      <c r="C347" s="52" t="str">
        <f>IF(A347="","",VLOOKUP(A347,'THAM CHIẾU'!$A:$B,2,0))</f>
        <v>#N/A</v>
      </c>
      <c r="D347" s="52" t="str">
        <f>IF(E347&lt;&gt;0,VLOOKUP(E347,DM_DUAN,3,0),"")</f>
        <v/>
      </c>
      <c r="E347" s="735"/>
      <c r="F347" s="735"/>
      <c r="G347" s="735"/>
      <c r="H347" s="70"/>
      <c r="I347" s="52" t="str">
        <f>IF($K347&lt;&gt;0,VLOOKUP($K347,DM_KM,3,0),"")</f>
        <v>#N/A</v>
      </c>
      <c r="J347" s="52" t="str">
        <f>IF($K347&lt;&gt;0,VLOOKUP($K347,DM_KM,5,0),"")</f>
        <v>#N/A</v>
      </c>
      <c r="K347" s="735" t="s">
        <v>169</v>
      </c>
      <c r="L347" s="735"/>
      <c r="M347" s="68"/>
      <c r="N347" s="738">
        <v>1.0643E7</v>
      </c>
      <c r="O347" s="1188" t="s">
        <v>2240</v>
      </c>
      <c r="P347" s="751"/>
    </row>
    <row r="348" hidden="1">
      <c r="A348" s="1186">
        <v>44713.0</v>
      </c>
      <c r="B348" s="52" t="str">
        <f t="shared" si="1"/>
        <v>06/2022</v>
      </c>
      <c r="C348" s="52" t="str">
        <f>IF(A348="","",VLOOKUP(A348,'THAM CHIẾU'!$A:$B,2,0))</f>
        <v>#N/A</v>
      </c>
      <c r="D348" s="52" t="str">
        <f>IF(E348&lt;&gt;0,VLOOKUP(E348,DM_DUAN,3,0),"")</f>
        <v/>
      </c>
      <c r="E348" s="735"/>
      <c r="F348" s="735"/>
      <c r="G348" s="735"/>
      <c r="H348" s="70"/>
      <c r="I348" s="1189" t="str">
        <f>IF($K348&lt;&gt;0,VLOOKUP($K348,DM_KM,3,0),"")</f>
        <v>#N/A</v>
      </c>
      <c r="J348" s="52" t="str">
        <f>IF($K348&lt;&gt;0,VLOOKUP($K348,DM_KM,5,0),"")</f>
        <v>#N/A</v>
      </c>
      <c r="K348" s="1187" t="s">
        <v>190</v>
      </c>
      <c r="L348" s="735"/>
      <c r="M348" s="68"/>
      <c r="N348" s="738">
        <v>3.9E9</v>
      </c>
      <c r="O348" s="1188" t="s">
        <v>2241</v>
      </c>
      <c r="P348" s="739"/>
    </row>
    <row r="349" hidden="1">
      <c r="A349" s="1186">
        <v>44713.0</v>
      </c>
      <c r="B349" s="52" t="str">
        <f t="shared" si="1"/>
        <v>06/2022</v>
      </c>
      <c r="C349" s="52" t="str">
        <f>IF(A349="","",VLOOKUP(A349,'THAM CHIẾU'!$A:$B,2,0))</f>
        <v>#N/A</v>
      </c>
      <c r="D349" s="52" t="str">
        <f>IF(E349&lt;&gt;0,VLOOKUP(E349,DM_DUAN,3,0),"")</f>
        <v/>
      </c>
      <c r="E349" s="735"/>
      <c r="F349" s="735"/>
      <c r="G349" s="735"/>
      <c r="H349" s="70"/>
      <c r="I349" s="1189" t="str">
        <f>IF($K349&lt;&gt;0,VLOOKUP($K349,DM_KM,3,0),"")</f>
        <v>#N/A</v>
      </c>
      <c r="J349" s="52" t="str">
        <f>IF($K349&lt;&gt;0,VLOOKUP($K349,DM_KM,5,0),"")</f>
        <v>#N/A</v>
      </c>
      <c r="K349" s="1187" t="s">
        <v>194</v>
      </c>
      <c r="L349" s="735"/>
      <c r="M349" s="68"/>
      <c r="N349" s="738">
        <v>1.04E9</v>
      </c>
      <c r="O349" s="1188" t="s">
        <v>2242</v>
      </c>
      <c r="P349" s="739"/>
    </row>
    <row r="350" hidden="1">
      <c r="A350" s="1186">
        <v>44713.0</v>
      </c>
      <c r="B350" s="52" t="str">
        <f t="shared" si="1"/>
        <v>06/2022</v>
      </c>
      <c r="C350" s="52" t="str">
        <f>IF(A350="","",VLOOKUP(A350,'THAM CHIẾU'!$A:$B,2,0))</f>
        <v>#N/A</v>
      </c>
      <c r="D350" s="52" t="str">
        <f>IF(E350&lt;&gt;0,VLOOKUP(E350,DM_DUAN,3,0),"")</f>
        <v/>
      </c>
      <c r="E350" s="735"/>
      <c r="F350" s="735"/>
      <c r="G350" s="735"/>
      <c r="H350" s="70"/>
      <c r="I350" s="52" t="str">
        <f>IF($K350&lt;&gt;0,VLOOKUP($K350,DM_KM,3,0),"")</f>
        <v>#N/A</v>
      </c>
      <c r="J350" s="52" t="str">
        <f>IF($K350&lt;&gt;0,VLOOKUP($K350,DM_KM,5,0),"")</f>
        <v>#N/A</v>
      </c>
      <c r="K350" s="1187" t="s">
        <v>1170</v>
      </c>
      <c r="L350" s="735"/>
      <c r="M350" s="68"/>
      <c r="N350" s="738">
        <v>1.3E8</v>
      </c>
      <c r="O350" s="1188" t="s">
        <v>1474</v>
      </c>
      <c r="P350" s="751"/>
    </row>
    <row r="351" hidden="1">
      <c r="A351" s="1186">
        <v>44713.0</v>
      </c>
      <c r="B351" s="52" t="str">
        <f t="shared" si="1"/>
        <v>06/2022</v>
      </c>
      <c r="C351" s="52" t="str">
        <f>IF(A351="","",VLOOKUP(A351,'THAM CHIẾU'!$A:$B,2,0))</f>
        <v>#N/A</v>
      </c>
      <c r="D351" s="52" t="str">
        <f>IF(E351&lt;&gt;0,VLOOKUP(E351,DM_DUAN,3,0),"")</f>
        <v/>
      </c>
      <c r="E351" s="735"/>
      <c r="F351" s="735"/>
      <c r="G351" s="735"/>
      <c r="H351" s="70"/>
      <c r="I351" s="52" t="str">
        <f>IF($K351&lt;&gt;0,VLOOKUP($K351,DM_KM,3,0),"")</f>
        <v>#N/A</v>
      </c>
      <c r="J351" s="52" t="str">
        <f>IF($K351&lt;&gt;0,VLOOKUP($K351,DM_KM,5,0),"")</f>
        <v>#N/A</v>
      </c>
      <c r="K351" s="735" t="s">
        <v>1142</v>
      </c>
      <c r="L351" s="735"/>
      <c r="M351" s="68"/>
      <c r="N351" s="738">
        <v>1.248E9</v>
      </c>
      <c r="O351" s="737" t="s">
        <v>2244</v>
      </c>
      <c r="P351" s="751"/>
    </row>
    <row r="352" hidden="1">
      <c r="A352" s="1186">
        <v>44713.0</v>
      </c>
      <c r="B352" s="52" t="str">
        <f t="shared" si="1"/>
        <v>06/2022</v>
      </c>
      <c r="C352" s="52" t="str">
        <f>IF(A352="","",VLOOKUP(A352,'THAM CHIẾU'!$A:$B,2,0))</f>
        <v>#N/A</v>
      </c>
      <c r="D352" s="52" t="str">
        <f>IF(E352&lt;&gt;0,VLOOKUP(E352,DM_DUAN,3,0),"")</f>
        <v/>
      </c>
      <c r="E352" s="735"/>
      <c r="F352" s="735"/>
      <c r="G352" s="735"/>
      <c r="H352" s="70"/>
      <c r="I352" s="1189" t="str">
        <f>IF($K352&lt;&gt;0,VLOOKUP($K352,DM_KM,3,0),"")</f>
        <v>#N/A</v>
      </c>
      <c r="J352" s="52" t="str">
        <f>IF($K352&lt;&gt;0,VLOOKUP($K352,DM_KM,5,0),"")</f>
        <v>#N/A</v>
      </c>
      <c r="K352" s="1187" t="s">
        <v>181</v>
      </c>
      <c r="L352" s="735"/>
      <c r="M352" s="68"/>
      <c r="N352" s="738">
        <v>1.3E9</v>
      </c>
      <c r="O352" s="1188" t="s">
        <v>2245</v>
      </c>
      <c r="P352" s="751"/>
    </row>
    <row r="353" hidden="1">
      <c r="A353" s="1186">
        <v>44713.0</v>
      </c>
      <c r="B353" s="52" t="str">
        <f t="shared" si="1"/>
        <v>06/2022</v>
      </c>
      <c r="C353" s="52" t="str">
        <f>IF(A353="","",VLOOKUP(A353,'THAM CHIẾU'!$A:$B,2,0))</f>
        <v>#N/A</v>
      </c>
      <c r="D353" s="52" t="str">
        <f>IF(E353&lt;&gt;0,VLOOKUP(E353,DM_DUAN,3,0),"")</f>
        <v/>
      </c>
      <c r="E353" s="735"/>
      <c r="F353" s="735"/>
      <c r="G353" s="735"/>
      <c r="H353" s="70"/>
      <c r="I353" s="52" t="str">
        <f>IF($K353&lt;&gt;0,VLOOKUP($K353,DM_KM,3,0),"")</f>
        <v>#N/A</v>
      </c>
      <c r="J353" s="52" t="str">
        <f>IF($K353&lt;&gt;0,VLOOKUP($K353,DM_KM,5,0),"")</f>
        <v>#N/A</v>
      </c>
      <c r="K353" s="735" t="s">
        <v>2243</v>
      </c>
      <c r="L353" s="735"/>
      <c r="M353" s="68"/>
      <c r="N353" s="738">
        <v>3.9E7</v>
      </c>
      <c r="O353" s="737" t="s">
        <v>2246</v>
      </c>
      <c r="P353" s="751"/>
    </row>
    <row r="354" hidden="1">
      <c r="A354" s="1190"/>
      <c r="B354" s="52" t="str">
        <f t="shared" si="1"/>
        <v/>
      </c>
      <c r="C354" s="52" t="str">
        <f>IF(A354="","",VLOOKUP(A354,'THAM CHIẾU'!$A:$B,2,0))</f>
        <v/>
      </c>
      <c r="D354" s="52" t="str">
        <f>IF(E354&lt;&gt;0,VLOOKUP(E354,DM_DUAN,3,0),"")</f>
        <v/>
      </c>
      <c r="E354" s="735"/>
      <c r="F354" s="735"/>
      <c r="G354" s="735"/>
      <c r="H354" s="70"/>
      <c r="I354" s="52" t="str">
        <f>IF($K354&lt;&gt;0,VLOOKUP($K354,DM_KM,3,0),"")</f>
        <v/>
      </c>
      <c r="J354" s="52" t="str">
        <f>IF($K354&lt;&gt;0,VLOOKUP($K354,DM_KM,5,0),"")</f>
        <v/>
      </c>
      <c r="K354" s="735"/>
      <c r="L354" s="735"/>
      <c r="M354" s="68"/>
      <c r="N354" s="738">
        <v>0.0</v>
      </c>
      <c r="O354" s="737"/>
      <c r="P354" s="751"/>
    </row>
    <row r="355" hidden="1">
      <c r="A355" s="1186">
        <v>44743.0</v>
      </c>
      <c r="B355" s="52" t="str">
        <f t="shared" si="1"/>
        <v>07/2022</v>
      </c>
      <c r="C355" s="52" t="str">
        <f>IF(A355="","",VLOOKUP(A355,'THAM CHIẾU'!$A:$B,2,0))</f>
        <v>#N/A</v>
      </c>
      <c r="D355" s="52" t="str">
        <f>IF(E355&lt;&gt;0,VLOOKUP(E355,DM_DUAN,3,0),"")</f>
        <v/>
      </c>
      <c r="E355" s="735"/>
      <c r="F355" s="735"/>
      <c r="G355" s="735" t="s">
        <v>207</v>
      </c>
      <c r="H355" s="70"/>
      <c r="I355" s="52" t="str">
        <f>IF($K355&lt;&gt;0,VLOOKUP($K355,DM_KM,3,0),"")</f>
        <v>#N/A</v>
      </c>
      <c r="J355" s="52" t="str">
        <f>IF($K355&lt;&gt;0,VLOOKUP($K355,DM_KM,5,0),"")</f>
        <v>#N/A</v>
      </c>
      <c r="K355" s="735" t="s">
        <v>2215</v>
      </c>
      <c r="L355" s="735"/>
      <c r="M355" s="68"/>
      <c r="N355" s="738">
        <v>43000.0</v>
      </c>
      <c r="O355" s="737" t="s">
        <v>2216</v>
      </c>
      <c r="P355" s="751"/>
    </row>
    <row r="356" hidden="1">
      <c r="A356" s="1186">
        <v>44743.0</v>
      </c>
      <c r="B356" s="52" t="str">
        <f t="shared" si="1"/>
        <v>07/2022</v>
      </c>
      <c r="C356" s="52" t="str">
        <f>IF(A356="","",VLOOKUP(A356,'THAM CHIẾU'!$A:$B,2,0))</f>
        <v>#N/A</v>
      </c>
      <c r="D356" s="52" t="str">
        <f>IF(E356&lt;&gt;0,VLOOKUP(E356,DM_DUAN,3,0),"")</f>
        <v/>
      </c>
      <c r="E356" s="735"/>
      <c r="F356" s="735"/>
      <c r="G356" s="735"/>
      <c r="H356" s="70"/>
      <c r="I356" s="52" t="str">
        <f>IF($K356&lt;&gt;0,VLOOKUP($K356,DM_KM,3,0),"")</f>
        <v>#N/A</v>
      </c>
      <c r="J356" s="52" t="str">
        <f>IF($K356&lt;&gt;0,VLOOKUP($K356,DM_KM,5,0),"")</f>
        <v>#N/A</v>
      </c>
      <c r="K356" s="1187" t="s">
        <v>419</v>
      </c>
      <c r="L356" s="735"/>
      <c r="M356" s="68"/>
      <c r="N356" s="738">
        <v>166000.0</v>
      </c>
      <c r="O356" s="1188" t="s">
        <v>2217</v>
      </c>
      <c r="P356" s="751"/>
    </row>
    <row r="357" hidden="1">
      <c r="A357" s="1186">
        <v>44743.0</v>
      </c>
      <c r="B357" s="52" t="str">
        <f t="shared" si="1"/>
        <v>07/2022</v>
      </c>
      <c r="C357" s="52" t="str">
        <f>IF(A357="","",VLOOKUP(A357,'THAM CHIẾU'!$A:$B,2,0))</f>
        <v>#N/A</v>
      </c>
      <c r="D357" s="52" t="str">
        <f>IF(E357&lt;&gt;0,VLOOKUP(E357,DM_DUAN,3,0),"")</f>
        <v/>
      </c>
      <c r="E357" s="735"/>
      <c r="F357" s="735"/>
      <c r="G357" s="735"/>
      <c r="H357" s="70"/>
      <c r="I357" s="52" t="str">
        <f>IF($K357&lt;&gt;0,VLOOKUP($K357,DM_KM,3,0),"")</f>
        <v>#N/A</v>
      </c>
      <c r="J357" s="52" t="str">
        <f>IF($K357&lt;&gt;0,VLOOKUP($K357,DM_KM,5,0),"")</f>
        <v>#N/A</v>
      </c>
      <c r="K357" s="735" t="s">
        <v>573</v>
      </c>
      <c r="L357" s="735"/>
      <c r="M357" s="68"/>
      <c r="N357" s="738">
        <v>250000.0</v>
      </c>
      <c r="O357" s="1188" t="s">
        <v>2218</v>
      </c>
      <c r="P357" s="751"/>
    </row>
    <row r="358" hidden="1">
      <c r="A358" s="1186">
        <v>44743.0</v>
      </c>
      <c r="B358" s="52" t="str">
        <f t="shared" si="1"/>
        <v>07/2022</v>
      </c>
      <c r="C358" s="52" t="str">
        <f>IF(A358="","",VLOOKUP(A358,'THAM CHIẾU'!$A:$B,2,0))</f>
        <v>#N/A</v>
      </c>
      <c r="D358" s="52" t="str">
        <f>IF(E358&lt;&gt;0,VLOOKUP(E358,DM_DUAN,3,0),"")</f>
        <v/>
      </c>
      <c r="E358" s="735"/>
      <c r="F358" s="735"/>
      <c r="G358" s="735"/>
      <c r="H358" s="70"/>
      <c r="I358" s="1189" t="str">
        <f>IF($K358&lt;&gt;0,VLOOKUP($K358,DM_KM,3,0),"")</f>
        <v>#N/A</v>
      </c>
      <c r="J358" s="52" t="str">
        <f>IF($K358&lt;&gt;0,VLOOKUP($K358,DM_KM,5,0),"")</f>
        <v>#N/A</v>
      </c>
      <c r="K358" s="735" t="s">
        <v>1273</v>
      </c>
      <c r="L358" s="735"/>
      <c r="M358" s="68"/>
      <c r="N358" s="738">
        <v>328000.0</v>
      </c>
      <c r="O358" s="737" t="s">
        <v>1273</v>
      </c>
      <c r="P358" s="751"/>
    </row>
    <row r="359" hidden="1">
      <c r="A359" s="1186">
        <v>44743.0</v>
      </c>
      <c r="B359" s="52" t="str">
        <f t="shared" si="1"/>
        <v>07/2022</v>
      </c>
      <c r="C359" s="52" t="str">
        <f>IF(A359="","",VLOOKUP(A359,'THAM CHIẾU'!$A:$B,2,0))</f>
        <v>#N/A</v>
      </c>
      <c r="D359" s="52" t="str">
        <f>IF(E359&lt;&gt;0,VLOOKUP(E359,DM_DUAN,3,0),"")</f>
        <v/>
      </c>
      <c r="E359" s="735"/>
      <c r="F359" s="735"/>
      <c r="G359" s="735"/>
      <c r="H359" s="70"/>
      <c r="I359" s="52" t="str">
        <f>IF($K359&lt;&gt;0,VLOOKUP($K359,DM_KM,3,0),"")</f>
        <v>VHVP</v>
      </c>
      <c r="J359" s="52">
        <f>IF($K359&lt;&gt;0,VLOOKUP($K359,DM_KM,5,0),"")</f>
        <v>642</v>
      </c>
      <c r="K359" s="735" t="s">
        <v>1153</v>
      </c>
      <c r="L359" s="735"/>
      <c r="M359" s="68"/>
      <c r="N359" s="738">
        <v>8333000.0</v>
      </c>
      <c r="O359" s="737" t="s">
        <v>2219</v>
      </c>
      <c r="P359" s="751"/>
    </row>
    <row r="360" hidden="1">
      <c r="A360" s="1186">
        <v>44743.0</v>
      </c>
      <c r="B360" s="52" t="str">
        <f t="shared" si="1"/>
        <v>07/2022</v>
      </c>
      <c r="C360" s="52" t="str">
        <f>IF(A360="","",VLOOKUP(A360,'THAM CHIẾU'!$A:$B,2,0))</f>
        <v>#N/A</v>
      </c>
      <c r="D360" s="52" t="str">
        <f>IF(E360&lt;&gt;0,VLOOKUP(E360,DM_DUAN,3,0),"")</f>
        <v/>
      </c>
      <c r="E360" s="735"/>
      <c r="F360" s="735"/>
      <c r="G360" s="735"/>
      <c r="H360" s="70"/>
      <c r="I360" s="52" t="str">
        <f>IF($K360&lt;&gt;0,VLOOKUP($K360,DM_KM,3,0),"")</f>
        <v>#N/A</v>
      </c>
      <c r="J360" s="52" t="str">
        <f>IF($K360&lt;&gt;0,VLOOKUP($K360,DM_KM,5,0),"")</f>
        <v>#N/A</v>
      </c>
      <c r="K360" s="735" t="s">
        <v>2220</v>
      </c>
      <c r="L360" s="735"/>
      <c r="M360" s="68"/>
      <c r="N360" s="738">
        <v>416000.0</v>
      </c>
      <c r="O360" s="737" t="s">
        <v>2221</v>
      </c>
      <c r="P360" s="751"/>
    </row>
    <row r="361" hidden="1">
      <c r="A361" s="1186">
        <v>44743.0</v>
      </c>
      <c r="B361" s="52" t="str">
        <f t="shared" si="1"/>
        <v>07/2022</v>
      </c>
      <c r="C361" s="52" t="str">
        <f>IF(A361="","",VLOOKUP(A361,'THAM CHIẾU'!$A:$B,2,0))</f>
        <v>#N/A</v>
      </c>
      <c r="D361" s="52" t="str">
        <f>IF(E361&lt;&gt;0,VLOOKUP(E361,DM_DUAN,3,0),"")</f>
        <v/>
      </c>
      <c r="E361" s="735"/>
      <c r="F361" s="735"/>
      <c r="G361" s="735"/>
      <c r="H361" s="70"/>
      <c r="I361" s="52" t="str">
        <f>IF($K361&lt;&gt;0,VLOOKUP($K361,DM_KM,3,0),"")</f>
        <v>#N/A</v>
      </c>
      <c r="J361" s="52" t="str">
        <f>IF($K361&lt;&gt;0,VLOOKUP($K361,DM_KM,5,0),"")</f>
        <v>#N/A</v>
      </c>
      <c r="K361" s="735" t="s">
        <v>262</v>
      </c>
      <c r="L361" s="735"/>
      <c r="M361" s="68"/>
      <c r="N361" s="738">
        <v>833000.0</v>
      </c>
      <c r="O361" s="737" t="s">
        <v>2222</v>
      </c>
      <c r="P361" s="751"/>
    </row>
    <row r="362" hidden="1">
      <c r="A362" s="1186">
        <v>44743.0</v>
      </c>
      <c r="B362" s="52" t="str">
        <f t="shared" si="1"/>
        <v>07/2022</v>
      </c>
      <c r="C362" s="52" t="str">
        <f>IF(A362="","",VLOOKUP(A362,'THAM CHIẾU'!$A:$B,2,0))</f>
        <v>#N/A</v>
      </c>
      <c r="D362" s="52" t="str">
        <f>IF(E362&lt;&gt;0,VLOOKUP(E362,DM_DUAN,3,0),"")</f>
        <v/>
      </c>
      <c r="E362" s="735"/>
      <c r="F362" s="735"/>
      <c r="G362" s="735"/>
      <c r="H362" s="70"/>
      <c r="I362" s="52" t="str">
        <f>IF($K362&lt;&gt;0,VLOOKUP($K362,DM_KM,3,0),"")</f>
        <v>#N/A</v>
      </c>
      <c r="J362" s="52" t="str">
        <f>IF($K362&lt;&gt;0,VLOOKUP($K362,DM_KM,5,0),"")</f>
        <v>#N/A</v>
      </c>
      <c r="K362" s="735" t="s">
        <v>2223</v>
      </c>
      <c r="L362" s="735"/>
      <c r="M362" s="68"/>
      <c r="N362" s="738">
        <v>4166000.0</v>
      </c>
      <c r="O362" s="737" t="s">
        <v>2224</v>
      </c>
      <c r="P362" s="751"/>
    </row>
    <row r="363" hidden="1">
      <c r="A363" s="1186">
        <v>44743.0</v>
      </c>
      <c r="B363" s="52" t="str">
        <f t="shared" si="1"/>
        <v>07/2022</v>
      </c>
      <c r="C363" s="52" t="str">
        <f>IF(A363="","",VLOOKUP(A363,'THAM CHIẾU'!$A:$B,2,0))</f>
        <v>#N/A</v>
      </c>
      <c r="D363" s="52" t="str">
        <f>IF(E363&lt;&gt;0,VLOOKUP(E363,DM_DUAN,3,0),"")</f>
        <v/>
      </c>
      <c r="E363" s="735"/>
      <c r="F363" s="735"/>
      <c r="G363" s="735" t="s">
        <v>176</v>
      </c>
      <c r="H363" s="70"/>
      <c r="I363" s="52" t="str">
        <f>IF($K363&lt;&gt;0,VLOOKUP($K363,DM_KM,3,0),"")</f>
        <v>#N/A</v>
      </c>
      <c r="J363" s="52" t="str">
        <f>IF($K363&lt;&gt;0,VLOOKUP($K363,DM_KM,5,0),"")</f>
        <v>#N/A</v>
      </c>
      <c r="K363" s="1187" t="s">
        <v>374</v>
      </c>
      <c r="L363" s="735"/>
      <c r="M363" s="68"/>
      <c r="N363" s="738">
        <v>1666000.0</v>
      </c>
      <c r="O363" s="1188" t="s">
        <v>2225</v>
      </c>
      <c r="P363" s="751"/>
    </row>
    <row r="364" hidden="1">
      <c r="A364" s="1186">
        <v>44743.0</v>
      </c>
      <c r="B364" s="52" t="str">
        <f t="shared" si="1"/>
        <v>07/2022</v>
      </c>
      <c r="C364" s="52" t="str">
        <f>IF(A364="","",VLOOKUP(A364,'THAM CHIẾU'!$A:$B,2,0))</f>
        <v>#N/A</v>
      </c>
      <c r="D364" s="52" t="str">
        <f>IF(E364&lt;&gt;0,VLOOKUP(E364,DM_DUAN,3,0),"")</f>
        <v/>
      </c>
      <c r="E364" s="735"/>
      <c r="F364" s="735"/>
      <c r="G364" s="735"/>
      <c r="H364" s="70"/>
      <c r="I364" s="52" t="str">
        <f>IF($K364&lt;&gt;0,VLOOKUP($K364,DM_KM,3,0),"")</f>
        <v>#N/A</v>
      </c>
      <c r="J364" s="52" t="str">
        <f>IF($K364&lt;&gt;0,VLOOKUP($K364,DM_KM,5,0),"")</f>
        <v>#N/A</v>
      </c>
      <c r="K364" s="735" t="s">
        <v>380</v>
      </c>
      <c r="L364" s="735"/>
      <c r="M364" s="68"/>
      <c r="N364" s="738">
        <v>1666000.0</v>
      </c>
      <c r="O364" s="1188" t="s">
        <v>2226</v>
      </c>
      <c r="P364" s="751"/>
    </row>
    <row r="365" hidden="1">
      <c r="A365" s="1186">
        <v>44743.0</v>
      </c>
      <c r="B365" s="52" t="str">
        <f t="shared" si="1"/>
        <v>07/2022</v>
      </c>
      <c r="C365" s="52" t="str">
        <f>IF(A365="","",VLOOKUP(A365,'THAM CHIẾU'!$A:$B,2,0))</f>
        <v>#N/A</v>
      </c>
      <c r="D365" s="52" t="str">
        <f>IF(E365&lt;&gt;0,VLOOKUP(E365,DM_DUAN,3,0),"")</f>
        <v/>
      </c>
      <c r="E365" s="735"/>
      <c r="F365" s="735"/>
      <c r="G365" s="735"/>
      <c r="H365" s="70"/>
      <c r="I365" s="52" t="str">
        <f>IF($K365&lt;&gt;0,VLOOKUP($K365,DM_KM,3,0),"")</f>
        <v>#N/A</v>
      </c>
      <c r="J365" s="52" t="str">
        <f>IF($K365&lt;&gt;0,VLOOKUP($K365,DM_KM,5,0),"")</f>
        <v>#N/A</v>
      </c>
      <c r="K365" s="735" t="s">
        <v>272</v>
      </c>
      <c r="L365" s="735"/>
      <c r="M365" s="68"/>
      <c r="N365" s="738">
        <v>6666000.0</v>
      </c>
      <c r="O365" s="737" t="s">
        <v>2227</v>
      </c>
      <c r="P365" s="751"/>
    </row>
    <row r="366" hidden="1">
      <c r="A366" s="1186">
        <v>44743.0</v>
      </c>
      <c r="B366" s="52" t="str">
        <f t="shared" si="1"/>
        <v>07/2022</v>
      </c>
      <c r="C366" s="52" t="str">
        <f>IF(A366="","",VLOOKUP(A366,'THAM CHIẾU'!$A:$B,2,0))</f>
        <v>#N/A</v>
      </c>
      <c r="D366" s="52" t="str">
        <f>IF(E366&lt;&gt;0,VLOOKUP(E366,DM_DUAN,3,0),"")</f>
        <v/>
      </c>
      <c r="E366" s="735"/>
      <c r="F366" s="735"/>
      <c r="G366" s="735"/>
      <c r="H366" s="70"/>
      <c r="I366" s="52" t="str">
        <f>IF($K366&lt;&gt;0,VLOOKUP($K366,DM_KM,3,0),"")</f>
        <v>#N/A</v>
      </c>
      <c r="J366" s="52" t="str">
        <f>IF($K366&lt;&gt;0,VLOOKUP($K366,DM_KM,5,0),"")</f>
        <v>#N/A</v>
      </c>
      <c r="K366" s="735" t="s">
        <v>380</v>
      </c>
      <c r="L366" s="735"/>
      <c r="M366" s="68"/>
      <c r="N366" s="738">
        <v>833000.0</v>
      </c>
      <c r="O366" s="1188" t="s">
        <v>2228</v>
      </c>
      <c r="P366" s="751"/>
    </row>
    <row r="367" hidden="1">
      <c r="A367" s="1186">
        <v>44743.0</v>
      </c>
      <c r="B367" s="52" t="str">
        <f t="shared" si="1"/>
        <v>07/2022</v>
      </c>
      <c r="C367" s="52" t="str">
        <f>IF(A367="","",VLOOKUP(A367,'THAM CHIẾU'!$A:$B,2,0))</f>
        <v>#N/A</v>
      </c>
      <c r="D367" s="52" t="str">
        <f>IF(E367&lt;&gt;0,VLOOKUP(E367,DM_DUAN,3,0),"")</f>
        <v/>
      </c>
      <c r="E367" s="735"/>
      <c r="F367" s="735"/>
      <c r="G367" s="735"/>
      <c r="H367" s="70"/>
      <c r="I367" s="52" t="str">
        <f>IF($K367&lt;&gt;0,VLOOKUP($K367,DM_KM,3,0),"")</f>
        <v>#N/A</v>
      </c>
      <c r="J367" s="52" t="str">
        <f>IF($K367&lt;&gt;0,VLOOKUP($K367,DM_KM,5,0),"")</f>
        <v>#N/A</v>
      </c>
      <c r="K367" s="735" t="s">
        <v>222</v>
      </c>
      <c r="L367" s="735"/>
      <c r="M367" s="68"/>
      <c r="N367" s="738">
        <v>416000.0</v>
      </c>
      <c r="O367" s="737" t="s">
        <v>2229</v>
      </c>
      <c r="P367" s="751"/>
    </row>
    <row r="368" hidden="1">
      <c r="A368" s="1186">
        <v>44743.0</v>
      </c>
      <c r="B368" s="52" t="str">
        <f t="shared" si="1"/>
        <v>07/2022</v>
      </c>
      <c r="C368" s="52" t="str">
        <f>IF(A368="","",VLOOKUP(A368,'THAM CHIẾU'!$A:$B,2,0))</f>
        <v>#N/A</v>
      </c>
      <c r="D368" s="52" t="str">
        <f>IF(E368&lt;&gt;0,VLOOKUP(E368,DM_DUAN,3,0),"")</f>
        <v/>
      </c>
      <c r="E368" s="735"/>
      <c r="F368" s="735"/>
      <c r="G368" s="735"/>
      <c r="H368" s="70"/>
      <c r="I368" s="1189" t="str">
        <f>IF($K368&lt;&gt;0,VLOOKUP($K368,DM_KM,3,0),"")</f>
        <v>#N/A</v>
      </c>
      <c r="J368" s="52" t="str">
        <f>IF($K368&lt;&gt;0,VLOOKUP($K368,DM_KM,5,0),"")</f>
        <v>#N/A</v>
      </c>
      <c r="K368" s="1187" t="s">
        <v>267</v>
      </c>
      <c r="L368" s="735"/>
      <c r="M368" s="68"/>
      <c r="N368" s="738">
        <v>3.184E8</v>
      </c>
      <c r="O368" s="1188" t="s">
        <v>2230</v>
      </c>
      <c r="P368" s="751"/>
    </row>
    <row r="369" hidden="1">
      <c r="A369" s="1186">
        <v>44743.0</v>
      </c>
      <c r="B369" s="52" t="str">
        <f t="shared" si="1"/>
        <v>07/2022</v>
      </c>
      <c r="C369" s="52" t="str">
        <f>IF(A369="","",VLOOKUP(A369,'THAM CHIẾU'!$A:$B,2,0))</f>
        <v>#N/A</v>
      </c>
      <c r="D369" s="52" t="str">
        <f>IF(E369&lt;&gt;0,VLOOKUP(E369,DM_DUAN,3,0),"")</f>
        <v/>
      </c>
      <c r="E369" s="735"/>
      <c r="F369" s="735"/>
      <c r="G369" s="735"/>
      <c r="H369" s="70"/>
      <c r="I369" s="52" t="str">
        <f>IF($K369&lt;&gt;0,VLOOKUP($K369,DM_KM,3,0),"")</f>
        <v>THUEVP</v>
      </c>
      <c r="J369" s="52">
        <f>IF($K369&lt;&gt;0,VLOOKUP($K369,DM_KM,5,0),"")</f>
        <v>642</v>
      </c>
      <c r="K369" s="735" t="s">
        <v>270</v>
      </c>
      <c r="L369" s="735"/>
      <c r="M369" s="68"/>
      <c r="N369" s="738">
        <v>4.5143E7</v>
      </c>
      <c r="O369" s="1188" t="s">
        <v>2231</v>
      </c>
      <c r="P369" s="751"/>
    </row>
    <row r="370" hidden="1">
      <c r="A370" s="1186">
        <v>44743.0</v>
      </c>
      <c r="B370" s="52" t="str">
        <f t="shared" si="1"/>
        <v>07/2022</v>
      </c>
      <c r="C370" s="52" t="str">
        <f>IF(A370="","",VLOOKUP(A370,'THAM CHIẾU'!$A:$B,2,0))</f>
        <v>#N/A</v>
      </c>
      <c r="D370" s="52" t="str">
        <f>IF(E370&lt;&gt;0,VLOOKUP(E370,DM_DUAN,3,0),"")</f>
        <v/>
      </c>
      <c r="E370" s="735"/>
      <c r="F370" s="735"/>
      <c r="G370" s="735"/>
      <c r="H370" s="70"/>
      <c r="I370" s="52" t="str">
        <f>IF($K370&lt;&gt;0,VLOOKUP($K370,DM_KM,3,0),"")</f>
        <v>#N/A</v>
      </c>
      <c r="J370" s="52" t="str">
        <f>IF($K370&lt;&gt;0,VLOOKUP($K370,DM_KM,5,0),"")</f>
        <v>#N/A</v>
      </c>
      <c r="K370" s="735" t="s">
        <v>410</v>
      </c>
      <c r="L370" s="735"/>
      <c r="M370" s="68"/>
      <c r="N370" s="738">
        <v>1250000.0</v>
      </c>
      <c r="O370" s="737" t="s">
        <v>410</v>
      </c>
      <c r="P370" s="751"/>
    </row>
    <row r="371" hidden="1">
      <c r="A371" s="1186">
        <v>44743.0</v>
      </c>
      <c r="B371" s="52" t="str">
        <f t="shared" si="1"/>
        <v>07/2022</v>
      </c>
      <c r="C371" s="52" t="str">
        <f>IF(A371="","",VLOOKUP(A371,'THAM CHIẾU'!$A:$B,2,0))</f>
        <v>#N/A</v>
      </c>
      <c r="D371" s="52" t="str">
        <f>IF(E371&lt;&gt;0,VLOOKUP(E371,DM_DUAN,3,0),"")</f>
        <v/>
      </c>
      <c r="E371" s="735"/>
      <c r="F371" s="735"/>
      <c r="G371" s="735"/>
      <c r="H371" s="70"/>
      <c r="I371" s="52" t="str">
        <f>IF($K371&lt;&gt;0,VLOOKUP($K371,DM_KM,3,0),"")</f>
        <v>#N/A</v>
      </c>
      <c r="J371" s="52" t="str">
        <f>IF($K371&lt;&gt;0,VLOOKUP($K371,DM_KM,5,0),"")</f>
        <v>#N/A</v>
      </c>
      <c r="K371" s="1187" t="s">
        <v>252</v>
      </c>
      <c r="L371" s="735"/>
      <c r="M371" s="68"/>
      <c r="N371" s="738">
        <v>1.6666E7</v>
      </c>
      <c r="O371" s="1188" t="s">
        <v>2232</v>
      </c>
      <c r="P371" s="751"/>
    </row>
    <row r="372" hidden="1">
      <c r="A372" s="1186">
        <v>44743.0</v>
      </c>
      <c r="B372" s="52" t="str">
        <f t="shared" si="1"/>
        <v>07/2022</v>
      </c>
      <c r="C372" s="52" t="str">
        <f>IF(A372="","",VLOOKUP(A372,'THAM CHIẾU'!$A:$B,2,0))</f>
        <v>#N/A</v>
      </c>
      <c r="D372" s="52" t="str">
        <f>IF(E372&lt;&gt;0,VLOOKUP(E372,DM_DUAN,3,0),"")</f>
        <v/>
      </c>
      <c r="E372" s="735"/>
      <c r="F372" s="735"/>
      <c r="G372" s="735"/>
      <c r="H372" s="70"/>
      <c r="I372" s="52" t="str">
        <f>IF($K372&lt;&gt;0,VLOOKUP($K372,DM_KM,3,0),"")</f>
        <v>#N/A</v>
      </c>
      <c r="J372" s="52" t="str">
        <f>IF($K372&lt;&gt;0,VLOOKUP($K372,DM_KM,5,0),"")</f>
        <v>#N/A</v>
      </c>
      <c r="K372" s="735" t="s">
        <v>380</v>
      </c>
      <c r="L372" s="735"/>
      <c r="M372" s="68"/>
      <c r="N372" s="738">
        <v>1666000.0</v>
      </c>
      <c r="O372" s="1188" t="s">
        <v>2233</v>
      </c>
      <c r="P372" s="751"/>
    </row>
    <row r="373" hidden="1">
      <c r="A373" s="1186">
        <v>44743.0</v>
      </c>
      <c r="B373" s="52" t="str">
        <f t="shared" si="1"/>
        <v>07/2022</v>
      </c>
      <c r="C373" s="52" t="str">
        <f>IF(A373="","",VLOOKUP(A373,'THAM CHIẾU'!$A:$B,2,0))</f>
        <v>#N/A</v>
      </c>
      <c r="D373" s="52" t="str">
        <f>IF(E373&lt;&gt;0,VLOOKUP(E373,DM_DUAN,3,0),"")</f>
        <v/>
      </c>
      <c r="E373" s="735"/>
      <c r="F373" s="735"/>
      <c r="G373" s="735"/>
      <c r="H373" s="70"/>
      <c r="I373" s="52" t="str">
        <f>IF($K373&lt;&gt;0,VLOOKUP($K373,DM_KM,3,0),"")</f>
        <v>#N/A</v>
      </c>
      <c r="J373" s="52" t="str">
        <f>IF($K373&lt;&gt;0,VLOOKUP($K373,DM_KM,5,0),"")</f>
        <v>#N/A</v>
      </c>
      <c r="K373" s="1187" t="s">
        <v>206</v>
      </c>
      <c r="L373" s="735"/>
      <c r="M373" s="68"/>
      <c r="N373" s="738">
        <v>1703000.0</v>
      </c>
      <c r="O373" s="1188" t="s">
        <v>206</v>
      </c>
      <c r="P373" s="751"/>
    </row>
    <row r="374" hidden="1">
      <c r="A374" s="1186">
        <v>44743.0</v>
      </c>
      <c r="B374" s="52" t="str">
        <f t="shared" si="1"/>
        <v>07/2022</v>
      </c>
      <c r="C374" s="52" t="str">
        <f>IF(A374="","",VLOOKUP(A374,'THAM CHIẾU'!$A:$B,2,0))</f>
        <v>#N/A</v>
      </c>
      <c r="D374" s="52" t="str">
        <f>IF(E374&lt;&gt;0,VLOOKUP(E374,DM_DUAN,3,0),"")</f>
        <v/>
      </c>
      <c r="E374" s="735"/>
      <c r="F374" s="735"/>
      <c r="G374" s="735"/>
      <c r="H374" s="70"/>
      <c r="I374" s="52" t="str">
        <f>IF($K374&lt;&gt;0,VLOOKUP($K374,DM_KM,3,0),"")</f>
        <v>#N/A</v>
      </c>
      <c r="J374" s="52" t="str">
        <f>IF($K374&lt;&gt;0,VLOOKUP($K374,DM_KM,5,0),"")</f>
        <v>#N/A</v>
      </c>
      <c r="K374" s="1187" t="s">
        <v>226</v>
      </c>
      <c r="L374" s="735"/>
      <c r="M374" s="68"/>
      <c r="N374" s="738">
        <v>1250000.0</v>
      </c>
      <c r="O374" s="1188" t="s">
        <v>2234</v>
      </c>
      <c r="P374" s="751"/>
    </row>
    <row r="375" hidden="1">
      <c r="A375" s="1186">
        <v>44743.0</v>
      </c>
      <c r="B375" s="52" t="str">
        <f t="shared" si="1"/>
        <v>07/2022</v>
      </c>
      <c r="C375" s="52" t="str">
        <f>IF(A375="","",VLOOKUP(A375,'THAM CHIẾU'!$A:$B,2,0))</f>
        <v>#N/A</v>
      </c>
      <c r="D375" s="52" t="str">
        <f>IF(E375&lt;&gt;0,VLOOKUP(E375,DM_DUAN,3,0),"")</f>
        <v/>
      </c>
      <c r="E375" s="735"/>
      <c r="F375" s="735"/>
      <c r="G375" s="735"/>
      <c r="H375" s="70"/>
      <c r="I375" s="52" t="str">
        <f>IF($K375&lt;&gt;0,VLOOKUP($K375,DM_KM,3,0),"")</f>
        <v>#N/A</v>
      </c>
      <c r="J375" s="52" t="str">
        <f>IF($K375&lt;&gt;0,VLOOKUP($K375,DM_KM,5,0),"")</f>
        <v>#N/A</v>
      </c>
      <c r="K375" s="735" t="s">
        <v>174</v>
      </c>
      <c r="L375" s="735"/>
      <c r="M375" s="68"/>
      <c r="N375" s="738">
        <v>4.0861E7</v>
      </c>
      <c r="O375" s="737" t="s">
        <v>2235</v>
      </c>
      <c r="P375" s="751"/>
    </row>
    <row r="376" hidden="1">
      <c r="A376" s="1186">
        <v>44743.0</v>
      </c>
      <c r="B376" s="52" t="str">
        <f t="shared" si="1"/>
        <v>07/2022</v>
      </c>
      <c r="C376" s="52" t="str">
        <f>IF(A376="","",VLOOKUP(A376,'THAM CHIẾU'!$A:$B,2,0))</f>
        <v>#N/A</v>
      </c>
      <c r="D376" s="52" t="str">
        <f>IF(E376&lt;&gt;0,VLOOKUP(E376,DM_DUAN,3,0),"")</f>
        <v/>
      </c>
      <c r="E376" s="735"/>
      <c r="F376" s="735"/>
      <c r="G376" s="735"/>
      <c r="H376" s="70"/>
      <c r="I376" s="52" t="str">
        <f>IF($K376&lt;&gt;0,VLOOKUP($K376,DM_KM,3,0),"")</f>
        <v>#N/A</v>
      </c>
      <c r="J376" s="52" t="str">
        <f>IF($K376&lt;&gt;0,VLOOKUP($K376,DM_KM,5,0),"")</f>
        <v>#N/A</v>
      </c>
      <c r="K376" s="735" t="s">
        <v>2236</v>
      </c>
      <c r="L376" s="735"/>
      <c r="M376" s="68"/>
      <c r="N376" s="738">
        <v>1666000.0</v>
      </c>
      <c r="O376" s="1188" t="s">
        <v>2237</v>
      </c>
      <c r="P376" s="751"/>
    </row>
    <row r="377" hidden="1">
      <c r="A377" s="1186">
        <v>44743.0</v>
      </c>
      <c r="B377" s="52" t="str">
        <f t="shared" si="1"/>
        <v>07/2022</v>
      </c>
      <c r="C377" s="52" t="str">
        <f>IF(A377="","",VLOOKUP(A377,'THAM CHIẾU'!$A:$B,2,0))</f>
        <v>#N/A</v>
      </c>
      <c r="D377" s="52" t="str">
        <f>IF(E377&lt;&gt;0,VLOOKUP(E377,DM_DUAN,3,0),"")</f>
        <v/>
      </c>
      <c r="E377" s="735"/>
      <c r="F377" s="735"/>
      <c r="G377" s="735"/>
      <c r="H377" s="70"/>
      <c r="I377" s="52" t="str">
        <f>IF($K377&lt;&gt;0,VLOOKUP($K377,DM_KM,3,0),"")</f>
        <v/>
      </c>
      <c r="J377" s="52" t="str">
        <f>IF($K377&lt;&gt;0,VLOOKUP($K377,DM_KM,5,0),"")</f>
        <v/>
      </c>
      <c r="K377" s="735"/>
      <c r="L377" s="735"/>
      <c r="M377" s="68"/>
      <c r="N377" s="738"/>
      <c r="O377" s="1188"/>
      <c r="P377" s="751"/>
    </row>
    <row r="378" hidden="1">
      <c r="A378" s="1186">
        <v>44743.0</v>
      </c>
      <c r="B378" s="52" t="str">
        <f t="shared" si="1"/>
        <v>07/2022</v>
      </c>
      <c r="C378" s="52" t="str">
        <f>IF(A378="","",VLOOKUP(A378,'THAM CHIẾU'!$A:$B,2,0))</f>
        <v>#N/A</v>
      </c>
      <c r="D378" s="52" t="str">
        <f>IF(E378&lt;&gt;0,VLOOKUP(E378,DM_DUAN,3,0),"")</f>
        <v/>
      </c>
      <c r="E378" s="735"/>
      <c r="F378" s="735"/>
      <c r="G378" s="735"/>
      <c r="H378" s="70"/>
      <c r="I378" s="52" t="str">
        <f>IF($K378&lt;&gt;0,VLOOKUP($K378,DM_KM,3,0),"")</f>
        <v>#N/A</v>
      </c>
      <c r="J378" s="52" t="str">
        <f>IF($K378&lt;&gt;0,VLOOKUP($K378,DM_KM,5,0),"")</f>
        <v>#N/A</v>
      </c>
      <c r="K378" s="735" t="s">
        <v>169</v>
      </c>
      <c r="L378" s="735"/>
      <c r="M378" s="68"/>
      <c r="N378" s="738">
        <v>1.0643E7</v>
      </c>
      <c r="O378" s="1188" t="s">
        <v>2240</v>
      </c>
      <c r="P378" s="751"/>
    </row>
    <row r="379" hidden="1">
      <c r="A379" s="1186">
        <v>44743.0</v>
      </c>
      <c r="B379" s="52" t="str">
        <f t="shared" si="1"/>
        <v>07/2022</v>
      </c>
      <c r="C379" s="52" t="str">
        <f>IF(A379="","",VLOOKUP(A379,'THAM CHIẾU'!$A:$B,2,0))</f>
        <v>#N/A</v>
      </c>
      <c r="D379" s="52" t="str">
        <f>IF(E379&lt;&gt;0,VLOOKUP(E379,DM_DUAN,3,0),"")</f>
        <v/>
      </c>
      <c r="E379" s="735"/>
      <c r="F379" s="735"/>
      <c r="G379" s="735"/>
      <c r="H379" s="70"/>
      <c r="I379" s="1189" t="str">
        <f>IF($K379&lt;&gt;0,VLOOKUP($K379,DM_KM,3,0),"")</f>
        <v>#N/A</v>
      </c>
      <c r="J379" s="52" t="str">
        <f>IF($K379&lt;&gt;0,VLOOKUP($K379,DM_KM,5,0),"")</f>
        <v>#N/A</v>
      </c>
      <c r="K379" s="1187" t="s">
        <v>190</v>
      </c>
      <c r="L379" s="735"/>
      <c r="M379" s="68"/>
      <c r="N379" s="738">
        <v>3.9E9</v>
      </c>
      <c r="O379" s="1188" t="s">
        <v>2241</v>
      </c>
      <c r="P379" s="739"/>
    </row>
    <row r="380" hidden="1">
      <c r="A380" s="1186">
        <v>44743.0</v>
      </c>
      <c r="B380" s="52" t="str">
        <f t="shared" si="1"/>
        <v>07/2022</v>
      </c>
      <c r="C380" s="52" t="str">
        <f>IF(A380="","",VLOOKUP(A380,'THAM CHIẾU'!$A:$B,2,0))</f>
        <v>#N/A</v>
      </c>
      <c r="D380" s="52" t="str">
        <f>IF(E380&lt;&gt;0,VLOOKUP(E380,DM_DUAN,3,0),"")</f>
        <v/>
      </c>
      <c r="E380" s="735"/>
      <c r="F380" s="735"/>
      <c r="G380" s="735"/>
      <c r="H380" s="70"/>
      <c r="I380" s="1189" t="str">
        <f>IF($K380&lt;&gt;0,VLOOKUP($K380,DM_KM,3,0),"")</f>
        <v>#N/A</v>
      </c>
      <c r="J380" s="52" t="str">
        <f>IF($K380&lt;&gt;0,VLOOKUP($K380,DM_KM,5,0),"")</f>
        <v>#N/A</v>
      </c>
      <c r="K380" s="1187" t="s">
        <v>194</v>
      </c>
      <c r="L380" s="735"/>
      <c r="M380" s="68"/>
      <c r="N380" s="738">
        <v>1.04E9</v>
      </c>
      <c r="O380" s="1188" t="s">
        <v>2242</v>
      </c>
      <c r="P380" s="739"/>
    </row>
    <row r="381" hidden="1">
      <c r="A381" s="1186">
        <v>44743.0</v>
      </c>
      <c r="B381" s="52" t="str">
        <f t="shared" si="1"/>
        <v>07/2022</v>
      </c>
      <c r="C381" s="52" t="str">
        <f>IF(A381="","",VLOOKUP(A381,'THAM CHIẾU'!$A:$B,2,0))</f>
        <v>#N/A</v>
      </c>
      <c r="D381" s="52" t="str">
        <f>IF(E381&lt;&gt;0,VLOOKUP(E381,DM_DUAN,3,0),"")</f>
        <v/>
      </c>
      <c r="E381" s="735"/>
      <c r="F381" s="735"/>
      <c r="G381" s="735"/>
      <c r="H381" s="70"/>
      <c r="I381" s="52" t="str">
        <f>IF($K381&lt;&gt;0,VLOOKUP($K381,DM_KM,3,0),"")</f>
        <v>#N/A</v>
      </c>
      <c r="J381" s="52" t="str">
        <f>IF($K381&lt;&gt;0,VLOOKUP($K381,DM_KM,5,0),"")</f>
        <v>#N/A</v>
      </c>
      <c r="K381" s="1187" t="s">
        <v>1170</v>
      </c>
      <c r="L381" s="735"/>
      <c r="M381" s="68"/>
      <c r="N381" s="738">
        <v>1.3E8</v>
      </c>
      <c r="O381" s="1188" t="s">
        <v>1474</v>
      </c>
      <c r="P381" s="751"/>
    </row>
    <row r="382" hidden="1">
      <c r="A382" s="1186">
        <v>44743.0</v>
      </c>
      <c r="B382" s="52" t="str">
        <f t="shared" si="1"/>
        <v>07/2022</v>
      </c>
      <c r="C382" s="52" t="str">
        <f>IF(A382="","",VLOOKUP(A382,'THAM CHIẾU'!$A:$B,2,0))</f>
        <v>#N/A</v>
      </c>
      <c r="D382" s="52" t="str">
        <f>IF(E382&lt;&gt;0,VLOOKUP(E382,DM_DUAN,3,0),"")</f>
        <v/>
      </c>
      <c r="E382" s="735"/>
      <c r="F382" s="735"/>
      <c r="G382" s="735"/>
      <c r="H382" s="70"/>
      <c r="I382" s="52" t="str">
        <f>IF($K382&lt;&gt;0,VLOOKUP($K382,DM_KM,3,0),"")</f>
        <v>#N/A</v>
      </c>
      <c r="J382" s="52" t="str">
        <f>IF($K382&lt;&gt;0,VLOOKUP($K382,DM_KM,5,0),"")</f>
        <v>#N/A</v>
      </c>
      <c r="K382" s="735" t="s">
        <v>1142</v>
      </c>
      <c r="L382" s="735"/>
      <c r="M382" s="68"/>
      <c r="N382" s="738">
        <v>1.248E9</v>
      </c>
      <c r="O382" s="737" t="s">
        <v>2244</v>
      </c>
      <c r="P382" s="751"/>
    </row>
    <row r="383" hidden="1">
      <c r="A383" s="1186">
        <v>44743.0</v>
      </c>
      <c r="B383" s="52" t="str">
        <f t="shared" si="1"/>
        <v>07/2022</v>
      </c>
      <c r="C383" s="52" t="str">
        <f>IF(A383="","",VLOOKUP(A383,'THAM CHIẾU'!$A:$B,2,0))</f>
        <v>#N/A</v>
      </c>
      <c r="D383" s="52" t="str">
        <f>IF(E383&lt;&gt;0,VLOOKUP(E383,DM_DUAN,3,0),"")</f>
        <v/>
      </c>
      <c r="E383" s="735"/>
      <c r="F383" s="735"/>
      <c r="G383" s="735"/>
      <c r="H383" s="70"/>
      <c r="I383" s="1189" t="str">
        <f>IF($K383&lt;&gt;0,VLOOKUP($K383,DM_KM,3,0),"")</f>
        <v>#N/A</v>
      </c>
      <c r="J383" s="52" t="str">
        <f>IF($K383&lt;&gt;0,VLOOKUP($K383,DM_KM,5,0),"")</f>
        <v>#N/A</v>
      </c>
      <c r="K383" s="1187" t="s">
        <v>181</v>
      </c>
      <c r="L383" s="735"/>
      <c r="M383" s="68"/>
      <c r="N383" s="738">
        <v>1.3E9</v>
      </c>
      <c r="O383" s="1188" t="s">
        <v>2245</v>
      </c>
      <c r="P383" s="751"/>
    </row>
    <row r="384" hidden="1">
      <c r="A384" s="1186">
        <v>44743.0</v>
      </c>
      <c r="B384" s="52" t="str">
        <f t="shared" si="1"/>
        <v>07/2022</v>
      </c>
      <c r="C384" s="52" t="str">
        <f>IF(A384="","",VLOOKUP(A384,'THAM CHIẾU'!$A:$B,2,0))</f>
        <v>#N/A</v>
      </c>
      <c r="D384" s="52" t="str">
        <f>IF(E384&lt;&gt;0,VLOOKUP(E384,DM_DUAN,3,0),"")</f>
        <v/>
      </c>
      <c r="E384" s="735"/>
      <c r="F384" s="735"/>
      <c r="G384" s="735"/>
      <c r="H384" s="70"/>
      <c r="I384" s="52" t="str">
        <f>IF($K384&lt;&gt;0,VLOOKUP($K384,DM_KM,3,0),"")</f>
        <v>#N/A</v>
      </c>
      <c r="J384" s="52" t="str">
        <f>IF($K384&lt;&gt;0,VLOOKUP($K384,DM_KM,5,0),"")</f>
        <v>#N/A</v>
      </c>
      <c r="K384" s="735" t="s">
        <v>2243</v>
      </c>
      <c r="L384" s="735"/>
      <c r="M384" s="68"/>
      <c r="N384" s="738">
        <v>3.9E7</v>
      </c>
      <c r="O384" s="737" t="s">
        <v>2246</v>
      </c>
      <c r="P384" s="751"/>
    </row>
    <row r="385" hidden="1">
      <c r="A385" s="1190"/>
      <c r="B385" s="52" t="str">
        <f t="shared" si="1"/>
        <v/>
      </c>
      <c r="C385" s="52" t="str">
        <f>IF(A385="","",VLOOKUP(A385,'THAM CHIẾU'!$A:$B,2,0))</f>
        <v/>
      </c>
      <c r="D385" s="52" t="str">
        <f>IF(E385&lt;&gt;0,VLOOKUP(E385,DM_DUAN,3,0),"")</f>
        <v/>
      </c>
      <c r="E385" s="735"/>
      <c r="F385" s="735"/>
      <c r="G385" s="735"/>
      <c r="H385" s="70"/>
      <c r="I385" s="52" t="str">
        <f>IF($K385&lt;&gt;0,VLOOKUP($K385,DM_KM,3,0),"")</f>
        <v/>
      </c>
      <c r="J385" s="52" t="str">
        <f>IF($K385&lt;&gt;0,VLOOKUP($K385,DM_KM,5,0),"")</f>
        <v/>
      </c>
      <c r="K385" s="735"/>
      <c r="L385" s="735"/>
      <c r="M385" s="68"/>
      <c r="N385" s="738">
        <v>0.0</v>
      </c>
      <c r="O385" s="737"/>
      <c r="P385" s="751"/>
    </row>
    <row r="386" hidden="1">
      <c r="A386" s="1186">
        <v>44774.0</v>
      </c>
      <c r="B386" s="52" t="str">
        <f t="shared" si="1"/>
        <v>08/2022</v>
      </c>
      <c r="C386" s="52" t="str">
        <f>IF(A386="","",VLOOKUP(A386,'THAM CHIẾU'!$A:$B,2,0))</f>
        <v>#N/A</v>
      </c>
      <c r="D386" s="52" t="str">
        <f>IF(E386&lt;&gt;0,VLOOKUP(E386,DM_DUAN,3,0),"")</f>
        <v/>
      </c>
      <c r="E386" s="735"/>
      <c r="F386" s="735"/>
      <c r="G386" s="735" t="s">
        <v>207</v>
      </c>
      <c r="H386" s="70"/>
      <c r="I386" s="52" t="str">
        <f>IF($K386&lt;&gt;0,VLOOKUP($K386,DM_KM,3,0),"")</f>
        <v>#N/A</v>
      </c>
      <c r="J386" s="52" t="str">
        <f>IF($K386&lt;&gt;0,VLOOKUP($K386,DM_KM,5,0),"")</f>
        <v>#N/A</v>
      </c>
      <c r="K386" s="735" t="s">
        <v>2215</v>
      </c>
      <c r="L386" s="735"/>
      <c r="M386" s="68"/>
      <c r="N386" s="738">
        <v>43000.0</v>
      </c>
      <c r="O386" s="737" t="s">
        <v>2216</v>
      </c>
      <c r="P386" s="751"/>
    </row>
    <row r="387" hidden="1">
      <c r="A387" s="1186">
        <v>44774.0</v>
      </c>
      <c r="B387" s="52" t="str">
        <f t="shared" si="1"/>
        <v>08/2022</v>
      </c>
      <c r="C387" s="52" t="str">
        <f>IF(A387="","",VLOOKUP(A387,'THAM CHIẾU'!$A:$B,2,0))</f>
        <v>#N/A</v>
      </c>
      <c r="D387" s="52" t="str">
        <f>IF(E387&lt;&gt;0,VLOOKUP(E387,DM_DUAN,3,0),"")</f>
        <v/>
      </c>
      <c r="E387" s="735"/>
      <c r="F387" s="735"/>
      <c r="G387" s="735"/>
      <c r="H387" s="70"/>
      <c r="I387" s="52" t="str">
        <f>IF($K387&lt;&gt;0,VLOOKUP($K387,DM_KM,3,0),"")</f>
        <v>#N/A</v>
      </c>
      <c r="J387" s="52" t="str">
        <f>IF($K387&lt;&gt;0,VLOOKUP($K387,DM_KM,5,0),"")</f>
        <v>#N/A</v>
      </c>
      <c r="K387" s="1187" t="s">
        <v>419</v>
      </c>
      <c r="L387" s="735"/>
      <c r="M387" s="68"/>
      <c r="N387" s="738">
        <v>166000.0</v>
      </c>
      <c r="O387" s="1188" t="s">
        <v>2217</v>
      </c>
      <c r="P387" s="751"/>
    </row>
    <row r="388" hidden="1">
      <c r="A388" s="1186">
        <v>44774.0</v>
      </c>
      <c r="B388" s="52" t="str">
        <f t="shared" si="1"/>
        <v>08/2022</v>
      </c>
      <c r="C388" s="52" t="str">
        <f>IF(A388="","",VLOOKUP(A388,'THAM CHIẾU'!$A:$B,2,0))</f>
        <v>#N/A</v>
      </c>
      <c r="D388" s="52" t="str">
        <f>IF(E388&lt;&gt;0,VLOOKUP(E388,DM_DUAN,3,0),"")</f>
        <v/>
      </c>
      <c r="E388" s="735"/>
      <c r="F388" s="735"/>
      <c r="G388" s="735"/>
      <c r="H388" s="70"/>
      <c r="I388" s="52" t="str">
        <f>IF($K388&lt;&gt;0,VLOOKUP($K388,DM_KM,3,0),"")</f>
        <v>#N/A</v>
      </c>
      <c r="J388" s="52" t="str">
        <f>IF($K388&lt;&gt;0,VLOOKUP($K388,DM_KM,5,0),"")</f>
        <v>#N/A</v>
      </c>
      <c r="K388" s="735" t="s">
        <v>573</v>
      </c>
      <c r="L388" s="735"/>
      <c r="M388" s="68"/>
      <c r="N388" s="738">
        <v>250000.0</v>
      </c>
      <c r="O388" s="1188" t="s">
        <v>2218</v>
      </c>
      <c r="P388" s="751"/>
    </row>
    <row r="389" hidden="1">
      <c r="A389" s="1186">
        <v>44774.0</v>
      </c>
      <c r="B389" s="52" t="str">
        <f t="shared" si="1"/>
        <v>08/2022</v>
      </c>
      <c r="C389" s="52" t="str">
        <f>IF(A389="","",VLOOKUP(A389,'THAM CHIẾU'!$A:$B,2,0))</f>
        <v>#N/A</v>
      </c>
      <c r="D389" s="52" t="str">
        <f>IF(E389&lt;&gt;0,VLOOKUP(E389,DM_DUAN,3,0),"")</f>
        <v/>
      </c>
      <c r="E389" s="735"/>
      <c r="F389" s="735"/>
      <c r="G389" s="735"/>
      <c r="H389" s="70"/>
      <c r="I389" s="1189" t="str">
        <f>IF($K389&lt;&gt;0,VLOOKUP($K389,DM_KM,3,0),"")</f>
        <v>#N/A</v>
      </c>
      <c r="J389" s="52" t="str">
        <f>IF($K389&lt;&gt;0,VLOOKUP($K389,DM_KM,5,0),"")</f>
        <v>#N/A</v>
      </c>
      <c r="K389" s="735" t="s">
        <v>1273</v>
      </c>
      <c r="L389" s="735"/>
      <c r="M389" s="68"/>
      <c r="N389" s="738">
        <v>328000.0</v>
      </c>
      <c r="O389" s="737" t="s">
        <v>1273</v>
      </c>
      <c r="P389" s="751"/>
    </row>
    <row r="390" hidden="1">
      <c r="A390" s="1186">
        <v>44774.0</v>
      </c>
      <c r="B390" s="52" t="str">
        <f t="shared" si="1"/>
        <v>08/2022</v>
      </c>
      <c r="C390" s="52" t="str">
        <f>IF(A390="","",VLOOKUP(A390,'THAM CHIẾU'!$A:$B,2,0))</f>
        <v>#N/A</v>
      </c>
      <c r="D390" s="52" t="str">
        <f>IF(E390&lt;&gt;0,VLOOKUP(E390,DM_DUAN,3,0),"")</f>
        <v/>
      </c>
      <c r="E390" s="735"/>
      <c r="F390" s="735"/>
      <c r="G390" s="735"/>
      <c r="H390" s="70"/>
      <c r="I390" s="52" t="str">
        <f>IF($K390&lt;&gt;0,VLOOKUP($K390,DM_KM,3,0),"")</f>
        <v>VHVP</v>
      </c>
      <c r="J390" s="52">
        <f>IF($K390&lt;&gt;0,VLOOKUP($K390,DM_KM,5,0),"")</f>
        <v>642</v>
      </c>
      <c r="K390" s="735" t="s">
        <v>1153</v>
      </c>
      <c r="L390" s="735"/>
      <c r="M390" s="68"/>
      <c r="N390" s="738">
        <v>8333000.0</v>
      </c>
      <c r="O390" s="737" t="s">
        <v>2219</v>
      </c>
      <c r="P390" s="751"/>
    </row>
    <row r="391" hidden="1">
      <c r="A391" s="1186">
        <v>44774.0</v>
      </c>
      <c r="B391" s="52" t="str">
        <f t="shared" si="1"/>
        <v>08/2022</v>
      </c>
      <c r="C391" s="52" t="str">
        <f>IF(A391="","",VLOOKUP(A391,'THAM CHIẾU'!$A:$B,2,0))</f>
        <v>#N/A</v>
      </c>
      <c r="D391" s="52" t="str">
        <f>IF(E391&lt;&gt;0,VLOOKUP(E391,DM_DUAN,3,0),"")</f>
        <v/>
      </c>
      <c r="E391" s="735"/>
      <c r="F391" s="735"/>
      <c r="G391" s="735"/>
      <c r="H391" s="70"/>
      <c r="I391" s="52" t="str">
        <f>IF($K391&lt;&gt;0,VLOOKUP($K391,DM_KM,3,0),"")</f>
        <v>#N/A</v>
      </c>
      <c r="J391" s="52" t="str">
        <f>IF($K391&lt;&gt;0,VLOOKUP($K391,DM_KM,5,0),"")</f>
        <v>#N/A</v>
      </c>
      <c r="K391" s="735" t="s">
        <v>2220</v>
      </c>
      <c r="L391" s="735"/>
      <c r="M391" s="68"/>
      <c r="N391" s="738">
        <v>416000.0</v>
      </c>
      <c r="O391" s="737" t="s">
        <v>2221</v>
      </c>
      <c r="P391" s="751"/>
    </row>
    <row r="392" hidden="1">
      <c r="A392" s="1186">
        <v>44774.0</v>
      </c>
      <c r="B392" s="52" t="str">
        <f t="shared" si="1"/>
        <v>08/2022</v>
      </c>
      <c r="C392" s="52" t="str">
        <f>IF(A392="","",VLOOKUP(A392,'THAM CHIẾU'!$A:$B,2,0))</f>
        <v>#N/A</v>
      </c>
      <c r="D392" s="52" t="str">
        <f>IF(E392&lt;&gt;0,VLOOKUP(E392,DM_DUAN,3,0),"")</f>
        <v/>
      </c>
      <c r="E392" s="735"/>
      <c r="F392" s="735"/>
      <c r="G392" s="735"/>
      <c r="H392" s="70"/>
      <c r="I392" s="52" t="str">
        <f>IF($K392&lt;&gt;0,VLOOKUP($K392,DM_KM,3,0),"")</f>
        <v>#N/A</v>
      </c>
      <c r="J392" s="52" t="str">
        <f>IF($K392&lt;&gt;0,VLOOKUP($K392,DM_KM,5,0),"")</f>
        <v>#N/A</v>
      </c>
      <c r="K392" s="735" t="s">
        <v>262</v>
      </c>
      <c r="L392" s="735"/>
      <c r="M392" s="68"/>
      <c r="N392" s="738">
        <v>833000.0</v>
      </c>
      <c r="O392" s="737" t="s">
        <v>2222</v>
      </c>
      <c r="P392" s="751"/>
    </row>
    <row r="393" hidden="1">
      <c r="A393" s="1186">
        <v>44774.0</v>
      </c>
      <c r="B393" s="52" t="str">
        <f t="shared" si="1"/>
        <v>08/2022</v>
      </c>
      <c r="C393" s="52" t="str">
        <f>IF(A393="","",VLOOKUP(A393,'THAM CHIẾU'!$A:$B,2,0))</f>
        <v>#N/A</v>
      </c>
      <c r="D393" s="52" t="str">
        <f>IF(E393&lt;&gt;0,VLOOKUP(E393,DM_DUAN,3,0),"")</f>
        <v/>
      </c>
      <c r="E393" s="735"/>
      <c r="F393" s="735"/>
      <c r="G393" s="735"/>
      <c r="H393" s="70"/>
      <c r="I393" s="52" t="str">
        <f>IF($K393&lt;&gt;0,VLOOKUP($K393,DM_KM,3,0),"")</f>
        <v>#N/A</v>
      </c>
      <c r="J393" s="52" t="str">
        <f>IF($K393&lt;&gt;0,VLOOKUP($K393,DM_KM,5,0),"")</f>
        <v>#N/A</v>
      </c>
      <c r="K393" s="735" t="s">
        <v>2223</v>
      </c>
      <c r="L393" s="735"/>
      <c r="M393" s="68"/>
      <c r="N393" s="738">
        <v>4166000.0</v>
      </c>
      <c r="O393" s="737" t="s">
        <v>2224</v>
      </c>
      <c r="P393" s="751"/>
    </row>
    <row r="394" hidden="1">
      <c r="A394" s="1186">
        <v>44774.0</v>
      </c>
      <c r="B394" s="52" t="str">
        <f t="shared" si="1"/>
        <v>08/2022</v>
      </c>
      <c r="C394" s="52" t="str">
        <f>IF(A394="","",VLOOKUP(A394,'THAM CHIẾU'!$A:$B,2,0))</f>
        <v>#N/A</v>
      </c>
      <c r="D394" s="52" t="str">
        <f>IF(E394&lt;&gt;0,VLOOKUP(E394,DM_DUAN,3,0),"")</f>
        <v/>
      </c>
      <c r="E394" s="735"/>
      <c r="F394" s="735"/>
      <c r="G394" s="735" t="s">
        <v>176</v>
      </c>
      <c r="H394" s="70"/>
      <c r="I394" s="52" t="str">
        <f>IF($K394&lt;&gt;0,VLOOKUP($K394,DM_KM,3,0),"")</f>
        <v>#N/A</v>
      </c>
      <c r="J394" s="52" t="str">
        <f>IF($K394&lt;&gt;0,VLOOKUP($K394,DM_KM,5,0),"")</f>
        <v>#N/A</v>
      </c>
      <c r="K394" s="1187" t="s">
        <v>374</v>
      </c>
      <c r="L394" s="735"/>
      <c r="M394" s="68"/>
      <c r="N394" s="738">
        <v>1666000.0</v>
      </c>
      <c r="O394" s="1188" t="s">
        <v>2225</v>
      </c>
      <c r="P394" s="751"/>
    </row>
    <row r="395" hidden="1">
      <c r="A395" s="1186">
        <v>44774.0</v>
      </c>
      <c r="B395" s="52" t="str">
        <f t="shared" si="1"/>
        <v>08/2022</v>
      </c>
      <c r="C395" s="52" t="str">
        <f>IF(A395="","",VLOOKUP(A395,'THAM CHIẾU'!$A:$B,2,0))</f>
        <v>#N/A</v>
      </c>
      <c r="D395" s="52" t="str">
        <f>IF(E395&lt;&gt;0,VLOOKUP(E395,DM_DUAN,3,0),"")</f>
        <v/>
      </c>
      <c r="E395" s="735"/>
      <c r="F395" s="735"/>
      <c r="G395" s="735"/>
      <c r="H395" s="70"/>
      <c r="I395" s="52" t="str">
        <f>IF($K395&lt;&gt;0,VLOOKUP($K395,DM_KM,3,0),"")</f>
        <v>#N/A</v>
      </c>
      <c r="J395" s="52" t="str">
        <f>IF($K395&lt;&gt;0,VLOOKUP($K395,DM_KM,5,0),"")</f>
        <v>#N/A</v>
      </c>
      <c r="K395" s="735" t="s">
        <v>380</v>
      </c>
      <c r="L395" s="735"/>
      <c r="M395" s="68"/>
      <c r="N395" s="738">
        <v>1666000.0</v>
      </c>
      <c r="O395" s="1188" t="s">
        <v>2226</v>
      </c>
      <c r="P395" s="751"/>
    </row>
    <row r="396" hidden="1">
      <c r="A396" s="1186">
        <v>44774.0</v>
      </c>
      <c r="B396" s="52" t="str">
        <f t="shared" si="1"/>
        <v>08/2022</v>
      </c>
      <c r="C396" s="52" t="str">
        <f>IF(A396="","",VLOOKUP(A396,'THAM CHIẾU'!$A:$B,2,0))</f>
        <v>#N/A</v>
      </c>
      <c r="D396" s="52" t="str">
        <f>IF(E396&lt;&gt;0,VLOOKUP(E396,DM_DUAN,3,0),"")</f>
        <v/>
      </c>
      <c r="E396" s="735"/>
      <c r="F396" s="735"/>
      <c r="G396" s="735"/>
      <c r="H396" s="70"/>
      <c r="I396" s="52" t="str">
        <f>IF($K396&lt;&gt;0,VLOOKUP($K396,DM_KM,3,0),"")</f>
        <v>#N/A</v>
      </c>
      <c r="J396" s="52" t="str">
        <f>IF($K396&lt;&gt;0,VLOOKUP($K396,DM_KM,5,0),"")</f>
        <v>#N/A</v>
      </c>
      <c r="K396" s="735" t="s">
        <v>272</v>
      </c>
      <c r="L396" s="735"/>
      <c r="M396" s="68"/>
      <c r="N396" s="738">
        <v>6666000.0</v>
      </c>
      <c r="O396" s="737" t="s">
        <v>2227</v>
      </c>
      <c r="P396" s="751"/>
    </row>
    <row r="397" hidden="1">
      <c r="A397" s="1186">
        <v>44774.0</v>
      </c>
      <c r="B397" s="52" t="str">
        <f t="shared" si="1"/>
        <v>08/2022</v>
      </c>
      <c r="C397" s="52" t="str">
        <f>IF(A397="","",VLOOKUP(A397,'THAM CHIẾU'!$A:$B,2,0))</f>
        <v>#N/A</v>
      </c>
      <c r="D397" s="52" t="str">
        <f>IF(E397&lt;&gt;0,VLOOKUP(E397,DM_DUAN,3,0),"")</f>
        <v/>
      </c>
      <c r="E397" s="735"/>
      <c r="F397" s="735"/>
      <c r="G397" s="735"/>
      <c r="H397" s="70"/>
      <c r="I397" s="52" t="str">
        <f>IF($K397&lt;&gt;0,VLOOKUP($K397,DM_KM,3,0),"")</f>
        <v>#N/A</v>
      </c>
      <c r="J397" s="52" t="str">
        <f>IF($K397&lt;&gt;0,VLOOKUP($K397,DM_KM,5,0),"")</f>
        <v>#N/A</v>
      </c>
      <c r="K397" s="735" t="s">
        <v>380</v>
      </c>
      <c r="L397" s="735"/>
      <c r="M397" s="68"/>
      <c r="N397" s="738">
        <v>833000.0</v>
      </c>
      <c r="O397" s="1188" t="s">
        <v>2228</v>
      </c>
      <c r="P397" s="751"/>
    </row>
    <row r="398" hidden="1">
      <c r="A398" s="1186">
        <v>44774.0</v>
      </c>
      <c r="B398" s="52" t="str">
        <f t="shared" si="1"/>
        <v>08/2022</v>
      </c>
      <c r="C398" s="52" t="str">
        <f>IF(A398="","",VLOOKUP(A398,'THAM CHIẾU'!$A:$B,2,0))</f>
        <v>#N/A</v>
      </c>
      <c r="D398" s="52" t="str">
        <f>IF(E398&lt;&gt;0,VLOOKUP(E398,DM_DUAN,3,0),"")</f>
        <v/>
      </c>
      <c r="E398" s="735"/>
      <c r="F398" s="735"/>
      <c r="G398" s="735"/>
      <c r="H398" s="70"/>
      <c r="I398" s="52" t="str">
        <f>IF($K398&lt;&gt;0,VLOOKUP($K398,DM_KM,3,0),"")</f>
        <v>#N/A</v>
      </c>
      <c r="J398" s="52" t="str">
        <f>IF($K398&lt;&gt;0,VLOOKUP($K398,DM_KM,5,0),"")</f>
        <v>#N/A</v>
      </c>
      <c r="K398" s="735" t="s">
        <v>222</v>
      </c>
      <c r="L398" s="735"/>
      <c r="M398" s="68"/>
      <c r="N398" s="738">
        <v>416000.0</v>
      </c>
      <c r="O398" s="737" t="s">
        <v>2229</v>
      </c>
      <c r="P398" s="751"/>
    </row>
    <row r="399" hidden="1">
      <c r="A399" s="1186">
        <v>44774.0</v>
      </c>
      <c r="B399" s="52" t="str">
        <f t="shared" si="1"/>
        <v>08/2022</v>
      </c>
      <c r="C399" s="52" t="str">
        <f>IF(A399="","",VLOOKUP(A399,'THAM CHIẾU'!$A:$B,2,0))</f>
        <v>#N/A</v>
      </c>
      <c r="D399" s="52" t="str">
        <f>IF(E399&lt;&gt;0,VLOOKUP(E399,DM_DUAN,3,0),"")</f>
        <v/>
      </c>
      <c r="E399" s="735"/>
      <c r="F399" s="735"/>
      <c r="G399" s="735"/>
      <c r="H399" s="70"/>
      <c r="I399" s="1189" t="str">
        <f>IF($K399&lt;&gt;0,VLOOKUP($K399,DM_KM,3,0),"")</f>
        <v>#N/A</v>
      </c>
      <c r="J399" s="52" t="str">
        <f>IF($K399&lt;&gt;0,VLOOKUP($K399,DM_KM,5,0),"")</f>
        <v>#N/A</v>
      </c>
      <c r="K399" s="1187" t="s">
        <v>267</v>
      </c>
      <c r="L399" s="735"/>
      <c r="M399" s="68"/>
      <c r="N399" s="738">
        <v>3.184E8</v>
      </c>
      <c r="O399" s="1188" t="s">
        <v>2230</v>
      </c>
      <c r="P399" s="751"/>
    </row>
    <row r="400" hidden="1">
      <c r="A400" s="1186">
        <v>44774.0</v>
      </c>
      <c r="B400" s="52" t="str">
        <f t="shared" si="1"/>
        <v>08/2022</v>
      </c>
      <c r="C400" s="52" t="str">
        <f>IF(A400="","",VLOOKUP(A400,'THAM CHIẾU'!$A:$B,2,0))</f>
        <v>#N/A</v>
      </c>
      <c r="D400" s="52" t="str">
        <f>IF(E400&lt;&gt;0,VLOOKUP(E400,DM_DUAN,3,0),"")</f>
        <v/>
      </c>
      <c r="E400" s="735"/>
      <c r="F400" s="735"/>
      <c r="G400" s="735"/>
      <c r="H400" s="70"/>
      <c r="I400" s="52" t="str">
        <f>IF($K400&lt;&gt;0,VLOOKUP($K400,DM_KM,3,0),"")</f>
        <v>THUEVP</v>
      </c>
      <c r="J400" s="52">
        <f>IF($K400&lt;&gt;0,VLOOKUP($K400,DM_KM,5,0),"")</f>
        <v>642</v>
      </c>
      <c r="K400" s="735" t="s">
        <v>270</v>
      </c>
      <c r="L400" s="735"/>
      <c r="M400" s="68"/>
      <c r="N400" s="738">
        <v>4.5143E7</v>
      </c>
      <c r="O400" s="1188" t="s">
        <v>2231</v>
      </c>
      <c r="P400" s="751"/>
    </row>
    <row r="401" hidden="1">
      <c r="A401" s="1186">
        <v>44774.0</v>
      </c>
      <c r="B401" s="52" t="str">
        <f t="shared" si="1"/>
        <v>08/2022</v>
      </c>
      <c r="C401" s="52" t="str">
        <f>IF(A401="","",VLOOKUP(A401,'THAM CHIẾU'!$A:$B,2,0))</f>
        <v>#N/A</v>
      </c>
      <c r="D401" s="52" t="str">
        <f>IF(E401&lt;&gt;0,VLOOKUP(E401,DM_DUAN,3,0),"")</f>
        <v/>
      </c>
      <c r="E401" s="735"/>
      <c r="F401" s="735"/>
      <c r="G401" s="735"/>
      <c r="H401" s="70"/>
      <c r="I401" s="52" t="str">
        <f>IF($K401&lt;&gt;0,VLOOKUP($K401,DM_KM,3,0),"")</f>
        <v>#N/A</v>
      </c>
      <c r="J401" s="52" t="str">
        <f>IF($K401&lt;&gt;0,VLOOKUP($K401,DM_KM,5,0),"")</f>
        <v>#N/A</v>
      </c>
      <c r="K401" s="735" t="s">
        <v>410</v>
      </c>
      <c r="L401" s="735"/>
      <c r="M401" s="68"/>
      <c r="N401" s="738">
        <v>1250000.0</v>
      </c>
      <c r="O401" s="737" t="s">
        <v>410</v>
      </c>
      <c r="P401" s="751"/>
    </row>
    <row r="402" hidden="1">
      <c r="A402" s="1186">
        <v>44774.0</v>
      </c>
      <c r="B402" s="52" t="str">
        <f t="shared" si="1"/>
        <v>08/2022</v>
      </c>
      <c r="C402" s="52" t="str">
        <f>IF(A402="","",VLOOKUP(A402,'THAM CHIẾU'!$A:$B,2,0))</f>
        <v>#N/A</v>
      </c>
      <c r="D402" s="52" t="str">
        <f>IF(E402&lt;&gt;0,VLOOKUP(E402,DM_DUAN,3,0),"")</f>
        <v/>
      </c>
      <c r="E402" s="735"/>
      <c r="F402" s="735"/>
      <c r="G402" s="735"/>
      <c r="H402" s="70"/>
      <c r="I402" s="52" t="str">
        <f>IF($K402&lt;&gt;0,VLOOKUP($K402,DM_KM,3,0),"")</f>
        <v>#N/A</v>
      </c>
      <c r="J402" s="52" t="str">
        <f>IF($K402&lt;&gt;0,VLOOKUP($K402,DM_KM,5,0),"")</f>
        <v>#N/A</v>
      </c>
      <c r="K402" s="1187" t="s">
        <v>252</v>
      </c>
      <c r="L402" s="735"/>
      <c r="M402" s="68"/>
      <c r="N402" s="738">
        <v>1.6666E7</v>
      </c>
      <c r="O402" s="1188" t="s">
        <v>2232</v>
      </c>
      <c r="P402" s="751"/>
    </row>
    <row r="403" hidden="1">
      <c r="A403" s="1186">
        <v>44774.0</v>
      </c>
      <c r="B403" s="52" t="str">
        <f t="shared" si="1"/>
        <v>08/2022</v>
      </c>
      <c r="C403" s="52" t="str">
        <f>IF(A403="","",VLOOKUP(A403,'THAM CHIẾU'!$A:$B,2,0))</f>
        <v>#N/A</v>
      </c>
      <c r="D403" s="52" t="str">
        <f>IF(E403&lt;&gt;0,VLOOKUP(E403,DM_DUAN,3,0),"")</f>
        <v/>
      </c>
      <c r="E403" s="735"/>
      <c r="F403" s="735"/>
      <c r="G403" s="735"/>
      <c r="H403" s="70"/>
      <c r="I403" s="52" t="str">
        <f>IF($K403&lt;&gt;0,VLOOKUP($K403,DM_KM,3,0),"")</f>
        <v>#N/A</v>
      </c>
      <c r="J403" s="52" t="str">
        <f>IF($K403&lt;&gt;0,VLOOKUP($K403,DM_KM,5,0),"")</f>
        <v>#N/A</v>
      </c>
      <c r="K403" s="735" t="s">
        <v>380</v>
      </c>
      <c r="L403" s="735"/>
      <c r="M403" s="68"/>
      <c r="N403" s="738">
        <v>1666000.0</v>
      </c>
      <c r="O403" s="1188" t="s">
        <v>2233</v>
      </c>
      <c r="P403" s="751"/>
    </row>
    <row r="404" hidden="1">
      <c r="A404" s="1186">
        <v>44774.0</v>
      </c>
      <c r="B404" s="52" t="str">
        <f t="shared" si="1"/>
        <v>08/2022</v>
      </c>
      <c r="C404" s="52" t="str">
        <f>IF(A404="","",VLOOKUP(A404,'THAM CHIẾU'!$A:$B,2,0))</f>
        <v>#N/A</v>
      </c>
      <c r="D404" s="52" t="str">
        <f>IF(E404&lt;&gt;0,VLOOKUP(E404,DM_DUAN,3,0),"")</f>
        <v/>
      </c>
      <c r="E404" s="735"/>
      <c r="F404" s="735"/>
      <c r="G404" s="735"/>
      <c r="H404" s="70"/>
      <c r="I404" s="52" t="str">
        <f>IF($K404&lt;&gt;0,VLOOKUP($K404,DM_KM,3,0),"")</f>
        <v>#N/A</v>
      </c>
      <c r="J404" s="52" t="str">
        <f>IF($K404&lt;&gt;0,VLOOKUP($K404,DM_KM,5,0),"")</f>
        <v>#N/A</v>
      </c>
      <c r="K404" s="1187" t="s">
        <v>206</v>
      </c>
      <c r="L404" s="735"/>
      <c r="M404" s="68"/>
      <c r="N404" s="738">
        <v>1703000.0</v>
      </c>
      <c r="O404" s="1188" t="s">
        <v>206</v>
      </c>
      <c r="P404" s="751"/>
    </row>
    <row r="405" hidden="1">
      <c r="A405" s="1186">
        <v>44774.0</v>
      </c>
      <c r="B405" s="52" t="str">
        <f t="shared" si="1"/>
        <v>08/2022</v>
      </c>
      <c r="C405" s="52" t="str">
        <f>IF(A405="","",VLOOKUP(A405,'THAM CHIẾU'!$A:$B,2,0))</f>
        <v>#N/A</v>
      </c>
      <c r="D405" s="52" t="str">
        <f>IF(E405&lt;&gt;0,VLOOKUP(E405,DM_DUAN,3,0),"")</f>
        <v/>
      </c>
      <c r="E405" s="735"/>
      <c r="F405" s="735"/>
      <c r="G405" s="735"/>
      <c r="H405" s="70"/>
      <c r="I405" s="52" t="str">
        <f>IF($K405&lt;&gt;0,VLOOKUP($K405,DM_KM,3,0),"")</f>
        <v>#N/A</v>
      </c>
      <c r="J405" s="52" t="str">
        <f>IF($K405&lt;&gt;0,VLOOKUP($K405,DM_KM,5,0),"")</f>
        <v>#N/A</v>
      </c>
      <c r="K405" s="1187" t="s">
        <v>226</v>
      </c>
      <c r="L405" s="735"/>
      <c r="M405" s="68"/>
      <c r="N405" s="738">
        <v>1250000.0</v>
      </c>
      <c r="O405" s="1188" t="s">
        <v>2234</v>
      </c>
      <c r="P405" s="751"/>
    </row>
    <row r="406" hidden="1">
      <c r="A406" s="1186">
        <v>44774.0</v>
      </c>
      <c r="B406" s="52" t="str">
        <f t="shared" si="1"/>
        <v>08/2022</v>
      </c>
      <c r="C406" s="52" t="str">
        <f>IF(A406="","",VLOOKUP(A406,'THAM CHIẾU'!$A:$B,2,0))</f>
        <v>#N/A</v>
      </c>
      <c r="D406" s="52" t="str">
        <f>IF(E406&lt;&gt;0,VLOOKUP(E406,DM_DUAN,3,0),"")</f>
        <v/>
      </c>
      <c r="E406" s="735"/>
      <c r="F406" s="735"/>
      <c r="G406" s="735"/>
      <c r="H406" s="70"/>
      <c r="I406" s="52" t="str">
        <f>IF($K406&lt;&gt;0,VLOOKUP($K406,DM_KM,3,0),"")</f>
        <v>#N/A</v>
      </c>
      <c r="J406" s="52" t="str">
        <f>IF($K406&lt;&gt;0,VLOOKUP($K406,DM_KM,5,0),"")</f>
        <v>#N/A</v>
      </c>
      <c r="K406" s="735" t="s">
        <v>174</v>
      </c>
      <c r="L406" s="735"/>
      <c r="M406" s="68"/>
      <c r="N406" s="738">
        <v>4.0861E7</v>
      </c>
      <c r="O406" s="737" t="s">
        <v>2235</v>
      </c>
      <c r="P406" s="751"/>
    </row>
    <row r="407" hidden="1">
      <c r="A407" s="1186">
        <v>44774.0</v>
      </c>
      <c r="B407" s="52" t="str">
        <f t="shared" si="1"/>
        <v>08/2022</v>
      </c>
      <c r="C407" s="52" t="str">
        <f>IF(A407="","",VLOOKUP(A407,'THAM CHIẾU'!$A:$B,2,0))</f>
        <v>#N/A</v>
      </c>
      <c r="D407" s="52" t="str">
        <f>IF(E407&lt;&gt;0,VLOOKUP(E407,DM_DUAN,3,0),"")</f>
        <v/>
      </c>
      <c r="E407" s="735"/>
      <c r="F407" s="735"/>
      <c r="G407" s="735"/>
      <c r="H407" s="70"/>
      <c r="I407" s="52" t="str">
        <f>IF($K407&lt;&gt;0,VLOOKUP($K407,DM_KM,3,0),"")</f>
        <v>#N/A</v>
      </c>
      <c r="J407" s="52" t="str">
        <f>IF($K407&lt;&gt;0,VLOOKUP($K407,DM_KM,5,0),"")</f>
        <v>#N/A</v>
      </c>
      <c r="K407" s="735" t="s">
        <v>2236</v>
      </c>
      <c r="L407" s="735"/>
      <c r="M407" s="68"/>
      <c r="N407" s="738">
        <v>1666000.0</v>
      </c>
      <c r="O407" s="1188" t="s">
        <v>2237</v>
      </c>
      <c r="P407" s="751"/>
    </row>
    <row r="408" hidden="1">
      <c r="A408" s="1186">
        <v>44774.0</v>
      </c>
      <c r="B408" s="52" t="str">
        <f t="shared" si="1"/>
        <v>08/2022</v>
      </c>
      <c r="C408" s="52" t="str">
        <f>IF(A408="","",VLOOKUP(A408,'THAM CHIẾU'!$A:$B,2,0))</f>
        <v>#N/A</v>
      </c>
      <c r="D408" s="52" t="str">
        <f>IF(E408&lt;&gt;0,VLOOKUP(E408,DM_DUAN,3,0),"")</f>
        <v/>
      </c>
      <c r="E408" s="735"/>
      <c r="F408" s="735"/>
      <c r="G408" s="735"/>
      <c r="H408" s="70"/>
      <c r="I408" s="52" t="str">
        <f>IF($K408&lt;&gt;0,VLOOKUP($K408,DM_KM,3,0),"")</f>
        <v/>
      </c>
      <c r="J408" s="52" t="str">
        <f>IF($K408&lt;&gt;0,VLOOKUP($K408,DM_KM,5,0),"")</f>
        <v/>
      </c>
      <c r="K408" s="735"/>
      <c r="L408" s="735"/>
      <c r="M408" s="68"/>
      <c r="N408" s="738"/>
      <c r="O408" s="1188"/>
      <c r="P408" s="751"/>
    </row>
    <row r="409" hidden="1">
      <c r="A409" s="1186">
        <v>44774.0</v>
      </c>
      <c r="B409" s="52" t="str">
        <f t="shared" si="1"/>
        <v>08/2022</v>
      </c>
      <c r="C409" s="52" t="str">
        <f>IF(A409="","",VLOOKUP(A409,'THAM CHIẾU'!$A:$B,2,0))</f>
        <v>#N/A</v>
      </c>
      <c r="D409" s="52" t="str">
        <f>IF(E409&lt;&gt;0,VLOOKUP(E409,DM_DUAN,3,0),"")</f>
        <v/>
      </c>
      <c r="E409" s="735"/>
      <c r="F409" s="735"/>
      <c r="G409" s="735"/>
      <c r="H409" s="70"/>
      <c r="I409" s="52" t="str">
        <f>IF($K409&lt;&gt;0,VLOOKUP($K409,DM_KM,3,0),"")</f>
        <v>#N/A</v>
      </c>
      <c r="J409" s="52" t="str">
        <f>IF($K409&lt;&gt;0,VLOOKUP($K409,DM_KM,5,0),"")</f>
        <v>#N/A</v>
      </c>
      <c r="K409" s="735" t="s">
        <v>169</v>
      </c>
      <c r="L409" s="735"/>
      <c r="M409" s="68"/>
      <c r="N409" s="738">
        <v>1.0643E7</v>
      </c>
      <c r="O409" s="1188" t="s">
        <v>2240</v>
      </c>
      <c r="P409" s="751"/>
    </row>
    <row r="410" hidden="1">
      <c r="A410" s="1186">
        <v>44774.0</v>
      </c>
      <c r="B410" s="52" t="str">
        <f t="shared" si="1"/>
        <v>08/2022</v>
      </c>
      <c r="C410" s="52" t="str">
        <f>IF(A410="","",VLOOKUP(A410,'THAM CHIẾU'!$A:$B,2,0))</f>
        <v>#N/A</v>
      </c>
      <c r="D410" s="52" t="str">
        <f>IF(E410&lt;&gt;0,VLOOKUP(E410,DM_DUAN,3,0),"")</f>
        <v/>
      </c>
      <c r="E410" s="735"/>
      <c r="F410" s="735"/>
      <c r="G410" s="735"/>
      <c r="H410" s="70"/>
      <c r="I410" s="1189" t="str">
        <f>IF($K410&lt;&gt;0,VLOOKUP($K410,DM_KM,3,0),"")</f>
        <v>#N/A</v>
      </c>
      <c r="J410" s="52" t="str">
        <f>IF($K410&lt;&gt;0,VLOOKUP($K410,DM_KM,5,0),"")</f>
        <v>#N/A</v>
      </c>
      <c r="K410" s="1187" t="s">
        <v>190</v>
      </c>
      <c r="L410" s="735"/>
      <c r="M410" s="68"/>
      <c r="N410" s="738">
        <v>3.9E9</v>
      </c>
      <c r="O410" s="1188" t="s">
        <v>2241</v>
      </c>
      <c r="P410" s="739"/>
    </row>
    <row r="411" hidden="1">
      <c r="A411" s="1186">
        <v>44774.0</v>
      </c>
      <c r="B411" s="52" t="str">
        <f t="shared" si="1"/>
        <v>08/2022</v>
      </c>
      <c r="C411" s="52" t="str">
        <f>IF(A411="","",VLOOKUP(A411,'THAM CHIẾU'!$A:$B,2,0))</f>
        <v>#N/A</v>
      </c>
      <c r="D411" s="52" t="str">
        <f>IF(E411&lt;&gt;0,VLOOKUP(E411,DM_DUAN,3,0),"")</f>
        <v/>
      </c>
      <c r="E411" s="735"/>
      <c r="F411" s="735"/>
      <c r="G411" s="735"/>
      <c r="H411" s="70"/>
      <c r="I411" s="1189" t="str">
        <f>IF($K411&lt;&gt;0,VLOOKUP($K411,DM_KM,3,0),"")</f>
        <v>#N/A</v>
      </c>
      <c r="J411" s="52" t="str">
        <f>IF($K411&lt;&gt;0,VLOOKUP($K411,DM_KM,5,0),"")</f>
        <v>#N/A</v>
      </c>
      <c r="K411" s="1187" t="s">
        <v>194</v>
      </c>
      <c r="L411" s="735"/>
      <c r="M411" s="68"/>
      <c r="N411" s="738">
        <v>1.04E9</v>
      </c>
      <c r="O411" s="1188" t="s">
        <v>2242</v>
      </c>
      <c r="P411" s="739"/>
    </row>
    <row r="412" hidden="1">
      <c r="A412" s="1186">
        <v>44774.0</v>
      </c>
      <c r="B412" s="52" t="str">
        <f t="shared" si="1"/>
        <v>08/2022</v>
      </c>
      <c r="C412" s="52" t="str">
        <f>IF(A412="","",VLOOKUP(A412,'THAM CHIẾU'!$A:$B,2,0))</f>
        <v>#N/A</v>
      </c>
      <c r="D412" s="52" t="str">
        <f>IF(E412&lt;&gt;0,VLOOKUP(E412,DM_DUAN,3,0),"")</f>
        <v/>
      </c>
      <c r="E412" s="735"/>
      <c r="F412" s="735"/>
      <c r="G412" s="735"/>
      <c r="H412" s="70"/>
      <c r="I412" s="52" t="str">
        <f>IF($K412&lt;&gt;0,VLOOKUP($K412,DM_KM,3,0),"")</f>
        <v>#N/A</v>
      </c>
      <c r="J412" s="52" t="str">
        <f>IF($K412&lt;&gt;0,VLOOKUP($K412,DM_KM,5,0),"")</f>
        <v>#N/A</v>
      </c>
      <c r="K412" s="1187" t="s">
        <v>1170</v>
      </c>
      <c r="L412" s="735"/>
      <c r="M412" s="68"/>
      <c r="N412" s="738">
        <v>1.3E8</v>
      </c>
      <c r="O412" s="1188" t="s">
        <v>1474</v>
      </c>
      <c r="P412" s="751"/>
    </row>
    <row r="413" hidden="1">
      <c r="A413" s="1186">
        <v>44774.0</v>
      </c>
      <c r="B413" s="52" t="str">
        <f t="shared" si="1"/>
        <v>08/2022</v>
      </c>
      <c r="C413" s="52" t="str">
        <f>IF(A413="","",VLOOKUP(A413,'THAM CHIẾU'!$A:$B,2,0))</f>
        <v>#N/A</v>
      </c>
      <c r="D413" s="52" t="str">
        <f>IF(E413&lt;&gt;0,VLOOKUP(E413,DM_DUAN,3,0),"")</f>
        <v/>
      </c>
      <c r="E413" s="735"/>
      <c r="F413" s="735"/>
      <c r="G413" s="735"/>
      <c r="H413" s="70"/>
      <c r="I413" s="52" t="str">
        <f>IF($K413&lt;&gt;0,VLOOKUP($K413,DM_KM,3,0),"")</f>
        <v>#N/A</v>
      </c>
      <c r="J413" s="52" t="str">
        <f>IF($K413&lt;&gt;0,VLOOKUP($K413,DM_KM,5,0),"")</f>
        <v>#N/A</v>
      </c>
      <c r="K413" s="735" t="s">
        <v>1142</v>
      </c>
      <c r="L413" s="735"/>
      <c r="M413" s="68"/>
      <c r="N413" s="738">
        <v>1.248E9</v>
      </c>
      <c r="O413" s="737" t="s">
        <v>2244</v>
      </c>
      <c r="P413" s="751"/>
    </row>
    <row r="414" hidden="1">
      <c r="A414" s="1186">
        <v>44774.0</v>
      </c>
      <c r="B414" s="52" t="str">
        <f t="shared" si="1"/>
        <v>08/2022</v>
      </c>
      <c r="C414" s="52" t="str">
        <f>IF(A414="","",VLOOKUP(A414,'THAM CHIẾU'!$A:$B,2,0))</f>
        <v>#N/A</v>
      </c>
      <c r="D414" s="52" t="str">
        <f>IF(E414&lt;&gt;0,VLOOKUP(E414,DM_DUAN,3,0),"")</f>
        <v/>
      </c>
      <c r="E414" s="735"/>
      <c r="F414" s="735"/>
      <c r="G414" s="735"/>
      <c r="H414" s="70"/>
      <c r="I414" s="1189" t="str">
        <f>IF($K414&lt;&gt;0,VLOOKUP($K414,DM_KM,3,0),"")</f>
        <v>#N/A</v>
      </c>
      <c r="J414" s="52" t="str">
        <f>IF($K414&lt;&gt;0,VLOOKUP($K414,DM_KM,5,0),"")</f>
        <v>#N/A</v>
      </c>
      <c r="K414" s="1187" t="s">
        <v>181</v>
      </c>
      <c r="L414" s="735"/>
      <c r="M414" s="68"/>
      <c r="N414" s="738">
        <v>1.3E9</v>
      </c>
      <c r="O414" s="1188" t="s">
        <v>2245</v>
      </c>
      <c r="P414" s="751"/>
    </row>
    <row r="415" hidden="1">
      <c r="A415" s="1186">
        <v>44774.0</v>
      </c>
      <c r="B415" s="52" t="str">
        <f t="shared" si="1"/>
        <v>08/2022</v>
      </c>
      <c r="C415" s="52" t="str">
        <f>IF(A415="","",VLOOKUP(A415,'THAM CHIẾU'!$A:$B,2,0))</f>
        <v>#N/A</v>
      </c>
      <c r="D415" s="52" t="str">
        <f>IF(E415&lt;&gt;0,VLOOKUP(E415,DM_DUAN,3,0),"")</f>
        <v/>
      </c>
      <c r="E415" s="735"/>
      <c r="F415" s="735"/>
      <c r="G415" s="735"/>
      <c r="H415" s="70"/>
      <c r="I415" s="52" t="str">
        <f>IF($K415&lt;&gt;0,VLOOKUP($K415,DM_KM,3,0),"")</f>
        <v>#N/A</v>
      </c>
      <c r="J415" s="52" t="str">
        <f>IF($K415&lt;&gt;0,VLOOKUP($K415,DM_KM,5,0),"")</f>
        <v>#N/A</v>
      </c>
      <c r="K415" s="735" t="s">
        <v>2243</v>
      </c>
      <c r="L415" s="735"/>
      <c r="M415" s="68"/>
      <c r="N415" s="738">
        <v>3.9E7</v>
      </c>
      <c r="O415" s="737" t="s">
        <v>2246</v>
      </c>
      <c r="P415" s="751"/>
    </row>
    <row r="416" hidden="1">
      <c r="A416" s="1190"/>
      <c r="B416" s="52" t="str">
        <f t="shared" si="1"/>
        <v/>
      </c>
      <c r="C416" s="52" t="str">
        <f>IF(A416="","",VLOOKUP(A416,'THAM CHIẾU'!$A:$B,2,0))</f>
        <v/>
      </c>
      <c r="D416" s="52" t="str">
        <f>IF(E416&lt;&gt;0,VLOOKUP(E416,DM_DUAN,3,0),"")</f>
        <v/>
      </c>
      <c r="E416" s="735"/>
      <c r="F416" s="735"/>
      <c r="G416" s="735"/>
      <c r="H416" s="70"/>
      <c r="I416" s="52" t="str">
        <f>IF($K416&lt;&gt;0,VLOOKUP($K416,DM_KM,3,0),"")</f>
        <v/>
      </c>
      <c r="J416" s="52" t="str">
        <f>IF($K416&lt;&gt;0,VLOOKUP($K416,DM_KM,5,0),"")</f>
        <v/>
      </c>
      <c r="K416" s="735"/>
      <c r="L416" s="735"/>
      <c r="M416" s="68"/>
      <c r="N416" s="738">
        <v>0.0</v>
      </c>
      <c r="O416" s="737"/>
      <c r="P416" s="751"/>
    </row>
    <row r="417" hidden="1">
      <c r="A417" s="1186">
        <v>44805.0</v>
      </c>
      <c r="B417" s="52" t="str">
        <f t="shared" si="1"/>
        <v>09/2022</v>
      </c>
      <c r="C417" s="52" t="str">
        <f>IF(A417="","",VLOOKUP(A417,'THAM CHIẾU'!$A:$B,2,0))</f>
        <v>#N/A</v>
      </c>
      <c r="D417" s="52" t="str">
        <f>IF(E417&lt;&gt;0,VLOOKUP(E417,DM_DUAN,3,0),"")</f>
        <v/>
      </c>
      <c r="E417" s="735"/>
      <c r="F417" s="735"/>
      <c r="G417" s="735" t="s">
        <v>207</v>
      </c>
      <c r="H417" s="70"/>
      <c r="I417" s="52" t="str">
        <f>IF($K417&lt;&gt;0,VLOOKUP($K417,DM_KM,3,0),"")</f>
        <v>#N/A</v>
      </c>
      <c r="J417" s="52" t="str">
        <f>IF($K417&lt;&gt;0,VLOOKUP($K417,DM_KM,5,0),"")</f>
        <v>#N/A</v>
      </c>
      <c r="K417" s="735" t="s">
        <v>2215</v>
      </c>
      <c r="L417" s="735"/>
      <c r="M417" s="68"/>
      <c r="N417" s="738">
        <v>43000.0</v>
      </c>
      <c r="O417" s="737" t="s">
        <v>2216</v>
      </c>
      <c r="P417" s="751"/>
    </row>
    <row r="418" hidden="1">
      <c r="A418" s="1186">
        <v>44805.0</v>
      </c>
      <c r="B418" s="52" t="str">
        <f t="shared" si="1"/>
        <v>09/2022</v>
      </c>
      <c r="C418" s="52" t="str">
        <f>IF(A418="","",VLOOKUP(A418,'THAM CHIẾU'!$A:$B,2,0))</f>
        <v>#N/A</v>
      </c>
      <c r="D418" s="52" t="str">
        <f>IF(E418&lt;&gt;0,VLOOKUP(E418,DM_DUAN,3,0),"")</f>
        <v/>
      </c>
      <c r="E418" s="735"/>
      <c r="F418" s="735"/>
      <c r="G418" s="735"/>
      <c r="H418" s="70"/>
      <c r="I418" s="52" t="str">
        <f>IF($K418&lt;&gt;0,VLOOKUP($K418,DM_KM,3,0),"")</f>
        <v>#N/A</v>
      </c>
      <c r="J418" s="52" t="str">
        <f>IF($K418&lt;&gt;0,VLOOKUP($K418,DM_KM,5,0),"")</f>
        <v>#N/A</v>
      </c>
      <c r="K418" s="1187" t="s">
        <v>419</v>
      </c>
      <c r="L418" s="735"/>
      <c r="M418" s="68"/>
      <c r="N418" s="738">
        <v>166000.0</v>
      </c>
      <c r="O418" s="1188" t="s">
        <v>2217</v>
      </c>
      <c r="P418" s="751"/>
    </row>
    <row r="419" hidden="1">
      <c r="A419" s="1186">
        <v>44805.0</v>
      </c>
      <c r="B419" s="52" t="str">
        <f t="shared" si="1"/>
        <v>09/2022</v>
      </c>
      <c r="C419" s="52" t="str">
        <f>IF(A419="","",VLOOKUP(A419,'THAM CHIẾU'!$A:$B,2,0))</f>
        <v>#N/A</v>
      </c>
      <c r="D419" s="52" t="str">
        <f>IF(E419&lt;&gt;0,VLOOKUP(E419,DM_DUAN,3,0),"")</f>
        <v/>
      </c>
      <c r="E419" s="735"/>
      <c r="F419" s="735"/>
      <c r="G419" s="735"/>
      <c r="H419" s="70"/>
      <c r="I419" s="52" t="str">
        <f>IF($K419&lt;&gt;0,VLOOKUP($K419,DM_KM,3,0),"")</f>
        <v>#N/A</v>
      </c>
      <c r="J419" s="52" t="str">
        <f>IF($K419&lt;&gt;0,VLOOKUP($K419,DM_KM,5,0),"")</f>
        <v>#N/A</v>
      </c>
      <c r="K419" s="735" t="s">
        <v>573</v>
      </c>
      <c r="L419" s="735"/>
      <c r="M419" s="68"/>
      <c r="N419" s="738">
        <v>250000.0</v>
      </c>
      <c r="O419" s="1188" t="s">
        <v>2218</v>
      </c>
      <c r="P419" s="751"/>
    </row>
    <row r="420" hidden="1">
      <c r="A420" s="1186">
        <v>44805.0</v>
      </c>
      <c r="B420" s="52" t="str">
        <f t="shared" si="1"/>
        <v>09/2022</v>
      </c>
      <c r="C420" s="52" t="str">
        <f>IF(A420="","",VLOOKUP(A420,'THAM CHIẾU'!$A:$B,2,0))</f>
        <v>#N/A</v>
      </c>
      <c r="D420" s="52" t="str">
        <f>IF(E420&lt;&gt;0,VLOOKUP(E420,DM_DUAN,3,0),"")</f>
        <v/>
      </c>
      <c r="E420" s="735"/>
      <c r="F420" s="735"/>
      <c r="G420" s="735"/>
      <c r="H420" s="70"/>
      <c r="I420" s="1189" t="str">
        <f>IF($K420&lt;&gt;0,VLOOKUP($K420,DM_KM,3,0),"")</f>
        <v>#N/A</v>
      </c>
      <c r="J420" s="52" t="str">
        <f>IF($K420&lt;&gt;0,VLOOKUP($K420,DM_KM,5,0),"")</f>
        <v>#N/A</v>
      </c>
      <c r="K420" s="735" t="s">
        <v>1273</v>
      </c>
      <c r="L420" s="735"/>
      <c r="M420" s="68"/>
      <c r="N420" s="738">
        <v>328000.0</v>
      </c>
      <c r="O420" s="737" t="s">
        <v>1273</v>
      </c>
      <c r="P420" s="751"/>
    </row>
    <row r="421" hidden="1">
      <c r="A421" s="1186">
        <v>44805.0</v>
      </c>
      <c r="B421" s="52" t="str">
        <f t="shared" si="1"/>
        <v>09/2022</v>
      </c>
      <c r="C421" s="52" t="str">
        <f>IF(A421="","",VLOOKUP(A421,'THAM CHIẾU'!$A:$B,2,0))</f>
        <v>#N/A</v>
      </c>
      <c r="D421" s="52" t="str">
        <f>IF(E421&lt;&gt;0,VLOOKUP(E421,DM_DUAN,3,0),"")</f>
        <v/>
      </c>
      <c r="E421" s="735"/>
      <c r="F421" s="735"/>
      <c r="G421" s="735"/>
      <c r="H421" s="70"/>
      <c r="I421" s="52" t="str">
        <f>IF($K421&lt;&gt;0,VLOOKUP($K421,DM_KM,3,0),"")</f>
        <v>VHVP</v>
      </c>
      <c r="J421" s="52">
        <f>IF($K421&lt;&gt;0,VLOOKUP($K421,DM_KM,5,0),"")</f>
        <v>642</v>
      </c>
      <c r="K421" s="735" t="s">
        <v>1153</v>
      </c>
      <c r="L421" s="735"/>
      <c r="M421" s="68"/>
      <c r="N421" s="738">
        <v>8333000.0</v>
      </c>
      <c r="O421" s="737" t="s">
        <v>2219</v>
      </c>
      <c r="P421" s="751"/>
    </row>
    <row r="422" hidden="1">
      <c r="A422" s="1186">
        <v>44805.0</v>
      </c>
      <c r="B422" s="52" t="str">
        <f t="shared" si="1"/>
        <v>09/2022</v>
      </c>
      <c r="C422" s="52" t="str">
        <f>IF(A422="","",VLOOKUP(A422,'THAM CHIẾU'!$A:$B,2,0))</f>
        <v>#N/A</v>
      </c>
      <c r="D422" s="52" t="str">
        <f>IF(E422&lt;&gt;0,VLOOKUP(E422,DM_DUAN,3,0),"")</f>
        <v/>
      </c>
      <c r="E422" s="735"/>
      <c r="F422" s="735"/>
      <c r="G422" s="735"/>
      <c r="H422" s="70"/>
      <c r="I422" s="52" t="str">
        <f>IF($K422&lt;&gt;0,VLOOKUP($K422,DM_KM,3,0),"")</f>
        <v>#N/A</v>
      </c>
      <c r="J422" s="52" t="str">
        <f>IF($K422&lt;&gt;0,VLOOKUP($K422,DM_KM,5,0),"")</f>
        <v>#N/A</v>
      </c>
      <c r="K422" s="735" t="s">
        <v>2220</v>
      </c>
      <c r="L422" s="735"/>
      <c r="M422" s="68"/>
      <c r="N422" s="738">
        <v>416000.0</v>
      </c>
      <c r="O422" s="737" t="s">
        <v>2221</v>
      </c>
      <c r="P422" s="751"/>
    </row>
    <row r="423" hidden="1">
      <c r="A423" s="1186">
        <v>44805.0</v>
      </c>
      <c r="B423" s="52" t="str">
        <f t="shared" si="1"/>
        <v>09/2022</v>
      </c>
      <c r="C423" s="52" t="str">
        <f>IF(A423="","",VLOOKUP(A423,'THAM CHIẾU'!$A:$B,2,0))</f>
        <v>#N/A</v>
      </c>
      <c r="D423" s="52" t="str">
        <f>IF(E423&lt;&gt;0,VLOOKUP(E423,DM_DUAN,3,0),"")</f>
        <v/>
      </c>
      <c r="E423" s="735"/>
      <c r="F423" s="735"/>
      <c r="G423" s="735"/>
      <c r="H423" s="70"/>
      <c r="I423" s="52" t="str">
        <f>IF($K423&lt;&gt;0,VLOOKUP($K423,DM_KM,3,0),"")</f>
        <v>#N/A</v>
      </c>
      <c r="J423" s="52" t="str">
        <f>IF($K423&lt;&gt;0,VLOOKUP($K423,DM_KM,5,0),"")</f>
        <v>#N/A</v>
      </c>
      <c r="K423" s="735" t="s">
        <v>262</v>
      </c>
      <c r="L423" s="735"/>
      <c r="M423" s="68"/>
      <c r="N423" s="738">
        <v>833000.0</v>
      </c>
      <c r="O423" s="737" t="s">
        <v>2222</v>
      </c>
      <c r="P423" s="751"/>
    </row>
    <row r="424" hidden="1">
      <c r="A424" s="1186">
        <v>44805.0</v>
      </c>
      <c r="B424" s="52" t="str">
        <f t="shared" si="1"/>
        <v>09/2022</v>
      </c>
      <c r="C424" s="52" t="str">
        <f>IF(A424="","",VLOOKUP(A424,'THAM CHIẾU'!$A:$B,2,0))</f>
        <v>#N/A</v>
      </c>
      <c r="D424" s="52" t="str">
        <f>IF(E424&lt;&gt;0,VLOOKUP(E424,DM_DUAN,3,0),"")</f>
        <v/>
      </c>
      <c r="E424" s="735"/>
      <c r="F424" s="735"/>
      <c r="G424" s="735"/>
      <c r="H424" s="70"/>
      <c r="I424" s="52" t="str">
        <f>IF($K424&lt;&gt;0,VLOOKUP($K424,DM_KM,3,0),"")</f>
        <v>#N/A</v>
      </c>
      <c r="J424" s="52" t="str">
        <f>IF($K424&lt;&gt;0,VLOOKUP($K424,DM_KM,5,0),"")</f>
        <v>#N/A</v>
      </c>
      <c r="K424" s="735" t="s">
        <v>2223</v>
      </c>
      <c r="L424" s="735"/>
      <c r="M424" s="68"/>
      <c r="N424" s="738">
        <v>4166000.0</v>
      </c>
      <c r="O424" s="737" t="s">
        <v>2224</v>
      </c>
      <c r="P424" s="751"/>
    </row>
    <row r="425" hidden="1">
      <c r="A425" s="1186">
        <v>44805.0</v>
      </c>
      <c r="B425" s="52" t="str">
        <f t="shared" si="1"/>
        <v>09/2022</v>
      </c>
      <c r="C425" s="52" t="str">
        <f>IF(A425="","",VLOOKUP(A425,'THAM CHIẾU'!$A:$B,2,0))</f>
        <v>#N/A</v>
      </c>
      <c r="D425" s="52" t="str">
        <f>IF(E425&lt;&gt;0,VLOOKUP(E425,DM_DUAN,3,0),"")</f>
        <v/>
      </c>
      <c r="E425" s="735"/>
      <c r="F425" s="735"/>
      <c r="G425" s="735" t="s">
        <v>176</v>
      </c>
      <c r="H425" s="70"/>
      <c r="I425" s="52" t="str">
        <f>IF($K425&lt;&gt;0,VLOOKUP($K425,DM_KM,3,0),"")</f>
        <v>#N/A</v>
      </c>
      <c r="J425" s="52" t="str">
        <f>IF($K425&lt;&gt;0,VLOOKUP($K425,DM_KM,5,0),"")</f>
        <v>#N/A</v>
      </c>
      <c r="K425" s="1187" t="s">
        <v>374</v>
      </c>
      <c r="L425" s="735"/>
      <c r="M425" s="68"/>
      <c r="N425" s="738">
        <v>1666000.0</v>
      </c>
      <c r="O425" s="1188" t="s">
        <v>2225</v>
      </c>
      <c r="P425" s="751"/>
    </row>
    <row r="426" hidden="1">
      <c r="A426" s="1186">
        <v>44805.0</v>
      </c>
      <c r="B426" s="52" t="str">
        <f t="shared" si="1"/>
        <v>09/2022</v>
      </c>
      <c r="C426" s="52" t="str">
        <f>IF(A426="","",VLOOKUP(A426,'THAM CHIẾU'!$A:$B,2,0))</f>
        <v>#N/A</v>
      </c>
      <c r="D426" s="52" t="str">
        <f>IF(E426&lt;&gt;0,VLOOKUP(E426,DM_DUAN,3,0),"")</f>
        <v/>
      </c>
      <c r="E426" s="735"/>
      <c r="F426" s="735"/>
      <c r="G426" s="735"/>
      <c r="H426" s="70"/>
      <c r="I426" s="52" t="str">
        <f>IF($K426&lt;&gt;0,VLOOKUP($K426,DM_KM,3,0),"")</f>
        <v>#N/A</v>
      </c>
      <c r="J426" s="52" t="str">
        <f>IF($K426&lt;&gt;0,VLOOKUP($K426,DM_KM,5,0),"")</f>
        <v>#N/A</v>
      </c>
      <c r="K426" s="735" t="s">
        <v>380</v>
      </c>
      <c r="L426" s="735"/>
      <c r="M426" s="68"/>
      <c r="N426" s="738">
        <v>1666000.0</v>
      </c>
      <c r="O426" s="1188" t="s">
        <v>2226</v>
      </c>
      <c r="P426" s="751"/>
    </row>
    <row r="427" hidden="1">
      <c r="A427" s="1186">
        <v>44805.0</v>
      </c>
      <c r="B427" s="52" t="str">
        <f t="shared" si="1"/>
        <v>09/2022</v>
      </c>
      <c r="C427" s="52" t="str">
        <f>IF(A427="","",VLOOKUP(A427,'THAM CHIẾU'!$A:$B,2,0))</f>
        <v>#N/A</v>
      </c>
      <c r="D427" s="52" t="str">
        <f>IF(E427&lt;&gt;0,VLOOKUP(E427,DM_DUAN,3,0),"")</f>
        <v/>
      </c>
      <c r="E427" s="735"/>
      <c r="F427" s="735"/>
      <c r="G427" s="735"/>
      <c r="H427" s="70"/>
      <c r="I427" s="52" t="str">
        <f>IF($K427&lt;&gt;0,VLOOKUP($K427,DM_KM,3,0),"")</f>
        <v>#N/A</v>
      </c>
      <c r="J427" s="52" t="str">
        <f>IF($K427&lt;&gt;0,VLOOKUP($K427,DM_KM,5,0),"")</f>
        <v>#N/A</v>
      </c>
      <c r="K427" s="735" t="s">
        <v>272</v>
      </c>
      <c r="L427" s="735"/>
      <c r="M427" s="68"/>
      <c r="N427" s="738">
        <v>6666000.0</v>
      </c>
      <c r="O427" s="737" t="s">
        <v>2227</v>
      </c>
      <c r="P427" s="751"/>
    </row>
    <row r="428" hidden="1">
      <c r="A428" s="1186">
        <v>44805.0</v>
      </c>
      <c r="B428" s="52" t="str">
        <f t="shared" si="1"/>
        <v>09/2022</v>
      </c>
      <c r="C428" s="52" t="str">
        <f>IF(A428="","",VLOOKUP(A428,'THAM CHIẾU'!$A:$B,2,0))</f>
        <v>#N/A</v>
      </c>
      <c r="D428" s="52" t="str">
        <f>IF(E428&lt;&gt;0,VLOOKUP(E428,DM_DUAN,3,0),"")</f>
        <v/>
      </c>
      <c r="E428" s="735"/>
      <c r="F428" s="735"/>
      <c r="G428" s="735"/>
      <c r="H428" s="70"/>
      <c r="I428" s="52" t="str">
        <f>IF($K428&lt;&gt;0,VLOOKUP($K428,DM_KM,3,0),"")</f>
        <v>#N/A</v>
      </c>
      <c r="J428" s="52" t="str">
        <f>IF($K428&lt;&gt;0,VLOOKUP($K428,DM_KM,5,0),"")</f>
        <v>#N/A</v>
      </c>
      <c r="K428" s="735" t="s">
        <v>380</v>
      </c>
      <c r="L428" s="735"/>
      <c r="M428" s="68"/>
      <c r="N428" s="738">
        <v>833000.0</v>
      </c>
      <c r="O428" s="1188" t="s">
        <v>2228</v>
      </c>
      <c r="P428" s="751"/>
    </row>
    <row r="429" hidden="1">
      <c r="A429" s="1186">
        <v>44805.0</v>
      </c>
      <c r="B429" s="52" t="str">
        <f t="shared" si="1"/>
        <v>09/2022</v>
      </c>
      <c r="C429" s="52" t="str">
        <f>IF(A429="","",VLOOKUP(A429,'THAM CHIẾU'!$A:$B,2,0))</f>
        <v>#N/A</v>
      </c>
      <c r="D429" s="52" t="str">
        <f>IF(E429&lt;&gt;0,VLOOKUP(E429,DM_DUAN,3,0),"")</f>
        <v/>
      </c>
      <c r="E429" s="735"/>
      <c r="F429" s="735"/>
      <c r="G429" s="735"/>
      <c r="H429" s="70"/>
      <c r="I429" s="52" t="str">
        <f>IF($K429&lt;&gt;0,VLOOKUP($K429,DM_KM,3,0),"")</f>
        <v>#N/A</v>
      </c>
      <c r="J429" s="52" t="str">
        <f>IF($K429&lt;&gt;0,VLOOKUP($K429,DM_KM,5,0),"")</f>
        <v>#N/A</v>
      </c>
      <c r="K429" s="735" t="s">
        <v>222</v>
      </c>
      <c r="L429" s="735"/>
      <c r="M429" s="68"/>
      <c r="N429" s="738">
        <v>416000.0</v>
      </c>
      <c r="O429" s="737" t="s">
        <v>2229</v>
      </c>
      <c r="P429" s="751"/>
    </row>
    <row r="430" hidden="1">
      <c r="A430" s="1186">
        <v>44805.0</v>
      </c>
      <c r="B430" s="52" t="str">
        <f t="shared" si="1"/>
        <v>09/2022</v>
      </c>
      <c r="C430" s="52" t="str">
        <f>IF(A430="","",VLOOKUP(A430,'THAM CHIẾU'!$A:$B,2,0))</f>
        <v>#N/A</v>
      </c>
      <c r="D430" s="52" t="str">
        <f>IF(E430&lt;&gt;0,VLOOKUP(E430,DM_DUAN,3,0),"")</f>
        <v/>
      </c>
      <c r="E430" s="735"/>
      <c r="F430" s="735"/>
      <c r="G430" s="735"/>
      <c r="H430" s="70"/>
      <c r="I430" s="1189" t="str">
        <f>IF($K430&lt;&gt;0,VLOOKUP($K430,DM_KM,3,0),"")</f>
        <v>#N/A</v>
      </c>
      <c r="J430" s="52" t="str">
        <f>IF($K430&lt;&gt;0,VLOOKUP($K430,DM_KM,5,0),"")</f>
        <v>#N/A</v>
      </c>
      <c r="K430" s="1187" t="s">
        <v>267</v>
      </c>
      <c r="L430" s="735"/>
      <c r="M430" s="68"/>
      <c r="N430" s="738">
        <v>3.184E8</v>
      </c>
      <c r="O430" s="1188" t="s">
        <v>2230</v>
      </c>
      <c r="P430" s="751"/>
    </row>
    <row r="431" hidden="1">
      <c r="A431" s="1186">
        <v>44805.0</v>
      </c>
      <c r="B431" s="52" t="str">
        <f t="shared" si="1"/>
        <v>09/2022</v>
      </c>
      <c r="C431" s="52" t="str">
        <f>IF(A431="","",VLOOKUP(A431,'THAM CHIẾU'!$A:$B,2,0))</f>
        <v>#N/A</v>
      </c>
      <c r="D431" s="52" t="str">
        <f>IF(E431&lt;&gt;0,VLOOKUP(E431,DM_DUAN,3,0),"")</f>
        <v/>
      </c>
      <c r="E431" s="735"/>
      <c r="F431" s="735"/>
      <c r="G431" s="735"/>
      <c r="H431" s="70"/>
      <c r="I431" s="52" t="str">
        <f>IF($K431&lt;&gt;0,VLOOKUP($K431,DM_KM,3,0),"")</f>
        <v>THUEVP</v>
      </c>
      <c r="J431" s="52">
        <f>IF($K431&lt;&gt;0,VLOOKUP($K431,DM_KM,5,0),"")</f>
        <v>642</v>
      </c>
      <c r="K431" s="735" t="s">
        <v>270</v>
      </c>
      <c r="L431" s="735"/>
      <c r="M431" s="68"/>
      <c r="N431" s="738">
        <v>4.5143E7</v>
      </c>
      <c r="O431" s="1188" t="s">
        <v>2231</v>
      </c>
      <c r="P431" s="751"/>
    </row>
    <row r="432" hidden="1">
      <c r="A432" s="1186">
        <v>44805.0</v>
      </c>
      <c r="B432" s="52" t="str">
        <f t="shared" si="1"/>
        <v>09/2022</v>
      </c>
      <c r="C432" s="52" t="str">
        <f>IF(A432="","",VLOOKUP(A432,'THAM CHIẾU'!$A:$B,2,0))</f>
        <v>#N/A</v>
      </c>
      <c r="D432" s="52" t="str">
        <f>IF(E432&lt;&gt;0,VLOOKUP(E432,DM_DUAN,3,0),"")</f>
        <v/>
      </c>
      <c r="E432" s="735"/>
      <c r="F432" s="735"/>
      <c r="G432" s="735"/>
      <c r="H432" s="70"/>
      <c r="I432" s="52" t="str">
        <f>IF($K432&lt;&gt;0,VLOOKUP($K432,DM_KM,3,0),"")</f>
        <v>#N/A</v>
      </c>
      <c r="J432" s="52" t="str">
        <f>IF($K432&lt;&gt;0,VLOOKUP($K432,DM_KM,5,0),"")</f>
        <v>#N/A</v>
      </c>
      <c r="K432" s="735" t="s">
        <v>410</v>
      </c>
      <c r="L432" s="735"/>
      <c r="M432" s="68"/>
      <c r="N432" s="738">
        <v>1250000.0</v>
      </c>
      <c r="O432" s="737" t="s">
        <v>410</v>
      </c>
      <c r="P432" s="751"/>
    </row>
    <row r="433" hidden="1">
      <c r="A433" s="1186">
        <v>44805.0</v>
      </c>
      <c r="B433" s="52" t="str">
        <f t="shared" si="1"/>
        <v>09/2022</v>
      </c>
      <c r="C433" s="52" t="str">
        <f>IF(A433="","",VLOOKUP(A433,'THAM CHIẾU'!$A:$B,2,0))</f>
        <v>#N/A</v>
      </c>
      <c r="D433" s="52" t="str">
        <f>IF(E433&lt;&gt;0,VLOOKUP(E433,DM_DUAN,3,0),"")</f>
        <v/>
      </c>
      <c r="E433" s="735"/>
      <c r="F433" s="735"/>
      <c r="G433" s="735"/>
      <c r="H433" s="70"/>
      <c r="I433" s="52" t="str">
        <f>IF($K433&lt;&gt;0,VLOOKUP($K433,DM_KM,3,0),"")</f>
        <v>#N/A</v>
      </c>
      <c r="J433" s="52" t="str">
        <f>IF($K433&lt;&gt;0,VLOOKUP($K433,DM_KM,5,0),"")</f>
        <v>#N/A</v>
      </c>
      <c r="K433" s="1187" t="s">
        <v>252</v>
      </c>
      <c r="L433" s="735"/>
      <c r="M433" s="68"/>
      <c r="N433" s="738">
        <v>1.6666E7</v>
      </c>
      <c r="O433" s="1188" t="s">
        <v>2232</v>
      </c>
      <c r="P433" s="751"/>
    </row>
    <row r="434" hidden="1">
      <c r="A434" s="1186">
        <v>44805.0</v>
      </c>
      <c r="B434" s="52" t="str">
        <f t="shared" si="1"/>
        <v>09/2022</v>
      </c>
      <c r="C434" s="52" t="str">
        <f>IF(A434="","",VLOOKUP(A434,'THAM CHIẾU'!$A:$B,2,0))</f>
        <v>#N/A</v>
      </c>
      <c r="D434" s="52" t="str">
        <f>IF(E434&lt;&gt;0,VLOOKUP(E434,DM_DUAN,3,0),"")</f>
        <v/>
      </c>
      <c r="E434" s="735"/>
      <c r="F434" s="735"/>
      <c r="G434" s="735"/>
      <c r="H434" s="70"/>
      <c r="I434" s="52" t="str">
        <f>IF($K434&lt;&gt;0,VLOOKUP($K434,DM_KM,3,0),"")</f>
        <v>#N/A</v>
      </c>
      <c r="J434" s="52" t="str">
        <f>IF($K434&lt;&gt;0,VLOOKUP($K434,DM_KM,5,0),"")</f>
        <v>#N/A</v>
      </c>
      <c r="K434" s="735" t="s">
        <v>380</v>
      </c>
      <c r="L434" s="735"/>
      <c r="M434" s="68"/>
      <c r="N434" s="738">
        <v>1666000.0</v>
      </c>
      <c r="O434" s="1188" t="s">
        <v>2233</v>
      </c>
      <c r="P434" s="751"/>
    </row>
    <row r="435" hidden="1">
      <c r="A435" s="1186">
        <v>44805.0</v>
      </c>
      <c r="B435" s="52" t="str">
        <f t="shared" si="1"/>
        <v>09/2022</v>
      </c>
      <c r="C435" s="52" t="str">
        <f>IF(A435="","",VLOOKUP(A435,'THAM CHIẾU'!$A:$B,2,0))</f>
        <v>#N/A</v>
      </c>
      <c r="D435" s="52" t="str">
        <f>IF(E435&lt;&gt;0,VLOOKUP(E435,DM_DUAN,3,0),"")</f>
        <v/>
      </c>
      <c r="E435" s="735"/>
      <c r="F435" s="735"/>
      <c r="G435" s="735"/>
      <c r="H435" s="70"/>
      <c r="I435" s="52" t="str">
        <f>IF($K435&lt;&gt;0,VLOOKUP($K435,DM_KM,3,0),"")</f>
        <v>#N/A</v>
      </c>
      <c r="J435" s="52" t="str">
        <f>IF($K435&lt;&gt;0,VLOOKUP($K435,DM_KM,5,0),"")</f>
        <v>#N/A</v>
      </c>
      <c r="K435" s="1187" t="s">
        <v>206</v>
      </c>
      <c r="L435" s="735"/>
      <c r="M435" s="68"/>
      <c r="N435" s="738">
        <v>1703000.0</v>
      </c>
      <c r="O435" s="1188" t="s">
        <v>206</v>
      </c>
      <c r="P435" s="751"/>
    </row>
    <row r="436" hidden="1">
      <c r="A436" s="1186">
        <v>44805.0</v>
      </c>
      <c r="B436" s="52" t="str">
        <f t="shared" si="1"/>
        <v>09/2022</v>
      </c>
      <c r="C436" s="52" t="str">
        <f>IF(A436="","",VLOOKUP(A436,'THAM CHIẾU'!$A:$B,2,0))</f>
        <v>#N/A</v>
      </c>
      <c r="D436" s="52" t="str">
        <f>IF(E436&lt;&gt;0,VLOOKUP(E436,DM_DUAN,3,0),"")</f>
        <v/>
      </c>
      <c r="E436" s="735"/>
      <c r="F436" s="735"/>
      <c r="G436" s="735"/>
      <c r="H436" s="70"/>
      <c r="I436" s="52" t="str">
        <f>IF($K436&lt;&gt;0,VLOOKUP($K436,DM_KM,3,0),"")</f>
        <v>#N/A</v>
      </c>
      <c r="J436" s="52" t="str">
        <f>IF($K436&lt;&gt;0,VLOOKUP($K436,DM_KM,5,0),"")</f>
        <v>#N/A</v>
      </c>
      <c r="K436" s="1187" t="s">
        <v>226</v>
      </c>
      <c r="L436" s="735"/>
      <c r="M436" s="68"/>
      <c r="N436" s="738">
        <v>1250000.0</v>
      </c>
      <c r="O436" s="1188" t="s">
        <v>2234</v>
      </c>
      <c r="P436" s="751"/>
    </row>
    <row r="437" hidden="1">
      <c r="A437" s="1186">
        <v>44805.0</v>
      </c>
      <c r="B437" s="52" t="str">
        <f t="shared" si="1"/>
        <v>09/2022</v>
      </c>
      <c r="C437" s="52" t="str">
        <f>IF(A437="","",VLOOKUP(A437,'THAM CHIẾU'!$A:$B,2,0))</f>
        <v>#N/A</v>
      </c>
      <c r="D437" s="52" t="str">
        <f>IF(E437&lt;&gt;0,VLOOKUP(E437,DM_DUAN,3,0),"")</f>
        <v/>
      </c>
      <c r="E437" s="735"/>
      <c r="F437" s="735"/>
      <c r="G437" s="735"/>
      <c r="H437" s="70"/>
      <c r="I437" s="52" t="str">
        <f>IF($K437&lt;&gt;0,VLOOKUP($K437,DM_KM,3,0),"")</f>
        <v>#N/A</v>
      </c>
      <c r="J437" s="52" t="str">
        <f>IF($K437&lt;&gt;0,VLOOKUP($K437,DM_KM,5,0),"")</f>
        <v>#N/A</v>
      </c>
      <c r="K437" s="735" t="s">
        <v>174</v>
      </c>
      <c r="L437" s="735"/>
      <c r="M437" s="68"/>
      <c r="N437" s="738">
        <v>4.0861E7</v>
      </c>
      <c r="O437" s="737" t="s">
        <v>2235</v>
      </c>
      <c r="P437" s="751"/>
    </row>
    <row r="438" hidden="1">
      <c r="A438" s="1186">
        <v>44805.0</v>
      </c>
      <c r="B438" s="52" t="str">
        <f t="shared" si="1"/>
        <v>09/2022</v>
      </c>
      <c r="C438" s="52" t="str">
        <f>IF(A438="","",VLOOKUP(A438,'THAM CHIẾU'!$A:$B,2,0))</f>
        <v>#N/A</v>
      </c>
      <c r="D438" s="52" t="str">
        <f>IF(E438&lt;&gt;0,VLOOKUP(E438,DM_DUAN,3,0),"")</f>
        <v/>
      </c>
      <c r="E438" s="735"/>
      <c r="F438" s="735"/>
      <c r="G438" s="735"/>
      <c r="H438" s="70"/>
      <c r="I438" s="52" t="str">
        <f>IF($K438&lt;&gt;0,VLOOKUP($K438,DM_KM,3,0),"")</f>
        <v>#N/A</v>
      </c>
      <c r="J438" s="52" t="str">
        <f>IF($K438&lt;&gt;0,VLOOKUP($K438,DM_KM,5,0),"")</f>
        <v>#N/A</v>
      </c>
      <c r="K438" s="735" t="s">
        <v>2236</v>
      </c>
      <c r="L438" s="735"/>
      <c r="M438" s="68"/>
      <c r="N438" s="738">
        <v>1666000.0</v>
      </c>
      <c r="O438" s="1188" t="s">
        <v>2237</v>
      </c>
      <c r="P438" s="751"/>
    </row>
    <row r="439" hidden="1">
      <c r="A439" s="1186">
        <v>44805.0</v>
      </c>
      <c r="B439" s="52" t="str">
        <f t="shared" si="1"/>
        <v>09/2022</v>
      </c>
      <c r="C439" s="52" t="str">
        <f>IF(A439="","",VLOOKUP(A439,'THAM CHIẾU'!$A:$B,2,0))</f>
        <v>#N/A</v>
      </c>
      <c r="D439" s="52" t="str">
        <f>IF(E439&lt;&gt;0,VLOOKUP(E439,DM_DUAN,3,0),"")</f>
        <v/>
      </c>
      <c r="E439" s="735"/>
      <c r="F439" s="735"/>
      <c r="G439" s="735"/>
      <c r="H439" s="70"/>
      <c r="I439" s="52" t="str">
        <f>IF($K439&lt;&gt;0,VLOOKUP($K439,DM_KM,3,0),"")</f>
        <v/>
      </c>
      <c r="J439" s="52" t="str">
        <f>IF($K439&lt;&gt;0,VLOOKUP($K439,DM_KM,5,0),"")</f>
        <v/>
      </c>
      <c r="K439" s="735"/>
      <c r="L439" s="735"/>
      <c r="M439" s="68"/>
      <c r="N439" s="738"/>
      <c r="O439" s="1188"/>
      <c r="P439" s="751"/>
    </row>
    <row r="440" hidden="1">
      <c r="A440" s="1186">
        <v>44805.0</v>
      </c>
      <c r="B440" s="52" t="str">
        <f t="shared" si="1"/>
        <v>09/2022</v>
      </c>
      <c r="C440" s="52" t="str">
        <f>IF(A440="","",VLOOKUP(A440,'THAM CHIẾU'!$A:$B,2,0))</f>
        <v>#N/A</v>
      </c>
      <c r="D440" s="52" t="str">
        <f>IF(E440&lt;&gt;0,VLOOKUP(E440,DM_DUAN,3,0),"")</f>
        <v/>
      </c>
      <c r="E440" s="735"/>
      <c r="F440" s="735"/>
      <c r="G440" s="735"/>
      <c r="H440" s="70"/>
      <c r="I440" s="52" t="str">
        <f>IF($K440&lt;&gt;0,VLOOKUP($K440,DM_KM,3,0),"")</f>
        <v>#N/A</v>
      </c>
      <c r="J440" s="52" t="str">
        <f>IF($K440&lt;&gt;0,VLOOKUP($K440,DM_KM,5,0),"")</f>
        <v>#N/A</v>
      </c>
      <c r="K440" s="735" t="s">
        <v>169</v>
      </c>
      <c r="L440" s="735"/>
      <c r="M440" s="68"/>
      <c r="N440" s="738">
        <v>1.0643E7</v>
      </c>
      <c r="O440" s="1188" t="s">
        <v>2240</v>
      </c>
      <c r="P440" s="751"/>
    </row>
    <row r="441" hidden="1">
      <c r="A441" s="1186">
        <v>44805.0</v>
      </c>
      <c r="B441" s="52" t="str">
        <f t="shared" si="1"/>
        <v>09/2022</v>
      </c>
      <c r="C441" s="52" t="str">
        <f>IF(A441="","",VLOOKUP(A441,'THAM CHIẾU'!$A:$B,2,0))</f>
        <v>#N/A</v>
      </c>
      <c r="D441" s="52" t="str">
        <f>IF(E441&lt;&gt;0,VLOOKUP(E441,DM_DUAN,3,0),"")</f>
        <v/>
      </c>
      <c r="E441" s="735"/>
      <c r="F441" s="735"/>
      <c r="G441" s="735"/>
      <c r="H441" s="70"/>
      <c r="I441" s="1189" t="str">
        <f>IF($K441&lt;&gt;0,VLOOKUP($K441,DM_KM,3,0),"")</f>
        <v>#N/A</v>
      </c>
      <c r="J441" s="52" t="str">
        <f>IF($K441&lt;&gt;0,VLOOKUP($K441,DM_KM,5,0),"")</f>
        <v>#N/A</v>
      </c>
      <c r="K441" s="1187" t="s">
        <v>190</v>
      </c>
      <c r="L441" s="735"/>
      <c r="M441" s="68"/>
      <c r="N441" s="738">
        <v>3.9E9</v>
      </c>
      <c r="O441" s="1188" t="s">
        <v>2241</v>
      </c>
      <c r="P441" s="739"/>
    </row>
    <row r="442" hidden="1">
      <c r="A442" s="1186">
        <v>44805.0</v>
      </c>
      <c r="B442" s="52" t="str">
        <f t="shared" si="1"/>
        <v>09/2022</v>
      </c>
      <c r="C442" s="52" t="str">
        <f>IF(A442="","",VLOOKUP(A442,'THAM CHIẾU'!$A:$B,2,0))</f>
        <v>#N/A</v>
      </c>
      <c r="D442" s="52" t="str">
        <f>IF(E442&lt;&gt;0,VLOOKUP(E442,DM_DUAN,3,0),"")</f>
        <v/>
      </c>
      <c r="E442" s="735"/>
      <c r="F442" s="735"/>
      <c r="G442" s="735"/>
      <c r="H442" s="70"/>
      <c r="I442" s="1189" t="str">
        <f>IF($K442&lt;&gt;0,VLOOKUP($K442,DM_KM,3,0),"")</f>
        <v>#N/A</v>
      </c>
      <c r="J442" s="52" t="str">
        <f>IF($K442&lt;&gt;0,VLOOKUP($K442,DM_KM,5,0),"")</f>
        <v>#N/A</v>
      </c>
      <c r="K442" s="1187" t="s">
        <v>194</v>
      </c>
      <c r="L442" s="735"/>
      <c r="M442" s="68"/>
      <c r="N442" s="738">
        <v>1.04E9</v>
      </c>
      <c r="O442" s="1188" t="s">
        <v>2242</v>
      </c>
      <c r="P442" s="739"/>
    </row>
    <row r="443" hidden="1">
      <c r="A443" s="1186">
        <v>44805.0</v>
      </c>
      <c r="B443" s="52" t="str">
        <f t="shared" si="1"/>
        <v>09/2022</v>
      </c>
      <c r="C443" s="52" t="str">
        <f>IF(A443="","",VLOOKUP(A443,'THAM CHIẾU'!$A:$B,2,0))</f>
        <v>#N/A</v>
      </c>
      <c r="D443" s="52" t="str">
        <f>IF(E443&lt;&gt;0,VLOOKUP(E443,DM_DUAN,3,0),"")</f>
        <v/>
      </c>
      <c r="E443" s="735"/>
      <c r="F443" s="735"/>
      <c r="G443" s="735"/>
      <c r="H443" s="70"/>
      <c r="I443" s="52" t="str">
        <f>IF($K443&lt;&gt;0,VLOOKUP($K443,DM_KM,3,0),"")</f>
        <v>#N/A</v>
      </c>
      <c r="J443" s="52" t="str">
        <f>IF($K443&lt;&gt;0,VLOOKUP($K443,DM_KM,5,0),"")</f>
        <v>#N/A</v>
      </c>
      <c r="K443" s="1187" t="s">
        <v>1170</v>
      </c>
      <c r="L443" s="735"/>
      <c r="M443" s="68"/>
      <c r="N443" s="738">
        <v>1.3E8</v>
      </c>
      <c r="O443" s="1188" t="s">
        <v>1474</v>
      </c>
      <c r="P443" s="751"/>
    </row>
    <row r="444" hidden="1">
      <c r="A444" s="1186">
        <v>44805.0</v>
      </c>
      <c r="B444" s="52" t="str">
        <f t="shared" si="1"/>
        <v>09/2022</v>
      </c>
      <c r="C444" s="52" t="str">
        <f>IF(A444="","",VLOOKUP(A444,'THAM CHIẾU'!$A:$B,2,0))</f>
        <v>#N/A</v>
      </c>
      <c r="D444" s="52" t="str">
        <f>IF(E444&lt;&gt;0,VLOOKUP(E444,DM_DUAN,3,0),"")</f>
        <v/>
      </c>
      <c r="E444" s="735"/>
      <c r="F444" s="735"/>
      <c r="G444" s="735"/>
      <c r="H444" s="70"/>
      <c r="I444" s="52" t="str">
        <f>IF($K444&lt;&gt;0,VLOOKUP($K444,DM_KM,3,0),"")</f>
        <v>#N/A</v>
      </c>
      <c r="J444" s="52" t="str">
        <f>IF($K444&lt;&gt;0,VLOOKUP($K444,DM_KM,5,0),"")</f>
        <v>#N/A</v>
      </c>
      <c r="K444" s="735" t="s">
        <v>1142</v>
      </c>
      <c r="L444" s="735"/>
      <c r="M444" s="68"/>
      <c r="N444" s="738">
        <v>1.248E9</v>
      </c>
      <c r="O444" s="737" t="s">
        <v>2244</v>
      </c>
      <c r="P444" s="751"/>
    </row>
    <row r="445" hidden="1">
      <c r="A445" s="1186">
        <v>44805.0</v>
      </c>
      <c r="B445" s="52" t="str">
        <f t="shared" si="1"/>
        <v>09/2022</v>
      </c>
      <c r="C445" s="52" t="str">
        <f>IF(A445="","",VLOOKUP(A445,'THAM CHIẾU'!$A:$B,2,0))</f>
        <v>#N/A</v>
      </c>
      <c r="D445" s="52" t="str">
        <f>IF(E445&lt;&gt;0,VLOOKUP(E445,DM_DUAN,3,0),"")</f>
        <v/>
      </c>
      <c r="E445" s="735"/>
      <c r="F445" s="735"/>
      <c r="G445" s="735"/>
      <c r="H445" s="70"/>
      <c r="I445" s="1189" t="str">
        <f>IF($K445&lt;&gt;0,VLOOKUP($K445,DM_KM,3,0),"")</f>
        <v>#N/A</v>
      </c>
      <c r="J445" s="52" t="str">
        <f>IF($K445&lt;&gt;0,VLOOKUP($K445,DM_KM,5,0),"")</f>
        <v>#N/A</v>
      </c>
      <c r="K445" s="1187" t="s">
        <v>181</v>
      </c>
      <c r="L445" s="735"/>
      <c r="M445" s="68"/>
      <c r="N445" s="738">
        <v>1.3E9</v>
      </c>
      <c r="O445" s="1188" t="s">
        <v>2245</v>
      </c>
      <c r="P445" s="751"/>
    </row>
    <row r="446" hidden="1">
      <c r="A446" s="1186">
        <v>44805.0</v>
      </c>
      <c r="B446" s="52" t="str">
        <f t="shared" si="1"/>
        <v>09/2022</v>
      </c>
      <c r="C446" s="52" t="str">
        <f>IF(A446="","",VLOOKUP(A446,'THAM CHIẾU'!$A:$B,2,0))</f>
        <v>#N/A</v>
      </c>
      <c r="D446" s="52" t="str">
        <f>IF(E446&lt;&gt;0,VLOOKUP(E446,DM_DUAN,3,0),"")</f>
        <v/>
      </c>
      <c r="E446" s="735"/>
      <c r="F446" s="735"/>
      <c r="G446" s="735"/>
      <c r="H446" s="70"/>
      <c r="I446" s="52" t="str">
        <f>IF($K446&lt;&gt;0,VLOOKUP($K446,DM_KM,3,0),"")</f>
        <v>#N/A</v>
      </c>
      <c r="J446" s="52" t="str">
        <f>IF($K446&lt;&gt;0,VLOOKUP($K446,DM_KM,5,0),"")</f>
        <v>#N/A</v>
      </c>
      <c r="K446" s="735" t="s">
        <v>2243</v>
      </c>
      <c r="L446" s="735"/>
      <c r="M446" s="68"/>
      <c r="N446" s="738">
        <v>3.9E7</v>
      </c>
      <c r="O446" s="737" t="s">
        <v>2246</v>
      </c>
      <c r="P446" s="751"/>
    </row>
    <row r="447" hidden="1">
      <c r="A447" s="1186">
        <v>44805.0</v>
      </c>
      <c r="B447" s="52" t="str">
        <f t="shared" si="1"/>
        <v>09/2022</v>
      </c>
      <c r="C447" s="52" t="str">
        <f>IF(A447="","",VLOOKUP(A447,'THAM CHIẾU'!$A:$B,2,0))</f>
        <v>#N/A</v>
      </c>
      <c r="D447" s="52" t="str">
        <f>IF(E447&lt;&gt;0,VLOOKUP(E447,DM_DUAN,3,0),"")</f>
        <v/>
      </c>
      <c r="E447" s="735"/>
      <c r="F447" s="735"/>
      <c r="G447" s="735"/>
      <c r="H447" s="70"/>
      <c r="I447" s="52" t="str">
        <f>IF($K447&lt;&gt;0,VLOOKUP($K447,DM_KM,3,0),"")</f>
        <v/>
      </c>
      <c r="J447" s="52" t="str">
        <f>IF($K447&lt;&gt;0,VLOOKUP($K447,DM_KM,5,0),"")</f>
        <v/>
      </c>
      <c r="K447" s="735"/>
      <c r="L447" s="735"/>
      <c r="M447" s="68"/>
      <c r="N447" s="738">
        <v>0.0</v>
      </c>
      <c r="O447" s="737"/>
      <c r="P447" s="751"/>
    </row>
    <row r="448" hidden="1">
      <c r="A448" s="1190"/>
      <c r="B448" s="52" t="str">
        <f t="shared" si="1"/>
        <v/>
      </c>
      <c r="C448" s="52" t="str">
        <f>IF(A448="","",VLOOKUP(A448,'THAM CHIẾU'!$A:$B,2,0))</f>
        <v/>
      </c>
      <c r="D448" s="52" t="str">
        <f>IF(E448&lt;&gt;0,VLOOKUP(E448,DM_DUAN,3,0),"")</f>
        <v/>
      </c>
      <c r="E448" s="735"/>
      <c r="F448" s="735"/>
      <c r="G448" s="735"/>
      <c r="H448" s="70"/>
      <c r="I448" s="52" t="str">
        <f>IF($K448&lt;&gt;0,VLOOKUP($K448,DM_KM,3,0),"")</f>
        <v/>
      </c>
      <c r="J448" s="52" t="str">
        <f>IF($K448&lt;&gt;0,VLOOKUP($K448,DM_KM,5,0),"")</f>
        <v/>
      </c>
      <c r="K448" s="735"/>
      <c r="L448" s="735"/>
      <c r="M448" s="68"/>
      <c r="N448" s="738">
        <v>0.0</v>
      </c>
      <c r="O448" s="737"/>
      <c r="P448" s="751"/>
    </row>
    <row r="449" hidden="1">
      <c r="A449" s="1186">
        <v>44835.0</v>
      </c>
      <c r="B449" s="52" t="str">
        <f t="shared" si="1"/>
        <v>10/2022</v>
      </c>
      <c r="C449" s="52" t="str">
        <f>IF(A449="","",VLOOKUP(A449,'THAM CHIẾU'!$A:$B,2,0))</f>
        <v>#N/A</v>
      </c>
      <c r="D449" s="52" t="str">
        <f>IF(E449&lt;&gt;0,VLOOKUP(E449,DM_DUAN,3,0),"")</f>
        <v/>
      </c>
      <c r="E449" s="735"/>
      <c r="F449" s="735"/>
      <c r="G449" s="735" t="s">
        <v>207</v>
      </c>
      <c r="H449" s="70"/>
      <c r="I449" s="52" t="str">
        <f>IF($K449&lt;&gt;0,VLOOKUP($K449,DM_KM,3,0),"")</f>
        <v>#N/A</v>
      </c>
      <c r="J449" s="52" t="str">
        <f>IF($K449&lt;&gt;0,VLOOKUP($K449,DM_KM,5,0),"")</f>
        <v>#N/A</v>
      </c>
      <c r="K449" s="735" t="s">
        <v>2215</v>
      </c>
      <c r="L449" s="735"/>
      <c r="M449" s="68"/>
      <c r="N449" s="738">
        <v>43000.0</v>
      </c>
      <c r="O449" s="737" t="s">
        <v>2216</v>
      </c>
      <c r="P449" s="751"/>
    </row>
    <row r="450" hidden="1">
      <c r="A450" s="1186">
        <v>44835.0</v>
      </c>
      <c r="B450" s="52" t="str">
        <f t="shared" si="1"/>
        <v>10/2022</v>
      </c>
      <c r="C450" s="52" t="str">
        <f>IF(A450="","",VLOOKUP(A450,'THAM CHIẾU'!$A:$B,2,0))</f>
        <v>#N/A</v>
      </c>
      <c r="D450" s="52" t="str">
        <f>IF(E450&lt;&gt;0,VLOOKUP(E450,DM_DUAN,3,0),"")</f>
        <v/>
      </c>
      <c r="E450" s="735"/>
      <c r="F450" s="735"/>
      <c r="G450" s="735"/>
      <c r="H450" s="70"/>
      <c r="I450" s="52" t="str">
        <f>IF($K450&lt;&gt;0,VLOOKUP($K450,DM_KM,3,0),"")</f>
        <v>#N/A</v>
      </c>
      <c r="J450" s="52" t="str">
        <f>IF($K450&lt;&gt;0,VLOOKUP($K450,DM_KM,5,0),"")</f>
        <v>#N/A</v>
      </c>
      <c r="K450" s="1187" t="s">
        <v>419</v>
      </c>
      <c r="L450" s="735"/>
      <c r="M450" s="68"/>
      <c r="N450" s="738">
        <v>166000.0</v>
      </c>
      <c r="O450" s="1188" t="s">
        <v>2217</v>
      </c>
      <c r="P450" s="751"/>
    </row>
    <row r="451" hidden="1">
      <c r="A451" s="1186">
        <v>44835.0</v>
      </c>
      <c r="B451" s="52" t="str">
        <f t="shared" si="1"/>
        <v>10/2022</v>
      </c>
      <c r="C451" s="52" t="str">
        <f>IF(A451="","",VLOOKUP(A451,'THAM CHIẾU'!$A:$B,2,0))</f>
        <v>#N/A</v>
      </c>
      <c r="D451" s="52" t="str">
        <f>IF(E451&lt;&gt;0,VLOOKUP(E451,DM_DUAN,3,0),"")</f>
        <v/>
      </c>
      <c r="E451" s="735"/>
      <c r="F451" s="735"/>
      <c r="G451" s="735"/>
      <c r="H451" s="70"/>
      <c r="I451" s="52" t="str">
        <f>IF($K451&lt;&gt;0,VLOOKUP($K451,DM_KM,3,0),"")</f>
        <v>#N/A</v>
      </c>
      <c r="J451" s="52" t="str">
        <f>IF($K451&lt;&gt;0,VLOOKUP($K451,DM_KM,5,0),"")</f>
        <v>#N/A</v>
      </c>
      <c r="K451" s="735" t="s">
        <v>573</v>
      </c>
      <c r="L451" s="735"/>
      <c r="M451" s="68"/>
      <c r="N451" s="738">
        <v>250000.0</v>
      </c>
      <c r="O451" s="1188" t="s">
        <v>2218</v>
      </c>
      <c r="P451" s="751"/>
    </row>
    <row r="452" hidden="1">
      <c r="A452" s="1186">
        <v>44835.0</v>
      </c>
      <c r="B452" s="52" t="str">
        <f t="shared" si="1"/>
        <v>10/2022</v>
      </c>
      <c r="C452" s="52" t="str">
        <f>IF(A452="","",VLOOKUP(A452,'THAM CHIẾU'!$A:$B,2,0))</f>
        <v>#N/A</v>
      </c>
      <c r="D452" s="52" t="str">
        <f>IF(E452&lt;&gt;0,VLOOKUP(E452,DM_DUAN,3,0),"")</f>
        <v/>
      </c>
      <c r="E452" s="735"/>
      <c r="F452" s="735"/>
      <c r="G452" s="735"/>
      <c r="H452" s="70"/>
      <c r="I452" s="1189" t="str">
        <f>IF($K452&lt;&gt;0,VLOOKUP($K452,DM_KM,3,0),"")</f>
        <v>#N/A</v>
      </c>
      <c r="J452" s="52" t="str">
        <f>IF($K452&lt;&gt;0,VLOOKUP($K452,DM_KM,5,0),"")</f>
        <v>#N/A</v>
      </c>
      <c r="K452" s="735" t="s">
        <v>1273</v>
      </c>
      <c r="L452" s="735"/>
      <c r="M452" s="68"/>
      <c r="N452" s="738">
        <v>328000.0</v>
      </c>
      <c r="O452" s="737" t="s">
        <v>1273</v>
      </c>
      <c r="P452" s="751"/>
    </row>
    <row r="453" hidden="1">
      <c r="A453" s="1186">
        <v>44835.0</v>
      </c>
      <c r="B453" s="52" t="str">
        <f t="shared" si="1"/>
        <v>10/2022</v>
      </c>
      <c r="C453" s="52" t="str">
        <f>IF(A453="","",VLOOKUP(A453,'THAM CHIẾU'!$A:$B,2,0))</f>
        <v>#N/A</v>
      </c>
      <c r="D453" s="52" t="str">
        <f>IF(E453&lt;&gt;0,VLOOKUP(E453,DM_DUAN,3,0),"")</f>
        <v/>
      </c>
      <c r="E453" s="735"/>
      <c r="F453" s="735"/>
      <c r="G453" s="735"/>
      <c r="H453" s="70"/>
      <c r="I453" s="52" t="str">
        <f>IF($K453&lt;&gt;0,VLOOKUP($K453,DM_KM,3,0),"")</f>
        <v>VHVP</v>
      </c>
      <c r="J453" s="52">
        <f>IF($K453&lt;&gt;0,VLOOKUP($K453,DM_KM,5,0),"")</f>
        <v>642</v>
      </c>
      <c r="K453" s="735" t="s">
        <v>1153</v>
      </c>
      <c r="L453" s="735"/>
      <c r="M453" s="68"/>
      <c r="N453" s="738">
        <v>8333000.0</v>
      </c>
      <c r="O453" s="737" t="s">
        <v>2219</v>
      </c>
      <c r="P453" s="751"/>
    </row>
    <row r="454" hidden="1">
      <c r="A454" s="1186">
        <v>44835.0</v>
      </c>
      <c r="B454" s="52" t="str">
        <f t="shared" si="1"/>
        <v>10/2022</v>
      </c>
      <c r="C454" s="52" t="str">
        <f>IF(A454="","",VLOOKUP(A454,'THAM CHIẾU'!$A:$B,2,0))</f>
        <v>#N/A</v>
      </c>
      <c r="D454" s="52" t="str">
        <f>IF(E454&lt;&gt;0,VLOOKUP(E454,DM_DUAN,3,0),"")</f>
        <v/>
      </c>
      <c r="E454" s="735"/>
      <c r="F454" s="735"/>
      <c r="G454" s="735"/>
      <c r="H454" s="70"/>
      <c r="I454" s="52" t="str">
        <f>IF($K454&lt;&gt;0,VLOOKUP($K454,DM_KM,3,0),"")</f>
        <v>#N/A</v>
      </c>
      <c r="J454" s="52" t="str">
        <f>IF($K454&lt;&gt;0,VLOOKUP($K454,DM_KM,5,0),"")</f>
        <v>#N/A</v>
      </c>
      <c r="K454" s="735" t="s">
        <v>2220</v>
      </c>
      <c r="L454" s="735"/>
      <c r="M454" s="68"/>
      <c r="N454" s="738">
        <v>416000.0</v>
      </c>
      <c r="O454" s="737" t="s">
        <v>2221</v>
      </c>
      <c r="P454" s="751"/>
    </row>
    <row r="455" hidden="1">
      <c r="A455" s="1186">
        <v>44835.0</v>
      </c>
      <c r="B455" s="52" t="str">
        <f t="shared" si="1"/>
        <v>10/2022</v>
      </c>
      <c r="C455" s="52" t="str">
        <f>IF(A455="","",VLOOKUP(A455,'THAM CHIẾU'!$A:$B,2,0))</f>
        <v>#N/A</v>
      </c>
      <c r="D455" s="52" t="str">
        <f>IF(E455&lt;&gt;0,VLOOKUP(E455,DM_DUAN,3,0),"")</f>
        <v/>
      </c>
      <c r="E455" s="735"/>
      <c r="F455" s="735"/>
      <c r="G455" s="735"/>
      <c r="H455" s="70"/>
      <c r="I455" s="52" t="str">
        <f>IF($K455&lt;&gt;0,VLOOKUP($K455,DM_KM,3,0),"")</f>
        <v>#N/A</v>
      </c>
      <c r="J455" s="52" t="str">
        <f>IF($K455&lt;&gt;0,VLOOKUP($K455,DM_KM,5,0),"")</f>
        <v>#N/A</v>
      </c>
      <c r="K455" s="735" t="s">
        <v>262</v>
      </c>
      <c r="L455" s="735"/>
      <c r="M455" s="68"/>
      <c r="N455" s="738">
        <v>833000.0</v>
      </c>
      <c r="O455" s="737" t="s">
        <v>2222</v>
      </c>
      <c r="P455" s="751"/>
    </row>
    <row r="456" hidden="1">
      <c r="A456" s="1186">
        <v>44835.0</v>
      </c>
      <c r="B456" s="52" t="str">
        <f t="shared" si="1"/>
        <v>10/2022</v>
      </c>
      <c r="C456" s="52" t="str">
        <f>IF(A456="","",VLOOKUP(A456,'THAM CHIẾU'!$A:$B,2,0))</f>
        <v>#N/A</v>
      </c>
      <c r="D456" s="52" t="str">
        <f>IF(E456&lt;&gt;0,VLOOKUP(E456,DM_DUAN,3,0),"")</f>
        <v/>
      </c>
      <c r="E456" s="735"/>
      <c r="F456" s="735"/>
      <c r="G456" s="735"/>
      <c r="H456" s="70"/>
      <c r="I456" s="52" t="str">
        <f>IF($K456&lt;&gt;0,VLOOKUP($K456,DM_KM,3,0),"")</f>
        <v>#N/A</v>
      </c>
      <c r="J456" s="52" t="str">
        <f>IF($K456&lt;&gt;0,VLOOKUP($K456,DM_KM,5,0),"")</f>
        <v>#N/A</v>
      </c>
      <c r="K456" s="735" t="s">
        <v>2223</v>
      </c>
      <c r="L456" s="735"/>
      <c r="M456" s="68"/>
      <c r="N456" s="738">
        <v>4166000.0</v>
      </c>
      <c r="O456" s="737" t="s">
        <v>2224</v>
      </c>
      <c r="P456" s="751"/>
    </row>
    <row r="457" hidden="1">
      <c r="A457" s="1186">
        <v>44835.0</v>
      </c>
      <c r="B457" s="52" t="str">
        <f t="shared" si="1"/>
        <v>10/2022</v>
      </c>
      <c r="C457" s="52" t="str">
        <f>IF(A457="","",VLOOKUP(A457,'THAM CHIẾU'!$A:$B,2,0))</f>
        <v>#N/A</v>
      </c>
      <c r="D457" s="52" t="str">
        <f>IF(E457&lt;&gt;0,VLOOKUP(E457,DM_DUAN,3,0),"")</f>
        <v/>
      </c>
      <c r="E457" s="735"/>
      <c r="F457" s="735"/>
      <c r="G457" s="735" t="s">
        <v>176</v>
      </c>
      <c r="H457" s="70"/>
      <c r="I457" s="52" t="str">
        <f>IF($K457&lt;&gt;0,VLOOKUP($K457,DM_KM,3,0),"")</f>
        <v>#N/A</v>
      </c>
      <c r="J457" s="52" t="str">
        <f>IF($K457&lt;&gt;0,VLOOKUP($K457,DM_KM,5,0),"")</f>
        <v>#N/A</v>
      </c>
      <c r="K457" s="1187" t="s">
        <v>374</v>
      </c>
      <c r="L457" s="735"/>
      <c r="M457" s="68"/>
      <c r="N457" s="738">
        <v>1666000.0</v>
      </c>
      <c r="O457" s="1188" t="s">
        <v>2225</v>
      </c>
      <c r="P457" s="751"/>
    </row>
    <row r="458" hidden="1">
      <c r="A458" s="1186">
        <v>44835.0</v>
      </c>
      <c r="B458" s="52" t="str">
        <f t="shared" si="1"/>
        <v>10/2022</v>
      </c>
      <c r="C458" s="52" t="str">
        <f>IF(A458="","",VLOOKUP(A458,'THAM CHIẾU'!$A:$B,2,0))</f>
        <v>#N/A</v>
      </c>
      <c r="D458" s="52" t="str">
        <f>IF(E458&lt;&gt;0,VLOOKUP(E458,DM_DUAN,3,0),"")</f>
        <v/>
      </c>
      <c r="E458" s="735"/>
      <c r="F458" s="735"/>
      <c r="G458" s="735"/>
      <c r="H458" s="70"/>
      <c r="I458" s="52" t="str">
        <f>IF($K458&lt;&gt;0,VLOOKUP($K458,DM_KM,3,0),"")</f>
        <v>#N/A</v>
      </c>
      <c r="J458" s="52" t="str">
        <f>IF($K458&lt;&gt;0,VLOOKUP($K458,DM_KM,5,0),"")</f>
        <v>#N/A</v>
      </c>
      <c r="K458" s="735" t="s">
        <v>380</v>
      </c>
      <c r="L458" s="735"/>
      <c r="M458" s="68"/>
      <c r="N458" s="738">
        <v>1666000.0</v>
      </c>
      <c r="O458" s="1188" t="s">
        <v>2226</v>
      </c>
      <c r="P458" s="751"/>
    </row>
    <row r="459" hidden="1">
      <c r="A459" s="1186">
        <v>44835.0</v>
      </c>
      <c r="B459" s="52" t="str">
        <f t="shared" si="1"/>
        <v>10/2022</v>
      </c>
      <c r="C459" s="52" t="str">
        <f>IF(A459="","",VLOOKUP(A459,'THAM CHIẾU'!$A:$B,2,0))</f>
        <v>#N/A</v>
      </c>
      <c r="D459" s="52" t="str">
        <f>IF(E459&lt;&gt;0,VLOOKUP(E459,DM_DUAN,3,0),"")</f>
        <v/>
      </c>
      <c r="E459" s="735"/>
      <c r="F459" s="735"/>
      <c r="G459" s="735"/>
      <c r="H459" s="70"/>
      <c r="I459" s="52" t="str">
        <f>IF($K459&lt;&gt;0,VLOOKUP($K459,DM_KM,3,0),"")</f>
        <v>#N/A</v>
      </c>
      <c r="J459" s="52" t="str">
        <f>IF($K459&lt;&gt;0,VLOOKUP($K459,DM_KM,5,0),"")</f>
        <v>#N/A</v>
      </c>
      <c r="K459" s="735" t="s">
        <v>272</v>
      </c>
      <c r="L459" s="735"/>
      <c r="M459" s="68"/>
      <c r="N459" s="738">
        <v>6666000.0</v>
      </c>
      <c r="O459" s="737" t="s">
        <v>2227</v>
      </c>
      <c r="P459" s="751"/>
    </row>
    <row r="460" hidden="1">
      <c r="A460" s="1186">
        <v>44835.0</v>
      </c>
      <c r="B460" s="52" t="str">
        <f t="shared" si="1"/>
        <v>10/2022</v>
      </c>
      <c r="C460" s="52" t="str">
        <f>IF(A460="","",VLOOKUP(A460,'THAM CHIẾU'!$A:$B,2,0))</f>
        <v>#N/A</v>
      </c>
      <c r="D460" s="52" t="str">
        <f>IF(E460&lt;&gt;0,VLOOKUP(E460,DM_DUAN,3,0),"")</f>
        <v/>
      </c>
      <c r="E460" s="735"/>
      <c r="F460" s="735"/>
      <c r="G460" s="735"/>
      <c r="H460" s="70"/>
      <c r="I460" s="52" t="str">
        <f>IF($K460&lt;&gt;0,VLOOKUP($K460,DM_KM,3,0),"")</f>
        <v>#N/A</v>
      </c>
      <c r="J460" s="52" t="str">
        <f>IF($K460&lt;&gt;0,VLOOKUP($K460,DM_KM,5,0),"")</f>
        <v>#N/A</v>
      </c>
      <c r="K460" s="735" t="s">
        <v>380</v>
      </c>
      <c r="L460" s="735"/>
      <c r="M460" s="68"/>
      <c r="N460" s="738">
        <v>833000.0</v>
      </c>
      <c r="O460" s="1188" t="s">
        <v>2228</v>
      </c>
      <c r="P460" s="751"/>
    </row>
    <row r="461" hidden="1">
      <c r="A461" s="1186">
        <v>44835.0</v>
      </c>
      <c r="B461" s="52" t="str">
        <f t="shared" si="1"/>
        <v>10/2022</v>
      </c>
      <c r="C461" s="52" t="str">
        <f>IF(A461="","",VLOOKUP(A461,'THAM CHIẾU'!$A:$B,2,0))</f>
        <v>#N/A</v>
      </c>
      <c r="D461" s="52" t="str">
        <f>IF(E461&lt;&gt;0,VLOOKUP(E461,DM_DUAN,3,0),"")</f>
        <v/>
      </c>
      <c r="E461" s="735"/>
      <c r="F461" s="735"/>
      <c r="G461" s="735"/>
      <c r="H461" s="70"/>
      <c r="I461" s="52" t="str">
        <f>IF($K461&lt;&gt;0,VLOOKUP($K461,DM_KM,3,0),"")</f>
        <v>#N/A</v>
      </c>
      <c r="J461" s="52" t="str">
        <f>IF($K461&lt;&gt;0,VLOOKUP($K461,DM_KM,5,0),"")</f>
        <v>#N/A</v>
      </c>
      <c r="K461" s="735" t="s">
        <v>222</v>
      </c>
      <c r="L461" s="735"/>
      <c r="M461" s="68"/>
      <c r="N461" s="738">
        <v>416000.0</v>
      </c>
      <c r="O461" s="737" t="s">
        <v>2229</v>
      </c>
      <c r="P461" s="751"/>
    </row>
    <row r="462" hidden="1">
      <c r="A462" s="1186">
        <v>44835.0</v>
      </c>
      <c r="B462" s="52" t="str">
        <f t="shared" si="1"/>
        <v>10/2022</v>
      </c>
      <c r="C462" s="52" t="str">
        <f>IF(A462="","",VLOOKUP(A462,'THAM CHIẾU'!$A:$B,2,0))</f>
        <v>#N/A</v>
      </c>
      <c r="D462" s="52" t="str">
        <f>IF(E462&lt;&gt;0,VLOOKUP(E462,DM_DUAN,3,0),"")</f>
        <v/>
      </c>
      <c r="E462" s="735"/>
      <c r="F462" s="735"/>
      <c r="G462" s="735"/>
      <c r="H462" s="70"/>
      <c r="I462" s="1189" t="str">
        <f>IF($K462&lt;&gt;0,VLOOKUP($K462,DM_KM,3,0),"")</f>
        <v>#N/A</v>
      </c>
      <c r="J462" s="52" t="str">
        <f>IF($K462&lt;&gt;0,VLOOKUP($K462,DM_KM,5,0),"")</f>
        <v>#N/A</v>
      </c>
      <c r="K462" s="1187" t="s">
        <v>267</v>
      </c>
      <c r="L462" s="735"/>
      <c r="M462" s="68"/>
      <c r="N462" s="738">
        <v>3.184E8</v>
      </c>
      <c r="O462" s="1188" t="s">
        <v>2230</v>
      </c>
      <c r="P462" s="751"/>
    </row>
    <row r="463" hidden="1">
      <c r="A463" s="1186">
        <v>44835.0</v>
      </c>
      <c r="B463" s="52" t="str">
        <f t="shared" si="1"/>
        <v>10/2022</v>
      </c>
      <c r="C463" s="52" t="str">
        <f>IF(A463="","",VLOOKUP(A463,'THAM CHIẾU'!$A:$B,2,0))</f>
        <v>#N/A</v>
      </c>
      <c r="D463" s="52" t="str">
        <f>IF(E463&lt;&gt;0,VLOOKUP(E463,DM_DUAN,3,0),"")</f>
        <v/>
      </c>
      <c r="E463" s="735"/>
      <c r="F463" s="735"/>
      <c r="G463" s="735"/>
      <c r="H463" s="70"/>
      <c r="I463" s="52" t="str">
        <f>IF($K463&lt;&gt;0,VLOOKUP($K463,DM_KM,3,0),"")</f>
        <v>THUEVP</v>
      </c>
      <c r="J463" s="52">
        <f>IF($K463&lt;&gt;0,VLOOKUP($K463,DM_KM,5,0),"")</f>
        <v>642</v>
      </c>
      <c r="K463" s="735" t="s">
        <v>270</v>
      </c>
      <c r="L463" s="735"/>
      <c r="M463" s="68"/>
      <c r="N463" s="738">
        <v>4.5143E7</v>
      </c>
      <c r="O463" s="1188" t="s">
        <v>2231</v>
      </c>
      <c r="P463" s="751"/>
    </row>
    <row r="464" hidden="1">
      <c r="A464" s="1186">
        <v>44835.0</v>
      </c>
      <c r="B464" s="52" t="str">
        <f t="shared" si="1"/>
        <v>10/2022</v>
      </c>
      <c r="C464" s="52" t="str">
        <f>IF(A464="","",VLOOKUP(A464,'THAM CHIẾU'!$A:$B,2,0))</f>
        <v>#N/A</v>
      </c>
      <c r="D464" s="52" t="str">
        <f>IF(E464&lt;&gt;0,VLOOKUP(E464,DM_DUAN,3,0),"")</f>
        <v/>
      </c>
      <c r="E464" s="735"/>
      <c r="F464" s="735"/>
      <c r="G464" s="735"/>
      <c r="H464" s="70"/>
      <c r="I464" s="52" t="str">
        <f>IF($K464&lt;&gt;0,VLOOKUP($K464,DM_KM,3,0),"")</f>
        <v>#N/A</v>
      </c>
      <c r="J464" s="52" t="str">
        <f>IF($K464&lt;&gt;0,VLOOKUP($K464,DM_KM,5,0),"")</f>
        <v>#N/A</v>
      </c>
      <c r="K464" s="735" t="s">
        <v>410</v>
      </c>
      <c r="L464" s="735"/>
      <c r="M464" s="68"/>
      <c r="N464" s="738">
        <v>1250000.0</v>
      </c>
      <c r="O464" s="737" t="s">
        <v>410</v>
      </c>
      <c r="P464" s="751"/>
    </row>
    <row r="465" hidden="1">
      <c r="A465" s="1186">
        <v>44835.0</v>
      </c>
      <c r="B465" s="52" t="str">
        <f t="shared" si="1"/>
        <v>10/2022</v>
      </c>
      <c r="C465" s="52" t="str">
        <f>IF(A465="","",VLOOKUP(A465,'THAM CHIẾU'!$A:$B,2,0))</f>
        <v>#N/A</v>
      </c>
      <c r="D465" s="52" t="str">
        <f>IF(E465&lt;&gt;0,VLOOKUP(E465,DM_DUAN,3,0),"")</f>
        <v/>
      </c>
      <c r="E465" s="735"/>
      <c r="F465" s="735"/>
      <c r="G465" s="735"/>
      <c r="H465" s="70"/>
      <c r="I465" s="52" t="str">
        <f>IF($K465&lt;&gt;0,VLOOKUP($K465,DM_KM,3,0),"")</f>
        <v>#N/A</v>
      </c>
      <c r="J465" s="52" t="str">
        <f>IF($K465&lt;&gt;0,VLOOKUP($K465,DM_KM,5,0),"")</f>
        <v>#N/A</v>
      </c>
      <c r="K465" s="1187" t="s">
        <v>252</v>
      </c>
      <c r="L465" s="735"/>
      <c r="M465" s="68"/>
      <c r="N465" s="738">
        <v>1.6666E7</v>
      </c>
      <c r="O465" s="1188" t="s">
        <v>2232</v>
      </c>
      <c r="P465" s="751"/>
    </row>
    <row r="466" hidden="1">
      <c r="A466" s="1186">
        <v>44835.0</v>
      </c>
      <c r="B466" s="52" t="str">
        <f t="shared" si="1"/>
        <v>10/2022</v>
      </c>
      <c r="C466" s="52" t="str">
        <f>IF(A466="","",VLOOKUP(A466,'THAM CHIẾU'!$A:$B,2,0))</f>
        <v>#N/A</v>
      </c>
      <c r="D466" s="52" t="str">
        <f>IF(E466&lt;&gt;0,VLOOKUP(E466,DM_DUAN,3,0),"")</f>
        <v/>
      </c>
      <c r="E466" s="735"/>
      <c r="F466" s="735"/>
      <c r="G466" s="735"/>
      <c r="H466" s="70"/>
      <c r="I466" s="52" t="str">
        <f>IF($K466&lt;&gt;0,VLOOKUP($K466,DM_KM,3,0),"")</f>
        <v>#N/A</v>
      </c>
      <c r="J466" s="52" t="str">
        <f>IF($K466&lt;&gt;0,VLOOKUP($K466,DM_KM,5,0),"")</f>
        <v>#N/A</v>
      </c>
      <c r="K466" s="735" t="s">
        <v>380</v>
      </c>
      <c r="L466" s="735"/>
      <c r="M466" s="68"/>
      <c r="N466" s="738">
        <v>1666000.0</v>
      </c>
      <c r="O466" s="1188" t="s">
        <v>2233</v>
      </c>
      <c r="P466" s="751"/>
    </row>
    <row r="467" hidden="1">
      <c r="A467" s="1186">
        <v>44835.0</v>
      </c>
      <c r="B467" s="52" t="str">
        <f t="shared" si="1"/>
        <v>10/2022</v>
      </c>
      <c r="C467" s="52" t="str">
        <f>IF(A467="","",VLOOKUP(A467,'THAM CHIẾU'!$A:$B,2,0))</f>
        <v>#N/A</v>
      </c>
      <c r="D467" s="52" t="str">
        <f>IF(E467&lt;&gt;0,VLOOKUP(E467,DM_DUAN,3,0),"")</f>
        <v/>
      </c>
      <c r="E467" s="735"/>
      <c r="F467" s="735"/>
      <c r="G467" s="735"/>
      <c r="H467" s="70"/>
      <c r="I467" s="52" t="str">
        <f>IF($K467&lt;&gt;0,VLOOKUP($K467,DM_KM,3,0),"")</f>
        <v>#N/A</v>
      </c>
      <c r="J467" s="52" t="str">
        <f>IF($K467&lt;&gt;0,VLOOKUP($K467,DM_KM,5,0),"")</f>
        <v>#N/A</v>
      </c>
      <c r="K467" s="1187" t="s">
        <v>206</v>
      </c>
      <c r="L467" s="735"/>
      <c r="M467" s="68"/>
      <c r="N467" s="738">
        <v>1703000.0</v>
      </c>
      <c r="O467" s="1188" t="s">
        <v>206</v>
      </c>
      <c r="P467" s="751"/>
    </row>
    <row r="468" hidden="1">
      <c r="A468" s="1186">
        <v>44835.0</v>
      </c>
      <c r="B468" s="52" t="str">
        <f t="shared" si="1"/>
        <v>10/2022</v>
      </c>
      <c r="C468" s="52" t="str">
        <f>IF(A468="","",VLOOKUP(A468,'THAM CHIẾU'!$A:$B,2,0))</f>
        <v>#N/A</v>
      </c>
      <c r="D468" s="52" t="str">
        <f>IF(E468&lt;&gt;0,VLOOKUP(E468,DM_DUAN,3,0),"")</f>
        <v/>
      </c>
      <c r="E468" s="735"/>
      <c r="F468" s="735"/>
      <c r="G468" s="735"/>
      <c r="H468" s="70"/>
      <c r="I468" s="52" t="str">
        <f>IF($K468&lt;&gt;0,VLOOKUP($K468,DM_KM,3,0),"")</f>
        <v>#N/A</v>
      </c>
      <c r="J468" s="52" t="str">
        <f>IF($K468&lt;&gt;0,VLOOKUP($K468,DM_KM,5,0),"")</f>
        <v>#N/A</v>
      </c>
      <c r="K468" s="1187" t="s">
        <v>226</v>
      </c>
      <c r="L468" s="735"/>
      <c r="M468" s="68"/>
      <c r="N468" s="738">
        <v>1250000.0</v>
      </c>
      <c r="O468" s="1188" t="s">
        <v>2234</v>
      </c>
      <c r="P468" s="751"/>
    </row>
    <row r="469" hidden="1">
      <c r="A469" s="1186">
        <v>44835.0</v>
      </c>
      <c r="B469" s="52" t="str">
        <f t="shared" si="1"/>
        <v>10/2022</v>
      </c>
      <c r="C469" s="52" t="str">
        <f>IF(A469="","",VLOOKUP(A469,'THAM CHIẾU'!$A:$B,2,0))</f>
        <v>#N/A</v>
      </c>
      <c r="D469" s="52" t="str">
        <f>IF(E469&lt;&gt;0,VLOOKUP(E469,DM_DUAN,3,0),"")</f>
        <v/>
      </c>
      <c r="E469" s="735"/>
      <c r="F469" s="735"/>
      <c r="G469" s="735"/>
      <c r="H469" s="70"/>
      <c r="I469" s="52" t="str">
        <f>IF($K469&lt;&gt;0,VLOOKUP($K469,DM_KM,3,0),"")</f>
        <v>#N/A</v>
      </c>
      <c r="J469" s="52" t="str">
        <f>IF($K469&lt;&gt;0,VLOOKUP($K469,DM_KM,5,0),"")</f>
        <v>#N/A</v>
      </c>
      <c r="K469" s="735" t="s">
        <v>174</v>
      </c>
      <c r="L469" s="735"/>
      <c r="M469" s="68"/>
      <c r="N469" s="738">
        <v>4.0861E7</v>
      </c>
      <c r="O469" s="737" t="s">
        <v>2235</v>
      </c>
      <c r="P469" s="751"/>
    </row>
    <row r="470" hidden="1">
      <c r="A470" s="1186">
        <v>44835.0</v>
      </c>
      <c r="B470" s="52" t="str">
        <f t="shared" si="1"/>
        <v>10/2022</v>
      </c>
      <c r="C470" s="52" t="str">
        <f>IF(A470="","",VLOOKUP(A470,'THAM CHIẾU'!$A:$B,2,0))</f>
        <v>#N/A</v>
      </c>
      <c r="D470" s="52" t="str">
        <f>IF(E470&lt;&gt;0,VLOOKUP(E470,DM_DUAN,3,0),"")</f>
        <v/>
      </c>
      <c r="E470" s="735"/>
      <c r="F470" s="735"/>
      <c r="G470" s="735"/>
      <c r="H470" s="70"/>
      <c r="I470" s="52" t="str">
        <f>IF($K470&lt;&gt;0,VLOOKUP($K470,DM_KM,3,0),"")</f>
        <v>#N/A</v>
      </c>
      <c r="J470" s="52" t="str">
        <f>IF($K470&lt;&gt;0,VLOOKUP($K470,DM_KM,5,0),"")</f>
        <v>#N/A</v>
      </c>
      <c r="K470" s="735" t="s">
        <v>2236</v>
      </c>
      <c r="L470" s="735"/>
      <c r="M470" s="68"/>
      <c r="N470" s="738">
        <v>1666000.0</v>
      </c>
      <c r="O470" s="1188" t="s">
        <v>2237</v>
      </c>
      <c r="P470" s="751"/>
    </row>
    <row r="471" hidden="1">
      <c r="A471" s="1186">
        <v>44835.0</v>
      </c>
      <c r="B471" s="52" t="str">
        <f t="shared" si="1"/>
        <v>10/2022</v>
      </c>
      <c r="C471" s="52" t="str">
        <f>IF(A471="","",VLOOKUP(A471,'THAM CHIẾU'!$A:$B,2,0))</f>
        <v>#N/A</v>
      </c>
      <c r="D471" s="52" t="str">
        <f>IF(E471&lt;&gt;0,VLOOKUP(E471,DM_DUAN,3,0),"")</f>
        <v/>
      </c>
      <c r="E471" s="735"/>
      <c r="F471" s="735"/>
      <c r="G471" s="735"/>
      <c r="H471" s="70"/>
      <c r="I471" s="52" t="str">
        <f>IF($K471&lt;&gt;0,VLOOKUP($K471,DM_KM,3,0),"")</f>
        <v/>
      </c>
      <c r="J471" s="52" t="str">
        <f>IF($K471&lt;&gt;0,VLOOKUP($K471,DM_KM,5,0),"")</f>
        <v/>
      </c>
      <c r="K471" s="735"/>
      <c r="L471" s="735"/>
      <c r="M471" s="68"/>
      <c r="N471" s="738"/>
      <c r="O471" s="1188"/>
      <c r="P471" s="751"/>
    </row>
    <row r="472" hidden="1">
      <c r="A472" s="1186">
        <v>44835.0</v>
      </c>
      <c r="B472" s="52" t="str">
        <f t="shared" si="1"/>
        <v>10/2022</v>
      </c>
      <c r="C472" s="52" t="str">
        <f>IF(A472="","",VLOOKUP(A472,'THAM CHIẾU'!$A:$B,2,0))</f>
        <v>#N/A</v>
      </c>
      <c r="D472" s="52" t="str">
        <f>IF(E472&lt;&gt;0,VLOOKUP(E472,DM_DUAN,3,0),"")</f>
        <v/>
      </c>
      <c r="E472" s="735"/>
      <c r="F472" s="735"/>
      <c r="G472" s="735"/>
      <c r="H472" s="70"/>
      <c r="I472" s="52" t="str">
        <f>IF($K472&lt;&gt;0,VLOOKUP($K472,DM_KM,3,0),"")</f>
        <v>#N/A</v>
      </c>
      <c r="J472" s="52" t="str">
        <f>IF($K472&lt;&gt;0,VLOOKUP($K472,DM_KM,5,0),"")</f>
        <v>#N/A</v>
      </c>
      <c r="K472" s="735" t="s">
        <v>169</v>
      </c>
      <c r="L472" s="735"/>
      <c r="M472" s="68"/>
      <c r="N472" s="738">
        <v>1.0643E7</v>
      </c>
      <c r="O472" s="1188" t="s">
        <v>2240</v>
      </c>
      <c r="P472" s="751"/>
    </row>
    <row r="473" hidden="1">
      <c r="A473" s="1186">
        <v>44835.0</v>
      </c>
      <c r="B473" s="52" t="str">
        <f t="shared" si="1"/>
        <v>10/2022</v>
      </c>
      <c r="C473" s="52" t="str">
        <f>IF(A473="","",VLOOKUP(A473,'THAM CHIẾU'!$A:$B,2,0))</f>
        <v>#N/A</v>
      </c>
      <c r="D473" s="52" t="str">
        <f>IF(E473&lt;&gt;0,VLOOKUP(E473,DM_DUAN,3,0),"")</f>
        <v/>
      </c>
      <c r="E473" s="735"/>
      <c r="F473" s="735"/>
      <c r="G473" s="735"/>
      <c r="H473" s="70"/>
      <c r="I473" s="1189" t="str">
        <f>IF($K473&lt;&gt;0,VLOOKUP($K473,DM_KM,3,0),"")</f>
        <v>#N/A</v>
      </c>
      <c r="J473" s="52" t="str">
        <f>IF($K473&lt;&gt;0,VLOOKUP($K473,DM_KM,5,0),"")</f>
        <v>#N/A</v>
      </c>
      <c r="K473" s="1187" t="s">
        <v>190</v>
      </c>
      <c r="L473" s="735"/>
      <c r="M473" s="68"/>
      <c r="N473" s="738">
        <v>3.9E9</v>
      </c>
      <c r="O473" s="1188" t="s">
        <v>2241</v>
      </c>
      <c r="P473" s="739"/>
    </row>
    <row r="474" hidden="1">
      <c r="A474" s="1186">
        <v>44835.0</v>
      </c>
      <c r="B474" s="52" t="str">
        <f t="shared" si="1"/>
        <v>10/2022</v>
      </c>
      <c r="C474" s="52" t="str">
        <f>IF(A474="","",VLOOKUP(A474,'THAM CHIẾU'!$A:$B,2,0))</f>
        <v>#N/A</v>
      </c>
      <c r="D474" s="52" t="str">
        <f>IF(E474&lt;&gt;0,VLOOKUP(E474,DM_DUAN,3,0),"")</f>
        <v/>
      </c>
      <c r="E474" s="735"/>
      <c r="F474" s="735"/>
      <c r="G474" s="735"/>
      <c r="H474" s="70"/>
      <c r="I474" s="1189" t="str">
        <f>IF($K474&lt;&gt;0,VLOOKUP($K474,DM_KM,3,0),"")</f>
        <v>#N/A</v>
      </c>
      <c r="J474" s="52" t="str">
        <f>IF($K474&lt;&gt;0,VLOOKUP($K474,DM_KM,5,0),"")</f>
        <v>#N/A</v>
      </c>
      <c r="K474" s="1187" t="s">
        <v>194</v>
      </c>
      <c r="L474" s="735"/>
      <c r="M474" s="68"/>
      <c r="N474" s="738">
        <v>1.04E9</v>
      </c>
      <c r="O474" s="1188" t="s">
        <v>2242</v>
      </c>
      <c r="P474" s="739"/>
    </row>
    <row r="475" hidden="1">
      <c r="A475" s="1186">
        <v>44835.0</v>
      </c>
      <c r="B475" s="52" t="str">
        <f t="shared" si="1"/>
        <v>10/2022</v>
      </c>
      <c r="C475" s="52" t="str">
        <f>IF(A475="","",VLOOKUP(A475,'THAM CHIẾU'!$A:$B,2,0))</f>
        <v>#N/A</v>
      </c>
      <c r="D475" s="52" t="str">
        <f>IF(E475&lt;&gt;0,VLOOKUP(E475,DM_DUAN,3,0),"")</f>
        <v/>
      </c>
      <c r="E475" s="735"/>
      <c r="F475" s="735"/>
      <c r="G475" s="735"/>
      <c r="H475" s="70"/>
      <c r="I475" s="52" t="str">
        <f>IF($K475&lt;&gt;0,VLOOKUP($K475,DM_KM,3,0),"")</f>
        <v>#N/A</v>
      </c>
      <c r="J475" s="52" t="str">
        <f>IF($K475&lt;&gt;0,VLOOKUP($K475,DM_KM,5,0),"")</f>
        <v>#N/A</v>
      </c>
      <c r="K475" s="1187" t="s">
        <v>1170</v>
      </c>
      <c r="L475" s="735"/>
      <c r="M475" s="68"/>
      <c r="N475" s="738">
        <v>1.3E8</v>
      </c>
      <c r="O475" s="1188" t="s">
        <v>1474</v>
      </c>
      <c r="P475" s="751"/>
    </row>
    <row r="476" hidden="1">
      <c r="A476" s="1186">
        <v>44835.0</v>
      </c>
      <c r="B476" s="52" t="str">
        <f t="shared" si="1"/>
        <v>10/2022</v>
      </c>
      <c r="C476" s="52" t="str">
        <f>IF(A476="","",VLOOKUP(A476,'THAM CHIẾU'!$A:$B,2,0))</f>
        <v>#N/A</v>
      </c>
      <c r="D476" s="52" t="str">
        <f>IF(E476&lt;&gt;0,VLOOKUP(E476,DM_DUAN,3,0),"")</f>
        <v/>
      </c>
      <c r="E476" s="735"/>
      <c r="F476" s="735"/>
      <c r="G476" s="735"/>
      <c r="H476" s="70"/>
      <c r="I476" s="52" t="str">
        <f>IF($K476&lt;&gt;0,VLOOKUP($K476,DM_KM,3,0),"")</f>
        <v>#N/A</v>
      </c>
      <c r="J476" s="52" t="str">
        <f>IF($K476&lt;&gt;0,VLOOKUP($K476,DM_KM,5,0),"")</f>
        <v>#N/A</v>
      </c>
      <c r="K476" s="735" t="s">
        <v>1142</v>
      </c>
      <c r="L476" s="735"/>
      <c r="M476" s="68"/>
      <c r="N476" s="738">
        <v>1.248E9</v>
      </c>
      <c r="O476" s="737" t="s">
        <v>2244</v>
      </c>
      <c r="P476" s="751"/>
    </row>
    <row r="477" hidden="1">
      <c r="A477" s="1186">
        <v>44835.0</v>
      </c>
      <c r="B477" s="52" t="str">
        <f t="shared" si="1"/>
        <v>10/2022</v>
      </c>
      <c r="C477" s="52" t="str">
        <f>IF(A477="","",VLOOKUP(A477,'THAM CHIẾU'!$A:$B,2,0))</f>
        <v>#N/A</v>
      </c>
      <c r="D477" s="52" t="str">
        <f>IF(E477&lt;&gt;0,VLOOKUP(E477,DM_DUAN,3,0),"")</f>
        <v/>
      </c>
      <c r="E477" s="735"/>
      <c r="F477" s="735"/>
      <c r="G477" s="735"/>
      <c r="H477" s="70"/>
      <c r="I477" s="1189" t="str">
        <f>IF($K477&lt;&gt;0,VLOOKUP($K477,DM_KM,3,0),"")</f>
        <v>#N/A</v>
      </c>
      <c r="J477" s="52" t="str">
        <f>IF($K477&lt;&gt;0,VLOOKUP($K477,DM_KM,5,0),"")</f>
        <v>#N/A</v>
      </c>
      <c r="K477" s="1187" t="s">
        <v>181</v>
      </c>
      <c r="L477" s="735"/>
      <c r="M477" s="68"/>
      <c r="N477" s="738">
        <v>1.3E9</v>
      </c>
      <c r="O477" s="1188" t="s">
        <v>2245</v>
      </c>
      <c r="P477" s="751"/>
    </row>
    <row r="478" hidden="1">
      <c r="A478" s="1186">
        <v>44835.0</v>
      </c>
      <c r="B478" s="52" t="str">
        <f t="shared" si="1"/>
        <v>10/2022</v>
      </c>
      <c r="C478" s="52" t="str">
        <f>IF(A478="","",VLOOKUP(A478,'THAM CHIẾU'!$A:$B,2,0))</f>
        <v>#N/A</v>
      </c>
      <c r="D478" s="52" t="str">
        <f>IF(E478&lt;&gt;0,VLOOKUP(E478,DM_DUAN,3,0),"")</f>
        <v/>
      </c>
      <c r="E478" s="735"/>
      <c r="F478" s="735"/>
      <c r="G478" s="735"/>
      <c r="H478" s="70"/>
      <c r="I478" s="52" t="str">
        <f>IF($K478&lt;&gt;0,VLOOKUP($K478,DM_KM,3,0),"")</f>
        <v>#N/A</v>
      </c>
      <c r="J478" s="52" t="str">
        <f>IF($K478&lt;&gt;0,VLOOKUP($K478,DM_KM,5,0),"")</f>
        <v>#N/A</v>
      </c>
      <c r="K478" s="735" t="s">
        <v>2243</v>
      </c>
      <c r="L478" s="735"/>
      <c r="M478" s="68"/>
      <c r="N478" s="738">
        <v>3.9E7</v>
      </c>
      <c r="O478" s="737" t="s">
        <v>2246</v>
      </c>
      <c r="P478" s="751"/>
    </row>
    <row r="479" hidden="1">
      <c r="A479" s="1190"/>
      <c r="B479" s="52" t="str">
        <f t="shared" si="1"/>
        <v/>
      </c>
      <c r="C479" s="52" t="str">
        <f>IF(A479="","",VLOOKUP(A479,'THAM CHIẾU'!$A:$B,2,0))</f>
        <v/>
      </c>
      <c r="D479" s="52" t="str">
        <f>IF(E479&lt;&gt;0,VLOOKUP(E479,DM_DUAN,3,0),"")</f>
        <v/>
      </c>
      <c r="E479" s="735"/>
      <c r="F479" s="735"/>
      <c r="G479" s="735"/>
      <c r="H479" s="70"/>
      <c r="I479" s="52" t="str">
        <f>IF($K479&lt;&gt;0,VLOOKUP($K479,DM_KM,3,0),"")</f>
        <v/>
      </c>
      <c r="J479" s="52" t="str">
        <f>IF($K479&lt;&gt;0,VLOOKUP($K479,DM_KM,5,0),"")</f>
        <v/>
      </c>
      <c r="K479" s="735"/>
      <c r="L479" s="735"/>
      <c r="M479" s="68"/>
      <c r="N479" s="738">
        <v>0.0</v>
      </c>
      <c r="O479" s="737"/>
      <c r="P479" s="751"/>
    </row>
    <row r="480" hidden="1">
      <c r="A480" s="1190"/>
      <c r="B480" s="52" t="str">
        <f t="shared" si="1"/>
        <v/>
      </c>
      <c r="C480" s="52" t="str">
        <f>IF(A480="","",VLOOKUP(A480,'THAM CHIẾU'!$A:$B,2,0))</f>
        <v/>
      </c>
      <c r="D480" s="52" t="str">
        <f>IF(E480&lt;&gt;0,VLOOKUP(E480,DM_DUAN,3,0),"")</f>
        <v/>
      </c>
      <c r="E480" s="735"/>
      <c r="F480" s="735"/>
      <c r="G480" s="735"/>
      <c r="H480" s="70"/>
      <c r="I480" s="52" t="str">
        <f>IF($K480&lt;&gt;0,VLOOKUP($K480,DM_KM,3,0),"")</f>
        <v/>
      </c>
      <c r="J480" s="52" t="str">
        <f>IF($K480&lt;&gt;0,VLOOKUP($K480,DM_KM,5,0),"")</f>
        <v/>
      </c>
      <c r="K480" s="735"/>
      <c r="L480" s="735"/>
      <c r="M480" s="68"/>
      <c r="N480" s="738">
        <v>0.0</v>
      </c>
      <c r="O480" s="737"/>
      <c r="P480" s="751"/>
    </row>
    <row r="481" hidden="1">
      <c r="A481" s="1190"/>
      <c r="B481" s="52" t="str">
        <f t="shared" si="1"/>
        <v/>
      </c>
      <c r="C481" s="52" t="str">
        <f>IF(A481="","",VLOOKUP(A481,'THAM CHIẾU'!$A:$B,2,0))</f>
        <v/>
      </c>
      <c r="D481" s="52" t="str">
        <f>IF(E481&lt;&gt;0,VLOOKUP(E481,DM_DUAN,3,0),"")</f>
        <v/>
      </c>
      <c r="E481" s="735"/>
      <c r="F481" s="735"/>
      <c r="G481" s="735"/>
      <c r="H481" s="70"/>
      <c r="I481" s="52" t="str">
        <f>IF($K481&lt;&gt;0,VLOOKUP($K481,DM_KM,3,0),"")</f>
        <v/>
      </c>
      <c r="J481" s="52" t="str">
        <f>IF($K481&lt;&gt;0,VLOOKUP($K481,DM_KM,5,0),"")</f>
        <v/>
      </c>
      <c r="K481" s="735"/>
      <c r="L481" s="735"/>
      <c r="M481" s="68"/>
      <c r="N481" s="738">
        <v>0.0</v>
      </c>
      <c r="O481" s="737"/>
      <c r="P481" s="751"/>
    </row>
    <row r="482" hidden="1">
      <c r="A482" s="1186">
        <v>44866.0</v>
      </c>
      <c r="B482" s="52" t="str">
        <f t="shared" si="1"/>
        <v>11/2022</v>
      </c>
      <c r="C482" s="52" t="str">
        <f>IF(A482="","",VLOOKUP(A482,'THAM CHIẾU'!$A:$B,2,0))</f>
        <v>#N/A</v>
      </c>
      <c r="D482" s="52" t="str">
        <f>IF(E482&lt;&gt;0,VLOOKUP(E482,DM_DUAN,3,0),"")</f>
        <v/>
      </c>
      <c r="E482" s="735"/>
      <c r="F482" s="735"/>
      <c r="G482" s="735" t="s">
        <v>207</v>
      </c>
      <c r="H482" s="70"/>
      <c r="I482" s="52" t="str">
        <f>IF($K482&lt;&gt;0,VLOOKUP($K482,DM_KM,3,0),"")</f>
        <v>#N/A</v>
      </c>
      <c r="J482" s="52" t="str">
        <f>IF($K482&lt;&gt;0,VLOOKUP($K482,DM_KM,5,0),"")</f>
        <v>#N/A</v>
      </c>
      <c r="K482" s="735" t="s">
        <v>2215</v>
      </c>
      <c r="L482" s="735"/>
      <c r="M482" s="68"/>
      <c r="N482" s="738">
        <v>43000.0</v>
      </c>
      <c r="O482" s="737" t="s">
        <v>2216</v>
      </c>
      <c r="P482" s="751"/>
    </row>
    <row r="483" hidden="1">
      <c r="A483" s="1186">
        <v>44866.0</v>
      </c>
      <c r="B483" s="52" t="str">
        <f t="shared" si="1"/>
        <v>11/2022</v>
      </c>
      <c r="C483" s="52" t="str">
        <f>IF(A483="","",VLOOKUP(A483,'THAM CHIẾU'!$A:$B,2,0))</f>
        <v>#N/A</v>
      </c>
      <c r="D483" s="52" t="str">
        <f>IF(E483&lt;&gt;0,VLOOKUP(E483,DM_DUAN,3,0),"")</f>
        <v/>
      </c>
      <c r="E483" s="735"/>
      <c r="F483" s="735"/>
      <c r="G483" s="735"/>
      <c r="H483" s="70"/>
      <c r="I483" s="52" t="str">
        <f>IF($K483&lt;&gt;0,VLOOKUP($K483,DM_KM,3,0),"")</f>
        <v>#N/A</v>
      </c>
      <c r="J483" s="52" t="str">
        <f>IF($K483&lt;&gt;0,VLOOKUP($K483,DM_KM,5,0),"")</f>
        <v>#N/A</v>
      </c>
      <c r="K483" s="1187" t="s">
        <v>419</v>
      </c>
      <c r="L483" s="735"/>
      <c r="M483" s="68"/>
      <c r="N483" s="738">
        <v>166000.0</v>
      </c>
      <c r="O483" s="1188" t="s">
        <v>2217</v>
      </c>
      <c r="P483" s="751"/>
    </row>
    <row r="484" hidden="1">
      <c r="A484" s="1186">
        <v>44866.0</v>
      </c>
      <c r="B484" s="52" t="str">
        <f t="shared" si="1"/>
        <v>11/2022</v>
      </c>
      <c r="C484" s="52" t="str">
        <f>IF(A484="","",VLOOKUP(A484,'THAM CHIẾU'!$A:$B,2,0))</f>
        <v>#N/A</v>
      </c>
      <c r="D484" s="52" t="str">
        <f>IF(E484&lt;&gt;0,VLOOKUP(E484,DM_DUAN,3,0),"")</f>
        <v/>
      </c>
      <c r="E484" s="735"/>
      <c r="F484" s="735"/>
      <c r="G484" s="735"/>
      <c r="H484" s="70"/>
      <c r="I484" s="52" t="str">
        <f>IF($K484&lt;&gt;0,VLOOKUP($K484,DM_KM,3,0),"")</f>
        <v>#N/A</v>
      </c>
      <c r="J484" s="52" t="str">
        <f>IF($K484&lt;&gt;0,VLOOKUP($K484,DM_KM,5,0),"")</f>
        <v>#N/A</v>
      </c>
      <c r="K484" s="735" t="s">
        <v>573</v>
      </c>
      <c r="L484" s="735"/>
      <c r="M484" s="68"/>
      <c r="N484" s="738">
        <v>250000.0</v>
      </c>
      <c r="O484" s="1188" t="s">
        <v>2218</v>
      </c>
      <c r="P484" s="751"/>
    </row>
    <row r="485" hidden="1">
      <c r="A485" s="1186">
        <v>44866.0</v>
      </c>
      <c r="B485" s="52" t="str">
        <f t="shared" si="1"/>
        <v>11/2022</v>
      </c>
      <c r="C485" s="52" t="str">
        <f>IF(A485="","",VLOOKUP(A485,'THAM CHIẾU'!$A:$B,2,0))</f>
        <v>#N/A</v>
      </c>
      <c r="D485" s="52" t="str">
        <f>IF(E485&lt;&gt;0,VLOOKUP(E485,DM_DUAN,3,0),"")</f>
        <v/>
      </c>
      <c r="E485" s="735"/>
      <c r="F485" s="735"/>
      <c r="G485" s="735"/>
      <c r="H485" s="70"/>
      <c r="I485" s="1189" t="str">
        <f>IF($K485&lt;&gt;0,VLOOKUP($K485,DM_KM,3,0),"")</f>
        <v>#N/A</v>
      </c>
      <c r="J485" s="52" t="str">
        <f>IF($K485&lt;&gt;0,VLOOKUP($K485,DM_KM,5,0),"")</f>
        <v>#N/A</v>
      </c>
      <c r="K485" s="735" t="s">
        <v>1273</v>
      </c>
      <c r="L485" s="735"/>
      <c r="M485" s="68"/>
      <c r="N485" s="738">
        <v>328000.0</v>
      </c>
      <c r="O485" s="737" t="s">
        <v>1273</v>
      </c>
      <c r="P485" s="751"/>
    </row>
    <row r="486" hidden="1">
      <c r="A486" s="1186">
        <v>44866.0</v>
      </c>
      <c r="B486" s="52" t="str">
        <f t="shared" si="1"/>
        <v>11/2022</v>
      </c>
      <c r="C486" s="52" t="str">
        <f>IF(A486="","",VLOOKUP(A486,'THAM CHIẾU'!$A:$B,2,0))</f>
        <v>#N/A</v>
      </c>
      <c r="D486" s="52" t="str">
        <f>IF(E486&lt;&gt;0,VLOOKUP(E486,DM_DUAN,3,0),"")</f>
        <v/>
      </c>
      <c r="E486" s="735"/>
      <c r="F486" s="735"/>
      <c r="G486" s="735"/>
      <c r="H486" s="70"/>
      <c r="I486" s="52" t="str">
        <f>IF($K486&lt;&gt;0,VLOOKUP($K486,DM_KM,3,0),"")</f>
        <v>VHVP</v>
      </c>
      <c r="J486" s="52">
        <f>IF($K486&lt;&gt;0,VLOOKUP($K486,DM_KM,5,0),"")</f>
        <v>642</v>
      </c>
      <c r="K486" s="735" t="s">
        <v>1153</v>
      </c>
      <c r="L486" s="735"/>
      <c r="M486" s="68"/>
      <c r="N486" s="738">
        <v>8333000.0</v>
      </c>
      <c r="O486" s="737" t="s">
        <v>2219</v>
      </c>
      <c r="P486" s="751"/>
    </row>
    <row r="487" hidden="1">
      <c r="A487" s="1186">
        <v>44866.0</v>
      </c>
      <c r="B487" s="52" t="str">
        <f t="shared" si="1"/>
        <v>11/2022</v>
      </c>
      <c r="C487" s="52" t="str">
        <f>IF(A487="","",VLOOKUP(A487,'THAM CHIẾU'!$A:$B,2,0))</f>
        <v>#N/A</v>
      </c>
      <c r="D487" s="52" t="str">
        <f>IF(E487&lt;&gt;0,VLOOKUP(E487,DM_DUAN,3,0),"")</f>
        <v/>
      </c>
      <c r="E487" s="735"/>
      <c r="F487" s="735"/>
      <c r="G487" s="735"/>
      <c r="H487" s="70"/>
      <c r="I487" s="52" t="str">
        <f>IF($K487&lt;&gt;0,VLOOKUP($K487,DM_KM,3,0),"")</f>
        <v>#N/A</v>
      </c>
      <c r="J487" s="52" t="str">
        <f>IF($K487&lt;&gt;0,VLOOKUP($K487,DM_KM,5,0),"")</f>
        <v>#N/A</v>
      </c>
      <c r="K487" s="735" t="s">
        <v>2220</v>
      </c>
      <c r="L487" s="735"/>
      <c r="M487" s="68"/>
      <c r="N487" s="738">
        <v>416000.0</v>
      </c>
      <c r="O487" s="737" t="s">
        <v>2221</v>
      </c>
      <c r="P487" s="751"/>
    </row>
    <row r="488" hidden="1">
      <c r="A488" s="1186">
        <v>44866.0</v>
      </c>
      <c r="B488" s="52" t="str">
        <f t="shared" si="1"/>
        <v>11/2022</v>
      </c>
      <c r="C488" s="52" t="str">
        <f>IF(A488="","",VLOOKUP(A488,'THAM CHIẾU'!$A:$B,2,0))</f>
        <v>#N/A</v>
      </c>
      <c r="D488" s="52" t="str">
        <f>IF(E488&lt;&gt;0,VLOOKUP(E488,DM_DUAN,3,0),"")</f>
        <v/>
      </c>
      <c r="E488" s="735"/>
      <c r="F488" s="735"/>
      <c r="G488" s="735"/>
      <c r="H488" s="70"/>
      <c r="I488" s="52" t="str">
        <f>IF($K488&lt;&gt;0,VLOOKUP($K488,DM_KM,3,0),"")</f>
        <v>#N/A</v>
      </c>
      <c r="J488" s="52" t="str">
        <f>IF($K488&lt;&gt;0,VLOOKUP($K488,DM_KM,5,0),"")</f>
        <v>#N/A</v>
      </c>
      <c r="K488" s="735" t="s">
        <v>262</v>
      </c>
      <c r="L488" s="735"/>
      <c r="M488" s="68"/>
      <c r="N488" s="738">
        <v>833000.0</v>
      </c>
      <c r="O488" s="737" t="s">
        <v>2222</v>
      </c>
      <c r="P488" s="751"/>
    </row>
    <row r="489" hidden="1">
      <c r="A489" s="1186">
        <v>44866.0</v>
      </c>
      <c r="B489" s="52" t="str">
        <f t="shared" si="1"/>
        <v>11/2022</v>
      </c>
      <c r="C489" s="52" t="str">
        <f>IF(A489="","",VLOOKUP(A489,'THAM CHIẾU'!$A:$B,2,0))</f>
        <v>#N/A</v>
      </c>
      <c r="D489" s="52" t="str">
        <f>IF(E489&lt;&gt;0,VLOOKUP(E489,DM_DUAN,3,0),"")</f>
        <v/>
      </c>
      <c r="E489" s="735"/>
      <c r="F489" s="735"/>
      <c r="G489" s="735"/>
      <c r="H489" s="70"/>
      <c r="I489" s="52" t="str">
        <f>IF($K489&lt;&gt;0,VLOOKUP($K489,DM_KM,3,0),"")</f>
        <v>#N/A</v>
      </c>
      <c r="J489" s="52" t="str">
        <f>IF($K489&lt;&gt;0,VLOOKUP($K489,DM_KM,5,0),"")</f>
        <v>#N/A</v>
      </c>
      <c r="K489" s="735" t="s">
        <v>2223</v>
      </c>
      <c r="L489" s="735"/>
      <c r="M489" s="68"/>
      <c r="N489" s="738">
        <v>4166000.0</v>
      </c>
      <c r="O489" s="737" t="s">
        <v>2224</v>
      </c>
      <c r="P489" s="751"/>
    </row>
    <row r="490" hidden="1">
      <c r="A490" s="1186">
        <v>44866.0</v>
      </c>
      <c r="B490" s="52" t="str">
        <f t="shared" si="1"/>
        <v>11/2022</v>
      </c>
      <c r="C490" s="52" t="str">
        <f>IF(A490="","",VLOOKUP(A490,'THAM CHIẾU'!$A:$B,2,0))</f>
        <v>#N/A</v>
      </c>
      <c r="D490" s="52" t="str">
        <f>IF(E490&lt;&gt;0,VLOOKUP(E490,DM_DUAN,3,0),"")</f>
        <v/>
      </c>
      <c r="E490" s="735"/>
      <c r="F490" s="735"/>
      <c r="G490" s="735" t="s">
        <v>176</v>
      </c>
      <c r="H490" s="70"/>
      <c r="I490" s="52" t="str">
        <f>IF($K490&lt;&gt;0,VLOOKUP($K490,DM_KM,3,0),"")</f>
        <v>#N/A</v>
      </c>
      <c r="J490" s="52" t="str">
        <f>IF($K490&lt;&gt;0,VLOOKUP($K490,DM_KM,5,0),"")</f>
        <v>#N/A</v>
      </c>
      <c r="K490" s="1187" t="s">
        <v>374</v>
      </c>
      <c r="L490" s="735"/>
      <c r="M490" s="68"/>
      <c r="N490" s="738">
        <v>1666000.0</v>
      </c>
      <c r="O490" s="1188" t="s">
        <v>2225</v>
      </c>
      <c r="P490" s="751"/>
    </row>
    <row r="491" hidden="1">
      <c r="A491" s="1186">
        <v>44866.0</v>
      </c>
      <c r="B491" s="52" t="str">
        <f t="shared" si="1"/>
        <v>11/2022</v>
      </c>
      <c r="C491" s="52" t="str">
        <f>IF(A491="","",VLOOKUP(A491,'THAM CHIẾU'!$A:$B,2,0))</f>
        <v>#N/A</v>
      </c>
      <c r="D491" s="52" t="str">
        <f>IF(E491&lt;&gt;0,VLOOKUP(E491,DM_DUAN,3,0),"")</f>
        <v/>
      </c>
      <c r="E491" s="735"/>
      <c r="F491" s="735"/>
      <c r="G491" s="735"/>
      <c r="H491" s="70"/>
      <c r="I491" s="52" t="str">
        <f>IF($K491&lt;&gt;0,VLOOKUP($K491,DM_KM,3,0),"")</f>
        <v>#N/A</v>
      </c>
      <c r="J491" s="52" t="str">
        <f>IF($K491&lt;&gt;0,VLOOKUP($K491,DM_KM,5,0),"")</f>
        <v>#N/A</v>
      </c>
      <c r="K491" s="735" t="s">
        <v>380</v>
      </c>
      <c r="L491" s="735"/>
      <c r="M491" s="68"/>
      <c r="N491" s="738">
        <v>1666000.0</v>
      </c>
      <c r="O491" s="1188" t="s">
        <v>2226</v>
      </c>
      <c r="P491" s="751"/>
    </row>
    <row r="492" hidden="1">
      <c r="A492" s="1186">
        <v>44866.0</v>
      </c>
      <c r="B492" s="52" t="str">
        <f t="shared" si="1"/>
        <v>11/2022</v>
      </c>
      <c r="C492" s="52" t="str">
        <f>IF(A492="","",VLOOKUP(A492,'THAM CHIẾU'!$A:$B,2,0))</f>
        <v>#N/A</v>
      </c>
      <c r="D492" s="52" t="str">
        <f>IF(E492&lt;&gt;0,VLOOKUP(E492,DM_DUAN,3,0),"")</f>
        <v/>
      </c>
      <c r="E492" s="735"/>
      <c r="F492" s="735"/>
      <c r="G492" s="735"/>
      <c r="H492" s="70"/>
      <c r="I492" s="52" t="str">
        <f>IF($K492&lt;&gt;0,VLOOKUP($K492,DM_KM,3,0),"")</f>
        <v>#N/A</v>
      </c>
      <c r="J492" s="52" t="str">
        <f>IF($K492&lt;&gt;0,VLOOKUP($K492,DM_KM,5,0),"")</f>
        <v>#N/A</v>
      </c>
      <c r="K492" s="735" t="s">
        <v>272</v>
      </c>
      <c r="L492" s="735"/>
      <c r="M492" s="68"/>
      <c r="N492" s="738">
        <v>6666000.0</v>
      </c>
      <c r="O492" s="737" t="s">
        <v>2227</v>
      </c>
      <c r="P492" s="751"/>
    </row>
    <row r="493" hidden="1">
      <c r="A493" s="1186">
        <v>44866.0</v>
      </c>
      <c r="B493" s="52" t="str">
        <f t="shared" si="1"/>
        <v>11/2022</v>
      </c>
      <c r="C493" s="52" t="str">
        <f>IF(A493="","",VLOOKUP(A493,'THAM CHIẾU'!$A:$B,2,0))</f>
        <v>#N/A</v>
      </c>
      <c r="D493" s="52" t="str">
        <f>IF(E493&lt;&gt;0,VLOOKUP(E493,DM_DUAN,3,0),"")</f>
        <v/>
      </c>
      <c r="E493" s="735"/>
      <c r="F493" s="735"/>
      <c r="G493" s="735"/>
      <c r="H493" s="70"/>
      <c r="I493" s="52" t="str">
        <f>IF($K493&lt;&gt;0,VLOOKUP($K493,DM_KM,3,0),"")</f>
        <v>#N/A</v>
      </c>
      <c r="J493" s="52" t="str">
        <f>IF($K493&lt;&gt;0,VLOOKUP($K493,DM_KM,5,0),"")</f>
        <v>#N/A</v>
      </c>
      <c r="K493" s="735" t="s">
        <v>380</v>
      </c>
      <c r="L493" s="735"/>
      <c r="M493" s="68"/>
      <c r="N493" s="738">
        <v>833000.0</v>
      </c>
      <c r="O493" s="1188" t="s">
        <v>2228</v>
      </c>
      <c r="P493" s="751"/>
    </row>
    <row r="494" hidden="1">
      <c r="A494" s="1186">
        <v>44866.0</v>
      </c>
      <c r="B494" s="52" t="str">
        <f t="shared" si="1"/>
        <v>11/2022</v>
      </c>
      <c r="C494" s="52" t="str">
        <f>IF(A494="","",VLOOKUP(A494,'THAM CHIẾU'!$A:$B,2,0))</f>
        <v>#N/A</v>
      </c>
      <c r="D494" s="52" t="str">
        <f>IF(E494&lt;&gt;0,VLOOKUP(E494,DM_DUAN,3,0),"")</f>
        <v/>
      </c>
      <c r="E494" s="735"/>
      <c r="F494" s="735"/>
      <c r="G494" s="735"/>
      <c r="H494" s="70"/>
      <c r="I494" s="52" t="str">
        <f>IF($K494&lt;&gt;0,VLOOKUP($K494,DM_KM,3,0),"")</f>
        <v>#N/A</v>
      </c>
      <c r="J494" s="52" t="str">
        <f>IF($K494&lt;&gt;0,VLOOKUP($K494,DM_KM,5,0),"")</f>
        <v>#N/A</v>
      </c>
      <c r="K494" s="735" t="s">
        <v>222</v>
      </c>
      <c r="L494" s="735"/>
      <c r="M494" s="68"/>
      <c r="N494" s="738">
        <v>416000.0</v>
      </c>
      <c r="O494" s="737" t="s">
        <v>2229</v>
      </c>
      <c r="P494" s="751"/>
    </row>
    <row r="495" hidden="1">
      <c r="A495" s="1186">
        <v>44866.0</v>
      </c>
      <c r="B495" s="52" t="str">
        <f t="shared" si="1"/>
        <v>11/2022</v>
      </c>
      <c r="C495" s="52" t="str">
        <f>IF(A495="","",VLOOKUP(A495,'THAM CHIẾU'!$A:$B,2,0))</f>
        <v>#N/A</v>
      </c>
      <c r="D495" s="52" t="str">
        <f>IF(E495&lt;&gt;0,VLOOKUP(E495,DM_DUAN,3,0),"")</f>
        <v/>
      </c>
      <c r="E495" s="735"/>
      <c r="F495" s="735"/>
      <c r="G495" s="735"/>
      <c r="H495" s="70"/>
      <c r="I495" s="1189" t="str">
        <f>IF($K495&lt;&gt;0,VLOOKUP($K495,DM_KM,3,0),"")</f>
        <v>#N/A</v>
      </c>
      <c r="J495" s="52" t="str">
        <f>IF($K495&lt;&gt;0,VLOOKUP($K495,DM_KM,5,0),"")</f>
        <v>#N/A</v>
      </c>
      <c r="K495" s="1187" t="s">
        <v>267</v>
      </c>
      <c r="L495" s="735"/>
      <c r="M495" s="68"/>
      <c r="N495" s="738">
        <v>3.184E8</v>
      </c>
      <c r="O495" s="1188" t="s">
        <v>2230</v>
      </c>
      <c r="P495" s="751"/>
    </row>
    <row r="496" hidden="1">
      <c r="A496" s="1186">
        <v>44866.0</v>
      </c>
      <c r="B496" s="52" t="str">
        <f t="shared" si="1"/>
        <v>11/2022</v>
      </c>
      <c r="C496" s="52" t="str">
        <f>IF(A496="","",VLOOKUP(A496,'THAM CHIẾU'!$A:$B,2,0))</f>
        <v>#N/A</v>
      </c>
      <c r="D496" s="52" t="str">
        <f>IF(E496&lt;&gt;0,VLOOKUP(E496,DM_DUAN,3,0),"")</f>
        <v/>
      </c>
      <c r="E496" s="735"/>
      <c r="F496" s="735"/>
      <c r="G496" s="735"/>
      <c r="H496" s="70"/>
      <c r="I496" s="52" t="str">
        <f>IF($K496&lt;&gt;0,VLOOKUP($K496,DM_KM,3,0),"")</f>
        <v>THUEVP</v>
      </c>
      <c r="J496" s="52">
        <f>IF($K496&lt;&gt;0,VLOOKUP($K496,DM_KM,5,0),"")</f>
        <v>642</v>
      </c>
      <c r="K496" s="735" t="s">
        <v>270</v>
      </c>
      <c r="L496" s="735"/>
      <c r="M496" s="68"/>
      <c r="N496" s="738">
        <v>4.5143E7</v>
      </c>
      <c r="O496" s="1188" t="s">
        <v>2231</v>
      </c>
      <c r="P496" s="751"/>
    </row>
    <row r="497" hidden="1">
      <c r="A497" s="1186">
        <v>44866.0</v>
      </c>
      <c r="B497" s="52" t="str">
        <f t="shared" si="1"/>
        <v>11/2022</v>
      </c>
      <c r="C497" s="52" t="str">
        <f>IF(A497="","",VLOOKUP(A497,'THAM CHIẾU'!$A:$B,2,0))</f>
        <v>#N/A</v>
      </c>
      <c r="D497" s="52" t="str">
        <f>IF(E497&lt;&gt;0,VLOOKUP(E497,DM_DUAN,3,0),"")</f>
        <v/>
      </c>
      <c r="E497" s="735"/>
      <c r="F497" s="735"/>
      <c r="G497" s="735"/>
      <c r="H497" s="70"/>
      <c r="I497" s="52" t="str">
        <f>IF($K497&lt;&gt;0,VLOOKUP($K497,DM_KM,3,0),"")</f>
        <v>#N/A</v>
      </c>
      <c r="J497" s="52" t="str">
        <f>IF($K497&lt;&gt;0,VLOOKUP($K497,DM_KM,5,0),"")</f>
        <v>#N/A</v>
      </c>
      <c r="K497" s="735" t="s">
        <v>410</v>
      </c>
      <c r="L497" s="735"/>
      <c r="M497" s="68"/>
      <c r="N497" s="738">
        <v>1250000.0</v>
      </c>
      <c r="O497" s="737" t="s">
        <v>410</v>
      </c>
      <c r="P497" s="751"/>
    </row>
    <row r="498" hidden="1">
      <c r="A498" s="1186">
        <v>44866.0</v>
      </c>
      <c r="B498" s="52" t="str">
        <f t="shared" si="1"/>
        <v>11/2022</v>
      </c>
      <c r="C498" s="52" t="str">
        <f>IF(A498="","",VLOOKUP(A498,'THAM CHIẾU'!$A:$B,2,0))</f>
        <v>#N/A</v>
      </c>
      <c r="D498" s="52" t="str">
        <f>IF(E498&lt;&gt;0,VLOOKUP(E498,DM_DUAN,3,0),"")</f>
        <v/>
      </c>
      <c r="E498" s="735"/>
      <c r="F498" s="735"/>
      <c r="G498" s="735"/>
      <c r="H498" s="70"/>
      <c r="I498" s="52" t="str">
        <f>IF($K498&lt;&gt;0,VLOOKUP($K498,DM_KM,3,0),"")</f>
        <v>#N/A</v>
      </c>
      <c r="J498" s="52" t="str">
        <f>IF($K498&lt;&gt;0,VLOOKUP($K498,DM_KM,5,0),"")</f>
        <v>#N/A</v>
      </c>
      <c r="K498" s="1187" t="s">
        <v>252</v>
      </c>
      <c r="L498" s="735"/>
      <c r="M498" s="68"/>
      <c r="N498" s="738">
        <v>1.6666E7</v>
      </c>
      <c r="O498" s="1188" t="s">
        <v>2232</v>
      </c>
      <c r="P498" s="751"/>
    </row>
    <row r="499" hidden="1">
      <c r="A499" s="1186">
        <v>44866.0</v>
      </c>
      <c r="B499" s="52" t="str">
        <f t="shared" si="1"/>
        <v>11/2022</v>
      </c>
      <c r="C499" s="52" t="str">
        <f>IF(A499="","",VLOOKUP(A499,'THAM CHIẾU'!$A:$B,2,0))</f>
        <v>#N/A</v>
      </c>
      <c r="D499" s="52" t="str">
        <f>IF(E499&lt;&gt;0,VLOOKUP(E499,DM_DUAN,3,0),"")</f>
        <v/>
      </c>
      <c r="E499" s="735"/>
      <c r="F499" s="735"/>
      <c r="G499" s="735"/>
      <c r="H499" s="70"/>
      <c r="I499" s="52" t="str">
        <f>IF($K499&lt;&gt;0,VLOOKUP($K499,DM_KM,3,0),"")</f>
        <v>#N/A</v>
      </c>
      <c r="J499" s="52" t="str">
        <f>IF($K499&lt;&gt;0,VLOOKUP($K499,DM_KM,5,0),"")</f>
        <v>#N/A</v>
      </c>
      <c r="K499" s="735" t="s">
        <v>380</v>
      </c>
      <c r="L499" s="735"/>
      <c r="M499" s="68"/>
      <c r="N499" s="738">
        <v>1666000.0</v>
      </c>
      <c r="O499" s="1188" t="s">
        <v>2233</v>
      </c>
      <c r="P499" s="751"/>
    </row>
    <row r="500" hidden="1">
      <c r="A500" s="1186">
        <v>44866.0</v>
      </c>
      <c r="B500" s="52" t="str">
        <f t="shared" si="1"/>
        <v>11/2022</v>
      </c>
      <c r="C500" s="52" t="str">
        <f>IF(A500="","",VLOOKUP(A500,'THAM CHIẾU'!$A:$B,2,0))</f>
        <v>#N/A</v>
      </c>
      <c r="D500" s="52" t="str">
        <f>IF(E500&lt;&gt;0,VLOOKUP(E500,DM_DUAN,3,0),"")</f>
        <v/>
      </c>
      <c r="E500" s="735"/>
      <c r="F500" s="735"/>
      <c r="G500" s="735"/>
      <c r="H500" s="70"/>
      <c r="I500" s="52" t="str">
        <f>IF($K500&lt;&gt;0,VLOOKUP($K500,DM_KM,3,0),"")</f>
        <v>#N/A</v>
      </c>
      <c r="J500" s="52" t="str">
        <f>IF($K500&lt;&gt;0,VLOOKUP($K500,DM_KM,5,0),"")</f>
        <v>#N/A</v>
      </c>
      <c r="K500" s="1187" t="s">
        <v>206</v>
      </c>
      <c r="L500" s="735"/>
      <c r="M500" s="68"/>
      <c r="N500" s="738">
        <v>1703000.0</v>
      </c>
      <c r="O500" s="1188" t="s">
        <v>206</v>
      </c>
      <c r="P500" s="751"/>
    </row>
    <row r="501" hidden="1">
      <c r="A501" s="1186">
        <v>44866.0</v>
      </c>
      <c r="B501" s="52" t="str">
        <f t="shared" si="1"/>
        <v>11/2022</v>
      </c>
      <c r="C501" s="52" t="str">
        <f>IF(A501="","",VLOOKUP(A501,'THAM CHIẾU'!$A:$B,2,0))</f>
        <v>#N/A</v>
      </c>
      <c r="D501" s="52" t="str">
        <f>IF(E501&lt;&gt;0,VLOOKUP(E501,DM_DUAN,3,0),"")</f>
        <v/>
      </c>
      <c r="E501" s="735"/>
      <c r="F501" s="735"/>
      <c r="G501" s="735"/>
      <c r="H501" s="70"/>
      <c r="I501" s="52" t="str">
        <f>IF($K501&lt;&gt;0,VLOOKUP($K501,DM_KM,3,0),"")</f>
        <v>#N/A</v>
      </c>
      <c r="J501" s="52" t="str">
        <f>IF($K501&lt;&gt;0,VLOOKUP($K501,DM_KM,5,0),"")</f>
        <v>#N/A</v>
      </c>
      <c r="K501" s="1187" t="s">
        <v>226</v>
      </c>
      <c r="L501" s="735"/>
      <c r="M501" s="68"/>
      <c r="N501" s="738">
        <v>1250000.0</v>
      </c>
      <c r="O501" s="1188" t="s">
        <v>2234</v>
      </c>
      <c r="P501" s="751"/>
    </row>
    <row r="502" hidden="1">
      <c r="A502" s="1186">
        <v>44866.0</v>
      </c>
      <c r="B502" s="52" t="str">
        <f t="shared" si="1"/>
        <v>11/2022</v>
      </c>
      <c r="C502" s="52" t="str">
        <f>IF(A502="","",VLOOKUP(A502,'THAM CHIẾU'!$A:$B,2,0))</f>
        <v>#N/A</v>
      </c>
      <c r="D502" s="52" t="str">
        <f>IF(E502&lt;&gt;0,VLOOKUP(E502,DM_DUAN,3,0),"")</f>
        <v/>
      </c>
      <c r="E502" s="735"/>
      <c r="F502" s="735"/>
      <c r="G502" s="735"/>
      <c r="H502" s="70"/>
      <c r="I502" s="52" t="str">
        <f>IF($K502&lt;&gt;0,VLOOKUP($K502,DM_KM,3,0),"")</f>
        <v>#N/A</v>
      </c>
      <c r="J502" s="52" t="str">
        <f>IF($K502&lt;&gt;0,VLOOKUP($K502,DM_KM,5,0),"")</f>
        <v>#N/A</v>
      </c>
      <c r="K502" s="735" t="s">
        <v>174</v>
      </c>
      <c r="L502" s="735"/>
      <c r="M502" s="68"/>
      <c r="N502" s="738">
        <v>4.0861E7</v>
      </c>
      <c r="O502" s="737" t="s">
        <v>2235</v>
      </c>
      <c r="P502" s="751"/>
    </row>
    <row r="503" hidden="1">
      <c r="A503" s="1186">
        <v>44866.0</v>
      </c>
      <c r="B503" s="52" t="str">
        <f t="shared" si="1"/>
        <v>11/2022</v>
      </c>
      <c r="C503" s="52" t="str">
        <f>IF(A503="","",VLOOKUP(A503,'THAM CHIẾU'!$A:$B,2,0))</f>
        <v>#N/A</v>
      </c>
      <c r="D503" s="52" t="str">
        <f>IF(E503&lt;&gt;0,VLOOKUP(E503,DM_DUAN,3,0),"")</f>
        <v/>
      </c>
      <c r="E503" s="735"/>
      <c r="F503" s="735"/>
      <c r="G503" s="735"/>
      <c r="H503" s="70"/>
      <c r="I503" s="52" t="str">
        <f>IF($K503&lt;&gt;0,VLOOKUP($K503,DM_KM,3,0),"")</f>
        <v>#N/A</v>
      </c>
      <c r="J503" s="52" t="str">
        <f>IF($K503&lt;&gt;0,VLOOKUP($K503,DM_KM,5,0),"")</f>
        <v>#N/A</v>
      </c>
      <c r="K503" s="735" t="s">
        <v>2236</v>
      </c>
      <c r="L503" s="735"/>
      <c r="M503" s="68"/>
      <c r="N503" s="738">
        <v>1666000.0</v>
      </c>
      <c r="O503" s="1188" t="s">
        <v>2237</v>
      </c>
      <c r="P503" s="751"/>
    </row>
    <row r="504" hidden="1">
      <c r="A504" s="1186">
        <v>44866.0</v>
      </c>
      <c r="B504" s="52" t="str">
        <f t="shared" si="1"/>
        <v>11/2022</v>
      </c>
      <c r="C504" s="52" t="str">
        <f>IF(A504="","",VLOOKUP(A504,'THAM CHIẾU'!$A:$B,2,0))</f>
        <v>#N/A</v>
      </c>
      <c r="D504" s="52" t="str">
        <f>IF(E504&lt;&gt;0,VLOOKUP(E504,DM_DUAN,3,0),"")</f>
        <v/>
      </c>
      <c r="E504" s="735"/>
      <c r="F504" s="735"/>
      <c r="G504" s="735"/>
      <c r="H504" s="70"/>
      <c r="I504" s="52" t="str">
        <f>IF($K504&lt;&gt;0,VLOOKUP($K504,DM_KM,3,0),"")</f>
        <v/>
      </c>
      <c r="J504" s="52" t="str">
        <f>IF($K504&lt;&gt;0,VLOOKUP($K504,DM_KM,5,0),"")</f>
        <v/>
      </c>
      <c r="K504" s="735"/>
      <c r="L504" s="735"/>
      <c r="M504" s="68"/>
      <c r="N504" s="738"/>
      <c r="O504" s="1188"/>
      <c r="P504" s="751"/>
    </row>
    <row r="505" hidden="1">
      <c r="A505" s="1186">
        <v>44866.0</v>
      </c>
      <c r="B505" s="52" t="str">
        <f t="shared" si="1"/>
        <v>11/2022</v>
      </c>
      <c r="C505" s="52" t="str">
        <f>IF(A505="","",VLOOKUP(A505,'THAM CHIẾU'!$A:$B,2,0))</f>
        <v>#N/A</v>
      </c>
      <c r="D505" s="52" t="str">
        <f>IF(E505&lt;&gt;0,VLOOKUP(E505,DM_DUAN,3,0),"")</f>
        <v/>
      </c>
      <c r="E505" s="735"/>
      <c r="F505" s="735"/>
      <c r="G505" s="735"/>
      <c r="H505" s="70"/>
      <c r="I505" s="52" t="str">
        <f>IF($K505&lt;&gt;0,VLOOKUP($K505,DM_KM,3,0),"")</f>
        <v>#N/A</v>
      </c>
      <c r="J505" s="52" t="str">
        <f>IF($K505&lt;&gt;0,VLOOKUP($K505,DM_KM,5,0),"")</f>
        <v>#N/A</v>
      </c>
      <c r="K505" s="735" t="s">
        <v>169</v>
      </c>
      <c r="L505" s="735"/>
      <c r="M505" s="68"/>
      <c r="N505" s="738">
        <v>1.0643E7</v>
      </c>
      <c r="O505" s="1188" t="s">
        <v>2240</v>
      </c>
      <c r="P505" s="751"/>
    </row>
    <row r="506" hidden="1">
      <c r="A506" s="1186">
        <v>44866.0</v>
      </c>
      <c r="B506" s="52" t="str">
        <f t="shared" si="1"/>
        <v>11/2022</v>
      </c>
      <c r="C506" s="52" t="str">
        <f>IF(A506="","",VLOOKUP(A506,'THAM CHIẾU'!$A:$B,2,0))</f>
        <v>#N/A</v>
      </c>
      <c r="D506" s="52" t="str">
        <f>IF(E506&lt;&gt;0,VLOOKUP(E506,DM_DUAN,3,0),"")</f>
        <v/>
      </c>
      <c r="E506" s="735"/>
      <c r="F506" s="735"/>
      <c r="G506" s="735"/>
      <c r="H506" s="70"/>
      <c r="I506" s="1189" t="str">
        <f>IF($K506&lt;&gt;0,VLOOKUP($K506,DM_KM,3,0),"")</f>
        <v>#N/A</v>
      </c>
      <c r="J506" s="52" t="str">
        <f>IF($K506&lt;&gt;0,VLOOKUP($K506,DM_KM,5,0),"")</f>
        <v>#N/A</v>
      </c>
      <c r="K506" s="1187" t="s">
        <v>190</v>
      </c>
      <c r="L506" s="735"/>
      <c r="M506" s="68"/>
      <c r="N506" s="738">
        <v>3.9E9</v>
      </c>
      <c r="O506" s="1188" t="s">
        <v>2241</v>
      </c>
      <c r="P506" s="739"/>
    </row>
    <row r="507" hidden="1">
      <c r="A507" s="1186">
        <v>44866.0</v>
      </c>
      <c r="B507" s="52" t="str">
        <f t="shared" si="1"/>
        <v>11/2022</v>
      </c>
      <c r="C507" s="52" t="str">
        <f>IF(A507="","",VLOOKUP(A507,'THAM CHIẾU'!$A:$B,2,0))</f>
        <v>#N/A</v>
      </c>
      <c r="D507" s="52" t="str">
        <f>IF(E507&lt;&gt;0,VLOOKUP(E507,DM_DUAN,3,0),"")</f>
        <v/>
      </c>
      <c r="E507" s="735"/>
      <c r="F507" s="735"/>
      <c r="G507" s="735"/>
      <c r="H507" s="70"/>
      <c r="I507" s="1189" t="str">
        <f>IF($K507&lt;&gt;0,VLOOKUP($K507,DM_KM,3,0),"")</f>
        <v>#N/A</v>
      </c>
      <c r="J507" s="52" t="str">
        <f>IF($K507&lt;&gt;0,VLOOKUP($K507,DM_KM,5,0),"")</f>
        <v>#N/A</v>
      </c>
      <c r="K507" s="1187" t="s">
        <v>194</v>
      </c>
      <c r="L507" s="735"/>
      <c r="M507" s="68"/>
      <c r="N507" s="738">
        <v>1.04E9</v>
      </c>
      <c r="O507" s="1188" t="s">
        <v>2242</v>
      </c>
      <c r="P507" s="739"/>
    </row>
    <row r="508" hidden="1">
      <c r="A508" s="1186">
        <v>44866.0</v>
      </c>
      <c r="B508" s="52" t="str">
        <f t="shared" si="1"/>
        <v>11/2022</v>
      </c>
      <c r="C508" s="52" t="str">
        <f>IF(A508="","",VLOOKUP(A508,'THAM CHIẾU'!$A:$B,2,0))</f>
        <v>#N/A</v>
      </c>
      <c r="D508" s="52" t="str">
        <f>IF(E508&lt;&gt;0,VLOOKUP(E508,DM_DUAN,3,0),"")</f>
        <v/>
      </c>
      <c r="E508" s="735"/>
      <c r="F508" s="735"/>
      <c r="G508" s="735"/>
      <c r="H508" s="70"/>
      <c r="I508" s="52" t="str">
        <f>IF($K508&lt;&gt;0,VLOOKUP($K508,DM_KM,3,0),"")</f>
        <v>#N/A</v>
      </c>
      <c r="J508" s="52" t="str">
        <f>IF($K508&lt;&gt;0,VLOOKUP($K508,DM_KM,5,0),"")</f>
        <v>#N/A</v>
      </c>
      <c r="K508" s="1187" t="s">
        <v>1170</v>
      </c>
      <c r="L508" s="735"/>
      <c r="M508" s="68"/>
      <c r="N508" s="738">
        <v>1.3E8</v>
      </c>
      <c r="O508" s="1188" t="s">
        <v>1474</v>
      </c>
      <c r="P508" s="751"/>
    </row>
    <row r="509" hidden="1">
      <c r="A509" s="1186">
        <v>44866.0</v>
      </c>
      <c r="B509" s="52" t="str">
        <f t="shared" si="1"/>
        <v>11/2022</v>
      </c>
      <c r="C509" s="52" t="str">
        <f>IF(A509="","",VLOOKUP(A509,'THAM CHIẾU'!$A:$B,2,0))</f>
        <v>#N/A</v>
      </c>
      <c r="D509" s="52" t="str">
        <f>IF(E509&lt;&gt;0,VLOOKUP(E509,DM_DUAN,3,0),"")</f>
        <v/>
      </c>
      <c r="E509" s="735"/>
      <c r="F509" s="735"/>
      <c r="G509" s="735"/>
      <c r="H509" s="70"/>
      <c r="I509" s="52" t="str">
        <f>IF($K509&lt;&gt;0,VLOOKUP($K509,DM_KM,3,0),"")</f>
        <v>#N/A</v>
      </c>
      <c r="J509" s="52" t="str">
        <f>IF($K509&lt;&gt;0,VLOOKUP($K509,DM_KM,5,0),"")</f>
        <v>#N/A</v>
      </c>
      <c r="K509" s="735" t="s">
        <v>1142</v>
      </c>
      <c r="L509" s="735"/>
      <c r="M509" s="68"/>
      <c r="N509" s="738">
        <v>1.248E9</v>
      </c>
      <c r="O509" s="737" t="s">
        <v>2244</v>
      </c>
      <c r="P509" s="751"/>
    </row>
    <row r="510" hidden="1">
      <c r="A510" s="1186">
        <v>44866.0</v>
      </c>
      <c r="B510" s="52" t="str">
        <f t="shared" si="1"/>
        <v>11/2022</v>
      </c>
      <c r="C510" s="52" t="str">
        <f>IF(A510="","",VLOOKUP(A510,'THAM CHIẾU'!$A:$B,2,0))</f>
        <v>#N/A</v>
      </c>
      <c r="D510" s="52" t="str">
        <f>IF(E510&lt;&gt;0,VLOOKUP(E510,DM_DUAN,3,0),"")</f>
        <v/>
      </c>
      <c r="E510" s="735"/>
      <c r="F510" s="735"/>
      <c r="G510" s="735"/>
      <c r="H510" s="70"/>
      <c r="I510" s="1189" t="str">
        <f>IF($K510&lt;&gt;0,VLOOKUP($K510,DM_KM,3,0),"")</f>
        <v>#N/A</v>
      </c>
      <c r="J510" s="52" t="str">
        <f>IF($K510&lt;&gt;0,VLOOKUP($K510,DM_KM,5,0),"")</f>
        <v>#N/A</v>
      </c>
      <c r="K510" s="1187" t="s">
        <v>181</v>
      </c>
      <c r="L510" s="735"/>
      <c r="M510" s="68"/>
      <c r="N510" s="738">
        <v>1.3E9</v>
      </c>
      <c r="O510" s="1188" t="s">
        <v>2245</v>
      </c>
      <c r="P510" s="751"/>
    </row>
    <row r="511" hidden="1">
      <c r="A511" s="1186">
        <v>44866.0</v>
      </c>
      <c r="B511" s="52" t="str">
        <f t="shared" si="1"/>
        <v>11/2022</v>
      </c>
      <c r="C511" s="52" t="str">
        <f>IF(A511="","",VLOOKUP(A511,'THAM CHIẾU'!$A:$B,2,0))</f>
        <v>#N/A</v>
      </c>
      <c r="D511" s="52" t="str">
        <f>IF(E511&lt;&gt;0,VLOOKUP(E511,DM_DUAN,3,0),"")</f>
        <v/>
      </c>
      <c r="E511" s="735"/>
      <c r="F511" s="735"/>
      <c r="G511" s="735"/>
      <c r="H511" s="70"/>
      <c r="I511" s="52" t="str">
        <f>IF($K511&lt;&gt;0,VLOOKUP($K511,DM_KM,3,0),"")</f>
        <v>#N/A</v>
      </c>
      <c r="J511" s="52" t="str">
        <f>IF($K511&lt;&gt;0,VLOOKUP($K511,DM_KM,5,0),"")</f>
        <v>#N/A</v>
      </c>
      <c r="K511" s="735" t="s">
        <v>2243</v>
      </c>
      <c r="L511" s="735"/>
      <c r="M511" s="68"/>
      <c r="N511" s="738">
        <v>3.9E7</v>
      </c>
      <c r="O511" s="737" t="s">
        <v>2246</v>
      </c>
      <c r="P511" s="751"/>
    </row>
    <row r="512" hidden="1">
      <c r="A512" s="1190"/>
      <c r="B512" s="52" t="str">
        <f t="shared" si="1"/>
        <v/>
      </c>
      <c r="C512" s="52" t="str">
        <f>IF(A512="","",VLOOKUP(A512,'THAM CHIẾU'!$A:$B,2,0))</f>
        <v/>
      </c>
      <c r="D512" s="52" t="str">
        <f>IF(E512&lt;&gt;0,VLOOKUP(E512,DM_DUAN,3,0),"")</f>
        <v/>
      </c>
      <c r="E512" s="735"/>
      <c r="F512" s="735"/>
      <c r="G512" s="735"/>
      <c r="H512" s="70"/>
      <c r="I512" s="52" t="str">
        <f>IF($K512&lt;&gt;0,VLOOKUP($K512,DM_KM,3,0),"")</f>
        <v/>
      </c>
      <c r="J512" s="52" t="str">
        <f>IF($K512&lt;&gt;0,VLOOKUP($K512,DM_KM,5,0),"")</f>
        <v/>
      </c>
      <c r="K512" s="735"/>
      <c r="L512" s="735"/>
      <c r="M512" s="68"/>
      <c r="N512" s="738">
        <v>0.0</v>
      </c>
      <c r="O512" s="737"/>
      <c r="P512" s="751"/>
    </row>
    <row r="513" hidden="1">
      <c r="A513" s="1186">
        <v>44896.0</v>
      </c>
      <c r="B513" s="52" t="str">
        <f t="shared" si="1"/>
        <v>12/2022</v>
      </c>
      <c r="C513" s="52" t="str">
        <f>IF(A513="","",VLOOKUP(A513,'THAM CHIẾU'!$A:$B,2,0))</f>
        <v>#N/A</v>
      </c>
      <c r="D513" s="52" t="str">
        <f>IF(E513&lt;&gt;0,VLOOKUP(E513,DM_DUAN,3,0),"")</f>
        <v/>
      </c>
      <c r="E513" s="735"/>
      <c r="F513" s="735"/>
      <c r="G513" s="735" t="s">
        <v>207</v>
      </c>
      <c r="H513" s="70"/>
      <c r="I513" s="52" t="str">
        <f>IF($K513&lt;&gt;0,VLOOKUP($K513,DM_KM,3,0),"")</f>
        <v>#N/A</v>
      </c>
      <c r="J513" s="52" t="str">
        <f>IF($K513&lt;&gt;0,VLOOKUP($K513,DM_KM,5,0),"")</f>
        <v>#N/A</v>
      </c>
      <c r="K513" s="735" t="s">
        <v>2215</v>
      </c>
      <c r="L513" s="735"/>
      <c r="M513" s="68"/>
      <c r="N513" s="738">
        <v>43000.0</v>
      </c>
      <c r="O513" s="737" t="s">
        <v>2216</v>
      </c>
      <c r="P513" s="751"/>
    </row>
    <row r="514" hidden="1">
      <c r="A514" s="1186">
        <v>44896.0</v>
      </c>
      <c r="B514" s="52" t="str">
        <f t="shared" si="1"/>
        <v>12/2022</v>
      </c>
      <c r="C514" s="52" t="str">
        <f>IF(A514="","",VLOOKUP(A514,'THAM CHIẾU'!$A:$B,2,0))</f>
        <v>#N/A</v>
      </c>
      <c r="D514" s="52" t="str">
        <f>IF(E514&lt;&gt;0,VLOOKUP(E514,DM_DUAN,3,0),"")</f>
        <v/>
      </c>
      <c r="E514" s="735"/>
      <c r="F514" s="735"/>
      <c r="G514" s="735"/>
      <c r="H514" s="70"/>
      <c r="I514" s="52" t="str">
        <f>IF($K514&lt;&gt;0,VLOOKUP($K514,DM_KM,3,0),"")</f>
        <v>#N/A</v>
      </c>
      <c r="J514" s="52" t="str">
        <f>IF($K514&lt;&gt;0,VLOOKUP($K514,DM_KM,5,0),"")</f>
        <v>#N/A</v>
      </c>
      <c r="K514" s="1187" t="s">
        <v>419</v>
      </c>
      <c r="L514" s="735"/>
      <c r="M514" s="68"/>
      <c r="N514" s="738">
        <v>166000.0</v>
      </c>
      <c r="O514" s="1188" t="s">
        <v>2217</v>
      </c>
      <c r="P514" s="751"/>
    </row>
    <row r="515" hidden="1">
      <c r="A515" s="1186">
        <v>44896.0</v>
      </c>
      <c r="B515" s="52" t="str">
        <f t="shared" si="1"/>
        <v>12/2022</v>
      </c>
      <c r="C515" s="52" t="str">
        <f>IF(A515="","",VLOOKUP(A515,'THAM CHIẾU'!$A:$B,2,0))</f>
        <v>#N/A</v>
      </c>
      <c r="D515" s="52" t="str">
        <f>IF(E515&lt;&gt;0,VLOOKUP(E515,DM_DUAN,3,0),"")</f>
        <v/>
      </c>
      <c r="E515" s="735"/>
      <c r="F515" s="735"/>
      <c r="G515" s="735"/>
      <c r="H515" s="70"/>
      <c r="I515" s="52" t="str">
        <f>IF($K515&lt;&gt;0,VLOOKUP($K515,DM_KM,3,0),"")</f>
        <v>#N/A</v>
      </c>
      <c r="J515" s="52" t="str">
        <f>IF($K515&lt;&gt;0,VLOOKUP($K515,DM_KM,5,0),"")</f>
        <v>#N/A</v>
      </c>
      <c r="K515" s="735" t="s">
        <v>573</v>
      </c>
      <c r="L515" s="735"/>
      <c r="M515" s="68"/>
      <c r="N515" s="738">
        <v>250000.0</v>
      </c>
      <c r="O515" s="1188" t="s">
        <v>2218</v>
      </c>
      <c r="P515" s="751"/>
    </row>
    <row r="516" hidden="1">
      <c r="A516" s="1186">
        <v>44896.0</v>
      </c>
      <c r="B516" s="52" t="str">
        <f t="shared" si="1"/>
        <v>12/2022</v>
      </c>
      <c r="C516" s="52" t="str">
        <f>IF(A516="","",VLOOKUP(A516,'THAM CHIẾU'!$A:$B,2,0))</f>
        <v>#N/A</v>
      </c>
      <c r="D516" s="52" t="str">
        <f>IF(E516&lt;&gt;0,VLOOKUP(E516,DM_DUAN,3,0),"")</f>
        <v/>
      </c>
      <c r="E516" s="735"/>
      <c r="F516" s="735"/>
      <c r="G516" s="735"/>
      <c r="H516" s="70"/>
      <c r="I516" s="1189" t="str">
        <f>IF($K516&lt;&gt;0,VLOOKUP($K516,DM_KM,3,0),"")</f>
        <v>#N/A</v>
      </c>
      <c r="J516" s="52" t="str">
        <f>IF($K516&lt;&gt;0,VLOOKUP($K516,DM_KM,5,0),"")</f>
        <v>#N/A</v>
      </c>
      <c r="K516" s="735" t="s">
        <v>1273</v>
      </c>
      <c r="L516" s="735"/>
      <c r="M516" s="68"/>
      <c r="N516" s="738">
        <v>328000.0</v>
      </c>
      <c r="O516" s="737" t="s">
        <v>1273</v>
      </c>
      <c r="P516" s="751"/>
    </row>
    <row r="517" hidden="1">
      <c r="A517" s="1186">
        <v>44896.0</v>
      </c>
      <c r="B517" s="52" t="str">
        <f t="shared" si="1"/>
        <v>12/2022</v>
      </c>
      <c r="C517" s="52" t="str">
        <f>IF(A517="","",VLOOKUP(A517,'THAM CHIẾU'!$A:$B,2,0))</f>
        <v>#N/A</v>
      </c>
      <c r="D517" s="52" t="str">
        <f>IF(E517&lt;&gt;0,VLOOKUP(E517,DM_DUAN,3,0),"")</f>
        <v/>
      </c>
      <c r="E517" s="735"/>
      <c r="F517" s="735"/>
      <c r="G517" s="735"/>
      <c r="H517" s="70"/>
      <c r="I517" s="52" t="str">
        <f>IF($K517&lt;&gt;0,VLOOKUP($K517,DM_KM,3,0),"")</f>
        <v>VHVP</v>
      </c>
      <c r="J517" s="52">
        <f>IF($K517&lt;&gt;0,VLOOKUP($K517,DM_KM,5,0),"")</f>
        <v>642</v>
      </c>
      <c r="K517" s="735" t="s">
        <v>1153</v>
      </c>
      <c r="L517" s="735"/>
      <c r="M517" s="68"/>
      <c r="N517" s="738">
        <v>8333000.0</v>
      </c>
      <c r="O517" s="737" t="s">
        <v>2219</v>
      </c>
      <c r="P517" s="751"/>
    </row>
    <row r="518" hidden="1">
      <c r="A518" s="1186">
        <v>44896.0</v>
      </c>
      <c r="B518" s="52" t="str">
        <f t="shared" si="1"/>
        <v>12/2022</v>
      </c>
      <c r="C518" s="52" t="str">
        <f>IF(A518="","",VLOOKUP(A518,'THAM CHIẾU'!$A:$B,2,0))</f>
        <v>#N/A</v>
      </c>
      <c r="D518" s="52" t="str">
        <f>IF(E518&lt;&gt;0,VLOOKUP(E518,DM_DUAN,3,0),"")</f>
        <v/>
      </c>
      <c r="E518" s="735"/>
      <c r="F518" s="735"/>
      <c r="G518" s="735"/>
      <c r="H518" s="70"/>
      <c r="I518" s="52" t="str">
        <f>IF($K518&lt;&gt;0,VLOOKUP($K518,DM_KM,3,0),"")</f>
        <v>#N/A</v>
      </c>
      <c r="J518" s="52" t="str">
        <f>IF($K518&lt;&gt;0,VLOOKUP($K518,DM_KM,5,0),"")</f>
        <v>#N/A</v>
      </c>
      <c r="K518" s="735" t="s">
        <v>2220</v>
      </c>
      <c r="L518" s="735"/>
      <c r="M518" s="68"/>
      <c r="N518" s="738">
        <v>416000.0</v>
      </c>
      <c r="O518" s="737" t="s">
        <v>2221</v>
      </c>
      <c r="P518" s="751"/>
    </row>
    <row r="519" hidden="1">
      <c r="A519" s="1186">
        <v>44896.0</v>
      </c>
      <c r="B519" s="52" t="str">
        <f t="shared" si="1"/>
        <v>12/2022</v>
      </c>
      <c r="C519" s="52" t="str">
        <f>IF(A519="","",VLOOKUP(A519,'THAM CHIẾU'!$A:$B,2,0))</f>
        <v>#N/A</v>
      </c>
      <c r="D519" s="52" t="str">
        <f>IF(E519&lt;&gt;0,VLOOKUP(E519,DM_DUAN,3,0),"")</f>
        <v/>
      </c>
      <c r="E519" s="735"/>
      <c r="F519" s="735"/>
      <c r="G519" s="735"/>
      <c r="H519" s="70"/>
      <c r="I519" s="52" t="str">
        <f>IF($K519&lt;&gt;0,VLOOKUP($K519,DM_KM,3,0),"")</f>
        <v>#N/A</v>
      </c>
      <c r="J519" s="52" t="str">
        <f>IF($K519&lt;&gt;0,VLOOKUP($K519,DM_KM,5,0),"")</f>
        <v>#N/A</v>
      </c>
      <c r="K519" s="735" t="s">
        <v>262</v>
      </c>
      <c r="L519" s="735"/>
      <c r="M519" s="68"/>
      <c r="N519" s="738">
        <v>833000.0</v>
      </c>
      <c r="O519" s="737" t="s">
        <v>2222</v>
      </c>
      <c r="P519" s="751"/>
    </row>
    <row r="520" hidden="1">
      <c r="A520" s="1186">
        <v>44896.0</v>
      </c>
      <c r="B520" s="52" t="str">
        <f t="shared" si="1"/>
        <v>12/2022</v>
      </c>
      <c r="C520" s="52" t="str">
        <f>IF(A520="","",VLOOKUP(A520,'THAM CHIẾU'!$A:$B,2,0))</f>
        <v>#N/A</v>
      </c>
      <c r="D520" s="52" t="str">
        <f>IF(E520&lt;&gt;0,VLOOKUP(E520,DM_DUAN,3,0),"")</f>
        <v/>
      </c>
      <c r="E520" s="735"/>
      <c r="F520" s="735"/>
      <c r="G520" s="735"/>
      <c r="H520" s="70"/>
      <c r="I520" s="52" t="str">
        <f>IF($K520&lt;&gt;0,VLOOKUP($K520,DM_KM,3,0),"")</f>
        <v>#N/A</v>
      </c>
      <c r="J520" s="52" t="str">
        <f>IF($K520&lt;&gt;0,VLOOKUP($K520,DM_KM,5,0),"")</f>
        <v>#N/A</v>
      </c>
      <c r="K520" s="735" t="s">
        <v>2223</v>
      </c>
      <c r="L520" s="735"/>
      <c r="M520" s="68"/>
      <c r="N520" s="738">
        <v>4166000.0</v>
      </c>
      <c r="O520" s="737" t="s">
        <v>2224</v>
      </c>
      <c r="P520" s="751"/>
    </row>
    <row r="521" hidden="1">
      <c r="A521" s="1186">
        <v>44896.0</v>
      </c>
      <c r="B521" s="52" t="str">
        <f t="shared" si="1"/>
        <v>12/2022</v>
      </c>
      <c r="C521" s="52" t="str">
        <f>IF(A521="","",VLOOKUP(A521,'THAM CHIẾU'!$A:$B,2,0))</f>
        <v>#N/A</v>
      </c>
      <c r="D521" s="52" t="str">
        <f>IF(E521&lt;&gt;0,VLOOKUP(E521,DM_DUAN,3,0),"")</f>
        <v/>
      </c>
      <c r="E521" s="735"/>
      <c r="F521" s="735"/>
      <c r="G521" s="735" t="s">
        <v>176</v>
      </c>
      <c r="H521" s="70"/>
      <c r="I521" s="52" t="str">
        <f>IF($K521&lt;&gt;0,VLOOKUP($K521,DM_KM,3,0),"")</f>
        <v>#N/A</v>
      </c>
      <c r="J521" s="52" t="str">
        <f>IF($K521&lt;&gt;0,VLOOKUP($K521,DM_KM,5,0),"")</f>
        <v>#N/A</v>
      </c>
      <c r="K521" s="1187" t="s">
        <v>374</v>
      </c>
      <c r="L521" s="735"/>
      <c r="M521" s="68"/>
      <c r="N521" s="738">
        <v>1666000.0</v>
      </c>
      <c r="O521" s="1188" t="s">
        <v>2225</v>
      </c>
      <c r="P521" s="751"/>
    </row>
    <row r="522" hidden="1">
      <c r="A522" s="1186">
        <v>44896.0</v>
      </c>
      <c r="B522" s="52" t="str">
        <f t="shared" si="1"/>
        <v>12/2022</v>
      </c>
      <c r="C522" s="52" t="str">
        <f>IF(A522="","",VLOOKUP(A522,'THAM CHIẾU'!$A:$B,2,0))</f>
        <v>#N/A</v>
      </c>
      <c r="D522" s="52" t="str">
        <f>IF(E522&lt;&gt;0,VLOOKUP(E522,DM_DUAN,3,0),"")</f>
        <v/>
      </c>
      <c r="E522" s="735"/>
      <c r="F522" s="735"/>
      <c r="G522" s="735"/>
      <c r="H522" s="70"/>
      <c r="I522" s="52" t="str">
        <f>IF($K522&lt;&gt;0,VLOOKUP($K522,DM_KM,3,0),"")</f>
        <v>#N/A</v>
      </c>
      <c r="J522" s="52" t="str">
        <f>IF($K522&lt;&gt;0,VLOOKUP($K522,DM_KM,5,0),"")</f>
        <v>#N/A</v>
      </c>
      <c r="K522" s="735" t="s">
        <v>380</v>
      </c>
      <c r="L522" s="735"/>
      <c r="M522" s="68"/>
      <c r="N522" s="738">
        <v>1666000.0</v>
      </c>
      <c r="O522" s="1188" t="s">
        <v>2226</v>
      </c>
      <c r="P522" s="751"/>
    </row>
    <row r="523" hidden="1">
      <c r="A523" s="1186">
        <v>44896.0</v>
      </c>
      <c r="B523" s="52" t="str">
        <f t="shared" si="1"/>
        <v>12/2022</v>
      </c>
      <c r="C523" s="52" t="str">
        <f>IF(A523="","",VLOOKUP(A523,'THAM CHIẾU'!$A:$B,2,0))</f>
        <v>#N/A</v>
      </c>
      <c r="D523" s="52" t="str">
        <f>IF(E523&lt;&gt;0,VLOOKUP(E523,DM_DUAN,3,0),"")</f>
        <v/>
      </c>
      <c r="E523" s="735"/>
      <c r="F523" s="735"/>
      <c r="G523" s="735"/>
      <c r="H523" s="70"/>
      <c r="I523" s="52" t="str">
        <f>IF($K523&lt;&gt;0,VLOOKUP($K523,DM_KM,3,0),"")</f>
        <v>#N/A</v>
      </c>
      <c r="J523" s="52" t="str">
        <f>IF($K523&lt;&gt;0,VLOOKUP($K523,DM_KM,5,0),"")</f>
        <v>#N/A</v>
      </c>
      <c r="K523" s="735" t="s">
        <v>272</v>
      </c>
      <c r="L523" s="735"/>
      <c r="M523" s="68"/>
      <c r="N523" s="738">
        <v>6666000.0</v>
      </c>
      <c r="O523" s="737" t="s">
        <v>2227</v>
      </c>
      <c r="P523" s="751"/>
    </row>
    <row r="524" hidden="1">
      <c r="A524" s="1186">
        <v>44896.0</v>
      </c>
      <c r="B524" s="52" t="str">
        <f t="shared" si="1"/>
        <v>12/2022</v>
      </c>
      <c r="C524" s="52" t="str">
        <f>IF(A524="","",VLOOKUP(A524,'THAM CHIẾU'!$A:$B,2,0))</f>
        <v>#N/A</v>
      </c>
      <c r="D524" s="52" t="str">
        <f>IF(E524&lt;&gt;0,VLOOKUP(E524,DM_DUAN,3,0),"")</f>
        <v/>
      </c>
      <c r="E524" s="735"/>
      <c r="F524" s="735"/>
      <c r="G524" s="735"/>
      <c r="H524" s="70"/>
      <c r="I524" s="52" t="str">
        <f>IF($K524&lt;&gt;0,VLOOKUP($K524,DM_KM,3,0),"")</f>
        <v>#N/A</v>
      </c>
      <c r="J524" s="52" t="str">
        <f>IF($K524&lt;&gt;0,VLOOKUP($K524,DM_KM,5,0),"")</f>
        <v>#N/A</v>
      </c>
      <c r="K524" s="735" t="s">
        <v>380</v>
      </c>
      <c r="L524" s="735"/>
      <c r="M524" s="68"/>
      <c r="N524" s="738">
        <v>833000.0</v>
      </c>
      <c r="O524" s="1188" t="s">
        <v>2228</v>
      </c>
      <c r="P524" s="751"/>
    </row>
    <row r="525" hidden="1">
      <c r="A525" s="1186">
        <v>44896.0</v>
      </c>
      <c r="B525" s="52" t="str">
        <f t="shared" si="1"/>
        <v>12/2022</v>
      </c>
      <c r="C525" s="52" t="str">
        <f>IF(A525="","",VLOOKUP(A525,'THAM CHIẾU'!$A:$B,2,0))</f>
        <v>#N/A</v>
      </c>
      <c r="D525" s="52" t="str">
        <f>IF(E525&lt;&gt;0,VLOOKUP(E525,DM_DUAN,3,0),"")</f>
        <v/>
      </c>
      <c r="E525" s="735"/>
      <c r="F525" s="735"/>
      <c r="G525" s="735"/>
      <c r="H525" s="70"/>
      <c r="I525" s="52" t="str">
        <f>IF($K525&lt;&gt;0,VLOOKUP($K525,DM_KM,3,0),"")</f>
        <v>#N/A</v>
      </c>
      <c r="J525" s="52" t="str">
        <f>IF($K525&lt;&gt;0,VLOOKUP($K525,DM_KM,5,0),"")</f>
        <v>#N/A</v>
      </c>
      <c r="K525" s="735" t="s">
        <v>222</v>
      </c>
      <c r="L525" s="735"/>
      <c r="M525" s="68"/>
      <c r="N525" s="738">
        <v>416000.0</v>
      </c>
      <c r="O525" s="737" t="s">
        <v>2229</v>
      </c>
      <c r="P525" s="751"/>
    </row>
    <row r="526" hidden="1">
      <c r="A526" s="1186">
        <v>44896.0</v>
      </c>
      <c r="B526" s="52" t="str">
        <f t="shared" si="1"/>
        <v>12/2022</v>
      </c>
      <c r="C526" s="52" t="str">
        <f>IF(A526="","",VLOOKUP(A526,'THAM CHIẾU'!$A:$B,2,0))</f>
        <v>#N/A</v>
      </c>
      <c r="D526" s="52" t="str">
        <f>IF(E526&lt;&gt;0,VLOOKUP(E526,DM_DUAN,3,0),"")</f>
        <v/>
      </c>
      <c r="E526" s="735"/>
      <c r="F526" s="735"/>
      <c r="G526" s="735"/>
      <c r="H526" s="70"/>
      <c r="I526" s="1189" t="str">
        <f>IF($K526&lt;&gt;0,VLOOKUP($K526,DM_KM,3,0),"")</f>
        <v>#N/A</v>
      </c>
      <c r="J526" s="52" t="str">
        <f>IF($K526&lt;&gt;0,VLOOKUP($K526,DM_KM,5,0),"")</f>
        <v>#N/A</v>
      </c>
      <c r="K526" s="1187" t="s">
        <v>267</v>
      </c>
      <c r="L526" s="735"/>
      <c r="M526" s="68"/>
      <c r="N526" s="738">
        <v>3.184E8</v>
      </c>
      <c r="O526" s="1188" t="s">
        <v>2230</v>
      </c>
      <c r="P526" s="751"/>
    </row>
    <row r="527" hidden="1">
      <c r="A527" s="1186">
        <v>44896.0</v>
      </c>
      <c r="B527" s="52" t="str">
        <f t="shared" si="1"/>
        <v>12/2022</v>
      </c>
      <c r="C527" s="52" t="str">
        <f>IF(A527="","",VLOOKUP(A527,'THAM CHIẾU'!$A:$B,2,0))</f>
        <v>#N/A</v>
      </c>
      <c r="D527" s="52" t="str">
        <f>IF(E527&lt;&gt;0,VLOOKUP(E527,DM_DUAN,3,0),"")</f>
        <v/>
      </c>
      <c r="E527" s="735"/>
      <c r="F527" s="735"/>
      <c r="G527" s="735"/>
      <c r="H527" s="70"/>
      <c r="I527" s="52" t="str">
        <f>IF($K527&lt;&gt;0,VLOOKUP($K527,DM_KM,3,0),"")</f>
        <v>THUEVP</v>
      </c>
      <c r="J527" s="52">
        <f>IF($K527&lt;&gt;0,VLOOKUP($K527,DM_KM,5,0),"")</f>
        <v>642</v>
      </c>
      <c r="K527" s="735" t="s">
        <v>270</v>
      </c>
      <c r="L527" s="735"/>
      <c r="M527" s="68"/>
      <c r="N527" s="738">
        <v>4.5143E7</v>
      </c>
      <c r="O527" s="1188" t="s">
        <v>2231</v>
      </c>
      <c r="P527" s="751"/>
    </row>
    <row r="528" hidden="1">
      <c r="A528" s="1186">
        <v>44896.0</v>
      </c>
      <c r="B528" s="52" t="str">
        <f t="shared" si="1"/>
        <v>12/2022</v>
      </c>
      <c r="C528" s="52" t="str">
        <f>IF(A528="","",VLOOKUP(A528,'THAM CHIẾU'!$A:$B,2,0))</f>
        <v>#N/A</v>
      </c>
      <c r="D528" s="52" t="str">
        <f>IF(E528&lt;&gt;0,VLOOKUP(E528,DM_DUAN,3,0),"")</f>
        <v/>
      </c>
      <c r="E528" s="735"/>
      <c r="F528" s="735"/>
      <c r="G528" s="735"/>
      <c r="H528" s="70"/>
      <c r="I528" s="52" t="str">
        <f>IF($K528&lt;&gt;0,VLOOKUP($K528,DM_KM,3,0),"")</f>
        <v>#N/A</v>
      </c>
      <c r="J528" s="52" t="str">
        <f>IF($K528&lt;&gt;0,VLOOKUP($K528,DM_KM,5,0),"")</f>
        <v>#N/A</v>
      </c>
      <c r="K528" s="735" t="s">
        <v>410</v>
      </c>
      <c r="L528" s="735"/>
      <c r="M528" s="68"/>
      <c r="N528" s="738">
        <v>1250000.0</v>
      </c>
      <c r="O528" s="737" t="s">
        <v>410</v>
      </c>
      <c r="P528" s="751"/>
    </row>
    <row r="529" hidden="1">
      <c r="A529" s="1186">
        <v>44896.0</v>
      </c>
      <c r="B529" s="52" t="str">
        <f t="shared" si="1"/>
        <v>12/2022</v>
      </c>
      <c r="C529" s="52" t="str">
        <f>IF(A529="","",VLOOKUP(A529,'THAM CHIẾU'!$A:$B,2,0))</f>
        <v>#N/A</v>
      </c>
      <c r="D529" s="52" t="str">
        <f>IF(E529&lt;&gt;0,VLOOKUP(E529,DM_DUAN,3,0),"")</f>
        <v/>
      </c>
      <c r="E529" s="735"/>
      <c r="F529" s="735"/>
      <c r="G529" s="735"/>
      <c r="H529" s="70"/>
      <c r="I529" s="52" t="str">
        <f>IF($K529&lt;&gt;0,VLOOKUP($K529,DM_KM,3,0),"")</f>
        <v>#N/A</v>
      </c>
      <c r="J529" s="52" t="str">
        <f>IF($K529&lt;&gt;0,VLOOKUP($K529,DM_KM,5,0),"")</f>
        <v>#N/A</v>
      </c>
      <c r="K529" s="1187" t="s">
        <v>252</v>
      </c>
      <c r="L529" s="735"/>
      <c r="M529" s="68"/>
      <c r="N529" s="738">
        <v>1.6666E7</v>
      </c>
      <c r="O529" s="1188" t="s">
        <v>2232</v>
      </c>
      <c r="P529" s="751"/>
    </row>
    <row r="530" hidden="1">
      <c r="A530" s="1186">
        <v>44896.0</v>
      </c>
      <c r="B530" s="52" t="str">
        <f t="shared" si="1"/>
        <v>12/2022</v>
      </c>
      <c r="C530" s="52" t="str">
        <f>IF(A530="","",VLOOKUP(A530,'THAM CHIẾU'!$A:$B,2,0))</f>
        <v>#N/A</v>
      </c>
      <c r="D530" s="52" t="str">
        <f>IF(E530&lt;&gt;0,VLOOKUP(E530,DM_DUAN,3,0),"")</f>
        <v/>
      </c>
      <c r="E530" s="735"/>
      <c r="F530" s="735"/>
      <c r="G530" s="735"/>
      <c r="H530" s="70"/>
      <c r="I530" s="52" t="str">
        <f>IF($K530&lt;&gt;0,VLOOKUP($K530,DM_KM,3,0),"")</f>
        <v>#N/A</v>
      </c>
      <c r="J530" s="52" t="str">
        <f>IF($K530&lt;&gt;0,VLOOKUP($K530,DM_KM,5,0),"")</f>
        <v>#N/A</v>
      </c>
      <c r="K530" s="735" t="s">
        <v>380</v>
      </c>
      <c r="L530" s="735"/>
      <c r="M530" s="68"/>
      <c r="N530" s="738">
        <v>1666000.0</v>
      </c>
      <c r="O530" s="1188" t="s">
        <v>2233</v>
      </c>
      <c r="P530" s="751"/>
    </row>
    <row r="531" hidden="1">
      <c r="A531" s="1186">
        <v>44896.0</v>
      </c>
      <c r="B531" s="52" t="str">
        <f t="shared" si="1"/>
        <v>12/2022</v>
      </c>
      <c r="C531" s="52" t="str">
        <f>IF(A531="","",VLOOKUP(A531,'THAM CHIẾU'!$A:$B,2,0))</f>
        <v>#N/A</v>
      </c>
      <c r="D531" s="52" t="str">
        <f>IF(E531&lt;&gt;0,VLOOKUP(E531,DM_DUAN,3,0),"")</f>
        <v/>
      </c>
      <c r="E531" s="735"/>
      <c r="F531" s="735"/>
      <c r="G531" s="735"/>
      <c r="H531" s="70"/>
      <c r="I531" s="52" t="str">
        <f>IF($K531&lt;&gt;0,VLOOKUP($K531,DM_KM,3,0),"")</f>
        <v>#N/A</v>
      </c>
      <c r="J531" s="52" t="str">
        <f>IF($K531&lt;&gt;0,VLOOKUP($K531,DM_KM,5,0),"")</f>
        <v>#N/A</v>
      </c>
      <c r="K531" s="1187" t="s">
        <v>206</v>
      </c>
      <c r="L531" s="735"/>
      <c r="M531" s="68"/>
      <c r="N531" s="738">
        <v>1703000.0</v>
      </c>
      <c r="O531" s="1188" t="s">
        <v>206</v>
      </c>
      <c r="P531" s="751"/>
    </row>
    <row r="532" hidden="1">
      <c r="A532" s="1186">
        <v>44896.0</v>
      </c>
      <c r="B532" s="52" t="str">
        <f t="shared" si="1"/>
        <v>12/2022</v>
      </c>
      <c r="C532" s="52" t="str">
        <f>IF(A532="","",VLOOKUP(A532,'THAM CHIẾU'!$A:$B,2,0))</f>
        <v>#N/A</v>
      </c>
      <c r="D532" s="52" t="str">
        <f>IF(E532&lt;&gt;0,VLOOKUP(E532,DM_DUAN,3,0),"")</f>
        <v/>
      </c>
      <c r="E532" s="735"/>
      <c r="F532" s="735"/>
      <c r="G532" s="735"/>
      <c r="H532" s="70"/>
      <c r="I532" s="52" t="str">
        <f>IF($K532&lt;&gt;0,VLOOKUP($K532,DM_KM,3,0),"")</f>
        <v>#N/A</v>
      </c>
      <c r="J532" s="52" t="str">
        <f>IF($K532&lt;&gt;0,VLOOKUP($K532,DM_KM,5,0),"")</f>
        <v>#N/A</v>
      </c>
      <c r="K532" s="1187" t="s">
        <v>226</v>
      </c>
      <c r="L532" s="735"/>
      <c r="M532" s="68"/>
      <c r="N532" s="738">
        <v>1250000.0</v>
      </c>
      <c r="O532" s="1188" t="s">
        <v>2234</v>
      </c>
      <c r="P532" s="751"/>
    </row>
    <row r="533" hidden="1">
      <c r="A533" s="1186">
        <v>44896.0</v>
      </c>
      <c r="B533" s="52" t="str">
        <f t="shared" si="1"/>
        <v>12/2022</v>
      </c>
      <c r="C533" s="52" t="str">
        <f>IF(A533="","",VLOOKUP(A533,'THAM CHIẾU'!$A:$B,2,0))</f>
        <v>#N/A</v>
      </c>
      <c r="D533" s="52" t="str">
        <f>IF(E533&lt;&gt;0,VLOOKUP(E533,DM_DUAN,3,0),"")</f>
        <v/>
      </c>
      <c r="E533" s="735"/>
      <c r="F533" s="735"/>
      <c r="G533" s="735"/>
      <c r="H533" s="70"/>
      <c r="I533" s="52" t="str">
        <f>IF($K533&lt;&gt;0,VLOOKUP($K533,DM_KM,3,0),"")</f>
        <v>#N/A</v>
      </c>
      <c r="J533" s="52" t="str">
        <f>IF($K533&lt;&gt;0,VLOOKUP($K533,DM_KM,5,0),"")</f>
        <v>#N/A</v>
      </c>
      <c r="K533" s="735" t="s">
        <v>174</v>
      </c>
      <c r="L533" s="735"/>
      <c r="M533" s="68"/>
      <c r="N533" s="738">
        <v>4.0861E7</v>
      </c>
      <c r="O533" s="737" t="s">
        <v>2235</v>
      </c>
      <c r="P533" s="751"/>
    </row>
    <row r="534" hidden="1">
      <c r="A534" s="1186">
        <v>44896.0</v>
      </c>
      <c r="B534" s="52" t="str">
        <f t="shared" si="1"/>
        <v>12/2022</v>
      </c>
      <c r="C534" s="52" t="str">
        <f>IF(A534="","",VLOOKUP(A534,'THAM CHIẾU'!$A:$B,2,0))</f>
        <v>#N/A</v>
      </c>
      <c r="D534" s="52" t="str">
        <f>IF(E534&lt;&gt;0,VLOOKUP(E534,DM_DUAN,3,0),"")</f>
        <v/>
      </c>
      <c r="E534" s="735"/>
      <c r="F534" s="735"/>
      <c r="G534" s="735"/>
      <c r="H534" s="70"/>
      <c r="I534" s="52" t="str">
        <f>IF($K534&lt;&gt;0,VLOOKUP($K534,DM_KM,3,0),"")</f>
        <v>#N/A</v>
      </c>
      <c r="J534" s="52" t="str">
        <f>IF($K534&lt;&gt;0,VLOOKUP($K534,DM_KM,5,0),"")</f>
        <v>#N/A</v>
      </c>
      <c r="K534" s="735" t="s">
        <v>2236</v>
      </c>
      <c r="L534" s="735"/>
      <c r="M534" s="68"/>
      <c r="N534" s="738">
        <v>1666000.0</v>
      </c>
      <c r="O534" s="1188" t="s">
        <v>2237</v>
      </c>
      <c r="P534" s="751"/>
    </row>
    <row r="535" hidden="1">
      <c r="A535" s="1186">
        <v>44896.0</v>
      </c>
      <c r="B535" s="52" t="str">
        <f t="shared" si="1"/>
        <v>12/2022</v>
      </c>
      <c r="C535" s="52" t="str">
        <f>IF(A535="","",VLOOKUP(A535,'THAM CHIẾU'!$A:$B,2,0))</f>
        <v>#N/A</v>
      </c>
      <c r="D535" s="52" t="str">
        <f>IF(E535&lt;&gt;0,VLOOKUP(E535,DM_DUAN,3,0),"")</f>
        <v/>
      </c>
      <c r="E535" s="735"/>
      <c r="F535" s="735"/>
      <c r="G535" s="735"/>
      <c r="H535" s="70"/>
      <c r="I535" s="52" t="str">
        <f>IF($K535&lt;&gt;0,VLOOKUP($K535,DM_KM,3,0),"")</f>
        <v/>
      </c>
      <c r="J535" s="52" t="str">
        <f>IF($K535&lt;&gt;0,VLOOKUP($K535,DM_KM,5,0),"")</f>
        <v/>
      </c>
      <c r="K535" s="735"/>
      <c r="L535" s="735"/>
      <c r="M535" s="68"/>
      <c r="N535" s="738"/>
      <c r="O535" s="1188"/>
      <c r="P535" s="751"/>
    </row>
    <row r="536" hidden="1">
      <c r="A536" s="1186">
        <v>44896.0</v>
      </c>
      <c r="B536" s="52" t="str">
        <f t="shared" si="1"/>
        <v>12/2022</v>
      </c>
      <c r="C536" s="52" t="str">
        <f>IF(A536="","",VLOOKUP(A536,'THAM CHIẾU'!$A:$B,2,0))</f>
        <v>#N/A</v>
      </c>
      <c r="D536" s="52" t="str">
        <f>IF(E536&lt;&gt;0,VLOOKUP(E536,DM_DUAN,3,0),"")</f>
        <v/>
      </c>
      <c r="E536" s="735"/>
      <c r="F536" s="735"/>
      <c r="G536" s="735"/>
      <c r="H536" s="70"/>
      <c r="I536" s="52" t="str">
        <f>IF($K536&lt;&gt;0,VLOOKUP($K536,DM_KM,3,0),"")</f>
        <v>#N/A</v>
      </c>
      <c r="J536" s="52" t="str">
        <f>IF($K536&lt;&gt;0,VLOOKUP($K536,DM_KM,5,0),"")</f>
        <v>#N/A</v>
      </c>
      <c r="K536" s="735" t="s">
        <v>169</v>
      </c>
      <c r="L536" s="735"/>
      <c r="M536" s="68"/>
      <c r="N536" s="738">
        <v>1.0643E7</v>
      </c>
      <c r="O536" s="1188" t="s">
        <v>2240</v>
      </c>
      <c r="P536" s="751"/>
    </row>
    <row r="537" hidden="1">
      <c r="A537" s="1186">
        <v>44896.0</v>
      </c>
      <c r="B537" s="52" t="str">
        <f t="shared" si="1"/>
        <v>12/2022</v>
      </c>
      <c r="C537" s="52" t="str">
        <f>IF(A537="","",VLOOKUP(A537,'THAM CHIẾU'!$A:$B,2,0))</f>
        <v>#N/A</v>
      </c>
      <c r="D537" s="52" t="str">
        <f>IF(E537&lt;&gt;0,VLOOKUP(E537,DM_DUAN,3,0),"")</f>
        <v/>
      </c>
      <c r="E537" s="735"/>
      <c r="F537" s="735"/>
      <c r="G537" s="735"/>
      <c r="H537" s="70"/>
      <c r="I537" s="1189" t="str">
        <f>IF($K537&lt;&gt;0,VLOOKUP($K537,DM_KM,3,0),"")</f>
        <v>#N/A</v>
      </c>
      <c r="J537" s="52" t="str">
        <f>IF($K537&lt;&gt;0,VLOOKUP($K537,DM_KM,5,0),"")</f>
        <v>#N/A</v>
      </c>
      <c r="K537" s="1187" t="s">
        <v>190</v>
      </c>
      <c r="L537" s="735"/>
      <c r="M537" s="68"/>
      <c r="N537" s="738">
        <v>3.9E9</v>
      </c>
      <c r="O537" s="1188" t="s">
        <v>2241</v>
      </c>
      <c r="P537" s="739"/>
    </row>
    <row r="538" hidden="1">
      <c r="A538" s="1186">
        <v>44896.0</v>
      </c>
      <c r="B538" s="52" t="str">
        <f t="shared" si="1"/>
        <v>12/2022</v>
      </c>
      <c r="C538" s="52" t="str">
        <f>IF(A538="","",VLOOKUP(A538,'THAM CHIẾU'!$A:$B,2,0))</f>
        <v>#N/A</v>
      </c>
      <c r="D538" s="52" t="str">
        <f>IF(E538&lt;&gt;0,VLOOKUP(E538,DM_DUAN,3,0),"")</f>
        <v/>
      </c>
      <c r="E538" s="735"/>
      <c r="F538" s="735"/>
      <c r="G538" s="735"/>
      <c r="H538" s="70"/>
      <c r="I538" s="1189" t="str">
        <f>IF($K538&lt;&gt;0,VLOOKUP($K538,DM_KM,3,0),"")</f>
        <v>#N/A</v>
      </c>
      <c r="J538" s="52" t="str">
        <f>IF($K538&lt;&gt;0,VLOOKUP($K538,DM_KM,5,0),"")</f>
        <v>#N/A</v>
      </c>
      <c r="K538" s="1187" t="s">
        <v>194</v>
      </c>
      <c r="L538" s="735"/>
      <c r="M538" s="68"/>
      <c r="N538" s="738">
        <v>1.04E9</v>
      </c>
      <c r="O538" s="1188" t="s">
        <v>2242</v>
      </c>
      <c r="P538" s="739"/>
    </row>
    <row r="539" hidden="1">
      <c r="A539" s="1186">
        <v>44896.0</v>
      </c>
      <c r="B539" s="52" t="str">
        <f t="shared" si="1"/>
        <v>12/2022</v>
      </c>
      <c r="C539" s="52" t="str">
        <f>IF(A539="","",VLOOKUP(A539,'THAM CHIẾU'!$A:$B,2,0))</f>
        <v>#N/A</v>
      </c>
      <c r="D539" s="52" t="str">
        <f>IF(E539&lt;&gt;0,VLOOKUP(E539,DM_DUAN,3,0),"")</f>
        <v/>
      </c>
      <c r="E539" s="735"/>
      <c r="F539" s="735"/>
      <c r="G539" s="735"/>
      <c r="H539" s="70"/>
      <c r="I539" s="52" t="str">
        <f>IF($K539&lt;&gt;0,VLOOKUP($K539,DM_KM,3,0),"")</f>
        <v>#N/A</v>
      </c>
      <c r="J539" s="52" t="str">
        <f>IF($K539&lt;&gt;0,VLOOKUP($K539,DM_KM,5,0),"")</f>
        <v>#N/A</v>
      </c>
      <c r="K539" s="1187" t="s">
        <v>1170</v>
      </c>
      <c r="L539" s="735"/>
      <c r="M539" s="68"/>
      <c r="N539" s="738">
        <v>1.3E8</v>
      </c>
      <c r="O539" s="1188" t="s">
        <v>1474</v>
      </c>
      <c r="P539" s="751"/>
    </row>
    <row r="540" hidden="1">
      <c r="A540" s="1186">
        <v>44896.0</v>
      </c>
      <c r="B540" s="52" t="str">
        <f t="shared" si="1"/>
        <v>12/2022</v>
      </c>
      <c r="C540" s="52" t="str">
        <f>IF(A540="","",VLOOKUP(A540,'THAM CHIẾU'!$A:$B,2,0))</f>
        <v>#N/A</v>
      </c>
      <c r="D540" s="52" t="str">
        <f>IF(E540&lt;&gt;0,VLOOKUP(E540,DM_DUAN,3,0),"")</f>
        <v/>
      </c>
      <c r="E540" s="735"/>
      <c r="F540" s="735"/>
      <c r="G540" s="735"/>
      <c r="H540" s="70"/>
      <c r="I540" s="52" t="str">
        <f>IF($K540&lt;&gt;0,VLOOKUP($K540,DM_KM,3,0),"")</f>
        <v>#N/A</v>
      </c>
      <c r="J540" s="52" t="str">
        <f>IF($K540&lt;&gt;0,VLOOKUP($K540,DM_KM,5,0),"")</f>
        <v>#N/A</v>
      </c>
      <c r="K540" s="735" t="s">
        <v>1142</v>
      </c>
      <c r="L540" s="735"/>
      <c r="M540" s="68"/>
      <c r="N540" s="738">
        <v>1.248E9</v>
      </c>
      <c r="O540" s="737" t="s">
        <v>2244</v>
      </c>
      <c r="P540" s="751"/>
    </row>
    <row r="541" hidden="1">
      <c r="A541" s="1186">
        <v>44896.0</v>
      </c>
      <c r="B541" s="52" t="str">
        <f t="shared" si="1"/>
        <v>12/2022</v>
      </c>
      <c r="C541" s="52" t="str">
        <f>IF(A541="","",VLOOKUP(A541,'THAM CHIẾU'!$A:$B,2,0))</f>
        <v>#N/A</v>
      </c>
      <c r="D541" s="52" t="str">
        <f>IF(E541&lt;&gt;0,VLOOKUP(E541,DM_DUAN,3,0),"")</f>
        <v/>
      </c>
      <c r="E541" s="735"/>
      <c r="F541" s="735"/>
      <c r="G541" s="735"/>
      <c r="H541" s="70"/>
      <c r="I541" s="1189" t="str">
        <f>IF($K541&lt;&gt;0,VLOOKUP($K541,DM_KM,3,0),"")</f>
        <v>#N/A</v>
      </c>
      <c r="J541" s="52" t="str">
        <f>IF($K541&lt;&gt;0,VLOOKUP($K541,DM_KM,5,0),"")</f>
        <v>#N/A</v>
      </c>
      <c r="K541" s="1187" t="s">
        <v>181</v>
      </c>
      <c r="L541" s="735"/>
      <c r="M541" s="68"/>
      <c r="N541" s="738">
        <v>1.3E9</v>
      </c>
      <c r="O541" s="1188" t="s">
        <v>2245</v>
      </c>
      <c r="P541" s="751"/>
    </row>
    <row r="542" hidden="1">
      <c r="A542" s="1186">
        <v>44896.0</v>
      </c>
      <c r="B542" s="52" t="str">
        <f t="shared" si="1"/>
        <v>12/2022</v>
      </c>
      <c r="C542" s="52" t="str">
        <f>IF(A542="","",VLOOKUP(A542,'THAM CHIẾU'!$A:$B,2,0))</f>
        <v>#N/A</v>
      </c>
      <c r="D542" s="52" t="str">
        <f>IF(E542&lt;&gt;0,VLOOKUP(E542,DM_DUAN,3,0),"")</f>
        <v/>
      </c>
      <c r="E542" s="735"/>
      <c r="F542" s="735"/>
      <c r="G542" s="735"/>
      <c r="H542" s="70"/>
      <c r="I542" s="52" t="str">
        <f>IF($K542&lt;&gt;0,VLOOKUP($K542,DM_KM,3,0),"")</f>
        <v>#N/A</v>
      </c>
      <c r="J542" s="52" t="str">
        <f>IF($K542&lt;&gt;0,VLOOKUP($K542,DM_KM,5,0),"")</f>
        <v>#N/A</v>
      </c>
      <c r="K542" s="735" t="s">
        <v>2243</v>
      </c>
      <c r="L542" s="735"/>
      <c r="M542" s="68"/>
      <c r="N542" s="738">
        <v>3.9E7</v>
      </c>
      <c r="O542" s="737" t="s">
        <v>2246</v>
      </c>
      <c r="P542" s="751"/>
    </row>
    <row r="543" hidden="1">
      <c r="A543" s="1190"/>
      <c r="B543" s="52" t="str">
        <f t="shared" si="1"/>
        <v/>
      </c>
      <c r="C543" s="52" t="str">
        <f>IF(A543="","",VLOOKUP(A543,'THAM CHIẾU'!$A:$B,2,0))</f>
        <v/>
      </c>
      <c r="D543" s="52" t="str">
        <f>IF(E543&lt;&gt;0,VLOOKUP(E543,DM_DUAN,3,0),"")</f>
        <v/>
      </c>
      <c r="E543" s="735"/>
      <c r="F543" s="735"/>
      <c r="G543" s="735"/>
      <c r="H543" s="70"/>
      <c r="I543" s="52" t="str">
        <f>IF($K543&lt;&gt;0,VLOOKUP($K543,DM_KM,3,0),"")</f>
        <v/>
      </c>
      <c r="J543" s="52" t="str">
        <f>IF($K543&lt;&gt;0,VLOOKUP($K543,DM_KM,5,0),"")</f>
        <v/>
      </c>
      <c r="K543" s="735"/>
      <c r="L543" s="735"/>
      <c r="M543" s="68"/>
      <c r="N543" s="738">
        <v>0.0</v>
      </c>
      <c r="O543" s="737"/>
      <c r="P543" s="751"/>
    </row>
    <row r="544" hidden="1">
      <c r="A544" s="1190"/>
      <c r="B544" s="52" t="str">
        <f t="shared" si="1"/>
        <v/>
      </c>
      <c r="C544" s="52" t="str">
        <f>IF(A544="","",VLOOKUP(A544,'THAM CHIẾU'!$A:$B,2,0))</f>
        <v/>
      </c>
      <c r="D544" s="52" t="str">
        <f>IF(E544&lt;&gt;0,VLOOKUP(E544,DM_DUAN,3,0),"")</f>
        <v/>
      </c>
      <c r="E544" s="735"/>
      <c r="F544" s="735"/>
      <c r="G544" s="735"/>
      <c r="H544" s="70"/>
      <c r="I544" s="52" t="str">
        <f>IF($K544&lt;&gt;0,VLOOKUP($K544,DM_KM,3,0),"")</f>
        <v/>
      </c>
      <c r="J544" s="52" t="str">
        <f>IF($K544&lt;&gt;0,VLOOKUP($K544,DM_KM,5,0),"")</f>
        <v/>
      </c>
      <c r="K544" s="735"/>
      <c r="L544" s="735"/>
      <c r="M544" s="68"/>
      <c r="N544" s="738">
        <v>0.0</v>
      </c>
      <c r="O544" s="737"/>
      <c r="P544" s="751"/>
    </row>
    <row r="545" hidden="1">
      <c r="A545" s="1190"/>
      <c r="B545" s="52" t="str">
        <f t="shared" si="1"/>
        <v/>
      </c>
      <c r="C545" s="52" t="str">
        <f>IF(A545="","",VLOOKUP(A545,'THAM CHIẾU'!$A:$B,2,0))</f>
        <v/>
      </c>
      <c r="D545" s="52" t="str">
        <f>IF(E545&lt;&gt;0,VLOOKUP(E545,DM_DUAN,3,0),"")</f>
        <v/>
      </c>
      <c r="E545" s="735"/>
      <c r="F545" s="735"/>
      <c r="G545" s="735"/>
      <c r="H545" s="70"/>
      <c r="I545" s="52" t="str">
        <f>IF($K545&lt;&gt;0,VLOOKUP($K545,DM_KM,3,0),"")</f>
        <v/>
      </c>
      <c r="J545" s="52" t="str">
        <f>IF($K545&lt;&gt;0,VLOOKUP($K545,DM_KM,5,0),"")</f>
        <v/>
      </c>
      <c r="K545" s="735"/>
      <c r="L545" s="735"/>
      <c r="M545" s="68"/>
      <c r="N545" s="738">
        <v>0.0</v>
      </c>
      <c r="O545" s="737"/>
      <c r="P545" s="751"/>
    </row>
    <row r="546" hidden="1">
      <c r="A546" s="1190"/>
      <c r="B546" s="52" t="str">
        <f t="shared" si="1"/>
        <v/>
      </c>
      <c r="C546" s="52" t="str">
        <f>IF(A546="","",VLOOKUP(A546,'THAM CHIẾU'!$A:$B,2,0))</f>
        <v/>
      </c>
      <c r="D546" s="52" t="str">
        <f>IF(E546&lt;&gt;0,VLOOKUP(E546,DM_DUAN,3,0),"")</f>
        <v/>
      </c>
      <c r="E546" s="735"/>
      <c r="F546" s="735"/>
      <c r="G546" s="735"/>
      <c r="H546" s="70"/>
      <c r="I546" s="52" t="str">
        <f>IF($K546&lt;&gt;0,VLOOKUP($K546,DM_KM,3,0),"")</f>
        <v/>
      </c>
      <c r="J546" s="52" t="str">
        <f>IF($K546&lt;&gt;0,VLOOKUP($K546,DM_KM,5,0),"")</f>
        <v/>
      </c>
      <c r="K546" s="735"/>
      <c r="L546" s="735"/>
      <c r="M546" s="68"/>
      <c r="N546" s="738">
        <v>0.0</v>
      </c>
      <c r="O546" s="737"/>
      <c r="P546" s="751"/>
    </row>
    <row r="547" hidden="1">
      <c r="A547" s="1190"/>
      <c r="B547" s="52" t="str">
        <f t="shared" si="1"/>
        <v/>
      </c>
      <c r="C547" s="52" t="str">
        <f>IF(A547="","",VLOOKUP(A547,'THAM CHIẾU'!$A:$B,2,0))</f>
        <v/>
      </c>
      <c r="D547" s="52" t="str">
        <f>IF(E547&lt;&gt;0,VLOOKUP(E547,DM_DUAN,3,0),"")</f>
        <v/>
      </c>
      <c r="E547" s="735"/>
      <c r="F547" s="735"/>
      <c r="G547" s="735"/>
      <c r="H547" s="70"/>
      <c r="I547" s="52" t="str">
        <f>IF($K547&lt;&gt;0,VLOOKUP($K547,DM_KM,3,0),"")</f>
        <v/>
      </c>
      <c r="J547" s="52" t="str">
        <f>IF($K547&lt;&gt;0,VLOOKUP($K547,DM_KM,5,0),"")</f>
        <v/>
      </c>
      <c r="K547" s="735"/>
      <c r="L547" s="735"/>
      <c r="M547" s="68"/>
      <c r="N547" s="738">
        <v>0.0</v>
      </c>
      <c r="O547" s="737"/>
      <c r="P547" s="751"/>
    </row>
    <row r="548" hidden="1">
      <c r="A548" s="1190"/>
      <c r="B548" s="52" t="str">
        <f t="shared" si="1"/>
        <v/>
      </c>
      <c r="C548" s="52" t="str">
        <f>IF(A548="","",VLOOKUP(A548,'THAM CHIẾU'!$A:$B,2,0))</f>
        <v/>
      </c>
      <c r="D548" s="52" t="str">
        <f>IF(E548&lt;&gt;0,VLOOKUP(E548,DM_DUAN,3,0),"")</f>
        <v/>
      </c>
      <c r="E548" s="735"/>
      <c r="F548" s="735"/>
      <c r="G548" s="735"/>
      <c r="H548" s="70"/>
      <c r="I548" s="52" t="str">
        <f>IF($K548&lt;&gt;0,VLOOKUP($K548,DM_KM,3,0),"")</f>
        <v/>
      </c>
      <c r="J548" s="52" t="str">
        <f>IF($K548&lt;&gt;0,VLOOKUP($K548,DM_KM,5,0),"")</f>
        <v/>
      </c>
      <c r="K548" s="735"/>
      <c r="L548" s="735"/>
      <c r="M548" s="68"/>
      <c r="N548" s="738">
        <v>0.0</v>
      </c>
      <c r="O548" s="737"/>
      <c r="P548" s="751"/>
    </row>
    <row r="549" hidden="1">
      <c r="A549" s="1190"/>
      <c r="B549" s="52" t="str">
        <f t="shared" si="1"/>
        <v/>
      </c>
      <c r="C549" s="52" t="str">
        <f>IF(A549="","",VLOOKUP(A549,'THAM CHIẾU'!$A:$B,2,0))</f>
        <v/>
      </c>
      <c r="D549" s="52" t="str">
        <f>IF(E549&lt;&gt;0,VLOOKUP(E549,DM_DUAN,3,0),"")</f>
        <v/>
      </c>
      <c r="E549" s="735"/>
      <c r="F549" s="735"/>
      <c r="G549" s="735"/>
      <c r="H549" s="70"/>
      <c r="I549" s="52" t="str">
        <f>IF($K549&lt;&gt;0,VLOOKUP($K549,DM_KM,3,0),"")</f>
        <v/>
      </c>
      <c r="J549" s="52" t="str">
        <f>IF($K549&lt;&gt;0,VLOOKUP($K549,DM_KM,5,0),"")</f>
        <v/>
      </c>
      <c r="K549" s="735"/>
      <c r="L549" s="735"/>
      <c r="M549" s="68"/>
      <c r="N549" s="738">
        <v>0.0</v>
      </c>
      <c r="O549" s="737"/>
      <c r="P549" s="751"/>
    </row>
    <row r="550" hidden="1">
      <c r="A550" s="1190"/>
      <c r="B550" s="52" t="str">
        <f t="shared" si="1"/>
        <v/>
      </c>
      <c r="C550" s="52" t="str">
        <f>IF(A550="","",VLOOKUP(A550,'THAM CHIẾU'!$A:$B,2,0))</f>
        <v/>
      </c>
      <c r="D550" s="52" t="str">
        <f>IF(E550&lt;&gt;0,VLOOKUP(E550,DM_DUAN,3,0),"")</f>
        <v/>
      </c>
      <c r="E550" s="735"/>
      <c r="F550" s="735"/>
      <c r="G550" s="735"/>
      <c r="H550" s="70"/>
      <c r="I550" s="52" t="str">
        <f>IF($K550&lt;&gt;0,VLOOKUP($K550,DM_KM,3,0),"")</f>
        <v/>
      </c>
      <c r="J550" s="52" t="str">
        <f>IF($K550&lt;&gt;0,VLOOKUP($K550,DM_KM,5,0),"")</f>
        <v/>
      </c>
      <c r="K550" s="735"/>
      <c r="L550" s="735"/>
      <c r="M550" s="68"/>
      <c r="N550" s="738">
        <v>0.0</v>
      </c>
      <c r="O550" s="737"/>
      <c r="P550" s="751"/>
    </row>
    <row r="551" hidden="1">
      <c r="A551" s="1190"/>
      <c r="B551" s="52" t="str">
        <f t="shared" si="1"/>
        <v/>
      </c>
      <c r="C551" s="52" t="str">
        <f>IF(A551="","",VLOOKUP(A551,'THAM CHIẾU'!$A:$B,2,0))</f>
        <v/>
      </c>
      <c r="D551" s="52" t="str">
        <f>IF(E551&lt;&gt;0,VLOOKUP(E551,DM_DUAN,3,0),"")</f>
        <v/>
      </c>
      <c r="E551" s="735"/>
      <c r="F551" s="735"/>
      <c r="G551" s="735"/>
      <c r="H551" s="70"/>
      <c r="I551" s="52" t="str">
        <f>IF($K551&lt;&gt;0,VLOOKUP($K551,DM_KM,3,0),"")</f>
        <v/>
      </c>
      <c r="J551" s="52" t="str">
        <f>IF($K551&lt;&gt;0,VLOOKUP($K551,DM_KM,5,0),"")</f>
        <v/>
      </c>
      <c r="K551" s="735"/>
      <c r="L551" s="735"/>
      <c r="M551" s="68"/>
      <c r="N551" s="738">
        <v>0.0</v>
      </c>
      <c r="O551" s="737"/>
      <c r="P551" s="751"/>
    </row>
    <row r="552" hidden="1">
      <c r="A552" s="1190"/>
      <c r="B552" s="52" t="str">
        <f t="shared" si="1"/>
        <v/>
      </c>
      <c r="C552" s="52" t="str">
        <f>IF(A552="","",VLOOKUP(A552,'THAM CHIẾU'!$A:$B,2,0))</f>
        <v/>
      </c>
      <c r="D552" s="52" t="str">
        <f>IF(E552&lt;&gt;0,VLOOKUP(E552,DM_DUAN,3,0),"")</f>
        <v/>
      </c>
      <c r="E552" s="735"/>
      <c r="F552" s="735"/>
      <c r="G552" s="735"/>
      <c r="H552" s="70"/>
      <c r="I552" s="52" t="str">
        <f>IF($K552&lt;&gt;0,VLOOKUP($K552,DM_KM,3,0),"")</f>
        <v/>
      </c>
      <c r="J552" s="52" t="str">
        <f>IF($K552&lt;&gt;0,VLOOKUP($K552,DM_KM,5,0),"")</f>
        <v/>
      </c>
      <c r="K552" s="735"/>
      <c r="L552" s="735"/>
      <c r="M552" s="68"/>
      <c r="N552" s="738">
        <v>0.0</v>
      </c>
      <c r="O552" s="737"/>
      <c r="P552" s="751"/>
    </row>
    <row r="553" hidden="1">
      <c r="A553" s="1190"/>
      <c r="B553" s="52" t="str">
        <f t="shared" si="1"/>
        <v/>
      </c>
      <c r="C553" s="52" t="str">
        <f>IF(A553="","",VLOOKUP(A553,'THAM CHIẾU'!$A:$B,2,0))</f>
        <v/>
      </c>
      <c r="D553" s="52" t="str">
        <f>IF(E553&lt;&gt;0,VLOOKUP(E553,DM_DUAN,3,0),"")</f>
        <v/>
      </c>
      <c r="E553" s="735"/>
      <c r="F553" s="735"/>
      <c r="G553" s="735"/>
      <c r="H553" s="70"/>
      <c r="I553" s="52" t="str">
        <f>IF($K553&lt;&gt;0,VLOOKUP($K553,DM_KM,3,0),"")</f>
        <v/>
      </c>
      <c r="J553" s="52" t="str">
        <f>IF($K553&lt;&gt;0,VLOOKUP($K553,DM_KM,5,0),"")</f>
        <v/>
      </c>
      <c r="K553" s="735"/>
      <c r="L553" s="735"/>
      <c r="M553" s="68"/>
      <c r="N553" s="738">
        <v>0.0</v>
      </c>
      <c r="O553" s="737"/>
      <c r="P553" s="751"/>
    </row>
    <row r="554" hidden="1">
      <c r="A554" s="1190"/>
      <c r="B554" s="52" t="str">
        <f t="shared" si="1"/>
        <v/>
      </c>
      <c r="C554" s="52" t="str">
        <f>IF(A554="","",VLOOKUP(A554,'THAM CHIẾU'!$A:$B,2,0))</f>
        <v/>
      </c>
      <c r="D554" s="52" t="str">
        <f>IF(E554&lt;&gt;0,VLOOKUP(E554,DM_DUAN,3,0),"")</f>
        <v/>
      </c>
      <c r="E554" s="735"/>
      <c r="F554" s="735"/>
      <c r="G554" s="735"/>
      <c r="H554" s="70"/>
      <c r="I554" s="52" t="str">
        <f>IF($K554&lt;&gt;0,VLOOKUP($K554,DM_KM,3,0),"")</f>
        <v/>
      </c>
      <c r="J554" s="52" t="str">
        <f>IF($K554&lt;&gt;0,VLOOKUP($K554,DM_KM,5,0),"")</f>
        <v/>
      </c>
      <c r="K554" s="735"/>
      <c r="L554" s="735"/>
      <c r="M554" s="68"/>
      <c r="N554" s="738">
        <v>0.0</v>
      </c>
      <c r="O554" s="737"/>
      <c r="P554" s="751"/>
    </row>
    <row r="555" hidden="1">
      <c r="A555" s="1190"/>
      <c r="B555" s="52" t="str">
        <f t="shared" si="1"/>
        <v/>
      </c>
      <c r="C555" s="52" t="str">
        <f>IF(A555="","",VLOOKUP(A555,'THAM CHIẾU'!$A:$B,2,0))</f>
        <v/>
      </c>
      <c r="D555" s="52" t="str">
        <f>IF(E555&lt;&gt;0,VLOOKUP(E555,DM_DUAN,3,0),"")</f>
        <v/>
      </c>
      <c r="E555" s="735"/>
      <c r="F555" s="735"/>
      <c r="G555" s="735"/>
      <c r="H555" s="70"/>
      <c r="I555" s="52" t="str">
        <f>IF($K555&lt;&gt;0,VLOOKUP($K555,DM_KM,3,0),"")</f>
        <v/>
      </c>
      <c r="J555" s="52" t="str">
        <f>IF($K555&lt;&gt;0,VLOOKUP($K555,DM_KM,5,0),"")</f>
        <v/>
      </c>
      <c r="K555" s="735"/>
      <c r="L555" s="735"/>
      <c r="M555" s="68"/>
      <c r="N555" s="738">
        <v>0.0</v>
      </c>
      <c r="O555" s="737"/>
      <c r="P555" s="751"/>
    </row>
    <row r="556" hidden="1">
      <c r="A556" s="1190"/>
      <c r="B556" s="52" t="str">
        <f t="shared" si="1"/>
        <v/>
      </c>
      <c r="C556" s="52" t="str">
        <f>IF(A556="","",VLOOKUP(A556,'THAM CHIẾU'!$A:$B,2,0))</f>
        <v/>
      </c>
      <c r="D556" s="52" t="str">
        <f>IF(E556&lt;&gt;0,VLOOKUP(E556,DM_DUAN,3,0),"")</f>
        <v/>
      </c>
      <c r="E556" s="735"/>
      <c r="F556" s="735"/>
      <c r="G556" s="735"/>
      <c r="H556" s="70"/>
      <c r="I556" s="52" t="str">
        <f>IF($K556&lt;&gt;0,VLOOKUP($K556,DM_KM,3,0),"")</f>
        <v/>
      </c>
      <c r="J556" s="52" t="str">
        <f>IF($K556&lt;&gt;0,VLOOKUP($K556,DM_KM,5,0),"")</f>
        <v/>
      </c>
      <c r="K556" s="735"/>
      <c r="L556" s="735"/>
      <c r="M556" s="68"/>
      <c r="N556" s="738">
        <v>0.0</v>
      </c>
      <c r="O556" s="737"/>
      <c r="P556" s="751"/>
    </row>
    <row r="557" hidden="1">
      <c r="A557" s="1190"/>
      <c r="B557" s="52" t="str">
        <f t="shared" si="1"/>
        <v/>
      </c>
      <c r="C557" s="52" t="str">
        <f>IF(A557="","",VLOOKUP(A557,'THAM CHIẾU'!$A:$B,2,0))</f>
        <v/>
      </c>
      <c r="D557" s="52" t="str">
        <f>IF(E557&lt;&gt;0,VLOOKUP(E557,DM_DUAN,3,0),"")</f>
        <v/>
      </c>
      <c r="E557" s="735"/>
      <c r="F557" s="735"/>
      <c r="G557" s="735"/>
      <c r="H557" s="70"/>
      <c r="I557" s="52" t="str">
        <f>IF($K557&lt;&gt;0,VLOOKUP($K557,DM_KM,3,0),"")</f>
        <v/>
      </c>
      <c r="J557" s="52" t="str">
        <f>IF($K557&lt;&gt;0,VLOOKUP($K557,DM_KM,5,0),"")</f>
        <v/>
      </c>
      <c r="K557" s="735"/>
      <c r="L557" s="735"/>
      <c r="M557" s="68"/>
      <c r="N557" s="738">
        <v>0.0</v>
      </c>
      <c r="O557" s="737"/>
      <c r="P557" s="751"/>
    </row>
    <row r="558" hidden="1">
      <c r="A558" s="1190"/>
      <c r="B558" s="52" t="str">
        <f t="shared" si="1"/>
        <v/>
      </c>
      <c r="C558" s="52" t="str">
        <f>IF(A558="","",VLOOKUP(A558,'THAM CHIẾU'!$A:$B,2,0))</f>
        <v/>
      </c>
      <c r="D558" s="52" t="str">
        <f>IF(E558&lt;&gt;0,VLOOKUP(E558,DM_DUAN,3,0),"")</f>
        <v/>
      </c>
      <c r="E558" s="735"/>
      <c r="F558" s="735"/>
      <c r="G558" s="735"/>
      <c r="H558" s="70"/>
      <c r="I558" s="52" t="str">
        <f>IF($K558&lt;&gt;0,VLOOKUP($K558,DM_KM,3,0),"")</f>
        <v/>
      </c>
      <c r="J558" s="52" t="str">
        <f>IF($K558&lt;&gt;0,VLOOKUP($K558,DM_KM,5,0),"")</f>
        <v/>
      </c>
      <c r="K558" s="735"/>
      <c r="L558" s="735"/>
      <c r="M558" s="68"/>
      <c r="N558" s="738">
        <v>0.0</v>
      </c>
      <c r="O558" s="737"/>
      <c r="P558" s="751"/>
    </row>
    <row r="559" hidden="1">
      <c r="A559" s="1190"/>
      <c r="B559" s="52" t="str">
        <f t="shared" si="1"/>
        <v/>
      </c>
      <c r="C559" s="52" t="str">
        <f>IF(A559="","",VLOOKUP(A559,'THAM CHIẾU'!$A:$B,2,0))</f>
        <v/>
      </c>
      <c r="D559" s="52" t="str">
        <f>IF(E559&lt;&gt;0,VLOOKUP(E559,DM_DUAN,3,0),"")</f>
        <v/>
      </c>
      <c r="E559" s="735"/>
      <c r="F559" s="735"/>
      <c r="G559" s="735"/>
      <c r="H559" s="70"/>
      <c r="I559" s="52" t="str">
        <f>IF($K559&lt;&gt;0,VLOOKUP($K559,DM_KM,3,0),"")</f>
        <v/>
      </c>
      <c r="J559" s="52" t="str">
        <f>IF($K559&lt;&gt;0,VLOOKUP($K559,DM_KM,5,0),"")</f>
        <v/>
      </c>
      <c r="K559" s="735"/>
      <c r="L559" s="735"/>
      <c r="M559" s="68"/>
      <c r="N559" s="738">
        <v>0.0</v>
      </c>
      <c r="O559" s="737"/>
      <c r="P559" s="751"/>
    </row>
    <row r="560" hidden="1">
      <c r="A560" s="1190"/>
      <c r="B560" s="52" t="str">
        <f t="shared" si="1"/>
        <v/>
      </c>
      <c r="C560" s="52" t="str">
        <f>IF(A560="","",VLOOKUP(A560,'THAM CHIẾU'!$A:$B,2,0))</f>
        <v/>
      </c>
      <c r="D560" s="52" t="str">
        <f>IF(E560&lt;&gt;0,VLOOKUP(E560,DM_DUAN,3,0),"")</f>
        <v/>
      </c>
      <c r="E560" s="735"/>
      <c r="F560" s="735"/>
      <c r="G560" s="735"/>
      <c r="H560" s="70"/>
      <c r="I560" s="52" t="str">
        <f>IF($K560&lt;&gt;0,VLOOKUP($K560,DM_KM,3,0),"")</f>
        <v/>
      </c>
      <c r="J560" s="52" t="str">
        <f>IF($K560&lt;&gt;0,VLOOKUP($K560,DM_KM,5,0),"")</f>
        <v/>
      </c>
      <c r="K560" s="735"/>
      <c r="L560" s="735"/>
      <c r="M560" s="68"/>
      <c r="N560" s="738">
        <v>0.0</v>
      </c>
      <c r="O560" s="737"/>
      <c r="P560" s="751"/>
    </row>
    <row r="561" hidden="1">
      <c r="A561" s="1190"/>
      <c r="B561" s="52" t="str">
        <f t="shared" si="1"/>
        <v/>
      </c>
      <c r="C561" s="52" t="str">
        <f>IF(A561="","",VLOOKUP(A561,'THAM CHIẾU'!$A:$B,2,0))</f>
        <v/>
      </c>
      <c r="D561" s="52" t="str">
        <f>IF(E561&lt;&gt;0,VLOOKUP(E561,DM_DUAN,3,0),"")</f>
        <v/>
      </c>
      <c r="E561" s="735"/>
      <c r="F561" s="735"/>
      <c r="G561" s="735"/>
      <c r="H561" s="70"/>
      <c r="I561" s="52" t="str">
        <f>IF($K561&lt;&gt;0,VLOOKUP($K561,DM_KM,3,0),"")</f>
        <v/>
      </c>
      <c r="J561" s="52" t="str">
        <f>IF($K561&lt;&gt;0,VLOOKUP($K561,DM_KM,5,0),"")</f>
        <v/>
      </c>
      <c r="K561" s="735"/>
      <c r="L561" s="735"/>
      <c r="M561" s="68"/>
      <c r="N561" s="738">
        <v>0.0</v>
      </c>
      <c r="O561" s="737"/>
      <c r="P561" s="751"/>
    </row>
    <row r="562" hidden="1">
      <c r="A562" s="1190"/>
      <c r="B562" s="52" t="str">
        <f t="shared" si="1"/>
        <v/>
      </c>
      <c r="C562" s="52" t="str">
        <f>IF(A562="","",VLOOKUP(A562,'THAM CHIẾU'!$A:$B,2,0))</f>
        <v/>
      </c>
      <c r="D562" s="52" t="str">
        <f>IF(E562&lt;&gt;0,VLOOKUP(E562,DM_DUAN,3,0),"")</f>
        <v/>
      </c>
      <c r="E562" s="735"/>
      <c r="F562" s="735"/>
      <c r="G562" s="735"/>
      <c r="H562" s="70"/>
      <c r="I562" s="52" t="str">
        <f>IF($K562&lt;&gt;0,VLOOKUP($K562,DM_KM,3,0),"")</f>
        <v/>
      </c>
      <c r="J562" s="52" t="str">
        <f>IF($K562&lt;&gt;0,VLOOKUP($K562,DM_KM,5,0),"")</f>
        <v/>
      </c>
      <c r="K562" s="735"/>
      <c r="L562" s="735"/>
      <c r="M562" s="68"/>
      <c r="N562" s="738">
        <v>0.0</v>
      </c>
      <c r="O562" s="737"/>
      <c r="P562" s="751"/>
    </row>
    <row r="563" hidden="1">
      <c r="A563" s="1190"/>
      <c r="B563" s="52" t="str">
        <f t="shared" si="1"/>
        <v/>
      </c>
      <c r="C563" s="52" t="str">
        <f>IF(A563="","",VLOOKUP(A563,'THAM CHIẾU'!$A:$B,2,0))</f>
        <v/>
      </c>
      <c r="D563" s="52" t="str">
        <f>IF(E563&lt;&gt;0,VLOOKUP(E563,DM_DUAN,3,0),"")</f>
        <v/>
      </c>
      <c r="E563" s="735"/>
      <c r="F563" s="735"/>
      <c r="G563" s="735"/>
      <c r="H563" s="70"/>
      <c r="I563" s="52" t="str">
        <f>IF($K563&lt;&gt;0,VLOOKUP($K563,DM_KM,3,0),"")</f>
        <v/>
      </c>
      <c r="J563" s="52" t="str">
        <f>IF($K563&lt;&gt;0,VLOOKUP($K563,DM_KM,5,0),"")</f>
        <v/>
      </c>
      <c r="K563" s="735"/>
      <c r="L563" s="735"/>
      <c r="M563" s="68"/>
      <c r="N563" s="738">
        <v>0.0</v>
      </c>
      <c r="O563" s="737"/>
      <c r="P563" s="751"/>
    </row>
    <row r="564" hidden="1">
      <c r="A564" s="1190"/>
      <c r="B564" s="52" t="str">
        <f t="shared" si="1"/>
        <v/>
      </c>
      <c r="C564" s="52" t="str">
        <f>IF(A564="","",VLOOKUP(A564,'THAM CHIẾU'!$A:$B,2,0))</f>
        <v/>
      </c>
      <c r="D564" s="52" t="str">
        <f>IF(E564&lt;&gt;0,VLOOKUP(E564,DM_DUAN,3,0),"")</f>
        <v/>
      </c>
      <c r="E564" s="735"/>
      <c r="F564" s="735"/>
      <c r="G564" s="735"/>
      <c r="H564" s="70"/>
      <c r="I564" s="52" t="str">
        <f>IF($K564&lt;&gt;0,VLOOKUP($K564,DM_KM,3,0),"")</f>
        <v/>
      </c>
      <c r="J564" s="52" t="str">
        <f>IF($K564&lt;&gt;0,VLOOKUP($K564,DM_KM,5,0),"")</f>
        <v/>
      </c>
      <c r="K564" s="735"/>
      <c r="L564" s="735"/>
      <c r="M564" s="68"/>
      <c r="N564" s="738">
        <v>0.0</v>
      </c>
      <c r="O564" s="737"/>
      <c r="P564" s="751"/>
    </row>
    <row r="565" hidden="1">
      <c r="A565" s="1190"/>
      <c r="B565" s="52" t="str">
        <f t="shared" si="1"/>
        <v/>
      </c>
      <c r="C565" s="52" t="str">
        <f>IF(A565="","",VLOOKUP(A565,'THAM CHIẾU'!$A:$B,2,0))</f>
        <v/>
      </c>
      <c r="D565" s="52" t="str">
        <f>IF(E565&lt;&gt;0,VLOOKUP(E565,DM_DUAN,3,0),"")</f>
        <v/>
      </c>
      <c r="E565" s="735"/>
      <c r="F565" s="735"/>
      <c r="G565" s="735"/>
      <c r="H565" s="70"/>
      <c r="I565" s="52" t="str">
        <f>IF($K565&lt;&gt;0,VLOOKUP($K565,DM_KM,3,0),"")</f>
        <v/>
      </c>
      <c r="J565" s="52" t="str">
        <f>IF($K565&lt;&gt;0,VLOOKUP($K565,DM_KM,5,0),"")</f>
        <v/>
      </c>
      <c r="K565" s="735"/>
      <c r="L565" s="735"/>
      <c r="M565" s="68"/>
      <c r="N565" s="738">
        <v>0.0</v>
      </c>
      <c r="O565" s="737"/>
      <c r="P565" s="751"/>
    </row>
    <row r="566" hidden="1">
      <c r="A566" s="1190"/>
      <c r="B566" s="52" t="str">
        <f t="shared" si="1"/>
        <v/>
      </c>
      <c r="C566" s="52" t="str">
        <f>IF(A566="","",VLOOKUP(A566,'THAM CHIẾU'!$A:$B,2,0))</f>
        <v/>
      </c>
      <c r="D566" s="52" t="str">
        <f>IF(E566&lt;&gt;0,VLOOKUP(E566,DM_DUAN,3,0),"")</f>
        <v/>
      </c>
      <c r="E566" s="735"/>
      <c r="F566" s="735"/>
      <c r="G566" s="735"/>
      <c r="H566" s="70"/>
      <c r="I566" s="52" t="str">
        <f>IF($K566&lt;&gt;0,VLOOKUP($K566,DM_KM,3,0),"")</f>
        <v/>
      </c>
      <c r="J566" s="52" t="str">
        <f>IF($K566&lt;&gt;0,VLOOKUP($K566,DM_KM,5,0),"")</f>
        <v/>
      </c>
      <c r="K566" s="735"/>
      <c r="L566" s="735"/>
      <c r="M566" s="68"/>
      <c r="N566" s="738">
        <v>0.0</v>
      </c>
      <c r="O566" s="737"/>
      <c r="P566" s="751"/>
    </row>
    <row r="567" hidden="1">
      <c r="A567" s="1190"/>
      <c r="B567" s="52" t="str">
        <f t="shared" si="1"/>
        <v/>
      </c>
      <c r="C567" s="52" t="str">
        <f>IF(A567="","",VLOOKUP(A567,'THAM CHIẾU'!$A:$B,2,0))</f>
        <v/>
      </c>
      <c r="D567" s="52" t="str">
        <f>IF(E567&lt;&gt;0,VLOOKUP(E567,DM_DUAN,3,0),"")</f>
        <v/>
      </c>
      <c r="E567" s="735"/>
      <c r="F567" s="735"/>
      <c r="G567" s="735"/>
      <c r="H567" s="70"/>
      <c r="I567" s="52" t="str">
        <f>IF($K567&lt;&gt;0,VLOOKUP($K567,DM_KM,3,0),"")</f>
        <v/>
      </c>
      <c r="J567" s="52" t="str">
        <f>IF($K567&lt;&gt;0,VLOOKUP($K567,DM_KM,5,0),"")</f>
        <v/>
      </c>
      <c r="K567" s="735"/>
      <c r="L567" s="735"/>
      <c r="M567" s="68"/>
      <c r="N567" s="738">
        <v>0.0</v>
      </c>
      <c r="O567" s="737"/>
      <c r="P567" s="751"/>
    </row>
    <row r="568" hidden="1">
      <c r="A568" s="1190"/>
      <c r="B568" s="52" t="str">
        <f t="shared" si="1"/>
        <v/>
      </c>
      <c r="C568" s="52" t="str">
        <f>IF(A568="","",VLOOKUP(A568,'THAM CHIẾU'!$A:$B,2,0))</f>
        <v/>
      </c>
      <c r="D568" s="52" t="str">
        <f>IF(E568&lt;&gt;0,VLOOKUP(E568,DM_DUAN,3,0),"")</f>
        <v/>
      </c>
      <c r="E568" s="735"/>
      <c r="F568" s="735"/>
      <c r="G568" s="735"/>
      <c r="H568" s="70"/>
      <c r="I568" s="52" t="str">
        <f>IF($K568&lt;&gt;0,VLOOKUP($K568,DM_KM,3,0),"")</f>
        <v/>
      </c>
      <c r="J568" s="52" t="str">
        <f>IF($K568&lt;&gt;0,VLOOKUP($K568,DM_KM,5,0),"")</f>
        <v/>
      </c>
      <c r="K568" s="735"/>
      <c r="L568" s="735"/>
      <c r="M568" s="68"/>
      <c r="N568" s="738">
        <v>0.0</v>
      </c>
      <c r="O568" s="737"/>
      <c r="P568" s="751"/>
    </row>
    <row r="569" hidden="1">
      <c r="A569" s="1190"/>
      <c r="B569" s="52" t="str">
        <f t="shared" si="1"/>
        <v/>
      </c>
      <c r="C569" s="52" t="str">
        <f>IF(A569="","",VLOOKUP(A569,'THAM CHIẾU'!$A:$B,2,0))</f>
        <v/>
      </c>
      <c r="D569" s="52" t="str">
        <f>IF(E569&lt;&gt;0,VLOOKUP(E569,DM_DUAN,3,0),"")</f>
        <v/>
      </c>
      <c r="E569" s="735"/>
      <c r="F569" s="735"/>
      <c r="G569" s="735"/>
      <c r="H569" s="70"/>
      <c r="I569" s="52" t="str">
        <f>IF($K569&lt;&gt;0,VLOOKUP($K569,DM_KM,3,0),"")</f>
        <v/>
      </c>
      <c r="J569" s="52" t="str">
        <f>IF($K569&lt;&gt;0,VLOOKUP($K569,DM_KM,5,0),"")</f>
        <v/>
      </c>
      <c r="K569" s="735"/>
      <c r="L569" s="735"/>
      <c r="M569" s="68"/>
      <c r="N569" s="738">
        <v>0.0</v>
      </c>
      <c r="O569" s="737"/>
      <c r="P569" s="751"/>
    </row>
    <row r="570" hidden="1">
      <c r="A570" s="1190"/>
      <c r="B570" s="52" t="str">
        <f t="shared" si="1"/>
        <v/>
      </c>
      <c r="C570" s="52" t="str">
        <f>IF(A570="","",VLOOKUP(A570,'THAM CHIẾU'!$A:$B,2,0))</f>
        <v/>
      </c>
      <c r="D570" s="52" t="str">
        <f>IF(E570&lt;&gt;0,VLOOKUP(E570,DM_DUAN,3,0),"")</f>
        <v/>
      </c>
      <c r="E570" s="735"/>
      <c r="F570" s="735"/>
      <c r="G570" s="735"/>
      <c r="H570" s="70"/>
      <c r="I570" s="52" t="str">
        <f>IF($K570&lt;&gt;0,VLOOKUP($K570,DM_KM,3,0),"")</f>
        <v/>
      </c>
      <c r="J570" s="52" t="str">
        <f>IF($K570&lt;&gt;0,VLOOKUP($K570,DM_KM,5,0),"")</f>
        <v/>
      </c>
      <c r="K570" s="735"/>
      <c r="L570" s="735"/>
      <c r="M570" s="68"/>
      <c r="N570" s="738">
        <v>0.0</v>
      </c>
      <c r="O570" s="737"/>
      <c r="P570" s="751"/>
    </row>
    <row r="571" hidden="1">
      <c r="A571" s="1190"/>
      <c r="B571" s="52" t="str">
        <f t="shared" si="1"/>
        <v/>
      </c>
      <c r="C571" s="52" t="str">
        <f>IF(A571="","",VLOOKUP(A571,'THAM CHIẾU'!$A:$B,2,0))</f>
        <v/>
      </c>
      <c r="D571" s="52" t="str">
        <f>IF(E571&lt;&gt;0,VLOOKUP(E571,DM_DUAN,3,0),"")</f>
        <v/>
      </c>
      <c r="E571" s="735"/>
      <c r="F571" s="735"/>
      <c r="G571" s="735"/>
      <c r="H571" s="70"/>
      <c r="I571" s="52" t="str">
        <f>IF($K571&lt;&gt;0,VLOOKUP($K571,DM_KM,3,0),"")</f>
        <v/>
      </c>
      <c r="J571" s="52" t="str">
        <f>IF($K571&lt;&gt;0,VLOOKUP($K571,DM_KM,5,0),"")</f>
        <v/>
      </c>
      <c r="K571" s="735"/>
      <c r="L571" s="735"/>
      <c r="M571" s="68"/>
      <c r="N571" s="738">
        <v>0.0</v>
      </c>
      <c r="O571" s="737"/>
      <c r="P571" s="751"/>
    </row>
    <row r="572" hidden="1">
      <c r="A572" s="1190"/>
      <c r="B572" s="52" t="str">
        <f t="shared" si="1"/>
        <v/>
      </c>
      <c r="C572" s="52" t="str">
        <f>IF(A572="","",VLOOKUP(A572,'THAM CHIẾU'!$A:$B,2,0))</f>
        <v/>
      </c>
      <c r="D572" s="52" t="str">
        <f>IF(E572&lt;&gt;0,VLOOKUP(E572,DM_DUAN,3,0),"")</f>
        <v/>
      </c>
      <c r="E572" s="735"/>
      <c r="F572" s="735"/>
      <c r="G572" s="735"/>
      <c r="H572" s="70"/>
      <c r="I572" s="52" t="str">
        <f>IF($K572&lt;&gt;0,VLOOKUP($K572,DM_KM,3,0),"")</f>
        <v/>
      </c>
      <c r="J572" s="52" t="str">
        <f>IF($K572&lt;&gt;0,VLOOKUP($K572,DM_KM,5,0),"")</f>
        <v/>
      </c>
      <c r="K572" s="735"/>
      <c r="L572" s="735"/>
      <c r="M572" s="68"/>
      <c r="N572" s="738">
        <v>0.0</v>
      </c>
      <c r="O572" s="737"/>
      <c r="P572" s="751"/>
    </row>
    <row r="573" hidden="1">
      <c r="A573" s="1190"/>
      <c r="B573" s="52" t="str">
        <f t="shared" si="1"/>
        <v/>
      </c>
      <c r="C573" s="52" t="str">
        <f>IF(A573="","",VLOOKUP(A573,'THAM CHIẾU'!$A:$B,2,0))</f>
        <v/>
      </c>
      <c r="D573" s="52" t="str">
        <f>IF(E573&lt;&gt;0,VLOOKUP(E573,DM_DUAN,3,0),"")</f>
        <v/>
      </c>
      <c r="E573" s="735"/>
      <c r="F573" s="735"/>
      <c r="G573" s="735"/>
      <c r="H573" s="70"/>
      <c r="I573" s="52" t="str">
        <f>IF($K573&lt;&gt;0,VLOOKUP($K573,DM_KM,3,0),"")</f>
        <v/>
      </c>
      <c r="J573" s="52" t="str">
        <f>IF($K573&lt;&gt;0,VLOOKUP($K573,DM_KM,5,0),"")</f>
        <v/>
      </c>
      <c r="K573" s="735"/>
      <c r="L573" s="735"/>
      <c r="M573" s="68"/>
      <c r="N573" s="738">
        <v>0.0</v>
      </c>
      <c r="O573" s="737"/>
      <c r="P573" s="751"/>
    </row>
    <row r="574" hidden="1">
      <c r="A574" s="1190"/>
      <c r="B574" s="52" t="str">
        <f t="shared" si="1"/>
        <v/>
      </c>
      <c r="C574" s="52" t="str">
        <f>IF(A574="","",VLOOKUP(A574,'THAM CHIẾU'!$A:$B,2,0))</f>
        <v/>
      </c>
      <c r="D574" s="52" t="str">
        <f>IF(E574&lt;&gt;0,VLOOKUP(E574,DM_DUAN,3,0),"")</f>
        <v/>
      </c>
      <c r="E574" s="735"/>
      <c r="F574" s="735"/>
      <c r="G574" s="735"/>
      <c r="H574" s="70"/>
      <c r="I574" s="52" t="str">
        <f>IF($K574&lt;&gt;0,VLOOKUP($K574,DM_KM,3,0),"")</f>
        <v/>
      </c>
      <c r="J574" s="52" t="str">
        <f>IF($K574&lt;&gt;0,VLOOKUP($K574,DM_KM,5,0),"")</f>
        <v/>
      </c>
      <c r="K574" s="735"/>
      <c r="L574" s="735"/>
      <c r="M574" s="68"/>
      <c r="N574" s="738">
        <v>0.0</v>
      </c>
      <c r="O574" s="737"/>
      <c r="P574" s="751"/>
    </row>
    <row r="575" hidden="1">
      <c r="A575" s="1190"/>
      <c r="B575" s="52" t="str">
        <f t="shared" si="1"/>
        <v/>
      </c>
      <c r="C575" s="52" t="str">
        <f>IF(A575="","",VLOOKUP(A575,'THAM CHIẾU'!$A:$B,2,0))</f>
        <v/>
      </c>
      <c r="D575" s="52" t="str">
        <f>IF(E575&lt;&gt;0,VLOOKUP(E575,DM_DUAN,3,0),"")</f>
        <v/>
      </c>
      <c r="E575" s="735"/>
      <c r="F575" s="735"/>
      <c r="G575" s="735"/>
      <c r="H575" s="70"/>
      <c r="I575" s="52" t="str">
        <f>IF($K575&lt;&gt;0,VLOOKUP($K575,DM_KM,3,0),"")</f>
        <v/>
      </c>
      <c r="J575" s="52" t="str">
        <f>IF($K575&lt;&gt;0,VLOOKUP($K575,DM_KM,5,0),"")</f>
        <v/>
      </c>
      <c r="K575" s="735"/>
      <c r="L575" s="735"/>
      <c r="M575" s="68"/>
      <c r="N575" s="738">
        <v>0.0</v>
      </c>
      <c r="O575" s="737"/>
      <c r="P575" s="751"/>
    </row>
    <row r="576" hidden="1">
      <c r="A576" s="1190"/>
      <c r="B576" s="52" t="str">
        <f t="shared" si="1"/>
        <v/>
      </c>
      <c r="C576" s="52" t="str">
        <f>IF(A576="","",VLOOKUP(A576,'THAM CHIẾU'!$A:$B,2,0))</f>
        <v/>
      </c>
      <c r="D576" s="52" t="str">
        <f>IF(E576&lt;&gt;0,VLOOKUP(E576,DM_DUAN,3,0),"")</f>
        <v/>
      </c>
      <c r="E576" s="735"/>
      <c r="F576" s="735"/>
      <c r="G576" s="735"/>
      <c r="H576" s="70"/>
      <c r="I576" s="52" t="str">
        <f>IF($K576&lt;&gt;0,VLOOKUP($K576,DM_KM,3,0),"")</f>
        <v/>
      </c>
      <c r="J576" s="52" t="str">
        <f>IF($K576&lt;&gt;0,VLOOKUP($K576,DM_KM,5,0),"")</f>
        <v/>
      </c>
      <c r="K576" s="735"/>
      <c r="L576" s="735"/>
      <c r="M576" s="68"/>
      <c r="N576" s="738">
        <v>0.0</v>
      </c>
      <c r="O576" s="737"/>
      <c r="P576" s="751"/>
    </row>
    <row r="577" hidden="1">
      <c r="A577" s="1190"/>
      <c r="B577" s="52" t="str">
        <f t="shared" si="1"/>
        <v/>
      </c>
      <c r="C577" s="52" t="str">
        <f>IF(A577="","",VLOOKUP(A577,'THAM CHIẾU'!$A:$B,2,0))</f>
        <v/>
      </c>
      <c r="D577" s="52" t="str">
        <f>IF(E577&lt;&gt;0,VLOOKUP(E577,DM_DUAN,3,0),"")</f>
        <v/>
      </c>
      <c r="E577" s="735"/>
      <c r="F577" s="735"/>
      <c r="G577" s="735"/>
      <c r="H577" s="70"/>
      <c r="I577" s="52" t="str">
        <f>IF($K577&lt;&gt;0,VLOOKUP($K577,DM_KM,3,0),"")</f>
        <v/>
      </c>
      <c r="J577" s="52" t="str">
        <f>IF($K577&lt;&gt;0,VLOOKUP($K577,DM_KM,5,0),"")</f>
        <v/>
      </c>
      <c r="K577" s="735"/>
      <c r="L577" s="735"/>
      <c r="M577" s="68"/>
      <c r="N577" s="738">
        <v>0.0</v>
      </c>
      <c r="O577" s="737"/>
      <c r="P577" s="751"/>
    </row>
    <row r="578" hidden="1">
      <c r="A578" s="1190"/>
      <c r="B578" s="52" t="str">
        <f t="shared" si="1"/>
        <v/>
      </c>
      <c r="C578" s="52" t="str">
        <f>IF(A578="","",VLOOKUP(A578,'THAM CHIẾU'!$A:$B,2,0))</f>
        <v/>
      </c>
      <c r="D578" s="52" t="str">
        <f>IF(E578&lt;&gt;0,VLOOKUP(E578,DM_DUAN,3,0),"")</f>
        <v/>
      </c>
      <c r="E578" s="735"/>
      <c r="F578" s="735"/>
      <c r="G578" s="735"/>
      <c r="H578" s="70"/>
      <c r="I578" s="52" t="str">
        <f>IF($K578&lt;&gt;0,VLOOKUP($K578,DM_KM,3,0),"")</f>
        <v/>
      </c>
      <c r="J578" s="52" t="str">
        <f>IF($K578&lt;&gt;0,VLOOKUP($K578,DM_KM,5,0),"")</f>
        <v/>
      </c>
      <c r="K578" s="735"/>
      <c r="L578" s="735"/>
      <c r="M578" s="68"/>
      <c r="N578" s="738">
        <v>0.0</v>
      </c>
      <c r="O578" s="737"/>
      <c r="P578" s="751"/>
    </row>
    <row r="579" hidden="1">
      <c r="A579" s="1190"/>
      <c r="B579" s="52" t="str">
        <f t="shared" si="1"/>
        <v/>
      </c>
      <c r="C579" s="52" t="str">
        <f>IF(A579="","",VLOOKUP(A579,'THAM CHIẾU'!$A:$B,2,0))</f>
        <v/>
      </c>
      <c r="D579" s="52" t="str">
        <f>IF(E579&lt;&gt;0,VLOOKUP(E579,DM_DUAN,3,0),"")</f>
        <v/>
      </c>
      <c r="E579" s="735"/>
      <c r="F579" s="735"/>
      <c r="G579" s="735"/>
      <c r="H579" s="70"/>
      <c r="I579" s="52" t="str">
        <f>IF($K579&lt;&gt;0,VLOOKUP($K579,DM_KM,3,0),"")</f>
        <v/>
      </c>
      <c r="J579" s="52" t="str">
        <f>IF($K579&lt;&gt;0,VLOOKUP($K579,DM_KM,5,0),"")</f>
        <v/>
      </c>
      <c r="K579" s="735"/>
      <c r="L579" s="735"/>
      <c r="M579" s="68"/>
      <c r="N579" s="738">
        <v>0.0</v>
      </c>
      <c r="O579" s="737"/>
      <c r="P579" s="751"/>
    </row>
    <row r="580" hidden="1">
      <c r="A580" s="1190"/>
      <c r="B580" s="52" t="str">
        <f t="shared" si="1"/>
        <v/>
      </c>
      <c r="C580" s="52" t="str">
        <f>IF(A580="","",VLOOKUP(A580,'THAM CHIẾU'!$A:$B,2,0))</f>
        <v/>
      </c>
      <c r="D580" s="52" t="str">
        <f>IF(E580&lt;&gt;0,VLOOKUP(E580,DM_DUAN,3,0),"")</f>
        <v/>
      </c>
      <c r="E580" s="735"/>
      <c r="F580" s="735"/>
      <c r="G580" s="735"/>
      <c r="H580" s="70"/>
      <c r="I580" s="52" t="str">
        <f>IF($K580&lt;&gt;0,VLOOKUP($K580,DM_KM,3,0),"")</f>
        <v/>
      </c>
      <c r="J580" s="52" t="str">
        <f>IF($K580&lt;&gt;0,VLOOKUP($K580,DM_KM,5,0),"")</f>
        <v/>
      </c>
      <c r="K580" s="735"/>
      <c r="L580" s="735"/>
      <c r="M580" s="68"/>
      <c r="N580" s="738">
        <v>0.0</v>
      </c>
      <c r="O580" s="737"/>
      <c r="P580" s="751"/>
    </row>
    <row r="581" hidden="1">
      <c r="A581" s="1190"/>
      <c r="B581" s="52" t="str">
        <f t="shared" si="1"/>
        <v/>
      </c>
      <c r="C581" s="52" t="str">
        <f>IF(A581="","",VLOOKUP(A581,'THAM CHIẾU'!$A:$B,2,0))</f>
        <v/>
      </c>
      <c r="D581" s="52" t="str">
        <f>IF(E581&lt;&gt;0,VLOOKUP(E581,DM_DUAN,3,0),"")</f>
        <v/>
      </c>
      <c r="E581" s="735"/>
      <c r="F581" s="735"/>
      <c r="G581" s="735"/>
      <c r="H581" s="70"/>
      <c r="I581" s="52" t="str">
        <f>IF($K581&lt;&gt;0,VLOOKUP($K581,DM_KM,3,0),"")</f>
        <v/>
      </c>
      <c r="J581" s="52" t="str">
        <f>IF($K581&lt;&gt;0,VLOOKUP($K581,DM_KM,5,0),"")</f>
        <v/>
      </c>
      <c r="K581" s="735"/>
      <c r="L581" s="735"/>
      <c r="M581" s="68"/>
      <c r="N581" s="738">
        <v>0.0</v>
      </c>
      <c r="O581" s="737"/>
      <c r="P581" s="751"/>
    </row>
    <row r="582" hidden="1">
      <c r="A582" s="1190"/>
      <c r="B582" s="52" t="str">
        <f t="shared" si="1"/>
        <v/>
      </c>
      <c r="C582" s="52" t="str">
        <f>IF(A582="","",VLOOKUP(A582,'THAM CHIẾU'!$A:$B,2,0))</f>
        <v/>
      </c>
      <c r="D582" s="52" t="str">
        <f>IF(E582&lt;&gt;0,VLOOKUP(E582,DM_DUAN,3,0),"")</f>
        <v/>
      </c>
      <c r="E582" s="735"/>
      <c r="F582" s="735"/>
      <c r="G582" s="735"/>
      <c r="H582" s="70"/>
      <c r="I582" s="52" t="str">
        <f>IF($K582&lt;&gt;0,VLOOKUP($K582,DM_KM,3,0),"")</f>
        <v/>
      </c>
      <c r="J582" s="52" t="str">
        <f>IF($K582&lt;&gt;0,VLOOKUP($K582,DM_KM,5,0),"")</f>
        <v/>
      </c>
      <c r="K582" s="735"/>
      <c r="L582" s="735"/>
      <c r="M582" s="68"/>
      <c r="N582" s="738">
        <v>0.0</v>
      </c>
      <c r="O582" s="737"/>
      <c r="P582" s="751"/>
    </row>
    <row r="583" hidden="1">
      <c r="A583" s="1190"/>
      <c r="B583" s="52" t="str">
        <f t="shared" si="1"/>
        <v/>
      </c>
      <c r="C583" s="52" t="str">
        <f>IF(A583="","",VLOOKUP(A583,'THAM CHIẾU'!$A:$B,2,0))</f>
        <v/>
      </c>
      <c r="D583" s="52" t="str">
        <f>IF(E583&lt;&gt;0,VLOOKUP(E583,DM_DUAN,3,0),"")</f>
        <v/>
      </c>
      <c r="E583" s="735"/>
      <c r="F583" s="735"/>
      <c r="G583" s="735"/>
      <c r="H583" s="70"/>
      <c r="I583" s="52" t="str">
        <f>IF($K583&lt;&gt;0,VLOOKUP($K583,DM_KM,3,0),"")</f>
        <v/>
      </c>
      <c r="J583" s="52" t="str">
        <f>IF($K583&lt;&gt;0,VLOOKUP($K583,DM_KM,5,0),"")</f>
        <v/>
      </c>
      <c r="K583" s="735"/>
      <c r="L583" s="735"/>
      <c r="M583" s="68"/>
      <c r="N583" s="738">
        <v>0.0</v>
      </c>
      <c r="O583" s="737"/>
      <c r="P583" s="751"/>
    </row>
    <row r="584" hidden="1">
      <c r="A584" s="1190"/>
      <c r="B584" s="52" t="str">
        <f t="shared" si="1"/>
        <v/>
      </c>
      <c r="C584" s="52" t="str">
        <f>IF(A584="","",VLOOKUP(A584,'THAM CHIẾU'!$A:$B,2,0))</f>
        <v/>
      </c>
      <c r="D584" s="52" t="str">
        <f>IF(E584&lt;&gt;0,VLOOKUP(E584,DM_DUAN,3,0),"")</f>
        <v/>
      </c>
      <c r="E584" s="735"/>
      <c r="F584" s="735"/>
      <c r="G584" s="735"/>
      <c r="H584" s="70"/>
      <c r="I584" s="52" t="str">
        <f>IF($K584&lt;&gt;0,VLOOKUP($K584,DM_KM,3,0),"")</f>
        <v/>
      </c>
      <c r="J584" s="52" t="str">
        <f>IF($K584&lt;&gt;0,VLOOKUP($K584,DM_KM,5,0),"")</f>
        <v/>
      </c>
      <c r="K584" s="735"/>
      <c r="L584" s="735"/>
      <c r="M584" s="68"/>
      <c r="N584" s="738">
        <v>0.0</v>
      </c>
      <c r="O584" s="737"/>
      <c r="P584" s="751"/>
    </row>
    <row r="585" hidden="1">
      <c r="A585" s="1190"/>
      <c r="B585" s="52" t="str">
        <f t="shared" si="1"/>
        <v/>
      </c>
      <c r="C585" s="52" t="str">
        <f>IF(A585="","",VLOOKUP(A585,'THAM CHIẾU'!$A:$B,2,0))</f>
        <v/>
      </c>
      <c r="D585" s="52" t="str">
        <f>IF(E585&lt;&gt;0,VLOOKUP(E585,DM_DUAN,3,0),"")</f>
        <v/>
      </c>
      <c r="E585" s="735"/>
      <c r="F585" s="735"/>
      <c r="G585" s="735"/>
      <c r="H585" s="70"/>
      <c r="I585" s="52" t="str">
        <f>IF($K585&lt;&gt;0,VLOOKUP($K585,DM_KM,3,0),"")</f>
        <v/>
      </c>
      <c r="J585" s="52" t="str">
        <f>IF($K585&lt;&gt;0,VLOOKUP($K585,DM_KM,5,0),"")</f>
        <v/>
      </c>
      <c r="K585" s="735"/>
      <c r="L585" s="735"/>
      <c r="M585" s="68"/>
      <c r="N585" s="738">
        <v>0.0</v>
      </c>
      <c r="O585" s="737"/>
      <c r="P585" s="751"/>
    </row>
    <row r="586" hidden="1">
      <c r="A586" s="1190"/>
      <c r="B586" s="52" t="str">
        <f t="shared" si="1"/>
        <v/>
      </c>
      <c r="C586" s="52" t="str">
        <f>IF(A586="","",VLOOKUP(A586,'THAM CHIẾU'!$A:$B,2,0))</f>
        <v/>
      </c>
      <c r="D586" s="52" t="str">
        <f>IF(E586&lt;&gt;0,VLOOKUP(E586,DM_DUAN,3,0),"")</f>
        <v/>
      </c>
      <c r="E586" s="735"/>
      <c r="F586" s="735"/>
      <c r="G586" s="735"/>
      <c r="H586" s="70"/>
      <c r="I586" s="52" t="str">
        <f>IF($K586&lt;&gt;0,VLOOKUP($K586,DM_KM,3,0),"")</f>
        <v/>
      </c>
      <c r="J586" s="52" t="str">
        <f>IF($K586&lt;&gt;0,VLOOKUP($K586,DM_KM,5,0),"")</f>
        <v/>
      </c>
      <c r="K586" s="735"/>
      <c r="L586" s="735"/>
      <c r="M586" s="68"/>
      <c r="N586" s="738">
        <v>0.0</v>
      </c>
      <c r="O586" s="737"/>
      <c r="P586" s="751"/>
    </row>
    <row r="587" hidden="1">
      <c r="A587" s="1190"/>
      <c r="B587" s="52" t="str">
        <f t="shared" si="1"/>
        <v/>
      </c>
      <c r="C587" s="52" t="str">
        <f>IF(A587="","",VLOOKUP(A587,'THAM CHIẾU'!$A:$B,2,0))</f>
        <v/>
      </c>
      <c r="D587" s="52" t="str">
        <f>IF(E587&lt;&gt;0,VLOOKUP(E587,DM_DUAN,3,0),"")</f>
        <v/>
      </c>
      <c r="E587" s="735"/>
      <c r="F587" s="735"/>
      <c r="G587" s="735"/>
      <c r="H587" s="70"/>
      <c r="I587" s="52" t="str">
        <f>IF($K587&lt;&gt;0,VLOOKUP($K587,DM_KM,3,0),"")</f>
        <v/>
      </c>
      <c r="J587" s="52" t="str">
        <f>IF($K587&lt;&gt;0,VLOOKUP($K587,DM_KM,5,0),"")</f>
        <v/>
      </c>
      <c r="K587" s="735"/>
      <c r="L587" s="735"/>
      <c r="M587" s="68"/>
      <c r="N587" s="738">
        <v>0.0</v>
      </c>
      <c r="O587" s="737"/>
      <c r="P587" s="751"/>
    </row>
    <row r="588" hidden="1">
      <c r="A588" s="1190"/>
      <c r="B588" s="52" t="str">
        <f t="shared" si="1"/>
        <v/>
      </c>
      <c r="C588" s="52" t="str">
        <f>IF(A588="","",VLOOKUP(A588,'THAM CHIẾU'!$A:$B,2,0))</f>
        <v/>
      </c>
      <c r="D588" s="52" t="str">
        <f>IF(E588&lt;&gt;0,VLOOKUP(E588,DM_DUAN,3,0),"")</f>
        <v/>
      </c>
      <c r="E588" s="735"/>
      <c r="F588" s="735"/>
      <c r="G588" s="735"/>
      <c r="H588" s="70"/>
      <c r="I588" s="52" t="str">
        <f>IF($K588&lt;&gt;0,VLOOKUP($K588,DM_KM,3,0),"")</f>
        <v/>
      </c>
      <c r="J588" s="52" t="str">
        <f>IF($K588&lt;&gt;0,VLOOKUP($K588,DM_KM,5,0),"")</f>
        <v/>
      </c>
      <c r="K588" s="735"/>
      <c r="L588" s="735"/>
      <c r="M588" s="68"/>
      <c r="N588" s="738">
        <v>0.0</v>
      </c>
      <c r="O588" s="737"/>
      <c r="P588" s="751"/>
    </row>
    <row r="589" hidden="1">
      <c r="A589" s="1190"/>
      <c r="B589" s="52" t="str">
        <f t="shared" si="1"/>
        <v/>
      </c>
      <c r="C589" s="52" t="str">
        <f>IF(A589="","",VLOOKUP(A589,'THAM CHIẾU'!$A:$B,2,0))</f>
        <v/>
      </c>
      <c r="D589" s="52" t="str">
        <f>IF(E589&lt;&gt;0,VLOOKUP(E589,DM_DUAN,3,0),"")</f>
        <v/>
      </c>
      <c r="E589" s="735"/>
      <c r="F589" s="735"/>
      <c r="G589" s="735"/>
      <c r="H589" s="70"/>
      <c r="I589" s="52" t="str">
        <f>IF($K589&lt;&gt;0,VLOOKUP($K589,DM_KM,3,0),"")</f>
        <v/>
      </c>
      <c r="J589" s="52" t="str">
        <f>IF($K589&lt;&gt;0,VLOOKUP($K589,DM_KM,5,0),"")</f>
        <v/>
      </c>
      <c r="K589" s="735"/>
      <c r="L589" s="735"/>
      <c r="M589" s="68"/>
      <c r="N589" s="738">
        <v>0.0</v>
      </c>
      <c r="O589" s="737"/>
      <c r="P589" s="751"/>
    </row>
    <row r="590" hidden="1">
      <c r="A590" s="1190"/>
      <c r="B590" s="52" t="str">
        <f t="shared" si="1"/>
        <v/>
      </c>
      <c r="C590" s="52" t="str">
        <f>IF(A590="","",VLOOKUP(A590,'THAM CHIẾU'!$A:$B,2,0))</f>
        <v/>
      </c>
      <c r="D590" s="52" t="str">
        <f>IF(E590&lt;&gt;0,VLOOKUP(E590,DM_DUAN,3,0),"")</f>
        <v/>
      </c>
      <c r="E590" s="735"/>
      <c r="F590" s="735"/>
      <c r="G590" s="735"/>
      <c r="H590" s="70"/>
      <c r="I590" s="52" t="str">
        <f>IF($K590&lt;&gt;0,VLOOKUP($K590,DM_KM,3,0),"")</f>
        <v/>
      </c>
      <c r="J590" s="52" t="str">
        <f>IF($K590&lt;&gt;0,VLOOKUP($K590,DM_KM,5,0),"")</f>
        <v/>
      </c>
      <c r="K590" s="735"/>
      <c r="L590" s="735"/>
      <c r="M590" s="68"/>
      <c r="N590" s="738">
        <v>0.0</v>
      </c>
      <c r="O590" s="737"/>
      <c r="P590" s="751"/>
    </row>
    <row r="591" hidden="1">
      <c r="A591" s="1190"/>
      <c r="B591" s="52" t="str">
        <f t="shared" si="1"/>
        <v/>
      </c>
      <c r="C591" s="52" t="str">
        <f>IF(A591="","",VLOOKUP(A591,'THAM CHIẾU'!$A:$B,2,0))</f>
        <v/>
      </c>
      <c r="D591" s="52" t="str">
        <f>IF(E591&lt;&gt;0,VLOOKUP(E591,DM_DUAN,3,0),"")</f>
        <v/>
      </c>
      <c r="E591" s="735"/>
      <c r="F591" s="735"/>
      <c r="G591" s="735"/>
      <c r="H591" s="70"/>
      <c r="I591" s="52" t="str">
        <f>IF($K591&lt;&gt;0,VLOOKUP($K591,DM_KM,3,0),"")</f>
        <v/>
      </c>
      <c r="J591" s="52" t="str">
        <f>IF($K591&lt;&gt;0,VLOOKUP($K591,DM_KM,5,0),"")</f>
        <v/>
      </c>
      <c r="K591" s="735"/>
      <c r="L591" s="735"/>
      <c r="M591" s="68"/>
      <c r="N591" s="738">
        <v>0.0</v>
      </c>
      <c r="O591" s="737"/>
      <c r="P591" s="751"/>
    </row>
    <row r="592" hidden="1">
      <c r="A592" s="1190"/>
      <c r="B592" s="52" t="str">
        <f t="shared" si="1"/>
        <v/>
      </c>
      <c r="C592" s="52" t="str">
        <f>IF(A592="","",VLOOKUP(A592,'THAM CHIẾU'!$A:$B,2,0))</f>
        <v/>
      </c>
      <c r="D592" s="52" t="str">
        <f>IF(E592&lt;&gt;0,VLOOKUP(E592,DM_DUAN,3,0),"")</f>
        <v/>
      </c>
      <c r="E592" s="735"/>
      <c r="F592" s="735"/>
      <c r="G592" s="735"/>
      <c r="H592" s="70"/>
      <c r="I592" s="52" t="str">
        <f>IF($K592&lt;&gt;0,VLOOKUP($K592,DM_KM,3,0),"")</f>
        <v/>
      </c>
      <c r="J592" s="52" t="str">
        <f>IF($K592&lt;&gt;0,VLOOKUP($K592,DM_KM,5,0),"")</f>
        <v/>
      </c>
      <c r="K592" s="735"/>
      <c r="L592" s="735"/>
      <c r="M592" s="68"/>
      <c r="N592" s="738">
        <v>0.0</v>
      </c>
      <c r="O592" s="737"/>
      <c r="P592" s="751"/>
    </row>
    <row r="593" hidden="1">
      <c r="A593" s="1190"/>
      <c r="B593" s="52" t="str">
        <f t="shared" si="1"/>
        <v/>
      </c>
      <c r="C593" s="52" t="str">
        <f>IF(A593="","",VLOOKUP(A593,'THAM CHIẾU'!$A:$B,2,0))</f>
        <v/>
      </c>
      <c r="D593" s="52" t="str">
        <f>IF(E593&lt;&gt;0,VLOOKUP(E593,DM_DUAN,3,0),"")</f>
        <v/>
      </c>
      <c r="E593" s="735"/>
      <c r="F593" s="735"/>
      <c r="G593" s="735"/>
      <c r="H593" s="70"/>
      <c r="I593" s="52" t="str">
        <f>IF($K593&lt;&gt;0,VLOOKUP($K593,DM_KM,3,0),"")</f>
        <v/>
      </c>
      <c r="J593" s="52" t="str">
        <f>IF($K593&lt;&gt;0,VLOOKUP($K593,DM_KM,5,0),"")</f>
        <v/>
      </c>
      <c r="K593" s="735"/>
      <c r="L593" s="735"/>
      <c r="M593" s="68"/>
      <c r="N593" s="738">
        <v>0.0</v>
      </c>
      <c r="O593" s="737"/>
      <c r="P593" s="751"/>
    </row>
    <row r="594" hidden="1">
      <c r="A594" s="1190"/>
      <c r="B594" s="52" t="str">
        <f t="shared" si="1"/>
        <v/>
      </c>
      <c r="C594" s="52" t="str">
        <f>IF(A594="","",VLOOKUP(A594,'THAM CHIẾU'!$A:$B,2,0))</f>
        <v/>
      </c>
      <c r="D594" s="52" t="str">
        <f>IF(E594&lt;&gt;0,VLOOKUP(E594,DM_DUAN,3,0),"")</f>
        <v/>
      </c>
      <c r="E594" s="735"/>
      <c r="F594" s="735"/>
      <c r="G594" s="735"/>
      <c r="H594" s="70"/>
      <c r="I594" s="52" t="str">
        <f>IF($K594&lt;&gt;0,VLOOKUP($K594,DM_KM,3,0),"")</f>
        <v/>
      </c>
      <c r="J594" s="52" t="str">
        <f>IF($K594&lt;&gt;0,VLOOKUP($K594,DM_KM,5,0),"")</f>
        <v/>
      </c>
      <c r="K594" s="735"/>
      <c r="L594" s="735"/>
      <c r="M594" s="68"/>
      <c r="N594" s="738">
        <v>0.0</v>
      </c>
      <c r="O594" s="737"/>
      <c r="P594" s="751"/>
    </row>
    <row r="595" hidden="1">
      <c r="A595" s="1190"/>
      <c r="B595" s="52" t="str">
        <f t="shared" si="1"/>
        <v/>
      </c>
      <c r="C595" s="52" t="str">
        <f>IF(A595="","",VLOOKUP(A595,'THAM CHIẾU'!$A:$B,2,0))</f>
        <v/>
      </c>
      <c r="D595" s="52" t="str">
        <f>IF(E595&lt;&gt;0,VLOOKUP(E595,DM_DUAN,3,0),"")</f>
        <v/>
      </c>
      <c r="E595" s="735"/>
      <c r="F595" s="735"/>
      <c r="G595" s="735"/>
      <c r="H595" s="70"/>
      <c r="I595" s="52" t="str">
        <f>IF($K595&lt;&gt;0,VLOOKUP($K595,DM_KM,3,0),"")</f>
        <v/>
      </c>
      <c r="J595" s="52" t="str">
        <f>IF($K595&lt;&gt;0,VLOOKUP($K595,DM_KM,5,0),"")</f>
        <v/>
      </c>
      <c r="K595" s="735"/>
      <c r="L595" s="735"/>
      <c r="M595" s="68"/>
      <c r="N595" s="738">
        <v>0.0</v>
      </c>
      <c r="O595" s="737"/>
      <c r="P595" s="751"/>
    </row>
    <row r="596" hidden="1">
      <c r="A596" s="1190"/>
      <c r="B596" s="52" t="str">
        <f t="shared" si="1"/>
        <v/>
      </c>
      <c r="C596" s="52" t="str">
        <f>IF(A596="","",VLOOKUP(A596,'THAM CHIẾU'!$A:$B,2,0))</f>
        <v/>
      </c>
      <c r="D596" s="52" t="str">
        <f>IF(E596&lt;&gt;0,VLOOKUP(E596,DM_DUAN,3,0),"")</f>
        <v/>
      </c>
      <c r="E596" s="735"/>
      <c r="F596" s="735"/>
      <c r="G596" s="735"/>
      <c r="H596" s="70"/>
      <c r="I596" s="52" t="str">
        <f>IF($K596&lt;&gt;0,VLOOKUP($K596,DM_KM,3,0),"")</f>
        <v/>
      </c>
      <c r="J596" s="52" t="str">
        <f>IF($K596&lt;&gt;0,VLOOKUP($K596,DM_KM,5,0),"")</f>
        <v/>
      </c>
      <c r="K596" s="735"/>
      <c r="L596" s="735"/>
      <c r="M596" s="68"/>
      <c r="N596" s="738">
        <v>0.0</v>
      </c>
      <c r="O596" s="737"/>
      <c r="P596" s="751"/>
    </row>
    <row r="597" hidden="1">
      <c r="A597" s="1190"/>
      <c r="B597" s="52" t="str">
        <f t="shared" si="1"/>
        <v/>
      </c>
      <c r="C597" s="52" t="str">
        <f>IF(A597="","",VLOOKUP(A597,'THAM CHIẾU'!$A:$B,2,0))</f>
        <v/>
      </c>
      <c r="D597" s="52" t="str">
        <f>IF(E597&lt;&gt;0,VLOOKUP(E597,DM_DUAN,3,0),"")</f>
        <v/>
      </c>
      <c r="E597" s="735"/>
      <c r="F597" s="735"/>
      <c r="G597" s="735"/>
      <c r="H597" s="70"/>
      <c r="I597" s="52" t="str">
        <f>IF($K597&lt;&gt;0,VLOOKUP($K597,DM_KM,3,0),"")</f>
        <v/>
      </c>
      <c r="J597" s="52" t="str">
        <f>IF($K597&lt;&gt;0,VLOOKUP($K597,DM_KM,5,0),"")</f>
        <v/>
      </c>
      <c r="K597" s="735"/>
      <c r="L597" s="735"/>
      <c r="M597" s="68"/>
      <c r="N597" s="738">
        <v>0.0</v>
      </c>
      <c r="O597" s="737"/>
      <c r="P597" s="751"/>
    </row>
    <row r="598" hidden="1">
      <c r="A598" s="1190"/>
      <c r="B598" s="52" t="str">
        <f t="shared" si="1"/>
        <v/>
      </c>
      <c r="C598" s="52" t="str">
        <f>IF(A598="","",VLOOKUP(A598,'THAM CHIẾU'!$A:$B,2,0))</f>
        <v/>
      </c>
      <c r="D598" s="52" t="str">
        <f>IF(E598&lt;&gt;0,VLOOKUP(E598,DM_DUAN,3,0),"")</f>
        <v/>
      </c>
      <c r="E598" s="735"/>
      <c r="F598" s="735"/>
      <c r="G598" s="735"/>
      <c r="H598" s="70"/>
      <c r="I598" s="52" t="str">
        <f>IF($K598&lt;&gt;0,VLOOKUP($K598,DM_KM,3,0),"")</f>
        <v/>
      </c>
      <c r="J598" s="52" t="str">
        <f>IF($K598&lt;&gt;0,VLOOKUP($K598,DM_KM,5,0),"")</f>
        <v/>
      </c>
      <c r="K598" s="735"/>
      <c r="L598" s="735"/>
      <c r="M598" s="68"/>
      <c r="N598" s="738">
        <v>0.0</v>
      </c>
      <c r="O598" s="737"/>
      <c r="P598" s="751"/>
    </row>
    <row r="599" hidden="1">
      <c r="A599" s="1190"/>
      <c r="B599" s="52" t="str">
        <f t="shared" si="1"/>
        <v/>
      </c>
      <c r="C599" s="52" t="str">
        <f>IF(A599="","",VLOOKUP(A599,'THAM CHIẾU'!$A:$B,2,0))</f>
        <v/>
      </c>
      <c r="D599" s="52" t="str">
        <f>IF(E599&lt;&gt;0,VLOOKUP(E599,DM_DUAN,3,0),"")</f>
        <v/>
      </c>
      <c r="E599" s="735"/>
      <c r="F599" s="735"/>
      <c r="G599" s="735"/>
      <c r="H599" s="70"/>
      <c r="I599" s="52" t="str">
        <f>IF($K599&lt;&gt;0,VLOOKUP($K599,DM_KM,3,0),"")</f>
        <v/>
      </c>
      <c r="J599" s="52" t="str">
        <f>IF($K599&lt;&gt;0,VLOOKUP($K599,DM_KM,5,0),"")</f>
        <v/>
      </c>
      <c r="K599" s="735"/>
      <c r="L599" s="735"/>
      <c r="M599" s="68"/>
      <c r="N599" s="738">
        <v>0.0</v>
      </c>
      <c r="O599" s="737"/>
      <c r="P599" s="751"/>
    </row>
    <row r="600" hidden="1">
      <c r="A600" s="1190"/>
      <c r="B600" s="52" t="str">
        <f t="shared" si="1"/>
        <v/>
      </c>
      <c r="C600" s="52" t="str">
        <f>IF(A600="","",VLOOKUP(A600,'THAM CHIẾU'!$A:$B,2,0))</f>
        <v/>
      </c>
      <c r="D600" s="52" t="str">
        <f>IF(E600&lt;&gt;0,VLOOKUP(E600,DM_DUAN,3,0),"")</f>
        <v/>
      </c>
      <c r="E600" s="735"/>
      <c r="F600" s="735"/>
      <c r="G600" s="735"/>
      <c r="H600" s="70"/>
      <c r="I600" s="52" t="str">
        <f>IF($K600&lt;&gt;0,VLOOKUP($K600,DM_KM,3,0),"")</f>
        <v/>
      </c>
      <c r="J600" s="52" t="str">
        <f>IF($K600&lt;&gt;0,VLOOKUP($K600,DM_KM,5,0),"")</f>
        <v/>
      </c>
      <c r="K600" s="735"/>
      <c r="L600" s="735"/>
      <c r="M600" s="68"/>
      <c r="N600" s="738">
        <v>0.0</v>
      </c>
      <c r="O600" s="737"/>
      <c r="P600" s="751"/>
    </row>
    <row r="601" hidden="1">
      <c r="A601" s="1190"/>
      <c r="B601" s="52" t="str">
        <f t="shared" si="1"/>
        <v/>
      </c>
      <c r="C601" s="52" t="str">
        <f>IF(A601="","",VLOOKUP(A601,'THAM CHIẾU'!$A:$B,2,0))</f>
        <v/>
      </c>
      <c r="D601" s="52" t="str">
        <f>IF(E601&lt;&gt;0,VLOOKUP(E601,DM_DUAN,3,0),"")</f>
        <v/>
      </c>
      <c r="E601" s="735"/>
      <c r="F601" s="735"/>
      <c r="G601" s="735"/>
      <c r="H601" s="70"/>
      <c r="I601" s="52" t="str">
        <f>IF($K601&lt;&gt;0,VLOOKUP($K601,DM_KM,3,0),"")</f>
        <v/>
      </c>
      <c r="J601" s="52" t="str">
        <f>IF($K601&lt;&gt;0,VLOOKUP($K601,DM_KM,5,0),"")</f>
        <v/>
      </c>
      <c r="K601" s="735"/>
      <c r="L601" s="735"/>
      <c r="M601" s="68"/>
      <c r="N601" s="738">
        <v>0.0</v>
      </c>
      <c r="O601" s="737"/>
      <c r="P601" s="751"/>
    </row>
    <row r="602" hidden="1">
      <c r="A602" s="1190"/>
      <c r="B602" s="52" t="str">
        <f t="shared" si="1"/>
        <v/>
      </c>
      <c r="C602" s="52" t="str">
        <f>IF(A602="","",VLOOKUP(A602,'THAM CHIẾU'!$A:$B,2,0))</f>
        <v/>
      </c>
      <c r="D602" s="52" t="str">
        <f>IF(E602&lt;&gt;0,VLOOKUP(E602,DM_DUAN,3,0),"")</f>
        <v/>
      </c>
      <c r="E602" s="735"/>
      <c r="F602" s="735"/>
      <c r="G602" s="735"/>
      <c r="H602" s="70"/>
      <c r="I602" s="52" t="str">
        <f>IF($K602&lt;&gt;0,VLOOKUP($K602,DM_KM,3,0),"")</f>
        <v/>
      </c>
      <c r="J602" s="52" t="str">
        <f>IF($K602&lt;&gt;0,VLOOKUP($K602,DM_KM,5,0),"")</f>
        <v/>
      </c>
      <c r="K602" s="735"/>
      <c r="L602" s="735"/>
      <c r="M602" s="68"/>
      <c r="N602" s="738">
        <v>0.0</v>
      </c>
      <c r="O602" s="737"/>
      <c r="P602" s="751"/>
    </row>
    <row r="603" hidden="1">
      <c r="A603" s="1190"/>
      <c r="B603" s="52" t="str">
        <f t="shared" si="1"/>
        <v/>
      </c>
      <c r="C603" s="52" t="str">
        <f>IF(A603="","",VLOOKUP(A603,'THAM CHIẾU'!$A:$B,2,0))</f>
        <v/>
      </c>
      <c r="D603" s="52" t="str">
        <f>IF(E603&lt;&gt;0,VLOOKUP(E603,DM_DUAN,3,0),"")</f>
        <v/>
      </c>
      <c r="E603" s="735"/>
      <c r="F603" s="735"/>
      <c r="G603" s="735"/>
      <c r="H603" s="70"/>
      <c r="I603" s="52" t="str">
        <f>IF($K603&lt;&gt;0,VLOOKUP($K603,DM_KM,3,0),"")</f>
        <v/>
      </c>
      <c r="J603" s="52" t="str">
        <f>IF($K603&lt;&gt;0,VLOOKUP($K603,DM_KM,5,0),"")</f>
        <v/>
      </c>
      <c r="K603" s="735"/>
      <c r="L603" s="735"/>
      <c r="M603" s="68"/>
      <c r="N603" s="738">
        <v>0.0</v>
      </c>
      <c r="O603" s="737"/>
      <c r="P603" s="751"/>
    </row>
    <row r="604" hidden="1">
      <c r="A604" s="1190"/>
      <c r="B604" s="52" t="str">
        <f t="shared" si="1"/>
        <v/>
      </c>
      <c r="C604" s="52" t="str">
        <f>IF(A604="","",VLOOKUP(A604,'THAM CHIẾU'!$A:$B,2,0))</f>
        <v/>
      </c>
      <c r="D604" s="52" t="str">
        <f>IF(E604&lt;&gt;0,VLOOKUP(E604,DM_DUAN,3,0),"")</f>
        <v/>
      </c>
      <c r="E604" s="735"/>
      <c r="F604" s="735"/>
      <c r="G604" s="735"/>
      <c r="H604" s="70"/>
      <c r="I604" s="52" t="str">
        <f>IF($K604&lt;&gt;0,VLOOKUP($K604,DM_KM,3,0),"")</f>
        <v/>
      </c>
      <c r="J604" s="52" t="str">
        <f>IF($K604&lt;&gt;0,VLOOKUP($K604,DM_KM,5,0),"")</f>
        <v/>
      </c>
      <c r="K604" s="735"/>
      <c r="L604" s="735"/>
      <c r="M604" s="68"/>
      <c r="N604" s="738">
        <v>0.0</v>
      </c>
      <c r="O604" s="737"/>
      <c r="P604" s="751"/>
    </row>
    <row r="605" hidden="1">
      <c r="A605" s="1190"/>
      <c r="B605" s="52" t="str">
        <f t="shared" si="1"/>
        <v/>
      </c>
      <c r="C605" s="52" t="str">
        <f>IF(A605="","",VLOOKUP(A605,'THAM CHIẾU'!$A:$B,2,0))</f>
        <v/>
      </c>
      <c r="D605" s="52" t="str">
        <f>IF(E605&lt;&gt;0,VLOOKUP(E605,DM_DUAN,3,0),"")</f>
        <v/>
      </c>
      <c r="E605" s="735"/>
      <c r="F605" s="735"/>
      <c r="G605" s="735"/>
      <c r="H605" s="70"/>
      <c r="I605" s="52" t="str">
        <f>IF($K605&lt;&gt;0,VLOOKUP($K605,DM_KM,3,0),"")</f>
        <v/>
      </c>
      <c r="J605" s="52" t="str">
        <f>IF($K605&lt;&gt;0,VLOOKUP($K605,DM_KM,5,0),"")</f>
        <v/>
      </c>
      <c r="K605" s="735"/>
      <c r="L605" s="735"/>
      <c r="M605" s="68"/>
      <c r="N605" s="738">
        <v>0.0</v>
      </c>
      <c r="O605" s="737"/>
      <c r="P605" s="751"/>
    </row>
    <row r="606" hidden="1">
      <c r="A606" s="1190"/>
      <c r="B606" s="52" t="str">
        <f t="shared" si="1"/>
        <v/>
      </c>
      <c r="C606" s="52" t="str">
        <f>IF(A606="","",VLOOKUP(A606,'THAM CHIẾU'!$A:$B,2,0))</f>
        <v/>
      </c>
      <c r="D606" s="52" t="str">
        <f>IF(E606&lt;&gt;0,VLOOKUP(E606,DM_DUAN,3,0),"")</f>
        <v/>
      </c>
      <c r="E606" s="735"/>
      <c r="F606" s="735"/>
      <c r="G606" s="735"/>
      <c r="H606" s="70"/>
      <c r="I606" s="52" t="str">
        <f>IF($K606&lt;&gt;0,VLOOKUP($K606,DM_KM,3,0),"")</f>
        <v/>
      </c>
      <c r="J606" s="52" t="str">
        <f>IF($K606&lt;&gt;0,VLOOKUP($K606,DM_KM,5,0),"")</f>
        <v/>
      </c>
      <c r="K606" s="735"/>
      <c r="L606" s="735"/>
      <c r="M606" s="68"/>
      <c r="N606" s="738">
        <v>0.0</v>
      </c>
      <c r="O606" s="737"/>
      <c r="P606" s="751"/>
    </row>
    <row r="607" hidden="1">
      <c r="A607" s="1190"/>
      <c r="B607" s="52" t="str">
        <f t="shared" si="1"/>
        <v/>
      </c>
      <c r="C607" s="52" t="str">
        <f>IF(A607="","",VLOOKUP(A607,'THAM CHIẾU'!$A:$B,2,0))</f>
        <v/>
      </c>
      <c r="D607" s="52" t="str">
        <f>IF(E607&lt;&gt;0,VLOOKUP(E607,DM_DUAN,3,0),"")</f>
        <v/>
      </c>
      <c r="E607" s="735"/>
      <c r="F607" s="735"/>
      <c r="G607" s="735"/>
      <c r="H607" s="70"/>
      <c r="I607" s="52" t="str">
        <f>IF($K607&lt;&gt;0,VLOOKUP($K607,DM_KM,3,0),"")</f>
        <v/>
      </c>
      <c r="J607" s="52" t="str">
        <f>IF($K607&lt;&gt;0,VLOOKUP($K607,DM_KM,5,0),"")</f>
        <v/>
      </c>
      <c r="K607" s="735"/>
      <c r="L607" s="735"/>
      <c r="M607" s="68"/>
      <c r="N607" s="738">
        <v>0.0</v>
      </c>
      <c r="O607" s="737"/>
      <c r="P607" s="751"/>
    </row>
    <row r="608" hidden="1">
      <c r="A608" s="1190"/>
      <c r="B608" s="52" t="str">
        <f t="shared" si="1"/>
        <v/>
      </c>
      <c r="C608" s="52" t="str">
        <f>IF(A608="","",VLOOKUP(A608,'THAM CHIẾU'!$A:$B,2,0))</f>
        <v/>
      </c>
      <c r="D608" s="52" t="str">
        <f>IF(E608&lt;&gt;0,VLOOKUP(E608,DM_DUAN,3,0),"")</f>
        <v/>
      </c>
      <c r="E608" s="735"/>
      <c r="F608" s="735"/>
      <c r="G608" s="735"/>
      <c r="H608" s="70"/>
      <c r="I608" s="52" t="str">
        <f>IF($K608&lt;&gt;0,VLOOKUP($K608,DM_KM,3,0),"")</f>
        <v/>
      </c>
      <c r="J608" s="52" t="str">
        <f>IF($K608&lt;&gt;0,VLOOKUP($K608,DM_KM,5,0),"")</f>
        <v/>
      </c>
      <c r="K608" s="735"/>
      <c r="L608" s="735"/>
      <c r="M608" s="68"/>
      <c r="N608" s="738">
        <v>0.0</v>
      </c>
      <c r="O608" s="737"/>
      <c r="P608" s="751"/>
    </row>
    <row r="609" hidden="1">
      <c r="A609" s="1190"/>
      <c r="B609" s="52" t="str">
        <f t="shared" si="1"/>
        <v/>
      </c>
      <c r="C609" s="52" t="str">
        <f>IF(A609="","",VLOOKUP(A609,'THAM CHIẾU'!$A:$B,2,0))</f>
        <v/>
      </c>
      <c r="D609" s="52" t="str">
        <f>IF(E609&lt;&gt;0,VLOOKUP(E609,DM_DUAN,3,0),"")</f>
        <v/>
      </c>
      <c r="E609" s="735"/>
      <c r="F609" s="735"/>
      <c r="G609" s="735"/>
      <c r="H609" s="70"/>
      <c r="I609" s="52" t="str">
        <f>IF($K609&lt;&gt;0,VLOOKUP($K609,DM_KM,3,0),"")</f>
        <v/>
      </c>
      <c r="J609" s="52" t="str">
        <f>IF($K609&lt;&gt;0,VLOOKUP($K609,DM_KM,5,0),"")</f>
        <v/>
      </c>
      <c r="K609" s="735"/>
      <c r="L609" s="735"/>
      <c r="M609" s="68"/>
      <c r="N609" s="738">
        <v>0.0</v>
      </c>
      <c r="O609" s="737"/>
      <c r="P609" s="751"/>
    </row>
    <row r="610" hidden="1">
      <c r="A610" s="1190"/>
      <c r="B610" s="52" t="str">
        <f t="shared" si="1"/>
        <v/>
      </c>
      <c r="C610" s="52" t="str">
        <f>IF(A610="","",VLOOKUP(A610,'THAM CHIẾU'!$A:$B,2,0))</f>
        <v/>
      </c>
      <c r="D610" s="52" t="str">
        <f>IF(E610&lt;&gt;0,VLOOKUP(E610,DM_DUAN,3,0),"")</f>
        <v/>
      </c>
      <c r="E610" s="735"/>
      <c r="F610" s="735"/>
      <c r="G610" s="735"/>
      <c r="H610" s="70"/>
      <c r="I610" s="52" t="str">
        <f>IF($K610&lt;&gt;0,VLOOKUP($K610,DM_KM,3,0),"")</f>
        <v/>
      </c>
      <c r="J610" s="52" t="str">
        <f>IF($K610&lt;&gt;0,VLOOKUP($K610,DM_KM,5,0),"")</f>
        <v/>
      </c>
      <c r="K610" s="735"/>
      <c r="L610" s="735"/>
      <c r="M610" s="68"/>
      <c r="N610" s="738">
        <v>0.0</v>
      </c>
      <c r="O610" s="737"/>
      <c r="P610" s="751"/>
    </row>
    <row r="611" hidden="1">
      <c r="A611" s="1190"/>
      <c r="B611" s="52" t="str">
        <f t="shared" si="1"/>
        <v/>
      </c>
      <c r="C611" s="52" t="str">
        <f>IF(A611="","",VLOOKUP(A611,'THAM CHIẾU'!$A:$B,2,0))</f>
        <v/>
      </c>
      <c r="D611" s="52" t="str">
        <f>IF(E611&lt;&gt;0,VLOOKUP(E611,DM_DUAN,3,0),"")</f>
        <v/>
      </c>
      <c r="E611" s="735"/>
      <c r="F611" s="735"/>
      <c r="G611" s="735"/>
      <c r="H611" s="70"/>
      <c r="I611" s="52" t="str">
        <f>IF($K611&lt;&gt;0,VLOOKUP($K611,DM_KM,3,0),"")</f>
        <v/>
      </c>
      <c r="J611" s="52" t="str">
        <f>IF($K611&lt;&gt;0,VLOOKUP($K611,DM_KM,5,0),"")</f>
        <v/>
      </c>
      <c r="K611" s="735"/>
      <c r="L611" s="735"/>
      <c r="M611" s="68"/>
      <c r="N611" s="738">
        <v>0.0</v>
      </c>
      <c r="O611" s="737"/>
      <c r="P611" s="751"/>
    </row>
    <row r="612" hidden="1">
      <c r="A612" s="1190"/>
      <c r="B612" s="52" t="str">
        <f t="shared" si="1"/>
        <v/>
      </c>
      <c r="C612" s="52" t="str">
        <f>IF(A612="","",VLOOKUP(A612,'THAM CHIẾU'!$A:$B,2,0))</f>
        <v/>
      </c>
      <c r="D612" s="52" t="str">
        <f>IF(E612&lt;&gt;0,VLOOKUP(E612,DM_DUAN,3,0),"")</f>
        <v/>
      </c>
      <c r="E612" s="735"/>
      <c r="F612" s="735"/>
      <c r="G612" s="735"/>
      <c r="H612" s="70"/>
      <c r="I612" s="52" t="str">
        <f>IF($K612&lt;&gt;0,VLOOKUP($K612,DM_KM,3,0),"")</f>
        <v/>
      </c>
      <c r="J612" s="52" t="str">
        <f>IF($K612&lt;&gt;0,VLOOKUP($K612,DM_KM,5,0),"")</f>
        <v/>
      </c>
      <c r="K612" s="735"/>
      <c r="L612" s="735"/>
      <c r="M612" s="68"/>
      <c r="N612" s="738">
        <v>0.0</v>
      </c>
      <c r="O612" s="737"/>
      <c r="P612" s="751"/>
    </row>
    <row r="613" hidden="1">
      <c r="A613" s="1190"/>
      <c r="B613" s="52" t="str">
        <f t="shared" si="1"/>
        <v/>
      </c>
      <c r="C613" s="52" t="str">
        <f>IF(A613="","",VLOOKUP(A613,'THAM CHIẾU'!$A:$B,2,0))</f>
        <v/>
      </c>
      <c r="D613" s="52" t="str">
        <f>IF(E613&lt;&gt;0,VLOOKUP(E613,DM_DUAN,3,0),"")</f>
        <v/>
      </c>
      <c r="E613" s="735"/>
      <c r="F613" s="735"/>
      <c r="G613" s="735"/>
      <c r="H613" s="70"/>
      <c r="I613" s="52" t="str">
        <f>IF($K613&lt;&gt;0,VLOOKUP($K613,DM_KM,3,0),"")</f>
        <v/>
      </c>
      <c r="J613" s="52" t="str">
        <f>IF($K613&lt;&gt;0,VLOOKUP($K613,DM_KM,5,0),"")</f>
        <v/>
      </c>
      <c r="K613" s="735"/>
      <c r="L613" s="735"/>
      <c r="M613" s="68"/>
      <c r="N613" s="738">
        <v>0.0</v>
      </c>
      <c r="O613" s="737"/>
      <c r="P613" s="751"/>
    </row>
    <row r="614" hidden="1">
      <c r="A614" s="1190"/>
      <c r="B614" s="52" t="str">
        <f t="shared" si="1"/>
        <v/>
      </c>
      <c r="C614" s="52" t="str">
        <f>IF(A614="","",VLOOKUP(A614,'THAM CHIẾU'!$A:$B,2,0))</f>
        <v/>
      </c>
      <c r="D614" s="52" t="str">
        <f>IF(E614&lt;&gt;0,VLOOKUP(E614,DM_DUAN,3,0),"")</f>
        <v/>
      </c>
      <c r="E614" s="735"/>
      <c r="F614" s="735"/>
      <c r="G614" s="735"/>
      <c r="H614" s="70"/>
      <c r="I614" s="52" t="str">
        <f>IF($K614&lt;&gt;0,VLOOKUP($K614,DM_KM,3,0),"")</f>
        <v/>
      </c>
      <c r="J614" s="52" t="str">
        <f>IF($K614&lt;&gt;0,VLOOKUP($K614,DM_KM,5,0),"")</f>
        <v/>
      </c>
      <c r="K614" s="735"/>
      <c r="L614" s="735"/>
      <c r="M614" s="68"/>
      <c r="N614" s="738">
        <v>0.0</v>
      </c>
      <c r="O614" s="737"/>
      <c r="P614" s="751"/>
    </row>
    <row r="615" hidden="1">
      <c r="A615" s="1190"/>
      <c r="B615" s="52" t="str">
        <f t="shared" si="1"/>
        <v/>
      </c>
      <c r="C615" s="52" t="str">
        <f>IF(A615="","",VLOOKUP(A615,'THAM CHIẾU'!$A:$B,2,0))</f>
        <v/>
      </c>
      <c r="D615" s="52" t="str">
        <f>IF(E615&lt;&gt;0,VLOOKUP(E615,DM_DUAN,3,0),"")</f>
        <v/>
      </c>
      <c r="E615" s="735"/>
      <c r="F615" s="735"/>
      <c r="G615" s="735"/>
      <c r="H615" s="70"/>
      <c r="I615" s="52" t="str">
        <f>IF($K615&lt;&gt;0,VLOOKUP($K615,DM_KM,3,0),"")</f>
        <v/>
      </c>
      <c r="J615" s="52" t="str">
        <f>IF($K615&lt;&gt;0,VLOOKUP($K615,DM_KM,5,0),"")</f>
        <v/>
      </c>
      <c r="K615" s="735"/>
      <c r="L615" s="735"/>
      <c r="M615" s="68"/>
      <c r="N615" s="738">
        <v>0.0</v>
      </c>
      <c r="O615" s="737"/>
      <c r="P615" s="751"/>
    </row>
    <row r="616" hidden="1">
      <c r="A616" s="1190"/>
      <c r="B616" s="52" t="str">
        <f t="shared" si="1"/>
        <v/>
      </c>
      <c r="C616" s="52" t="str">
        <f>IF(A616="","",VLOOKUP(A616,'THAM CHIẾU'!$A:$B,2,0))</f>
        <v/>
      </c>
      <c r="D616" s="52" t="str">
        <f>IF(E616&lt;&gt;0,VLOOKUP(E616,DM_DUAN,3,0),"")</f>
        <v/>
      </c>
      <c r="E616" s="735"/>
      <c r="F616" s="735"/>
      <c r="G616" s="735"/>
      <c r="H616" s="70"/>
      <c r="I616" s="52" t="str">
        <f>IF($K616&lt;&gt;0,VLOOKUP($K616,DM_KM,3,0),"")</f>
        <v/>
      </c>
      <c r="J616" s="52" t="str">
        <f>IF($K616&lt;&gt;0,VLOOKUP($K616,DM_KM,5,0),"")</f>
        <v/>
      </c>
      <c r="K616" s="735"/>
      <c r="L616" s="735"/>
      <c r="M616" s="68"/>
      <c r="N616" s="738">
        <v>0.0</v>
      </c>
      <c r="O616" s="737"/>
      <c r="P616" s="751"/>
    </row>
    <row r="617" hidden="1">
      <c r="A617" s="1190"/>
      <c r="B617" s="52" t="str">
        <f t="shared" si="1"/>
        <v/>
      </c>
      <c r="C617" s="52" t="str">
        <f>IF(A617="","",VLOOKUP(A617,'THAM CHIẾU'!$A:$B,2,0))</f>
        <v/>
      </c>
      <c r="D617" s="52" t="str">
        <f>IF(E617&lt;&gt;0,VLOOKUP(E617,DM_DUAN,3,0),"")</f>
        <v/>
      </c>
      <c r="E617" s="735"/>
      <c r="F617" s="735"/>
      <c r="G617" s="735"/>
      <c r="H617" s="70"/>
      <c r="I617" s="52" t="str">
        <f>IF($K617&lt;&gt;0,VLOOKUP($K617,DM_KM,3,0),"")</f>
        <v/>
      </c>
      <c r="J617" s="52" t="str">
        <f>IF($K617&lt;&gt;0,VLOOKUP($K617,DM_KM,5,0),"")</f>
        <v/>
      </c>
      <c r="K617" s="735"/>
      <c r="L617" s="735"/>
      <c r="M617" s="68"/>
      <c r="N617" s="738">
        <v>0.0</v>
      </c>
      <c r="O617" s="737"/>
      <c r="P617" s="751"/>
    </row>
    <row r="618" hidden="1">
      <c r="A618" s="1190"/>
      <c r="B618" s="52" t="str">
        <f t="shared" si="1"/>
        <v/>
      </c>
      <c r="C618" s="52" t="str">
        <f>IF(A618="","",VLOOKUP(A618,'THAM CHIẾU'!$A:$B,2,0))</f>
        <v/>
      </c>
      <c r="D618" s="52" t="str">
        <f>IF(E618&lt;&gt;0,VLOOKUP(E618,DM_DUAN,3,0),"")</f>
        <v/>
      </c>
      <c r="E618" s="735"/>
      <c r="F618" s="735"/>
      <c r="G618" s="735"/>
      <c r="H618" s="70"/>
      <c r="I618" s="52" t="str">
        <f>IF($K618&lt;&gt;0,VLOOKUP($K618,DM_KM,3,0),"")</f>
        <v/>
      </c>
      <c r="J618" s="52" t="str">
        <f>IF($K618&lt;&gt;0,VLOOKUP($K618,DM_KM,5,0),"")</f>
        <v/>
      </c>
      <c r="K618" s="735"/>
      <c r="L618" s="735"/>
      <c r="M618" s="68"/>
      <c r="N618" s="738">
        <v>0.0</v>
      </c>
      <c r="O618" s="737"/>
      <c r="P618" s="751"/>
    </row>
    <row r="619" hidden="1">
      <c r="A619" s="1190"/>
      <c r="B619" s="52" t="str">
        <f t="shared" si="1"/>
        <v/>
      </c>
      <c r="C619" s="52" t="str">
        <f>IF(A619="","",VLOOKUP(A619,'THAM CHIẾU'!$A:$B,2,0))</f>
        <v/>
      </c>
      <c r="D619" s="52" t="str">
        <f>IF(E619&lt;&gt;0,VLOOKUP(E619,DM_DUAN,3,0),"")</f>
        <v/>
      </c>
      <c r="E619" s="735"/>
      <c r="F619" s="735"/>
      <c r="G619" s="735"/>
      <c r="H619" s="70"/>
      <c r="I619" s="52" t="str">
        <f>IF($K619&lt;&gt;0,VLOOKUP($K619,DM_KM,3,0),"")</f>
        <v/>
      </c>
      <c r="J619" s="52" t="str">
        <f>IF($K619&lt;&gt;0,VLOOKUP($K619,DM_KM,5,0),"")</f>
        <v/>
      </c>
      <c r="K619" s="735"/>
      <c r="L619" s="735"/>
      <c r="M619" s="68"/>
      <c r="N619" s="738">
        <v>0.0</v>
      </c>
      <c r="O619" s="737"/>
      <c r="P619" s="751"/>
    </row>
    <row r="620" hidden="1">
      <c r="A620" s="1190"/>
      <c r="B620" s="52" t="str">
        <f t="shared" si="1"/>
        <v/>
      </c>
      <c r="C620" s="52" t="str">
        <f>IF(A620="","",VLOOKUP(A620,'THAM CHIẾU'!$A:$B,2,0))</f>
        <v/>
      </c>
      <c r="D620" s="52" t="str">
        <f>IF(E620&lt;&gt;0,VLOOKUP(E620,DM_DUAN,3,0),"")</f>
        <v/>
      </c>
      <c r="E620" s="735"/>
      <c r="F620" s="735"/>
      <c r="G620" s="735"/>
      <c r="H620" s="70"/>
      <c r="I620" s="52" t="str">
        <f>IF($K620&lt;&gt;0,VLOOKUP($K620,DM_KM,3,0),"")</f>
        <v/>
      </c>
      <c r="J620" s="52" t="str">
        <f>IF($K620&lt;&gt;0,VLOOKUP($K620,DM_KM,5,0),"")</f>
        <v/>
      </c>
      <c r="K620" s="735"/>
      <c r="L620" s="735"/>
      <c r="M620" s="68"/>
      <c r="N620" s="738">
        <v>0.0</v>
      </c>
      <c r="O620" s="737"/>
      <c r="P620" s="751"/>
    </row>
    <row r="621" hidden="1">
      <c r="A621" s="1190"/>
      <c r="B621" s="52" t="str">
        <f t="shared" si="1"/>
        <v/>
      </c>
      <c r="C621" s="52" t="str">
        <f>IF(A621="","",VLOOKUP(A621,'THAM CHIẾU'!$A:$B,2,0))</f>
        <v/>
      </c>
      <c r="D621" s="52" t="str">
        <f>IF(E621&lt;&gt;0,VLOOKUP(E621,DM_DUAN,3,0),"")</f>
        <v/>
      </c>
      <c r="E621" s="735"/>
      <c r="F621" s="735"/>
      <c r="G621" s="735"/>
      <c r="H621" s="70"/>
      <c r="I621" s="52" t="str">
        <f>IF($K621&lt;&gt;0,VLOOKUP($K621,DM_KM,3,0),"")</f>
        <v/>
      </c>
      <c r="J621" s="52" t="str">
        <f>IF($K621&lt;&gt;0,VLOOKUP($K621,DM_KM,5,0),"")</f>
        <v/>
      </c>
      <c r="K621" s="735"/>
      <c r="L621" s="735"/>
      <c r="M621" s="68"/>
      <c r="N621" s="738">
        <v>0.0</v>
      </c>
      <c r="O621" s="737"/>
      <c r="P621" s="751"/>
    </row>
    <row r="622" hidden="1">
      <c r="A622" s="1190"/>
      <c r="B622" s="52" t="str">
        <f t="shared" si="1"/>
        <v/>
      </c>
      <c r="C622" s="52" t="str">
        <f>IF(A622="","",VLOOKUP(A622,'THAM CHIẾU'!$A:$B,2,0))</f>
        <v/>
      </c>
      <c r="D622" s="52" t="str">
        <f>IF(E622&lt;&gt;0,VLOOKUP(E622,DM_DUAN,3,0),"")</f>
        <v/>
      </c>
      <c r="E622" s="735"/>
      <c r="F622" s="735"/>
      <c r="G622" s="735"/>
      <c r="H622" s="70"/>
      <c r="I622" s="52" t="str">
        <f>IF($K622&lt;&gt;0,VLOOKUP($K622,DM_KM,3,0),"")</f>
        <v/>
      </c>
      <c r="J622" s="52" t="str">
        <f>IF($K622&lt;&gt;0,VLOOKUP($K622,DM_KM,5,0),"")</f>
        <v/>
      </c>
      <c r="K622" s="735"/>
      <c r="L622" s="735"/>
      <c r="M622" s="68"/>
      <c r="N622" s="738">
        <v>0.0</v>
      </c>
      <c r="O622" s="737"/>
      <c r="P622" s="751"/>
    </row>
    <row r="623" hidden="1">
      <c r="A623" s="1190"/>
      <c r="B623" s="52" t="str">
        <f t="shared" si="1"/>
        <v/>
      </c>
      <c r="C623" s="52" t="str">
        <f>IF(A623="","",VLOOKUP(A623,'THAM CHIẾU'!$A:$B,2,0))</f>
        <v/>
      </c>
      <c r="D623" s="52" t="str">
        <f>IF(E623&lt;&gt;0,VLOOKUP(E623,DM_DUAN,3,0),"")</f>
        <v/>
      </c>
      <c r="E623" s="735"/>
      <c r="F623" s="735"/>
      <c r="G623" s="735"/>
      <c r="H623" s="70"/>
      <c r="I623" s="52" t="str">
        <f>IF($K623&lt;&gt;0,VLOOKUP($K623,DM_KM,3,0),"")</f>
        <v/>
      </c>
      <c r="J623" s="52" t="str">
        <f>IF($K623&lt;&gt;0,VLOOKUP($K623,DM_KM,5,0),"")</f>
        <v/>
      </c>
      <c r="K623" s="735"/>
      <c r="L623" s="735"/>
      <c r="M623" s="68"/>
      <c r="N623" s="738">
        <v>0.0</v>
      </c>
      <c r="O623" s="737"/>
      <c r="P623" s="751"/>
    </row>
    <row r="624" hidden="1">
      <c r="A624" s="1190"/>
      <c r="B624" s="52" t="str">
        <f t="shared" si="1"/>
        <v/>
      </c>
      <c r="C624" s="52" t="str">
        <f>IF(A624="","",VLOOKUP(A624,'THAM CHIẾU'!$A:$B,2,0))</f>
        <v/>
      </c>
      <c r="D624" s="52" t="str">
        <f>IF(E624&lt;&gt;0,VLOOKUP(E624,DM_DUAN,3,0),"")</f>
        <v/>
      </c>
      <c r="E624" s="735"/>
      <c r="F624" s="735"/>
      <c r="G624" s="735"/>
      <c r="H624" s="70"/>
      <c r="I624" s="52" t="str">
        <f>IF($K624&lt;&gt;0,VLOOKUP($K624,DM_KM,3,0),"")</f>
        <v/>
      </c>
      <c r="J624" s="52" t="str">
        <f>IF($K624&lt;&gt;0,VLOOKUP($K624,DM_KM,5,0),"")</f>
        <v/>
      </c>
      <c r="K624" s="735"/>
      <c r="L624" s="735"/>
      <c r="M624" s="68"/>
      <c r="N624" s="738">
        <v>0.0</v>
      </c>
      <c r="O624" s="737"/>
      <c r="P624" s="751"/>
    </row>
    <row r="625" hidden="1">
      <c r="A625" s="1190"/>
      <c r="B625" s="52" t="str">
        <f t="shared" si="1"/>
        <v/>
      </c>
      <c r="C625" s="52" t="str">
        <f>IF(A625="","",VLOOKUP(A625,'THAM CHIẾU'!$A:$B,2,0))</f>
        <v/>
      </c>
      <c r="D625" s="52" t="str">
        <f>IF(E625&lt;&gt;0,VLOOKUP(E625,DM_DUAN,3,0),"")</f>
        <v/>
      </c>
      <c r="E625" s="735"/>
      <c r="F625" s="735"/>
      <c r="G625" s="735"/>
      <c r="H625" s="70"/>
      <c r="I625" s="52" t="str">
        <f>IF($K625&lt;&gt;0,VLOOKUP($K625,DM_KM,3,0),"")</f>
        <v/>
      </c>
      <c r="J625" s="52" t="str">
        <f>IF($K625&lt;&gt;0,VLOOKUP($K625,DM_KM,5,0),"")</f>
        <v/>
      </c>
      <c r="K625" s="735"/>
      <c r="L625" s="735"/>
      <c r="M625" s="68"/>
      <c r="N625" s="738">
        <v>0.0</v>
      </c>
      <c r="O625" s="737"/>
      <c r="P625" s="751"/>
    </row>
    <row r="626" hidden="1">
      <c r="A626" s="1190"/>
      <c r="B626" s="52" t="str">
        <f t="shared" si="1"/>
        <v/>
      </c>
      <c r="C626" s="52" t="str">
        <f>IF(A626="","",VLOOKUP(A626,'THAM CHIẾU'!$A:$B,2,0))</f>
        <v/>
      </c>
      <c r="D626" s="52" t="str">
        <f>IF(E626&lt;&gt;0,VLOOKUP(E626,DM_DUAN,3,0),"")</f>
        <v/>
      </c>
      <c r="E626" s="735"/>
      <c r="F626" s="735"/>
      <c r="G626" s="735"/>
      <c r="H626" s="70"/>
      <c r="I626" s="52" t="str">
        <f>IF($K626&lt;&gt;0,VLOOKUP($K626,DM_KM,3,0),"")</f>
        <v/>
      </c>
      <c r="J626" s="52" t="str">
        <f>IF($K626&lt;&gt;0,VLOOKUP($K626,DM_KM,5,0),"")</f>
        <v/>
      </c>
      <c r="K626" s="735"/>
      <c r="L626" s="735"/>
      <c r="M626" s="68"/>
      <c r="N626" s="738">
        <v>0.0</v>
      </c>
      <c r="O626" s="737"/>
      <c r="P626" s="751"/>
    </row>
    <row r="627" hidden="1">
      <c r="A627" s="1190"/>
      <c r="B627" s="52" t="str">
        <f t="shared" si="1"/>
        <v/>
      </c>
      <c r="C627" s="52" t="str">
        <f>IF(A627="","",VLOOKUP(A627,'THAM CHIẾU'!$A:$B,2,0))</f>
        <v/>
      </c>
      <c r="D627" s="52" t="str">
        <f>IF(E627&lt;&gt;0,VLOOKUP(E627,DM_DUAN,3,0),"")</f>
        <v/>
      </c>
      <c r="E627" s="735"/>
      <c r="F627" s="735"/>
      <c r="G627" s="735"/>
      <c r="H627" s="70"/>
      <c r="I627" s="52" t="str">
        <f>IF($K627&lt;&gt;0,VLOOKUP($K627,DM_KM,3,0),"")</f>
        <v/>
      </c>
      <c r="J627" s="52" t="str">
        <f>IF($K627&lt;&gt;0,VLOOKUP($K627,DM_KM,5,0),"")</f>
        <v/>
      </c>
      <c r="K627" s="735"/>
      <c r="L627" s="735"/>
      <c r="M627" s="68"/>
      <c r="N627" s="738">
        <v>0.0</v>
      </c>
      <c r="O627" s="737"/>
      <c r="P627" s="751"/>
    </row>
    <row r="628" hidden="1">
      <c r="A628" s="1190"/>
      <c r="B628" s="52" t="str">
        <f t="shared" si="1"/>
        <v/>
      </c>
      <c r="C628" s="52" t="str">
        <f>IF(A628="","",VLOOKUP(A628,'THAM CHIẾU'!$A:$B,2,0))</f>
        <v/>
      </c>
      <c r="D628" s="52" t="str">
        <f>IF(E628&lt;&gt;0,VLOOKUP(E628,DM_DUAN,3,0),"")</f>
        <v/>
      </c>
      <c r="E628" s="735"/>
      <c r="F628" s="735"/>
      <c r="G628" s="735"/>
      <c r="H628" s="70"/>
      <c r="I628" s="52" t="str">
        <f>IF($K628&lt;&gt;0,VLOOKUP($K628,DM_KM,3,0),"")</f>
        <v/>
      </c>
      <c r="J628" s="52" t="str">
        <f>IF($K628&lt;&gt;0,VLOOKUP($K628,DM_KM,5,0),"")</f>
        <v/>
      </c>
      <c r="K628" s="735"/>
      <c r="L628" s="735"/>
      <c r="M628" s="68"/>
      <c r="N628" s="738">
        <v>0.0</v>
      </c>
      <c r="O628" s="737"/>
      <c r="P628" s="751"/>
    </row>
    <row r="629" hidden="1">
      <c r="A629" s="1190"/>
      <c r="B629" s="52" t="str">
        <f t="shared" si="1"/>
        <v/>
      </c>
      <c r="C629" s="52" t="str">
        <f>IF(A629="","",VLOOKUP(A629,'THAM CHIẾU'!$A:$B,2,0))</f>
        <v/>
      </c>
      <c r="D629" s="52" t="str">
        <f>IF(E629&lt;&gt;0,VLOOKUP(E629,DM_DUAN,3,0),"")</f>
        <v/>
      </c>
      <c r="E629" s="735"/>
      <c r="F629" s="735"/>
      <c r="G629" s="735"/>
      <c r="H629" s="70"/>
      <c r="I629" s="52" t="str">
        <f>IF($K629&lt;&gt;0,VLOOKUP($K629,DM_KM,3,0),"")</f>
        <v/>
      </c>
      <c r="J629" s="52" t="str">
        <f>IF($K629&lt;&gt;0,VLOOKUP($K629,DM_KM,5,0),"")</f>
        <v/>
      </c>
      <c r="K629" s="735"/>
      <c r="L629" s="735"/>
      <c r="M629" s="68"/>
      <c r="N629" s="738">
        <v>0.0</v>
      </c>
      <c r="O629" s="737"/>
      <c r="P629" s="751"/>
    </row>
    <row r="630" hidden="1">
      <c r="A630" s="1190"/>
      <c r="B630" s="52" t="str">
        <f t="shared" si="1"/>
        <v/>
      </c>
      <c r="C630" s="52" t="str">
        <f>IF(A630="","",VLOOKUP(A630,'THAM CHIẾU'!$A:$B,2,0))</f>
        <v/>
      </c>
      <c r="D630" s="52" t="str">
        <f>IF(E630&lt;&gt;0,VLOOKUP(E630,DM_DUAN,3,0),"")</f>
        <v/>
      </c>
      <c r="E630" s="735"/>
      <c r="F630" s="735"/>
      <c r="G630" s="735"/>
      <c r="H630" s="70"/>
      <c r="I630" s="52" t="str">
        <f>IF($K630&lt;&gt;0,VLOOKUP($K630,DM_KM,3,0),"")</f>
        <v/>
      </c>
      <c r="J630" s="52" t="str">
        <f>IF($K630&lt;&gt;0,VLOOKUP($K630,DM_KM,5,0),"")</f>
        <v/>
      </c>
      <c r="K630" s="735"/>
      <c r="L630" s="735"/>
      <c r="M630" s="68"/>
      <c r="N630" s="738">
        <v>0.0</v>
      </c>
      <c r="O630" s="737"/>
      <c r="P630" s="751"/>
    </row>
    <row r="631" hidden="1">
      <c r="A631" s="1190"/>
      <c r="B631" s="52" t="str">
        <f t="shared" si="1"/>
        <v/>
      </c>
      <c r="C631" s="52" t="str">
        <f>IF(A631="","",VLOOKUP(A631,'THAM CHIẾU'!$A:$B,2,0))</f>
        <v/>
      </c>
      <c r="D631" s="52" t="str">
        <f>IF(E631&lt;&gt;0,VLOOKUP(E631,DM_DUAN,3,0),"")</f>
        <v/>
      </c>
      <c r="E631" s="735"/>
      <c r="F631" s="735"/>
      <c r="G631" s="735"/>
      <c r="H631" s="70"/>
      <c r="I631" s="52" t="str">
        <f>IF($K631&lt;&gt;0,VLOOKUP($K631,DM_KM,3,0),"")</f>
        <v/>
      </c>
      <c r="J631" s="52" t="str">
        <f>IF($K631&lt;&gt;0,VLOOKUP($K631,DM_KM,5,0),"")</f>
        <v/>
      </c>
      <c r="K631" s="735"/>
      <c r="L631" s="735"/>
      <c r="M631" s="68"/>
      <c r="N631" s="738">
        <v>0.0</v>
      </c>
      <c r="O631" s="737"/>
      <c r="P631" s="751"/>
    </row>
    <row r="632" hidden="1">
      <c r="A632" s="1190"/>
      <c r="B632" s="52" t="str">
        <f t="shared" si="1"/>
        <v/>
      </c>
      <c r="C632" s="52" t="str">
        <f>IF(A632="","",VLOOKUP(A632,'THAM CHIẾU'!$A:$B,2,0))</f>
        <v/>
      </c>
      <c r="D632" s="52" t="str">
        <f>IF(E632&lt;&gt;0,VLOOKUP(E632,DM_DUAN,3,0),"")</f>
        <v/>
      </c>
      <c r="E632" s="735"/>
      <c r="F632" s="735"/>
      <c r="G632" s="735"/>
      <c r="H632" s="70"/>
      <c r="I632" s="52" t="str">
        <f>IF($K632&lt;&gt;0,VLOOKUP($K632,DM_KM,3,0),"")</f>
        <v/>
      </c>
      <c r="J632" s="52" t="str">
        <f>IF($K632&lt;&gt;0,VLOOKUP($K632,DM_KM,5,0),"")</f>
        <v/>
      </c>
      <c r="K632" s="735"/>
      <c r="L632" s="735"/>
      <c r="M632" s="68"/>
      <c r="N632" s="738">
        <v>0.0</v>
      </c>
      <c r="O632" s="737"/>
      <c r="P632" s="751"/>
    </row>
    <row r="633" hidden="1">
      <c r="A633" s="1190"/>
      <c r="B633" s="52" t="str">
        <f t="shared" si="1"/>
        <v/>
      </c>
      <c r="C633" s="52" t="str">
        <f>IF(A633="","",VLOOKUP(A633,'THAM CHIẾU'!$A:$B,2,0))</f>
        <v/>
      </c>
      <c r="D633" s="52" t="str">
        <f>IF(E633&lt;&gt;0,VLOOKUP(E633,DM_DUAN,3,0),"")</f>
        <v/>
      </c>
      <c r="E633" s="735"/>
      <c r="F633" s="735"/>
      <c r="G633" s="735"/>
      <c r="H633" s="70"/>
      <c r="I633" s="52" t="str">
        <f>IF($K633&lt;&gt;0,VLOOKUP($K633,DM_KM,3,0),"")</f>
        <v/>
      </c>
      <c r="J633" s="52" t="str">
        <f>IF($K633&lt;&gt;0,VLOOKUP($K633,DM_KM,5,0),"")</f>
        <v/>
      </c>
      <c r="K633" s="735"/>
      <c r="L633" s="735"/>
      <c r="M633" s="68"/>
      <c r="N633" s="738">
        <v>0.0</v>
      </c>
      <c r="O633" s="737"/>
      <c r="P633" s="751"/>
    </row>
    <row r="634" hidden="1">
      <c r="A634" s="1190"/>
      <c r="B634" s="52" t="str">
        <f t="shared" si="1"/>
        <v/>
      </c>
      <c r="C634" s="52" t="str">
        <f>IF(A634="","",VLOOKUP(A634,'THAM CHIẾU'!$A:$B,2,0))</f>
        <v/>
      </c>
      <c r="D634" s="52" t="str">
        <f>IF(E634&lt;&gt;0,VLOOKUP(E634,DM_DUAN,3,0),"")</f>
        <v/>
      </c>
      <c r="E634" s="735"/>
      <c r="F634" s="735"/>
      <c r="G634" s="735"/>
      <c r="H634" s="70"/>
      <c r="I634" s="52" t="str">
        <f>IF($K634&lt;&gt;0,VLOOKUP($K634,DM_KM,3,0),"")</f>
        <v/>
      </c>
      <c r="J634" s="52" t="str">
        <f>IF($K634&lt;&gt;0,VLOOKUP($K634,DM_KM,5,0),"")</f>
        <v/>
      </c>
      <c r="K634" s="735"/>
      <c r="L634" s="735"/>
      <c r="M634" s="68"/>
      <c r="N634" s="738">
        <v>0.0</v>
      </c>
      <c r="O634" s="737"/>
      <c r="P634" s="751"/>
    </row>
    <row r="635" hidden="1">
      <c r="A635" s="1190"/>
      <c r="B635" s="52" t="str">
        <f t="shared" si="1"/>
        <v/>
      </c>
      <c r="C635" s="52" t="str">
        <f>IF(A635="","",VLOOKUP(A635,'THAM CHIẾU'!$A:$B,2,0))</f>
        <v/>
      </c>
      <c r="D635" s="52" t="str">
        <f>IF(E635&lt;&gt;0,VLOOKUP(E635,DM_DUAN,3,0),"")</f>
        <v/>
      </c>
      <c r="E635" s="735"/>
      <c r="F635" s="735"/>
      <c r="G635" s="735"/>
      <c r="H635" s="70"/>
      <c r="I635" s="52" t="str">
        <f>IF($K635&lt;&gt;0,VLOOKUP($K635,DM_KM,3,0),"")</f>
        <v/>
      </c>
      <c r="J635" s="52" t="str">
        <f>IF($K635&lt;&gt;0,VLOOKUP($K635,DM_KM,5,0),"")</f>
        <v/>
      </c>
      <c r="K635" s="735"/>
      <c r="L635" s="735"/>
      <c r="M635" s="68"/>
      <c r="N635" s="738">
        <v>0.0</v>
      </c>
      <c r="O635" s="737"/>
      <c r="P635" s="751"/>
    </row>
    <row r="636" hidden="1">
      <c r="A636" s="1190"/>
      <c r="B636" s="52" t="str">
        <f t="shared" si="1"/>
        <v/>
      </c>
      <c r="C636" s="52" t="str">
        <f>IF(A636="","",VLOOKUP(A636,'THAM CHIẾU'!$A:$B,2,0))</f>
        <v/>
      </c>
      <c r="D636" s="52" t="str">
        <f>IF(E636&lt;&gt;0,VLOOKUP(E636,DM_DUAN,3,0),"")</f>
        <v/>
      </c>
      <c r="E636" s="735"/>
      <c r="F636" s="735"/>
      <c r="G636" s="735"/>
      <c r="H636" s="70"/>
      <c r="I636" s="52" t="str">
        <f>IF($K636&lt;&gt;0,VLOOKUP($K636,DM_KM,3,0),"")</f>
        <v/>
      </c>
      <c r="J636" s="52" t="str">
        <f>IF($K636&lt;&gt;0,VLOOKUP($K636,DM_KM,5,0),"")</f>
        <v/>
      </c>
      <c r="K636" s="735"/>
      <c r="L636" s="735"/>
      <c r="M636" s="68"/>
      <c r="N636" s="738">
        <v>0.0</v>
      </c>
      <c r="O636" s="737"/>
      <c r="P636" s="751"/>
    </row>
    <row r="637" hidden="1">
      <c r="A637" s="1190"/>
      <c r="B637" s="52" t="str">
        <f t="shared" si="1"/>
        <v/>
      </c>
      <c r="C637" s="52" t="str">
        <f>IF(A637="","",VLOOKUP(A637,'THAM CHIẾU'!$A:$B,2,0))</f>
        <v/>
      </c>
      <c r="D637" s="52" t="str">
        <f>IF(E637&lt;&gt;0,VLOOKUP(E637,DM_DUAN,3,0),"")</f>
        <v/>
      </c>
      <c r="E637" s="735"/>
      <c r="F637" s="735"/>
      <c r="G637" s="735"/>
      <c r="H637" s="70"/>
      <c r="I637" s="52" t="str">
        <f>IF($K637&lt;&gt;0,VLOOKUP($K637,DM_KM,3,0),"")</f>
        <v/>
      </c>
      <c r="J637" s="52" t="str">
        <f>IF($K637&lt;&gt;0,VLOOKUP($K637,DM_KM,5,0),"")</f>
        <v/>
      </c>
      <c r="K637" s="735"/>
      <c r="L637" s="735"/>
      <c r="M637" s="68"/>
      <c r="N637" s="738">
        <v>0.0</v>
      </c>
      <c r="O637" s="737"/>
      <c r="P637" s="751"/>
    </row>
    <row r="638" hidden="1">
      <c r="A638" s="1190"/>
      <c r="B638" s="52" t="str">
        <f t="shared" si="1"/>
        <v/>
      </c>
      <c r="C638" s="52" t="str">
        <f>IF(A638="","",VLOOKUP(A638,'THAM CHIẾU'!$A:$B,2,0))</f>
        <v/>
      </c>
      <c r="D638" s="52" t="str">
        <f>IF(E638&lt;&gt;0,VLOOKUP(E638,DM_DUAN,3,0),"")</f>
        <v/>
      </c>
      <c r="E638" s="735"/>
      <c r="F638" s="735"/>
      <c r="G638" s="735"/>
      <c r="H638" s="70"/>
      <c r="I638" s="52" t="str">
        <f>IF($K638&lt;&gt;0,VLOOKUP($K638,DM_KM,3,0),"")</f>
        <v/>
      </c>
      <c r="J638" s="52" t="str">
        <f>IF($K638&lt;&gt;0,VLOOKUP($K638,DM_KM,5,0),"")</f>
        <v/>
      </c>
      <c r="K638" s="735"/>
      <c r="L638" s="735"/>
      <c r="M638" s="68"/>
      <c r="N638" s="738">
        <v>0.0</v>
      </c>
      <c r="O638" s="737"/>
      <c r="P638" s="751"/>
    </row>
    <row r="639" hidden="1">
      <c r="A639" s="1190"/>
      <c r="B639" s="52" t="str">
        <f t="shared" si="1"/>
        <v/>
      </c>
      <c r="C639" s="52" t="str">
        <f>IF(A639="","",VLOOKUP(A639,'THAM CHIẾU'!$A:$B,2,0))</f>
        <v/>
      </c>
      <c r="D639" s="52" t="str">
        <f>IF(E639&lt;&gt;0,VLOOKUP(E639,DM_DUAN,3,0),"")</f>
        <v/>
      </c>
      <c r="E639" s="735"/>
      <c r="F639" s="735"/>
      <c r="G639" s="735"/>
      <c r="H639" s="70"/>
      <c r="I639" s="52" t="str">
        <f>IF($K639&lt;&gt;0,VLOOKUP($K639,DM_KM,3,0),"")</f>
        <v/>
      </c>
      <c r="J639" s="52" t="str">
        <f>IF($K639&lt;&gt;0,VLOOKUP($K639,DM_KM,5,0),"")</f>
        <v/>
      </c>
      <c r="K639" s="735"/>
      <c r="L639" s="735"/>
      <c r="M639" s="68"/>
      <c r="N639" s="738">
        <v>0.0</v>
      </c>
      <c r="O639" s="737"/>
      <c r="P639" s="751"/>
    </row>
    <row r="640" hidden="1">
      <c r="A640" s="1190"/>
      <c r="B640" s="52" t="str">
        <f t="shared" si="1"/>
        <v/>
      </c>
      <c r="C640" s="52" t="str">
        <f>IF(A640="","",VLOOKUP(A640,'THAM CHIẾU'!$A:$B,2,0))</f>
        <v/>
      </c>
      <c r="D640" s="52" t="str">
        <f>IF(E640&lt;&gt;0,VLOOKUP(E640,DM_DUAN,3,0),"")</f>
        <v/>
      </c>
      <c r="E640" s="735"/>
      <c r="F640" s="735"/>
      <c r="G640" s="735"/>
      <c r="H640" s="70"/>
      <c r="I640" s="52" t="str">
        <f>IF($K640&lt;&gt;0,VLOOKUP($K640,DM_KM,3,0),"")</f>
        <v/>
      </c>
      <c r="J640" s="52" t="str">
        <f>IF($K640&lt;&gt;0,VLOOKUP($K640,DM_KM,5,0),"")</f>
        <v/>
      </c>
      <c r="K640" s="735"/>
      <c r="L640" s="735"/>
      <c r="M640" s="68"/>
      <c r="N640" s="738">
        <v>0.0</v>
      </c>
      <c r="O640" s="737"/>
      <c r="P640" s="751"/>
    </row>
    <row r="641" hidden="1">
      <c r="A641" s="1190"/>
      <c r="B641" s="52" t="str">
        <f t="shared" si="1"/>
        <v/>
      </c>
      <c r="C641" s="52" t="str">
        <f>IF(A641="","",VLOOKUP(A641,'THAM CHIẾU'!$A:$B,2,0))</f>
        <v/>
      </c>
      <c r="D641" s="52" t="str">
        <f>IF(E641&lt;&gt;0,VLOOKUP(E641,DM_DUAN,3,0),"")</f>
        <v/>
      </c>
      <c r="E641" s="735"/>
      <c r="F641" s="735"/>
      <c r="G641" s="735"/>
      <c r="H641" s="70"/>
      <c r="I641" s="52" t="str">
        <f>IF($K641&lt;&gt;0,VLOOKUP($K641,DM_KM,3,0),"")</f>
        <v/>
      </c>
      <c r="J641" s="52" t="str">
        <f>IF($K641&lt;&gt;0,VLOOKUP($K641,DM_KM,5,0),"")</f>
        <v/>
      </c>
      <c r="K641" s="735"/>
      <c r="L641" s="735"/>
      <c r="M641" s="68"/>
      <c r="N641" s="738">
        <v>0.0</v>
      </c>
      <c r="O641" s="737"/>
      <c r="P641" s="751"/>
    </row>
    <row r="642" hidden="1">
      <c r="A642" s="1190"/>
      <c r="B642" s="52" t="str">
        <f t="shared" si="1"/>
        <v/>
      </c>
      <c r="C642" s="52" t="str">
        <f>IF(A642="","",VLOOKUP(A642,'THAM CHIẾU'!$A:$B,2,0))</f>
        <v/>
      </c>
      <c r="D642" s="52" t="str">
        <f>IF(E642&lt;&gt;0,VLOOKUP(E642,DM_DUAN,3,0),"")</f>
        <v/>
      </c>
      <c r="E642" s="735"/>
      <c r="F642" s="735"/>
      <c r="G642" s="735"/>
      <c r="H642" s="70"/>
      <c r="I642" s="52" t="str">
        <f>IF($K642&lt;&gt;0,VLOOKUP($K642,DM_KM,3,0),"")</f>
        <v/>
      </c>
      <c r="J642" s="52" t="str">
        <f>IF($K642&lt;&gt;0,VLOOKUP($K642,DM_KM,5,0),"")</f>
        <v/>
      </c>
      <c r="K642" s="735"/>
      <c r="L642" s="735"/>
      <c r="M642" s="68"/>
      <c r="N642" s="738">
        <v>0.0</v>
      </c>
      <c r="O642" s="737"/>
      <c r="P642" s="751"/>
    </row>
    <row r="643" hidden="1">
      <c r="A643" s="1190"/>
      <c r="B643" s="52" t="str">
        <f t="shared" si="1"/>
        <v/>
      </c>
      <c r="C643" s="52" t="str">
        <f>IF(A643="","",VLOOKUP(A643,'THAM CHIẾU'!$A:$B,2,0))</f>
        <v/>
      </c>
      <c r="D643" s="52" t="str">
        <f>IF(E643&lt;&gt;0,VLOOKUP(E643,DM_DUAN,3,0),"")</f>
        <v/>
      </c>
      <c r="E643" s="735"/>
      <c r="F643" s="735"/>
      <c r="G643" s="735"/>
      <c r="H643" s="70"/>
      <c r="I643" s="52" t="str">
        <f>IF($K643&lt;&gt;0,VLOOKUP($K643,DM_KM,3,0),"")</f>
        <v/>
      </c>
      <c r="J643" s="52" t="str">
        <f>IF($K643&lt;&gt;0,VLOOKUP($K643,DM_KM,5,0),"")</f>
        <v/>
      </c>
      <c r="K643" s="735"/>
      <c r="L643" s="735"/>
      <c r="M643" s="68"/>
      <c r="N643" s="738">
        <v>0.0</v>
      </c>
      <c r="O643" s="737"/>
      <c r="P643" s="751"/>
    </row>
    <row r="644" hidden="1">
      <c r="A644" s="1190"/>
      <c r="B644" s="52" t="str">
        <f t="shared" si="1"/>
        <v/>
      </c>
      <c r="C644" s="52" t="str">
        <f>IF(A644="","",VLOOKUP(A644,'THAM CHIẾU'!$A:$B,2,0))</f>
        <v/>
      </c>
      <c r="D644" s="52" t="str">
        <f>IF(E644&lt;&gt;0,VLOOKUP(E644,DM_DUAN,3,0),"")</f>
        <v/>
      </c>
      <c r="E644" s="735"/>
      <c r="F644" s="735"/>
      <c r="G644" s="735"/>
      <c r="H644" s="70"/>
      <c r="I644" s="52" t="str">
        <f>IF($K644&lt;&gt;0,VLOOKUP($K644,DM_KM,3,0),"")</f>
        <v/>
      </c>
      <c r="J644" s="52" t="str">
        <f>IF($K644&lt;&gt;0,VLOOKUP($K644,DM_KM,5,0),"")</f>
        <v/>
      </c>
      <c r="K644" s="735"/>
      <c r="L644" s="735"/>
      <c r="M644" s="68"/>
      <c r="N644" s="738">
        <v>0.0</v>
      </c>
      <c r="O644" s="737"/>
      <c r="P644" s="751"/>
    </row>
    <row r="645" hidden="1">
      <c r="A645" s="1190"/>
      <c r="B645" s="52" t="str">
        <f t="shared" si="1"/>
        <v/>
      </c>
      <c r="C645" s="52" t="str">
        <f>IF(A645="","",VLOOKUP(A645,'THAM CHIẾU'!$A:$B,2,0))</f>
        <v/>
      </c>
      <c r="D645" s="52" t="str">
        <f>IF(E645&lt;&gt;0,VLOOKUP(E645,DM_DUAN,3,0),"")</f>
        <v/>
      </c>
      <c r="E645" s="735"/>
      <c r="F645" s="735"/>
      <c r="G645" s="735"/>
      <c r="H645" s="70"/>
      <c r="I645" s="52" t="str">
        <f>IF($K645&lt;&gt;0,VLOOKUP($K645,DM_KM,3,0),"")</f>
        <v/>
      </c>
      <c r="J645" s="52" t="str">
        <f>IF($K645&lt;&gt;0,VLOOKUP($K645,DM_KM,5,0),"")</f>
        <v/>
      </c>
      <c r="K645" s="735"/>
      <c r="L645" s="735"/>
      <c r="M645" s="68"/>
      <c r="N645" s="738">
        <v>0.0</v>
      </c>
      <c r="O645" s="737"/>
      <c r="P645" s="751"/>
    </row>
    <row r="646" hidden="1">
      <c r="A646" s="1190"/>
      <c r="B646" s="52" t="str">
        <f t="shared" si="1"/>
        <v/>
      </c>
      <c r="C646" s="52" t="str">
        <f>IF(A646="","",VLOOKUP(A646,'THAM CHIẾU'!$A:$B,2,0))</f>
        <v/>
      </c>
      <c r="D646" s="52" t="str">
        <f>IF(E646&lt;&gt;0,VLOOKUP(E646,DM_DUAN,3,0),"")</f>
        <v/>
      </c>
      <c r="E646" s="735"/>
      <c r="F646" s="735"/>
      <c r="G646" s="735"/>
      <c r="H646" s="70"/>
      <c r="I646" s="52" t="str">
        <f>IF($K646&lt;&gt;0,VLOOKUP($K646,DM_KM,3,0),"")</f>
        <v/>
      </c>
      <c r="J646" s="52" t="str">
        <f>IF($K646&lt;&gt;0,VLOOKUP($K646,DM_KM,5,0),"")</f>
        <v/>
      </c>
      <c r="K646" s="735"/>
      <c r="L646" s="735"/>
      <c r="M646" s="68"/>
      <c r="N646" s="738">
        <v>0.0</v>
      </c>
      <c r="O646" s="737"/>
      <c r="P646" s="751"/>
    </row>
    <row r="647" hidden="1">
      <c r="A647" s="1190"/>
      <c r="B647" s="52" t="str">
        <f t="shared" si="1"/>
        <v/>
      </c>
      <c r="C647" s="52" t="str">
        <f>IF(A647="","",VLOOKUP(A647,'THAM CHIẾU'!$A:$B,2,0))</f>
        <v/>
      </c>
      <c r="D647" s="52" t="str">
        <f>IF(E647&lt;&gt;0,VLOOKUP(E647,DM_DUAN,3,0),"")</f>
        <v/>
      </c>
      <c r="E647" s="735"/>
      <c r="F647" s="735"/>
      <c r="G647" s="735"/>
      <c r="H647" s="70"/>
      <c r="I647" s="52" t="str">
        <f>IF($K647&lt;&gt;0,VLOOKUP($K647,DM_KM,3,0),"")</f>
        <v/>
      </c>
      <c r="J647" s="52" t="str">
        <f>IF($K647&lt;&gt;0,VLOOKUP($K647,DM_KM,5,0),"")</f>
        <v/>
      </c>
      <c r="K647" s="735"/>
      <c r="L647" s="735"/>
      <c r="M647" s="68"/>
      <c r="N647" s="738">
        <v>0.0</v>
      </c>
      <c r="O647" s="737"/>
      <c r="P647" s="751"/>
    </row>
    <row r="648" hidden="1">
      <c r="A648" s="1190"/>
      <c r="B648" s="52" t="str">
        <f t="shared" si="1"/>
        <v/>
      </c>
      <c r="C648" s="52" t="str">
        <f>IF(A648="","",VLOOKUP(A648,'THAM CHIẾU'!$A:$B,2,0))</f>
        <v/>
      </c>
      <c r="D648" s="52" t="str">
        <f>IF(E648&lt;&gt;0,VLOOKUP(E648,DM_DUAN,3,0),"")</f>
        <v/>
      </c>
      <c r="E648" s="735"/>
      <c r="F648" s="735"/>
      <c r="G648" s="735"/>
      <c r="H648" s="70"/>
      <c r="I648" s="52" t="str">
        <f>IF($K648&lt;&gt;0,VLOOKUP($K648,DM_KM,3,0),"")</f>
        <v/>
      </c>
      <c r="J648" s="52" t="str">
        <f>IF($K648&lt;&gt;0,VLOOKUP($K648,DM_KM,5,0),"")</f>
        <v/>
      </c>
      <c r="K648" s="735"/>
      <c r="L648" s="735"/>
      <c r="M648" s="68"/>
      <c r="N648" s="738">
        <v>0.0</v>
      </c>
      <c r="O648" s="737"/>
      <c r="P648" s="751"/>
    </row>
    <row r="649" hidden="1">
      <c r="A649" s="1190"/>
      <c r="B649" s="52" t="str">
        <f t="shared" si="1"/>
        <v/>
      </c>
      <c r="C649" s="52" t="str">
        <f>IF(A649="","",VLOOKUP(A649,'THAM CHIẾU'!$A:$B,2,0))</f>
        <v/>
      </c>
      <c r="D649" s="52" t="str">
        <f>IF(E649&lt;&gt;0,VLOOKUP(E649,DM_DUAN,3,0),"")</f>
        <v/>
      </c>
      <c r="E649" s="735"/>
      <c r="F649" s="735"/>
      <c r="G649" s="735"/>
      <c r="H649" s="70"/>
      <c r="I649" s="52" t="str">
        <f>IF($K649&lt;&gt;0,VLOOKUP($K649,DM_KM,3,0),"")</f>
        <v/>
      </c>
      <c r="J649" s="52" t="str">
        <f>IF($K649&lt;&gt;0,VLOOKUP($K649,DM_KM,5,0),"")</f>
        <v/>
      </c>
      <c r="K649" s="735"/>
      <c r="L649" s="735"/>
      <c r="M649" s="68"/>
      <c r="N649" s="739"/>
      <c r="O649" s="737"/>
      <c r="P649" s="751"/>
    </row>
    <row r="650" hidden="1">
      <c r="A650" s="1190"/>
      <c r="B650" s="52" t="str">
        <f t="shared" si="1"/>
        <v/>
      </c>
      <c r="C650" s="52" t="str">
        <f>IF(A650="","",VLOOKUP(A650,'THAM CHIẾU'!$A:$B,2,0))</f>
        <v/>
      </c>
      <c r="D650" s="52" t="str">
        <f>IF(E650&lt;&gt;0,VLOOKUP(E650,DM_DUAN,3,0),"")</f>
        <v/>
      </c>
      <c r="E650" s="735"/>
      <c r="F650" s="735"/>
      <c r="G650" s="735"/>
      <c r="H650" s="70"/>
      <c r="I650" s="52" t="str">
        <f>IF($K650&lt;&gt;0,VLOOKUP($K650,DM_KM,3,0),"")</f>
        <v/>
      </c>
      <c r="J650" s="52" t="str">
        <f>IF($K650&lt;&gt;0,VLOOKUP($K650,DM_KM,5,0),"")</f>
        <v/>
      </c>
      <c r="K650" s="735"/>
      <c r="L650" s="735"/>
      <c r="M650" s="68"/>
      <c r="N650" s="739"/>
      <c r="O650" s="737"/>
      <c r="P650" s="751"/>
    </row>
    <row r="651" hidden="1">
      <c r="A651" s="1190"/>
      <c r="B651" s="52" t="str">
        <f t="shared" si="1"/>
        <v/>
      </c>
      <c r="C651" s="52" t="str">
        <f>IF(A651="","",VLOOKUP(A651,'THAM CHIẾU'!$A:$B,2,0))</f>
        <v/>
      </c>
      <c r="D651" s="52" t="str">
        <f>IF(E651&lt;&gt;0,VLOOKUP(E651,DM_DUAN,3,0),"")</f>
        <v/>
      </c>
      <c r="E651" s="735"/>
      <c r="F651" s="735"/>
      <c r="G651" s="735"/>
      <c r="H651" s="70"/>
      <c r="I651" s="52" t="str">
        <f>IF($K651&lt;&gt;0,VLOOKUP($K651,DM_KM,3,0),"")</f>
        <v/>
      </c>
      <c r="J651" s="52" t="str">
        <f>IF($K651&lt;&gt;0,VLOOKUP($K651,DM_KM,5,0),"")</f>
        <v/>
      </c>
      <c r="K651" s="735"/>
      <c r="L651" s="735"/>
      <c r="M651" s="68"/>
      <c r="N651" s="739"/>
      <c r="O651" s="737"/>
      <c r="P651" s="751"/>
    </row>
    <row r="652" hidden="1">
      <c r="A652" s="1190"/>
      <c r="B652" s="52" t="str">
        <f t="shared" si="1"/>
        <v/>
      </c>
      <c r="C652" s="52" t="str">
        <f>IF(A652="","",VLOOKUP(A652,'THAM CHIẾU'!$A:$B,2,0))</f>
        <v/>
      </c>
      <c r="D652" s="52" t="str">
        <f>IF(E652&lt;&gt;0,VLOOKUP(E652,DM_DUAN,3,0),"")</f>
        <v/>
      </c>
      <c r="E652" s="735"/>
      <c r="F652" s="735"/>
      <c r="G652" s="735"/>
      <c r="H652" s="70"/>
      <c r="I652" s="52" t="str">
        <f>IF($K652&lt;&gt;0,VLOOKUP($K652,DM_KM,3,0),"")</f>
        <v/>
      </c>
      <c r="J652" s="52" t="str">
        <f>IF($K652&lt;&gt;0,VLOOKUP($K652,DM_KM,5,0),"")</f>
        <v/>
      </c>
      <c r="K652" s="735"/>
      <c r="L652" s="735"/>
      <c r="M652" s="68"/>
      <c r="N652" s="739"/>
      <c r="O652" s="737"/>
      <c r="P652" s="751"/>
    </row>
    <row r="653" hidden="1">
      <c r="A653" s="1190"/>
      <c r="B653" s="52" t="str">
        <f t="shared" si="1"/>
        <v/>
      </c>
      <c r="C653" s="52" t="str">
        <f>IF(A653="","",VLOOKUP(A653,'THAM CHIẾU'!$A:$B,2,0))</f>
        <v/>
      </c>
      <c r="D653" s="52" t="str">
        <f>IF(E653&lt;&gt;0,VLOOKUP(E653,DM_DUAN,3,0),"")</f>
        <v/>
      </c>
      <c r="E653" s="735"/>
      <c r="F653" s="735"/>
      <c r="G653" s="735"/>
      <c r="H653" s="70"/>
      <c r="I653" s="52" t="str">
        <f>IF($K653&lt;&gt;0,VLOOKUP($K653,DM_KM,3,0),"")</f>
        <v/>
      </c>
      <c r="J653" s="52" t="str">
        <f>IF($K653&lt;&gt;0,VLOOKUP($K653,DM_KM,5,0),"")</f>
        <v/>
      </c>
      <c r="K653" s="735"/>
      <c r="L653" s="735"/>
      <c r="M653" s="68"/>
      <c r="N653" s="739"/>
      <c r="O653" s="737"/>
      <c r="P653" s="751"/>
    </row>
    <row r="654" hidden="1">
      <c r="A654" s="1190"/>
      <c r="B654" s="52" t="str">
        <f t="shared" si="1"/>
        <v/>
      </c>
      <c r="C654" s="52" t="str">
        <f>IF(A654="","",VLOOKUP(A654,'THAM CHIẾU'!$A:$B,2,0))</f>
        <v/>
      </c>
      <c r="D654" s="52" t="str">
        <f>IF(E654&lt;&gt;0,VLOOKUP(E654,DM_DUAN,3,0),"")</f>
        <v/>
      </c>
      <c r="E654" s="735"/>
      <c r="F654" s="735"/>
      <c r="G654" s="735"/>
      <c r="H654" s="70"/>
      <c r="I654" s="52" t="str">
        <f>IF($K654&lt;&gt;0,VLOOKUP($K654,DM_KM,3,0),"")</f>
        <v/>
      </c>
      <c r="J654" s="52" t="str">
        <f>IF($K654&lt;&gt;0,VLOOKUP($K654,DM_KM,5,0),"")</f>
        <v/>
      </c>
      <c r="K654" s="735"/>
      <c r="L654" s="735"/>
      <c r="M654" s="68"/>
      <c r="N654" s="739"/>
      <c r="O654" s="737"/>
      <c r="P654" s="751"/>
    </row>
    <row r="655" hidden="1">
      <c r="A655" s="1190"/>
      <c r="B655" s="52" t="str">
        <f t="shared" si="1"/>
        <v/>
      </c>
      <c r="C655" s="52" t="str">
        <f>IF(A655="","",VLOOKUP(A655,'THAM CHIẾU'!$A:$B,2,0))</f>
        <v/>
      </c>
      <c r="D655" s="52" t="str">
        <f>IF(E655&lt;&gt;0,VLOOKUP(E655,DM_DUAN,3,0),"")</f>
        <v/>
      </c>
      <c r="E655" s="735"/>
      <c r="F655" s="735"/>
      <c r="G655" s="735"/>
      <c r="H655" s="70"/>
      <c r="I655" s="52" t="str">
        <f>IF($K655&lt;&gt;0,VLOOKUP($K655,DM_KM,3,0),"")</f>
        <v/>
      </c>
      <c r="J655" s="52" t="str">
        <f>IF($K655&lt;&gt;0,VLOOKUP($K655,DM_KM,5,0),"")</f>
        <v/>
      </c>
      <c r="K655" s="735"/>
      <c r="L655" s="735"/>
      <c r="M655" s="68"/>
      <c r="N655" s="739"/>
      <c r="O655" s="737"/>
      <c r="P655" s="751"/>
    </row>
    <row r="656" hidden="1">
      <c r="A656" s="1190"/>
      <c r="B656" s="52" t="str">
        <f t="shared" si="1"/>
        <v/>
      </c>
      <c r="C656" s="52" t="str">
        <f>IF(A656="","",VLOOKUP(A656,'THAM CHIẾU'!$A:$B,2,0))</f>
        <v/>
      </c>
      <c r="D656" s="52" t="str">
        <f>IF(E656&lt;&gt;0,VLOOKUP(E656,DM_DUAN,3,0),"")</f>
        <v/>
      </c>
      <c r="E656" s="735"/>
      <c r="F656" s="735"/>
      <c r="G656" s="735"/>
      <c r="H656" s="70"/>
      <c r="I656" s="52" t="str">
        <f>IF($K656&lt;&gt;0,VLOOKUP($K656,DM_KM,3,0),"")</f>
        <v/>
      </c>
      <c r="J656" s="52" t="str">
        <f>IF($K656&lt;&gt;0,VLOOKUP($K656,DM_KM,5,0),"")</f>
        <v/>
      </c>
      <c r="K656" s="735"/>
      <c r="L656" s="735"/>
      <c r="M656" s="68"/>
      <c r="N656" s="739"/>
      <c r="O656" s="737"/>
      <c r="P656" s="751"/>
    </row>
    <row r="657" hidden="1">
      <c r="A657" s="1190"/>
      <c r="B657" s="52" t="str">
        <f t="shared" si="1"/>
        <v/>
      </c>
      <c r="C657" s="52" t="str">
        <f>IF(A657="","",VLOOKUP(A657,'THAM CHIẾU'!$A:$B,2,0))</f>
        <v/>
      </c>
      <c r="D657" s="52" t="str">
        <f>IF(E657&lt;&gt;0,VLOOKUP(E657,DM_DUAN,3,0),"")</f>
        <v/>
      </c>
      <c r="E657" s="735"/>
      <c r="F657" s="735"/>
      <c r="G657" s="735"/>
      <c r="H657" s="70"/>
      <c r="I657" s="52" t="str">
        <f>IF($K657&lt;&gt;0,VLOOKUP($K657,DM_KM,3,0),"")</f>
        <v/>
      </c>
      <c r="J657" s="52" t="str">
        <f>IF($K657&lt;&gt;0,VLOOKUP($K657,DM_KM,5,0),"")</f>
        <v/>
      </c>
      <c r="K657" s="735"/>
      <c r="L657" s="735"/>
      <c r="M657" s="68"/>
      <c r="N657" s="739"/>
      <c r="O657" s="737"/>
      <c r="P657" s="751"/>
    </row>
    <row r="658" hidden="1">
      <c r="A658" s="1190"/>
      <c r="B658" s="52" t="str">
        <f t="shared" si="1"/>
        <v/>
      </c>
      <c r="C658" s="52" t="str">
        <f>IF(A658="","",VLOOKUP(A658,'THAM CHIẾU'!$A:$B,2,0))</f>
        <v/>
      </c>
      <c r="D658" s="52" t="str">
        <f>IF(E658&lt;&gt;0,VLOOKUP(E658,DM_DUAN,3,0),"")</f>
        <v/>
      </c>
      <c r="E658" s="735"/>
      <c r="F658" s="735"/>
      <c r="G658" s="735"/>
      <c r="H658" s="70"/>
      <c r="I658" s="52" t="str">
        <f>IF($K658&lt;&gt;0,VLOOKUP($K658,DM_KM,3,0),"")</f>
        <v/>
      </c>
      <c r="J658" s="52" t="str">
        <f>IF($K658&lt;&gt;0,VLOOKUP($K658,DM_KM,5,0),"")</f>
        <v/>
      </c>
      <c r="K658" s="735"/>
      <c r="L658" s="735"/>
      <c r="M658" s="68"/>
      <c r="N658" s="739"/>
      <c r="O658" s="737"/>
      <c r="P658" s="751"/>
    </row>
    <row r="659" hidden="1">
      <c r="A659" s="1190"/>
      <c r="B659" s="52" t="str">
        <f t="shared" si="1"/>
        <v/>
      </c>
      <c r="C659" s="52" t="str">
        <f>IF(A659="","",VLOOKUP(A659,'THAM CHIẾU'!$A:$B,2,0))</f>
        <v/>
      </c>
      <c r="D659" s="52" t="str">
        <f>IF(E659&lt;&gt;0,VLOOKUP(E659,DM_DUAN,3,0),"")</f>
        <v/>
      </c>
      <c r="E659" s="735"/>
      <c r="F659" s="735"/>
      <c r="G659" s="735"/>
      <c r="H659" s="70"/>
      <c r="I659" s="52" t="str">
        <f>IF($K659&lt;&gt;0,VLOOKUP($K659,DM_KM,3,0),"")</f>
        <v/>
      </c>
      <c r="J659" s="52" t="str">
        <f>IF($K659&lt;&gt;0,VLOOKUP($K659,DM_KM,5,0),"")</f>
        <v/>
      </c>
      <c r="K659" s="735"/>
      <c r="L659" s="735"/>
      <c r="M659" s="68"/>
      <c r="N659" s="739"/>
      <c r="O659" s="737"/>
      <c r="P659" s="751"/>
    </row>
    <row r="660" hidden="1">
      <c r="A660" s="1190"/>
      <c r="B660" s="52" t="str">
        <f t="shared" si="1"/>
        <v/>
      </c>
      <c r="C660" s="52" t="str">
        <f>IF(A660="","",VLOOKUP(A660,'THAM CHIẾU'!$A:$B,2,0))</f>
        <v/>
      </c>
      <c r="D660" s="52" t="str">
        <f>IF(E660&lt;&gt;0,VLOOKUP(E660,DM_DUAN,3,0),"")</f>
        <v/>
      </c>
      <c r="E660" s="735"/>
      <c r="F660" s="735"/>
      <c r="G660" s="735"/>
      <c r="H660" s="70"/>
      <c r="I660" s="52" t="str">
        <f>IF($K660&lt;&gt;0,VLOOKUP($K660,DM_KM,3,0),"")</f>
        <v/>
      </c>
      <c r="J660" s="52" t="str">
        <f>IF($K660&lt;&gt;0,VLOOKUP($K660,DM_KM,5,0),"")</f>
        <v/>
      </c>
      <c r="K660" s="735"/>
      <c r="L660" s="735"/>
      <c r="M660" s="68"/>
      <c r="N660" s="739"/>
      <c r="O660" s="737"/>
      <c r="P660" s="751"/>
    </row>
    <row r="661" hidden="1">
      <c r="A661" s="1190"/>
      <c r="B661" s="52" t="str">
        <f t="shared" si="1"/>
        <v/>
      </c>
      <c r="C661" s="52" t="str">
        <f>IF(A661="","",VLOOKUP(A661,'THAM CHIẾU'!$A:$B,2,0))</f>
        <v/>
      </c>
      <c r="D661" s="52" t="str">
        <f>IF(E661&lt;&gt;0,VLOOKUP(E661,DM_DUAN,3,0),"")</f>
        <v/>
      </c>
      <c r="E661" s="735"/>
      <c r="F661" s="735"/>
      <c r="G661" s="735"/>
      <c r="H661" s="70"/>
      <c r="I661" s="52" t="str">
        <f>IF($K661&lt;&gt;0,VLOOKUP($K661,DM_KM,3,0),"")</f>
        <v/>
      </c>
      <c r="J661" s="52" t="str">
        <f>IF($K661&lt;&gt;0,VLOOKUP($K661,DM_KM,5,0),"")</f>
        <v/>
      </c>
      <c r="K661" s="735"/>
      <c r="L661" s="735"/>
      <c r="M661" s="68"/>
      <c r="N661" s="739"/>
      <c r="O661" s="737"/>
      <c r="P661" s="751"/>
    </row>
    <row r="662" hidden="1">
      <c r="A662" s="1190"/>
      <c r="B662" s="52" t="str">
        <f t="shared" si="1"/>
        <v/>
      </c>
      <c r="C662" s="52" t="str">
        <f>IF(A662="","",VLOOKUP(A662,'THAM CHIẾU'!$A:$B,2,0))</f>
        <v/>
      </c>
      <c r="D662" s="52" t="str">
        <f>IF(E662&lt;&gt;0,VLOOKUP(E662,DM_DUAN,3,0),"")</f>
        <v/>
      </c>
      <c r="E662" s="735"/>
      <c r="F662" s="735"/>
      <c r="G662" s="735"/>
      <c r="H662" s="70"/>
      <c r="I662" s="52" t="str">
        <f>IF($K662&lt;&gt;0,VLOOKUP($K662,DM_KM,3,0),"")</f>
        <v/>
      </c>
      <c r="J662" s="52" t="str">
        <f>IF($K662&lt;&gt;0,VLOOKUP($K662,DM_KM,5,0),"")</f>
        <v/>
      </c>
      <c r="K662" s="735"/>
      <c r="L662" s="735"/>
      <c r="M662" s="68"/>
      <c r="N662" s="739"/>
      <c r="O662" s="737"/>
      <c r="P662" s="751"/>
    </row>
    <row r="663" hidden="1">
      <c r="A663" s="1190"/>
      <c r="B663" s="52" t="str">
        <f t="shared" si="1"/>
        <v/>
      </c>
      <c r="C663" s="52" t="str">
        <f>IF(A663="","",VLOOKUP(A663,'THAM CHIẾU'!$A:$B,2,0))</f>
        <v/>
      </c>
      <c r="D663" s="52" t="str">
        <f>IF(E663&lt;&gt;0,VLOOKUP(E663,DM_DUAN,3,0),"")</f>
        <v/>
      </c>
      <c r="E663" s="735"/>
      <c r="F663" s="735"/>
      <c r="G663" s="735"/>
      <c r="H663" s="70"/>
      <c r="I663" s="52" t="str">
        <f>IF($K663&lt;&gt;0,VLOOKUP($K663,DM_KM,3,0),"")</f>
        <v/>
      </c>
      <c r="J663" s="52" t="str">
        <f>IF($K663&lt;&gt;0,VLOOKUP($K663,DM_KM,5,0),"")</f>
        <v/>
      </c>
      <c r="K663" s="735"/>
      <c r="L663" s="735"/>
      <c r="M663" s="68"/>
      <c r="N663" s="739"/>
      <c r="O663" s="737"/>
      <c r="P663" s="751"/>
    </row>
    <row r="664" hidden="1">
      <c r="A664" s="1190"/>
      <c r="B664" s="52" t="str">
        <f t="shared" si="1"/>
        <v/>
      </c>
      <c r="C664" s="52" t="str">
        <f>IF(A664="","",VLOOKUP(A664,'THAM CHIẾU'!$A:$B,2,0))</f>
        <v/>
      </c>
      <c r="D664" s="52" t="str">
        <f>IF(E664&lt;&gt;0,VLOOKUP(E664,DM_DUAN,3,0),"")</f>
        <v/>
      </c>
      <c r="E664" s="735"/>
      <c r="F664" s="735"/>
      <c r="G664" s="735"/>
      <c r="H664" s="70"/>
      <c r="I664" s="52" t="str">
        <f>IF($K664&lt;&gt;0,VLOOKUP($K664,DM_KM,3,0),"")</f>
        <v/>
      </c>
      <c r="J664" s="52" t="str">
        <f>IF($K664&lt;&gt;0,VLOOKUP($K664,DM_KM,5,0),"")</f>
        <v/>
      </c>
      <c r="K664" s="735"/>
      <c r="L664" s="735"/>
      <c r="M664" s="68"/>
      <c r="N664" s="739"/>
      <c r="O664" s="737"/>
      <c r="P664" s="751"/>
    </row>
    <row r="665" hidden="1">
      <c r="A665" s="1190"/>
      <c r="B665" s="52" t="str">
        <f t="shared" si="1"/>
        <v/>
      </c>
      <c r="C665" s="52" t="str">
        <f>IF(A665="","",VLOOKUP(A665,'THAM CHIẾU'!$A:$B,2,0))</f>
        <v/>
      </c>
      <c r="D665" s="52" t="str">
        <f>IF(E665&lt;&gt;0,VLOOKUP(E665,DM_DUAN,3,0),"")</f>
        <v/>
      </c>
      <c r="E665" s="735"/>
      <c r="F665" s="735"/>
      <c r="G665" s="735"/>
      <c r="H665" s="70"/>
      <c r="I665" s="52" t="str">
        <f>IF($K665&lt;&gt;0,VLOOKUP($K665,DM_KM,3,0),"")</f>
        <v/>
      </c>
      <c r="J665" s="52" t="str">
        <f>IF($K665&lt;&gt;0,VLOOKUP($K665,DM_KM,5,0),"")</f>
        <v/>
      </c>
      <c r="K665" s="735"/>
      <c r="L665" s="735"/>
      <c r="M665" s="68"/>
      <c r="N665" s="739"/>
      <c r="O665" s="737"/>
      <c r="P665" s="751"/>
    </row>
    <row r="666" hidden="1">
      <c r="A666" s="1190"/>
      <c r="B666" s="52" t="str">
        <f t="shared" si="1"/>
        <v/>
      </c>
      <c r="C666" s="52" t="str">
        <f>IF(A666="","",VLOOKUP(A666,'THAM CHIẾU'!$A:$B,2,0))</f>
        <v/>
      </c>
      <c r="D666" s="52" t="str">
        <f>IF(E666&lt;&gt;0,VLOOKUP(E666,DM_DUAN,3,0),"")</f>
        <v/>
      </c>
      <c r="E666" s="735"/>
      <c r="F666" s="735"/>
      <c r="G666" s="735"/>
      <c r="H666" s="70"/>
      <c r="I666" s="52" t="str">
        <f>IF($K666&lt;&gt;0,VLOOKUP($K666,DM_KM,3,0),"")</f>
        <v/>
      </c>
      <c r="J666" s="52" t="str">
        <f>IF($K666&lt;&gt;0,VLOOKUP($K666,DM_KM,5,0),"")</f>
        <v/>
      </c>
      <c r="K666" s="735"/>
      <c r="L666" s="735"/>
      <c r="M666" s="68"/>
      <c r="N666" s="739"/>
      <c r="O666" s="737"/>
      <c r="P666" s="751"/>
    </row>
    <row r="667" hidden="1">
      <c r="A667" s="1190"/>
      <c r="B667" s="52" t="str">
        <f t="shared" si="1"/>
        <v/>
      </c>
      <c r="C667" s="52" t="str">
        <f>IF(A667="","",VLOOKUP(A667,'THAM CHIẾU'!$A:$B,2,0))</f>
        <v/>
      </c>
      <c r="D667" s="52" t="str">
        <f>IF(E667&lt;&gt;0,VLOOKUP(E667,DM_DUAN,3,0),"")</f>
        <v/>
      </c>
      <c r="E667" s="735"/>
      <c r="F667" s="735"/>
      <c r="G667" s="735"/>
      <c r="H667" s="70"/>
      <c r="I667" s="52" t="str">
        <f>IF($K667&lt;&gt;0,VLOOKUP($K667,DM_KM,3,0),"")</f>
        <v/>
      </c>
      <c r="J667" s="52" t="str">
        <f>IF($K667&lt;&gt;0,VLOOKUP($K667,DM_KM,5,0),"")</f>
        <v/>
      </c>
      <c r="K667" s="735"/>
      <c r="L667" s="735"/>
      <c r="M667" s="68"/>
      <c r="N667" s="739"/>
      <c r="O667" s="737"/>
      <c r="P667" s="751"/>
    </row>
    <row r="668" hidden="1">
      <c r="A668" s="1190"/>
      <c r="B668" s="52" t="str">
        <f t="shared" si="1"/>
        <v/>
      </c>
      <c r="C668" s="52" t="str">
        <f>IF(A668="","",VLOOKUP(A668,'THAM CHIẾU'!$A:$B,2,0))</f>
        <v/>
      </c>
      <c r="D668" s="52" t="str">
        <f>IF(E668&lt;&gt;0,VLOOKUP(E668,DM_DUAN,3,0),"")</f>
        <v/>
      </c>
      <c r="E668" s="735"/>
      <c r="F668" s="735"/>
      <c r="G668" s="735"/>
      <c r="H668" s="70"/>
      <c r="I668" s="52" t="str">
        <f>IF($K668&lt;&gt;0,VLOOKUP($K668,DM_KM,3,0),"")</f>
        <v/>
      </c>
      <c r="J668" s="52" t="str">
        <f>IF($K668&lt;&gt;0,VLOOKUP($K668,DM_KM,5,0),"")</f>
        <v/>
      </c>
      <c r="K668" s="735"/>
      <c r="L668" s="735"/>
      <c r="M668" s="68"/>
      <c r="N668" s="739"/>
      <c r="O668" s="737"/>
      <c r="P668" s="751"/>
    </row>
    <row r="669" hidden="1">
      <c r="A669" s="1190"/>
      <c r="B669" s="52" t="str">
        <f t="shared" si="1"/>
        <v/>
      </c>
      <c r="C669" s="52" t="str">
        <f>IF(A669="","",VLOOKUP(A669,'THAM CHIẾU'!$A:$B,2,0))</f>
        <v/>
      </c>
      <c r="D669" s="52" t="str">
        <f>IF(E669&lt;&gt;0,VLOOKUP(E669,DM_DUAN,3,0),"")</f>
        <v/>
      </c>
      <c r="E669" s="735"/>
      <c r="F669" s="735"/>
      <c r="G669" s="735"/>
      <c r="H669" s="70"/>
      <c r="I669" s="52" t="str">
        <f>IF($K669&lt;&gt;0,VLOOKUP($K669,DM_KM,3,0),"")</f>
        <v/>
      </c>
      <c r="J669" s="52" t="str">
        <f>IF($K669&lt;&gt;0,VLOOKUP($K669,DM_KM,5,0),"")</f>
        <v/>
      </c>
      <c r="K669" s="735"/>
      <c r="L669" s="735"/>
      <c r="M669" s="68"/>
      <c r="N669" s="739"/>
      <c r="O669" s="737"/>
      <c r="P669" s="751"/>
    </row>
    <row r="670" hidden="1">
      <c r="A670" s="1190"/>
      <c r="B670" s="52" t="str">
        <f t="shared" si="1"/>
        <v/>
      </c>
      <c r="C670" s="52" t="str">
        <f>IF(A670="","",VLOOKUP(A670,'THAM CHIẾU'!$A:$B,2,0))</f>
        <v/>
      </c>
      <c r="D670" s="52" t="str">
        <f>IF(E670&lt;&gt;0,VLOOKUP(E670,DM_DUAN,3,0),"")</f>
        <v/>
      </c>
      <c r="E670" s="735"/>
      <c r="F670" s="735"/>
      <c r="G670" s="735"/>
      <c r="H670" s="70"/>
      <c r="I670" s="52" t="str">
        <f>IF($K670&lt;&gt;0,VLOOKUP($K670,DM_KM,3,0),"")</f>
        <v/>
      </c>
      <c r="J670" s="52" t="str">
        <f>IF($K670&lt;&gt;0,VLOOKUP($K670,DM_KM,5,0),"")</f>
        <v/>
      </c>
      <c r="K670" s="735"/>
      <c r="L670" s="735"/>
      <c r="M670" s="68"/>
      <c r="N670" s="739"/>
      <c r="O670" s="737"/>
      <c r="P670" s="751"/>
    </row>
    <row r="671" hidden="1">
      <c r="A671" s="1190"/>
      <c r="B671" s="52" t="str">
        <f t="shared" si="1"/>
        <v/>
      </c>
      <c r="C671" s="52" t="str">
        <f>IF(A671="","",VLOOKUP(A671,'THAM CHIẾU'!$A:$B,2,0))</f>
        <v/>
      </c>
      <c r="D671" s="52" t="str">
        <f>IF(E671&lt;&gt;0,VLOOKUP(E671,DM_DUAN,3,0),"")</f>
        <v/>
      </c>
      <c r="E671" s="735"/>
      <c r="F671" s="735"/>
      <c r="G671" s="735"/>
      <c r="H671" s="70"/>
      <c r="I671" s="52" t="str">
        <f>IF($K671&lt;&gt;0,VLOOKUP($K671,DM_KM,3,0),"")</f>
        <v/>
      </c>
      <c r="J671" s="52" t="str">
        <f>IF($K671&lt;&gt;0,VLOOKUP($K671,DM_KM,5,0),"")</f>
        <v/>
      </c>
      <c r="K671" s="735"/>
      <c r="L671" s="735"/>
      <c r="M671" s="68"/>
      <c r="N671" s="739"/>
      <c r="O671" s="737"/>
      <c r="P671" s="751"/>
    </row>
    <row r="672" hidden="1">
      <c r="A672" s="1190"/>
      <c r="B672" s="52" t="str">
        <f t="shared" si="1"/>
        <v/>
      </c>
      <c r="C672" s="52" t="str">
        <f>IF(A672="","",VLOOKUP(A672,'THAM CHIẾU'!$A:$B,2,0))</f>
        <v/>
      </c>
      <c r="D672" s="52" t="str">
        <f>IF(E672&lt;&gt;0,VLOOKUP(E672,DM_DUAN,3,0),"")</f>
        <v/>
      </c>
      <c r="E672" s="735"/>
      <c r="F672" s="735"/>
      <c r="G672" s="735"/>
      <c r="H672" s="70"/>
      <c r="I672" s="52" t="str">
        <f>IF($K672&lt;&gt;0,VLOOKUP($K672,DM_KM,3,0),"")</f>
        <v/>
      </c>
      <c r="J672" s="52" t="str">
        <f>IF($K672&lt;&gt;0,VLOOKUP($K672,DM_KM,5,0),"")</f>
        <v/>
      </c>
      <c r="K672" s="735"/>
      <c r="L672" s="735"/>
      <c r="M672" s="68"/>
      <c r="N672" s="739"/>
      <c r="O672" s="737"/>
      <c r="P672" s="751"/>
    </row>
    <row r="673" hidden="1">
      <c r="A673" s="1190"/>
      <c r="B673" s="52" t="str">
        <f t="shared" si="1"/>
        <v/>
      </c>
      <c r="C673" s="52" t="str">
        <f>IF(A673="","",VLOOKUP(A673,'THAM CHIẾU'!$A:$B,2,0))</f>
        <v/>
      </c>
      <c r="D673" s="52" t="str">
        <f>IF(E673&lt;&gt;0,VLOOKUP(E673,DM_DUAN,3,0),"")</f>
        <v/>
      </c>
      <c r="E673" s="735"/>
      <c r="F673" s="735"/>
      <c r="G673" s="735"/>
      <c r="H673" s="70"/>
      <c r="I673" s="52" t="str">
        <f>IF($K673&lt;&gt;0,VLOOKUP($K673,DM_KM,3,0),"")</f>
        <v/>
      </c>
      <c r="J673" s="52" t="str">
        <f>IF($K673&lt;&gt;0,VLOOKUP($K673,DM_KM,5,0),"")</f>
        <v/>
      </c>
      <c r="K673" s="735"/>
      <c r="L673" s="735"/>
      <c r="M673" s="68"/>
      <c r="N673" s="739"/>
      <c r="O673" s="737"/>
      <c r="P673" s="751"/>
    </row>
    <row r="674" hidden="1">
      <c r="A674" s="1190"/>
      <c r="B674" s="52" t="str">
        <f t="shared" si="1"/>
        <v/>
      </c>
      <c r="C674" s="52" t="str">
        <f>IF(A674="","",VLOOKUP(A674,'THAM CHIẾU'!$A:$B,2,0))</f>
        <v/>
      </c>
      <c r="D674" s="52" t="str">
        <f>IF(E674&lt;&gt;0,VLOOKUP(E674,DM_DUAN,3,0),"")</f>
        <v/>
      </c>
      <c r="E674" s="735"/>
      <c r="F674" s="735"/>
      <c r="G674" s="735"/>
      <c r="H674" s="70"/>
      <c r="I674" s="52" t="str">
        <f>IF($K674&lt;&gt;0,VLOOKUP($K674,DM_KM,3,0),"")</f>
        <v/>
      </c>
      <c r="J674" s="52" t="str">
        <f>IF($K674&lt;&gt;0,VLOOKUP($K674,DM_KM,5,0),"")</f>
        <v/>
      </c>
      <c r="K674" s="735"/>
      <c r="L674" s="735"/>
      <c r="M674" s="68"/>
      <c r="N674" s="739"/>
      <c r="O674" s="737"/>
      <c r="P674" s="751"/>
    </row>
    <row r="675" hidden="1">
      <c r="A675" s="1190"/>
      <c r="B675" s="52" t="str">
        <f t="shared" si="1"/>
        <v/>
      </c>
      <c r="C675" s="52" t="str">
        <f>IF(A675="","",VLOOKUP(A675,'THAM CHIẾU'!$A:$B,2,0))</f>
        <v/>
      </c>
      <c r="D675" s="52" t="str">
        <f>IF(E675&lt;&gt;0,VLOOKUP(E675,DM_DUAN,3,0),"")</f>
        <v/>
      </c>
      <c r="E675" s="735"/>
      <c r="F675" s="735"/>
      <c r="G675" s="735"/>
      <c r="H675" s="70"/>
      <c r="I675" s="52" t="str">
        <f>IF($K675&lt;&gt;0,VLOOKUP($K675,DM_KM,3,0),"")</f>
        <v/>
      </c>
      <c r="J675" s="52" t="str">
        <f>IF($K675&lt;&gt;0,VLOOKUP($K675,DM_KM,5,0),"")</f>
        <v/>
      </c>
      <c r="K675" s="735"/>
      <c r="L675" s="735"/>
      <c r="M675" s="68"/>
      <c r="N675" s="739"/>
      <c r="O675" s="737"/>
      <c r="P675" s="751"/>
    </row>
    <row r="676" hidden="1">
      <c r="A676" s="1190"/>
      <c r="B676" s="52" t="str">
        <f t="shared" si="1"/>
        <v/>
      </c>
      <c r="C676" s="52" t="str">
        <f>IF(A676="","",VLOOKUP(A676,'THAM CHIẾU'!$A:$B,2,0))</f>
        <v/>
      </c>
      <c r="D676" s="52" t="str">
        <f>IF(E676&lt;&gt;0,VLOOKUP(E676,DM_DUAN,3,0),"")</f>
        <v/>
      </c>
      <c r="E676" s="735"/>
      <c r="F676" s="735"/>
      <c r="G676" s="735"/>
      <c r="H676" s="70"/>
      <c r="I676" s="52" t="str">
        <f>IF($K676&lt;&gt;0,VLOOKUP($K676,DM_KM,3,0),"")</f>
        <v/>
      </c>
      <c r="J676" s="52" t="str">
        <f>IF($K676&lt;&gt;0,VLOOKUP($K676,DM_KM,5,0),"")</f>
        <v/>
      </c>
      <c r="K676" s="735"/>
      <c r="L676" s="735"/>
      <c r="M676" s="68"/>
      <c r="N676" s="739"/>
      <c r="O676" s="737"/>
      <c r="P676" s="751"/>
    </row>
    <row r="677" hidden="1">
      <c r="A677" s="1190"/>
      <c r="B677" s="52" t="str">
        <f t="shared" si="1"/>
        <v/>
      </c>
      <c r="C677" s="52" t="str">
        <f>IF(A677="","",VLOOKUP(A677,'THAM CHIẾU'!$A:$B,2,0))</f>
        <v/>
      </c>
      <c r="D677" s="52" t="str">
        <f>IF(E677&lt;&gt;0,VLOOKUP(E677,DM_DUAN,3,0),"")</f>
        <v/>
      </c>
      <c r="E677" s="735"/>
      <c r="F677" s="735"/>
      <c r="G677" s="735"/>
      <c r="H677" s="70"/>
      <c r="I677" s="52" t="str">
        <f>IF($K677&lt;&gt;0,VLOOKUP($K677,DM_KM,3,0),"")</f>
        <v/>
      </c>
      <c r="J677" s="52" t="str">
        <f>IF($K677&lt;&gt;0,VLOOKUP($K677,DM_KM,5,0),"")</f>
        <v/>
      </c>
      <c r="K677" s="735"/>
      <c r="L677" s="735"/>
      <c r="M677" s="68"/>
      <c r="N677" s="739"/>
      <c r="O677" s="737"/>
      <c r="P677" s="751"/>
    </row>
    <row r="678" hidden="1">
      <c r="A678" s="1190"/>
      <c r="B678" s="52" t="str">
        <f t="shared" si="1"/>
        <v/>
      </c>
      <c r="C678" s="52" t="str">
        <f>IF(A678="","",VLOOKUP(A678,'THAM CHIẾU'!$A:$B,2,0))</f>
        <v/>
      </c>
      <c r="D678" s="52" t="str">
        <f>IF(E678&lt;&gt;0,VLOOKUP(E678,DM_DUAN,3,0),"")</f>
        <v/>
      </c>
      <c r="E678" s="735"/>
      <c r="F678" s="735"/>
      <c r="G678" s="735"/>
      <c r="H678" s="70"/>
      <c r="I678" s="52" t="str">
        <f>IF($K678&lt;&gt;0,VLOOKUP($K678,DM_KM,3,0),"")</f>
        <v/>
      </c>
      <c r="J678" s="52" t="str">
        <f>IF($K678&lt;&gt;0,VLOOKUP($K678,DM_KM,5,0),"")</f>
        <v/>
      </c>
      <c r="K678" s="735"/>
      <c r="L678" s="735"/>
      <c r="M678" s="68"/>
      <c r="N678" s="739"/>
      <c r="O678" s="737"/>
      <c r="P678" s="751"/>
    </row>
    <row r="679" hidden="1">
      <c r="A679" s="1190"/>
      <c r="B679" s="52" t="str">
        <f t="shared" si="1"/>
        <v/>
      </c>
      <c r="C679" s="52" t="str">
        <f>IF(A679="","",VLOOKUP(A679,'THAM CHIẾU'!$A:$B,2,0))</f>
        <v/>
      </c>
      <c r="D679" s="52" t="str">
        <f>IF(E679&lt;&gt;0,VLOOKUP(E679,DM_DUAN,3,0),"")</f>
        <v/>
      </c>
      <c r="E679" s="735"/>
      <c r="F679" s="735"/>
      <c r="G679" s="735"/>
      <c r="H679" s="70"/>
      <c r="I679" s="52" t="str">
        <f>IF($K679&lt;&gt;0,VLOOKUP($K679,DM_KM,3,0),"")</f>
        <v/>
      </c>
      <c r="J679" s="52" t="str">
        <f>IF($K679&lt;&gt;0,VLOOKUP($K679,DM_KM,5,0),"")</f>
        <v/>
      </c>
      <c r="K679" s="735"/>
      <c r="L679" s="735"/>
      <c r="M679" s="68"/>
      <c r="N679" s="739"/>
      <c r="O679" s="737"/>
      <c r="P679" s="751"/>
    </row>
    <row r="680" hidden="1">
      <c r="A680" s="1190"/>
      <c r="B680" s="52" t="str">
        <f t="shared" si="1"/>
        <v/>
      </c>
      <c r="C680" s="52" t="str">
        <f>IF(A680="","",VLOOKUP(A680,'THAM CHIẾU'!$A:$B,2,0))</f>
        <v/>
      </c>
      <c r="D680" s="52" t="str">
        <f>IF(E680&lt;&gt;0,VLOOKUP(E680,DM_DUAN,3,0),"")</f>
        <v/>
      </c>
      <c r="E680" s="735"/>
      <c r="F680" s="735"/>
      <c r="G680" s="735"/>
      <c r="H680" s="70"/>
      <c r="I680" s="52" t="str">
        <f>IF($K680&lt;&gt;0,VLOOKUP($K680,DM_KM,3,0),"")</f>
        <v/>
      </c>
      <c r="J680" s="52" t="str">
        <f>IF($K680&lt;&gt;0,VLOOKUP($K680,DM_KM,5,0),"")</f>
        <v/>
      </c>
      <c r="K680" s="735"/>
      <c r="L680" s="735"/>
      <c r="M680" s="68"/>
      <c r="N680" s="739"/>
      <c r="O680" s="737"/>
      <c r="P680" s="751"/>
    </row>
    <row r="681" hidden="1">
      <c r="A681" s="1190"/>
      <c r="B681" s="52" t="str">
        <f t="shared" si="1"/>
        <v/>
      </c>
      <c r="C681" s="52" t="str">
        <f>IF(A681="","",VLOOKUP(A681,'THAM CHIẾU'!$A:$B,2,0))</f>
        <v/>
      </c>
      <c r="D681" s="52" t="str">
        <f>IF(E681&lt;&gt;0,VLOOKUP(E681,DM_DUAN,3,0),"")</f>
        <v/>
      </c>
      <c r="E681" s="735"/>
      <c r="F681" s="735"/>
      <c r="G681" s="735"/>
      <c r="H681" s="70"/>
      <c r="I681" s="52" t="str">
        <f>IF($K681&lt;&gt;0,VLOOKUP($K681,DM_KM,3,0),"")</f>
        <v/>
      </c>
      <c r="J681" s="52" t="str">
        <f>IF($K681&lt;&gt;0,VLOOKUP($K681,DM_KM,5,0),"")</f>
        <v/>
      </c>
      <c r="K681" s="735"/>
      <c r="L681" s="735"/>
      <c r="M681" s="68"/>
      <c r="N681" s="739"/>
      <c r="O681" s="737"/>
      <c r="P681" s="751"/>
    </row>
    <row r="682" hidden="1">
      <c r="A682" s="1190"/>
      <c r="B682" s="52" t="str">
        <f t="shared" si="1"/>
        <v/>
      </c>
      <c r="C682" s="52" t="str">
        <f>IF(A682="","",VLOOKUP(A682,'THAM CHIẾU'!$A:$B,2,0))</f>
        <v/>
      </c>
      <c r="D682" s="52" t="str">
        <f>IF(E682&lt;&gt;0,VLOOKUP(E682,DM_DUAN,3,0),"")</f>
        <v/>
      </c>
      <c r="E682" s="735"/>
      <c r="F682" s="735"/>
      <c r="G682" s="735"/>
      <c r="H682" s="70"/>
      <c r="I682" s="52" t="str">
        <f>IF($K682&lt;&gt;0,VLOOKUP($K682,DM_KM,3,0),"")</f>
        <v/>
      </c>
      <c r="J682" s="52" t="str">
        <f>IF($K682&lt;&gt;0,VLOOKUP($K682,DM_KM,5,0),"")</f>
        <v/>
      </c>
      <c r="K682" s="735"/>
      <c r="L682" s="735"/>
      <c r="M682" s="68"/>
      <c r="N682" s="739"/>
      <c r="O682" s="737"/>
      <c r="P682" s="751"/>
    </row>
    <row r="683" hidden="1">
      <c r="A683" s="1190"/>
      <c r="B683" s="52" t="str">
        <f t="shared" si="1"/>
        <v/>
      </c>
      <c r="C683" s="52" t="str">
        <f>IF(A683="","",VLOOKUP(A683,'THAM CHIẾU'!$A:$B,2,0))</f>
        <v/>
      </c>
      <c r="D683" s="52" t="str">
        <f>IF(E683&lt;&gt;0,VLOOKUP(E683,DM_DUAN,3,0),"")</f>
        <v/>
      </c>
      <c r="E683" s="735"/>
      <c r="F683" s="735"/>
      <c r="G683" s="735"/>
      <c r="H683" s="70"/>
      <c r="I683" s="52" t="str">
        <f>IF($K683&lt;&gt;0,VLOOKUP($K683,DM_KM,3,0),"")</f>
        <v/>
      </c>
      <c r="J683" s="52" t="str">
        <f>IF($K683&lt;&gt;0,VLOOKUP($K683,DM_KM,5,0),"")</f>
        <v/>
      </c>
      <c r="K683" s="735"/>
      <c r="L683" s="735"/>
      <c r="M683" s="68"/>
      <c r="N683" s="739"/>
      <c r="O683" s="737"/>
      <c r="P683" s="751"/>
    </row>
    <row r="684" hidden="1">
      <c r="A684" s="1190"/>
      <c r="B684" s="52" t="str">
        <f t="shared" si="1"/>
        <v/>
      </c>
      <c r="C684" s="52" t="str">
        <f>IF(A684="","",VLOOKUP(A684,'THAM CHIẾU'!$A:$B,2,0))</f>
        <v/>
      </c>
      <c r="D684" s="52" t="str">
        <f>IF(E684&lt;&gt;0,VLOOKUP(E684,DM_DUAN,3,0),"")</f>
        <v/>
      </c>
      <c r="E684" s="735"/>
      <c r="F684" s="735"/>
      <c r="G684" s="735"/>
      <c r="H684" s="70"/>
      <c r="I684" s="52" t="str">
        <f>IF($K684&lt;&gt;0,VLOOKUP($K684,DM_KM,3,0),"")</f>
        <v/>
      </c>
      <c r="J684" s="52" t="str">
        <f>IF($K684&lt;&gt;0,VLOOKUP($K684,DM_KM,5,0),"")</f>
        <v/>
      </c>
      <c r="K684" s="735"/>
      <c r="L684" s="735"/>
      <c r="M684" s="68"/>
      <c r="N684" s="739"/>
      <c r="O684" s="737"/>
      <c r="P684" s="751"/>
    </row>
    <row r="685" hidden="1">
      <c r="A685" s="1190"/>
      <c r="B685" s="52" t="str">
        <f t="shared" si="1"/>
        <v/>
      </c>
      <c r="C685" s="52" t="str">
        <f>IF(A685="","",VLOOKUP(A685,'THAM CHIẾU'!$A:$B,2,0))</f>
        <v/>
      </c>
      <c r="D685" s="52" t="str">
        <f>IF(E685&lt;&gt;0,VLOOKUP(E685,DM_DUAN,3,0),"")</f>
        <v/>
      </c>
      <c r="E685" s="735"/>
      <c r="F685" s="735"/>
      <c r="G685" s="735"/>
      <c r="H685" s="70"/>
      <c r="I685" s="52" t="str">
        <f>IF($K685&lt;&gt;0,VLOOKUP($K685,DM_KM,3,0),"")</f>
        <v/>
      </c>
      <c r="J685" s="52" t="str">
        <f>IF($K685&lt;&gt;0,VLOOKUP($K685,DM_KM,5,0),"")</f>
        <v/>
      </c>
      <c r="K685" s="735"/>
      <c r="L685" s="735"/>
      <c r="M685" s="68"/>
      <c r="N685" s="739"/>
      <c r="O685" s="737"/>
      <c r="P685" s="751"/>
    </row>
    <row r="686" hidden="1">
      <c r="A686" s="1190"/>
      <c r="B686" s="52" t="str">
        <f t="shared" si="1"/>
        <v/>
      </c>
      <c r="C686" s="52" t="str">
        <f>IF(A686="","",VLOOKUP(A686,'THAM CHIẾU'!$A:$B,2,0))</f>
        <v/>
      </c>
      <c r="D686" s="52" t="str">
        <f>IF(E686&lt;&gt;0,VLOOKUP(E686,DM_DUAN,3,0),"")</f>
        <v/>
      </c>
      <c r="E686" s="735"/>
      <c r="F686" s="735"/>
      <c r="G686" s="735"/>
      <c r="H686" s="70"/>
      <c r="I686" s="52" t="str">
        <f>IF($K686&lt;&gt;0,VLOOKUP($K686,DM_KM,3,0),"")</f>
        <v/>
      </c>
      <c r="J686" s="52" t="str">
        <f>IF($K686&lt;&gt;0,VLOOKUP($K686,DM_KM,5,0),"")</f>
        <v/>
      </c>
      <c r="K686" s="735"/>
      <c r="L686" s="735"/>
      <c r="M686" s="68"/>
      <c r="N686" s="739"/>
      <c r="O686" s="737"/>
      <c r="P686" s="751"/>
    </row>
    <row r="687" hidden="1">
      <c r="A687" s="1190"/>
      <c r="B687" s="52" t="str">
        <f t="shared" si="1"/>
        <v/>
      </c>
      <c r="C687" s="52" t="str">
        <f>IF(A687="","",VLOOKUP(A687,'THAM CHIẾU'!$A:$B,2,0))</f>
        <v/>
      </c>
      <c r="D687" s="52" t="str">
        <f>IF(E687&lt;&gt;0,VLOOKUP(E687,DM_DUAN,3,0),"")</f>
        <v/>
      </c>
      <c r="E687" s="735"/>
      <c r="F687" s="735"/>
      <c r="G687" s="735"/>
      <c r="H687" s="70"/>
      <c r="I687" s="52" t="str">
        <f>IF($K687&lt;&gt;0,VLOOKUP($K687,DM_KM,3,0),"")</f>
        <v/>
      </c>
      <c r="J687" s="52" t="str">
        <f>IF($K687&lt;&gt;0,VLOOKUP($K687,DM_KM,5,0),"")</f>
        <v/>
      </c>
      <c r="K687" s="735"/>
      <c r="L687" s="735"/>
      <c r="M687" s="68"/>
      <c r="N687" s="739"/>
      <c r="O687" s="737"/>
      <c r="P687" s="751"/>
    </row>
    <row r="688" hidden="1">
      <c r="A688" s="1190"/>
      <c r="B688" s="52" t="str">
        <f t="shared" si="1"/>
        <v/>
      </c>
      <c r="C688" s="52" t="str">
        <f>IF(A688="","",VLOOKUP(A688,'THAM CHIẾU'!$A:$B,2,0))</f>
        <v/>
      </c>
      <c r="D688" s="52" t="str">
        <f>IF(E688&lt;&gt;0,VLOOKUP(E688,DM_DUAN,3,0),"")</f>
        <v/>
      </c>
      <c r="E688" s="735"/>
      <c r="F688" s="735"/>
      <c r="G688" s="735"/>
      <c r="H688" s="70"/>
      <c r="I688" s="52" t="str">
        <f>IF($K688&lt;&gt;0,VLOOKUP($K688,DM_KM,3,0),"")</f>
        <v/>
      </c>
      <c r="J688" s="52" t="str">
        <f>IF($K688&lt;&gt;0,VLOOKUP($K688,DM_KM,5,0),"")</f>
        <v/>
      </c>
      <c r="K688" s="735"/>
      <c r="L688" s="735"/>
      <c r="M688" s="68"/>
      <c r="N688" s="739"/>
      <c r="O688" s="737"/>
      <c r="P688" s="751"/>
    </row>
    <row r="689" hidden="1">
      <c r="A689" s="1190"/>
      <c r="B689" s="52" t="str">
        <f t="shared" si="1"/>
        <v/>
      </c>
      <c r="C689" s="52" t="str">
        <f>IF(A689="","",VLOOKUP(A689,'THAM CHIẾU'!$A:$B,2,0))</f>
        <v/>
      </c>
      <c r="D689" s="52" t="str">
        <f>IF(E689&lt;&gt;0,VLOOKUP(E689,DM_DUAN,3,0),"")</f>
        <v/>
      </c>
      <c r="E689" s="735"/>
      <c r="F689" s="735"/>
      <c r="G689" s="735"/>
      <c r="H689" s="70"/>
      <c r="I689" s="52" t="str">
        <f>IF($K689&lt;&gt;0,VLOOKUP($K689,DM_KM,3,0),"")</f>
        <v/>
      </c>
      <c r="J689" s="52" t="str">
        <f>IF($K689&lt;&gt;0,VLOOKUP($K689,DM_KM,5,0),"")</f>
        <v/>
      </c>
      <c r="K689" s="735"/>
      <c r="L689" s="735"/>
      <c r="M689" s="68"/>
      <c r="N689" s="739"/>
      <c r="O689" s="737"/>
      <c r="P689" s="751"/>
    </row>
    <row r="690" hidden="1">
      <c r="A690" s="1190"/>
      <c r="B690" s="52" t="str">
        <f t="shared" si="1"/>
        <v/>
      </c>
      <c r="C690" s="52" t="str">
        <f>IF(A690="","",VLOOKUP(A690,'THAM CHIẾU'!$A:$B,2,0))</f>
        <v/>
      </c>
      <c r="D690" s="52" t="str">
        <f>IF(E690&lt;&gt;0,VLOOKUP(E690,DM_DUAN,3,0),"")</f>
        <v/>
      </c>
      <c r="E690" s="735"/>
      <c r="F690" s="735"/>
      <c r="G690" s="735"/>
      <c r="H690" s="70"/>
      <c r="I690" s="52" t="str">
        <f>IF($K690&lt;&gt;0,VLOOKUP($K690,DM_KM,3,0),"")</f>
        <v/>
      </c>
      <c r="J690" s="52" t="str">
        <f>IF($K690&lt;&gt;0,VLOOKUP($K690,DM_KM,5,0),"")</f>
        <v/>
      </c>
      <c r="K690" s="735"/>
      <c r="L690" s="735"/>
      <c r="M690" s="68"/>
      <c r="N690" s="739"/>
      <c r="O690" s="737"/>
      <c r="P690" s="751"/>
    </row>
    <row r="691" hidden="1">
      <c r="A691" s="1190"/>
      <c r="B691" s="52" t="str">
        <f t="shared" si="1"/>
        <v/>
      </c>
      <c r="C691" s="52" t="str">
        <f>IF(A691="","",VLOOKUP(A691,'THAM CHIẾU'!$A:$B,2,0))</f>
        <v/>
      </c>
      <c r="D691" s="52" t="str">
        <f>IF(E691&lt;&gt;0,VLOOKUP(E691,DM_DUAN,3,0),"")</f>
        <v/>
      </c>
      <c r="E691" s="735"/>
      <c r="F691" s="735"/>
      <c r="G691" s="735"/>
      <c r="H691" s="70"/>
      <c r="I691" s="52" t="str">
        <f>IF($K691&lt;&gt;0,VLOOKUP($K691,DM_KM,3,0),"")</f>
        <v/>
      </c>
      <c r="J691" s="52" t="str">
        <f>IF($K691&lt;&gt;0,VLOOKUP($K691,DM_KM,5,0),"")</f>
        <v/>
      </c>
      <c r="K691" s="735"/>
      <c r="L691" s="735"/>
      <c r="M691" s="68"/>
      <c r="N691" s="739"/>
      <c r="O691" s="737"/>
      <c r="P691" s="751"/>
    </row>
    <row r="692" hidden="1">
      <c r="A692" s="1190"/>
      <c r="B692" s="52" t="str">
        <f t="shared" si="1"/>
        <v/>
      </c>
      <c r="C692" s="52" t="str">
        <f>IF(A692="","",VLOOKUP(A692,'THAM CHIẾU'!$A:$B,2,0))</f>
        <v/>
      </c>
      <c r="D692" s="52" t="str">
        <f>IF(E692&lt;&gt;0,VLOOKUP(E692,DM_DUAN,3,0),"")</f>
        <v/>
      </c>
      <c r="E692" s="735"/>
      <c r="F692" s="735"/>
      <c r="G692" s="735"/>
      <c r="H692" s="70"/>
      <c r="I692" s="52" t="str">
        <f>IF($K692&lt;&gt;0,VLOOKUP($K692,DM_KM,3,0),"")</f>
        <v/>
      </c>
      <c r="J692" s="52" t="str">
        <f>IF($K692&lt;&gt;0,VLOOKUP($K692,DM_KM,5,0),"")</f>
        <v/>
      </c>
      <c r="K692" s="735"/>
      <c r="L692" s="735"/>
      <c r="M692" s="68"/>
      <c r="N692" s="739"/>
      <c r="O692" s="737"/>
      <c r="P692" s="751"/>
    </row>
    <row r="693" hidden="1">
      <c r="A693" s="1190"/>
      <c r="B693" s="52" t="str">
        <f t="shared" si="1"/>
        <v/>
      </c>
      <c r="C693" s="52" t="str">
        <f>IF(A693="","",VLOOKUP(A693,'THAM CHIẾU'!$A:$B,2,0))</f>
        <v/>
      </c>
      <c r="D693" s="52" t="str">
        <f>IF(E693&lt;&gt;0,VLOOKUP(E693,DM_DUAN,3,0),"")</f>
        <v/>
      </c>
      <c r="E693" s="735"/>
      <c r="F693" s="735"/>
      <c r="G693" s="735"/>
      <c r="H693" s="70"/>
      <c r="I693" s="52" t="str">
        <f>IF($K693&lt;&gt;0,VLOOKUP($K693,DM_KM,3,0),"")</f>
        <v/>
      </c>
      <c r="J693" s="52" t="str">
        <f>IF($K693&lt;&gt;0,VLOOKUP($K693,DM_KM,5,0),"")</f>
        <v/>
      </c>
      <c r="K693" s="735"/>
      <c r="L693" s="735"/>
      <c r="M693" s="68"/>
      <c r="N693" s="739"/>
      <c r="O693" s="737"/>
      <c r="P693" s="751"/>
    </row>
    <row r="694" hidden="1">
      <c r="A694" s="1190"/>
      <c r="B694" s="52" t="str">
        <f t="shared" si="1"/>
        <v/>
      </c>
      <c r="C694" s="52" t="str">
        <f>IF(A694="","",VLOOKUP(A694,'THAM CHIẾU'!$A:$B,2,0))</f>
        <v/>
      </c>
      <c r="D694" s="52" t="str">
        <f>IF(E694&lt;&gt;0,VLOOKUP(E694,DM_DUAN,3,0),"")</f>
        <v/>
      </c>
      <c r="E694" s="735"/>
      <c r="F694" s="735"/>
      <c r="G694" s="735"/>
      <c r="H694" s="70"/>
      <c r="I694" s="52" t="str">
        <f>IF($K694&lt;&gt;0,VLOOKUP($K694,DM_KM,3,0),"")</f>
        <v/>
      </c>
      <c r="J694" s="52" t="str">
        <f>IF($K694&lt;&gt;0,VLOOKUP($K694,DM_KM,5,0),"")</f>
        <v/>
      </c>
      <c r="K694" s="735"/>
      <c r="L694" s="735"/>
      <c r="M694" s="68"/>
      <c r="N694" s="739"/>
      <c r="O694" s="737"/>
      <c r="P694" s="751"/>
    </row>
    <row r="695" hidden="1">
      <c r="A695" s="1190"/>
      <c r="B695" s="52" t="str">
        <f t="shared" si="1"/>
        <v/>
      </c>
      <c r="C695" s="52" t="str">
        <f>IF(A695="","",VLOOKUP(A695,'THAM CHIẾU'!$A:$B,2,0))</f>
        <v/>
      </c>
      <c r="D695" s="52" t="str">
        <f>IF(E695&lt;&gt;0,VLOOKUP(E695,DM_DUAN,3,0),"")</f>
        <v/>
      </c>
      <c r="E695" s="735"/>
      <c r="F695" s="735"/>
      <c r="G695" s="735"/>
      <c r="H695" s="70"/>
      <c r="I695" s="52" t="str">
        <f>IF($K695&lt;&gt;0,VLOOKUP($K695,DM_KM,3,0),"")</f>
        <v/>
      </c>
      <c r="J695" s="52" t="str">
        <f>IF($K695&lt;&gt;0,VLOOKUP($K695,DM_KM,5,0),"")</f>
        <v/>
      </c>
      <c r="K695" s="735"/>
      <c r="L695" s="735"/>
      <c r="M695" s="68"/>
      <c r="N695" s="739"/>
      <c r="O695" s="737"/>
      <c r="P695" s="751"/>
    </row>
    <row r="696" hidden="1">
      <c r="A696" s="1190"/>
      <c r="B696" s="52" t="str">
        <f t="shared" si="1"/>
        <v/>
      </c>
      <c r="C696" s="52" t="str">
        <f>IF(A696="","",VLOOKUP(A696,'THAM CHIẾU'!$A:$B,2,0))</f>
        <v/>
      </c>
      <c r="D696" s="52" t="str">
        <f>IF(E696&lt;&gt;0,VLOOKUP(E696,DM_DUAN,3,0),"")</f>
        <v/>
      </c>
      <c r="E696" s="735"/>
      <c r="F696" s="735"/>
      <c r="G696" s="735"/>
      <c r="H696" s="70"/>
      <c r="I696" s="52" t="str">
        <f>IF($K696&lt;&gt;0,VLOOKUP($K696,DM_KM,3,0),"")</f>
        <v/>
      </c>
      <c r="J696" s="52" t="str">
        <f>IF($K696&lt;&gt;0,VLOOKUP($K696,DM_KM,5,0),"")</f>
        <v/>
      </c>
      <c r="K696" s="735"/>
      <c r="L696" s="735"/>
      <c r="M696" s="68"/>
      <c r="N696" s="739"/>
      <c r="O696" s="737"/>
      <c r="P696" s="751"/>
    </row>
    <row r="697" hidden="1">
      <c r="A697" s="1190"/>
      <c r="B697" s="52" t="str">
        <f t="shared" si="1"/>
        <v/>
      </c>
      <c r="C697" s="52" t="str">
        <f>IF(A697="","",VLOOKUP(A697,'THAM CHIẾU'!$A:$B,2,0))</f>
        <v/>
      </c>
      <c r="D697" s="52" t="str">
        <f>IF(E697&lt;&gt;0,VLOOKUP(E697,DM_DUAN,3,0),"")</f>
        <v/>
      </c>
      <c r="E697" s="735"/>
      <c r="F697" s="735"/>
      <c r="G697" s="735"/>
      <c r="H697" s="70"/>
      <c r="I697" s="52" t="str">
        <f>IF($K697&lt;&gt;0,VLOOKUP($K697,DM_KM,3,0),"")</f>
        <v/>
      </c>
      <c r="J697" s="52" t="str">
        <f>IF($K697&lt;&gt;0,VLOOKUP($K697,DM_KM,5,0),"")</f>
        <v/>
      </c>
      <c r="K697" s="735"/>
      <c r="L697" s="735"/>
      <c r="M697" s="68"/>
      <c r="N697" s="739"/>
      <c r="O697" s="737"/>
      <c r="P697" s="751"/>
    </row>
    <row r="698" hidden="1">
      <c r="A698" s="1190"/>
      <c r="B698" s="52" t="str">
        <f t="shared" si="1"/>
        <v/>
      </c>
      <c r="C698" s="52" t="str">
        <f>IF(A698="","",VLOOKUP(A698,'THAM CHIẾU'!$A:$B,2,0))</f>
        <v/>
      </c>
      <c r="D698" s="52" t="str">
        <f>IF(E698&lt;&gt;0,VLOOKUP(E698,DM_DUAN,3,0),"")</f>
        <v/>
      </c>
      <c r="E698" s="735"/>
      <c r="F698" s="735"/>
      <c r="G698" s="735"/>
      <c r="H698" s="70"/>
      <c r="I698" s="52" t="str">
        <f>IF($K698&lt;&gt;0,VLOOKUP($K698,DM_KM,3,0),"")</f>
        <v/>
      </c>
      <c r="J698" s="52" t="str">
        <f>IF($K698&lt;&gt;0,VLOOKUP($K698,DM_KM,5,0),"")</f>
        <v/>
      </c>
      <c r="K698" s="735"/>
      <c r="L698" s="735"/>
      <c r="M698" s="68"/>
      <c r="N698" s="739"/>
      <c r="O698" s="737"/>
      <c r="P698" s="751"/>
    </row>
    <row r="699" hidden="1">
      <c r="A699" s="1190"/>
      <c r="B699" s="52" t="str">
        <f t="shared" si="1"/>
        <v/>
      </c>
      <c r="C699" s="52" t="str">
        <f>IF(A699="","",VLOOKUP(A699,'THAM CHIẾU'!$A:$B,2,0))</f>
        <v/>
      </c>
      <c r="D699" s="52" t="str">
        <f>IF(E699&lt;&gt;0,VLOOKUP(E699,DM_DUAN,3,0),"")</f>
        <v/>
      </c>
      <c r="E699" s="735"/>
      <c r="F699" s="735"/>
      <c r="G699" s="735"/>
      <c r="H699" s="70"/>
      <c r="I699" s="52" t="str">
        <f>IF($K699&lt;&gt;0,VLOOKUP($K699,DM_KM,3,0),"")</f>
        <v/>
      </c>
      <c r="J699" s="52" t="str">
        <f>IF($K699&lt;&gt;0,VLOOKUP($K699,DM_KM,5,0),"")</f>
        <v/>
      </c>
      <c r="K699" s="735"/>
      <c r="L699" s="735"/>
      <c r="M699" s="68"/>
      <c r="N699" s="739"/>
      <c r="O699" s="737"/>
      <c r="P699" s="751"/>
    </row>
    <row r="700" hidden="1">
      <c r="A700" s="1190"/>
      <c r="B700" s="52" t="str">
        <f t="shared" si="1"/>
        <v/>
      </c>
      <c r="C700" s="52" t="str">
        <f>IF(A700="","",VLOOKUP(A700,'THAM CHIẾU'!$A:$B,2,0))</f>
        <v/>
      </c>
      <c r="D700" s="52" t="str">
        <f>IF(E700&lt;&gt;0,VLOOKUP(E700,DM_DUAN,3,0),"")</f>
        <v/>
      </c>
      <c r="E700" s="735"/>
      <c r="F700" s="735"/>
      <c r="G700" s="735"/>
      <c r="H700" s="70"/>
      <c r="I700" s="52" t="str">
        <f>IF($K700&lt;&gt;0,VLOOKUP($K700,DM_KM,3,0),"")</f>
        <v/>
      </c>
      <c r="J700" s="52" t="str">
        <f>IF($K700&lt;&gt;0,VLOOKUP($K700,DM_KM,5,0),"")</f>
        <v/>
      </c>
      <c r="K700" s="735"/>
      <c r="L700" s="735"/>
      <c r="M700" s="68"/>
      <c r="N700" s="739"/>
      <c r="O700" s="737"/>
      <c r="P700" s="751"/>
    </row>
    <row r="701" hidden="1">
      <c r="A701" s="1190"/>
      <c r="B701" s="52" t="str">
        <f t="shared" si="1"/>
        <v/>
      </c>
      <c r="C701" s="52" t="str">
        <f>IF(A701="","",VLOOKUP(A701,'THAM CHIẾU'!$A:$B,2,0))</f>
        <v/>
      </c>
      <c r="D701" s="52" t="str">
        <f>IF(E701&lt;&gt;0,VLOOKUP(E701,DM_DUAN,3,0),"")</f>
        <v/>
      </c>
      <c r="E701" s="735"/>
      <c r="F701" s="735"/>
      <c r="G701" s="735"/>
      <c r="H701" s="70"/>
      <c r="I701" s="52" t="str">
        <f>IF($K701&lt;&gt;0,VLOOKUP($K701,DM_KM,3,0),"")</f>
        <v/>
      </c>
      <c r="J701" s="52" t="str">
        <f>IF($K701&lt;&gt;0,VLOOKUP($K701,DM_KM,5,0),"")</f>
        <v/>
      </c>
      <c r="K701" s="735"/>
      <c r="L701" s="735"/>
      <c r="M701" s="68"/>
      <c r="N701" s="739"/>
      <c r="O701" s="737"/>
      <c r="P701" s="751"/>
    </row>
    <row r="702" hidden="1">
      <c r="A702" s="1190"/>
      <c r="B702" s="52" t="str">
        <f t="shared" si="1"/>
        <v/>
      </c>
      <c r="C702" s="52" t="str">
        <f>IF(A702="","",VLOOKUP(A702,'THAM CHIẾU'!$A:$B,2,0))</f>
        <v/>
      </c>
      <c r="D702" s="52" t="str">
        <f>IF(E702&lt;&gt;0,VLOOKUP(E702,DM_DUAN,3,0),"")</f>
        <v/>
      </c>
      <c r="E702" s="735"/>
      <c r="F702" s="735"/>
      <c r="G702" s="735"/>
      <c r="H702" s="70"/>
      <c r="I702" s="52" t="str">
        <f>IF($K702&lt;&gt;0,VLOOKUP($K702,DM_KM,3,0),"")</f>
        <v/>
      </c>
      <c r="J702" s="52" t="str">
        <f>IF($K702&lt;&gt;0,VLOOKUP($K702,DM_KM,5,0),"")</f>
        <v/>
      </c>
      <c r="K702" s="735"/>
      <c r="L702" s="735"/>
      <c r="M702" s="68"/>
      <c r="N702" s="739"/>
      <c r="O702" s="737"/>
      <c r="P702" s="751"/>
    </row>
    <row r="703" hidden="1">
      <c r="A703" s="1190"/>
      <c r="B703" s="52" t="str">
        <f t="shared" si="1"/>
        <v/>
      </c>
      <c r="C703" s="52" t="str">
        <f>IF(A703="","",VLOOKUP(A703,'THAM CHIẾU'!$A:$B,2,0))</f>
        <v/>
      </c>
      <c r="D703" s="52" t="str">
        <f>IF(E703&lt;&gt;0,VLOOKUP(E703,DM_DUAN,3,0),"")</f>
        <v/>
      </c>
      <c r="E703" s="735"/>
      <c r="F703" s="735"/>
      <c r="G703" s="735"/>
      <c r="H703" s="70"/>
      <c r="I703" s="52" t="str">
        <f>IF($K703&lt;&gt;0,VLOOKUP($K703,DM_KM,3,0),"")</f>
        <v/>
      </c>
      <c r="J703" s="52" t="str">
        <f>IF($K703&lt;&gt;0,VLOOKUP($K703,DM_KM,5,0),"")</f>
        <v/>
      </c>
      <c r="K703" s="735"/>
      <c r="L703" s="735"/>
      <c r="M703" s="68"/>
      <c r="N703" s="739"/>
      <c r="O703" s="737"/>
      <c r="P703" s="751"/>
    </row>
    <row r="704" hidden="1">
      <c r="A704" s="1190"/>
      <c r="B704" s="52" t="str">
        <f t="shared" si="1"/>
        <v/>
      </c>
      <c r="C704" s="52" t="str">
        <f>IF(A704="","",VLOOKUP(A704,'THAM CHIẾU'!$A:$B,2,0))</f>
        <v/>
      </c>
      <c r="D704" s="52" t="str">
        <f>IF(E704&lt;&gt;0,VLOOKUP(E704,DM_DUAN,3,0),"")</f>
        <v/>
      </c>
      <c r="E704" s="735"/>
      <c r="F704" s="735"/>
      <c r="G704" s="735"/>
      <c r="H704" s="70"/>
      <c r="I704" s="52" t="str">
        <f>IF($K704&lt;&gt;0,VLOOKUP($K704,DM_KM,3,0),"")</f>
        <v/>
      </c>
      <c r="J704" s="52" t="str">
        <f>IF($K704&lt;&gt;0,VLOOKUP($K704,DM_KM,5,0),"")</f>
        <v/>
      </c>
      <c r="K704" s="735"/>
      <c r="L704" s="735"/>
      <c r="M704" s="68"/>
      <c r="N704" s="739"/>
      <c r="O704" s="737"/>
      <c r="P704" s="751"/>
    </row>
    <row r="705" hidden="1">
      <c r="A705" s="1190"/>
      <c r="B705" s="52" t="str">
        <f t="shared" si="1"/>
        <v/>
      </c>
      <c r="C705" s="52" t="str">
        <f>IF(A705="","",VLOOKUP(A705,'THAM CHIẾU'!$A:$B,2,0))</f>
        <v/>
      </c>
      <c r="D705" s="52" t="str">
        <f>IF(E705&lt;&gt;0,VLOOKUP(E705,DM_DUAN,3,0),"")</f>
        <v/>
      </c>
      <c r="E705" s="735"/>
      <c r="F705" s="735"/>
      <c r="G705" s="735"/>
      <c r="H705" s="70"/>
      <c r="I705" s="52" t="str">
        <f>IF($K705&lt;&gt;0,VLOOKUP($K705,DM_KM,3,0),"")</f>
        <v/>
      </c>
      <c r="J705" s="52" t="str">
        <f>IF($K705&lt;&gt;0,VLOOKUP($K705,DM_KM,5,0),"")</f>
        <v/>
      </c>
      <c r="K705" s="735"/>
      <c r="L705" s="735"/>
      <c r="M705" s="68"/>
      <c r="N705" s="739"/>
      <c r="O705" s="737"/>
      <c r="P705" s="751"/>
    </row>
    <row r="706" hidden="1">
      <c r="A706" s="1190"/>
      <c r="B706" s="52" t="str">
        <f t="shared" si="1"/>
        <v/>
      </c>
      <c r="C706" s="52" t="str">
        <f>IF(A706="","",VLOOKUP(A706,'THAM CHIẾU'!$A:$B,2,0))</f>
        <v/>
      </c>
      <c r="D706" s="52" t="str">
        <f>IF(E706&lt;&gt;0,VLOOKUP(E706,DM_DUAN,3,0),"")</f>
        <v/>
      </c>
      <c r="E706" s="735"/>
      <c r="F706" s="735"/>
      <c r="G706" s="735"/>
      <c r="H706" s="70"/>
      <c r="I706" s="52" t="str">
        <f>IF($K706&lt;&gt;0,VLOOKUP($K706,DM_KM,3,0),"")</f>
        <v/>
      </c>
      <c r="J706" s="52" t="str">
        <f>IF($K706&lt;&gt;0,VLOOKUP($K706,DM_KM,5,0),"")</f>
        <v/>
      </c>
      <c r="K706" s="735"/>
      <c r="L706" s="735"/>
      <c r="M706" s="68"/>
      <c r="N706" s="739"/>
      <c r="O706" s="737"/>
      <c r="P706" s="751"/>
    </row>
    <row r="707" hidden="1">
      <c r="A707" s="1190"/>
      <c r="B707" s="52" t="str">
        <f t="shared" si="1"/>
        <v/>
      </c>
      <c r="C707" s="52" t="str">
        <f>IF(A707="","",VLOOKUP(A707,'THAM CHIẾU'!$A:$B,2,0))</f>
        <v/>
      </c>
      <c r="D707" s="52" t="str">
        <f>IF(E707&lt;&gt;0,VLOOKUP(E707,DM_DUAN,3,0),"")</f>
        <v/>
      </c>
      <c r="E707" s="735"/>
      <c r="F707" s="735"/>
      <c r="G707" s="735"/>
      <c r="H707" s="70"/>
      <c r="I707" s="52" t="str">
        <f>IF($K707&lt;&gt;0,VLOOKUP($K707,DM_KM,3,0),"")</f>
        <v/>
      </c>
      <c r="J707" s="52" t="str">
        <f>IF($K707&lt;&gt;0,VLOOKUP($K707,DM_KM,5,0),"")</f>
        <v/>
      </c>
      <c r="K707" s="735"/>
      <c r="L707" s="735"/>
      <c r="M707" s="68"/>
      <c r="N707" s="739"/>
      <c r="O707" s="737"/>
      <c r="P707" s="751"/>
    </row>
    <row r="708" hidden="1">
      <c r="A708" s="1190"/>
      <c r="B708" s="52" t="str">
        <f t="shared" si="1"/>
        <v/>
      </c>
      <c r="C708" s="52" t="str">
        <f>IF(A708="","",VLOOKUP(A708,'THAM CHIẾU'!$A:$B,2,0))</f>
        <v/>
      </c>
      <c r="D708" s="52" t="str">
        <f>IF(E708&lt;&gt;0,VLOOKUP(E708,DM_DUAN,3,0),"")</f>
        <v/>
      </c>
      <c r="E708" s="735"/>
      <c r="F708" s="735"/>
      <c r="G708" s="735"/>
      <c r="H708" s="70"/>
      <c r="I708" s="52" t="str">
        <f>IF($K708&lt;&gt;0,VLOOKUP($K708,DM_KM,3,0),"")</f>
        <v/>
      </c>
      <c r="J708" s="52" t="str">
        <f>IF($K708&lt;&gt;0,VLOOKUP($K708,DM_KM,5,0),"")</f>
        <v/>
      </c>
      <c r="K708" s="735"/>
      <c r="L708" s="735"/>
      <c r="M708" s="68"/>
      <c r="N708" s="739"/>
      <c r="O708" s="737"/>
      <c r="P708" s="751"/>
    </row>
    <row r="709" hidden="1">
      <c r="A709" s="1190"/>
      <c r="B709" s="52" t="str">
        <f t="shared" si="1"/>
        <v/>
      </c>
      <c r="C709" s="52" t="str">
        <f>IF(A709="","",VLOOKUP(A709,'THAM CHIẾU'!$A:$B,2,0))</f>
        <v/>
      </c>
      <c r="D709" s="52" t="str">
        <f>IF(E709&lt;&gt;0,VLOOKUP(E709,DM_DUAN,3,0),"")</f>
        <v/>
      </c>
      <c r="E709" s="735"/>
      <c r="F709" s="735"/>
      <c r="G709" s="735"/>
      <c r="H709" s="70"/>
      <c r="I709" s="52" t="str">
        <f>IF($K709&lt;&gt;0,VLOOKUP($K709,DM_KM,3,0),"")</f>
        <v/>
      </c>
      <c r="J709" s="52" t="str">
        <f>IF($K709&lt;&gt;0,VLOOKUP($K709,DM_KM,5,0),"")</f>
        <v/>
      </c>
      <c r="K709" s="735"/>
      <c r="L709" s="735"/>
      <c r="M709" s="68"/>
      <c r="N709" s="739"/>
      <c r="O709" s="737"/>
      <c r="P709" s="751"/>
    </row>
    <row r="710" hidden="1">
      <c r="A710" s="1190"/>
      <c r="B710" s="52" t="str">
        <f t="shared" si="1"/>
        <v/>
      </c>
      <c r="C710" s="52" t="str">
        <f>IF(A710="","",VLOOKUP(A710,'THAM CHIẾU'!$A:$B,2,0))</f>
        <v/>
      </c>
      <c r="D710" s="52" t="str">
        <f>IF(E710&lt;&gt;0,VLOOKUP(E710,DM_DUAN,3,0),"")</f>
        <v/>
      </c>
      <c r="E710" s="735"/>
      <c r="F710" s="735"/>
      <c r="G710" s="735"/>
      <c r="H710" s="70"/>
      <c r="I710" s="52" t="str">
        <f>IF($K710&lt;&gt;0,VLOOKUP($K710,DM_KM,3,0),"")</f>
        <v/>
      </c>
      <c r="J710" s="52" t="str">
        <f>IF($K710&lt;&gt;0,VLOOKUP($K710,DM_KM,5,0),"")</f>
        <v/>
      </c>
      <c r="K710" s="735"/>
      <c r="L710" s="735"/>
      <c r="M710" s="68"/>
      <c r="N710" s="739"/>
      <c r="O710" s="737"/>
      <c r="P710" s="751"/>
    </row>
    <row r="711" hidden="1">
      <c r="A711" s="1190"/>
      <c r="B711" s="52" t="str">
        <f t="shared" si="1"/>
        <v/>
      </c>
      <c r="C711" s="52" t="str">
        <f>IF(A711="","",VLOOKUP(A711,'THAM CHIẾU'!$A:$B,2,0))</f>
        <v/>
      </c>
      <c r="D711" s="52" t="str">
        <f>IF(E711&lt;&gt;0,VLOOKUP(E711,DM_DUAN,3,0),"")</f>
        <v/>
      </c>
      <c r="E711" s="735"/>
      <c r="F711" s="735"/>
      <c r="G711" s="735"/>
      <c r="H711" s="70"/>
      <c r="I711" s="52" t="str">
        <f>IF($K711&lt;&gt;0,VLOOKUP($K711,DM_KM,3,0),"")</f>
        <v/>
      </c>
      <c r="J711" s="52" t="str">
        <f>IF($K711&lt;&gt;0,VLOOKUP($K711,DM_KM,5,0),"")</f>
        <v/>
      </c>
      <c r="K711" s="735"/>
      <c r="L711" s="735"/>
      <c r="M711" s="68"/>
      <c r="N711" s="739"/>
      <c r="O711" s="737"/>
      <c r="P711" s="751"/>
    </row>
    <row r="712" hidden="1">
      <c r="A712" s="1190"/>
      <c r="B712" s="52" t="str">
        <f t="shared" si="1"/>
        <v/>
      </c>
      <c r="C712" s="52" t="str">
        <f>IF(A712="","",VLOOKUP(A712,'THAM CHIẾU'!$A:$B,2,0))</f>
        <v/>
      </c>
      <c r="D712" s="52" t="str">
        <f>IF(E712&lt;&gt;0,VLOOKUP(E712,DM_DUAN,3,0),"")</f>
        <v/>
      </c>
      <c r="E712" s="735"/>
      <c r="F712" s="735"/>
      <c r="G712" s="735"/>
      <c r="H712" s="70"/>
      <c r="I712" s="52" t="str">
        <f>IF($K712&lt;&gt;0,VLOOKUP($K712,DM_KM,3,0),"")</f>
        <v/>
      </c>
      <c r="J712" s="52" t="str">
        <f>IF($K712&lt;&gt;0,VLOOKUP($K712,DM_KM,5,0),"")</f>
        <v/>
      </c>
      <c r="K712" s="735"/>
      <c r="L712" s="735"/>
      <c r="M712" s="68"/>
      <c r="N712" s="739"/>
      <c r="O712" s="737"/>
      <c r="P712" s="751"/>
    </row>
    <row r="713" hidden="1">
      <c r="A713" s="1190"/>
      <c r="B713" s="52" t="str">
        <f t="shared" si="1"/>
        <v/>
      </c>
      <c r="C713" s="52" t="str">
        <f>IF(A713="","",VLOOKUP(A713,'THAM CHIẾU'!$A:$B,2,0))</f>
        <v/>
      </c>
      <c r="D713" s="52" t="str">
        <f>IF(E713&lt;&gt;0,VLOOKUP(E713,DM_DUAN,3,0),"")</f>
        <v/>
      </c>
      <c r="E713" s="735"/>
      <c r="F713" s="735"/>
      <c r="G713" s="735"/>
      <c r="H713" s="70"/>
      <c r="I713" s="52" t="str">
        <f>IF($K713&lt;&gt;0,VLOOKUP($K713,DM_KM,3,0),"")</f>
        <v/>
      </c>
      <c r="J713" s="52" t="str">
        <f>IF($K713&lt;&gt;0,VLOOKUP($K713,DM_KM,5,0),"")</f>
        <v/>
      </c>
      <c r="K713" s="735"/>
      <c r="L713" s="735"/>
      <c r="M713" s="68"/>
      <c r="N713" s="739"/>
      <c r="O713" s="737"/>
      <c r="P713" s="751"/>
    </row>
    <row r="714" hidden="1">
      <c r="A714" s="1190"/>
      <c r="B714" s="52" t="str">
        <f t="shared" si="1"/>
        <v/>
      </c>
      <c r="C714" s="52" t="str">
        <f>IF(A714="","",VLOOKUP(A714,'THAM CHIẾU'!$A:$B,2,0))</f>
        <v/>
      </c>
      <c r="D714" s="52" t="str">
        <f>IF(E714&lt;&gt;0,VLOOKUP(E714,DM_DUAN,3,0),"")</f>
        <v/>
      </c>
      <c r="E714" s="735"/>
      <c r="F714" s="735"/>
      <c r="G714" s="735"/>
      <c r="H714" s="70"/>
      <c r="I714" s="52" t="str">
        <f>IF($K714&lt;&gt;0,VLOOKUP($K714,DM_KM,3,0),"")</f>
        <v/>
      </c>
      <c r="J714" s="52" t="str">
        <f>IF($K714&lt;&gt;0,VLOOKUP($K714,DM_KM,5,0),"")</f>
        <v/>
      </c>
      <c r="K714" s="735"/>
      <c r="L714" s="735"/>
      <c r="M714" s="68"/>
      <c r="N714" s="739"/>
      <c r="O714" s="737"/>
      <c r="P714" s="751"/>
    </row>
    <row r="715" hidden="1">
      <c r="A715" s="1190"/>
      <c r="B715" s="52" t="str">
        <f t="shared" si="1"/>
        <v/>
      </c>
      <c r="C715" s="52" t="str">
        <f>IF(A715="","",VLOOKUP(A715,'THAM CHIẾU'!$A:$B,2,0))</f>
        <v/>
      </c>
      <c r="D715" s="52" t="str">
        <f>IF(E715&lt;&gt;0,VLOOKUP(E715,DM_DUAN,3,0),"")</f>
        <v/>
      </c>
      <c r="E715" s="735"/>
      <c r="F715" s="735"/>
      <c r="G715" s="735"/>
      <c r="H715" s="70"/>
      <c r="I715" s="52" t="str">
        <f>IF($K715&lt;&gt;0,VLOOKUP($K715,DM_KM,3,0),"")</f>
        <v/>
      </c>
      <c r="J715" s="52" t="str">
        <f>IF($K715&lt;&gt;0,VLOOKUP($K715,DM_KM,5,0),"")</f>
        <v/>
      </c>
      <c r="K715" s="735"/>
      <c r="L715" s="735"/>
      <c r="M715" s="68"/>
      <c r="N715" s="739"/>
      <c r="O715" s="737"/>
      <c r="P715" s="751"/>
    </row>
    <row r="716" hidden="1">
      <c r="A716" s="1190"/>
      <c r="B716" s="52" t="str">
        <f t="shared" si="1"/>
        <v/>
      </c>
      <c r="C716" s="52" t="str">
        <f>IF(A716="","",VLOOKUP(A716,'THAM CHIẾU'!$A:$B,2,0))</f>
        <v/>
      </c>
      <c r="D716" s="52" t="str">
        <f>IF(E716&lt;&gt;0,VLOOKUP(E716,DM_DUAN,3,0),"")</f>
        <v/>
      </c>
      <c r="E716" s="735"/>
      <c r="F716" s="735"/>
      <c r="G716" s="735"/>
      <c r="H716" s="70"/>
      <c r="I716" s="52" t="str">
        <f>IF($K716&lt;&gt;0,VLOOKUP($K716,DM_KM,3,0),"")</f>
        <v/>
      </c>
      <c r="J716" s="52" t="str">
        <f>IF($K716&lt;&gt;0,VLOOKUP($K716,DM_KM,5,0),"")</f>
        <v/>
      </c>
      <c r="K716" s="735"/>
      <c r="L716" s="735"/>
      <c r="M716" s="68"/>
      <c r="N716" s="739"/>
      <c r="O716" s="737"/>
      <c r="P716" s="751"/>
    </row>
    <row r="717" hidden="1">
      <c r="A717" s="1190"/>
      <c r="B717" s="52" t="str">
        <f t="shared" si="1"/>
        <v/>
      </c>
      <c r="C717" s="52" t="str">
        <f>IF(A717="","",VLOOKUP(A717,'THAM CHIẾU'!$A:$B,2,0))</f>
        <v/>
      </c>
      <c r="D717" s="52" t="str">
        <f>IF(E717&lt;&gt;0,VLOOKUP(E717,DM_DUAN,3,0),"")</f>
        <v/>
      </c>
      <c r="E717" s="735"/>
      <c r="F717" s="735"/>
      <c r="G717" s="735"/>
      <c r="H717" s="70"/>
      <c r="I717" s="52" t="str">
        <f>IF($K717&lt;&gt;0,VLOOKUP($K717,DM_KM,3,0),"")</f>
        <v/>
      </c>
      <c r="J717" s="52" t="str">
        <f>IF($K717&lt;&gt;0,VLOOKUP($K717,DM_KM,5,0),"")</f>
        <v/>
      </c>
      <c r="K717" s="735"/>
      <c r="L717" s="735"/>
      <c r="M717" s="68"/>
      <c r="N717" s="739"/>
      <c r="O717" s="737"/>
      <c r="P717" s="751"/>
    </row>
    <row r="718" hidden="1">
      <c r="A718" s="1190"/>
      <c r="B718" s="52" t="str">
        <f t="shared" si="1"/>
        <v/>
      </c>
      <c r="C718" s="52" t="str">
        <f>IF(A718="","",VLOOKUP(A718,'THAM CHIẾU'!$A:$B,2,0))</f>
        <v/>
      </c>
      <c r="D718" s="52" t="str">
        <f>IF(E718&lt;&gt;0,VLOOKUP(E718,DM_DUAN,3,0),"")</f>
        <v/>
      </c>
      <c r="E718" s="735"/>
      <c r="F718" s="735"/>
      <c r="G718" s="735"/>
      <c r="H718" s="70"/>
      <c r="I718" s="52" t="str">
        <f>IF($K718&lt;&gt;0,VLOOKUP($K718,DM_KM,3,0),"")</f>
        <v/>
      </c>
      <c r="J718" s="52" t="str">
        <f>IF($K718&lt;&gt;0,VLOOKUP($K718,DM_KM,5,0),"")</f>
        <v/>
      </c>
      <c r="K718" s="735"/>
      <c r="L718" s="735"/>
      <c r="M718" s="68"/>
      <c r="N718" s="739"/>
      <c r="O718" s="737"/>
      <c r="P718" s="751"/>
    </row>
    <row r="719" hidden="1">
      <c r="A719" s="1190"/>
      <c r="B719" s="52" t="str">
        <f t="shared" si="1"/>
        <v/>
      </c>
      <c r="C719" s="52" t="str">
        <f>IF(A719="","",VLOOKUP(A719,'THAM CHIẾU'!$A:$B,2,0))</f>
        <v/>
      </c>
      <c r="D719" s="52" t="str">
        <f>IF(E719&lt;&gt;0,VLOOKUP(E719,DM_DUAN,3,0),"")</f>
        <v/>
      </c>
      <c r="E719" s="735"/>
      <c r="F719" s="735"/>
      <c r="G719" s="735"/>
      <c r="H719" s="70"/>
      <c r="I719" s="52" t="str">
        <f>IF($K719&lt;&gt;0,VLOOKUP($K719,DM_KM,3,0),"")</f>
        <v/>
      </c>
      <c r="J719" s="52" t="str">
        <f>IF($K719&lt;&gt;0,VLOOKUP($K719,DM_KM,5,0),"")</f>
        <v/>
      </c>
      <c r="K719" s="735"/>
      <c r="L719" s="735"/>
      <c r="M719" s="68"/>
      <c r="N719" s="739"/>
      <c r="O719" s="737"/>
      <c r="P719" s="751"/>
    </row>
    <row r="720" hidden="1">
      <c r="A720" s="1190"/>
      <c r="B720" s="52" t="str">
        <f t="shared" si="1"/>
        <v/>
      </c>
      <c r="C720" s="52" t="str">
        <f>IF(A720="","",VLOOKUP(A720,'THAM CHIẾU'!$A:$B,2,0))</f>
        <v/>
      </c>
      <c r="D720" s="52" t="str">
        <f>IF(E720&lt;&gt;0,VLOOKUP(E720,DM_DUAN,3,0),"")</f>
        <v/>
      </c>
      <c r="E720" s="735"/>
      <c r="F720" s="735"/>
      <c r="G720" s="735"/>
      <c r="H720" s="70"/>
      <c r="I720" s="52" t="str">
        <f>IF($K720&lt;&gt;0,VLOOKUP($K720,DM_KM,3,0),"")</f>
        <v/>
      </c>
      <c r="J720" s="52" t="str">
        <f>IF($K720&lt;&gt;0,VLOOKUP($K720,DM_KM,5,0),"")</f>
        <v/>
      </c>
      <c r="K720" s="735"/>
      <c r="L720" s="735"/>
      <c r="M720" s="68"/>
      <c r="N720" s="739"/>
      <c r="O720" s="737"/>
      <c r="P720" s="751"/>
    </row>
    <row r="721" hidden="1">
      <c r="A721" s="1190"/>
      <c r="B721" s="52" t="str">
        <f t="shared" si="1"/>
        <v/>
      </c>
      <c r="C721" s="52" t="str">
        <f>IF(A721="","",VLOOKUP(A721,'THAM CHIẾU'!$A:$B,2,0))</f>
        <v/>
      </c>
      <c r="D721" s="52" t="str">
        <f>IF(E721&lt;&gt;0,VLOOKUP(E721,DM_DUAN,3,0),"")</f>
        <v/>
      </c>
      <c r="E721" s="735"/>
      <c r="F721" s="735"/>
      <c r="G721" s="735"/>
      <c r="H721" s="70"/>
      <c r="I721" s="52" t="str">
        <f>IF($K721&lt;&gt;0,VLOOKUP($K721,DM_KM,3,0),"")</f>
        <v/>
      </c>
      <c r="J721" s="52" t="str">
        <f>IF($K721&lt;&gt;0,VLOOKUP($K721,DM_KM,5,0),"")</f>
        <v/>
      </c>
      <c r="K721" s="735"/>
      <c r="L721" s="735"/>
      <c r="M721" s="68"/>
      <c r="N721" s="739"/>
      <c r="O721" s="737"/>
      <c r="P721" s="751"/>
    </row>
    <row r="722" hidden="1">
      <c r="A722" s="1190"/>
      <c r="B722" s="52" t="str">
        <f t="shared" si="1"/>
        <v/>
      </c>
      <c r="C722" s="52" t="str">
        <f>IF(A722="","",VLOOKUP(A722,'THAM CHIẾU'!$A:$B,2,0))</f>
        <v/>
      </c>
      <c r="D722" s="52" t="str">
        <f>IF(E722&lt;&gt;0,VLOOKUP(E722,DM_DUAN,3,0),"")</f>
        <v/>
      </c>
      <c r="E722" s="735"/>
      <c r="F722" s="735"/>
      <c r="G722" s="735"/>
      <c r="H722" s="70"/>
      <c r="I722" s="52" t="str">
        <f>IF($K722&lt;&gt;0,VLOOKUP($K722,DM_KM,3,0),"")</f>
        <v/>
      </c>
      <c r="J722" s="52" t="str">
        <f>IF($K722&lt;&gt;0,VLOOKUP($K722,DM_KM,5,0),"")</f>
        <v/>
      </c>
      <c r="K722" s="735"/>
      <c r="L722" s="735"/>
      <c r="M722" s="68"/>
      <c r="N722" s="739"/>
      <c r="O722" s="737"/>
      <c r="P722" s="751"/>
    </row>
    <row r="723" hidden="1">
      <c r="A723" s="1190"/>
      <c r="B723" s="52" t="str">
        <f t="shared" si="1"/>
        <v/>
      </c>
      <c r="C723" s="52" t="str">
        <f>IF(A723="","",VLOOKUP(A723,'THAM CHIẾU'!$A:$B,2,0))</f>
        <v/>
      </c>
      <c r="D723" s="52" t="str">
        <f>IF(E723&lt;&gt;0,VLOOKUP(E723,DM_DUAN,3,0),"")</f>
        <v/>
      </c>
      <c r="E723" s="735"/>
      <c r="F723" s="735"/>
      <c r="G723" s="735"/>
      <c r="H723" s="70"/>
      <c r="I723" s="52" t="str">
        <f>IF($K723&lt;&gt;0,VLOOKUP($K723,DM_KM,3,0),"")</f>
        <v/>
      </c>
      <c r="J723" s="52" t="str">
        <f>IF($K723&lt;&gt;0,VLOOKUP($K723,DM_KM,5,0),"")</f>
        <v/>
      </c>
      <c r="K723" s="735"/>
      <c r="L723" s="735"/>
      <c r="M723" s="68"/>
      <c r="N723" s="739"/>
      <c r="O723" s="737"/>
      <c r="P723" s="751"/>
    </row>
    <row r="724" hidden="1">
      <c r="A724" s="1190"/>
      <c r="B724" s="52" t="str">
        <f t="shared" si="1"/>
        <v/>
      </c>
      <c r="C724" s="52" t="str">
        <f>IF(A724="","",VLOOKUP(A724,'THAM CHIẾU'!$A:$B,2,0))</f>
        <v/>
      </c>
      <c r="D724" s="52" t="str">
        <f>IF(E724&lt;&gt;0,VLOOKUP(E724,DM_DUAN,3,0),"")</f>
        <v/>
      </c>
      <c r="E724" s="735"/>
      <c r="F724" s="735"/>
      <c r="G724" s="735"/>
      <c r="H724" s="70"/>
      <c r="I724" s="52" t="str">
        <f>IF($K724&lt;&gt;0,VLOOKUP($K724,DM_KM,3,0),"")</f>
        <v/>
      </c>
      <c r="J724" s="52" t="str">
        <f>IF($K724&lt;&gt;0,VLOOKUP($K724,DM_KM,5,0),"")</f>
        <v/>
      </c>
      <c r="K724" s="735"/>
      <c r="L724" s="735"/>
      <c r="M724" s="68"/>
      <c r="N724" s="739"/>
      <c r="O724" s="737"/>
      <c r="P724" s="751"/>
    </row>
    <row r="725" hidden="1">
      <c r="A725" s="1190"/>
      <c r="B725" s="52" t="str">
        <f t="shared" si="1"/>
        <v/>
      </c>
      <c r="C725" s="52" t="str">
        <f>IF(A725="","",VLOOKUP(A725,'THAM CHIẾU'!$A:$B,2,0))</f>
        <v/>
      </c>
      <c r="D725" s="52" t="str">
        <f>IF(E725&lt;&gt;0,VLOOKUP(E725,DM_DUAN,3,0),"")</f>
        <v/>
      </c>
      <c r="E725" s="735"/>
      <c r="F725" s="735"/>
      <c r="G725" s="735"/>
      <c r="H725" s="70"/>
      <c r="I725" s="52" t="str">
        <f>IF($K725&lt;&gt;0,VLOOKUP($K725,DM_KM,3,0),"")</f>
        <v/>
      </c>
      <c r="J725" s="52" t="str">
        <f>IF($K725&lt;&gt;0,VLOOKUP($K725,DM_KM,5,0),"")</f>
        <v/>
      </c>
      <c r="K725" s="735"/>
      <c r="L725" s="735"/>
      <c r="M725" s="68"/>
      <c r="N725" s="739"/>
      <c r="O725" s="737"/>
      <c r="P725" s="751"/>
    </row>
    <row r="726" hidden="1">
      <c r="A726" s="1190"/>
      <c r="B726" s="52" t="str">
        <f t="shared" si="1"/>
        <v/>
      </c>
      <c r="C726" s="52" t="str">
        <f>IF(A726="","",VLOOKUP(A726,'THAM CHIẾU'!$A:$B,2,0))</f>
        <v/>
      </c>
      <c r="D726" s="52" t="str">
        <f>IF(E726&lt;&gt;0,VLOOKUP(E726,DM_DUAN,3,0),"")</f>
        <v/>
      </c>
      <c r="E726" s="735"/>
      <c r="F726" s="735"/>
      <c r="G726" s="735"/>
      <c r="H726" s="70"/>
      <c r="I726" s="52" t="str">
        <f>IF($K726&lt;&gt;0,VLOOKUP($K726,DM_KM,3,0),"")</f>
        <v/>
      </c>
      <c r="J726" s="52" t="str">
        <f>IF($K726&lt;&gt;0,VLOOKUP($K726,DM_KM,5,0),"")</f>
        <v/>
      </c>
      <c r="K726" s="735"/>
      <c r="L726" s="735"/>
      <c r="M726" s="68"/>
      <c r="N726" s="739"/>
      <c r="O726" s="737"/>
      <c r="P726" s="751"/>
    </row>
    <row r="727" hidden="1">
      <c r="A727" s="1190"/>
      <c r="B727" s="52" t="str">
        <f t="shared" si="1"/>
        <v/>
      </c>
      <c r="C727" s="52" t="str">
        <f>IF(A727="","",VLOOKUP(A727,'THAM CHIẾU'!$A:$B,2,0))</f>
        <v/>
      </c>
      <c r="D727" s="52" t="str">
        <f>IF(E727&lt;&gt;0,VLOOKUP(E727,DM_DUAN,3,0),"")</f>
        <v/>
      </c>
      <c r="E727" s="735"/>
      <c r="F727" s="735"/>
      <c r="G727" s="735"/>
      <c r="H727" s="70"/>
      <c r="I727" s="52" t="str">
        <f>IF($K727&lt;&gt;0,VLOOKUP($K727,DM_KM,3,0),"")</f>
        <v/>
      </c>
      <c r="J727" s="52" t="str">
        <f>IF($K727&lt;&gt;0,VLOOKUP($K727,DM_KM,5,0),"")</f>
        <v/>
      </c>
      <c r="K727" s="735"/>
      <c r="L727" s="735"/>
      <c r="M727" s="68"/>
      <c r="N727" s="739"/>
      <c r="O727" s="737"/>
      <c r="P727" s="751"/>
    </row>
    <row r="728" hidden="1">
      <c r="A728" s="1190"/>
      <c r="B728" s="52" t="str">
        <f t="shared" si="1"/>
        <v/>
      </c>
      <c r="C728" s="52" t="str">
        <f>IF(A728="","",VLOOKUP(A728,'THAM CHIẾU'!$A:$B,2,0))</f>
        <v/>
      </c>
      <c r="D728" s="52" t="str">
        <f>IF(E728&lt;&gt;0,VLOOKUP(E728,DM_DUAN,3,0),"")</f>
        <v/>
      </c>
      <c r="E728" s="735"/>
      <c r="F728" s="735"/>
      <c r="G728" s="735"/>
      <c r="H728" s="70"/>
      <c r="I728" s="52" t="str">
        <f>IF($K728&lt;&gt;0,VLOOKUP($K728,DM_KM,3,0),"")</f>
        <v/>
      </c>
      <c r="J728" s="52" t="str">
        <f>IF($K728&lt;&gt;0,VLOOKUP($K728,DM_KM,5,0),"")</f>
        <v/>
      </c>
      <c r="K728" s="735"/>
      <c r="L728" s="735"/>
      <c r="M728" s="68"/>
      <c r="N728" s="739"/>
      <c r="O728" s="737"/>
      <c r="P728" s="751"/>
    </row>
    <row r="729" hidden="1">
      <c r="A729" s="1190"/>
      <c r="B729" s="52" t="str">
        <f t="shared" si="1"/>
        <v/>
      </c>
      <c r="C729" s="52" t="str">
        <f>IF(A729="","",VLOOKUP(A729,'THAM CHIẾU'!$A:$B,2,0))</f>
        <v/>
      </c>
      <c r="D729" s="52" t="str">
        <f>IF(E729&lt;&gt;0,VLOOKUP(E729,DM_DUAN,3,0),"")</f>
        <v/>
      </c>
      <c r="E729" s="735"/>
      <c r="F729" s="735"/>
      <c r="G729" s="735"/>
      <c r="H729" s="70"/>
      <c r="I729" s="52" t="str">
        <f>IF($K729&lt;&gt;0,VLOOKUP($K729,DM_KM,3,0),"")</f>
        <v/>
      </c>
      <c r="J729" s="52" t="str">
        <f>IF($K729&lt;&gt;0,VLOOKUP($K729,DM_KM,5,0),"")</f>
        <v/>
      </c>
      <c r="K729" s="735"/>
      <c r="L729" s="735"/>
      <c r="M729" s="68"/>
      <c r="N729" s="739"/>
      <c r="O729" s="737"/>
      <c r="P729" s="751"/>
    </row>
    <row r="730" hidden="1">
      <c r="A730" s="1190"/>
      <c r="B730" s="52" t="str">
        <f t="shared" si="1"/>
        <v/>
      </c>
      <c r="C730" s="52" t="str">
        <f>IF(A730="","",VLOOKUP(A730,'THAM CHIẾU'!$A:$B,2,0))</f>
        <v/>
      </c>
      <c r="D730" s="52" t="str">
        <f>IF(E730&lt;&gt;0,VLOOKUP(E730,DM_DUAN,3,0),"")</f>
        <v/>
      </c>
      <c r="E730" s="735"/>
      <c r="F730" s="735"/>
      <c r="G730" s="735"/>
      <c r="H730" s="70"/>
      <c r="I730" s="52" t="str">
        <f>IF($K730&lt;&gt;0,VLOOKUP($K730,DM_KM,3,0),"")</f>
        <v/>
      </c>
      <c r="J730" s="52" t="str">
        <f>IF($K730&lt;&gt;0,VLOOKUP($K730,DM_KM,5,0),"")</f>
        <v/>
      </c>
      <c r="K730" s="735"/>
      <c r="L730" s="735"/>
      <c r="M730" s="68"/>
      <c r="N730" s="739"/>
      <c r="O730" s="737"/>
      <c r="P730" s="751"/>
    </row>
    <row r="731" hidden="1">
      <c r="A731" s="1190"/>
      <c r="B731" s="52" t="str">
        <f t="shared" si="1"/>
        <v/>
      </c>
      <c r="C731" s="52" t="str">
        <f>IF(A731="","",VLOOKUP(A731,'THAM CHIẾU'!$A:$B,2,0))</f>
        <v/>
      </c>
      <c r="D731" s="52" t="str">
        <f>IF(E731&lt;&gt;0,VLOOKUP(E731,DM_DUAN,3,0),"")</f>
        <v/>
      </c>
      <c r="E731" s="735"/>
      <c r="F731" s="735"/>
      <c r="G731" s="735"/>
      <c r="H731" s="70"/>
      <c r="I731" s="52" t="str">
        <f>IF($K731&lt;&gt;0,VLOOKUP($K731,DM_KM,3,0),"")</f>
        <v/>
      </c>
      <c r="J731" s="52" t="str">
        <f>IF($K731&lt;&gt;0,VLOOKUP($K731,DM_KM,5,0),"")</f>
        <v/>
      </c>
      <c r="K731" s="735"/>
      <c r="L731" s="735"/>
      <c r="M731" s="68"/>
      <c r="N731" s="739"/>
      <c r="O731" s="737"/>
      <c r="P731" s="751"/>
    </row>
    <row r="732" hidden="1">
      <c r="A732" s="1190"/>
      <c r="B732" s="52" t="str">
        <f t="shared" si="1"/>
        <v/>
      </c>
      <c r="C732" s="52" t="str">
        <f>IF(A732="","",VLOOKUP(A732,'THAM CHIẾU'!$A:$B,2,0))</f>
        <v/>
      </c>
      <c r="D732" s="52" t="str">
        <f>IF(E732&lt;&gt;0,VLOOKUP(E732,DM_DUAN,3,0),"")</f>
        <v/>
      </c>
      <c r="E732" s="735"/>
      <c r="F732" s="735"/>
      <c r="G732" s="735"/>
      <c r="H732" s="70"/>
      <c r="I732" s="52" t="str">
        <f>IF($K732&lt;&gt;0,VLOOKUP($K732,DM_KM,3,0),"")</f>
        <v/>
      </c>
      <c r="J732" s="52" t="str">
        <f>IF($K732&lt;&gt;0,VLOOKUP($K732,DM_KM,5,0),"")</f>
        <v/>
      </c>
      <c r="K732" s="735"/>
      <c r="L732" s="735"/>
      <c r="M732" s="68"/>
      <c r="N732" s="739"/>
      <c r="O732" s="737"/>
      <c r="P732" s="751"/>
    </row>
    <row r="733" hidden="1">
      <c r="A733" s="1190"/>
      <c r="B733" s="52" t="str">
        <f t="shared" si="1"/>
        <v/>
      </c>
      <c r="C733" s="52" t="str">
        <f>IF(A733="","",VLOOKUP(A733,'THAM CHIẾU'!$A:$B,2,0))</f>
        <v/>
      </c>
      <c r="D733" s="52" t="str">
        <f>IF(E733&lt;&gt;0,VLOOKUP(E733,DM_DUAN,3,0),"")</f>
        <v/>
      </c>
      <c r="E733" s="735"/>
      <c r="F733" s="735"/>
      <c r="G733" s="735"/>
      <c r="H733" s="70"/>
      <c r="I733" s="52" t="str">
        <f>IF($K733&lt;&gt;0,VLOOKUP($K733,DM_KM,3,0),"")</f>
        <v/>
      </c>
      <c r="J733" s="52" t="str">
        <f>IF($K733&lt;&gt;0,VLOOKUP($K733,DM_KM,5,0),"")</f>
        <v/>
      </c>
      <c r="K733" s="735"/>
      <c r="L733" s="735"/>
      <c r="M733" s="68"/>
      <c r="N733" s="739"/>
      <c r="O733" s="737"/>
      <c r="P733" s="751"/>
    </row>
    <row r="734" hidden="1">
      <c r="A734" s="1190"/>
      <c r="B734" s="52" t="str">
        <f t="shared" si="1"/>
        <v/>
      </c>
      <c r="C734" s="52" t="str">
        <f>IF(A734="","",VLOOKUP(A734,'THAM CHIẾU'!$A:$B,2,0))</f>
        <v/>
      </c>
      <c r="D734" s="52" t="str">
        <f>IF(E734&lt;&gt;0,VLOOKUP(E734,DM_DUAN,3,0),"")</f>
        <v/>
      </c>
      <c r="E734" s="735"/>
      <c r="F734" s="735"/>
      <c r="G734" s="735"/>
      <c r="H734" s="70"/>
      <c r="I734" s="52" t="str">
        <f>IF($K734&lt;&gt;0,VLOOKUP($K734,DM_KM,3,0),"")</f>
        <v/>
      </c>
      <c r="J734" s="52" t="str">
        <f>IF($K734&lt;&gt;0,VLOOKUP($K734,DM_KM,5,0),"")</f>
        <v/>
      </c>
      <c r="K734" s="735"/>
      <c r="L734" s="735"/>
      <c r="M734" s="68"/>
      <c r="N734" s="739"/>
      <c r="O734" s="737"/>
      <c r="P734" s="751"/>
    </row>
    <row r="735" hidden="1">
      <c r="A735" s="1190"/>
      <c r="B735" s="52" t="str">
        <f t="shared" si="1"/>
        <v/>
      </c>
      <c r="C735" s="52" t="str">
        <f>IF(A735="","",VLOOKUP(A735,'THAM CHIẾU'!$A:$B,2,0))</f>
        <v/>
      </c>
      <c r="D735" s="52" t="str">
        <f>IF(E735&lt;&gt;0,VLOOKUP(E735,DM_DUAN,3,0),"")</f>
        <v/>
      </c>
      <c r="E735" s="735"/>
      <c r="F735" s="735"/>
      <c r="G735" s="735"/>
      <c r="H735" s="70"/>
      <c r="I735" s="52" t="str">
        <f>IF($K735&lt;&gt;0,VLOOKUP($K735,DM_KM,3,0),"")</f>
        <v/>
      </c>
      <c r="J735" s="52" t="str">
        <f>IF($K735&lt;&gt;0,VLOOKUP($K735,DM_KM,5,0),"")</f>
        <v/>
      </c>
      <c r="K735" s="735"/>
      <c r="L735" s="735"/>
      <c r="M735" s="68"/>
      <c r="N735" s="739"/>
      <c r="O735" s="737"/>
      <c r="P735" s="751"/>
    </row>
    <row r="736" hidden="1">
      <c r="A736" s="1190"/>
      <c r="B736" s="52" t="str">
        <f t="shared" si="1"/>
        <v/>
      </c>
      <c r="C736" s="52" t="str">
        <f>IF(A736="","",VLOOKUP(A736,'THAM CHIẾU'!$A:$B,2,0))</f>
        <v/>
      </c>
      <c r="D736" s="52" t="str">
        <f>IF(E736&lt;&gt;0,VLOOKUP(E736,DM_DUAN,3,0),"")</f>
        <v/>
      </c>
      <c r="E736" s="735"/>
      <c r="F736" s="735"/>
      <c r="G736" s="735"/>
      <c r="H736" s="70"/>
      <c r="I736" s="52" t="str">
        <f>IF($K736&lt;&gt;0,VLOOKUP($K736,DM_KM,3,0),"")</f>
        <v/>
      </c>
      <c r="J736" s="52" t="str">
        <f>IF($K736&lt;&gt;0,VLOOKUP($K736,DM_KM,5,0),"")</f>
        <v/>
      </c>
      <c r="K736" s="735"/>
      <c r="L736" s="735"/>
      <c r="M736" s="68"/>
      <c r="N736" s="739"/>
      <c r="O736" s="737"/>
      <c r="P736" s="751"/>
    </row>
    <row r="737" hidden="1">
      <c r="A737" s="1190"/>
      <c r="B737" s="52" t="str">
        <f t="shared" si="1"/>
        <v/>
      </c>
      <c r="C737" s="52" t="str">
        <f>IF(A737="","",VLOOKUP(A737,'THAM CHIẾU'!$A:$B,2,0))</f>
        <v/>
      </c>
      <c r="D737" s="52" t="str">
        <f>IF(E737&lt;&gt;0,VLOOKUP(E737,DM_DUAN,3,0),"")</f>
        <v/>
      </c>
      <c r="E737" s="735"/>
      <c r="F737" s="735"/>
      <c r="G737" s="735"/>
      <c r="H737" s="70"/>
      <c r="I737" s="52" t="str">
        <f>IF($K737&lt;&gt;0,VLOOKUP($K737,DM_KM,3,0),"")</f>
        <v/>
      </c>
      <c r="J737" s="52" t="str">
        <f>IF($K737&lt;&gt;0,VLOOKUP($K737,DM_KM,5,0),"")</f>
        <v/>
      </c>
      <c r="K737" s="735"/>
      <c r="L737" s="735"/>
      <c r="M737" s="68"/>
      <c r="N737" s="739"/>
      <c r="O737" s="737"/>
      <c r="P737" s="751"/>
    </row>
    <row r="738" hidden="1">
      <c r="A738" s="1190"/>
      <c r="B738" s="52" t="str">
        <f t="shared" si="1"/>
        <v/>
      </c>
      <c r="C738" s="52" t="str">
        <f>IF(A738="","",VLOOKUP(A738,'THAM CHIẾU'!$A:$B,2,0))</f>
        <v/>
      </c>
      <c r="D738" s="52" t="str">
        <f>IF(E738&lt;&gt;0,VLOOKUP(E738,DM_DUAN,3,0),"")</f>
        <v/>
      </c>
      <c r="E738" s="735"/>
      <c r="F738" s="735"/>
      <c r="G738" s="735"/>
      <c r="H738" s="70"/>
      <c r="I738" s="52" t="str">
        <f>IF($K738&lt;&gt;0,VLOOKUP($K738,DM_KM,3,0),"")</f>
        <v/>
      </c>
      <c r="J738" s="52" t="str">
        <f>IF($K738&lt;&gt;0,VLOOKUP($K738,DM_KM,5,0),"")</f>
        <v/>
      </c>
      <c r="K738" s="735"/>
      <c r="L738" s="735"/>
      <c r="M738" s="68"/>
      <c r="N738" s="739"/>
      <c r="O738" s="737"/>
      <c r="P738" s="751"/>
    </row>
    <row r="739" hidden="1">
      <c r="A739" s="1190"/>
      <c r="B739" s="52" t="str">
        <f t="shared" si="1"/>
        <v/>
      </c>
      <c r="C739" s="52" t="str">
        <f>IF(A739="","",VLOOKUP(A739,'THAM CHIẾU'!$A:$B,2,0))</f>
        <v/>
      </c>
      <c r="D739" s="52" t="str">
        <f>IF(E739&lt;&gt;0,VLOOKUP(E739,DM_DUAN,3,0),"")</f>
        <v/>
      </c>
      <c r="E739" s="735"/>
      <c r="F739" s="735"/>
      <c r="G739" s="735"/>
      <c r="H739" s="70"/>
      <c r="I739" s="52" t="str">
        <f>IF($K739&lt;&gt;0,VLOOKUP($K739,DM_KM,3,0),"")</f>
        <v/>
      </c>
      <c r="J739" s="52" t="str">
        <f>IF($K739&lt;&gt;0,VLOOKUP($K739,DM_KM,5,0),"")</f>
        <v/>
      </c>
      <c r="K739" s="735"/>
      <c r="L739" s="735"/>
      <c r="M739" s="68"/>
      <c r="N739" s="739"/>
      <c r="O739" s="737"/>
      <c r="P739" s="751"/>
    </row>
    <row r="740" hidden="1">
      <c r="A740" s="1190"/>
      <c r="B740" s="52" t="str">
        <f t="shared" si="1"/>
        <v/>
      </c>
      <c r="C740" s="52" t="str">
        <f>IF(A740="","",VLOOKUP(A740,'THAM CHIẾU'!$A:$B,2,0))</f>
        <v/>
      </c>
      <c r="D740" s="52" t="str">
        <f>IF(E740&lt;&gt;0,VLOOKUP(E740,DM_DUAN,3,0),"")</f>
        <v/>
      </c>
      <c r="E740" s="735"/>
      <c r="F740" s="735"/>
      <c r="G740" s="735"/>
      <c r="H740" s="70"/>
      <c r="I740" s="52" t="str">
        <f>IF($K740&lt;&gt;0,VLOOKUP($K740,DM_KM,3,0),"")</f>
        <v/>
      </c>
      <c r="J740" s="52" t="str">
        <f>IF($K740&lt;&gt;0,VLOOKUP($K740,DM_KM,5,0),"")</f>
        <v/>
      </c>
      <c r="K740" s="735"/>
      <c r="L740" s="735"/>
      <c r="M740" s="68"/>
      <c r="N740" s="739"/>
      <c r="O740" s="737"/>
      <c r="P740" s="751"/>
    </row>
    <row r="741" hidden="1">
      <c r="A741" s="1190"/>
      <c r="B741" s="52" t="str">
        <f t="shared" si="1"/>
        <v/>
      </c>
      <c r="C741" s="52" t="str">
        <f>IF(A741="","",VLOOKUP(A741,'THAM CHIẾU'!$A:$B,2,0))</f>
        <v/>
      </c>
      <c r="D741" s="52" t="str">
        <f>IF(E741&lt;&gt;0,VLOOKUP(E741,DM_DUAN,3,0),"")</f>
        <v/>
      </c>
      <c r="E741" s="735"/>
      <c r="F741" s="735"/>
      <c r="G741" s="735"/>
      <c r="H741" s="70"/>
      <c r="I741" s="52" t="str">
        <f>IF($K741&lt;&gt;0,VLOOKUP($K741,DM_KM,3,0),"")</f>
        <v/>
      </c>
      <c r="J741" s="52" t="str">
        <f>IF($K741&lt;&gt;0,VLOOKUP($K741,DM_KM,5,0),"")</f>
        <v/>
      </c>
      <c r="K741" s="735"/>
      <c r="L741" s="735"/>
      <c r="M741" s="68"/>
      <c r="N741" s="739"/>
      <c r="O741" s="737"/>
      <c r="P741" s="751"/>
    </row>
    <row r="742" hidden="1">
      <c r="A742" s="1190"/>
      <c r="B742" s="52" t="str">
        <f t="shared" si="1"/>
        <v/>
      </c>
      <c r="C742" s="52" t="str">
        <f>IF(A742="","",VLOOKUP(A742,'THAM CHIẾU'!$A:$B,2,0))</f>
        <v/>
      </c>
      <c r="D742" s="52" t="str">
        <f>IF(E742&lt;&gt;0,VLOOKUP(E742,DM_DUAN,3,0),"")</f>
        <v/>
      </c>
      <c r="E742" s="735"/>
      <c r="F742" s="735"/>
      <c r="G742" s="735"/>
      <c r="H742" s="70"/>
      <c r="I742" s="52" t="str">
        <f>IF($K742&lt;&gt;0,VLOOKUP($K742,DM_KM,3,0),"")</f>
        <v/>
      </c>
      <c r="J742" s="52" t="str">
        <f>IF($K742&lt;&gt;0,VLOOKUP($K742,DM_KM,5,0),"")</f>
        <v/>
      </c>
      <c r="K742" s="735"/>
      <c r="L742" s="735"/>
      <c r="M742" s="68"/>
      <c r="N742" s="739"/>
      <c r="O742" s="737"/>
      <c r="P742" s="751"/>
    </row>
    <row r="743" hidden="1">
      <c r="A743" s="1190"/>
      <c r="B743" s="52" t="str">
        <f t="shared" si="1"/>
        <v/>
      </c>
      <c r="C743" s="52" t="str">
        <f>IF(A743="","",VLOOKUP(A743,'THAM CHIẾU'!$A:$B,2,0))</f>
        <v/>
      </c>
      <c r="D743" s="52" t="str">
        <f>IF(E743&lt;&gt;0,VLOOKUP(E743,DM_DUAN,3,0),"")</f>
        <v/>
      </c>
      <c r="E743" s="735"/>
      <c r="F743" s="735"/>
      <c r="G743" s="735"/>
      <c r="H743" s="70"/>
      <c r="I743" s="52" t="str">
        <f>IF($K743&lt;&gt;0,VLOOKUP($K743,DM_KM,3,0),"")</f>
        <v/>
      </c>
      <c r="J743" s="52" t="str">
        <f>IF($K743&lt;&gt;0,VLOOKUP($K743,DM_KM,5,0),"")</f>
        <v/>
      </c>
      <c r="K743" s="735"/>
      <c r="L743" s="735"/>
      <c r="M743" s="68"/>
      <c r="N743" s="739"/>
      <c r="O743" s="737"/>
      <c r="P743" s="751"/>
    </row>
    <row r="744" hidden="1">
      <c r="A744" s="1190"/>
      <c r="B744" s="52" t="str">
        <f t="shared" si="1"/>
        <v/>
      </c>
      <c r="C744" s="52" t="str">
        <f>IF(A744="","",VLOOKUP(A744,'THAM CHIẾU'!$A:$B,2,0))</f>
        <v/>
      </c>
      <c r="D744" s="52" t="str">
        <f>IF(E744&lt;&gt;0,VLOOKUP(E744,DM_DUAN,3,0),"")</f>
        <v/>
      </c>
      <c r="E744" s="735"/>
      <c r="F744" s="735"/>
      <c r="G744" s="735"/>
      <c r="H744" s="70"/>
      <c r="I744" s="52" t="str">
        <f>IF($K744&lt;&gt;0,VLOOKUP($K744,DM_KM,3,0),"")</f>
        <v/>
      </c>
      <c r="J744" s="52" t="str">
        <f>IF($K744&lt;&gt;0,VLOOKUP($K744,DM_KM,5,0),"")</f>
        <v/>
      </c>
      <c r="K744" s="735"/>
      <c r="L744" s="735"/>
      <c r="M744" s="68"/>
      <c r="N744" s="739"/>
      <c r="O744" s="737"/>
      <c r="P744" s="751"/>
    </row>
    <row r="745" hidden="1">
      <c r="A745" s="1190"/>
      <c r="B745" s="52" t="str">
        <f t="shared" si="1"/>
        <v/>
      </c>
      <c r="C745" s="52" t="str">
        <f>IF(A745="","",VLOOKUP(A745,'THAM CHIẾU'!$A:$B,2,0))</f>
        <v/>
      </c>
      <c r="D745" s="52" t="str">
        <f>IF(E745&lt;&gt;0,VLOOKUP(E745,DM_DUAN,3,0),"")</f>
        <v/>
      </c>
      <c r="E745" s="735"/>
      <c r="F745" s="735"/>
      <c r="G745" s="735"/>
      <c r="H745" s="70"/>
      <c r="I745" s="52" t="str">
        <f>IF($K745&lt;&gt;0,VLOOKUP($K745,DM_KM,3,0),"")</f>
        <v/>
      </c>
      <c r="J745" s="52" t="str">
        <f>IF($K745&lt;&gt;0,VLOOKUP($K745,DM_KM,5,0),"")</f>
        <v/>
      </c>
      <c r="K745" s="735"/>
      <c r="L745" s="735"/>
      <c r="M745" s="68"/>
      <c r="N745" s="739"/>
      <c r="O745" s="737"/>
      <c r="P745" s="751"/>
    </row>
    <row r="746" hidden="1">
      <c r="A746" s="1190"/>
      <c r="B746" s="52" t="str">
        <f t="shared" si="1"/>
        <v/>
      </c>
      <c r="C746" s="52" t="str">
        <f>IF(A746="","",VLOOKUP(A746,'THAM CHIẾU'!$A:$B,2,0))</f>
        <v/>
      </c>
      <c r="D746" s="52" t="str">
        <f>IF(E746&lt;&gt;0,VLOOKUP(E746,DM_DUAN,3,0),"")</f>
        <v/>
      </c>
      <c r="E746" s="735"/>
      <c r="F746" s="735"/>
      <c r="G746" s="735"/>
      <c r="H746" s="70"/>
      <c r="I746" s="52" t="str">
        <f>IF($K746&lt;&gt;0,VLOOKUP($K746,DM_KM,3,0),"")</f>
        <v/>
      </c>
      <c r="J746" s="52" t="str">
        <f>IF($K746&lt;&gt;0,VLOOKUP($K746,DM_KM,5,0),"")</f>
        <v/>
      </c>
      <c r="K746" s="735"/>
      <c r="L746" s="735"/>
      <c r="M746" s="68"/>
      <c r="N746" s="739"/>
      <c r="O746" s="737"/>
      <c r="P746" s="751"/>
    </row>
    <row r="747" hidden="1">
      <c r="A747" s="1190"/>
      <c r="B747" s="52" t="str">
        <f t="shared" si="1"/>
        <v/>
      </c>
      <c r="C747" s="52" t="str">
        <f>IF(A747="","",VLOOKUP(A747,'THAM CHIẾU'!$A:$B,2,0))</f>
        <v/>
      </c>
      <c r="D747" s="52" t="str">
        <f>IF(E747&lt;&gt;0,VLOOKUP(E747,DM_DUAN,3,0),"")</f>
        <v/>
      </c>
      <c r="E747" s="735"/>
      <c r="F747" s="735"/>
      <c r="G747" s="735"/>
      <c r="H747" s="70"/>
      <c r="I747" s="52" t="str">
        <f>IF($K747&lt;&gt;0,VLOOKUP($K747,DM_KM,3,0),"")</f>
        <v/>
      </c>
      <c r="J747" s="52" t="str">
        <f>IF($K747&lt;&gt;0,VLOOKUP($K747,DM_KM,5,0),"")</f>
        <v/>
      </c>
      <c r="K747" s="735"/>
      <c r="L747" s="735"/>
      <c r="M747" s="68"/>
      <c r="N747" s="739"/>
      <c r="O747" s="737"/>
      <c r="P747" s="751"/>
    </row>
    <row r="748" hidden="1">
      <c r="A748" s="1190"/>
      <c r="B748" s="52" t="str">
        <f t="shared" si="1"/>
        <v/>
      </c>
      <c r="C748" s="52" t="str">
        <f>IF(A748="","",VLOOKUP(A748,'THAM CHIẾU'!$A:$B,2,0))</f>
        <v/>
      </c>
      <c r="D748" s="52" t="str">
        <f>IF(E748&lt;&gt;0,VLOOKUP(E748,DM_DUAN,3,0),"")</f>
        <v/>
      </c>
      <c r="E748" s="735"/>
      <c r="F748" s="735"/>
      <c r="G748" s="735"/>
      <c r="H748" s="70"/>
      <c r="I748" s="52" t="str">
        <f>IF($K748&lt;&gt;0,VLOOKUP($K748,DM_KM,3,0),"")</f>
        <v/>
      </c>
      <c r="J748" s="52" t="str">
        <f>IF($K748&lt;&gt;0,VLOOKUP($K748,DM_KM,5,0),"")</f>
        <v/>
      </c>
      <c r="K748" s="735"/>
      <c r="L748" s="735"/>
      <c r="M748" s="68"/>
      <c r="N748" s="739"/>
      <c r="O748" s="737"/>
      <c r="P748" s="751"/>
    </row>
    <row r="749" hidden="1">
      <c r="A749" s="1190"/>
      <c r="B749" s="52" t="str">
        <f t="shared" si="1"/>
        <v/>
      </c>
      <c r="C749" s="52" t="str">
        <f>IF(A749="","",VLOOKUP(A749,'THAM CHIẾU'!$A:$B,2,0))</f>
        <v/>
      </c>
      <c r="D749" s="52" t="str">
        <f>IF(E749&lt;&gt;0,VLOOKUP(E749,DM_DUAN,3,0),"")</f>
        <v/>
      </c>
      <c r="E749" s="735"/>
      <c r="F749" s="735"/>
      <c r="G749" s="735"/>
      <c r="H749" s="70"/>
      <c r="I749" s="52" t="str">
        <f>IF($K749&lt;&gt;0,VLOOKUP($K749,DM_KM,3,0),"")</f>
        <v/>
      </c>
      <c r="J749" s="52" t="str">
        <f>IF($K749&lt;&gt;0,VLOOKUP($K749,DM_KM,5,0),"")</f>
        <v/>
      </c>
      <c r="K749" s="735"/>
      <c r="L749" s="735"/>
      <c r="M749" s="68"/>
      <c r="N749" s="739"/>
      <c r="O749" s="737"/>
      <c r="P749" s="751"/>
    </row>
    <row r="750" hidden="1">
      <c r="A750" s="1190"/>
      <c r="B750" s="52" t="str">
        <f t="shared" si="1"/>
        <v/>
      </c>
      <c r="C750" s="52" t="str">
        <f>IF(A750="","",VLOOKUP(A750,'THAM CHIẾU'!$A:$B,2,0))</f>
        <v/>
      </c>
      <c r="D750" s="52" t="str">
        <f>IF(E750&lt;&gt;0,VLOOKUP(E750,DM_DUAN,3,0),"")</f>
        <v/>
      </c>
      <c r="E750" s="735"/>
      <c r="F750" s="735"/>
      <c r="G750" s="735"/>
      <c r="H750" s="70"/>
      <c r="I750" s="52" t="str">
        <f>IF($K750&lt;&gt;0,VLOOKUP($K750,DM_KM,3,0),"")</f>
        <v/>
      </c>
      <c r="J750" s="52" t="str">
        <f>IF($K750&lt;&gt;0,VLOOKUP($K750,DM_KM,5,0),"")</f>
        <v/>
      </c>
      <c r="K750" s="735"/>
      <c r="L750" s="735"/>
      <c r="M750" s="68"/>
      <c r="N750" s="739"/>
      <c r="O750" s="737"/>
      <c r="P750" s="751"/>
    </row>
    <row r="751" hidden="1">
      <c r="A751" s="1190"/>
      <c r="B751" s="52" t="str">
        <f t="shared" si="1"/>
        <v/>
      </c>
      <c r="C751" s="52" t="str">
        <f>IF(A751="","",VLOOKUP(A751,'THAM CHIẾU'!$A:$B,2,0))</f>
        <v/>
      </c>
      <c r="D751" s="52" t="str">
        <f>IF(E751&lt;&gt;0,VLOOKUP(E751,DM_DUAN,3,0),"")</f>
        <v/>
      </c>
      <c r="E751" s="735"/>
      <c r="F751" s="735"/>
      <c r="G751" s="735"/>
      <c r="H751" s="70"/>
      <c r="I751" s="52" t="str">
        <f>IF($K751&lt;&gt;0,VLOOKUP($K751,DM_KM,3,0),"")</f>
        <v/>
      </c>
      <c r="J751" s="52" t="str">
        <f>IF($K751&lt;&gt;0,VLOOKUP($K751,DM_KM,5,0),"")</f>
        <v/>
      </c>
      <c r="K751" s="735"/>
      <c r="L751" s="735"/>
      <c r="M751" s="68"/>
      <c r="N751" s="739"/>
      <c r="O751" s="737"/>
      <c r="P751" s="751"/>
    </row>
    <row r="752" hidden="1">
      <c r="A752" s="1190"/>
      <c r="B752" s="52" t="str">
        <f t="shared" si="1"/>
        <v/>
      </c>
      <c r="C752" s="52" t="str">
        <f>IF(A752="","",VLOOKUP(A752,'THAM CHIẾU'!$A:$B,2,0))</f>
        <v/>
      </c>
      <c r="D752" s="52" t="str">
        <f>IF(E752&lt;&gt;0,VLOOKUP(E752,DM_DUAN,3,0),"")</f>
        <v/>
      </c>
      <c r="E752" s="735"/>
      <c r="F752" s="735"/>
      <c r="G752" s="735"/>
      <c r="H752" s="70"/>
      <c r="I752" s="52" t="str">
        <f>IF($K752&lt;&gt;0,VLOOKUP($K752,DM_KM,3,0),"")</f>
        <v/>
      </c>
      <c r="J752" s="52" t="str">
        <f>IF($K752&lt;&gt;0,VLOOKUP($K752,DM_KM,5,0),"")</f>
        <v/>
      </c>
      <c r="K752" s="735"/>
      <c r="L752" s="735"/>
      <c r="M752" s="68"/>
      <c r="N752" s="739"/>
      <c r="O752" s="737"/>
      <c r="P752" s="751"/>
    </row>
    <row r="753" hidden="1">
      <c r="A753" s="1190"/>
      <c r="B753" s="52" t="str">
        <f t="shared" si="1"/>
        <v/>
      </c>
      <c r="C753" s="52" t="str">
        <f>IF(A753="","",VLOOKUP(A753,'THAM CHIẾU'!$A:$B,2,0))</f>
        <v/>
      </c>
      <c r="D753" s="52" t="str">
        <f>IF(E753&lt;&gt;0,VLOOKUP(E753,DM_DUAN,3,0),"")</f>
        <v/>
      </c>
      <c r="E753" s="735"/>
      <c r="F753" s="735"/>
      <c r="G753" s="735"/>
      <c r="H753" s="70"/>
      <c r="I753" s="52" t="str">
        <f>IF($K753&lt;&gt;0,VLOOKUP($K753,DM_KM,3,0),"")</f>
        <v/>
      </c>
      <c r="J753" s="52" t="str">
        <f>IF($K753&lt;&gt;0,VLOOKUP($K753,DM_KM,5,0),"")</f>
        <v/>
      </c>
      <c r="K753" s="735"/>
      <c r="L753" s="735"/>
      <c r="M753" s="68"/>
      <c r="N753" s="739"/>
      <c r="O753" s="737"/>
      <c r="P753" s="751"/>
    </row>
    <row r="754" hidden="1">
      <c r="A754" s="1190"/>
      <c r="B754" s="52" t="str">
        <f t="shared" si="1"/>
        <v/>
      </c>
      <c r="C754" s="52" t="str">
        <f>IF(A754="","",VLOOKUP(A754,'THAM CHIẾU'!$A:$B,2,0))</f>
        <v/>
      </c>
      <c r="D754" s="52" t="str">
        <f>IF(E754&lt;&gt;0,VLOOKUP(E754,DM_DUAN,3,0),"")</f>
        <v/>
      </c>
      <c r="E754" s="735"/>
      <c r="F754" s="735"/>
      <c r="G754" s="735"/>
      <c r="H754" s="70"/>
      <c r="I754" s="52" t="str">
        <f>IF($K754&lt;&gt;0,VLOOKUP($K754,DM_KM,3,0),"")</f>
        <v/>
      </c>
      <c r="J754" s="52" t="str">
        <f>IF($K754&lt;&gt;0,VLOOKUP($K754,DM_KM,5,0),"")</f>
        <v/>
      </c>
      <c r="K754" s="735"/>
      <c r="L754" s="735"/>
      <c r="M754" s="68"/>
      <c r="N754" s="739"/>
      <c r="O754" s="737"/>
      <c r="P754" s="751"/>
    </row>
    <row r="755" hidden="1">
      <c r="A755" s="1190"/>
      <c r="B755" s="52" t="str">
        <f t="shared" si="1"/>
        <v/>
      </c>
      <c r="C755" s="52" t="str">
        <f>IF(A755="","",VLOOKUP(A755,'THAM CHIẾU'!$A:$B,2,0))</f>
        <v/>
      </c>
      <c r="D755" s="52" t="str">
        <f>IF(E755&lt;&gt;0,VLOOKUP(E755,DM_DUAN,3,0),"")</f>
        <v/>
      </c>
      <c r="E755" s="735"/>
      <c r="F755" s="735"/>
      <c r="G755" s="735"/>
      <c r="H755" s="70"/>
      <c r="I755" s="52" t="str">
        <f>IF($K755&lt;&gt;0,VLOOKUP($K755,DM_KM,3,0),"")</f>
        <v/>
      </c>
      <c r="J755" s="52" t="str">
        <f>IF($K755&lt;&gt;0,VLOOKUP($K755,DM_KM,5,0),"")</f>
        <v/>
      </c>
      <c r="K755" s="735"/>
      <c r="L755" s="735"/>
      <c r="M755" s="68"/>
      <c r="N755" s="739"/>
      <c r="O755" s="737"/>
      <c r="P755" s="751"/>
    </row>
    <row r="756" hidden="1">
      <c r="A756" s="1190"/>
      <c r="B756" s="52" t="str">
        <f t="shared" si="1"/>
        <v/>
      </c>
      <c r="C756" s="52" t="str">
        <f>IF(A756="","",VLOOKUP(A756,'THAM CHIẾU'!$A:$B,2,0))</f>
        <v/>
      </c>
      <c r="D756" s="52" t="str">
        <f>IF(E756&lt;&gt;0,VLOOKUP(E756,DM_DUAN,3,0),"")</f>
        <v/>
      </c>
      <c r="E756" s="735"/>
      <c r="F756" s="735"/>
      <c r="G756" s="735"/>
      <c r="H756" s="70"/>
      <c r="I756" s="52" t="str">
        <f>IF($K756&lt;&gt;0,VLOOKUP($K756,DM_KM,3,0),"")</f>
        <v/>
      </c>
      <c r="J756" s="52" t="str">
        <f>IF($K756&lt;&gt;0,VLOOKUP($K756,DM_KM,5,0),"")</f>
        <v/>
      </c>
      <c r="K756" s="735"/>
      <c r="L756" s="735"/>
      <c r="M756" s="68"/>
      <c r="N756" s="739"/>
      <c r="O756" s="737"/>
      <c r="P756" s="751"/>
    </row>
    <row r="757" hidden="1">
      <c r="A757" s="1190"/>
      <c r="B757" s="52" t="str">
        <f t="shared" si="1"/>
        <v/>
      </c>
      <c r="C757" s="52" t="str">
        <f>IF(A757="","",VLOOKUP(A757,'THAM CHIẾU'!$A:$B,2,0))</f>
        <v/>
      </c>
      <c r="D757" s="52" t="str">
        <f>IF(E757&lt;&gt;0,VLOOKUP(E757,DM_DUAN,3,0),"")</f>
        <v/>
      </c>
      <c r="E757" s="735"/>
      <c r="F757" s="735"/>
      <c r="G757" s="735"/>
      <c r="H757" s="70"/>
      <c r="I757" s="52" t="str">
        <f>IF($K757&lt;&gt;0,VLOOKUP($K757,DM_KM,3,0),"")</f>
        <v/>
      </c>
      <c r="J757" s="52" t="str">
        <f>IF($K757&lt;&gt;0,VLOOKUP($K757,DM_KM,5,0),"")</f>
        <v/>
      </c>
      <c r="K757" s="735"/>
      <c r="L757" s="735"/>
      <c r="M757" s="68"/>
      <c r="N757" s="739"/>
      <c r="O757" s="737"/>
      <c r="P757" s="751"/>
    </row>
    <row r="758" hidden="1">
      <c r="A758" s="1190"/>
      <c r="B758" s="52" t="str">
        <f t="shared" si="1"/>
        <v/>
      </c>
      <c r="C758" s="52" t="str">
        <f>IF(A758="","",VLOOKUP(A758,'THAM CHIẾU'!$A:$B,2,0))</f>
        <v/>
      </c>
      <c r="D758" s="52" t="str">
        <f>IF(E758&lt;&gt;0,VLOOKUP(E758,DM_DUAN,3,0),"")</f>
        <v/>
      </c>
      <c r="E758" s="735"/>
      <c r="F758" s="735"/>
      <c r="G758" s="735"/>
      <c r="H758" s="70"/>
      <c r="I758" s="52" t="str">
        <f>IF($K758&lt;&gt;0,VLOOKUP($K758,DM_KM,3,0),"")</f>
        <v/>
      </c>
      <c r="J758" s="52" t="str">
        <f>IF($K758&lt;&gt;0,VLOOKUP($K758,DM_KM,5,0),"")</f>
        <v/>
      </c>
      <c r="K758" s="735"/>
      <c r="L758" s="735"/>
      <c r="M758" s="68"/>
      <c r="N758" s="739"/>
      <c r="O758" s="737"/>
      <c r="P758" s="751"/>
    </row>
    <row r="759" hidden="1">
      <c r="A759" s="1190"/>
      <c r="B759" s="52" t="str">
        <f t="shared" si="1"/>
        <v/>
      </c>
      <c r="C759" s="52" t="str">
        <f>IF(A759="","",VLOOKUP(A759,'THAM CHIẾU'!$A:$B,2,0))</f>
        <v/>
      </c>
      <c r="D759" s="52" t="str">
        <f>IF(E759&lt;&gt;0,VLOOKUP(E759,DM_DUAN,3,0),"")</f>
        <v/>
      </c>
      <c r="E759" s="735"/>
      <c r="F759" s="735"/>
      <c r="G759" s="735"/>
      <c r="H759" s="70"/>
      <c r="I759" s="52" t="str">
        <f>IF($K759&lt;&gt;0,VLOOKUP($K759,DM_KM,3,0),"")</f>
        <v/>
      </c>
      <c r="J759" s="52" t="str">
        <f>IF($K759&lt;&gt;0,VLOOKUP($K759,DM_KM,5,0),"")</f>
        <v/>
      </c>
      <c r="K759" s="735"/>
      <c r="L759" s="735"/>
      <c r="M759" s="68"/>
      <c r="N759" s="739"/>
      <c r="O759" s="737"/>
      <c r="P759" s="751"/>
    </row>
    <row r="760" hidden="1">
      <c r="A760" s="1190"/>
      <c r="B760" s="52" t="str">
        <f t="shared" si="1"/>
        <v/>
      </c>
      <c r="C760" s="52" t="str">
        <f>IF(A760="","",VLOOKUP(A760,'THAM CHIẾU'!$A:$B,2,0))</f>
        <v/>
      </c>
      <c r="D760" s="52" t="str">
        <f>IF(E760&lt;&gt;0,VLOOKUP(E760,DM_DUAN,3,0),"")</f>
        <v/>
      </c>
      <c r="E760" s="735"/>
      <c r="F760" s="735"/>
      <c r="G760" s="735"/>
      <c r="H760" s="70"/>
      <c r="I760" s="52" t="str">
        <f>IF($K760&lt;&gt;0,VLOOKUP($K760,DM_KM,3,0),"")</f>
        <v/>
      </c>
      <c r="J760" s="52" t="str">
        <f>IF($K760&lt;&gt;0,VLOOKUP($K760,DM_KM,5,0),"")</f>
        <v/>
      </c>
      <c r="K760" s="735"/>
      <c r="L760" s="735"/>
      <c r="M760" s="68"/>
      <c r="N760" s="739"/>
      <c r="O760" s="737"/>
      <c r="P760" s="751"/>
    </row>
    <row r="761" hidden="1">
      <c r="A761" s="1190"/>
      <c r="B761" s="52" t="str">
        <f t="shared" si="1"/>
        <v/>
      </c>
      <c r="C761" s="52" t="str">
        <f>IF(A761="","",VLOOKUP(A761,'THAM CHIẾU'!$A:$B,2,0))</f>
        <v/>
      </c>
      <c r="D761" s="52" t="str">
        <f>IF(E761&lt;&gt;0,VLOOKUP(E761,DM_DUAN,3,0),"")</f>
        <v/>
      </c>
      <c r="E761" s="735"/>
      <c r="F761" s="735"/>
      <c r="G761" s="735"/>
      <c r="H761" s="70"/>
      <c r="I761" s="52" t="str">
        <f>IF($K761&lt;&gt;0,VLOOKUP($K761,DM_KM,3,0),"")</f>
        <v/>
      </c>
      <c r="J761" s="52" t="str">
        <f>IF($K761&lt;&gt;0,VLOOKUP($K761,DM_KM,5,0),"")</f>
        <v/>
      </c>
      <c r="K761" s="735"/>
      <c r="L761" s="735"/>
      <c r="M761" s="68"/>
      <c r="N761" s="739"/>
      <c r="O761" s="737"/>
      <c r="P761" s="751"/>
    </row>
    <row r="762" hidden="1">
      <c r="A762" s="1190"/>
      <c r="B762" s="52" t="str">
        <f t="shared" si="1"/>
        <v/>
      </c>
      <c r="C762" s="52" t="str">
        <f>IF(A762="","",VLOOKUP(A762,'THAM CHIẾU'!$A:$B,2,0))</f>
        <v/>
      </c>
      <c r="D762" s="52" t="str">
        <f>IF(E762&lt;&gt;0,VLOOKUP(E762,DM_DUAN,3,0),"")</f>
        <v/>
      </c>
      <c r="E762" s="735"/>
      <c r="F762" s="735"/>
      <c r="G762" s="735"/>
      <c r="H762" s="70"/>
      <c r="I762" s="52" t="str">
        <f>IF($K762&lt;&gt;0,VLOOKUP($K762,DM_KM,3,0),"")</f>
        <v/>
      </c>
      <c r="J762" s="52" t="str">
        <f>IF($K762&lt;&gt;0,VLOOKUP($K762,DM_KM,5,0),"")</f>
        <v/>
      </c>
      <c r="K762" s="735"/>
      <c r="L762" s="735"/>
      <c r="M762" s="68"/>
      <c r="N762" s="739"/>
      <c r="O762" s="737"/>
      <c r="P762" s="751"/>
    </row>
    <row r="763" hidden="1">
      <c r="A763" s="1190"/>
      <c r="B763" s="52" t="str">
        <f t="shared" si="1"/>
        <v/>
      </c>
      <c r="C763" s="52" t="str">
        <f>IF(A763="","",VLOOKUP(A763,'THAM CHIẾU'!$A:$B,2,0))</f>
        <v/>
      </c>
      <c r="D763" s="52" t="str">
        <f>IF(E763&lt;&gt;0,VLOOKUP(E763,DM_DUAN,3,0),"")</f>
        <v/>
      </c>
      <c r="E763" s="735"/>
      <c r="F763" s="735"/>
      <c r="G763" s="735"/>
      <c r="H763" s="70"/>
      <c r="I763" s="52" t="str">
        <f>IF($K763&lt;&gt;0,VLOOKUP($K763,DM_KM,3,0),"")</f>
        <v/>
      </c>
      <c r="J763" s="52" t="str">
        <f>IF($K763&lt;&gt;0,VLOOKUP($K763,DM_KM,5,0),"")</f>
        <v/>
      </c>
      <c r="K763" s="735"/>
      <c r="L763" s="735"/>
      <c r="M763" s="68"/>
      <c r="N763" s="739"/>
      <c r="O763" s="737"/>
      <c r="P763" s="751"/>
    </row>
    <row r="764" hidden="1">
      <c r="A764" s="1190"/>
      <c r="B764" s="52" t="str">
        <f t="shared" si="1"/>
        <v/>
      </c>
      <c r="C764" s="52" t="str">
        <f>IF(A764="","",VLOOKUP(A764,'THAM CHIẾU'!$A:$B,2,0))</f>
        <v/>
      </c>
      <c r="D764" s="52" t="str">
        <f>IF(E764&lt;&gt;0,VLOOKUP(E764,DM_DUAN,3,0),"")</f>
        <v/>
      </c>
      <c r="E764" s="735"/>
      <c r="F764" s="735"/>
      <c r="G764" s="735"/>
      <c r="H764" s="70"/>
      <c r="I764" s="52" t="str">
        <f>IF($K764&lt;&gt;0,VLOOKUP($K764,DM_KM,3,0),"")</f>
        <v/>
      </c>
      <c r="J764" s="52" t="str">
        <f>IF($K764&lt;&gt;0,VLOOKUP($K764,DM_KM,5,0),"")</f>
        <v/>
      </c>
      <c r="K764" s="735"/>
      <c r="L764" s="735"/>
      <c r="M764" s="68"/>
      <c r="N764" s="739"/>
      <c r="O764" s="737"/>
      <c r="P764" s="751"/>
    </row>
    <row r="765" hidden="1">
      <c r="A765" s="1190"/>
      <c r="B765" s="52" t="str">
        <f t="shared" si="1"/>
        <v/>
      </c>
      <c r="C765" s="52" t="str">
        <f>IF(A765="","",VLOOKUP(A765,'THAM CHIẾU'!$A:$B,2,0))</f>
        <v/>
      </c>
      <c r="D765" s="52" t="str">
        <f>IF(E765&lt;&gt;0,VLOOKUP(E765,DM_DUAN,3,0),"")</f>
        <v/>
      </c>
      <c r="E765" s="735"/>
      <c r="F765" s="735"/>
      <c r="G765" s="735"/>
      <c r="H765" s="70"/>
      <c r="I765" s="52" t="str">
        <f>IF($K765&lt;&gt;0,VLOOKUP($K765,DM_KM,3,0),"")</f>
        <v/>
      </c>
      <c r="J765" s="52" t="str">
        <f>IF($K765&lt;&gt;0,VLOOKUP($K765,DM_KM,5,0),"")</f>
        <v/>
      </c>
      <c r="K765" s="735"/>
      <c r="L765" s="735"/>
      <c r="M765" s="68"/>
      <c r="N765" s="739"/>
      <c r="O765" s="737"/>
      <c r="P765" s="751"/>
    </row>
    <row r="766" hidden="1">
      <c r="A766" s="1190"/>
      <c r="B766" s="52" t="str">
        <f t="shared" si="1"/>
        <v/>
      </c>
      <c r="C766" s="52" t="str">
        <f>IF(A766="","",VLOOKUP(A766,'THAM CHIẾU'!$A:$B,2,0))</f>
        <v/>
      </c>
      <c r="D766" s="52" t="str">
        <f>IF(E766&lt;&gt;0,VLOOKUP(E766,DM_DUAN,3,0),"")</f>
        <v/>
      </c>
      <c r="E766" s="735"/>
      <c r="F766" s="735"/>
      <c r="G766" s="735"/>
      <c r="H766" s="70"/>
      <c r="I766" s="52" t="str">
        <f>IF($K766&lt;&gt;0,VLOOKUP($K766,DM_KM,3,0),"")</f>
        <v/>
      </c>
      <c r="J766" s="52" t="str">
        <f>IF($K766&lt;&gt;0,VLOOKUP($K766,DM_KM,5,0),"")</f>
        <v/>
      </c>
      <c r="K766" s="735"/>
      <c r="L766" s="735"/>
      <c r="M766" s="68"/>
      <c r="N766" s="739"/>
      <c r="O766" s="737"/>
      <c r="P766" s="751"/>
    </row>
    <row r="767" hidden="1">
      <c r="A767" s="1190"/>
      <c r="B767" s="52" t="str">
        <f t="shared" si="1"/>
        <v/>
      </c>
      <c r="C767" s="52" t="str">
        <f>IF(A767="","",VLOOKUP(A767,'THAM CHIẾU'!$A:$B,2,0))</f>
        <v/>
      </c>
      <c r="D767" s="52" t="str">
        <f>IF(E767&lt;&gt;0,VLOOKUP(E767,DM_DUAN,3,0),"")</f>
        <v/>
      </c>
      <c r="E767" s="735"/>
      <c r="F767" s="735"/>
      <c r="G767" s="735"/>
      <c r="H767" s="70"/>
      <c r="I767" s="52" t="str">
        <f>IF($K767&lt;&gt;0,VLOOKUP($K767,DM_KM,3,0),"")</f>
        <v/>
      </c>
      <c r="J767" s="52" t="str">
        <f>IF($K767&lt;&gt;0,VLOOKUP($K767,DM_KM,5,0),"")</f>
        <v/>
      </c>
      <c r="K767" s="735"/>
      <c r="L767" s="735"/>
      <c r="M767" s="68"/>
      <c r="N767" s="739"/>
      <c r="O767" s="737"/>
      <c r="P767" s="751"/>
    </row>
    <row r="768" hidden="1">
      <c r="A768" s="1190"/>
      <c r="B768" s="52" t="str">
        <f t="shared" si="1"/>
        <v/>
      </c>
      <c r="C768" s="52" t="str">
        <f>IF(A768="","",VLOOKUP(A768,'THAM CHIẾU'!$A:$B,2,0))</f>
        <v/>
      </c>
      <c r="D768" s="52" t="str">
        <f>IF(E768&lt;&gt;0,VLOOKUP(E768,DM_DUAN,3,0),"")</f>
        <v/>
      </c>
      <c r="E768" s="735"/>
      <c r="F768" s="735"/>
      <c r="G768" s="735"/>
      <c r="H768" s="70"/>
      <c r="I768" s="52" t="str">
        <f>IF($K768&lt;&gt;0,VLOOKUP($K768,DM_KM,3,0),"")</f>
        <v/>
      </c>
      <c r="J768" s="52" t="str">
        <f>IF($K768&lt;&gt;0,VLOOKUP($K768,DM_KM,5,0),"")</f>
        <v/>
      </c>
      <c r="K768" s="735"/>
      <c r="L768" s="735"/>
      <c r="M768" s="68"/>
      <c r="N768" s="739"/>
      <c r="O768" s="737"/>
      <c r="P768" s="751"/>
    </row>
    <row r="769" hidden="1">
      <c r="A769" s="1190"/>
      <c r="B769" s="52" t="str">
        <f t="shared" si="1"/>
        <v/>
      </c>
      <c r="C769" s="52" t="str">
        <f>IF(A769="","",VLOOKUP(A769,'THAM CHIẾU'!$A:$B,2,0))</f>
        <v/>
      </c>
      <c r="D769" s="52" t="str">
        <f>IF(E769&lt;&gt;0,VLOOKUP(E769,DM_DUAN,3,0),"")</f>
        <v/>
      </c>
      <c r="E769" s="735"/>
      <c r="F769" s="735"/>
      <c r="G769" s="735"/>
      <c r="H769" s="70"/>
      <c r="I769" s="52" t="str">
        <f>IF($K769&lt;&gt;0,VLOOKUP($K769,DM_KM,3,0),"")</f>
        <v/>
      </c>
      <c r="J769" s="52" t="str">
        <f>IF($K769&lt;&gt;0,VLOOKUP($K769,DM_KM,5,0),"")</f>
        <v/>
      </c>
      <c r="K769" s="735"/>
      <c r="L769" s="735"/>
      <c r="M769" s="68"/>
      <c r="N769" s="739"/>
      <c r="O769" s="737"/>
      <c r="P769" s="751"/>
    </row>
    <row r="770" hidden="1">
      <c r="A770" s="1190"/>
      <c r="B770" s="52" t="str">
        <f t="shared" si="1"/>
        <v/>
      </c>
      <c r="C770" s="52" t="str">
        <f>IF(A770="","",VLOOKUP(A770,'THAM CHIẾU'!$A:$B,2,0))</f>
        <v/>
      </c>
      <c r="D770" s="52" t="str">
        <f>IF(E770&lt;&gt;0,VLOOKUP(E770,DM_DUAN,3,0),"")</f>
        <v/>
      </c>
      <c r="E770" s="735"/>
      <c r="F770" s="735"/>
      <c r="G770" s="735"/>
      <c r="H770" s="70"/>
      <c r="I770" s="52" t="str">
        <f>IF($K770&lt;&gt;0,VLOOKUP($K770,DM_KM,3,0),"")</f>
        <v/>
      </c>
      <c r="J770" s="52" t="str">
        <f>IF($K770&lt;&gt;0,VLOOKUP($K770,DM_KM,5,0),"")</f>
        <v/>
      </c>
      <c r="K770" s="735"/>
      <c r="L770" s="735"/>
      <c r="M770" s="68"/>
      <c r="N770" s="739"/>
      <c r="O770" s="737"/>
      <c r="P770" s="751"/>
    </row>
    <row r="771" hidden="1">
      <c r="A771" s="1190"/>
      <c r="B771" s="52" t="str">
        <f t="shared" si="1"/>
        <v/>
      </c>
      <c r="C771" s="52" t="str">
        <f>IF(A771="","",VLOOKUP(A771,'THAM CHIẾU'!$A:$B,2,0))</f>
        <v/>
      </c>
      <c r="D771" s="52" t="str">
        <f>IF(E771&lt;&gt;0,VLOOKUP(E771,DM_DUAN,3,0),"")</f>
        <v/>
      </c>
      <c r="E771" s="735"/>
      <c r="F771" s="735"/>
      <c r="G771" s="735"/>
      <c r="H771" s="70"/>
      <c r="I771" s="52" t="str">
        <f>IF($K771&lt;&gt;0,VLOOKUP($K771,DM_KM,3,0),"")</f>
        <v/>
      </c>
      <c r="J771" s="52" t="str">
        <f>IF($K771&lt;&gt;0,VLOOKUP($K771,DM_KM,5,0),"")</f>
        <v/>
      </c>
      <c r="K771" s="735"/>
      <c r="L771" s="735"/>
      <c r="M771" s="68"/>
      <c r="N771" s="739"/>
      <c r="O771" s="737"/>
      <c r="P771" s="751"/>
    </row>
    <row r="772" hidden="1">
      <c r="A772" s="1190"/>
      <c r="B772" s="52" t="str">
        <f t="shared" si="1"/>
        <v/>
      </c>
      <c r="C772" s="52" t="str">
        <f>IF(A772="","",VLOOKUP(A772,'THAM CHIẾU'!$A:$B,2,0))</f>
        <v/>
      </c>
      <c r="D772" s="52" t="str">
        <f>IF(E772&lt;&gt;0,VLOOKUP(E772,DM_DUAN,3,0),"")</f>
        <v/>
      </c>
      <c r="E772" s="735"/>
      <c r="F772" s="735"/>
      <c r="G772" s="735"/>
      <c r="H772" s="70"/>
      <c r="I772" s="52" t="str">
        <f>IF($K772&lt;&gt;0,VLOOKUP($K772,DM_KM,3,0),"")</f>
        <v/>
      </c>
      <c r="J772" s="52" t="str">
        <f>IF($K772&lt;&gt;0,VLOOKUP($K772,DM_KM,5,0),"")</f>
        <v/>
      </c>
      <c r="K772" s="735"/>
      <c r="L772" s="735"/>
      <c r="M772" s="68"/>
      <c r="N772" s="739"/>
      <c r="O772" s="737"/>
      <c r="P772" s="751"/>
    </row>
    <row r="773" hidden="1">
      <c r="A773" s="1190"/>
      <c r="B773" s="52" t="str">
        <f t="shared" si="1"/>
        <v/>
      </c>
      <c r="C773" s="52" t="str">
        <f>IF(A773="","",VLOOKUP(A773,'THAM CHIẾU'!$A:$B,2,0))</f>
        <v/>
      </c>
      <c r="D773" s="52" t="str">
        <f>IF(E773&lt;&gt;0,VLOOKUP(E773,DM_DUAN,3,0),"")</f>
        <v/>
      </c>
      <c r="E773" s="735"/>
      <c r="F773" s="735"/>
      <c r="G773" s="735"/>
      <c r="H773" s="70"/>
      <c r="I773" s="52" t="str">
        <f>IF($K773&lt;&gt;0,VLOOKUP($K773,DM_KM,3,0),"")</f>
        <v/>
      </c>
      <c r="J773" s="52" t="str">
        <f>IF($K773&lt;&gt;0,VLOOKUP($K773,DM_KM,5,0),"")</f>
        <v/>
      </c>
      <c r="K773" s="735"/>
      <c r="L773" s="735"/>
      <c r="M773" s="68"/>
      <c r="N773" s="739"/>
      <c r="O773" s="737"/>
      <c r="P773" s="751"/>
    </row>
    <row r="774" hidden="1">
      <c r="A774" s="1190"/>
      <c r="B774" s="52" t="str">
        <f t="shared" si="1"/>
        <v/>
      </c>
      <c r="C774" s="52" t="str">
        <f>IF(A774="","",VLOOKUP(A774,'THAM CHIẾU'!$A:$B,2,0))</f>
        <v/>
      </c>
      <c r="D774" s="52" t="str">
        <f>IF(E774&lt;&gt;0,VLOOKUP(E774,DM_DUAN,3,0),"")</f>
        <v/>
      </c>
      <c r="E774" s="735"/>
      <c r="F774" s="735"/>
      <c r="G774" s="735"/>
      <c r="H774" s="70"/>
      <c r="I774" s="52" t="str">
        <f>IF($K774&lt;&gt;0,VLOOKUP($K774,DM_KM,3,0),"")</f>
        <v/>
      </c>
      <c r="J774" s="52" t="str">
        <f>IF($K774&lt;&gt;0,VLOOKUP($K774,DM_KM,5,0),"")</f>
        <v/>
      </c>
      <c r="K774" s="735"/>
      <c r="L774" s="735"/>
      <c r="M774" s="68"/>
      <c r="N774" s="739"/>
      <c r="O774" s="737"/>
      <c r="P774" s="751"/>
    </row>
    <row r="775" hidden="1">
      <c r="A775" s="1190"/>
      <c r="B775" s="52" t="str">
        <f t="shared" si="1"/>
        <v/>
      </c>
      <c r="C775" s="52" t="str">
        <f>IF(A775="","",VLOOKUP(A775,'THAM CHIẾU'!$A:$B,2,0))</f>
        <v/>
      </c>
      <c r="D775" s="52" t="str">
        <f>IF(E775&lt;&gt;0,VLOOKUP(E775,DM_DUAN,3,0),"")</f>
        <v/>
      </c>
      <c r="E775" s="735"/>
      <c r="F775" s="735"/>
      <c r="G775" s="735"/>
      <c r="H775" s="70"/>
      <c r="I775" s="52" t="str">
        <f>IF($K775&lt;&gt;0,VLOOKUP($K775,DM_KM,3,0),"")</f>
        <v/>
      </c>
      <c r="J775" s="52" t="str">
        <f>IF($K775&lt;&gt;0,VLOOKUP($K775,DM_KM,5,0),"")</f>
        <v/>
      </c>
      <c r="K775" s="735"/>
      <c r="L775" s="735"/>
      <c r="M775" s="68"/>
      <c r="N775" s="739"/>
      <c r="O775" s="737"/>
      <c r="P775" s="751"/>
    </row>
    <row r="776" hidden="1">
      <c r="A776" s="1190"/>
      <c r="B776" s="52" t="str">
        <f t="shared" si="1"/>
        <v/>
      </c>
      <c r="C776" s="52" t="str">
        <f>IF(A776="","",VLOOKUP(A776,'THAM CHIẾU'!$A:$B,2,0))</f>
        <v/>
      </c>
      <c r="D776" s="52" t="str">
        <f>IF(E776&lt;&gt;0,VLOOKUP(E776,DM_DUAN,3,0),"")</f>
        <v/>
      </c>
      <c r="E776" s="735"/>
      <c r="F776" s="735"/>
      <c r="G776" s="735"/>
      <c r="H776" s="70"/>
      <c r="I776" s="52" t="str">
        <f>IF($K776&lt;&gt;0,VLOOKUP($K776,DM_KM,3,0),"")</f>
        <v/>
      </c>
      <c r="J776" s="52" t="str">
        <f>IF($K776&lt;&gt;0,VLOOKUP($K776,DM_KM,5,0),"")</f>
        <v/>
      </c>
      <c r="K776" s="735"/>
      <c r="L776" s="735"/>
      <c r="M776" s="68"/>
      <c r="N776" s="739"/>
      <c r="O776" s="737"/>
      <c r="P776" s="751"/>
    </row>
    <row r="777" hidden="1">
      <c r="A777" s="1190"/>
      <c r="B777" s="52" t="str">
        <f t="shared" si="1"/>
        <v/>
      </c>
      <c r="C777" s="52" t="str">
        <f>IF(A777="","",VLOOKUP(A777,'THAM CHIẾU'!$A:$B,2,0))</f>
        <v/>
      </c>
      <c r="D777" s="52" t="str">
        <f>IF(E777&lt;&gt;0,VLOOKUP(E777,DM_DUAN,3,0),"")</f>
        <v/>
      </c>
      <c r="E777" s="735"/>
      <c r="F777" s="735"/>
      <c r="G777" s="735"/>
      <c r="H777" s="70"/>
      <c r="I777" s="52" t="str">
        <f>IF($K777&lt;&gt;0,VLOOKUP($K777,DM_KM,3,0),"")</f>
        <v/>
      </c>
      <c r="J777" s="52" t="str">
        <f>IF($K777&lt;&gt;0,VLOOKUP($K777,DM_KM,5,0),"")</f>
        <v/>
      </c>
      <c r="K777" s="735"/>
      <c r="L777" s="735"/>
      <c r="M777" s="68"/>
      <c r="N777" s="739"/>
      <c r="O777" s="737"/>
      <c r="P777" s="751"/>
    </row>
    <row r="778" hidden="1">
      <c r="A778" s="1190"/>
      <c r="B778" s="52" t="str">
        <f t="shared" si="1"/>
        <v/>
      </c>
      <c r="C778" s="52" t="str">
        <f>IF(A778="","",VLOOKUP(A778,'THAM CHIẾU'!$A:$B,2,0))</f>
        <v/>
      </c>
      <c r="D778" s="52" t="str">
        <f>IF(E778&lt;&gt;0,VLOOKUP(E778,DM_DUAN,3,0),"")</f>
        <v/>
      </c>
      <c r="E778" s="735"/>
      <c r="F778" s="735"/>
      <c r="G778" s="735"/>
      <c r="H778" s="70"/>
      <c r="I778" s="52" t="str">
        <f>IF($K778&lt;&gt;0,VLOOKUP($K778,DM_KM,3,0),"")</f>
        <v/>
      </c>
      <c r="J778" s="52" t="str">
        <f>IF($K778&lt;&gt;0,VLOOKUP($K778,DM_KM,5,0),"")</f>
        <v/>
      </c>
      <c r="K778" s="735"/>
      <c r="L778" s="735"/>
      <c r="M778" s="68"/>
      <c r="N778" s="739"/>
      <c r="O778" s="737"/>
      <c r="P778" s="751"/>
    </row>
    <row r="779" hidden="1">
      <c r="A779" s="1190"/>
      <c r="B779" s="52" t="str">
        <f t="shared" si="1"/>
        <v/>
      </c>
      <c r="C779" s="52" t="str">
        <f>IF(A779="","",VLOOKUP(A779,'THAM CHIẾU'!$A:$B,2,0))</f>
        <v/>
      </c>
      <c r="D779" s="52" t="str">
        <f>IF(E779&lt;&gt;0,VLOOKUP(E779,DM_DUAN,3,0),"")</f>
        <v/>
      </c>
      <c r="E779" s="735"/>
      <c r="F779" s="735"/>
      <c r="G779" s="735"/>
      <c r="H779" s="70"/>
      <c r="I779" s="52" t="str">
        <f>IF($K779&lt;&gt;0,VLOOKUP($K779,DM_KM,3,0),"")</f>
        <v/>
      </c>
      <c r="J779" s="52" t="str">
        <f>IF($K779&lt;&gt;0,VLOOKUP($K779,DM_KM,5,0),"")</f>
        <v/>
      </c>
      <c r="K779" s="735"/>
      <c r="L779" s="735"/>
      <c r="M779" s="68"/>
      <c r="N779" s="739"/>
      <c r="O779" s="737"/>
      <c r="P779" s="751"/>
    </row>
    <row r="780" hidden="1">
      <c r="A780" s="1190"/>
      <c r="B780" s="52" t="str">
        <f t="shared" si="1"/>
        <v/>
      </c>
      <c r="C780" s="52" t="str">
        <f>IF(A780="","",VLOOKUP(A780,'THAM CHIẾU'!$A:$B,2,0))</f>
        <v/>
      </c>
      <c r="D780" s="52" t="str">
        <f>IF(E780&lt;&gt;0,VLOOKUP(E780,DM_DUAN,3,0),"")</f>
        <v/>
      </c>
      <c r="E780" s="735"/>
      <c r="F780" s="735"/>
      <c r="G780" s="735"/>
      <c r="H780" s="70"/>
      <c r="I780" s="52" t="str">
        <f>IF($K780&lt;&gt;0,VLOOKUP($K780,DM_KM,3,0),"")</f>
        <v/>
      </c>
      <c r="J780" s="52" t="str">
        <f>IF($K780&lt;&gt;0,VLOOKUP($K780,DM_KM,5,0),"")</f>
        <v/>
      </c>
      <c r="K780" s="735"/>
      <c r="L780" s="735"/>
      <c r="M780" s="68"/>
      <c r="N780" s="739"/>
      <c r="O780" s="737"/>
      <c r="P780" s="751"/>
    </row>
    <row r="781" hidden="1">
      <c r="A781" s="1190"/>
      <c r="B781" s="52" t="str">
        <f t="shared" si="1"/>
        <v/>
      </c>
      <c r="C781" s="52" t="str">
        <f>IF(A781="","",VLOOKUP(A781,'THAM CHIẾU'!$A:$B,2,0))</f>
        <v/>
      </c>
      <c r="D781" s="52" t="str">
        <f>IF(E781&lt;&gt;0,VLOOKUP(E781,DM_DUAN,3,0),"")</f>
        <v/>
      </c>
      <c r="E781" s="735"/>
      <c r="F781" s="735"/>
      <c r="G781" s="735"/>
      <c r="H781" s="70"/>
      <c r="I781" s="52" t="str">
        <f>IF($K781&lt;&gt;0,VLOOKUP($K781,DM_KM,3,0),"")</f>
        <v/>
      </c>
      <c r="J781" s="52" t="str">
        <f>IF($K781&lt;&gt;0,VLOOKUP($K781,DM_KM,5,0),"")</f>
        <v/>
      </c>
      <c r="K781" s="735"/>
      <c r="L781" s="735"/>
      <c r="M781" s="68"/>
      <c r="N781" s="739"/>
      <c r="O781" s="737"/>
      <c r="P781" s="751"/>
    </row>
    <row r="782" hidden="1">
      <c r="A782" s="1190"/>
      <c r="B782" s="52" t="str">
        <f t="shared" si="1"/>
        <v/>
      </c>
      <c r="C782" s="52" t="str">
        <f>IF(A782="","",VLOOKUP(A782,'THAM CHIẾU'!$A:$B,2,0))</f>
        <v/>
      </c>
      <c r="D782" s="52" t="str">
        <f>IF(E782&lt;&gt;0,VLOOKUP(E782,DM_DUAN,3,0),"")</f>
        <v/>
      </c>
      <c r="E782" s="735"/>
      <c r="F782" s="735"/>
      <c r="G782" s="735"/>
      <c r="H782" s="70"/>
      <c r="I782" s="52" t="str">
        <f>IF($K782&lt;&gt;0,VLOOKUP($K782,DM_KM,3,0),"")</f>
        <v/>
      </c>
      <c r="J782" s="52" t="str">
        <f>IF($K782&lt;&gt;0,VLOOKUP($K782,DM_KM,5,0),"")</f>
        <v/>
      </c>
      <c r="K782" s="735"/>
      <c r="L782" s="735"/>
      <c r="M782" s="68"/>
      <c r="N782" s="739"/>
      <c r="O782" s="737"/>
      <c r="P782" s="751"/>
    </row>
    <row r="783" hidden="1">
      <c r="A783" s="1190"/>
      <c r="B783" s="52" t="str">
        <f t="shared" si="1"/>
        <v/>
      </c>
      <c r="C783" s="52" t="str">
        <f>IF(A783="","",VLOOKUP(A783,'THAM CHIẾU'!$A:$B,2,0))</f>
        <v/>
      </c>
      <c r="D783" s="52" t="str">
        <f>IF(E783&lt;&gt;0,VLOOKUP(E783,DM_DUAN,3,0),"")</f>
        <v/>
      </c>
      <c r="E783" s="735"/>
      <c r="F783" s="735"/>
      <c r="G783" s="735"/>
      <c r="H783" s="70"/>
      <c r="I783" s="52" t="str">
        <f>IF($K783&lt;&gt;0,VLOOKUP($K783,DM_KM,3,0),"")</f>
        <v/>
      </c>
      <c r="J783" s="52" t="str">
        <f>IF($K783&lt;&gt;0,VLOOKUP($K783,DM_KM,5,0),"")</f>
        <v/>
      </c>
      <c r="K783" s="735"/>
      <c r="L783" s="735"/>
      <c r="M783" s="68"/>
      <c r="N783" s="739"/>
      <c r="O783" s="737"/>
      <c r="P783" s="751"/>
    </row>
    <row r="784" hidden="1">
      <c r="A784" s="1190"/>
      <c r="B784" s="52" t="str">
        <f t="shared" si="1"/>
        <v/>
      </c>
      <c r="C784" s="52" t="str">
        <f>IF(A784="","",VLOOKUP(A784,'THAM CHIẾU'!$A:$B,2,0))</f>
        <v/>
      </c>
      <c r="D784" s="52" t="str">
        <f>IF(E784&lt;&gt;0,VLOOKUP(E784,DM_DUAN,3,0),"")</f>
        <v/>
      </c>
      <c r="E784" s="735"/>
      <c r="F784" s="735"/>
      <c r="G784" s="735"/>
      <c r="H784" s="70"/>
      <c r="I784" s="52" t="str">
        <f>IF($K784&lt;&gt;0,VLOOKUP($K784,DM_KM,3,0),"")</f>
        <v/>
      </c>
      <c r="J784" s="52" t="str">
        <f>IF($K784&lt;&gt;0,VLOOKUP($K784,DM_KM,5,0),"")</f>
        <v/>
      </c>
      <c r="K784" s="735"/>
      <c r="L784" s="735"/>
      <c r="M784" s="68"/>
      <c r="N784" s="739"/>
      <c r="O784" s="737"/>
      <c r="P784" s="751"/>
    </row>
    <row r="785" hidden="1">
      <c r="A785" s="1190"/>
      <c r="B785" s="52" t="str">
        <f t="shared" si="1"/>
        <v/>
      </c>
      <c r="C785" s="52" t="str">
        <f>IF(A785="","",VLOOKUP(A785,'THAM CHIẾU'!$A:$B,2,0))</f>
        <v/>
      </c>
      <c r="D785" s="52" t="str">
        <f>IF(E785&lt;&gt;0,VLOOKUP(E785,DM_DUAN,3,0),"")</f>
        <v/>
      </c>
      <c r="E785" s="735"/>
      <c r="F785" s="735"/>
      <c r="G785" s="735"/>
      <c r="H785" s="70"/>
      <c r="I785" s="52" t="str">
        <f>IF($K785&lt;&gt;0,VLOOKUP($K785,DM_KM,3,0),"")</f>
        <v/>
      </c>
      <c r="J785" s="52" t="str">
        <f>IF($K785&lt;&gt;0,VLOOKUP($K785,DM_KM,5,0),"")</f>
        <v/>
      </c>
      <c r="K785" s="735"/>
      <c r="L785" s="735"/>
      <c r="M785" s="68"/>
      <c r="N785" s="739"/>
      <c r="O785" s="737"/>
      <c r="P785" s="751"/>
    </row>
    <row r="786" hidden="1">
      <c r="A786" s="1190"/>
      <c r="B786" s="52" t="str">
        <f t="shared" si="1"/>
        <v/>
      </c>
      <c r="C786" s="52" t="str">
        <f>IF(A786="","",VLOOKUP(A786,'THAM CHIẾU'!$A:$B,2,0))</f>
        <v/>
      </c>
      <c r="D786" s="52" t="str">
        <f>IF(E786&lt;&gt;0,VLOOKUP(E786,DM_DUAN,3,0),"")</f>
        <v/>
      </c>
      <c r="E786" s="735"/>
      <c r="F786" s="735"/>
      <c r="G786" s="735"/>
      <c r="H786" s="70"/>
      <c r="I786" s="52" t="str">
        <f>IF($K786&lt;&gt;0,VLOOKUP($K786,DM_KM,3,0),"")</f>
        <v/>
      </c>
      <c r="J786" s="52" t="str">
        <f>IF($K786&lt;&gt;0,VLOOKUP($K786,DM_KM,5,0),"")</f>
        <v/>
      </c>
      <c r="K786" s="735"/>
      <c r="L786" s="735"/>
      <c r="M786" s="68"/>
      <c r="N786" s="739"/>
      <c r="O786" s="737"/>
      <c r="P786" s="751"/>
    </row>
    <row r="787" hidden="1">
      <c r="A787" s="1190"/>
      <c r="B787" s="52" t="str">
        <f t="shared" si="1"/>
        <v/>
      </c>
      <c r="C787" s="52" t="str">
        <f>IF(A787="","",VLOOKUP(A787,'THAM CHIẾU'!$A:$B,2,0))</f>
        <v/>
      </c>
      <c r="D787" s="52" t="str">
        <f>IF(E787&lt;&gt;0,VLOOKUP(E787,DM_DUAN,3,0),"")</f>
        <v/>
      </c>
      <c r="E787" s="735"/>
      <c r="F787" s="735"/>
      <c r="G787" s="735"/>
      <c r="H787" s="70"/>
      <c r="I787" s="52" t="str">
        <f>IF($K787&lt;&gt;0,VLOOKUP($K787,DM_KM,3,0),"")</f>
        <v/>
      </c>
      <c r="J787" s="52" t="str">
        <f>IF($K787&lt;&gt;0,VLOOKUP($K787,DM_KM,5,0),"")</f>
        <v/>
      </c>
      <c r="K787" s="735"/>
      <c r="L787" s="735"/>
      <c r="M787" s="68"/>
      <c r="N787" s="739"/>
      <c r="O787" s="737"/>
      <c r="P787" s="751"/>
    </row>
    <row r="788" hidden="1">
      <c r="A788" s="1190"/>
      <c r="B788" s="52" t="str">
        <f t="shared" si="1"/>
        <v/>
      </c>
      <c r="C788" s="52" t="str">
        <f>IF(A788="","",VLOOKUP(A788,'THAM CHIẾU'!$A:$B,2,0))</f>
        <v/>
      </c>
      <c r="D788" s="52" t="str">
        <f>IF(E788&lt;&gt;0,VLOOKUP(E788,DM_DUAN,3,0),"")</f>
        <v/>
      </c>
      <c r="E788" s="735"/>
      <c r="F788" s="735"/>
      <c r="G788" s="735"/>
      <c r="H788" s="70"/>
      <c r="I788" s="52" t="str">
        <f>IF($K788&lt;&gt;0,VLOOKUP($K788,DM_KM,3,0),"")</f>
        <v/>
      </c>
      <c r="J788" s="52" t="str">
        <f>IF($K788&lt;&gt;0,VLOOKUP($K788,DM_KM,5,0),"")</f>
        <v/>
      </c>
      <c r="K788" s="735"/>
      <c r="L788" s="735"/>
      <c r="M788" s="68"/>
      <c r="N788" s="739"/>
      <c r="O788" s="737"/>
      <c r="P788" s="751"/>
    </row>
    <row r="789" hidden="1">
      <c r="A789" s="1190"/>
      <c r="B789" s="52" t="str">
        <f t="shared" si="1"/>
        <v/>
      </c>
      <c r="C789" s="52" t="str">
        <f>IF(A789="","",VLOOKUP(A789,'THAM CHIẾU'!$A:$B,2,0))</f>
        <v/>
      </c>
      <c r="D789" s="52" t="str">
        <f>IF(E789&lt;&gt;0,VLOOKUP(E789,DM_DUAN,3,0),"")</f>
        <v/>
      </c>
      <c r="E789" s="735"/>
      <c r="F789" s="735"/>
      <c r="G789" s="735"/>
      <c r="H789" s="70"/>
      <c r="I789" s="52" t="str">
        <f>IF($K789&lt;&gt;0,VLOOKUP($K789,DM_KM,3,0),"")</f>
        <v/>
      </c>
      <c r="J789" s="52" t="str">
        <f>IF($K789&lt;&gt;0,VLOOKUP($K789,DM_KM,5,0),"")</f>
        <v/>
      </c>
      <c r="K789" s="735"/>
      <c r="L789" s="735"/>
      <c r="M789" s="68"/>
      <c r="N789" s="739"/>
      <c r="O789" s="737"/>
      <c r="P789" s="751"/>
    </row>
    <row r="790" hidden="1">
      <c r="A790" s="1190"/>
      <c r="B790" s="52" t="str">
        <f t="shared" si="1"/>
        <v/>
      </c>
      <c r="C790" s="52" t="str">
        <f>IF(A790="","",VLOOKUP(A790,'THAM CHIẾU'!$A:$B,2,0))</f>
        <v/>
      </c>
      <c r="D790" s="52" t="str">
        <f>IF(E790&lt;&gt;0,VLOOKUP(E790,DM_DUAN,3,0),"")</f>
        <v/>
      </c>
      <c r="E790" s="735"/>
      <c r="F790" s="735"/>
      <c r="G790" s="735"/>
      <c r="H790" s="70"/>
      <c r="I790" s="52" t="str">
        <f>IF($K790&lt;&gt;0,VLOOKUP($K790,DM_KM,3,0),"")</f>
        <v/>
      </c>
      <c r="J790" s="52" t="str">
        <f>IF($K790&lt;&gt;0,VLOOKUP($K790,DM_KM,5,0),"")</f>
        <v/>
      </c>
      <c r="K790" s="735"/>
      <c r="L790" s="735"/>
      <c r="M790" s="68"/>
      <c r="N790" s="739"/>
      <c r="O790" s="737"/>
      <c r="P790" s="751"/>
    </row>
    <row r="791" hidden="1">
      <c r="A791" s="1190"/>
      <c r="B791" s="52" t="str">
        <f t="shared" si="1"/>
        <v/>
      </c>
      <c r="C791" s="52" t="str">
        <f>IF(A791="","",VLOOKUP(A791,'THAM CHIẾU'!$A:$B,2,0))</f>
        <v/>
      </c>
      <c r="D791" s="52" t="str">
        <f>IF(E791&lt;&gt;0,VLOOKUP(E791,DM_DUAN,3,0),"")</f>
        <v/>
      </c>
      <c r="E791" s="735"/>
      <c r="F791" s="735"/>
      <c r="G791" s="735"/>
      <c r="H791" s="70"/>
      <c r="I791" s="52" t="str">
        <f>IF($K791&lt;&gt;0,VLOOKUP($K791,DM_KM,3,0),"")</f>
        <v/>
      </c>
      <c r="J791" s="52" t="str">
        <f>IF($K791&lt;&gt;0,VLOOKUP($K791,DM_KM,5,0),"")</f>
        <v/>
      </c>
      <c r="K791" s="735"/>
      <c r="L791" s="735"/>
      <c r="M791" s="68"/>
      <c r="N791" s="739"/>
      <c r="O791" s="737"/>
      <c r="P791" s="751"/>
    </row>
    <row r="792" hidden="1">
      <c r="A792" s="1190"/>
      <c r="B792" s="52" t="str">
        <f t="shared" si="1"/>
        <v/>
      </c>
      <c r="C792" s="52" t="str">
        <f>IF(A792="","",VLOOKUP(A792,'THAM CHIẾU'!$A:$B,2,0))</f>
        <v/>
      </c>
      <c r="D792" s="52" t="str">
        <f>IF(E792&lt;&gt;0,VLOOKUP(E792,DM_DUAN,3,0),"")</f>
        <v/>
      </c>
      <c r="E792" s="735"/>
      <c r="F792" s="735"/>
      <c r="G792" s="735"/>
      <c r="H792" s="70"/>
      <c r="I792" s="52" t="str">
        <f>IF($K792&lt;&gt;0,VLOOKUP($K792,DM_KM,3,0),"")</f>
        <v/>
      </c>
      <c r="J792" s="52" t="str">
        <f>IF($K792&lt;&gt;0,VLOOKUP($K792,DM_KM,5,0),"")</f>
        <v/>
      </c>
      <c r="K792" s="735"/>
      <c r="L792" s="735"/>
      <c r="M792" s="68"/>
      <c r="N792" s="739"/>
      <c r="O792" s="737"/>
      <c r="P792" s="751"/>
    </row>
    <row r="793" hidden="1">
      <c r="A793" s="1190"/>
      <c r="B793" s="52" t="str">
        <f t="shared" si="1"/>
        <v/>
      </c>
      <c r="C793" s="52" t="str">
        <f>IF(A793="","",VLOOKUP(A793,'THAM CHIẾU'!$A:$B,2,0))</f>
        <v/>
      </c>
      <c r="D793" s="52" t="str">
        <f>IF(E793&lt;&gt;0,VLOOKUP(E793,DM_DUAN,3,0),"")</f>
        <v/>
      </c>
      <c r="E793" s="735"/>
      <c r="F793" s="735"/>
      <c r="G793" s="735"/>
      <c r="H793" s="70"/>
      <c r="I793" s="52" t="str">
        <f>IF($K793&lt;&gt;0,VLOOKUP($K793,DM_KM,3,0),"")</f>
        <v/>
      </c>
      <c r="J793" s="52" t="str">
        <f>IF($K793&lt;&gt;0,VLOOKUP($K793,DM_KM,5,0),"")</f>
        <v/>
      </c>
      <c r="K793" s="735"/>
      <c r="L793" s="735"/>
      <c r="M793" s="68"/>
      <c r="N793" s="739"/>
      <c r="O793" s="737"/>
      <c r="P793" s="751"/>
    </row>
    <row r="794" hidden="1">
      <c r="A794" s="1190"/>
      <c r="B794" s="52" t="str">
        <f t="shared" si="1"/>
        <v/>
      </c>
      <c r="C794" s="52" t="str">
        <f>IF(A794="","",VLOOKUP(A794,'THAM CHIẾU'!$A:$B,2,0))</f>
        <v/>
      </c>
      <c r="D794" s="52" t="str">
        <f>IF(E794&lt;&gt;0,VLOOKUP(E794,DM_DUAN,3,0),"")</f>
        <v/>
      </c>
      <c r="E794" s="735"/>
      <c r="F794" s="735"/>
      <c r="G794" s="735"/>
      <c r="H794" s="70"/>
      <c r="I794" s="52" t="str">
        <f>IF($K794&lt;&gt;0,VLOOKUP($K794,DM_KM,3,0),"")</f>
        <v/>
      </c>
      <c r="J794" s="52" t="str">
        <f>IF($K794&lt;&gt;0,VLOOKUP($K794,DM_KM,5,0),"")</f>
        <v/>
      </c>
      <c r="K794" s="735"/>
      <c r="L794" s="735"/>
      <c r="M794" s="68"/>
      <c r="N794" s="739"/>
      <c r="O794" s="737"/>
      <c r="P794" s="751"/>
    </row>
    <row r="795" hidden="1">
      <c r="A795" s="1190"/>
      <c r="B795" s="52" t="str">
        <f t="shared" si="1"/>
        <v/>
      </c>
      <c r="C795" s="52" t="str">
        <f>IF(A795="","",VLOOKUP(A795,'THAM CHIẾU'!$A:$B,2,0))</f>
        <v/>
      </c>
      <c r="D795" s="52" t="str">
        <f>IF(E795&lt;&gt;0,VLOOKUP(E795,DM_DUAN,3,0),"")</f>
        <v/>
      </c>
      <c r="E795" s="735"/>
      <c r="F795" s="735"/>
      <c r="G795" s="735"/>
      <c r="H795" s="70"/>
      <c r="I795" s="52" t="str">
        <f>IF($K795&lt;&gt;0,VLOOKUP($K795,DM_KM,3,0),"")</f>
        <v/>
      </c>
      <c r="J795" s="52" t="str">
        <f>IF($K795&lt;&gt;0,VLOOKUP($K795,DM_KM,5,0),"")</f>
        <v/>
      </c>
      <c r="K795" s="735"/>
      <c r="L795" s="735"/>
      <c r="M795" s="68"/>
      <c r="N795" s="739"/>
      <c r="O795" s="737"/>
      <c r="P795" s="751"/>
    </row>
    <row r="796" hidden="1">
      <c r="A796" s="1190"/>
      <c r="B796" s="52" t="str">
        <f t="shared" si="1"/>
        <v/>
      </c>
      <c r="C796" s="52" t="str">
        <f>IF(A796="","",VLOOKUP(A796,'THAM CHIẾU'!$A:$B,2,0))</f>
        <v/>
      </c>
      <c r="D796" s="52" t="str">
        <f>IF(E796&lt;&gt;0,VLOOKUP(E796,DM_DUAN,3,0),"")</f>
        <v/>
      </c>
      <c r="E796" s="735"/>
      <c r="F796" s="735"/>
      <c r="G796" s="735"/>
      <c r="H796" s="70"/>
      <c r="I796" s="52" t="str">
        <f>IF($K796&lt;&gt;0,VLOOKUP($K796,DM_KM,3,0),"")</f>
        <v/>
      </c>
      <c r="J796" s="52" t="str">
        <f>IF($K796&lt;&gt;0,VLOOKUP($K796,DM_KM,5,0),"")</f>
        <v/>
      </c>
      <c r="K796" s="735"/>
      <c r="L796" s="735"/>
      <c r="M796" s="68"/>
      <c r="N796" s="739"/>
      <c r="O796" s="737"/>
      <c r="P796" s="751"/>
    </row>
    <row r="797" hidden="1">
      <c r="A797" s="1190"/>
      <c r="B797" s="52" t="str">
        <f t="shared" si="1"/>
        <v/>
      </c>
      <c r="C797" s="52" t="str">
        <f>IF(A797="","",VLOOKUP(A797,'THAM CHIẾU'!$A:$B,2,0))</f>
        <v/>
      </c>
      <c r="D797" s="52" t="str">
        <f>IF(E797&lt;&gt;0,VLOOKUP(E797,DM_DUAN,3,0),"")</f>
        <v/>
      </c>
      <c r="E797" s="735"/>
      <c r="F797" s="735"/>
      <c r="G797" s="735"/>
      <c r="H797" s="70"/>
      <c r="I797" s="52" t="str">
        <f>IF($K797&lt;&gt;0,VLOOKUP($K797,DM_KM,3,0),"")</f>
        <v/>
      </c>
      <c r="J797" s="52" t="str">
        <f>IF($K797&lt;&gt;0,VLOOKUP($K797,DM_KM,5,0),"")</f>
        <v/>
      </c>
      <c r="K797" s="735"/>
      <c r="L797" s="735"/>
      <c r="M797" s="68"/>
      <c r="N797" s="739"/>
      <c r="O797" s="737"/>
      <c r="P797" s="751"/>
    </row>
    <row r="798" hidden="1">
      <c r="A798" s="1190"/>
      <c r="B798" s="52" t="str">
        <f t="shared" si="1"/>
        <v/>
      </c>
      <c r="C798" s="52" t="str">
        <f>IF(A798="","",VLOOKUP(A798,'THAM CHIẾU'!$A:$B,2,0))</f>
        <v/>
      </c>
      <c r="D798" s="52" t="str">
        <f>IF(E798&lt;&gt;0,VLOOKUP(E798,DM_DUAN,3,0),"")</f>
        <v/>
      </c>
      <c r="E798" s="735"/>
      <c r="F798" s="735"/>
      <c r="G798" s="735"/>
      <c r="H798" s="70"/>
      <c r="I798" s="52" t="str">
        <f>IF($K798&lt;&gt;0,VLOOKUP($K798,DM_KM,3,0),"")</f>
        <v/>
      </c>
      <c r="J798" s="52" t="str">
        <f>IF($K798&lt;&gt;0,VLOOKUP($K798,DM_KM,5,0),"")</f>
        <v/>
      </c>
      <c r="K798" s="735"/>
      <c r="L798" s="735"/>
      <c r="M798" s="68"/>
      <c r="N798" s="739"/>
      <c r="O798" s="737"/>
      <c r="P798" s="751"/>
    </row>
    <row r="799" hidden="1">
      <c r="A799" s="1190"/>
      <c r="B799" s="52" t="str">
        <f t="shared" si="1"/>
        <v/>
      </c>
      <c r="C799" s="52" t="str">
        <f>IF(A799="","",VLOOKUP(A799,'THAM CHIẾU'!$A:$B,2,0))</f>
        <v/>
      </c>
      <c r="D799" s="52" t="str">
        <f>IF(E799&lt;&gt;0,VLOOKUP(E799,DM_DUAN,3,0),"")</f>
        <v/>
      </c>
      <c r="E799" s="735"/>
      <c r="F799" s="735"/>
      <c r="G799" s="735"/>
      <c r="H799" s="70"/>
      <c r="I799" s="52" t="str">
        <f>IF($K799&lt;&gt;0,VLOOKUP($K799,DM_KM,3,0),"")</f>
        <v/>
      </c>
      <c r="J799" s="52" t="str">
        <f>IF($K799&lt;&gt;0,VLOOKUP($K799,DM_KM,5,0),"")</f>
        <v/>
      </c>
      <c r="K799" s="735"/>
      <c r="L799" s="735"/>
      <c r="M799" s="68"/>
      <c r="N799" s="739"/>
      <c r="O799" s="737"/>
      <c r="P799" s="751"/>
    </row>
    <row r="800" hidden="1">
      <c r="A800" s="1190"/>
      <c r="B800" s="52" t="str">
        <f t="shared" si="1"/>
        <v/>
      </c>
      <c r="C800" s="52" t="str">
        <f>IF(A800="","",VLOOKUP(A800,'THAM CHIẾU'!$A:$B,2,0))</f>
        <v/>
      </c>
      <c r="D800" s="52" t="str">
        <f>IF(E800&lt;&gt;0,VLOOKUP(E800,DM_DUAN,3,0),"")</f>
        <v/>
      </c>
      <c r="E800" s="735"/>
      <c r="F800" s="735"/>
      <c r="G800" s="735"/>
      <c r="H800" s="70"/>
      <c r="I800" s="52" t="str">
        <f>IF($K800&lt;&gt;0,VLOOKUP($K800,DM_KM,3,0),"")</f>
        <v/>
      </c>
      <c r="J800" s="52" t="str">
        <f>IF($K800&lt;&gt;0,VLOOKUP($K800,DM_KM,5,0),"")</f>
        <v/>
      </c>
      <c r="K800" s="735"/>
      <c r="L800" s="735"/>
      <c r="M800" s="68"/>
      <c r="N800" s="739"/>
      <c r="O800" s="737"/>
      <c r="P800" s="751"/>
    </row>
    <row r="801" hidden="1">
      <c r="A801" s="1190"/>
      <c r="B801" s="52" t="str">
        <f t="shared" si="1"/>
        <v/>
      </c>
      <c r="C801" s="52" t="str">
        <f>IF(A801="","",VLOOKUP(A801,'THAM CHIẾU'!$A:$B,2,0))</f>
        <v/>
      </c>
      <c r="D801" s="52" t="str">
        <f>IF(E801&lt;&gt;0,VLOOKUP(E801,DM_DUAN,3,0),"")</f>
        <v/>
      </c>
      <c r="E801" s="735"/>
      <c r="F801" s="735"/>
      <c r="G801" s="735"/>
      <c r="H801" s="70"/>
      <c r="I801" s="52" t="str">
        <f>IF($K801&lt;&gt;0,VLOOKUP($K801,DM_KM,3,0),"")</f>
        <v/>
      </c>
      <c r="J801" s="52" t="str">
        <f>IF($K801&lt;&gt;0,VLOOKUP($K801,DM_KM,5,0),"")</f>
        <v/>
      </c>
      <c r="K801" s="735"/>
      <c r="L801" s="735"/>
      <c r="M801" s="68"/>
      <c r="N801" s="739"/>
      <c r="O801" s="737"/>
      <c r="P801" s="751"/>
    </row>
    <row r="802" hidden="1">
      <c r="A802" s="1190"/>
      <c r="B802" s="52" t="str">
        <f t="shared" si="1"/>
        <v/>
      </c>
      <c r="C802" s="52" t="str">
        <f>IF(A802="","",VLOOKUP(A802,'THAM CHIẾU'!$A:$B,2,0))</f>
        <v/>
      </c>
      <c r="D802" s="52" t="str">
        <f>IF(E802&lt;&gt;0,VLOOKUP(E802,DM_DUAN,3,0),"")</f>
        <v/>
      </c>
      <c r="E802" s="735"/>
      <c r="F802" s="735"/>
      <c r="G802" s="735"/>
      <c r="H802" s="70"/>
      <c r="I802" s="52" t="str">
        <f>IF($K802&lt;&gt;0,VLOOKUP($K802,DM_KM,3,0),"")</f>
        <v/>
      </c>
      <c r="J802" s="52" t="str">
        <f>IF($K802&lt;&gt;0,VLOOKUP($K802,DM_KM,5,0),"")</f>
        <v/>
      </c>
      <c r="K802" s="735"/>
      <c r="L802" s="735"/>
      <c r="M802" s="68"/>
      <c r="N802" s="739"/>
      <c r="O802" s="737"/>
      <c r="P802" s="751"/>
    </row>
    <row r="803" hidden="1">
      <c r="A803" s="1190"/>
      <c r="B803" s="52" t="str">
        <f t="shared" si="1"/>
        <v/>
      </c>
      <c r="C803" s="52" t="str">
        <f>IF(A803="","",VLOOKUP(A803,'THAM CHIẾU'!$A:$B,2,0))</f>
        <v/>
      </c>
      <c r="D803" s="52" t="str">
        <f>IF(E803&lt;&gt;0,VLOOKUP(E803,DM_DUAN,3,0),"")</f>
        <v/>
      </c>
      <c r="E803" s="735"/>
      <c r="F803" s="735"/>
      <c r="G803" s="735"/>
      <c r="H803" s="70"/>
      <c r="I803" s="52" t="str">
        <f>IF($K803&lt;&gt;0,VLOOKUP($K803,DM_KM,3,0),"")</f>
        <v/>
      </c>
      <c r="J803" s="52" t="str">
        <f>IF($K803&lt;&gt;0,VLOOKUP($K803,DM_KM,5,0),"")</f>
        <v/>
      </c>
      <c r="K803" s="735"/>
      <c r="L803" s="735"/>
      <c r="M803" s="68"/>
      <c r="N803" s="739"/>
      <c r="O803" s="737"/>
      <c r="P803" s="751"/>
    </row>
    <row r="804" hidden="1">
      <c r="A804" s="1190"/>
      <c r="B804" s="52" t="str">
        <f t="shared" si="1"/>
        <v/>
      </c>
      <c r="C804" s="52" t="str">
        <f>IF(A804="","",VLOOKUP(A804,'THAM CHIẾU'!$A:$B,2,0))</f>
        <v/>
      </c>
      <c r="D804" s="52" t="str">
        <f>IF(E804&lt;&gt;0,VLOOKUP(E804,DM_DUAN,3,0),"")</f>
        <v/>
      </c>
      <c r="E804" s="735"/>
      <c r="F804" s="735"/>
      <c r="G804" s="735"/>
      <c r="H804" s="70"/>
      <c r="I804" s="52" t="str">
        <f>IF($K804&lt;&gt;0,VLOOKUP($K804,DM_KM,3,0),"")</f>
        <v/>
      </c>
      <c r="J804" s="52" t="str">
        <f>IF($K804&lt;&gt;0,VLOOKUP($K804,DM_KM,5,0),"")</f>
        <v/>
      </c>
      <c r="K804" s="735"/>
      <c r="L804" s="735"/>
      <c r="M804" s="68"/>
      <c r="N804" s="739"/>
      <c r="O804" s="737"/>
      <c r="P804" s="751"/>
    </row>
    <row r="805" hidden="1">
      <c r="A805" s="1190"/>
      <c r="B805" s="52" t="str">
        <f t="shared" si="1"/>
        <v/>
      </c>
      <c r="C805" s="52" t="str">
        <f>IF(A805="","",VLOOKUP(A805,'THAM CHIẾU'!$A:$B,2,0))</f>
        <v/>
      </c>
      <c r="D805" s="52" t="str">
        <f>IF(E805&lt;&gt;0,VLOOKUP(E805,DM_DUAN,3,0),"")</f>
        <v/>
      </c>
      <c r="E805" s="735"/>
      <c r="F805" s="735"/>
      <c r="G805" s="735"/>
      <c r="H805" s="70"/>
      <c r="I805" s="52" t="str">
        <f>IF($K805&lt;&gt;0,VLOOKUP($K805,DM_KM,3,0),"")</f>
        <v/>
      </c>
      <c r="J805" s="52" t="str">
        <f>IF($K805&lt;&gt;0,VLOOKUP($K805,DM_KM,5,0),"")</f>
        <v/>
      </c>
      <c r="K805" s="735"/>
      <c r="L805" s="735"/>
      <c r="M805" s="68"/>
      <c r="N805" s="739"/>
      <c r="O805" s="737"/>
      <c r="P805" s="751"/>
    </row>
    <row r="806" hidden="1">
      <c r="A806" s="1190"/>
      <c r="B806" s="52" t="str">
        <f t="shared" si="1"/>
        <v/>
      </c>
      <c r="C806" s="52" t="str">
        <f>IF(A806="","",VLOOKUP(A806,'THAM CHIẾU'!$A:$B,2,0))</f>
        <v/>
      </c>
      <c r="D806" s="52" t="str">
        <f>IF(E806&lt;&gt;0,VLOOKUP(E806,DM_DUAN,3,0),"")</f>
        <v/>
      </c>
      <c r="E806" s="735"/>
      <c r="F806" s="735"/>
      <c r="G806" s="735"/>
      <c r="H806" s="70"/>
      <c r="I806" s="52" t="str">
        <f>IF($K806&lt;&gt;0,VLOOKUP($K806,DM_KM,3,0),"")</f>
        <v/>
      </c>
      <c r="J806" s="52" t="str">
        <f>IF($K806&lt;&gt;0,VLOOKUP($K806,DM_KM,5,0),"")</f>
        <v/>
      </c>
      <c r="K806" s="735"/>
      <c r="L806" s="735"/>
      <c r="M806" s="68"/>
      <c r="N806" s="739"/>
      <c r="O806" s="737"/>
      <c r="P806" s="751"/>
    </row>
    <row r="807" hidden="1">
      <c r="A807" s="1190"/>
      <c r="B807" s="52" t="str">
        <f t="shared" si="1"/>
        <v/>
      </c>
      <c r="C807" s="52" t="str">
        <f>IF(A807="","",VLOOKUP(A807,'THAM CHIẾU'!$A:$B,2,0))</f>
        <v/>
      </c>
      <c r="D807" s="52" t="str">
        <f>IF(E807&lt;&gt;0,VLOOKUP(E807,DM_DUAN,3,0),"")</f>
        <v/>
      </c>
      <c r="E807" s="735"/>
      <c r="F807" s="735"/>
      <c r="G807" s="735"/>
      <c r="H807" s="70"/>
      <c r="I807" s="52" t="str">
        <f>IF($K807&lt;&gt;0,VLOOKUP($K807,DM_KM,3,0),"")</f>
        <v/>
      </c>
      <c r="J807" s="52" t="str">
        <f>IF($K807&lt;&gt;0,VLOOKUP($K807,DM_KM,5,0),"")</f>
        <v/>
      </c>
      <c r="K807" s="735"/>
      <c r="L807" s="735"/>
      <c r="M807" s="68"/>
      <c r="N807" s="739"/>
      <c r="O807" s="737"/>
      <c r="P807" s="751"/>
    </row>
    <row r="808" hidden="1">
      <c r="A808" s="1190"/>
      <c r="B808" s="52" t="str">
        <f t="shared" si="1"/>
        <v/>
      </c>
      <c r="C808" s="52" t="str">
        <f>IF(A808="","",VLOOKUP(A808,'THAM CHIẾU'!$A:$B,2,0))</f>
        <v/>
      </c>
      <c r="D808" s="52" t="str">
        <f>IF(E808&lt;&gt;0,VLOOKUP(E808,DM_DUAN,3,0),"")</f>
        <v/>
      </c>
      <c r="E808" s="735"/>
      <c r="F808" s="735"/>
      <c r="G808" s="735"/>
      <c r="H808" s="70"/>
      <c r="I808" s="52" t="str">
        <f>IF($K808&lt;&gt;0,VLOOKUP($K808,DM_KM,3,0),"")</f>
        <v/>
      </c>
      <c r="J808" s="52" t="str">
        <f>IF($K808&lt;&gt;0,VLOOKUP($K808,DM_KM,5,0),"")</f>
        <v/>
      </c>
      <c r="K808" s="735"/>
      <c r="L808" s="735"/>
      <c r="M808" s="68"/>
      <c r="N808" s="739"/>
      <c r="O808" s="737"/>
      <c r="P808" s="751"/>
    </row>
    <row r="809" hidden="1">
      <c r="A809" s="1190"/>
      <c r="B809" s="52" t="str">
        <f t="shared" si="1"/>
        <v/>
      </c>
      <c r="C809" s="52" t="str">
        <f>IF(A809="","",VLOOKUP(A809,'THAM CHIẾU'!$A:$B,2,0))</f>
        <v/>
      </c>
      <c r="D809" s="52" t="str">
        <f>IF(E809&lt;&gt;0,VLOOKUP(E809,DM_DUAN,3,0),"")</f>
        <v/>
      </c>
      <c r="E809" s="735"/>
      <c r="F809" s="735"/>
      <c r="G809" s="735"/>
      <c r="H809" s="70"/>
      <c r="I809" s="52" t="str">
        <f>IF($K809&lt;&gt;0,VLOOKUP($K809,DM_KM,3,0),"")</f>
        <v/>
      </c>
      <c r="J809" s="52" t="str">
        <f>IF($K809&lt;&gt;0,VLOOKUP($K809,DM_KM,5,0),"")</f>
        <v/>
      </c>
      <c r="K809" s="735"/>
      <c r="L809" s="735"/>
      <c r="M809" s="68"/>
      <c r="N809" s="739"/>
      <c r="O809" s="737"/>
      <c r="P809" s="751"/>
    </row>
    <row r="810" hidden="1">
      <c r="A810" s="1190"/>
      <c r="B810" s="52" t="str">
        <f t="shared" si="1"/>
        <v/>
      </c>
      <c r="C810" s="52" t="str">
        <f>IF(A810="","",VLOOKUP(A810,'THAM CHIẾU'!$A:$B,2,0))</f>
        <v/>
      </c>
      <c r="D810" s="52" t="str">
        <f>IF(E810&lt;&gt;0,VLOOKUP(E810,DM_DUAN,3,0),"")</f>
        <v/>
      </c>
      <c r="E810" s="735"/>
      <c r="F810" s="735"/>
      <c r="G810" s="735"/>
      <c r="H810" s="70"/>
      <c r="I810" s="52" t="str">
        <f>IF($K810&lt;&gt;0,VLOOKUP($K810,DM_KM,3,0),"")</f>
        <v/>
      </c>
      <c r="J810" s="52" t="str">
        <f>IF($K810&lt;&gt;0,VLOOKUP($K810,DM_KM,5,0),"")</f>
        <v/>
      </c>
      <c r="K810" s="735"/>
      <c r="L810" s="735"/>
      <c r="M810" s="68"/>
      <c r="N810" s="739"/>
      <c r="O810" s="737"/>
      <c r="P810" s="751"/>
    </row>
    <row r="811" hidden="1">
      <c r="A811" s="1190"/>
      <c r="B811" s="52" t="str">
        <f t="shared" si="1"/>
        <v/>
      </c>
      <c r="C811" s="52" t="str">
        <f>IF(A811="","",VLOOKUP(A811,'THAM CHIẾU'!$A:$B,2,0))</f>
        <v/>
      </c>
      <c r="D811" s="52" t="str">
        <f>IF(E811&lt;&gt;0,VLOOKUP(E811,DM_DUAN,3,0),"")</f>
        <v/>
      </c>
      <c r="E811" s="735"/>
      <c r="F811" s="735"/>
      <c r="G811" s="735"/>
      <c r="H811" s="70"/>
      <c r="I811" s="52" t="str">
        <f>IF($K811&lt;&gt;0,VLOOKUP($K811,DM_KM,3,0),"")</f>
        <v/>
      </c>
      <c r="J811" s="52" t="str">
        <f>IF($K811&lt;&gt;0,VLOOKUP($K811,DM_KM,5,0),"")</f>
        <v/>
      </c>
      <c r="K811" s="735"/>
      <c r="L811" s="735"/>
      <c r="M811" s="68"/>
      <c r="N811" s="739"/>
      <c r="O811" s="737"/>
      <c r="P811" s="751"/>
    </row>
    <row r="812" hidden="1">
      <c r="A812" s="1190"/>
      <c r="B812" s="52" t="str">
        <f t="shared" si="1"/>
        <v/>
      </c>
      <c r="C812" s="52" t="str">
        <f>IF(A812="","",VLOOKUP(A812,'THAM CHIẾU'!$A:$B,2,0))</f>
        <v/>
      </c>
      <c r="D812" s="52" t="str">
        <f>IF(E812&lt;&gt;0,VLOOKUP(E812,DM_DUAN,3,0),"")</f>
        <v/>
      </c>
      <c r="E812" s="735"/>
      <c r="F812" s="735"/>
      <c r="G812" s="735"/>
      <c r="H812" s="70"/>
      <c r="I812" s="52" t="str">
        <f>IF($K812&lt;&gt;0,VLOOKUP($K812,DM_KM,3,0),"")</f>
        <v/>
      </c>
      <c r="J812" s="52" t="str">
        <f>IF($K812&lt;&gt;0,VLOOKUP($K812,DM_KM,5,0),"")</f>
        <v/>
      </c>
      <c r="K812" s="735"/>
      <c r="L812" s="735"/>
      <c r="M812" s="68"/>
      <c r="N812" s="739"/>
      <c r="O812" s="737"/>
      <c r="P812" s="751"/>
    </row>
    <row r="813" hidden="1">
      <c r="A813" s="1190"/>
      <c r="B813" s="52" t="str">
        <f t="shared" si="1"/>
        <v/>
      </c>
      <c r="C813" s="52" t="str">
        <f>IF(A813="","",VLOOKUP(A813,'THAM CHIẾU'!$A:$B,2,0))</f>
        <v/>
      </c>
      <c r="D813" s="52" t="str">
        <f>IF(E813&lt;&gt;0,VLOOKUP(E813,DM_DUAN,3,0),"")</f>
        <v/>
      </c>
      <c r="E813" s="735"/>
      <c r="F813" s="735"/>
      <c r="G813" s="735"/>
      <c r="H813" s="70"/>
      <c r="I813" s="52" t="str">
        <f>IF($K813&lt;&gt;0,VLOOKUP($K813,DM_KM,3,0),"")</f>
        <v/>
      </c>
      <c r="J813" s="52" t="str">
        <f>IF($K813&lt;&gt;0,VLOOKUP($K813,DM_KM,5,0),"")</f>
        <v/>
      </c>
      <c r="K813" s="735"/>
      <c r="L813" s="735"/>
      <c r="M813" s="68"/>
      <c r="N813" s="739"/>
      <c r="O813" s="737"/>
      <c r="P813" s="751"/>
    </row>
    <row r="814" hidden="1">
      <c r="A814" s="1190"/>
      <c r="B814" s="52" t="str">
        <f t="shared" si="1"/>
        <v/>
      </c>
      <c r="C814" s="52" t="str">
        <f>IF(A814="","",VLOOKUP(A814,'THAM CHIẾU'!$A:$B,2,0))</f>
        <v/>
      </c>
      <c r="D814" s="52" t="str">
        <f>IF(E814&lt;&gt;0,VLOOKUP(E814,DM_DUAN,3,0),"")</f>
        <v/>
      </c>
      <c r="E814" s="735"/>
      <c r="F814" s="735"/>
      <c r="G814" s="735"/>
      <c r="H814" s="70"/>
      <c r="I814" s="52" t="str">
        <f>IF($K814&lt;&gt;0,VLOOKUP($K814,DM_KM,3,0),"")</f>
        <v/>
      </c>
      <c r="J814" s="52" t="str">
        <f>IF($K814&lt;&gt;0,VLOOKUP($K814,DM_KM,5,0),"")</f>
        <v/>
      </c>
      <c r="K814" s="735"/>
      <c r="L814" s="735"/>
      <c r="M814" s="68"/>
      <c r="N814" s="739"/>
      <c r="O814" s="737"/>
      <c r="P814" s="751"/>
    </row>
    <row r="815" hidden="1">
      <c r="A815" s="1190"/>
      <c r="B815" s="52" t="str">
        <f t="shared" si="1"/>
        <v/>
      </c>
      <c r="C815" s="52" t="str">
        <f>IF(A815="","",VLOOKUP(A815,'THAM CHIẾU'!$A:$B,2,0))</f>
        <v/>
      </c>
      <c r="D815" s="52" t="str">
        <f>IF(E815&lt;&gt;0,VLOOKUP(E815,DM_DUAN,3,0),"")</f>
        <v/>
      </c>
      <c r="E815" s="735"/>
      <c r="F815" s="735"/>
      <c r="G815" s="735"/>
      <c r="H815" s="70"/>
      <c r="I815" s="52" t="str">
        <f>IF($K815&lt;&gt;0,VLOOKUP($K815,DM_KM,3,0),"")</f>
        <v/>
      </c>
      <c r="J815" s="52" t="str">
        <f>IF($K815&lt;&gt;0,VLOOKUP($K815,DM_KM,5,0),"")</f>
        <v/>
      </c>
      <c r="K815" s="735"/>
      <c r="L815" s="735"/>
      <c r="M815" s="68"/>
      <c r="N815" s="739"/>
      <c r="O815" s="737"/>
      <c r="P815" s="751"/>
    </row>
    <row r="816" hidden="1">
      <c r="A816" s="1190"/>
      <c r="B816" s="52" t="str">
        <f t="shared" si="1"/>
        <v/>
      </c>
      <c r="C816" s="52" t="str">
        <f>IF(A816="","",VLOOKUP(A816,'THAM CHIẾU'!$A:$B,2,0))</f>
        <v/>
      </c>
      <c r="D816" s="52" t="str">
        <f>IF(E816&lt;&gt;0,VLOOKUP(E816,DM_DUAN,3,0),"")</f>
        <v/>
      </c>
      <c r="E816" s="735"/>
      <c r="F816" s="735"/>
      <c r="G816" s="735"/>
      <c r="H816" s="70"/>
      <c r="I816" s="52" t="str">
        <f>IF($K816&lt;&gt;0,VLOOKUP($K816,DM_KM,3,0),"")</f>
        <v/>
      </c>
      <c r="J816" s="52" t="str">
        <f>IF($K816&lt;&gt;0,VLOOKUP($K816,DM_KM,5,0),"")</f>
        <v/>
      </c>
      <c r="K816" s="735"/>
      <c r="L816" s="735"/>
      <c r="M816" s="68"/>
      <c r="N816" s="739"/>
      <c r="O816" s="737"/>
      <c r="P816" s="751"/>
    </row>
    <row r="817" hidden="1">
      <c r="A817" s="1190"/>
      <c r="B817" s="52" t="str">
        <f t="shared" si="1"/>
        <v/>
      </c>
      <c r="C817" s="52" t="str">
        <f>IF(A817="","",VLOOKUP(A817,'THAM CHIẾU'!$A:$B,2,0))</f>
        <v/>
      </c>
      <c r="D817" s="52" t="str">
        <f>IF(E817&lt;&gt;0,VLOOKUP(E817,DM_DUAN,3,0),"")</f>
        <v/>
      </c>
      <c r="E817" s="735"/>
      <c r="F817" s="735"/>
      <c r="G817" s="735"/>
      <c r="H817" s="70"/>
      <c r="I817" s="52" t="str">
        <f>IF($K817&lt;&gt;0,VLOOKUP($K817,DM_KM,3,0),"")</f>
        <v/>
      </c>
      <c r="J817" s="52" t="str">
        <f>IF($K817&lt;&gt;0,VLOOKUP($K817,DM_KM,5,0),"")</f>
        <v/>
      </c>
      <c r="K817" s="735"/>
      <c r="L817" s="735"/>
      <c r="M817" s="68"/>
      <c r="N817" s="739"/>
      <c r="O817" s="737"/>
      <c r="P817" s="751"/>
    </row>
    <row r="818" hidden="1">
      <c r="A818" s="1190"/>
      <c r="B818" s="52" t="str">
        <f t="shared" si="1"/>
        <v/>
      </c>
      <c r="C818" s="52" t="str">
        <f>IF(A818="","",VLOOKUP(A818,'THAM CHIẾU'!$A:$B,2,0))</f>
        <v/>
      </c>
      <c r="D818" s="52" t="str">
        <f>IF(E818&lt;&gt;0,VLOOKUP(E818,DM_DUAN,3,0),"")</f>
        <v/>
      </c>
      <c r="E818" s="735"/>
      <c r="F818" s="735"/>
      <c r="G818" s="735"/>
      <c r="H818" s="70"/>
      <c r="I818" s="52" t="str">
        <f>IF($K818&lt;&gt;0,VLOOKUP($K818,DM_KM,3,0),"")</f>
        <v/>
      </c>
      <c r="J818" s="52" t="str">
        <f>IF($K818&lt;&gt;0,VLOOKUP($K818,DM_KM,5,0),"")</f>
        <v/>
      </c>
      <c r="K818" s="735"/>
      <c r="L818" s="735"/>
      <c r="M818" s="68"/>
      <c r="N818" s="739"/>
      <c r="O818" s="737"/>
      <c r="P818" s="751"/>
    </row>
    <row r="819" hidden="1">
      <c r="A819" s="1190"/>
      <c r="B819" s="52" t="str">
        <f t="shared" si="1"/>
        <v/>
      </c>
      <c r="C819" s="52" t="str">
        <f>IF(A819="","",VLOOKUP(A819,'THAM CHIẾU'!$A:$B,2,0))</f>
        <v/>
      </c>
      <c r="D819" s="52" t="str">
        <f>IF(E819&lt;&gt;0,VLOOKUP(E819,DM_DUAN,3,0),"")</f>
        <v/>
      </c>
      <c r="E819" s="735"/>
      <c r="F819" s="735"/>
      <c r="G819" s="735"/>
      <c r="H819" s="70"/>
      <c r="I819" s="52" t="str">
        <f>IF($K819&lt;&gt;0,VLOOKUP($K819,DM_KM,3,0),"")</f>
        <v/>
      </c>
      <c r="J819" s="52" t="str">
        <f>IF($K819&lt;&gt;0,VLOOKUP($K819,DM_KM,5,0),"")</f>
        <v/>
      </c>
      <c r="K819" s="735"/>
      <c r="L819" s="735"/>
      <c r="M819" s="68"/>
      <c r="N819" s="739"/>
      <c r="O819" s="737"/>
      <c r="P819" s="751"/>
    </row>
    <row r="820" hidden="1">
      <c r="A820" s="1190"/>
      <c r="B820" s="52" t="str">
        <f t="shared" si="1"/>
        <v/>
      </c>
      <c r="C820" s="52" t="str">
        <f>IF(A820="","",VLOOKUP(A820,'THAM CHIẾU'!$A:$B,2,0))</f>
        <v/>
      </c>
      <c r="D820" s="52" t="str">
        <f>IF(E820&lt;&gt;0,VLOOKUP(E820,DM_DUAN,3,0),"")</f>
        <v/>
      </c>
      <c r="E820" s="735"/>
      <c r="F820" s="735"/>
      <c r="G820" s="735"/>
      <c r="H820" s="70"/>
      <c r="I820" s="52" t="str">
        <f>IF($K820&lt;&gt;0,VLOOKUP($K820,DM_KM,3,0),"")</f>
        <v/>
      </c>
      <c r="J820" s="52" t="str">
        <f>IF($K820&lt;&gt;0,VLOOKUP($K820,DM_KM,5,0),"")</f>
        <v/>
      </c>
      <c r="K820" s="735"/>
      <c r="L820" s="735"/>
      <c r="M820" s="68"/>
      <c r="N820" s="739"/>
      <c r="O820" s="737"/>
      <c r="P820" s="751"/>
    </row>
    <row r="821" hidden="1">
      <c r="A821" s="1190"/>
      <c r="B821" s="52" t="str">
        <f t="shared" si="1"/>
        <v/>
      </c>
      <c r="C821" s="52" t="str">
        <f>IF(A821="","",VLOOKUP(A821,'THAM CHIẾU'!$A:$B,2,0))</f>
        <v/>
      </c>
      <c r="D821" s="52" t="str">
        <f>IF(E821&lt;&gt;0,VLOOKUP(E821,DM_DUAN,3,0),"")</f>
        <v/>
      </c>
      <c r="E821" s="735"/>
      <c r="F821" s="735"/>
      <c r="G821" s="735"/>
      <c r="H821" s="70"/>
      <c r="I821" s="52" t="str">
        <f>IF($K821&lt;&gt;0,VLOOKUP($K821,DM_KM,3,0),"")</f>
        <v/>
      </c>
      <c r="J821" s="52" t="str">
        <f>IF($K821&lt;&gt;0,VLOOKUP($K821,DM_KM,5,0),"")</f>
        <v/>
      </c>
      <c r="K821" s="735"/>
      <c r="L821" s="735"/>
      <c r="M821" s="68"/>
      <c r="N821" s="739"/>
      <c r="O821" s="737"/>
      <c r="P821" s="751"/>
    </row>
    <row r="822" hidden="1">
      <c r="A822" s="1190"/>
      <c r="B822" s="52" t="str">
        <f t="shared" si="1"/>
        <v/>
      </c>
      <c r="C822" s="52" t="str">
        <f>IF(A822="","",VLOOKUP(A822,'THAM CHIẾU'!$A:$B,2,0))</f>
        <v/>
      </c>
      <c r="D822" s="52" t="str">
        <f>IF(E822&lt;&gt;0,VLOOKUP(E822,DM_DUAN,3,0),"")</f>
        <v/>
      </c>
      <c r="E822" s="735"/>
      <c r="F822" s="735"/>
      <c r="G822" s="735"/>
      <c r="H822" s="70"/>
      <c r="I822" s="52" t="str">
        <f>IF($K822&lt;&gt;0,VLOOKUP($K822,DM_KM,3,0),"")</f>
        <v/>
      </c>
      <c r="J822" s="52" t="str">
        <f>IF($K822&lt;&gt;0,VLOOKUP($K822,DM_KM,5,0),"")</f>
        <v/>
      </c>
      <c r="K822" s="735"/>
      <c r="L822" s="735"/>
      <c r="M822" s="68"/>
      <c r="N822" s="739"/>
      <c r="O822" s="737"/>
      <c r="P822" s="751"/>
    </row>
    <row r="823" hidden="1">
      <c r="A823" s="1190"/>
      <c r="B823" s="52" t="str">
        <f t="shared" si="1"/>
        <v/>
      </c>
      <c r="C823" s="52" t="str">
        <f>IF(A823="","",VLOOKUP(A823,'THAM CHIẾU'!$A:$B,2,0))</f>
        <v/>
      </c>
      <c r="D823" s="52" t="str">
        <f>IF(E823&lt;&gt;0,VLOOKUP(E823,DM_DUAN,3,0),"")</f>
        <v/>
      </c>
      <c r="E823" s="735"/>
      <c r="F823" s="735"/>
      <c r="G823" s="735"/>
      <c r="H823" s="70"/>
      <c r="I823" s="52" t="str">
        <f>IF($K823&lt;&gt;0,VLOOKUP($K823,DM_KM,3,0),"")</f>
        <v/>
      </c>
      <c r="J823" s="52" t="str">
        <f>IF($K823&lt;&gt;0,VLOOKUP($K823,DM_KM,5,0),"")</f>
        <v/>
      </c>
      <c r="K823" s="735"/>
      <c r="L823" s="735"/>
      <c r="M823" s="68"/>
      <c r="N823" s="739"/>
      <c r="O823" s="737"/>
      <c r="P823" s="751"/>
    </row>
    <row r="824" hidden="1">
      <c r="A824" s="1190"/>
      <c r="B824" s="52" t="str">
        <f t="shared" si="1"/>
        <v/>
      </c>
      <c r="C824" s="52" t="str">
        <f>IF(A824="","",VLOOKUP(A824,'THAM CHIẾU'!$A:$B,2,0))</f>
        <v/>
      </c>
      <c r="D824" s="52" t="str">
        <f>IF(E824&lt;&gt;0,VLOOKUP(E824,DM_DUAN,3,0),"")</f>
        <v/>
      </c>
      <c r="E824" s="735"/>
      <c r="F824" s="735"/>
      <c r="G824" s="735"/>
      <c r="H824" s="70"/>
      <c r="I824" s="52" t="str">
        <f>IF($K824&lt;&gt;0,VLOOKUP($K824,DM_KM,3,0),"")</f>
        <v/>
      </c>
      <c r="J824" s="52" t="str">
        <f>IF($K824&lt;&gt;0,VLOOKUP($K824,DM_KM,5,0),"")</f>
        <v/>
      </c>
      <c r="K824" s="735"/>
      <c r="L824" s="735"/>
      <c r="M824" s="68"/>
      <c r="N824" s="739"/>
      <c r="O824" s="737"/>
      <c r="P824" s="751"/>
    </row>
    <row r="825" hidden="1">
      <c r="A825" s="1190"/>
      <c r="B825" s="52" t="str">
        <f t="shared" si="1"/>
        <v/>
      </c>
      <c r="C825" s="52" t="str">
        <f>IF(A825="","",VLOOKUP(A825,'THAM CHIẾU'!$A:$B,2,0))</f>
        <v/>
      </c>
      <c r="D825" s="52" t="str">
        <f>IF(E825&lt;&gt;0,VLOOKUP(E825,DM_DUAN,3,0),"")</f>
        <v/>
      </c>
      <c r="E825" s="735"/>
      <c r="F825" s="735"/>
      <c r="G825" s="735"/>
      <c r="H825" s="70"/>
      <c r="I825" s="52" t="str">
        <f>IF($K825&lt;&gt;0,VLOOKUP($K825,DM_KM,3,0),"")</f>
        <v/>
      </c>
      <c r="J825" s="52" t="str">
        <f>IF($K825&lt;&gt;0,VLOOKUP($K825,DM_KM,5,0),"")</f>
        <v/>
      </c>
      <c r="K825" s="735"/>
      <c r="L825" s="735"/>
      <c r="M825" s="68"/>
      <c r="N825" s="739"/>
      <c r="O825" s="737"/>
      <c r="P825" s="751"/>
    </row>
    <row r="826" hidden="1">
      <c r="A826" s="1190"/>
      <c r="B826" s="52" t="str">
        <f t="shared" si="1"/>
        <v/>
      </c>
      <c r="C826" s="52" t="str">
        <f>IF(A826="","",VLOOKUP(A826,'THAM CHIẾU'!$A:$B,2,0))</f>
        <v/>
      </c>
      <c r="D826" s="52" t="str">
        <f>IF(E826&lt;&gt;0,VLOOKUP(E826,DM_DUAN,3,0),"")</f>
        <v/>
      </c>
      <c r="E826" s="735"/>
      <c r="F826" s="735"/>
      <c r="G826" s="735"/>
      <c r="H826" s="70"/>
      <c r="I826" s="52" t="str">
        <f>IF($K826&lt;&gt;0,VLOOKUP($K826,DM_KM,3,0),"")</f>
        <v/>
      </c>
      <c r="J826" s="52" t="str">
        <f>IF($K826&lt;&gt;0,VLOOKUP($K826,DM_KM,5,0),"")</f>
        <v/>
      </c>
      <c r="K826" s="735"/>
      <c r="L826" s="735"/>
      <c r="M826" s="68"/>
      <c r="N826" s="739"/>
      <c r="O826" s="737"/>
      <c r="P826" s="751"/>
    </row>
    <row r="827" hidden="1">
      <c r="A827" s="1190"/>
      <c r="B827" s="52" t="str">
        <f t="shared" si="1"/>
        <v/>
      </c>
      <c r="C827" s="52" t="str">
        <f>IF(A827="","",VLOOKUP(A827,'THAM CHIẾU'!$A:$B,2,0))</f>
        <v/>
      </c>
      <c r="D827" s="52" t="str">
        <f>IF(E827&lt;&gt;0,VLOOKUP(E827,DM_DUAN,3,0),"")</f>
        <v/>
      </c>
      <c r="E827" s="735"/>
      <c r="F827" s="735"/>
      <c r="G827" s="735"/>
      <c r="H827" s="70"/>
      <c r="I827" s="52" t="str">
        <f>IF($K827&lt;&gt;0,VLOOKUP($K827,DM_KM,3,0),"")</f>
        <v/>
      </c>
      <c r="J827" s="52" t="str">
        <f>IF($K827&lt;&gt;0,VLOOKUP($K827,DM_KM,5,0),"")</f>
        <v/>
      </c>
      <c r="K827" s="735"/>
      <c r="L827" s="735"/>
      <c r="M827" s="68"/>
      <c r="N827" s="739"/>
      <c r="O827" s="737"/>
      <c r="P827" s="751"/>
    </row>
    <row r="828" hidden="1">
      <c r="A828" s="1190"/>
      <c r="B828" s="52" t="str">
        <f t="shared" si="1"/>
        <v/>
      </c>
      <c r="C828" s="52" t="str">
        <f>IF(A828="","",VLOOKUP(A828,'THAM CHIẾU'!$A:$B,2,0))</f>
        <v/>
      </c>
      <c r="D828" s="52" t="str">
        <f>IF(E828&lt;&gt;0,VLOOKUP(E828,DM_DUAN,3,0),"")</f>
        <v/>
      </c>
      <c r="E828" s="735"/>
      <c r="F828" s="735"/>
      <c r="G828" s="735"/>
      <c r="H828" s="70"/>
      <c r="I828" s="52" t="str">
        <f>IF($K828&lt;&gt;0,VLOOKUP($K828,DM_KM,3,0),"")</f>
        <v/>
      </c>
      <c r="J828" s="52" t="str">
        <f>IF($K828&lt;&gt;0,VLOOKUP($K828,DM_KM,5,0),"")</f>
        <v/>
      </c>
      <c r="K828" s="735"/>
      <c r="L828" s="735"/>
      <c r="M828" s="68"/>
      <c r="N828" s="739"/>
      <c r="O828" s="737"/>
      <c r="P828" s="751"/>
    </row>
    <row r="829" hidden="1">
      <c r="A829" s="1190"/>
      <c r="B829" s="52" t="str">
        <f t="shared" si="1"/>
        <v/>
      </c>
      <c r="C829" s="52" t="str">
        <f>IF(A829="","",VLOOKUP(A829,'THAM CHIẾU'!$A:$B,2,0))</f>
        <v/>
      </c>
      <c r="D829" s="52" t="str">
        <f>IF(E829&lt;&gt;0,VLOOKUP(E829,DM_DUAN,3,0),"")</f>
        <v/>
      </c>
      <c r="E829" s="735"/>
      <c r="F829" s="735"/>
      <c r="G829" s="735"/>
      <c r="H829" s="70"/>
      <c r="I829" s="52" t="str">
        <f>IF($K829&lt;&gt;0,VLOOKUP($K829,DM_KM,3,0),"")</f>
        <v/>
      </c>
      <c r="J829" s="52" t="str">
        <f>IF($K829&lt;&gt;0,VLOOKUP($K829,DM_KM,5,0),"")</f>
        <v/>
      </c>
      <c r="K829" s="735"/>
      <c r="L829" s="735"/>
      <c r="M829" s="68"/>
      <c r="N829" s="739"/>
      <c r="O829" s="737"/>
      <c r="P829" s="751"/>
    </row>
    <row r="830" hidden="1">
      <c r="A830" s="1190"/>
      <c r="B830" s="52" t="str">
        <f t="shared" si="1"/>
        <v/>
      </c>
      <c r="C830" s="52" t="str">
        <f>IF(A830="","",VLOOKUP(A830,'THAM CHIẾU'!$A:$B,2,0))</f>
        <v/>
      </c>
      <c r="D830" s="52" t="str">
        <f>IF(E830&lt;&gt;0,VLOOKUP(E830,DM_DUAN,3,0),"")</f>
        <v/>
      </c>
      <c r="E830" s="735"/>
      <c r="F830" s="735"/>
      <c r="G830" s="735"/>
      <c r="H830" s="70"/>
      <c r="I830" s="52" t="str">
        <f>IF($K830&lt;&gt;0,VLOOKUP($K830,DM_KM,3,0),"")</f>
        <v/>
      </c>
      <c r="J830" s="52" t="str">
        <f>IF($K830&lt;&gt;0,VLOOKUP($K830,DM_KM,5,0),"")</f>
        <v/>
      </c>
      <c r="K830" s="735"/>
      <c r="L830" s="735"/>
      <c r="M830" s="68"/>
      <c r="N830" s="739"/>
      <c r="O830" s="737"/>
      <c r="P830" s="751"/>
    </row>
    <row r="831" hidden="1">
      <c r="A831" s="1190"/>
      <c r="B831" s="52" t="str">
        <f t="shared" si="1"/>
        <v/>
      </c>
      <c r="C831" s="52" t="str">
        <f>IF(A831="","",VLOOKUP(A831,'THAM CHIẾU'!$A:$B,2,0))</f>
        <v/>
      </c>
      <c r="D831" s="52" t="str">
        <f>IF(E831&lt;&gt;0,VLOOKUP(E831,DM_DUAN,3,0),"")</f>
        <v/>
      </c>
      <c r="E831" s="735"/>
      <c r="F831" s="735"/>
      <c r="G831" s="735"/>
      <c r="H831" s="70"/>
      <c r="I831" s="52" t="str">
        <f>IF($K831&lt;&gt;0,VLOOKUP($K831,DM_KM,3,0),"")</f>
        <v/>
      </c>
      <c r="J831" s="52" t="str">
        <f>IF($K831&lt;&gt;0,VLOOKUP($K831,DM_KM,5,0),"")</f>
        <v/>
      </c>
      <c r="K831" s="735"/>
      <c r="L831" s="735"/>
      <c r="M831" s="68"/>
      <c r="N831" s="739"/>
      <c r="O831" s="737"/>
      <c r="P831" s="751"/>
    </row>
    <row r="832" hidden="1">
      <c r="A832" s="1190"/>
      <c r="B832" s="52" t="str">
        <f t="shared" si="1"/>
        <v/>
      </c>
      <c r="C832" s="52" t="str">
        <f>IF(A832="","",VLOOKUP(A832,'THAM CHIẾU'!$A:$B,2,0))</f>
        <v/>
      </c>
      <c r="D832" s="52" t="str">
        <f>IF(E832&lt;&gt;0,VLOOKUP(E832,DM_DUAN,3,0),"")</f>
        <v/>
      </c>
      <c r="E832" s="735"/>
      <c r="F832" s="735"/>
      <c r="G832" s="735"/>
      <c r="H832" s="70"/>
      <c r="I832" s="52" t="str">
        <f>IF($K832&lt;&gt;0,VLOOKUP($K832,DM_KM,3,0),"")</f>
        <v/>
      </c>
      <c r="J832" s="52" t="str">
        <f>IF($K832&lt;&gt;0,VLOOKUP($K832,DM_KM,5,0),"")</f>
        <v/>
      </c>
      <c r="K832" s="735"/>
      <c r="L832" s="735"/>
      <c r="M832" s="68"/>
      <c r="N832" s="739"/>
      <c r="O832" s="737"/>
      <c r="P832" s="751"/>
    </row>
    <row r="833" hidden="1">
      <c r="A833" s="1190"/>
      <c r="B833" s="52" t="str">
        <f t="shared" si="1"/>
        <v/>
      </c>
      <c r="C833" s="52" t="str">
        <f>IF(A833="","",VLOOKUP(A833,'THAM CHIẾU'!$A:$B,2,0))</f>
        <v/>
      </c>
      <c r="D833" s="52" t="str">
        <f>IF(E833&lt;&gt;0,VLOOKUP(E833,DM_DUAN,3,0),"")</f>
        <v/>
      </c>
      <c r="E833" s="735"/>
      <c r="F833" s="735"/>
      <c r="G833" s="735"/>
      <c r="H833" s="70"/>
      <c r="I833" s="52" t="str">
        <f>IF($K833&lt;&gt;0,VLOOKUP($K833,DM_KM,3,0),"")</f>
        <v/>
      </c>
      <c r="J833" s="52" t="str">
        <f>IF($K833&lt;&gt;0,VLOOKUP($K833,DM_KM,5,0),"")</f>
        <v/>
      </c>
      <c r="K833" s="735"/>
      <c r="L833" s="735"/>
      <c r="M833" s="68"/>
      <c r="N833" s="739"/>
      <c r="O833" s="737"/>
      <c r="P833" s="751"/>
    </row>
    <row r="834" hidden="1">
      <c r="A834" s="1190"/>
      <c r="B834" s="52" t="str">
        <f t="shared" si="1"/>
        <v/>
      </c>
      <c r="C834" s="52" t="str">
        <f>IF(A834="","",VLOOKUP(A834,'THAM CHIẾU'!$A:$B,2,0))</f>
        <v/>
      </c>
      <c r="D834" s="52" t="str">
        <f>IF(E834&lt;&gt;0,VLOOKUP(E834,DM_DUAN,3,0),"")</f>
        <v/>
      </c>
      <c r="E834" s="735"/>
      <c r="F834" s="735"/>
      <c r="G834" s="735"/>
      <c r="H834" s="70"/>
      <c r="I834" s="52" t="str">
        <f>IF($K834&lt;&gt;0,VLOOKUP($K834,DM_KM,3,0),"")</f>
        <v/>
      </c>
      <c r="J834" s="52" t="str">
        <f>IF($K834&lt;&gt;0,VLOOKUP($K834,DM_KM,5,0),"")</f>
        <v/>
      </c>
      <c r="K834" s="735"/>
      <c r="L834" s="735"/>
      <c r="M834" s="68"/>
      <c r="N834" s="739"/>
      <c r="O834" s="737"/>
      <c r="P834" s="751"/>
    </row>
    <row r="835" hidden="1">
      <c r="A835" s="1190"/>
      <c r="B835" s="52" t="str">
        <f t="shared" si="1"/>
        <v/>
      </c>
      <c r="C835" s="52" t="str">
        <f>IF(A835="","",VLOOKUP(A835,'THAM CHIẾU'!$A:$B,2,0))</f>
        <v/>
      </c>
      <c r="D835" s="52" t="str">
        <f>IF(E835&lt;&gt;0,VLOOKUP(E835,DM_DUAN,3,0),"")</f>
        <v/>
      </c>
      <c r="E835" s="735"/>
      <c r="F835" s="735"/>
      <c r="G835" s="735"/>
      <c r="H835" s="70"/>
      <c r="I835" s="52" t="str">
        <f>IF($K835&lt;&gt;0,VLOOKUP($K835,DM_KM,3,0),"")</f>
        <v/>
      </c>
      <c r="J835" s="52" t="str">
        <f>IF($K835&lt;&gt;0,VLOOKUP($K835,DM_KM,5,0),"")</f>
        <v/>
      </c>
      <c r="K835" s="735"/>
      <c r="L835" s="735"/>
      <c r="M835" s="68"/>
      <c r="N835" s="739"/>
      <c r="O835" s="737"/>
      <c r="P835" s="751"/>
    </row>
    <row r="836" hidden="1">
      <c r="A836" s="1190"/>
      <c r="B836" s="52" t="str">
        <f t="shared" si="1"/>
        <v/>
      </c>
      <c r="C836" s="52" t="str">
        <f>IF(A836="","",VLOOKUP(A836,'THAM CHIẾU'!$A:$B,2,0))</f>
        <v/>
      </c>
      <c r="D836" s="52" t="str">
        <f>IF(E836&lt;&gt;0,VLOOKUP(E836,DM_DUAN,3,0),"")</f>
        <v/>
      </c>
      <c r="E836" s="735"/>
      <c r="F836" s="735"/>
      <c r="G836" s="735"/>
      <c r="H836" s="70"/>
      <c r="I836" s="52" t="str">
        <f>IF($K836&lt;&gt;0,VLOOKUP($K836,DM_KM,3,0),"")</f>
        <v/>
      </c>
      <c r="J836" s="52" t="str">
        <f>IF($K836&lt;&gt;0,VLOOKUP($K836,DM_KM,5,0),"")</f>
        <v/>
      </c>
      <c r="K836" s="735"/>
      <c r="L836" s="735"/>
      <c r="M836" s="68"/>
      <c r="N836" s="739"/>
      <c r="O836" s="737"/>
      <c r="P836" s="751"/>
    </row>
    <row r="837" hidden="1">
      <c r="A837" s="1190"/>
      <c r="B837" s="52" t="str">
        <f t="shared" si="1"/>
        <v/>
      </c>
      <c r="C837" s="52" t="str">
        <f>IF(A837="","",VLOOKUP(A837,'THAM CHIẾU'!$A:$B,2,0))</f>
        <v/>
      </c>
      <c r="D837" s="52" t="str">
        <f>IF(E837&lt;&gt;0,VLOOKUP(E837,DM_DUAN,3,0),"")</f>
        <v/>
      </c>
      <c r="E837" s="735"/>
      <c r="F837" s="735"/>
      <c r="G837" s="735"/>
      <c r="H837" s="70"/>
      <c r="I837" s="52" t="str">
        <f>IF($K837&lt;&gt;0,VLOOKUP($K837,DM_KM,3,0),"")</f>
        <v/>
      </c>
      <c r="J837" s="52" t="str">
        <f>IF($K837&lt;&gt;0,VLOOKUP($K837,DM_KM,5,0),"")</f>
        <v/>
      </c>
      <c r="K837" s="735"/>
      <c r="L837" s="735"/>
      <c r="M837" s="68"/>
      <c r="N837" s="739"/>
      <c r="O837" s="737"/>
      <c r="P837" s="751"/>
    </row>
    <row r="838" hidden="1">
      <c r="A838" s="1190"/>
      <c r="B838" s="52" t="str">
        <f t="shared" si="1"/>
        <v/>
      </c>
      <c r="C838" s="52" t="str">
        <f>IF(A838="","",VLOOKUP(A838,'THAM CHIẾU'!$A:$B,2,0))</f>
        <v/>
      </c>
      <c r="D838" s="52" t="str">
        <f>IF(E838&lt;&gt;0,VLOOKUP(E838,DM_DUAN,3,0),"")</f>
        <v/>
      </c>
      <c r="E838" s="735"/>
      <c r="F838" s="735"/>
      <c r="G838" s="735"/>
      <c r="H838" s="70"/>
      <c r="I838" s="52" t="str">
        <f>IF($K838&lt;&gt;0,VLOOKUP($K838,DM_KM,3,0),"")</f>
        <v/>
      </c>
      <c r="J838" s="52" t="str">
        <f>IF($K838&lt;&gt;0,VLOOKUP($K838,DM_KM,5,0),"")</f>
        <v/>
      </c>
      <c r="K838" s="735"/>
      <c r="L838" s="735"/>
      <c r="M838" s="68"/>
      <c r="N838" s="739"/>
      <c r="O838" s="737"/>
      <c r="P838" s="751"/>
    </row>
    <row r="839" hidden="1">
      <c r="A839" s="1190"/>
      <c r="B839" s="52" t="str">
        <f t="shared" si="1"/>
        <v/>
      </c>
      <c r="C839" s="52" t="str">
        <f>IF(A839="","",VLOOKUP(A839,'THAM CHIẾU'!$A:$B,2,0))</f>
        <v/>
      </c>
      <c r="D839" s="52" t="str">
        <f>IF(E839&lt;&gt;0,VLOOKUP(E839,DM_DUAN,3,0),"")</f>
        <v/>
      </c>
      <c r="E839" s="735"/>
      <c r="F839" s="735"/>
      <c r="G839" s="735"/>
      <c r="H839" s="70"/>
      <c r="I839" s="52" t="str">
        <f>IF($K839&lt;&gt;0,VLOOKUP($K839,DM_KM,3,0),"")</f>
        <v/>
      </c>
      <c r="J839" s="52" t="str">
        <f>IF($K839&lt;&gt;0,VLOOKUP($K839,DM_KM,5,0),"")</f>
        <v/>
      </c>
      <c r="K839" s="735"/>
      <c r="L839" s="735"/>
      <c r="M839" s="68"/>
      <c r="N839" s="739"/>
      <c r="O839" s="737"/>
      <c r="P839" s="751"/>
    </row>
    <row r="840" hidden="1">
      <c r="A840" s="1190"/>
      <c r="B840" s="52" t="str">
        <f t="shared" si="1"/>
        <v/>
      </c>
      <c r="C840" s="52" t="str">
        <f>IF(A840="","",VLOOKUP(A840,'THAM CHIẾU'!$A:$B,2,0))</f>
        <v/>
      </c>
      <c r="D840" s="52" t="str">
        <f>IF(E840&lt;&gt;0,VLOOKUP(E840,DM_DUAN,3,0),"")</f>
        <v/>
      </c>
      <c r="E840" s="735"/>
      <c r="F840" s="735"/>
      <c r="G840" s="735"/>
      <c r="H840" s="70"/>
      <c r="I840" s="52" t="str">
        <f>IF($K840&lt;&gt;0,VLOOKUP($K840,DM_KM,3,0),"")</f>
        <v/>
      </c>
      <c r="J840" s="52" t="str">
        <f>IF($K840&lt;&gt;0,VLOOKUP($K840,DM_KM,5,0),"")</f>
        <v/>
      </c>
      <c r="K840" s="735"/>
      <c r="L840" s="735"/>
      <c r="M840" s="68"/>
      <c r="N840" s="739"/>
      <c r="O840" s="737"/>
      <c r="P840" s="751"/>
    </row>
    <row r="841" hidden="1">
      <c r="A841" s="1190"/>
      <c r="B841" s="52" t="str">
        <f t="shared" si="1"/>
        <v/>
      </c>
      <c r="C841" s="52" t="str">
        <f>IF(A841="","",VLOOKUP(A841,'THAM CHIẾU'!$A:$B,2,0))</f>
        <v/>
      </c>
      <c r="D841" s="52" t="str">
        <f>IF(E841&lt;&gt;0,VLOOKUP(E841,DM_DUAN,3,0),"")</f>
        <v/>
      </c>
      <c r="E841" s="735"/>
      <c r="F841" s="735"/>
      <c r="G841" s="735"/>
      <c r="H841" s="70"/>
      <c r="I841" s="52" t="str">
        <f>IF($K841&lt;&gt;0,VLOOKUP($K841,DM_KM,3,0),"")</f>
        <v/>
      </c>
      <c r="J841" s="52" t="str">
        <f>IF($K841&lt;&gt;0,VLOOKUP($K841,DM_KM,5,0),"")</f>
        <v/>
      </c>
      <c r="K841" s="735"/>
      <c r="L841" s="735"/>
      <c r="M841" s="68"/>
      <c r="N841" s="739"/>
      <c r="O841" s="737"/>
      <c r="P841" s="751"/>
    </row>
    <row r="842" hidden="1">
      <c r="A842" s="1190"/>
      <c r="B842" s="52" t="str">
        <f t="shared" si="1"/>
        <v/>
      </c>
      <c r="C842" s="52" t="str">
        <f>IF(A842="","",VLOOKUP(A842,'THAM CHIẾU'!$A:$B,2,0))</f>
        <v/>
      </c>
      <c r="D842" s="52" t="str">
        <f>IF(E842&lt;&gt;0,VLOOKUP(E842,DM_DUAN,3,0),"")</f>
        <v/>
      </c>
      <c r="E842" s="735"/>
      <c r="F842" s="735"/>
      <c r="G842" s="735"/>
      <c r="H842" s="70"/>
      <c r="I842" s="52" t="str">
        <f>IF($K842&lt;&gt;0,VLOOKUP($K842,DM_KM,3,0),"")</f>
        <v/>
      </c>
      <c r="J842" s="52" t="str">
        <f>IF($K842&lt;&gt;0,VLOOKUP($K842,DM_KM,5,0),"")</f>
        <v/>
      </c>
      <c r="K842" s="735"/>
      <c r="L842" s="735"/>
      <c r="M842" s="68"/>
      <c r="N842" s="739"/>
      <c r="O842" s="737"/>
      <c r="P842" s="751"/>
    </row>
    <row r="843" hidden="1">
      <c r="A843" s="1190"/>
      <c r="B843" s="52" t="str">
        <f t="shared" si="1"/>
        <v/>
      </c>
      <c r="C843" s="52" t="str">
        <f>IF(A843="","",VLOOKUP(A843,'THAM CHIẾU'!$A:$B,2,0))</f>
        <v/>
      </c>
      <c r="D843" s="52" t="str">
        <f>IF(E843&lt;&gt;0,VLOOKUP(E843,DM_DUAN,3,0),"")</f>
        <v/>
      </c>
      <c r="E843" s="735"/>
      <c r="F843" s="735"/>
      <c r="G843" s="735"/>
      <c r="H843" s="70"/>
      <c r="I843" s="52" t="str">
        <f>IF($K843&lt;&gt;0,VLOOKUP($K843,DM_KM,3,0),"")</f>
        <v/>
      </c>
      <c r="J843" s="52" t="str">
        <f>IF($K843&lt;&gt;0,VLOOKUP($K843,DM_KM,5,0),"")</f>
        <v/>
      </c>
      <c r="K843" s="735"/>
      <c r="L843" s="735"/>
      <c r="M843" s="68"/>
      <c r="N843" s="739"/>
      <c r="O843" s="737"/>
      <c r="P843" s="751"/>
    </row>
    <row r="844" hidden="1">
      <c r="A844" s="1190"/>
      <c r="B844" s="52" t="str">
        <f t="shared" si="1"/>
        <v/>
      </c>
      <c r="C844" s="52" t="str">
        <f>IF(A844="","",VLOOKUP(A844,'THAM CHIẾU'!$A:$B,2,0))</f>
        <v/>
      </c>
      <c r="D844" s="52" t="str">
        <f>IF(E844&lt;&gt;0,VLOOKUP(E844,DM_DUAN,3,0),"")</f>
        <v/>
      </c>
      <c r="E844" s="735"/>
      <c r="F844" s="735"/>
      <c r="G844" s="735"/>
      <c r="H844" s="70"/>
      <c r="I844" s="52" t="str">
        <f>IF($K844&lt;&gt;0,VLOOKUP($K844,DM_KM,3,0),"")</f>
        <v/>
      </c>
      <c r="J844" s="52" t="str">
        <f>IF($K844&lt;&gt;0,VLOOKUP($K844,DM_KM,5,0),"")</f>
        <v/>
      </c>
      <c r="K844" s="735"/>
      <c r="L844" s="735"/>
      <c r="M844" s="68"/>
      <c r="N844" s="739"/>
      <c r="O844" s="737"/>
      <c r="P844" s="751"/>
    </row>
    <row r="845" hidden="1">
      <c r="A845" s="1190"/>
      <c r="B845" s="52" t="str">
        <f t="shared" si="1"/>
        <v/>
      </c>
      <c r="C845" s="52" t="str">
        <f>IF(A845="","",VLOOKUP(A845,'THAM CHIẾU'!$A:$B,2,0))</f>
        <v/>
      </c>
      <c r="D845" s="52" t="str">
        <f>IF(E845&lt;&gt;0,VLOOKUP(E845,DM_DUAN,3,0),"")</f>
        <v/>
      </c>
      <c r="E845" s="735"/>
      <c r="F845" s="735"/>
      <c r="G845" s="735"/>
      <c r="H845" s="70"/>
      <c r="I845" s="52" t="str">
        <f>IF($K845&lt;&gt;0,VLOOKUP($K845,DM_KM,3,0),"")</f>
        <v/>
      </c>
      <c r="J845" s="52" t="str">
        <f>IF($K845&lt;&gt;0,VLOOKUP($K845,DM_KM,5,0),"")</f>
        <v/>
      </c>
      <c r="K845" s="735"/>
      <c r="L845" s="735"/>
      <c r="M845" s="68"/>
      <c r="N845" s="739"/>
      <c r="O845" s="737"/>
      <c r="P845" s="751"/>
    </row>
    <row r="846" hidden="1">
      <c r="A846" s="1190"/>
      <c r="B846" s="52" t="str">
        <f t="shared" si="1"/>
        <v/>
      </c>
      <c r="C846" s="52" t="str">
        <f>IF(A846="","",VLOOKUP(A846,'THAM CHIẾU'!$A:$B,2,0))</f>
        <v/>
      </c>
      <c r="D846" s="52" t="str">
        <f>IF(E846&lt;&gt;0,VLOOKUP(E846,DM_DUAN,3,0),"")</f>
        <v/>
      </c>
      <c r="E846" s="735"/>
      <c r="F846" s="735"/>
      <c r="G846" s="735"/>
      <c r="H846" s="70"/>
      <c r="I846" s="52" t="str">
        <f>IF($K846&lt;&gt;0,VLOOKUP($K846,DM_KM,3,0),"")</f>
        <v/>
      </c>
      <c r="J846" s="52" t="str">
        <f>IF($K846&lt;&gt;0,VLOOKUP($K846,DM_KM,5,0),"")</f>
        <v/>
      </c>
      <c r="K846" s="735"/>
      <c r="L846" s="735"/>
      <c r="M846" s="68"/>
      <c r="N846" s="739"/>
      <c r="O846" s="737"/>
      <c r="P846" s="751"/>
    </row>
    <row r="847" hidden="1">
      <c r="A847" s="1190"/>
      <c r="B847" s="52" t="str">
        <f t="shared" si="1"/>
        <v/>
      </c>
      <c r="C847" s="52" t="str">
        <f>IF(A847="","",VLOOKUP(A847,'THAM CHIẾU'!$A:$B,2,0))</f>
        <v/>
      </c>
      <c r="D847" s="52" t="str">
        <f>IF(E847&lt;&gt;0,VLOOKUP(E847,DM_DUAN,3,0),"")</f>
        <v/>
      </c>
      <c r="E847" s="735"/>
      <c r="F847" s="735"/>
      <c r="G847" s="735"/>
      <c r="H847" s="70"/>
      <c r="I847" s="52" t="str">
        <f>IF($K847&lt;&gt;0,VLOOKUP($K847,DM_KM,3,0),"")</f>
        <v/>
      </c>
      <c r="J847" s="52" t="str">
        <f>IF($K847&lt;&gt;0,VLOOKUP($K847,DM_KM,5,0),"")</f>
        <v/>
      </c>
      <c r="K847" s="735"/>
      <c r="L847" s="735"/>
      <c r="M847" s="68"/>
      <c r="N847" s="739"/>
      <c r="O847" s="737"/>
      <c r="P847" s="751"/>
    </row>
    <row r="848" hidden="1">
      <c r="A848" s="1190"/>
      <c r="B848" s="52" t="str">
        <f t="shared" si="1"/>
        <v/>
      </c>
      <c r="C848" s="52" t="str">
        <f>IF(A848="","",VLOOKUP(A848,'THAM CHIẾU'!$A:$B,2,0))</f>
        <v/>
      </c>
      <c r="D848" s="52" t="str">
        <f>IF(E848&lt;&gt;0,VLOOKUP(E848,DM_DUAN,3,0),"")</f>
        <v/>
      </c>
      <c r="E848" s="735"/>
      <c r="F848" s="735"/>
      <c r="G848" s="735"/>
      <c r="H848" s="70"/>
      <c r="I848" s="52" t="str">
        <f>IF($K848&lt;&gt;0,VLOOKUP($K848,DM_KM,3,0),"")</f>
        <v/>
      </c>
      <c r="J848" s="52" t="str">
        <f>IF($K848&lt;&gt;0,VLOOKUP($K848,DM_KM,5,0),"")</f>
        <v/>
      </c>
      <c r="K848" s="735"/>
      <c r="L848" s="735"/>
      <c r="M848" s="68"/>
      <c r="N848" s="739"/>
      <c r="O848" s="737"/>
      <c r="P848" s="751"/>
    </row>
    <row r="849" hidden="1">
      <c r="A849" s="1190"/>
      <c r="B849" s="52" t="str">
        <f t="shared" si="1"/>
        <v/>
      </c>
      <c r="C849" s="52" t="str">
        <f>IF(A849="","",VLOOKUP(A849,'THAM CHIẾU'!$A:$B,2,0))</f>
        <v/>
      </c>
      <c r="D849" s="52" t="str">
        <f>IF(E849&lt;&gt;0,VLOOKUP(E849,DM_DUAN,3,0),"")</f>
        <v/>
      </c>
      <c r="E849" s="735"/>
      <c r="F849" s="735"/>
      <c r="G849" s="735"/>
      <c r="H849" s="70"/>
      <c r="I849" s="52" t="str">
        <f>IF($K849&lt;&gt;0,VLOOKUP($K849,DM_KM,3,0),"")</f>
        <v/>
      </c>
      <c r="J849" s="52" t="str">
        <f>IF($K849&lt;&gt;0,VLOOKUP($K849,DM_KM,5,0),"")</f>
        <v/>
      </c>
      <c r="K849" s="735"/>
      <c r="L849" s="735"/>
      <c r="M849" s="68"/>
      <c r="N849" s="739"/>
      <c r="O849" s="737"/>
      <c r="P849" s="751"/>
    </row>
    <row r="850" hidden="1">
      <c r="A850" s="1190"/>
      <c r="B850" s="52" t="str">
        <f t="shared" si="1"/>
        <v/>
      </c>
      <c r="C850" s="52" t="str">
        <f>IF(A850="","",VLOOKUP(A850,'THAM CHIẾU'!$A:$B,2,0))</f>
        <v/>
      </c>
      <c r="D850" s="52" t="str">
        <f>IF(E850&lt;&gt;0,VLOOKUP(E850,DM_DUAN,3,0),"")</f>
        <v/>
      </c>
      <c r="E850" s="735"/>
      <c r="F850" s="735"/>
      <c r="G850" s="735"/>
      <c r="H850" s="70"/>
      <c r="I850" s="52" t="str">
        <f>IF($K850&lt;&gt;0,VLOOKUP($K850,DM_KM,3,0),"")</f>
        <v/>
      </c>
      <c r="J850" s="52" t="str">
        <f>IF($K850&lt;&gt;0,VLOOKUP($K850,DM_KM,5,0),"")</f>
        <v/>
      </c>
      <c r="K850" s="735"/>
      <c r="L850" s="735"/>
      <c r="M850" s="68"/>
      <c r="N850" s="739"/>
      <c r="O850" s="737"/>
      <c r="P850" s="751"/>
    </row>
    <row r="851" hidden="1">
      <c r="A851" s="1190"/>
      <c r="B851" s="52" t="str">
        <f t="shared" si="1"/>
        <v/>
      </c>
      <c r="C851" s="52" t="str">
        <f>IF(A851="","",VLOOKUP(A851,'THAM CHIẾU'!$A:$B,2,0))</f>
        <v/>
      </c>
      <c r="D851" s="52" t="str">
        <f>IF(E851&lt;&gt;0,VLOOKUP(E851,DM_DUAN,3,0),"")</f>
        <v/>
      </c>
      <c r="E851" s="735"/>
      <c r="F851" s="735"/>
      <c r="G851" s="735"/>
      <c r="H851" s="70"/>
      <c r="I851" s="52" t="str">
        <f>IF($K851&lt;&gt;0,VLOOKUP($K851,DM_KM,3,0),"")</f>
        <v/>
      </c>
      <c r="J851" s="52" t="str">
        <f>IF($K851&lt;&gt;0,VLOOKUP($K851,DM_KM,5,0),"")</f>
        <v/>
      </c>
      <c r="K851" s="735"/>
      <c r="L851" s="735"/>
      <c r="M851" s="68"/>
      <c r="N851" s="739"/>
      <c r="O851" s="737"/>
      <c r="P851" s="751"/>
    </row>
    <row r="852" hidden="1">
      <c r="A852" s="1190"/>
      <c r="B852" s="52" t="str">
        <f t="shared" si="1"/>
        <v/>
      </c>
      <c r="C852" s="52" t="str">
        <f>IF(A852="","",VLOOKUP(A852,'THAM CHIẾU'!$A:$B,2,0))</f>
        <v/>
      </c>
      <c r="D852" s="52" t="str">
        <f>IF(E852&lt;&gt;0,VLOOKUP(E852,DM_DUAN,3,0),"")</f>
        <v/>
      </c>
      <c r="E852" s="735"/>
      <c r="F852" s="735"/>
      <c r="G852" s="735"/>
      <c r="H852" s="70"/>
      <c r="I852" s="52" t="str">
        <f>IF($K852&lt;&gt;0,VLOOKUP($K852,DM_KM,3,0),"")</f>
        <v/>
      </c>
      <c r="J852" s="52" t="str">
        <f>IF($K852&lt;&gt;0,VLOOKUP($K852,DM_KM,5,0),"")</f>
        <v/>
      </c>
      <c r="K852" s="735"/>
      <c r="L852" s="735"/>
      <c r="M852" s="68"/>
      <c r="N852" s="739"/>
      <c r="O852" s="737"/>
      <c r="P852" s="751"/>
    </row>
    <row r="853" hidden="1">
      <c r="A853" s="1190"/>
      <c r="B853" s="52" t="str">
        <f t="shared" si="1"/>
        <v/>
      </c>
      <c r="C853" s="52" t="str">
        <f>IF(A853="","",VLOOKUP(A853,'THAM CHIẾU'!$A:$B,2,0))</f>
        <v/>
      </c>
      <c r="D853" s="52" t="str">
        <f>IF(E853&lt;&gt;0,VLOOKUP(E853,DM_DUAN,3,0),"")</f>
        <v/>
      </c>
      <c r="E853" s="735"/>
      <c r="F853" s="735"/>
      <c r="G853" s="735"/>
      <c r="H853" s="70"/>
      <c r="I853" s="52" t="str">
        <f>IF($K853&lt;&gt;0,VLOOKUP($K853,DM_KM,3,0),"")</f>
        <v/>
      </c>
      <c r="J853" s="52" t="str">
        <f>IF($K853&lt;&gt;0,VLOOKUP($K853,DM_KM,5,0),"")</f>
        <v/>
      </c>
      <c r="K853" s="735"/>
      <c r="L853" s="735"/>
      <c r="M853" s="68"/>
      <c r="N853" s="739"/>
      <c r="O853" s="737"/>
      <c r="P853" s="751"/>
    </row>
    <row r="854" hidden="1">
      <c r="A854" s="1190"/>
      <c r="B854" s="52" t="str">
        <f t="shared" si="1"/>
        <v/>
      </c>
      <c r="C854" s="52" t="str">
        <f>IF(A854="","",VLOOKUP(A854,'THAM CHIẾU'!$A:$B,2,0))</f>
        <v/>
      </c>
      <c r="D854" s="52" t="str">
        <f>IF(E854&lt;&gt;0,VLOOKUP(E854,DM_DUAN,3,0),"")</f>
        <v/>
      </c>
      <c r="E854" s="735"/>
      <c r="F854" s="735"/>
      <c r="G854" s="735"/>
      <c r="H854" s="70"/>
      <c r="I854" s="52" t="str">
        <f>IF($K854&lt;&gt;0,VLOOKUP($K854,DM_KM,3,0),"")</f>
        <v/>
      </c>
      <c r="J854" s="52" t="str">
        <f>IF($K854&lt;&gt;0,VLOOKUP($K854,DM_KM,5,0),"")</f>
        <v/>
      </c>
      <c r="K854" s="735"/>
      <c r="L854" s="735"/>
      <c r="M854" s="68"/>
      <c r="N854" s="739"/>
      <c r="O854" s="737"/>
      <c r="P854" s="751"/>
    </row>
    <row r="855" hidden="1">
      <c r="A855" s="1190"/>
      <c r="B855" s="52" t="str">
        <f t="shared" si="1"/>
        <v/>
      </c>
      <c r="C855" s="52" t="str">
        <f>IF(A855="","",VLOOKUP(A855,'THAM CHIẾU'!$A:$B,2,0))</f>
        <v/>
      </c>
      <c r="D855" s="52" t="str">
        <f>IF(E855&lt;&gt;0,VLOOKUP(E855,DM_DUAN,3,0),"")</f>
        <v/>
      </c>
      <c r="E855" s="735"/>
      <c r="F855" s="735"/>
      <c r="G855" s="735"/>
      <c r="H855" s="70"/>
      <c r="I855" s="52" t="str">
        <f>IF($K855&lt;&gt;0,VLOOKUP($K855,DM_KM,3,0),"")</f>
        <v/>
      </c>
      <c r="J855" s="52" t="str">
        <f>IF($K855&lt;&gt;0,VLOOKUP($K855,DM_KM,5,0),"")</f>
        <v/>
      </c>
      <c r="K855" s="735"/>
      <c r="L855" s="735"/>
      <c r="M855" s="68"/>
      <c r="N855" s="739"/>
      <c r="O855" s="737"/>
      <c r="P855" s="751"/>
    </row>
    <row r="856" hidden="1">
      <c r="A856" s="1190"/>
      <c r="B856" s="52" t="str">
        <f t="shared" si="1"/>
        <v/>
      </c>
      <c r="C856" s="52" t="str">
        <f>IF(A856="","",VLOOKUP(A856,'THAM CHIẾU'!$A:$B,2,0))</f>
        <v/>
      </c>
      <c r="D856" s="52" t="str">
        <f>IF(E856&lt;&gt;0,VLOOKUP(E856,DM_DUAN,3,0),"")</f>
        <v/>
      </c>
      <c r="E856" s="735"/>
      <c r="F856" s="735"/>
      <c r="G856" s="735"/>
      <c r="H856" s="70"/>
      <c r="I856" s="52" t="str">
        <f>IF($K856&lt;&gt;0,VLOOKUP($K856,DM_KM,3,0),"")</f>
        <v/>
      </c>
      <c r="J856" s="52" t="str">
        <f>IF($K856&lt;&gt;0,VLOOKUP($K856,DM_KM,5,0),"")</f>
        <v/>
      </c>
      <c r="K856" s="735"/>
      <c r="L856" s="735"/>
      <c r="M856" s="68"/>
      <c r="N856" s="739"/>
      <c r="O856" s="737"/>
      <c r="P856" s="751"/>
    </row>
    <row r="857" hidden="1">
      <c r="A857" s="1190"/>
      <c r="B857" s="52" t="str">
        <f t="shared" si="1"/>
        <v/>
      </c>
      <c r="C857" s="52" t="str">
        <f>IF(A857="","",VLOOKUP(A857,'THAM CHIẾU'!$A:$B,2,0))</f>
        <v/>
      </c>
      <c r="D857" s="52" t="str">
        <f>IF(E857&lt;&gt;0,VLOOKUP(E857,DM_DUAN,3,0),"")</f>
        <v/>
      </c>
      <c r="E857" s="735"/>
      <c r="F857" s="735"/>
      <c r="G857" s="735"/>
      <c r="H857" s="70"/>
      <c r="I857" s="52" t="str">
        <f>IF($K857&lt;&gt;0,VLOOKUP($K857,DM_KM,3,0),"")</f>
        <v/>
      </c>
      <c r="J857" s="52" t="str">
        <f>IF($K857&lt;&gt;0,VLOOKUP($K857,DM_KM,5,0),"")</f>
        <v/>
      </c>
      <c r="K857" s="735"/>
      <c r="L857" s="735"/>
      <c r="M857" s="68"/>
      <c r="N857" s="739"/>
      <c r="O857" s="737"/>
      <c r="P857" s="751"/>
    </row>
    <row r="858" hidden="1">
      <c r="A858" s="1190"/>
      <c r="B858" s="52" t="str">
        <f t="shared" si="1"/>
        <v/>
      </c>
      <c r="C858" s="52" t="str">
        <f>IF(A858="","",VLOOKUP(A858,'THAM CHIẾU'!$A:$B,2,0))</f>
        <v/>
      </c>
      <c r="D858" s="52" t="str">
        <f>IF(E858&lt;&gt;0,VLOOKUP(E858,DM_DUAN,3,0),"")</f>
        <v/>
      </c>
      <c r="E858" s="735"/>
      <c r="F858" s="735"/>
      <c r="G858" s="735"/>
      <c r="H858" s="70"/>
      <c r="I858" s="52" t="str">
        <f>IF($K858&lt;&gt;0,VLOOKUP($K858,DM_KM,3,0),"")</f>
        <v/>
      </c>
      <c r="J858" s="52" t="str">
        <f>IF($K858&lt;&gt;0,VLOOKUP($K858,DM_KM,5,0),"")</f>
        <v/>
      </c>
      <c r="K858" s="735"/>
      <c r="L858" s="735"/>
      <c r="M858" s="68"/>
      <c r="N858" s="739"/>
      <c r="O858" s="737"/>
      <c r="P858" s="751"/>
    </row>
    <row r="859" hidden="1">
      <c r="A859" s="1190"/>
      <c r="B859" s="52" t="str">
        <f t="shared" si="1"/>
        <v/>
      </c>
      <c r="C859" s="52" t="str">
        <f>IF(A859="","",VLOOKUP(A859,'THAM CHIẾU'!$A:$B,2,0))</f>
        <v/>
      </c>
      <c r="D859" s="52" t="str">
        <f>IF(E859&lt;&gt;0,VLOOKUP(E859,DM_DUAN,3,0),"")</f>
        <v/>
      </c>
      <c r="E859" s="735"/>
      <c r="F859" s="735"/>
      <c r="G859" s="735"/>
      <c r="H859" s="70"/>
      <c r="I859" s="52" t="str">
        <f>IF($K859&lt;&gt;0,VLOOKUP($K859,DM_KM,3,0),"")</f>
        <v/>
      </c>
      <c r="J859" s="52" t="str">
        <f>IF($K859&lt;&gt;0,VLOOKUP($K859,DM_KM,5,0),"")</f>
        <v/>
      </c>
      <c r="K859" s="735"/>
      <c r="L859" s="735"/>
      <c r="M859" s="68"/>
      <c r="N859" s="739"/>
      <c r="O859" s="737"/>
      <c r="P859" s="751"/>
    </row>
    <row r="860" hidden="1">
      <c r="A860" s="1190"/>
      <c r="B860" s="52" t="str">
        <f t="shared" si="1"/>
        <v/>
      </c>
      <c r="C860" s="52" t="str">
        <f>IF(A860="","",VLOOKUP(A860,'THAM CHIẾU'!$A:$B,2,0))</f>
        <v/>
      </c>
      <c r="D860" s="52" t="str">
        <f>IF(E860&lt;&gt;0,VLOOKUP(E860,DM_DUAN,3,0),"")</f>
        <v/>
      </c>
      <c r="E860" s="735"/>
      <c r="F860" s="735"/>
      <c r="G860" s="735"/>
      <c r="H860" s="70"/>
      <c r="I860" s="52" t="str">
        <f>IF($K860&lt;&gt;0,VLOOKUP($K860,DM_KM,3,0),"")</f>
        <v/>
      </c>
      <c r="J860" s="52" t="str">
        <f>IF($K860&lt;&gt;0,VLOOKUP($K860,DM_KM,5,0),"")</f>
        <v/>
      </c>
      <c r="K860" s="735"/>
      <c r="L860" s="735"/>
      <c r="M860" s="68"/>
      <c r="N860" s="739"/>
      <c r="O860" s="737"/>
      <c r="P860" s="751"/>
    </row>
    <row r="861" hidden="1">
      <c r="A861" s="1190"/>
      <c r="B861" s="52" t="str">
        <f t="shared" si="1"/>
        <v/>
      </c>
      <c r="C861" s="52" t="str">
        <f>IF(A861="","",VLOOKUP(A861,'THAM CHIẾU'!$A:$B,2,0))</f>
        <v/>
      </c>
      <c r="D861" s="52" t="str">
        <f>IF(E861&lt;&gt;0,VLOOKUP(E861,DM_DUAN,3,0),"")</f>
        <v/>
      </c>
      <c r="E861" s="735"/>
      <c r="F861" s="735"/>
      <c r="G861" s="735"/>
      <c r="H861" s="70"/>
      <c r="I861" s="52" t="str">
        <f>IF($K861&lt;&gt;0,VLOOKUP($K861,DM_KM,3,0),"")</f>
        <v/>
      </c>
      <c r="J861" s="52" t="str">
        <f>IF($K861&lt;&gt;0,VLOOKUP($K861,DM_KM,5,0),"")</f>
        <v/>
      </c>
      <c r="K861" s="735"/>
      <c r="L861" s="735"/>
      <c r="M861" s="68"/>
      <c r="N861" s="739"/>
      <c r="O861" s="737"/>
      <c r="P861" s="751"/>
    </row>
    <row r="862" hidden="1">
      <c r="A862" s="1190"/>
      <c r="B862" s="52" t="str">
        <f t="shared" si="1"/>
        <v/>
      </c>
      <c r="C862" s="52" t="str">
        <f>IF(A862="","",VLOOKUP(A862,'THAM CHIẾU'!$A:$B,2,0))</f>
        <v/>
      </c>
      <c r="D862" s="52" t="str">
        <f>IF(E862&lt;&gt;0,VLOOKUP(E862,DM_DUAN,3,0),"")</f>
        <v/>
      </c>
      <c r="E862" s="735"/>
      <c r="F862" s="735"/>
      <c r="G862" s="735"/>
      <c r="H862" s="70"/>
      <c r="I862" s="52" t="str">
        <f>IF($K862&lt;&gt;0,VLOOKUP($K862,DM_KM,3,0),"")</f>
        <v/>
      </c>
      <c r="J862" s="52" t="str">
        <f>IF($K862&lt;&gt;0,VLOOKUP($K862,DM_KM,5,0),"")</f>
        <v/>
      </c>
      <c r="K862" s="735"/>
      <c r="L862" s="735"/>
      <c r="M862" s="68"/>
      <c r="N862" s="739"/>
      <c r="O862" s="737"/>
      <c r="P862" s="751"/>
    </row>
    <row r="863" hidden="1">
      <c r="A863" s="1190"/>
      <c r="B863" s="52" t="str">
        <f t="shared" si="1"/>
        <v/>
      </c>
      <c r="C863" s="52" t="str">
        <f>IF(A863="","",VLOOKUP(A863,'THAM CHIẾU'!$A:$B,2,0))</f>
        <v/>
      </c>
      <c r="D863" s="52" t="str">
        <f>IF(E863&lt;&gt;0,VLOOKUP(E863,DM_DUAN,3,0),"")</f>
        <v/>
      </c>
      <c r="E863" s="735"/>
      <c r="F863" s="735"/>
      <c r="G863" s="735"/>
      <c r="H863" s="70"/>
      <c r="I863" s="52" t="str">
        <f>IF($K863&lt;&gt;0,VLOOKUP($K863,DM_KM,3,0),"")</f>
        <v/>
      </c>
      <c r="J863" s="52" t="str">
        <f>IF($K863&lt;&gt;0,VLOOKUP($K863,DM_KM,5,0),"")</f>
        <v/>
      </c>
      <c r="K863" s="735"/>
      <c r="L863" s="735"/>
      <c r="M863" s="68"/>
      <c r="N863" s="739"/>
      <c r="O863" s="737"/>
      <c r="P863" s="751"/>
    </row>
    <row r="864" hidden="1">
      <c r="A864" s="1190"/>
      <c r="B864" s="52" t="str">
        <f t="shared" si="1"/>
        <v/>
      </c>
      <c r="C864" s="52" t="str">
        <f>IF(A864="","",VLOOKUP(A864,'THAM CHIẾU'!$A:$B,2,0))</f>
        <v/>
      </c>
      <c r="D864" s="52" t="str">
        <f>IF(E864&lt;&gt;0,VLOOKUP(E864,DM_DUAN,3,0),"")</f>
        <v/>
      </c>
      <c r="E864" s="735"/>
      <c r="F864" s="735"/>
      <c r="G864" s="735"/>
      <c r="H864" s="70"/>
      <c r="I864" s="52" t="str">
        <f>IF($K864&lt;&gt;0,VLOOKUP($K864,DM_KM,3,0),"")</f>
        <v/>
      </c>
      <c r="J864" s="52" t="str">
        <f>IF($K864&lt;&gt;0,VLOOKUP($K864,DM_KM,5,0),"")</f>
        <v/>
      </c>
      <c r="K864" s="735"/>
      <c r="L864" s="735"/>
      <c r="M864" s="68"/>
      <c r="N864" s="739"/>
      <c r="O864" s="737"/>
      <c r="P864" s="751"/>
    </row>
    <row r="865" hidden="1">
      <c r="A865" s="1190"/>
      <c r="B865" s="52" t="str">
        <f t="shared" si="1"/>
        <v/>
      </c>
      <c r="C865" s="52" t="str">
        <f>IF(A865="","",VLOOKUP(A865,'THAM CHIẾU'!$A:$B,2,0))</f>
        <v/>
      </c>
      <c r="D865" s="52" t="str">
        <f>IF(E865&lt;&gt;0,VLOOKUP(E865,DM_DUAN,3,0),"")</f>
        <v/>
      </c>
      <c r="E865" s="735"/>
      <c r="F865" s="735"/>
      <c r="G865" s="735"/>
      <c r="H865" s="70"/>
      <c r="I865" s="52" t="str">
        <f>IF($K865&lt;&gt;0,VLOOKUP($K865,DM_KM,3,0),"")</f>
        <v/>
      </c>
      <c r="J865" s="52" t="str">
        <f>IF($K865&lt;&gt;0,VLOOKUP($K865,DM_KM,5,0),"")</f>
        <v/>
      </c>
      <c r="K865" s="735"/>
      <c r="L865" s="735"/>
      <c r="M865" s="68"/>
      <c r="N865" s="739"/>
      <c r="O865" s="737"/>
      <c r="P865" s="751"/>
    </row>
    <row r="866" hidden="1">
      <c r="A866" s="1190"/>
      <c r="B866" s="52" t="str">
        <f t="shared" si="1"/>
        <v/>
      </c>
      <c r="C866" s="52" t="str">
        <f>IF(A866="","",VLOOKUP(A866,'THAM CHIẾU'!$A:$B,2,0))</f>
        <v/>
      </c>
      <c r="D866" s="52" t="str">
        <f>IF(E866&lt;&gt;0,VLOOKUP(E866,DM_DUAN,3,0),"")</f>
        <v/>
      </c>
      <c r="E866" s="735"/>
      <c r="F866" s="735"/>
      <c r="G866" s="735"/>
      <c r="H866" s="70"/>
      <c r="I866" s="52" t="str">
        <f>IF($K866&lt;&gt;0,VLOOKUP($K866,DM_KM,3,0),"")</f>
        <v/>
      </c>
      <c r="J866" s="52" t="str">
        <f>IF($K866&lt;&gt;0,VLOOKUP($K866,DM_KM,5,0),"")</f>
        <v/>
      </c>
      <c r="K866" s="735"/>
      <c r="L866" s="735"/>
      <c r="M866" s="68"/>
      <c r="N866" s="739"/>
      <c r="O866" s="737"/>
      <c r="P866" s="751"/>
    </row>
    <row r="867" hidden="1">
      <c r="A867" s="1190"/>
      <c r="B867" s="52" t="str">
        <f t="shared" si="1"/>
        <v/>
      </c>
      <c r="C867" s="52" t="str">
        <f>IF(A867="","",VLOOKUP(A867,'THAM CHIẾU'!$A:$B,2,0))</f>
        <v/>
      </c>
      <c r="D867" s="52" t="str">
        <f>IF(E867&lt;&gt;0,VLOOKUP(E867,DM_DUAN,3,0),"")</f>
        <v/>
      </c>
      <c r="E867" s="735"/>
      <c r="F867" s="735"/>
      <c r="G867" s="735"/>
      <c r="H867" s="70"/>
      <c r="I867" s="52" t="str">
        <f>IF($K867&lt;&gt;0,VLOOKUP($K867,DM_KM,3,0),"")</f>
        <v/>
      </c>
      <c r="J867" s="52" t="str">
        <f>IF($K867&lt;&gt;0,VLOOKUP($K867,DM_KM,5,0),"")</f>
        <v/>
      </c>
      <c r="K867" s="735"/>
      <c r="L867" s="735"/>
      <c r="M867" s="68"/>
      <c r="N867" s="739"/>
      <c r="O867" s="737"/>
      <c r="P867" s="751"/>
    </row>
    <row r="868" hidden="1">
      <c r="A868" s="1190"/>
      <c r="B868" s="52" t="str">
        <f t="shared" si="1"/>
        <v/>
      </c>
      <c r="C868" s="52" t="str">
        <f>IF(A868="","",VLOOKUP(A868,'THAM CHIẾU'!$A:$B,2,0))</f>
        <v/>
      </c>
      <c r="D868" s="52" t="str">
        <f>IF(E868&lt;&gt;0,VLOOKUP(E868,DM_DUAN,3,0),"")</f>
        <v/>
      </c>
      <c r="E868" s="735"/>
      <c r="F868" s="735"/>
      <c r="G868" s="735"/>
      <c r="H868" s="70"/>
      <c r="I868" s="52" t="str">
        <f>IF($K868&lt;&gt;0,VLOOKUP($K868,DM_KM,3,0),"")</f>
        <v/>
      </c>
      <c r="J868" s="52" t="str">
        <f>IF($K868&lt;&gt;0,VLOOKUP($K868,DM_KM,5,0),"")</f>
        <v/>
      </c>
      <c r="K868" s="735"/>
      <c r="L868" s="735"/>
      <c r="M868" s="68"/>
      <c r="N868" s="739"/>
      <c r="O868" s="737"/>
      <c r="P868" s="751"/>
    </row>
    <row r="869" hidden="1">
      <c r="A869" s="1190"/>
      <c r="B869" s="52" t="str">
        <f t="shared" si="1"/>
        <v/>
      </c>
      <c r="C869" s="52" t="str">
        <f>IF(A869="","",VLOOKUP(A869,'THAM CHIẾU'!$A:$B,2,0))</f>
        <v/>
      </c>
      <c r="D869" s="52" t="str">
        <f>IF(E869&lt;&gt;0,VLOOKUP(E869,DM_DUAN,3,0),"")</f>
        <v/>
      </c>
      <c r="E869" s="735"/>
      <c r="F869" s="735"/>
      <c r="G869" s="735"/>
      <c r="H869" s="70"/>
      <c r="I869" s="52" t="str">
        <f>IF($K869&lt;&gt;0,VLOOKUP($K869,DM_KM,3,0),"")</f>
        <v/>
      </c>
      <c r="J869" s="52" t="str">
        <f>IF($K869&lt;&gt;0,VLOOKUP($K869,DM_KM,5,0),"")</f>
        <v/>
      </c>
      <c r="K869" s="735"/>
      <c r="L869" s="735"/>
      <c r="M869" s="68"/>
      <c r="N869" s="739"/>
      <c r="O869" s="737"/>
      <c r="P869" s="751"/>
    </row>
    <row r="870" hidden="1">
      <c r="A870" s="1190"/>
      <c r="B870" s="52" t="str">
        <f t="shared" si="1"/>
        <v/>
      </c>
      <c r="C870" s="52" t="str">
        <f>IF(A870="","",VLOOKUP(A870,'THAM CHIẾU'!$A:$B,2,0))</f>
        <v/>
      </c>
      <c r="D870" s="52" t="str">
        <f>IF(E870&lt;&gt;0,VLOOKUP(E870,DM_DUAN,3,0),"")</f>
        <v/>
      </c>
      <c r="E870" s="735"/>
      <c r="F870" s="735"/>
      <c r="G870" s="735"/>
      <c r="H870" s="70"/>
      <c r="I870" s="52" t="str">
        <f>IF($K870&lt;&gt;0,VLOOKUP($K870,DM_KM,3,0),"")</f>
        <v/>
      </c>
      <c r="J870" s="52" t="str">
        <f>IF($K870&lt;&gt;0,VLOOKUP($K870,DM_KM,5,0),"")</f>
        <v/>
      </c>
      <c r="K870" s="735"/>
      <c r="L870" s="735"/>
      <c r="M870" s="68"/>
      <c r="N870" s="739"/>
      <c r="O870" s="737"/>
      <c r="P870" s="751"/>
    </row>
    <row r="871" hidden="1">
      <c r="A871" s="1190"/>
      <c r="B871" s="52" t="str">
        <f t="shared" si="1"/>
        <v/>
      </c>
      <c r="C871" s="52" t="str">
        <f>IF(A871="","",VLOOKUP(A871,'THAM CHIẾU'!$A:$B,2,0))</f>
        <v/>
      </c>
      <c r="D871" s="52" t="str">
        <f>IF(E871&lt;&gt;0,VLOOKUP(E871,DM_DUAN,3,0),"")</f>
        <v/>
      </c>
      <c r="E871" s="735"/>
      <c r="F871" s="735"/>
      <c r="G871" s="735"/>
      <c r="H871" s="70"/>
      <c r="I871" s="52" t="str">
        <f>IF($K871&lt;&gt;0,VLOOKUP($K871,DM_KM,3,0),"")</f>
        <v/>
      </c>
      <c r="J871" s="52" t="str">
        <f>IF($K871&lt;&gt;0,VLOOKUP($K871,DM_KM,5,0),"")</f>
        <v/>
      </c>
      <c r="K871" s="735"/>
      <c r="L871" s="735"/>
      <c r="M871" s="68"/>
      <c r="N871" s="739"/>
      <c r="O871" s="737"/>
      <c r="P871" s="751"/>
    </row>
    <row r="872" hidden="1">
      <c r="A872" s="1190"/>
      <c r="B872" s="52" t="str">
        <f t="shared" si="1"/>
        <v/>
      </c>
      <c r="C872" s="52" t="str">
        <f>IF(A872="","",VLOOKUP(A872,'THAM CHIẾU'!$A:$B,2,0))</f>
        <v/>
      </c>
      <c r="D872" s="52" t="str">
        <f>IF(E872&lt;&gt;0,VLOOKUP(E872,DM_DUAN,3,0),"")</f>
        <v/>
      </c>
      <c r="E872" s="735"/>
      <c r="F872" s="735"/>
      <c r="G872" s="735"/>
      <c r="H872" s="70"/>
      <c r="I872" s="52" t="str">
        <f>IF($K872&lt;&gt;0,VLOOKUP($K872,DM_KM,3,0),"")</f>
        <v/>
      </c>
      <c r="J872" s="52" t="str">
        <f>IF($K872&lt;&gt;0,VLOOKUP($K872,DM_KM,5,0),"")</f>
        <v/>
      </c>
      <c r="K872" s="735"/>
      <c r="L872" s="735"/>
      <c r="M872" s="68"/>
      <c r="N872" s="739"/>
      <c r="O872" s="737"/>
      <c r="P872" s="751"/>
    </row>
    <row r="873" hidden="1">
      <c r="A873" s="1190"/>
      <c r="B873" s="52" t="str">
        <f t="shared" si="1"/>
        <v/>
      </c>
      <c r="C873" s="52" t="str">
        <f>IF(A873="","",VLOOKUP(A873,'THAM CHIẾU'!$A:$B,2,0))</f>
        <v/>
      </c>
      <c r="D873" s="52" t="str">
        <f>IF(E873&lt;&gt;0,VLOOKUP(E873,DM_DUAN,3,0),"")</f>
        <v/>
      </c>
      <c r="E873" s="735"/>
      <c r="F873" s="735"/>
      <c r="G873" s="735"/>
      <c r="H873" s="70"/>
      <c r="I873" s="52" t="str">
        <f>IF($K873&lt;&gt;0,VLOOKUP($K873,DM_KM,3,0),"")</f>
        <v/>
      </c>
      <c r="J873" s="52" t="str">
        <f>IF($K873&lt;&gt;0,VLOOKUP($K873,DM_KM,5,0),"")</f>
        <v/>
      </c>
      <c r="K873" s="735"/>
      <c r="L873" s="735"/>
      <c r="M873" s="68"/>
      <c r="N873" s="739"/>
      <c r="O873" s="737"/>
      <c r="P873" s="751"/>
    </row>
    <row r="874" hidden="1">
      <c r="A874" s="1190"/>
      <c r="B874" s="52" t="str">
        <f t="shared" si="1"/>
        <v/>
      </c>
      <c r="C874" s="52" t="str">
        <f>IF(A874="","",VLOOKUP(A874,'THAM CHIẾU'!$A:$B,2,0))</f>
        <v/>
      </c>
      <c r="D874" s="52" t="str">
        <f>IF(E874&lt;&gt;0,VLOOKUP(E874,DM_DUAN,3,0),"")</f>
        <v/>
      </c>
      <c r="E874" s="735"/>
      <c r="F874" s="735"/>
      <c r="G874" s="735"/>
      <c r="H874" s="70"/>
      <c r="I874" s="52" t="str">
        <f>IF($K874&lt;&gt;0,VLOOKUP($K874,DM_KM,3,0),"")</f>
        <v/>
      </c>
      <c r="J874" s="52" t="str">
        <f>IF($K874&lt;&gt;0,VLOOKUP($K874,DM_KM,5,0),"")</f>
        <v/>
      </c>
      <c r="K874" s="735"/>
      <c r="L874" s="735"/>
      <c r="M874" s="68"/>
      <c r="N874" s="739"/>
      <c r="O874" s="737"/>
      <c r="P874" s="751"/>
    </row>
    <row r="875" hidden="1">
      <c r="A875" s="1190"/>
      <c r="B875" s="52" t="str">
        <f t="shared" si="1"/>
        <v/>
      </c>
      <c r="C875" s="52" t="str">
        <f>IF(A875="","",VLOOKUP(A875,'THAM CHIẾU'!$A:$B,2,0))</f>
        <v/>
      </c>
      <c r="D875" s="52" t="str">
        <f>IF(E875&lt;&gt;0,VLOOKUP(E875,DM_DUAN,3,0),"")</f>
        <v/>
      </c>
      <c r="E875" s="735"/>
      <c r="F875" s="735"/>
      <c r="G875" s="735"/>
      <c r="H875" s="70"/>
      <c r="I875" s="52" t="str">
        <f>IF($K875&lt;&gt;0,VLOOKUP($K875,DM_KM,3,0),"")</f>
        <v/>
      </c>
      <c r="J875" s="52" t="str">
        <f>IF($K875&lt;&gt;0,VLOOKUP($K875,DM_KM,5,0),"")</f>
        <v/>
      </c>
      <c r="K875" s="735"/>
      <c r="L875" s="735"/>
      <c r="M875" s="68"/>
      <c r="N875" s="739"/>
      <c r="O875" s="737"/>
      <c r="P875" s="751"/>
    </row>
    <row r="876" hidden="1">
      <c r="A876" s="1190"/>
      <c r="B876" s="52" t="str">
        <f t="shared" si="1"/>
        <v/>
      </c>
      <c r="C876" s="52" t="str">
        <f>IF(A876="","",VLOOKUP(A876,'THAM CHIẾU'!$A:$B,2,0))</f>
        <v/>
      </c>
      <c r="D876" s="52" t="str">
        <f>IF(E876&lt;&gt;0,VLOOKUP(E876,DM_DUAN,3,0),"")</f>
        <v/>
      </c>
      <c r="E876" s="735"/>
      <c r="F876" s="735"/>
      <c r="G876" s="735"/>
      <c r="H876" s="70"/>
      <c r="I876" s="52" t="str">
        <f>IF($K876&lt;&gt;0,VLOOKUP($K876,DM_KM,3,0),"")</f>
        <v/>
      </c>
      <c r="J876" s="52" t="str">
        <f>IF($K876&lt;&gt;0,VLOOKUP($K876,DM_KM,5,0),"")</f>
        <v/>
      </c>
      <c r="K876" s="735"/>
      <c r="L876" s="735"/>
      <c r="M876" s="68"/>
      <c r="N876" s="739"/>
      <c r="O876" s="737"/>
      <c r="P876" s="751"/>
    </row>
    <row r="877" hidden="1">
      <c r="A877" s="1190"/>
      <c r="B877" s="52" t="str">
        <f t="shared" si="1"/>
        <v/>
      </c>
      <c r="C877" s="52" t="str">
        <f>IF(A877="","",VLOOKUP(A877,'THAM CHIẾU'!$A:$B,2,0))</f>
        <v/>
      </c>
      <c r="D877" s="52" t="str">
        <f>IF(E877&lt;&gt;0,VLOOKUP(E877,DM_DUAN,3,0),"")</f>
        <v/>
      </c>
      <c r="E877" s="735"/>
      <c r="F877" s="735"/>
      <c r="G877" s="735"/>
      <c r="H877" s="70"/>
      <c r="I877" s="52" t="str">
        <f>IF($K877&lt;&gt;0,VLOOKUP($K877,DM_KM,3,0),"")</f>
        <v/>
      </c>
      <c r="J877" s="52" t="str">
        <f>IF($K877&lt;&gt;0,VLOOKUP($K877,DM_KM,5,0),"")</f>
        <v/>
      </c>
      <c r="K877" s="735"/>
      <c r="L877" s="735"/>
      <c r="M877" s="68"/>
      <c r="N877" s="739"/>
      <c r="O877" s="737"/>
      <c r="P877" s="751"/>
    </row>
    <row r="878" hidden="1">
      <c r="A878" s="1190"/>
      <c r="B878" s="52" t="str">
        <f t="shared" si="1"/>
        <v/>
      </c>
      <c r="C878" s="52" t="str">
        <f>IF(A878="","",VLOOKUP(A878,'THAM CHIẾU'!$A:$B,2,0))</f>
        <v/>
      </c>
      <c r="D878" s="52" t="str">
        <f>IF(E878&lt;&gt;0,VLOOKUP(E878,DM_DUAN,3,0),"")</f>
        <v/>
      </c>
      <c r="E878" s="735"/>
      <c r="F878" s="735"/>
      <c r="G878" s="735"/>
      <c r="H878" s="70"/>
      <c r="I878" s="52" t="str">
        <f>IF($K878&lt;&gt;0,VLOOKUP($K878,DM_KM,3,0),"")</f>
        <v/>
      </c>
      <c r="J878" s="52" t="str">
        <f>IF($K878&lt;&gt;0,VLOOKUP($K878,DM_KM,5,0),"")</f>
        <v/>
      </c>
      <c r="K878" s="735"/>
      <c r="L878" s="735"/>
      <c r="M878" s="68"/>
      <c r="N878" s="739"/>
      <c r="O878" s="737"/>
      <c r="P878" s="751"/>
    </row>
    <row r="879" hidden="1">
      <c r="A879" s="1190"/>
      <c r="B879" s="52" t="str">
        <f t="shared" si="1"/>
        <v/>
      </c>
      <c r="C879" s="52" t="str">
        <f>IF(A879="","",VLOOKUP(A879,'THAM CHIẾU'!$A:$B,2,0))</f>
        <v/>
      </c>
      <c r="D879" s="52" t="str">
        <f>IF(E879&lt;&gt;0,VLOOKUP(E879,DM_DUAN,3,0),"")</f>
        <v/>
      </c>
      <c r="E879" s="735"/>
      <c r="F879" s="735"/>
      <c r="G879" s="735"/>
      <c r="H879" s="70"/>
      <c r="I879" s="52" t="str">
        <f>IF($K879&lt;&gt;0,VLOOKUP($K879,DM_KM,3,0),"")</f>
        <v/>
      </c>
      <c r="J879" s="52" t="str">
        <f>IF($K879&lt;&gt;0,VLOOKUP($K879,DM_KM,5,0),"")</f>
        <v/>
      </c>
      <c r="K879" s="735"/>
      <c r="L879" s="735"/>
      <c r="M879" s="68"/>
      <c r="N879" s="739"/>
      <c r="O879" s="737"/>
      <c r="P879" s="751"/>
    </row>
    <row r="880" hidden="1">
      <c r="A880" s="1190"/>
      <c r="B880" s="52" t="str">
        <f t="shared" si="1"/>
        <v/>
      </c>
      <c r="C880" s="52" t="str">
        <f>IF(A880="","",VLOOKUP(A880,'THAM CHIẾU'!$A:$B,2,0))</f>
        <v/>
      </c>
      <c r="D880" s="52" t="str">
        <f>IF(E880&lt;&gt;0,VLOOKUP(E880,DM_DUAN,3,0),"")</f>
        <v/>
      </c>
      <c r="E880" s="735"/>
      <c r="F880" s="735"/>
      <c r="G880" s="735"/>
      <c r="H880" s="70"/>
      <c r="I880" s="52" t="str">
        <f>IF($K880&lt;&gt;0,VLOOKUP($K880,DM_KM,3,0),"")</f>
        <v/>
      </c>
      <c r="J880" s="52" t="str">
        <f>IF($K880&lt;&gt;0,VLOOKUP($K880,DM_KM,5,0),"")</f>
        <v/>
      </c>
      <c r="K880" s="735"/>
      <c r="L880" s="735"/>
      <c r="M880" s="68"/>
      <c r="N880" s="739"/>
      <c r="O880" s="737"/>
      <c r="P880" s="751"/>
    </row>
    <row r="881" hidden="1">
      <c r="A881" s="1190"/>
      <c r="B881" s="52" t="str">
        <f t="shared" si="1"/>
        <v/>
      </c>
      <c r="C881" s="52" t="str">
        <f>IF(A881="","",VLOOKUP(A881,'THAM CHIẾU'!$A:$B,2,0))</f>
        <v/>
      </c>
      <c r="D881" s="52" t="str">
        <f>IF(E881&lt;&gt;0,VLOOKUP(E881,DM_DUAN,3,0),"")</f>
        <v/>
      </c>
      <c r="E881" s="735"/>
      <c r="F881" s="735"/>
      <c r="G881" s="735"/>
      <c r="H881" s="70"/>
      <c r="I881" s="52" t="str">
        <f>IF($K881&lt;&gt;0,VLOOKUP($K881,DM_KM,3,0),"")</f>
        <v/>
      </c>
      <c r="J881" s="52" t="str">
        <f>IF($K881&lt;&gt;0,VLOOKUP($K881,DM_KM,5,0),"")</f>
        <v/>
      </c>
      <c r="K881" s="735"/>
      <c r="L881" s="735"/>
      <c r="M881" s="68"/>
      <c r="N881" s="739"/>
      <c r="O881" s="737"/>
      <c r="P881" s="751"/>
    </row>
    <row r="882" hidden="1">
      <c r="A882" s="1190"/>
      <c r="B882" s="52" t="str">
        <f t="shared" si="1"/>
        <v/>
      </c>
      <c r="C882" s="52" t="str">
        <f>IF(A882="","",VLOOKUP(A882,'THAM CHIẾU'!$A:$B,2,0))</f>
        <v/>
      </c>
      <c r="D882" s="52" t="str">
        <f>IF(E882&lt;&gt;0,VLOOKUP(E882,DM_DUAN,3,0),"")</f>
        <v/>
      </c>
      <c r="E882" s="735"/>
      <c r="F882" s="735"/>
      <c r="G882" s="735"/>
      <c r="H882" s="70"/>
      <c r="I882" s="52" t="str">
        <f>IF($K882&lt;&gt;0,VLOOKUP($K882,DM_KM,3,0),"")</f>
        <v/>
      </c>
      <c r="J882" s="52" t="str">
        <f>IF($K882&lt;&gt;0,VLOOKUP($K882,DM_KM,5,0),"")</f>
        <v/>
      </c>
      <c r="K882" s="735"/>
      <c r="L882" s="735"/>
      <c r="M882" s="68"/>
      <c r="N882" s="739"/>
      <c r="O882" s="737"/>
      <c r="P882" s="751"/>
    </row>
    <row r="883" hidden="1">
      <c r="A883" s="1190"/>
      <c r="B883" s="52" t="str">
        <f t="shared" si="1"/>
        <v/>
      </c>
      <c r="C883" s="52" t="str">
        <f>IF(A883="","",VLOOKUP(A883,'THAM CHIẾU'!$A:$B,2,0))</f>
        <v/>
      </c>
      <c r="D883" s="52" t="str">
        <f>IF(E883&lt;&gt;0,VLOOKUP(E883,DM_DUAN,3,0),"")</f>
        <v/>
      </c>
      <c r="E883" s="735"/>
      <c r="F883" s="735"/>
      <c r="G883" s="735"/>
      <c r="H883" s="70"/>
      <c r="I883" s="52" t="str">
        <f>IF($K883&lt;&gt;0,VLOOKUP($K883,DM_KM,3,0),"")</f>
        <v/>
      </c>
      <c r="J883" s="52" t="str">
        <f>IF($K883&lt;&gt;0,VLOOKUP($K883,DM_KM,5,0),"")</f>
        <v/>
      </c>
      <c r="K883" s="735"/>
      <c r="L883" s="735"/>
      <c r="M883" s="68"/>
      <c r="N883" s="739"/>
      <c r="O883" s="737"/>
      <c r="P883" s="751"/>
    </row>
    <row r="884" hidden="1">
      <c r="A884" s="1190"/>
      <c r="B884" s="52" t="str">
        <f t="shared" si="1"/>
        <v/>
      </c>
      <c r="C884" s="52" t="str">
        <f>IF(A884="","",VLOOKUP(A884,'THAM CHIẾU'!$A:$B,2,0))</f>
        <v/>
      </c>
      <c r="D884" s="52" t="str">
        <f>IF(E884&lt;&gt;0,VLOOKUP(E884,DM_DUAN,3,0),"")</f>
        <v/>
      </c>
      <c r="E884" s="735"/>
      <c r="F884" s="735"/>
      <c r="G884" s="735"/>
      <c r="H884" s="70"/>
      <c r="I884" s="52" t="str">
        <f>IF($K884&lt;&gt;0,VLOOKUP($K884,DM_KM,3,0),"")</f>
        <v/>
      </c>
      <c r="J884" s="52" t="str">
        <f>IF($K884&lt;&gt;0,VLOOKUP($K884,DM_KM,5,0),"")</f>
        <v/>
      </c>
      <c r="K884" s="735"/>
      <c r="L884" s="735"/>
      <c r="M884" s="68"/>
      <c r="N884" s="739"/>
      <c r="O884" s="737"/>
      <c r="P884" s="751"/>
    </row>
    <row r="885" hidden="1">
      <c r="A885" s="1190"/>
      <c r="B885" s="52" t="str">
        <f t="shared" si="1"/>
        <v/>
      </c>
      <c r="C885" s="52" t="str">
        <f>IF(A885="","",VLOOKUP(A885,'THAM CHIẾU'!$A:$B,2,0))</f>
        <v/>
      </c>
      <c r="D885" s="52" t="str">
        <f>IF(E885&lt;&gt;0,VLOOKUP(E885,DM_DUAN,3,0),"")</f>
        <v/>
      </c>
      <c r="E885" s="735"/>
      <c r="F885" s="735"/>
      <c r="G885" s="735"/>
      <c r="H885" s="70"/>
      <c r="I885" s="52" t="str">
        <f>IF($K885&lt;&gt;0,VLOOKUP($K885,DM_KM,3,0),"")</f>
        <v/>
      </c>
      <c r="J885" s="52" t="str">
        <f>IF($K885&lt;&gt;0,VLOOKUP($K885,DM_KM,5,0),"")</f>
        <v/>
      </c>
      <c r="K885" s="735"/>
      <c r="L885" s="735"/>
      <c r="M885" s="68"/>
      <c r="N885" s="739"/>
      <c r="O885" s="737"/>
      <c r="P885" s="751"/>
    </row>
    <row r="886" hidden="1">
      <c r="A886" s="1190"/>
      <c r="B886" s="52" t="str">
        <f t="shared" si="1"/>
        <v/>
      </c>
      <c r="C886" s="52" t="str">
        <f>IF(A886="","",VLOOKUP(A886,'THAM CHIẾU'!$A:$B,2,0))</f>
        <v/>
      </c>
      <c r="D886" s="52" t="str">
        <f>IF(E886&lt;&gt;0,VLOOKUP(E886,DM_DUAN,3,0),"")</f>
        <v/>
      </c>
      <c r="E886" s="735"/>
      <c r="F886" s="735"/>
      <c r="G886" s="735"/>
      <c r="H886" s="70"/>
      <c r="I886" s="52" t="str">
        <f>IF($K886&lt;&gt;0,VLOOKUP($K886,DM_KM,3,0),"")</f>
        <v/>
      </c>
      <c r="J886" s="52" t="str">
        <f>IF($K886&lt;&gt;0,VLOOKUP($K886,DM_KM,5,0),"")</f>
        <v/>
      </c>
      <c r="K886" s="735"/>
      <c r="L886" s="735"/>
      <c r="M886" s="68"/>
      <c r="N886" s="739"/>
      <c r="O886" s="737"/>
      <c r="P886" s="751"/>
    </row>
    <row r="887" hidden="1">
      <c r="A887" s="1190"/>
      <c r="B887" s="52" t="str">
        <f t="shared" si="1"/>
        <v/>
      </c>
      <c r="C887" s="52" t="str">
        <f>IF(A887="","",VLOOKUP(A887,'THAM CHIẾU'!$A:$B,2,0))</f>
        <v/>
      </c>
      <c r="D887" s="52" t="str">
        <f>IF(E887&lt;&gt;0,VLOOKUP(E887,DM_DUAN,3,0),"")</f>
        <v/>
      </c>
      <c r="E887" s="735"/>
      <c r="F887" s="735"/>
      <c r="G887" s="735"/>
      <c r="H887" s="70"/>
      <c r="I887" s="52" t="str">
        <f>IF($K887&lt;&gt;0,VLOOKUP($K887,DM_KM,3,0),"")</f>
        <v/>
      </c>
      <c r="J887" s="52" t="str">
        <f>IF($K887&lt;&gt;0,VLOOKUP($K887,DM_KM,5,0),"")</f>
        <v/>
      </c>
      <c r="K887" s="735"/>
      <c r="L887" s="735"/>
      <c r="M887" s="68"/>
      <c r="N887" s="739"/>
      <c r="O887" s="737"/>
      <c r="P887" s="751"/>
    </row>
    <row r="888" hidden="1">
      <c r="A888" s="1190"/>
      <c r="B888" s="52" t="str">
        <f t="shared" si="1"/>
        <v/>
      </c>
      <c r="C888" s="52" t="str">
        <f>IF(A888="","",VLOOKUP(A888,'THAM CHIẾU'!$A:$B,2,0))</f>
        <v/>
      </c>
      <c r="D888" s="52" t="str">
        <f>IF(E888&lt;&gt;0,VLOOKUP(E888,DM_DUAN,3,0),"")</f>
        <v/>
      </c>
      <c r="E888" s="735"/>
      <c r="F888" s="735"/>
      <c r="G888" s="735"/>
      <c r="H888" s="70"/>
      <c r="I888" s="52" t="str">
        <f>IF($K888&lt;&gt;0,VLOOKUP($K888,DM_KM,3,0),"")</f>
        <v/>
      </c>
      <c r="J888" s="52" t="str">
        <f>IF($K888&lt;&gt;0,VLOOKUP($K888,DM_KM,5,0),"")</f>
        <v/>
      </c>
      <c r="K888" s="735"/>
      <c r="L888" s="735"/>
      <c r="M888" s="68"/>
      <c r="N888" s="739"/>
      <c r="O888" s="737"/>
      <c r="P888" s="751"/>
    </row>
    <row r="889" hidden="1">
      <c r="A889" s="1190"/>
      <c r="B889" s="52" t="str">
        <f t="shared" si="1"/>
        <v/>
      </c>
      <c r="C889" s="52" t="str">
        <f>IF(A889="","",VLOOKUP(A889,'THAM CHIẾU'!$A:$B,2,0))</f>
        <v/>
      </c>
      <c r="D889" s="52" t="str">
        <f>IF(E889&lt;&gt;0,VLOOKUP(E889,DM_DUAN,3,0),"")</f>
        <v/>
      </c>
      <c r="E889" s="735"/>
      <c r="F889" s="735"/>
      <c r="G889" s="735"/>
      <c r="H889" s="70"/>
      <c r="I889" s="52" t="str">
        <f>IF($K889&lt;&gt;0,VLOOKUP($K889,DM_KM,3,0),"")</f>
        <v/>
      </c>
      <c r="J889" s="52" t="str">
        <f>IF($K889&lt;&gt;0,VLOOKUP($K889,DM_KM,5,0),"")</f>
        <v/>
      </c>
      <c r="K889" s="735"/>
      <c r="L889" s="735"/>
      <c r="M889" s="68"/>
      <c r="N889" s="739"/>
      <c r="O889" s="737"/>
      <c r="P889" s="751"/>
    </row>
    <row r="890" hidden="1">
      <c r="A890" s="1190"/>
      <c r="B890" s="52" t="str">
        <f t="shared" si="1"/>
        <v/>
      </c>
      <c r="C890" s="52" t="str">
        <f>IF(A890="","",VLOOKUP(A890,'THAM CHIẾU'!$A:$B,2,0))</f>
        <v/>
      </c>
      <c r="D890" s="52" t="str">
        <f>IF(E890&lt;&gt;0,VLOOKUP(E890,DM_DUAN,3,0),"")</f>
        <v/>
      </c>
      <c r="E890" s="735"/>
      <c r="F890" s="735"/>
      <c r="G890" s="735"/>
      <c r="H890" s="70"/>
      <c r="I890" s="52" t="str">
        <f>IF($K890&lt;&gt;0,VLOOKUP($K890,DM_KM,3,0),"")</f>
        <v/>
      </c>
      <c r="J890" s="52" t="str">
        <f>IF($K890&lt;&gt;0,VLOOKUP($K890,DM_KM,5,0),"")</f>
        <v/>
      </c>
      <c r="K890" s="735"/>
      <c r="L890" s="735"/>
      <c r="M890" s="68"/>
      <c r="N890" s="739"/>
      <c r="O890" s="737"/>
      <c r="P890" s="751"/>
    </row>
    <row r="891" hidden="1">
      <c r="A891" s="1190"/>
      <c r="B891" s="52" t="str">
        <f t="shared" si="1"/>
        <v/>
      </c>
      <c r="C891" s="52" t="str">
        <f>IF(A891="","",VLOOKUP(A891,'THAM CHIẾU'!$A:$B,2,0))</f>
        <v/>
      </c>
      <c r="D891" s="52" t="str">
        <f>IF(E891&lt;&gt;0,VLOOKUP(E891,DM_DUAN,3,0),"")</f>
        <v/>
      </c>
      <c r="E891" s="735"/>
      <c r="F891" s="735"/>
      <c r="G891" s="735"/>
      <c r="H891" s="70"/>
      <c r="I891" s="52" t="str">
        <f>IF($K891&lt;&gt;0,VLOOKUP($K891,DM_KM,3,0),"")</f>
        <v/>
      </c>
      <c r="J891" s="52" t="str">
        <f>IF($K891&lt;&gt;0,VLOOKUP($K891,DM_KM,5,0),"")</f>
        <v/>
      </c>
      <c r="K891" s="735"/>
      <c r="L891" s="735"/>
      <c r="M891" s="68"/>
      <c r="N891" s="739"/>
      <c r="O891" s="737"/>
      <c r="P891" s="751"/>
    </row>
    <row r="892" hidden="1">
      <c r="A892" s="1190"/>
      <c r="B892" s="52" t="str">
        <f t="shared" si="1"/>
        <v/>
      </c>
      <c r="C892" s="52" t="str">
        <f>IF(A892="","",VLOOKUP(A892,'THAM CHIẾU'!$A:$B,2,0))</f>
        <v/>
      </c>
      <c r="D892" s="52" t="str">
        <f>IF(E892&lt;&gt;0,VLOOKUP(E892,DM_DUAN,3,0),"")</f>
        <v/>
      </c>
      <c r="E892" s="735"/>
      <c r="F892" s="735"/>
      <c r="G892" s="735"/>
      <c r="H892" s="70"/>
      <c r="I892" s="52" t="str">
        <f>IF($K892&lt;&gt;0,VLOOKUP($K892,DM_KM,3,0),"")</f>
        <v/>
      </c>
      <c r="J892" s="52" t="str">
        <f>IF($K892&lt;&gt;0,VLOOKUP($K892,DM_KM,5,0),"")</f>
        <v/>
      </c>
      <c r="K892" s="735"/>
      <c r="L892" s="735"/>
      <c r="M892" s="68"/>
      <c r="N892" s="739"/>
      <c r="O892" s="737"/>
      <c r="P892" s="751"/>
    </row>
    <row r="893" hidden="1">
      <c r="A893" s="1190"/>
      <c r="B893" s="52" t="str">
        <f t="shared" si="1"/>
        <v/>
      </c>
      <c r="C893" s="52" t="str">
        <f>IF(A893="","",VLOOKUP(A893,'THAM CHIẾU'!$A:$B,2,0))</f>
        <v/>
      </c>
      <c r="D893" s="52" t="str">
        <f>IF(E893&lt;&gt;0,VLOOKUP(E893,DM_DUAN,3,0),"")</f>
        <v/>
      </c>
      <c r="E893" s="735"/>
      <c r="F893" s="735"/>
      <c r="G893" s="735"/>
      <c r="H893" s="70"/>
      <c r="I893" s="52" t="str">
        <f>IF($K893&lt;&gt;0,VLOOKUP($K893,DM_KM,3,0),"")</f>
        <v/>
      </c>
      <c r="J893" s="52" t="str">
        <f>IF($K893&lt;&gt;0,VLOOKUP($K893,DM_KM,5,0),"")</f>
        <v/>
      </c>
      <c r="K893" s="735"/>
      <c r="L893" s="735"/>
      <c r="M893" s="68"/>
      <c r="N893" s="739"/>
      <c r="O893" s="737"/>
      <c r="P893" s="751"/>
    </row>
    <row r="894" hidden="1">
      <c r="A894" s="1190"/>
      <c r="B894" s="52" t="str">
        <f t="shared" si="1"/>
        <v/>
      </c>
      <c r="C894" s="52" t="str">
        <f>IF(A894="","",VLOOKUP(A894,'THAM CHIẾU'!$A:$B,2,0))</f>
        <v/>
      </c>
      <c r="D894" s="52" t="str">
        <f>IF(E894&lt;&gt;0,VLOOKUP(E894,DM_DUAN,3,0),"")</f>
        <v/>
      </c>
      <c r="E894" s="735"/>
      <c r="F894" s="735"/>
      <c r="G894" s="735"/>
      <c r="H894" s="70"/>
      <c r="I894" s="52" t="str">
        <f>IF($K894&lt;&gt;0,VLOOKUP($K894,DM_KM,3,0),"")</f>
        <v/>
      </c>
      <c r="J894" s="52" t="str">
        <f>IF($K894&lt;&gt;0,VLOOKUP($K894,DM_KM,5,0),"")</f>
        <v/>
      </c>
      <c r="K894" s="735"/>
      <c r="L894" s="735"/>
      <c r="M894" s="68"/>
      <c r="N894" s="739"/>
      <c r="O894" s="737"/>
      <c r="P894" s="751"/>
    </row>
    <row r="895" hidden="1">
      <c r="A895" s="1190"/>
      <c r="B895" s="52" t="str">
        <f t="shared" si="1"/>
        <v/>
      </c>
      <c r="C895" s="52" t="str">
        <f>IF(A895="","",VLOOKUP(A895,'THAM CHIẾU'!$A:$B,2,0))</f>
        <v/>
      </c>
      <c r="D895" s="52" t="str">
        <f>IF(E895&lt;&gt;0,VLOOKUP(E895,DM_DUAN,3,0),"")</f>
        <v/>
      </c>
      <c r="E895" s="735"/>
      <c r="F895" s="735"/>
      <c r="G895" s="735"/>
      <c r="H895" s="70"/>
      <c r="I895" s="52" t="str">
        <f>IF($K895&lt;&gt;0,VLOOKUP($K895,DM_KM,3,0),"")</f>
        <v/>
      </c>
      <c r="J895" s="52" t="str">
        <f>IF($K895&lt;&gt;0,VLOOKUP($K895,DM_KM,5,0),"")</f>
        <v/>
      </c>
      <c r="K895" s="735"/>
      <c r="L895" s="735"/>
      <c r="M895" s="68"/>
      <c r="N895" s="739"/>
      <c r="O895" s="737"/>
      <c r="P895" s="751"/>
    </row>
    <row r="896" hidden="1">
      <c r="A896" s="1190"/>
      <c r="B896" s="52" t="str">
        <f t="shared" si="1"/>
        <v/>
      </c>
      <c r="C896" s="52" t="str">
        <f>IF(A896="","",VLOOKUP(A896,'THAM CHIẾU'!$A:$B,2,0))</f>
        <v/>
      </c>
      <c r="D896" s="52" t="str">
        <f>IF(E896&lt;&gt;0,VLOOKUP(E896,DM_DUAN,3,0),"")</f>
        <v/>
      </c>
      <c r="E896" s="735"/>
      <c r="F896" s="735"/>
      <c r="G896" s="735"/>
      <c r="H896" s="70"/>
      <c r="I896" s="52" t="str">
        <f>IF($K896&lt;&gt;0,VLOOKUP($K896,DM_KM,3,0),"")</f>
        <v/>
      </c>
      <c r="J896" s="52" t="str">
        <f>IF($K896&lt;&gt;0,VLOOKUP($K896,DM_KM,5,0),"")</f>
        <v/>
      </c>
      <c r="K896" s="735"/>
      <c r="L896" s="735"/>
      <c r="M896" s="68"/>
      <c r="N896" s="739"/>
      <c r="O896" s="737"/>
      <c r="P896" s="751"/>
    </row>
    <row r="897" hidden="1">
      <c r="A897" s="1190"/>
      <c r="B897" s="52" t="str">
        <f t="shared" si="1"/>
        <v/>
      </c>
      <c r="C897" s="52" t="str">
        <f>IF(A897="","",VLOOKUP(A897,'THAM CHIẾU'!$A:$B,2,0))</f>
        <v/>
      </c>
      <c r="D897" s="52" t="str">
        <f>IF(E897&lt;&gt;0,VLOOKUP(E897,DM_DUAN,3,0),"")</f>
        <v/>
      </c>
      <c r="E897" s="735"/>
      <c r="F897" s="735"/>
      <c r="G897" s="735"/>
      <c r="H897" s="70"/>
      <c r="I897" s="52" t="str">
        <f>IF($K897&lt;&gt;0,VLOOKUP($K897,DM_KM,3,0),"")</f>
        <v/>
      </c>
      <c r="J897" s="52" t="str">
        <f>IF($K897&lt;&gt;0,VLOOKUP($K897,DM_KM,5,0),"")</f>
        <v/>
      </c>
      <c r="K897" s="735"/>
      <c r="L897" s="735"/>
      <c r="M897" s="68"/>
      <c r="N897" s="739"/>
      <c r="O897" s="737"/>
      <c r="P897" s="751"/>
    </row>
    <row r="898" hidden="1">
      <c r="A898" s="1190"/>
      <c r="B898" s="52" t="str">
        <f t="shared" si="1"/>
        <v/>
      </c>
      <c r="C898" s="52" t="str">
        <f>IF(A898="","",VLOOKUP(A898,'THAM CHIẾU'!$A:$B,2,0))</f>
        <v/>
      </c>
      <c r="D898" s="52" t="str">
        <f>IF(E898&lt;&gt;0,VLOOKUP(E898,DM_DUAN,3,0),"")</f>
        <v/>
      </c>
      <c r="E898" s="735"/>
      <c r="F898" s="735"/>
      <c r="G898" s="735"/>
      <c r="H898" s="70"/>
      <c r="I898" s="52" t="str">
        <f>IF($K898&lt;&gt;0,VLOOKUP($K898,DM_KM,3,0),"")</f>
        <v/>
      </c>
      <c r="J898" s="52" t="str">
        <f>IF($K898&lt;&gt;0,VLOOKUP($K898,DM_KM,5,0),"")</f>
        <v/>
      </c>
      <c r="K898" s="735"/>
      <c r="L898" s="735"/>
      <c r="M898" s="68"/>
      <c r="N898" s="739"/>
      <c r="O898" s="737"/>
      <c r="P898" s="751"/>
    </row>
    <row r="899" hidden="1">
      <c r="A899" s="1190"/>
      <c r="B899" s="52" t="str">
        <f t="shared" si="1"/>
        <v/>
      </c>
      <c r="C899" s="52" t="str">
        <f>IF(A899="","",VLOOKUP(A899,'THAM CHIẾU'!$A:$B,2,0))</f>
        <v/>
      </c>
      <c r="D899" s="52" t="str">
        <f>IF(E899&lt;&gt;0,VLOOKUP(E899,DM_DUAN,3,0),"")</f>
        <v/>
      </c>
      <c r="E899" s="735"/>
      <c r="F899" s="735"/>
      <c r="G899" s="735"/>
      <c r="H899" s="70"/>
      <c r="I899" s="52" t="str">
        <f>IF($K899&lt;&gt;0,VLOOKUP($K899,DM_KM,3,0),"")</f>
        <v/>
      </c>
      <c r="J899" s="52" t="str">
        <f>IF($K899&lt;&gt;0,VLOOKUP($K899,DM_KM,5,0),"")</f>
        <v/>
      </c>
      <c r="K899" s="735"/>
      <c r="L899" s="735"/>
      <c r="M899" s="68"/>
      <c r="N899" s="739"/>
      <c r="O899" s="737"/>
      <c r="P899" s="751"/>
    </row>
    <row r="900" hidden="1">
      <c r="A900" s="1190"/>
      <c r="B900" s="52" t="str">
        <f t="shared" si="1"/>
        <v/>
      </c>
      <c r="C900" s="52" t="str">
        <f>IF(A900="","",VLOOKUP(A900,'THAM CHIẾU'!$A:$B,2,0))</f>
        <v/>
      </c>
      <c r="D900" s="52" t="str">
        <f>IF(E900&lt;&gt;0,VLOOKUP(E900,DM_DUAN,3,0),"")</f>
        <v/>
      </c>
      <c r="E900" s="735"/>
      <c r="F900" s="735"/>
      <c r="G900" s="735"/>
      <c r="H900" s="70"/>
      <c r="I900" s="52" t="str">
        <f>IF($K900&lt;&gt;0,VLOOKUP($K900,DM_KM,3,0),"")</f>
        <v/>
      </c>
      <c r="J900" s="52" t="str">
        <f>IF($K900&lt;&gt;0,VLOOKUP($K900,DM_KM,5,0),"")</f>
        <v/>
      </c>
      <c r="K900" s="735"/>
      <c r="L900" s="735"/>
      <c r="M900" s="68"/>
      <c r="N900" s="739"/>
      <c r="O900" s="737"/>
      <c r="P900" s="751"/>
    </row>
    <row r="901" hidden="1">
      <c r="A901" s="1190"/>
      <c r="B901" s="52" t="str">
        <f t="shared" si="1"/>
        <v/>
      </c>
      <c r="C901" s="52" t="str">
        <f>IF(A901="","",VLOOKUP(A901,'THAM CHIẾU'!$A:$B,2,0))</f>
        <v/>
      </c>
      <c r="D901" s="52" t="str">
        <f>IF(E901&lt;&gt;0,VLOOKUP(E901,DM_DUAN,3,0),"")</f>
        <v/>
      </c>
      <c r="E901" s="735"/>
      <c r="F901" s="735"/>
      <c r="G901" s="735"/>
      <c r="H901" s="70"/>
      <c r="I901" s="52" t="str">
        <f>IF($K901&lt;&gt;0,VLOOKUP($K901,DM_KM,3,0),"")</f>
        <v/>
      </c>
      <c r="J901" s="52" t="str">
        <f>IF($K901&lt;&gt;0,VLOOKUP($K901,DM_KM,5,0),"")</f>
        <v/>
      </c>
      <c r="K901" s="735"/>
      <c r="L901" s="735"/>
      <c r="M901" s="68"/>
      <c r="N901" s="739"/>
      <c r="O901" s="737"/>
      <c r="P901" s="751"/>
    </row>
    <row r="902" hidden="1">
      <c r="A902" s="1190"/>
      <c r="B902" s="52" t="str">
        <f t="shared" si="1"/>
        <v/>
      </c>
      <c r="C902" s="52" t="str">
        <f>IF(A902="","",VLOOKUP(A902,'THAM CHIẾU'!$A:$B,2,0))</f>
        <v/>
      </c>
      <c r="D902" s="52" t="str">
        <f>IF(E902&lt;&gt;0,VLOOKUP(E902,DM_DUAN,3,0),"")</f>
        <v/>
      </c>
      <c r="E902" s="735"/>
      <c r="F902" s="735"/>
      <c r="G902" s="735"/>
      <c r="H902" s="70"/>
      <c r="I902" s="52" t="str">
        <f>IF($K902&lt;&gt;0,VLOOKUP($K902,DM_KM,3,0),"")</f>
        <v/>
      </c>
      <c r="J902" s="52" t="str">
        <f>IF($K902&lt;&gt;0,VLOOKUP($K902,DM_KM,5,0),"")</f>
        <v/>
      </c>
      <c r="K902" s="735"/>
      <c r="L902" s="735"/>
      <c r="M902" s="68"/>
      <c r="N902" s="739"/>
      <c r="O902" s="737"/>
      <c r="P902" s="751"/>
    </row>
    <row r="903" hidden="1">
      <c r="A903" s="1190"/>
      <c r="B903" s="52" t="str">
        <f t="shared" si="1"/>
        <v/>
      </c>
      <c r="C903" s="52" t="str">
        <f>IF(A903="","",VLOOKUP(A903,'THAM CHIẾU'!$A:$B,2,0))</f>
        <v/>
      </c>
      <c r="D903" s="52" t="str">
        <f>IF(E903&lt;&gt;0,VLOOKUP(E903,DM_DUAN,3,0),"")</f>
        <v/>
      </c>
      <c r="E903" s="735"/>
      <c r="F903" s="735"/>
      <c r="G903" s="735"/>
      <c r="H903" s="70"/>
      <c r="I903" s="52" t="str">
        <f>IF($K903&lt;&gt;0,VLOOKUP($K903,DM_KM,3,0),"")</f>
        <v/>
      </c>
      <c r="J903" s="52" t="str">
        <f>IF($K903&lt;&gt;0,VLOOKUP($K903,DM_KM,5,0),"")</f>
        <v/>
      </c>
      <c r="K903" s="735"/>
      <c r="L903" s="735"/>
      <c r="M903" s="68"/>
      <c r="N903" s="739"/>
      <c r="O903" s="737"/>
      <c r="P903" s="751"/>
    </row>
    <row r="904" hidden="1">
      <c r="A904" s="1190"/>
      <c r="B904" s="52" t="str">
        <f t="shared" si="1"/>
        <v/>
      </c>
      <c r="C904" s="52" t="str">
        <f>IF(A904="","",VLOOKUP(A904,'THAM CHIẾU'!$A:$B,2,0))</f>
        <v/>
      </c>
      <c r="D904" s="52" t="str">
        <f>IF(E904&lt;&gt;0,VLOOKUP(E904,DM_DUAN,3,0),"")</f>
        <v/>
      </c>
      <c r="E904" s="735"/>
      <c r="F904" s="735"/>
      <c r="G904" s="735"/>
      <c r="H904" s="70"/>
      <c r="I904" s="52" t="str">
        <f>IF($K904&lt;&gt;0,VLOOKUP($K904,DM_KM,3,0),"")</f>
        <v/>
      </c>
      <c r="J904" s="52" t="str">
        <f>IF($K904&lt;&gt;0,VLOOKUP($K904,DM_KM,5,0),"")</f>
        <v/>
      </c>
      <c r="K904" s="735"/>
      <c r="L904" s="735"/>
      <c r="M904" s="68"/>
      <c r="N904" s="739"/>
      <c r="O904" s="737"/>
      <c r="P904" s="751"/>
    </row>
    <row r="905" hidden="1">
      <c r="A905" s="1190"/>
      <c r="B905" s="52" t="str">
        <f t="shared" si="1"/>
        <v/>
      </c>
      <c r="C905" s="52" t="str">
        <f>IF(A905="","",VLOOKUP(A905,'THAM CHIẾU'!$A:$B,2,0))</f>
        <v/>
      </c>
      <c r="D905" s="52" t="str">
        <f>IF(E905&lt;&gt;0,VLOOKUP(E905,DM_DUAN,3,0),"")</f>
        <v/>
      </c>
      <c r="E905" s="735"/>
      <c r="F905" s="735"/>
      <c r="G905" s="735"/>
      <c r="H905" s="70"/>
      <c r="I905" s="52" t="str">
        <f>IF($K905&lt;&gt;0,VLOOKUP($K905,DM_KM,3,0),"")</f>
        <v/>
      </c>
      <c r="J905" s="52" t="str">
        <f>IF($K905&lt;&gt;0,VLOOKUP($K905,DM_KM,5,0),"")</f>
        <v/>
      </c>
      <c r="K905" s="735"/>
      <c r="L905" s="735"/>
      <c r="M905" s="68"/>
      <c r="N905" s="739"/>
      <c r="O905" s="737"/>
      <c r="P905" s="751"/>
    </row>
    <row r="906" hidden="1">
      <c r="A906" s="1190"/>
      <c r="B906" s="52" t="str">
        <f t="shared" si="1"/>
        <v/>
      </c>
      <c r="C906" s="52" t="str">
        <f>IF(A906="","",VLOOKUP(A906,'THAM CHIẾU'!$A:$B,2,0))</f>
        <v/>
      </c>
      <c r="D906" s="52" t="str">
        <f>IF(E906&lt;&gt;0,VLOOKUP(E906,DM_DUAN,3,0),"")</f>
        <v/>
      </c>
      <c r="E906" s="735"/>
      <c r="F906" s="735"/>
      <c r="G906" s="735"/>
      <c r="H906" s="70"/>
      <c r="I906" s="52" t="str">
        <f>IF($K906&lt;&gt;0,VLOOKUP($K906,DM_KM,3,0),"")</f>
        <v/>
      </c>
      <c r="J906" s="52" t="str">
        <f>IF($K906&lt;&gt;0,VLOOKUP($K906,DM_KM,5,0),"")</f>
        <v/>
      </c>
      <c r="K906" s="735"/>
      <c r="L906" s="735"/>
      <c r="M906" s="68"/>
      <c r="N906" s="739"/>
      <c r="O906" s="737"/>
      <c r="P906" s="751"/>
    </row>
    <row r="907" hidden="1">
      <c r="A907" s="1190"/>
      <c r="B907" s="52" t="str">
        <f t="shared" si="1"/>
        <v/>
      </c>
      <c r="C907" s="52" t="str">
        <f>IF(A907="","",VLOOKUP(A907,'THAM CHIẾU'!$A:$B,2,0))</f>
        <v/>
      </c>
      <c r="D907" s="52" t="str">
        <f>IF(E907&lt;&gt;0,VLOOKUP(E907,DM_DUAN,3,0),"")</f>
        <v/>
      </c>
      <c r="E907" s="735"/>
      <c r="F907" s="735"/>
      <c r="G907" s="735"/>
      <c r="H907" s="70"/>
      <c r="I907" s="52" t="str">
        <f>IF($K907&lt;&gt;0,VLOOKUP($K907,DM_KM,3,0),"")</f>
        <v/>
      </c>
      <c r="J907" s="52" t="str">
        <f>IF($K907&lt;&gt;0,VLOOKUP($K907,DM_KM,5,0),"")</f>
        <v/>
      </c>
      <c r="K907" s="735"/>
      <c r="L907" s="735"/>
      <c r="M907" s="68"/>
      <c r="N907" s="739"/>
      <c r="O907" s="737"/>
      <c r="P907" s="751"/>
    </row>
    <row r="908" hidden="1">
      <c r="A908" s="1190"/>
      <c r="B908" s="52" t="str">
        <f t="shared" si="1"/>
        <v/>
      </c>
      <c r="C908" s="52" t="str">
        <f>IF(A908="","",VLOOKUP(A908,'THAM CHIẾU'!$A:$B,2,0))</f>
        <v/>
      </c>
      <c r="D908" s="52" t="str">
        <f>IF(E908&lt;&gt;0,VLOOKUP(E908,DM_DUAN,3,0),"")</f>
        <v/>
      </c>
      <c r="E908" s="735"/>
      <c r="F908" s="735"/>
      <c r="G908" s="735"/>
      <c r="H908" s="70"/>
      <c r="I908" s="52" t="str">
        <f>IF($K908&lt;&gt;0,VLOOKUP($K908,DM_KM,3,0),"")</f>
        <v/>
      </c>
      <c r="J908" s="52" t="str">
        <f>IF($K908&lt;&gt;0,VLOOKUP($K908,DM_KM,5,0),"")</f>
        <v/>
      </c>
      <c r="K908" s="735"/>
      <c r="L908" s="735"/>
      <c r="M908" s="68"/>
      <c r="N908" s="739"/>
      <c r="O908" s="737"/>
      <c r="P908" s="751"/>
    </row>
    <row r="909" hidden="1">
      <c r="A909" s="1190"/>
      <c r="B909" s="52" t="str">
        <f t="shared" si="1"/>
        <v/>
      </c>
      <c r="C909" s="52" t="str">
        <f>IF(A909="","",VLOOKUP(A909,'THAM CHIẾU'!$A:$B,2,0))</f>
        <v/>
      </c>
      <c r="D909" s="52" t="str">
        <f>IF(E909&lt;&gt;0,VLOOKUP(E909,DM_DUAN,3,0),"")</f>
        <v/>
      </c>
      <c r="E909" s="735"/>
      <c r="F909" s="735"/>
      <c r="G909" s="735"/>
      <c r="H909" s="70"/>
      <c r="I909" s="52" t="str">
        <f>IF($K909&lt;&gt;0,VLOOKUP($K909,DM_KM,3,0),"")</f>
        <v/>
      </c>
      <c r="J909" s="52" t="str">
        <f>IF($K909&lt;&gt;0,VLOOKUP($K909,DM_KM,5,0),"")</f>
        <v/>
      </c>
      <c r="K909" s="735"/>
      <c r="L909" s="735"/>
      <c r="M909" s="68"/>
      <c r="N909" s="739"/>
      <c r="O909" s="737"/>
      <c r="P909" s="751"/>
    </row>
    <row r="910" hidden="1">
      <c r="A910" s="1190"/>
      <c r="B910" s="52" t="str">
        <f t="shared" si="1"/>
        <v/>
      </c>
      <c r="C910" s="52" t="str">
        <f>IF(A910="","",VLOOKUP(A910,'THAM CHIẾU'!$A:$B,2,0))</f>
        <v/>
      </c>
      <c r="D910" s="52" t="str">
        <f>IF(E910&lt;&gt;0,VLOOKUP(E910,DM_DUAN,3,0),"")</f>
        <v/>
      </c>
      <c r="E910" s="735"/>
      <c r="F910" s="735"/>
      <c r="G910" s="735"/>
      <c r="H910" s="70"/>
      <c r="I910" s="52" t="str">
        <f>IF($K910&lt;&gt;0,VLOOKUP($K910,DM_KM,3,0),"")</f>
        <v/>
      </c>
      <c r="J910" s="52" t="str">
        <f>IF($K910&lt;&gt;0,VLOOKUP($K910,DM_KM,5,0),"")</f>
        <v/>
      </c>
      <c r="K910" s="735"/>
      <c r="L910" s="735"/>
      <c r="M910" s="68"/>
      <c r="N910" s="739"/>
      <c r="O910" s="737"/>
      <c r="P910" s="751"/>
    </row>
    <row r="911" hidden="1">
      <c r="A911" s="1190"/>
      <c r="B911" s="52" t="str">
        <f t="shared" si="1"/>
        <v/>
      </c>
      <c r="C911" s="52" t="str">
        <f>IF(A911="","",VLOOKUP(A911,'THAM CHIẾU'!$A:$B,2,0))</f>
        <v/>
      </c>
      <c r="D911" s="52" t="str">
        <f>IF(E911&lt;&gt;0,VLOOKUP(E911,DM_DUAN,3,0),"")</f>
        <v/>
      </c>
      <c r="E911" s="735"/>
      <c r="F911" s="735"/>
      <c r="G911" s="735"/>
      <c r="H911" s="70"/>
      <c r="I911" s="52" t="str">
        <f>IF($K911&lt;&gt;0,VLOOKUP($K911,DM_KM,3,0),"")</f>
        <v/>
      </c>
      <c r="J911" s="52" t="str">
        <f>IF($K911&lt;&gt;0,VLOOKUP($K911,DM_KM,5,0),"")</f>
        <v/>
      </c>
      <c r="K911" s="735"/>
      <c r="L911" s="735"/>
      <c r="M911" s="68"/>
      <c r="N911" s="739"/>
      <c r="O911" s="737"/>
      <c r="P911" s="751"/>
    </row>
    <row r="912" hidden="1">
      <c r="A912" s="1190"/>
      <c r="B912" s="52" t="str">
        <f t="shared" si="1"/>
        <v/>
      </c>
      <c r="C912" s="52" t="str">
        <f>IF(A912="","",VLOOKUP(A912,'THAM CHIẾU'!$A:$B,2,0))</f>
        <v/>
      </c>
      <c r="D912" s="52" t="str">
        <f>IF(E912&lt;&gt;0,VLOOKUP(E912,DM_DUAN,3,0),"")</f>
        <v/>
      </c>
      <c r="E912" s="735"/>
      <c r="F912" s="735"/>
      <c r="G912" s="735"/>
      <c r="H912" s="70"/>
      <c r="I912" s="52" t="str">
        <f>IF($K912&lt;&gt;0,VLOOKUP($K912,DM_KM,3,0),"")</f>
        <v/>
      </c>
      <c r="J912" s="52" t="str">
        <f>IF($K912&lt;&gt;0,VLOOKUP($K912,DM_KM,5,0),"")</f>
        <v/>
      </c>
      <c r="K912" s="735"/>
      <c r="L912" s="735"/>
      <c r="M912" s="68"/>
      <c r="N912" s="739"/>
      <c r="O912" s="737"/>
      <c r="P912" s="751"/>
    </row>
    <row r="913" hidden="1">
      <c r="A913" s="1190"/>
      <c r="B913" s="52" t="str">
        <f t="shared" si="1"/>
        <v/>
      </c>
      <c r="C913" s="52" t="str">
        <f>IF(A913="","",VLOOKUP(A913,'THAM CHIẾU'!$A:$B,2,0))</f>
        <v/>
      </c>
      <c r="D913" s="52" t="str">
        <f>IF(E913&lt;&gt;0,VLOOKUP(E913,DM_DUAN,3,0),"")</f>
        <v/>
      </c>
      <c r="E913" s="735"/>
      <c r="F913" s="735"/>
      <c r="G913" s="735"/>
      <c r="H913" s="70"/>
      <c r="I913" s="52" t="str">
        <f>IF($K913&lt;&gt;0,VLOOKUP($K913,DM_KM,3,0),"")</f>
        <v/>
      </c>
      <c r="J913" s="52" t="str">
        <f>IF($K913&lt;&gt;0,VLOOKUP($K913,DM_KM,5,0),"")</f>
        <v/>
      </c>
      <c r="K913" s="735"/>
      <c r="L913" s="735"/>
      <c r="M913" s="68"/>
      <c r="N913" s="739"/>
      <c r="O913" s="737"/>
      <c r="P913" s="751"/>
    </row>
    <row r="914" hidden="1">
      <c r="A914" s="1190"/>
      <c r="B914" s="52" t="str">
        <f t="shared" si="1"/>
        <v/>
      </c>
      <c r="C914" s="52" t="str">
        <f>IF(A914="","",VLOOKUP(A914,'THAM CHIẾU'!$A:$B,2,0))</f>
        <v/>
      </c>
      <c r="D914" s="52" t="str">
        <f>IF(E914&lt;&gt;0,VLOOKUP(E914,DM_DUAN,3,0),"")</f>
        <v/>
      </c>
      <c r="E914" s="735"/>
      <c r="F914" s="735"/>
      <c r="G914" s="735"/>
      <c r="H914" s="70"/>
      <c r="I914" s="52" t="str">
        <f>IF($K914&lt;&gt;0,VLOOKUP($K914,DM_KM,3,0),"")</f>
        <v/>
      </c>
      <c r="J914" s="52" t="str">
        <f>IF($K914&lt;&gt;0,VLOOKUP($K914,DM_KM,5,0),"")</f>
        <v/>
      </c>
      <c r="K914" s="735"/>
      <c r="L914" s="735"/>
      <c r="M914" s="68"/>
      <c r="N914" s="739"/>
      <c r="O914" s="737"/>
      <c r="P914" s="751"/>
    </row>
    <row r="915" hidden="1">
      <c r="A915" s="1190"/>
      <c r="B915" s="52" t="str">
        <f t="shared" si="1"/>
        <v/>
      </c>
      <c r="C915" s="52" t="str">
        <f>IF(A915="","",VLOOKUP(A915,'THAM CHIẾU'!$A:$B,2,0))</f>
        <v/>
      </c>
      <c r="D915" s="52" t="str">
        <f>IF(E915&lt;&gt;0,VLOOKUP(E915,DM_DUAN,3,0),"")</f>
        <v/>
      </c>
      <c r="E915" s="735"/>
      <c r="F915" s="735"/>
      <c r="G915" s="735"/>
      <c r="H915" s="70"/>
      <c r="I915" s="52" t="str">
        <f>IF($K915&lt;&gt;0,VLOOKUP($K915,DM_KM,3,0),"")</f>
        <v/>
      </c>
      <c r="J915" s="52" t="str">
        <f>IF($K915&lt;&gt;0,VLOOKUP($K915,DM_KM,5,0),"")</f>
        <v/>
      </c>
      <c r="K915" s="735"/>
      <c r="L915" s="735"/>
      <c r="M915" s="68"/>
      <c r="N915" s="739"/>
      <c r="O915" s="737"/>
      <c r="P915" s="751"/>
    </row>
    <row r="916" hidden="1">
      <c r="A916" s="1190"/>
      <c r="B916" s="52" t="str">
        <f t="shared" si="1"/>
        <v/>
      </c>
      <c r="C916" s="52" t="str">
        <f>IF(A916="","",VLOOKUP(A916,'THAM CHIẾU'!$A:$B,2,0))</f>
        <v/>
      </c>
      <c r="D916" s="52" t="str">
        <f>IF(E916&lt;&gt;0,VLOOKUP(E916,DM_DUAN,3,0),"")</f>
        <v/>
      </c>
      <c r="E916" s="735"/>
      <c r="F916" s="735"/>
      <c r="G916" s="735"/>
      <c r="H916" s="70"/>
      <c r="I916" s="52" t="str">
        <f>IF($K916&lt;&gt;0,VLOOKUP($K916,DM_KM,3,0),"")</f>
        <v/>
      </c>
      <c r="J916" s="52" t="str">
        <f>IF($K916&lt;&gt;0,VLOOKUP($K916,DM_KM,5,0),"")</f>
        <v/>
      </c>
      <c r="K916" s="735"/>
      <c r="L916" s="735"/>
      <c r="M916" s="68"/>
      <c r="N916" s="739"/>
      <c r="O916" s="737"/>
      <c r="P916" s="751"/>
    </row>
    <row r="917" hidden="1">
      <c r="A917" s="1190"/>
      <c r="B917" s="52" t="str">
        <f t="shared" si="1"/>
        <v/>
      </c>
      <c r="C917" s="52" t="str">
        <f>IF(A917="","",VLOOKUP(A917,'THAM CHIẾU'!$A:$B,2,0))</f>
        <v/>
      </c>
      <c r="D917" s="52" t="str">
        <f>IF(E917&lt;&gt;0,VLOOKUP(E917,DM_DUAN,3,0),"")</f>
        <v/>
      </c>
      <c r="E917" s="735"/>
      <c r="F917" s="735"/>
      <c r="G917" s="735"/>
      <c r="H917" s="70"/>
      <c r="I917" s="52" t="str">
        <f>IF($K917&lt;&gt;0,VLOOKUP($K917,DM_KM,3,0),"")</f>
        <v/>
      </c>
      <c r="J917" s="52" t="str">
        <f>IF($K917&lt;&gt;0,VLOOKUP($K917,DM_KM,5,0),"")</f>
        <v/>
      </c>
      <c r="K917" s="735"/>
      <c r="L917" s="735"/>
      <c r="M917" s="68"/>
      <c r="N917" s="739"/>
      <c r="O917" s="737"/>
      <c r="P917" s="751"/>
    </row>
    <row r="918" hidden="1">
      <c r="A918" s="1190"/>
      <c r="B918" s="52" t="str">
        <f t="shared" si="1"/>
        <v/>
      </c>
      <c r="C918" s="52" t="str">
        <f>IF(A918="","",VLOOKUP(A918,'THAM CHIẾU'!$A:$B,2,0))</f>
        <v/>
      </c>
      <c r="D918" s="52" t="str">
        <f>IF(E918&lt;&gt;0,VLOOKUP(E918,DM_DUAN,3,0),"")</f>
        <v/>
      </c>
      <c r="E918" s="735"/>
      <c r="F918" s="735"/>
      <c r="G918" s="735"/>
      <c r="H918" s="70"/>
      <c r="I918" s="52" t="str">
        <f>IF($K918&lt;&gt;0,VLOOKUP($K918,DM_KM,3,0),"")</f>
        <v/>
      </c>
      <c r="J918" s="52" t="str">
        <f>IF($K918&lt;&gt;0,VLOOKUP($K918,DM_KM,5,0),"")</f>
        <v/>
      </c>
      <c r="K918" s="735"/>
      <c r="L918" s="735"/>
      <c r="M918" s="68"/>
      <c r="N918" s="739"/>
      <c r="O918" s="737"/>
      <c r="P918" s="751"/>
    </row>
    <row r="919" hidden="1">
      <c r="A919" s="1190"/>
      <c r="B919" s="52" t="str">
        <f t="shared" si="1"/>
        <v/>
      </c>
      <c r="C919" s="52" t="str">
        <f>IF(A919="","",VLOOKUP(A919,'THAM CHIẾU'!$A:$B,2,0))</f>
        <v/>
      </c>
      <c r="D919" s="52" t="str">
        <f>IF(E919&lt;&gt;0,VLOOKUP(E919,DM_DUAN,3,0),"")</f>
        <v/>
      </c>
      <c r="E919" s="735"/>
      <c r="F919" s="735"/>
      <c r="G919" s="735"/>
      <c r="H919" s="70"/>
      <c r="I919" s="52" t="str">
        <f>IF($K919&lt;&gt;0,VLOOKUP($K919,DM_KM,3,0),"")</f>
        <v/>
      </c>
      <c r="J919" s="52" t="str">
        <f>IF($K919&lt;&gt;0,VLOOKUP($K919,DM_KM,5,0),"")</f>
        <v/>
      </c>
      <c r="K919" s="735"/>
      <c r="L919" s="735"/>
      <c r="M919" s="68"/>
      <c r="N919" s="739"/>
      <c r="O919" s="737"/>
      <c r="P919" s="751"/>
    </row>
    <row r="920" hidden="1">
      <c r="A920" s="1190"/>
      <c r="B920" s="52" t="str">
        <f t="shared" si="1"/>
        <v/>
      </c>
      <c r="C920" s="52" t="str">
        <f>IF(A920="","",VLOOKUP(A920,'THAM CHIẾU'!$A:$B,2,0))</f>
        <v/>
      </c>
      <c r="D920" s="52" t="str">
        <f>IF(E920&lt;&gt;0,VLOOKUP(E920,DM_DUAN,3,0),"")</f>
        <v/>
      </c>
      <c r="E920" s="735"/>
      <c r="F920" s="735"/>
      <c r="G920" s="735"/>
      <c r="H920" s="70"/>
      <c r="I920" s="52" t="str">
        <f>IF($K920&lt;&gt;0,VLOOKUP($K920,DM_KM,3,0),"")</f>
        <v/>
      </c>
      <c r="J920" s="52" t="str">
        <f>IF($K920&lt;&gt;0,VLOOKUP($K920,DM_KM,5,0),"")</f>
        <v/>
      </c>
      <c r="K920" s="735"/>
      <c r="L920" s="735"/>
      <c r="M920" s="68"/>
      <c r="N920" s="739"/>
      <c r="O920" s="737"/>
      <c r="P920" s="751"/>
    </row>
    <row r="921" hidden="1">
      <c r="A921" s="1190"/>
      <c r="B921" s="52" t="str">
        <f t="shared" si="1"/>
        <v/>
      </c>
      <c r="C921" s="52" t="str">
        <f>IF(A921="","",VLOOKUP(A921,'THAM CHIẾU'!$A:$B,2,0))</f>
        <v/>
      </c>
      <c r="D921" s="52" t="str">
        <f>IF(E921&lt;&gt;0,VLOOKUP(E921,DM_DUAN,3,0),"")</f>
        <v/>
      </c>
      <c r="E921" s="735"/>
      <c r="F921" s="735"/>
      <c r="G921" s="735"/>
      <c r="H921" s="70"/>
      <c r="I921" s="52" t="str">
        <f>IF($K921&lt;&gt;0,VLOOKUP($K921,DM_KM,3,0),"")</f>
        <v/>
      </c>
      <c r="J921" s="52" t="str">
        <f>IF($K921&lt;&gt;0,VLOOKUP($K921,DM_KM,5,0),"")</f>
        <v/>
      </c>
      <c r="K921" s="735"/>
      <c r="L921" s="735"/>
      <c r="M921" s="68"/>
      <c r="N921" s="739"/>
      <c r="O921" s="737"/>
      <c r="P921" s="751"/>
    </row>
    <row r="922" hidden="1">
      <c r="A922" s="1190"/>
      <c r="B922" s="52" t="str">
        <f t="shared" si="1"/>
        <v/>
      </c>
      <c r="C922" s="52" t="str">
        <f>IF(A922="","",VLOOKUP(A922,'THAM CHIẾU'!$A:$B,2,0))</f>
        <v/>
      </c>
      <c r="D922" s="52" t="str">
        <f>IF(E922&lt;&gt;0,VLOOKUP(E922,DM_DUAN,3,0),"")</f>
        <v/>
      </c>
      <c r="E922" s="735"/>
      <c r="F922" s="735"/>
      <c r="G922" s="735"/>
      <c r="H922" s="70"/>
      <c r="I922" s="52" t="str">
        <f>IF($K922&lt;&gt;0,VLOOKUP($K922,DM_KM,3,0),"")</f>
        <v/>
      </c>
      <c r="J922" s="52" t="str">
        <f>IF($K922&lt;&gt;0,VLOOKUP($K922,DM_KM,5,0),"")</f>
        <v/>
      </c>
      <c r="K922" s="735"/>
      <c r="L922" s="735"/>
      <c r="M922" s="68"/>
      <c r="N922" s="739"/>
      <c r="O922" s="737"/>
      <c r="P922" s="751"/>
    </row>
    <row r="923" hidden="1">
      <c r="A923" s="1190"/>
      <c r="B923" s="52" t="str">
        <f t="shared" si="1"/>
        <v/>
      </c>
      <c r="C923" s="52" t="str">
        <f>IF(A923="","",VLOOKUP(A923,'THAM CHIẾU'!$A:$B,2,0))</f>
        <v/>
      </c>
      <c r="D923" s="52" t="str">
        <f>IF(E923&lt;&gt;0,VLOOKUP(E923,DM_DUAN,3,0),"")</f>
        <v/>
      </c>
      <c r="E923" s="735"/>
      <c r="F923" s="735"/>
      <c r="G923" s="735"/>
      <c r="H923" s="70"/>
      <c r="I923" s="52" t="str">
        <f>IF($K923&lt;&gt;0,VLOOKUP($K923,DM_KM,3,0),"")</f>
        <v/>
      </c>
      <c r="J923" s="52" t="str">
        <f>IF($K923&lt;&gt;0,VLOOKUP($K923,DM_KM,5,0),"")</f>
        <v/>
      </c>
      <c r="K923" s="735"/>
      <c r="L923" s="735"/>
      <c r="M923" s="68"/>
      <c r="N923" s="739"/>
      <c r="O923" s="737"/>
      <c r="P923" s="751"/>
    </row>
    <row r="924" hidden="1">
      <c r="A924" s="1190"/>
      <c r="B924" s="52" t="str">
        <f t="shared" si="1"/>
        <v/>
      </c>
      <c r="C924" s="52" t="str">
        <f>IF(A924="","",VLOOKUP(A924,'THAM CHIẾU'!$A:$B,2,0))</f>
        <v/>
      </c>
      <c r="D924" s="52" t="str">
        <f>IF(E924&lt;&gt;0,VLOOKUP(E924,DM_DUAN,3,0),"")</f>
        <v/>
      </c>
      <c r="E924" s="735"/>
      <c r="F924" s="735"/>
      <c r="G924" s="735"/>
      <c r="H924" s="70"/>
      <c r="I924" s="52" t="str">
        <f>IF($K924&lt;&gt;0,VLOOKUP($K924,DM_KM,3,0),"")</f>
        <v/>
      </c>
      <c r="J924" s="52" t="str">
        <f>IF($K924&lt;&gt;0,VLOOKUP($K924,DM_KM,5,0),"")</f>
        <v/>
      </c>
      <c r="K924" s="735"/>
      <c r="L924" s="735"/>
      <c r="M924" s="68"/>
      <c r="N924" s="739"/>
      <c r="O924" s="737"/>
      <c r="P924" s="751"/>
    </row>
    <row r="925" hidden="1">
      <c r="A925" s="1190"/>
      <c r="B925" s="52" t="str">
        <f t="shared" si="1"/>
        <v/>
      </c>
      <c r="C925" s="52" t="str">
        <f>IF(A925="","",VLOOKUP(A925,'THAM CHIẾU'!$A:$B,2,0))</f>
        <v/>
      </c>
      <c r="D925" s="52" t="str">
        <f>IF(E925&lt;&gt;0,VLOOKUP(E925,DM_DUAN,3,0),"")</f>
        <v/>
      </c>
      <c r="E925" s="735"/>
      <c r="F925" s="735"/>
      <c r="G925" s="735"/>
      <c r="H925" s="70"/>
      <c r="I925" s="52" t="str">
        <f>IF($K925&lt;&gt;0,VLOOKUP($K925,DM_KM,3,0),"")</f>
        <v/>
      </c>
      <c r="J925" s="52" t="str">
        <f>IF($K925&lt;&gt;0,VLOOKUP($K925,DM_KM,5,0),"")</f>
        <v/>
      </c>
      <c r="K925" s="735"/>
      <c r="L925" s="735"/>
      <c r="M925" s="68"/>
      <c r="N925" s="739"/>
      <c r="O925" s="737"/>
      <c r="P925" s="751"/>
    </row>
    <row r="926" hidden="1">
      <c r="A926" s="1190"/>
      <c r="B926" s="52" t="str">
        <f t="shared" si="1"/>
        <v/>
      </c>
      <c r="C926" s="52" t="str">
        <f>IF(A926="","",VLOOKUP(A926,'THAM CHIẾU'!$A:$B,2,0))</f>
        <v/>
      </c>
      <c r="D926" s="52" t="str">
        <f>IF(E926&lt;&gt;0,VLOOKUP(E926,DM_DUAN,3,0),"")</f>
        <v/>
      </c>
      <c r="E926" s="735"/>
      <c r="F926" s="735"/>
      <c r="G926" s="735"/>
      <c r="H926" s="70"/>
      <c r="I926" s="52" t="str">
        <f>IF($K926&lt;&gt;0,VLOOKUP($K926,DM_KM,3,0),"")</f>
        <v/>
      </c>
      <c r="J926" s="52" t="str">
        <f>IF($K926&lt;&gt;0,VLOOKUP($K926,DM_KM,5,0),"")</f>
        <v/>
      </c>
      <c r="K926" s="735"/>
      <c r="L926" s="735"/>
      <c r="M926" s="68"/>
      <c r="N926" s="739"/>
      <c r="O926" s="737"/>
      <c r="P926" s="751"/>
    </row>
    <row r="927" hidden="1">
      <c r="A927" s="1190"/>
      <c r="B927" s="52" t="str">
        <f t="shared" si="1"/>
        <v/>
      </c>
      <c r="C927" s="52" t="str">
        <f>IF(A927="","",VLOOKUP(A927,'THAM CHIẾU'!$A:$B,2,0))</f>
        <v/>
      </c>
      <c r="D927" s="52" t="str">
        <f>IF(E927&lt;&gt;0,VLOOKUP(E927,DM_DUAN,3,0),"")</f>
        <v/>
      </c>
      <c r="E927" s="735"/>
      <c r="F927" s="735"/>
      <c r="G927" s="735"/>
      <c r="H927" s="70"/>
      <c r="I927" s="52" t="str">
        <f>IF($K927&lt;&gt;0,VLOOKUP($K927,DM_KM,3,0),"")</f>
        <v/>
      </c>
      <c r="J927" s="52" t="str">
        <f>IF($K927&lt;&gt;0,VLOOKUP($K927,DM_KM,5,0),"")</f>
        <v/>
      </c>
      <c r="K927" s="735"/>
      <c r="L927" s="735"/>
      <c r="M927" s="68"/>
      <c r="N927" s="739"/>
      <c r="O927" s="737"/>
      <c r="P927" s="751"/>
    </row>
    <row r="928" hidden="1">
      <c r="A928" s="1190"/>
      <c r="B928" s="52" t="str">
        <f t="shared" si="1"/>
        <v/>
      </c>
      <c r="C928" s="52" t="str">
        <f>IF(A928="","",VLOOKUP(A928,'THAM CHIẾU'!$A:$B,2,0))</f>
        <v/>
      </c>
      <c r="D928" s="52" t="str">
        <f>IF(E928&lt;&gt;0,VLOOKUP(E928,DM_DUAN,3,0),"")</f>
        <v/>
      </c>
      <c r="E928" s="735"/>
      <c r="F928" s="735"/>
      <c r="G928" s="735"/>
      <c r="H928" s="70"/>
      <c r="I928" s="52" t="str">
        <f>IF($K928&lt;&gt;0,VLOOKUP($K928,DM_KM,3,0),"")</f>
        <v/>
      </c>
      <c r="J928" s="52" t="str">
        <f>IF($K928&lt;&gt;0,VLOOKUP($K928,DM_KM,5,0),"")</f>
        <v/>
      </c>
      <c r="K928" s="735"/>
      <c r="L928" s="735"/>
      <c r="M928" s="68"/>
      <c r="N928" s="739"/>
      <c r="O928" s="737"/>
      <c r="P928" s="751"/>
    </row>
    <row r="929" hidden="1">
      <c r="A929" s="1190"/>
      <c r="B929" s="52" t="str">
        <f t="shared" si="1"/>
        <v/>
      </c>
      <c r="C929" s="52" t="str">
        <f>IF(A929="","",VLOOKUP(A929,'THAM CHIẾU'!$A:$B,2,0))</f>
        <v/>
      </c>
      <c r="D929" s="52" t="str">
        <f>IF(E929&lt;&gt;0,VLOOKUP(E929,DM_DUAN,3,0),"")</f>
        <v/>
      </c>
      <c r="E929" s="735"/>
      <c r="F929" s="735"/>
      <c r="G929" s="735"/>
      <c r="H929" s="70"/>
      <c r="I929" s="52" t="str">
        <f>IF($K929&lt;&gt;0,VLOOKUP($K929,DM_KM,3,0),"")</f>
        <v/>
      </c>
      <c r="J929" s="52" t="str">
        <f>IF($K929&lt;&gt;0,VLOOKUP($K929,DM_KM,5,0),"")</f>
        <v/>
      </c>
      <c r="K929" s="735"/>
      <c r="L929" s="735"/>
      <c r="M929" s="68"/>
      <c r="N929" s="739"/>
      <c r="O929" s="737"/>
      <c r="P929" s="751"/>
    </row>
    <row r="930" hidden="1">
      <c r="A930" s="1190"/>
      <c r="B930" s="52" t="str">
        <f t="shared" si="1"/>
        <v/>
      </c>
      <c r="C930" s="52" t="str">
        <f>IF(A930="","",VLOOKUP(A930,'THAM CHIẾU'!$A:$B,2,0))</f>
        <v/>
      </c>
      <c r="D930" s="52" t="str">
        <f>IF(E930&lt;&gt;0,VLOOKUP(E930,DM_DUAN,3,0),"")</f>
        <v/>
      </c>
      <c r="E930" s="735"/>
      <c r="F930" s="735"/>
      <c r="G930" s="735"/>
      <c r="H930" s="70"/>
      <c r="I930" s="52" t="str">
        <f>IF($K930&lt;&gt;0,VLOOKUP($K930,DM_KM,3,0),"")</f>
        <v/>
      </c>
      <c r="J930" s="52" t="str">
        <f>IF($K930&lt;&gt;0,VLOOKUP($K930,DM_KM,5,0),"")</f>
        <v/>
      </c>
      <c r="K930" s="735"/>
      <c r="L930" s="735"/>
      <c r="M930" s="68"/>
      <c r="N930" s="739"/>
      <c r="O930" s="737"/>
      <c r="P930" s="751"/>
    </row>
    <row r="931" hidden="1">
      <c r="A931" s="1190"/>
      <c r="B931" s="52" t="str">
        <f t="shared" si="1"/>
        <v/>
      </c>
      <c r="C931" s="52" t="str">
        <f>IF(A931="","",VLOOKUP(A931,'THAM CHIẾU'!$A:$B,2,0))</f>
        <v/>
      </c>
      <c r="D931" s="52" t="str">
        <f>IF(E931&lt;&gt;0,VLOOKUP(E931,DM_DUAN,3,0),"")</f>
        <v/>
      </c>
      <c r="E931" s="735"/>
      <c r="F931" s="735"/>
      <c r="G931" s="735"/>
      <c r="H931" s="70"/>
      <c r="I931" s="52" t="str">
        <f>IF($K931&lt;&gt;0,VLOOKUP($K931,DM_KM,3,0),"")</f>
        <v/>
      </c>
      <c r="J931" s="52" t="str">
        <f>IF($K931&lt;&gt;0,VLOOKUP($K931,DM_KM,5,0),"")</f>
        <v/>
      </c>
      <c r="K931" s="735"/>
      <c r="L931" s="735"/>
      <c r="M931" s="68"/>
      <c r="N931" s="739"/>
      <c r="O931" s="737"/>
      <c r="P931" s="751"/>
    </row>
    <row r="932" hidden="1">
      <c r="A932" s="1190"/>
      <c r="B932" s="52" t="str">
        <f t="shared" si="1"/>
        <v/>
      </c>
      <c r="C932" s="52" t="str">
        <f>IF(A932="","",VLOOKUP(A932,'THAM CHIẾU'!$A:$B,2,0))</f>
        <v/>
      </c>
      <c r="D932" s="52" t="str">
        <f>IF(E932&lt;&gt;0,VLOOKUP(E932,DM_DUAN,3,0),"")</f>
        <v/>
      </c>
      <c r="E932" s="735"/>
      <c r="F932" s="735"/>
      <c r="G932" s="735"/>
      <c r="H932" s="70"/>
      <c r="I932" s="52" t="str">
        <f>IF($K932&lt;&gt;0,VLOOKUP($K932,DM_KM,3,0),"")</f>
        <v/>
      </c>
      <c r="J932" s="52" t="str">
        <f>IF($K932&lt;&gt;0,VLOOKUP($K932,DM_KM,5,0),"")</f>
        <v/>
      </c>
      <c r="K932" s="735"/>
      <c r="L932" s="735"/>
      <c r="M932" s="68"/>
      <c r="N932" s="739"/>
      <c r="O932" s="737"/>
      <c r="P932" s="751"/>
    </row>
    <row r="933" hidden="1">
      <c r="A933" s="1190"/>
      <c r="B933" s="52" t="str">
        <f t="shared" si="1"/>
        <v/>
      </c>
      <c r="C933" s="52" t="str">
        <f>IF(A933="","",VLOOKUP(A933,'THAM CHIẾU'!$A:$B,2,0))</f>
        <v/>
      </c>
      <c r="D933" s="52" t="str">
        <f>IF(E933&lt;&gt;0,VLOOKUP(E933,DM_DUAN,3,0),"")</f>
        <v/>
      </c>
      <c r="E933" s="735"/>
      <c r="F933" s="735"/>
      <c r="G933" s="735"/>
      <c r="H933" s="70"/>
      <c r="I933" s="52" t="str">
        <f>IF($K933&lt;&gt;0,VLOOKUP($K933,DM_KM,3,0),"")</f>
        <v/>
      </c>
      <c r="J933" s="52" t="str">
        <f>IF($K933&lt;&gt;0,VLOOKUP($K933,DM_KM,5,0),"")</f>
        <v/>
      </c>
      <c r="K933" s="735"/>
      <c r="L933" s="735"/>
      <c r="M933" s="68"/>
      <c r="N933" s="739"/>
      <c r="O933" s="737"/>
      <c r="P933" s="751"/>
    </row>
    <row r="934" hidden="1">
      <c r="A934" s="1190"/>
      <c r="B934" s="52" t="str">
        <f t="shared" si="1"/>
        <v/>
      </c>
      <c r="C934" s="52" t="str">
        <f>IF(A934="","",VLOOKUP(A934,'THAM CHIẾU'!$A:$B,2,0))</f>
        <v/>
      </c>
      <c r="D934" s="52" t="str">
        <f>IF(E934&lt;&gt;0,VLOOKUP(E934,DM_DUAN,3,0),"")</f>
        <v/>
      </c>
      <c r="E934" s="735"/>
      <c r="F934" s="735"/>
      <c r="G934" s="735"/>
      <c r="H934" s="70"/>
      <c r="I934" s="52" t="str">
        <f>IF($K934&lt;&gt;0,VLOOKUP($K934,DM_KM,3,0),"")</f>
        <v/>
      </c>
      <c r="J934" s="52" t="str">
        <f>IF($K934&lt;&gt;0,VLOOKUP($K934,DM_KM,5,0),"")</f>
        <v/>
      </c>
      <c r="K934" s="735"/>
      <c r="L934" s="735"/>
      <c r="M934" s="68"/>
      <c r="N934" s="739"/>
      <c r="O934" s="737"/>
      <c r="P934" s="751"/>
    </row>
    <row r="935" hidden="1">
      <c r="A935" s="1190"/>
      <c r="B935" s="52" t="str">
        <f t="shared" si="1"/>
        <v/>
      </c>
      <c r="C935" s="52" t="str">
        <f>IF(A935="","",VLOOKUP(A935,'THAM CHIẾU'!$A:$B,2,0))</f>
        <v/>
      </c>
      <c r="D935" s="52" t="str">
        <f>IF(E935&lt;&gt;0,VLOOKUP(E935,DM_DUAN,3,0),"")</f>
        <v/>
      </c>
      <c r="E935" s="735"/>
      <c r="F935" s="735"/>
      <c r="G935" s="735"/>
      <c r="H935" s="70"/>
      <c r="I935" s="52" t="str">
        <f>IF($K935&lt;&gt;0,VLOOKUP($K935,DM_KM,3,0),"")</f>
        <v/>
      </c>
      <c r="J935" s="52" t="str">
        <f>IF($K935&lt;&gt;0,VLOOKUP($K935,DM_KM,5,0),"")</f>
        <v/>
      </c>
      <c r="K935" s="735"/>
      <c r="L935" s="735"/>
      <c r="M935" s="68"/>
      <c r="N935" s="739"/>
      <c r="O935" s="737"/>
      <c r="P935" s="751"/>
    </row>
    <row r="936" hidden="1">
      <c r="A936" s="1190"/>
      <c r="B936" s="52" t="str">
        <f t="shared" si="1"/>
        <v/>
      </c>
      <c r="C936" s="52" t="str">
        <f>IF(A936="","",VLOOKUP(A936,'THAM CHIẾU'!$A:$B,2,0))</f>
        <v/>
      </c>
      <c r="D936" s="52" t="str">
        <f>IF(E936&lt;&gt;0,VLOOKUP(E936,DM_DUAN,3,0),"")</f>
        <v/>
      </c>
      <c r="E936" s="735"/>
      <c r="F936" s="735"/>
      <c r="G936" s="735"/>
      <c r="H936" s="70"/>
      <c r="I936" s="52" t="str">
        <f>IF($K936&lt;&gt;0,VLOOKUP($K936,DM_KM,3,0),"")</f>
        <v/>
      </c>
      <c r="J936" s="52" t="str">
        <f>IF($K936&lt;&gt;0,VLOOKUP($K936,DM_KM,5,0),"")</f>
        <v/>
      </c>
      <c r="K936" s="735"/>
      <c r="L936" s="735"/>
      <c r="M936" s="68"/>
      <c r="N936" s="739"/>
      <c r="O936" s="737"/>
      <c r="P936" s="751"/>
    </row>
    <row r="937" hidden="1">
      <c r="A937" s="1190"/>
      <c r="B937" s="52" t="str">
        <f t="shared" si="1"/>
        <v/>
      </c>
      <c r="C937" s="52" t="str">
        <f>IF(A937="","",VLOOKUP(A937,'THAM CHIẾU'!$A:$B,2,0))</f>
        <v/>
      </c>
      <c r="D937" s="52" t="str">
        <f>IF(E937&lt;&gt;0,VLOOKUP(E937,DM_DUAN,3,0),"")</f>
        <v/>
      </c>
      <c r="E937" s="735"/>
      <c r="F937" s="735"/>
      <c r="G937" s="735"/>
      <c r="H937" s="70"/>
      <c r="I937" s="52" t="str">
        <f>IF($K937&lt;&gt;0,VLOOKUP($K937,DM_KM,3,0),"")</f>
        <v/>
      </c>
      <c r="J937" s="52" t="str">
        <f>IF($K937&lt;&gt;0,VLOOKUP($K937,DM_KM,5,0),"")</f>
        <v/>
      </c>
      <c r="K937" s="735"/>
      <c r="L937" s="735"/>
      <c r="M937" s="68"/>
      <c r="N937" s="739"/>
      <c r="O937" s="737"/>
      <c r="P937" s="751"/>
    </row>
    <row r="938" hidden="1">
      <c r="A938" s="1190"/>
      <c r="B938" s="52" t="str">
        <f t="shared" si="1"/>
        <v/>
      </c>
      <c r="C938" s="52" t="str">
        <f>IF(A938="","",VLOOKUP(A938,'THAM CHIẾU'!$A:$B,2,0))</f>
        <v/>
      </c>
      <c r="D938" s="52" t="str">
        <f>IF(E938&lt;&gt;0,VLOOKUP(E938,DM_DUAN,3,0),"")</f>
        <v/>
      </c>
      <c r="E938" s="735"/>
      <c r="F938" s="735"/>
      <c r="G938" s="735"/>
      <c r="H938" s="70"/>
      <c r="I938" s="52" t="str">
        <f>IF($K938&lt;&gt;0,VLOOKUP($K938,DM_KM,3,0),"")</f>
        <v/>
      </c>
      <c r="J938" s="52" t="str">
        <f>IF($K938&lt;&gt;0,VLOOKUP($K938,DM_KM,5,0),"")</f>
        <v/>
      </c>
      <c r="K938" s="735"/>
      <c r="L938" s="735"/>
      <c r="M938" s="68"/>
      <c r="N938" s="739"/>
      <c r="O938" s="737"/>
      <c r="P938" s="751"/>
    </row>
    <row r="939" hidden="1">
      <c r="A939" s="1190"/>
      <c r="B939" s="52" t="str">
        <f t="shared" si="1"/>
        <v/>
      </c>
      <c r="C939" s="52" t="str">
        <f>IF(A939="","",VLOOKUP(A939,'THAM CHIẾU'!$A:$B,2,0))</f>
        <v/>
      </c>
      <c r="D939" s="52" t="str">
        <f>IF(E939&lt;&gt;0,VLOOKUP(E939,DM_DUAN,3,0),"")</f>
        <v/>
      </c>
      <c r="E939" s="735"/>
      <c r="F939" s="735"/>
      <c r="G939" s="735"/>
      <c r="H939" s="70"/>
      <c r="I939" s="52" t="str">
        <f>IF($K939&lt;&gt;0,VLOOKUP($K939,DM_KM,3,0),"")</f>
        <v/>
      </c>
      <c r="J939" s="52" t="str">
        <f>IF($K939&lt;&gt;0,VLOOKUP($K939,DM_KM,5,0),"")</f>
        <v/>
      </c>
      <c r="K939" s="735"/>
      <c r="L939" s="735"/>
      <c r="M939" s="68"/>
      <c r="N939" s="739"/>
      <c r="O939" s="737"/>
      <c r="P939" s="751"/>
    </row>
    <row r="940" hidden="1">
      <c r="A940" s="1190"/>
      <c r="B940" s="52" t="str">
        <f t="shared" si="1"/>
        <v/>
      </c>
      <c r="C940" s="52" t="str">
        <f>IF(A940="","",VLOOKUP(A940,'THAM CHIẾU'!$A:$B,2,0))</f>
        <v/>
      </c>
      <c r="D940" s="52" t="str">
        <f>IF(E940&lt;&gt;0,VLOOKUP(E940,DM_DUAN,3,0),"")</f>
        <v/>
      </c>
      <c r="E940" s="735"/>
      <c r="F940" s="735"/>
      <c r="G940" s="735"/>
      <c r="H940" s="70"/>
      <c r="I940" s="52" t="str">
        <f>IF($K940&lt;&gt;0,VLOOKUP($K940,DM_KM,3,0),"")</f>
        <v/>
      </c>
      <c r="J940" s="52" t="str">
        <f>IF($K940&lt;&gt;0,VLOOKUP($K940,DM_KM,5,0),"")</f>
        <v/>
      </c>
      <c r="K940" s="735"/>
      <c r="L940" s="735"/>
      <c r="M940" s="68"/>
      <c r="N940" s="739"/>
      <c r="O940" s="737"/>
      <c r="P940" s="751"/>
    </row>
    <row r="941" hidden="1">
      <c r="A941" s="1190"/>
      <c r="B941" s="52" t="str">
        <f t="shared" si="1"/>
        <v/>
      </c>
      <c r="C941" s="52" t="str">
        <f>IF(A941="","",VLOOKUP(A941,'THAM CHIẾU'!$A:$B,2,0))</f>
        <v/>
      </c>
      <c r="D941" s="52" t="str">
        <f>IF(E941&lt;&gt;0,VLOOKUP(E941,DM_DUAN,3,0),"")</f>
        <v/>
      </c>
      <c r="E941" s="735"/>
      <c r="F941" s="735"/>
      <c r="G941" s="735"/>
      <c r="H941" s="70"/>
      <c r="I941" s="52" t="str">
        <f>IF($K941&lt;&gt;0,VLOOKUP($K941,DM_KM,3,0),"")</f>
        <v/>
      </c>
      <c r="J941" s="52" t="str">
        <f>IF($K941&lt;&gt;0,VLOOKUP($K941,DM_KM,5,0),"")</f>
        <v/>
      </c>
      <c r="K941" s="735"/>
      <c r="L941" s="735"/>
      <c r="M941" s="68"/>
      <c r="N941" s="739"/>
      <c r="O941" s="737"/>
      <c r="P941" s="751"/>
    </row>
    <row r="942" hidden="1">
      <c r="A942" s="1190"/>
      <c r="B942" s="52" t="str">
        <f t="shared" si="1"/>
        <v/>
      </c>
      <c r="C942" s="52" t="str">
        <f>IF(A942="","",VLOOKUP(A942,'THAM CHIẾU'!$A:$B,2,0))</f>
        <v/>
      </c>
      <c r="D942" s="52" t="str">
        <f>IF(E942&lt;&gt;0,VLOOKUP(E942,DM_DUAN,3,0),"")</f>
        <v/>
      </c>
      <c r="E942" s="735"/>
      <c r="F942" s="735"/>
      <c r="G942" s="735"/>
      <c r="H942" s="70"/>
      <c r="I942" s="52" t="str">
        <f>IF($K942&lt;&gt;0,VLOOKUP($K942,DM_KM,3,0),"")</f>
        <v/>
      </c>
      <c r="J942" s="52" t="str">
        <f>IF($K942&lt;&gt;0,VLOOKUP($K942,DM_KM,5,0),"")</f>
        <v/>
      </c>
      <c r="K942" s="735"/>
      <c r="L942" s="735"/>
      <c r="M942" s="68"/>
      <c r="N942" s="739"/>
      <c r="O942" s="737"/>
      <c r="P942" s="751"/>
    </row>
    <row r="943" hidden="1">
      <c r="A943" s="1190"/>
      <c r="B943" s="52" t="str">
        <f t="shared" si="1"/>
        <v/>
      </c>
      <c r="C943" s="52" t="str">
        <f>IF(A943="","",VLOOKUP(A943,'THAM CHIẾU'!$A:$B,2,0))</f>
        <v/>
      </c>
      <c r="D943" s="52" t="str">
        <f>IF(E943&lt;&gt;0,VLOOKUP(E943,DM_DUAN,3,0),"")</f>
        <v/>
      </c>
      <c r="E943" s="735"/>
      <c r="F943" s="735"/>
      <c r="G943" s="735"/>
      <c r="H943" s="70"/>
      <c r="I943" s="52" t="str">
        <f>IF($K943&lt;&gt;0,VLOOKUP($K943,DM_KM,3,0),"")</f>
        <v/>
      </c>
      <c r="J943" s="52" t="str">
        <f>IF($K943&lt;&gt;0,VLOOKUP($K943,DM_KM,5,0),"")</f>
        <v/>
      </c>
      <c r="K943" s="735"/>
      <c r="L943" s="735"/>
      <c r="M943" s="68"/>
      <c r="N943" s="739"/>
      <c r="O943" s="737"/>
      <c r="P943" s="751"/>
    </row>
    <row r="944" hidden="1">
      <c r="A944" s="1190"/>
      <c r="B944" s="52" t="str">
        <f t="shared" si="1"/>
        <v/>
      </c>
      <c r="C944" s="52" t="str">
        <f>IF(A944="","",VLOOKUP(A944,'THAM CHIẾU'!$A:$B,2,0))</f>
        <v/>
      </c>
      <c r="D944" s="52" t="str">
        <f>IF(E944&lt;&gt;0,VLOOKUP(E944,DM_DUAN,3,0),"")</f>
        <v/>
      </c>
      <c r="E944" s="735"/>
      <c r="F944" s="735"/>
      <c r="G944" s="735"/>
      <c r="H944" s="70"/>
      <c r="I944" s="52" t="str">
        <f>IF($K944&lt;&gt;0,VLOOKUP($K944,DM_KM,3,0),"")</f>
        <v/>
      </c>
      <c r="J944" s="52" t="str">
        <f>IF($K944&lt;&gt;0,VLOOKUP($K944,DM_KM,5,0),"")</f>
        <v/>
      </c>
      <c r="K944" s="735"/>
      <c r="L944" s="735"/>
      <c r="M944" s="68"/>
      <c r="N944" s="739"/>
      <c r="O944" s="737"/>
      <c r="P944" s="751"/>
    </row>
    <row r="945" hidden="1">
      <c r="A945" s="1190"/>
      <c r="B945" s="52" t="str">
        <f t="shared" si="1"/>
        <v/>
      </c>
      <c r="C945" s="52" t="str">
        <f>IF(A945="","",VLOOKUP(A945,'THAM CHIẾU'!$A:$B,2,0))</f>
        <v/>
      </c>
      <c r="D945" s="52" t="str">
        <f>IF(E945&lt;&gt;0,VLOOKUP(E945,DM_DUAN,3,0),"")</f>
        <v/>
      </c>
      <c r="E945" s="735"/>
      <c r="F945" s="735"/>
      <c r="G945" s="735"/>
      <c r="H945" s="70"/>
      <c r="I945" s="52" t="str">
        <f>IF($K945&lt;&gt;0,VLOOKUP($K945,DM_KM,3,0),"")</f>
        <v/>
      </c>
      <c r="J945" s="52" t="str">
        <f>IF($K945&lt;&gt;0,VLOOKUP($K945,DM_KM,5,0),"")</f>
        <v/>
      </c>
      <c r="K945" s="735"/>
      <c r="L945" s="735"/>
      <c r="M945" s="68"/>
      <c r="N945" s="739"/>
      <c r="O945" s="737"/>
      <c r="P945" s="751"/>
    </row>
    <row r="946" hidden="1">
      <c r="A946" s="1190"/>
      <c r="B946" s="52" t="str">
        <f t="shared" si="1"/>
        <v/>
      </c>
      <c r="C946" s="52" t="str">
        <f>IF(A946="","",VLOOKUP(A946,'THAM CHIẾU'!$A:$B,2,0))</f>
        <v/>
      </c>
      <c r="D946" s="52" t="str">
        <f>IF(E946&lt;&gt;0,VLOOKUP(E946,DM_DUAN,3,0),"")</f>
        <v/>
      </c>
      <c r="E946" s="735"/>
      <c r="F946" s="735"/>
      <c r="G946" s="735"/>
      <c r="H946" s="70"/>
      <c r="I946" s="52" t="str">
        <f>IF($K946&lt;&gt;0,VLOOKUP($K946,DM_KM,3,0),"")</f>
        <v/>
      </c>
      <c r="J946" s="52" t="str">
        <f>IF($K946&lt;&gt;0,VLOOKUP($K946,DM_KM,5,0),"")</f>
        <v/>
      </c>
      <c r="K946" s="735"/>
      <c r="L946" s="735"/>
      <c r="M946" s="68"/>
      <c r="N946" s="739"/>
      <c r="O946" s="737"/>
      <c r="P946" s="751"/>
    </row>
    <row r="947" hidden="1">
      <c r="A947" s="1190"/>
      <c r="B947" s="52" t="str">
        <f t="shared" si="1"/>
        <v/>
      </c>
      <c r="C947" s="52" t="str">
        <f>IF(A947="","",VLOOKUP(A947,'THAM CHIẾU'!$A:$B,2,0))</f>
        <v/>
      </c>
      <c r="D947" s="52" t="str">
        <f>IF(E947&lt;&gt;0,VLOOKUP(E947,DM_DUAN,3,0),"")</f>
        <v/>
      </c>
      <c r="E947" s="735"/>
      <c r="F947" s="735"/>
      <c r="G947" s="735"/>
      <c r="H947" s="70"/>
      <c r="I947" s="52" t="str">
        <f>IF($K947&lt;&gt;0,VLOOKUP($K947,DM_KM,3,0),"")</f>
        <v/>
      </c>
      <c r="J947" s="52" t="str">
        <f>IF($K947&lt;&gt;0,VLOOKUP($K947,DM_KM,5,0),"")</f>
        <v/>
      </c>
      <c r="K947" s="735"/>
      <c r="L947" s="735"/>
      <c r="M947" s="68"/>
      <c r="N947" s="739"/>
      <c r="O947" s="737"/>
      <c r="P947" s="751"/>
    </row>
    <row r="948" hidden="1">
      <c r="A948" s="1190"/>
      <c r="B948" s="52" t="str">
        <f t="shared" si="1"/>
        <v/>
      </c>
      <c r="C948" s="52" t="str">
        <f>IF(A948="","",VLOOKUP(A948,'THAM CHIẾU'!$A:$B,2,0))</f>
        <v/>
      </c>
      <c r="D948" s="52" t="str">
        <f>IF(E948&lt;&gt;0,VLOOKUP(E948,DM_DUAN,3,0),"")</f>
        <v/>
      </c>
      <c r="E948" s="735"/>
      <c r="F948" s="735"/>
      <c r="G948" s="735"/>
      <c r="H948" s="70"/>
      <c r="I948" s="52" t="str">
        <f>IF($K948&lt;&gt;0,VLOOKUP($K948,DM_KM,3,0),"")</f>
        <v/>
      </c>
      <c r="J948" s="52" t="str">
        <f>IF($K948&lt;&gt;0,VLOOKUP($K948,DM_KM,5,0),"")</f>
        <v/>
      </c>
      <c r="K948" s="735"/>
      <c r="L948" s="735"/>
      <c r="M948" s="68"/>
      <c r="N948" s="739"/>
      <c r="O948" s="737"/>
      <c r="P948" s="751"/>
    </row>
    <row r="949" hidden="1">
      <c r="A949" s="1190"/>
      <c r="B949" s="52" t="str">
        <f t="shared" si="1"/>
        <v/>
      </c>
      <c r="C949" s="52" t="str">
        <f>IF(A949="","",VLOOKUP(A949,'THAM CHIẾU'!$A:$B,2,0))</f>
        <v/>
      </c>
      <c r="D949" s="52" t="str">
        <f>IF(E949&lt;&gt;0,VLOOKUP(E949,DM_DUAN,3,0),"")</f>
        <v/>
      </c>
      <c r="E949" s="735"/>
      <c r="F949" s="735"/>
      <c r="G949" s="735"/>
      <c r="H949" s="70"/>
      <c r="I949" s="52" t="str">
        <f>IF($K949&lt;&gt;0,VLOOKUP($K949,DM_KM,3,0),"")</f>
        <v/>
      </c>
      <c r="J949" s="52" t="str">
        <f>IF($K949&lt;&gt;0,VLOOKUP($K949,DM_KM,5,0),"")</f>
        <v/>
      </c>
      <c r="K949" s="735"/>
      <c r="L949" s="735"/>
      <c r="M949" s="68"/>
      <c r="N949" s="739"/>
      <c r="O949" s="737"/>
      <c r="P949" s="751"/>
    </row>
    <row r="950" hidden="1">
      <c r="A950" s="1190"/>
      <c r="B950" s="52" t="str">
        <f t="shared" si="1"/>
        <v/>
      </c>
      <c r="C950" s="52" t="str">
        <f>IF(A950="","",VLOOKUP(A950,'THAM CHIẾU'!$A:$B,2,0))</f>
        <v/>
      </c>
      <c r="D950" s="52" t="str">
        <f>IF(E950&lt;&gt;0,VLOOKUP(E950,DM_DUAN,3,0),"")</f>
        <v/>
      </c>
      <c r="E950" s="735"/>
      <c r="F950" s="735"/>
      <c r="G950" s="735"/>
      <c r="H950" s="70"/>
      <c r="I950" s="52" t="str">
        <f>IF($K950&lt;&gt;0,VLOOKUP($K950,DM_KM,3,0),"")</f>
        <v/>
      </c>
      <c r="J950" s="52" t="str">
        <f>IF($K950&lt;&gt;0,VLOOKUP($K950,DM_KM,5,0),"")</f>
        <v/>
      </c>
      <c r="K950" s="735"/>
      <c r="L950" s="735"/>
      <c r="M950" s="68"/>
      <c r="N950" s="739"/>
      <c r="O950" s="737"/>
      <c r="P950" s="751"/>
    </row>
    <row r="951" hidden="1">
      <c r="A951" s="1190"/>
      <c r="B951" s="52" t="str">
        <f t="shared" si="1"/>
        <v/>
      </c>
      <c r="C951" s="52" t="str">
        <f>IF(A951="","",VLOOKUP(A951,'THAM CHIẾU'!$A:$B,2,0))</f>
        <v/>
      </c>
      <c r="D951" s="52" t="str">
        <f>IF(E951&lt;&gt;0,VLOOKUP(E951,DM_DUAN,3,0),"")</f>
        <v/>
      </c>
      <c r="E951" s="735"/>
      <c r="F951" s="735"/>
      <c r="G951" s="735"/>
      <c r="H951" s="70"/>
      <c r="I951" s="52" t="str">
        <f>IF($K951&lt;&gt;0,VLOOKUP($K951,DM_KM,3,0),"")</f>
        <v/>
      </c>
      <c r="J951" s="52" t="str">
        <f>IF($K951&lt;&gt;0,VLOOKUP($K951,DM_KM,5,0),"")</f>
        <v/>
      </c>
      <c r="K951" s="735"/>
      <c r="L951" s="735"/>
      <c r="M951" s="68"/>
      <c r="N951" s="739"/>
      <c r="O951" s="737"/>
      <c r="P951" s="751"/>
    </row>
    <row r="952" hidden="1">
      <c r="A952" s="1190"/>
      <c r="B952" s="52" t="str">
        <f t="shared" si="1"/>
        <v/>
      </c>
      <c r="C952" s="52" t="str">
        <f>IF(A952="","",VLOOKUP(A952,'THAM CHIẾU'!$A:$B,2,0))</f>
        <v/>
      </c>
      <c r="D952" s="52" t="str">
        <f>IF(E952&lt;&gt;0,VLOOKUP(E952,DM_DUAN,3,0),"")</f>
        <v/>
      </c>
      <c r="E952" s="735"/>
      <c r="F952" s="735"/>
      <c r="G952" s="735"/>
      <c r="H952" s="70"/>
      <c r="I952" s="52" t="str">
        <f>IF($K952&lt;&gt;0,VLOOKUP($K952,DM_KM,3,0),"")</f>
        <v/>
      </c>
      <c r="J952" s="52" t="str">
        <f>IF($K952&lt;&gt;0,VLOOKUP($K952,DM_KM,5,0),"")</f>
        <v/>
      </c>
      <c r="K952" s="735"/>
      <c r="L952" s="735"/>
      <c r="M952" s="68"/>
      <c r="N952" s="739"/>
      <c r="O952" s="737"/>
      <c r="P952" s="751"/>
    </row>
    <row r="953" hidden="1">
      <c r="A953" s="1190"/>
      <c r="B953" s="52" t="str">
        <f t="shared" si="1"/>
        <v/>
      </c>
      <c r="C953" s="52" t="str">
        <f>IF(A953="","",VLOOKUP(A953,'THAM CHIẾU'!$A:$B,2,0))</f>
        <v/>
      </c>
      <c r="D953" s="52" t="str">
        <f>IF(E953&lt;&gt;0,VLOOKUP(E953,DM_DUAN,3,0),"")</f>
        <v/>
      </c>
      <c r="E953" s="735"/>
      <c r="F953" s="735"/>
      <c r="G953" s="735"/>
      <c r="H953" s="70"/>
      <c r="I953" s="52" t="str">
        <f>IF($K953&lt;&gt;0,VLOOKUP($K953,DM_KM,3,0),"")</f>
        <v/>
      </c>
      <c r="J953" s="52" t="str">
        <f>IF($K953&lt;&gt;0,VLOOKUP($K953,DM_KM,5,0),"")</f>
        <v/>
      </c>
      <c r="K953" s="735"/>
      <c r="L953" s="735"/>
      <c r="M953" s="68"/>
      <c r="N953" s="739"/>
      <c r="O953" s="737"/>
      <c r="P953" s="751"/>
    </row>
    <row r="954" hidden="1">
      <c r="A954" s="1190"/>
      <c r="B954" s="52" t="str">
        <f t="shared" si="1"/>
        <v/>
      </c>
      <c r="C954" s="52" t="str">
        <f>IF(A954="","",VLOOKUP(A954,'THAM CHIẾU'!$A:$B,2,0))</f>
        <v/>
      </c>
      <c r="D954" s="52" t="str">
        <f>IF(E954&lt;&gt;0,VLOOKUP(E954,DM_DUAN,3,0),"")</f>
        <v/>
      </c>
      <c r="E954" s="735"/>
      <c r="F954" s="735"/>
      <c r="G954" s="735"/>
      <c r="H954" s="70"/>
      <c r="I954" s="52" t="str">
        <f>IF($K954&lt;&gt;0,VLOOKUP($K954,DM_KM,3,0),"")</f>
        <v/>
      </c>
      <c r="J954" s="52" t="str">
        <f>IF($K954&lt;&gt;0,VLOOKUP($K954,DM_KM,5,0),"")</f>
        <v/>
      </c>
      <c r="K954" s="735"/>
      <c r="L954" s="735"/>
      <c r="M954" s="68"/>
      <c r="N954" s="739"/>
      <c r="O954" s="737"/>
      <c r="P954" s="751"/>
    </row>
    <row r="955" hidden="1">
      <c r="A955" s="1190"/>
      <c r="B955" s="52" t="str">
        <f t="shared" si="1"/>
        <v/>
      </c>
      <c r="C955" s="52" t="str">
        <f>IF(A955="","",VLOOKUP(A955,'THAM CHIẾU'!$A:$B,2,0))</f>
        <v/>
      </c>
      <c r="D955" s="52" t="str">
        <f>IF(E955&lt;&gt;0,VLOOKUP(E955,DM_DUAN,3,0),"")</f>
        <v/>
      </c>
      <c r="E955" s="735"/>
      <c r="F955" s="735"/>
      <c r="G955" s="735"/>
      <c r="H955" s="70"/>
      <c r="I955" s="52" t="str">
        <f>IF($K955&lt;&gt;0,VLOOKUP($K955,DM_KM,3,0),"")</f>
        <v/>
      </c>
      <c r="J955" s="52" t="str">
        <f>IF($K955&lt;&gt;0,VLOOKUP($K955,DM_KM,5,0),"")</f>
        <v/>
      </c>
      <c r="K955" s="735"/>
      <c r="L955" s="735"/>
      <c r="M955" s="68"/>
      <c r="N955" s="739"/>
      <c r="O955" s="737"/>
      <c r="P955" s="751"/>
    </row>
    <row r="956" hidden="1">
      <c r="A956" s="1190"/>
      <c r="B956" s="52" t="str">
        <f t="shared" si="1"/>
        <v/>
      </c>
      <c r="C956" s="52" t="str">
        <f>IF(A956="","",VLOOKUP(A956,'THAM CHIẾU'!$A:$B,2,0))</f>
        <v/>
      </c>
      <c r="D956" s="52" t="str">
        <f>IF(E956&lt;&gt;0,VLOOKUP(E956,DM_DUAN,3,0),"")</f>
        <v/>
      </c>
      <c r="E956" s="735"/>
      <c r="F956" s="735"/>
      <c r="G956" s="735"/>
      <c r="H956" s="70"/>
      <c r="I956" s="52" t="str">
        <f>IF($K956&lt;&gt;0,VLOOKUP($K956,DM_KM,3,0),"")</f>
        <v/>
      </c>
      <c r="J956" s="52" t="str">
        <f>IF($K956&lt;&gt;0,VLOOKUP($K956,DM_KM,5,0),"")</f>
        <v/>
      </c>
      <c r="K956" s="735"/>
      <c r="L956" s="735"/>
      <c r="M956" s="68"/>
      <c r="N956" s="739"/>
      <c r="O956" s="737"/>
      <c r="P956" s="751"/>
    </row>
    <row r="957" hidden="1">
      <c r="A957" s="1190"/>
      <c r="B957" s="52" t="str">
        <f t="shared" si="1"/>
        <v/>
      </c>
      <c r="C957" s="52" t="str">
        <f>IF(A957="","",VLOOKUP(A957,'THAM CHIẾU'!$A:$B,2,0))</f>
        <v/>
      </c>
      <c r="D957" s="52" t="str">
        <f>IF(E957&lt;&gt;0,VLOOKUP(E957,DM_DUAN,3,0),"")</f>
        <v/>
      </c>
      <c r="E957" s="735"/>
      <c r="F957" s="735"/>
      <c r="G957" s="735"/>
      <c r="H957" s="70"/>
      <c r="I957" s="52" t="str">
        <f>IF($K957&lt;&gt;0,VLOOKUP($K957,DM_KM,3,0),"")</f>
        <v/>
      </c>
      <c r="J957" s="52" t="str">
        <f>IF($K957&lt;&gt;0,VLOOKUP($K957,DM_KM,5,0),"")</f>
        <v/>
      </c>
      <c r="K957" s="735"/>
      <c r="L957" s="735"/>
      <c r="M957" s="68"/>
      <c r="N957" s="739"/>
      <c r="O957" s="737"/>
      <c r="P957" s="751"/>
    </row>
    <row r="958" hidden="1">
      <c r="A958" s="1190"/>
      <c r="B958" s="52" t="str">
        <f t="shared" si="1"/>
        <v/>
      </c>
      <c r="C958" s="52" t="str">
        <f>IF(A958="","",VLOOKUP(A958,'THAM CHIẾU'!$A:$B,2,0))</f>
        <v/>
      </c>
      <c r="D958" s="52" t="str">
        <f>IF(E958&lt;&gt;0,VLOOKUP(E958,DM_DUAN,3,0),"")</f>
        <v/>
      </c>
      <c r="E958" s="735"/>
      <c r="F958" s="735"/>
      <c r="G958" s="735"/>
      <c r="H958" s="70"/>
      <c r="I958" s="52" t="str">
        <f>IF($K958&lt;&gt;0,VLOOKUP($K958,DM_KM,3,0),"")</f>
        <v/>
      </c>
      <c r="J958" s="52" t="str">
        <f>IF($K958&lt;&gt;0,VLOOKUP($K958,DM_KM,5,0),"")</f>
        <v/>
      </c>
      <c r="K958" s="735"/>
      <c r="L958" s="735"/>
      <c r="M958" s="68"/>
      <c r="N958" s="739"/>
      <c r="O958" s="737"/>
      <c r="P958" s="751"/>
    </row>
    <row r="959" hidden="1">
      <c r="A959" s="1190"/>
      <c r="B959" s="52" t="str">
        <f t="shared" si="1"/>
        <v/>
      </c>
      <c r="C959" s="52" t="str">
        <f>IF(A959="","",VLOOKUP(A959,'THAM CHIẾU'!$A:$B,2,0))</f>
        <v/>
      </c>
      <c r="D959" s="52" t="str">
        <f>IF(E959&lt;&gt;0,VLOOKUP(E959,DM_DUAN,3,0),"")</f>
        <v/>
      </c>
      <c r="E959" s="735"/>
      <c r="F959" s="735"/>
      <c r="G959" s="735"/>
      <c r="H959" s="70"/>
      <c r="I959" s="52" t="str">
        <f>IF($K959&lt;&gt;0,VLOOKUP($K959,DM_KM,3,0),"")</f>
        <v/>
      </c>
      <c r="J959" s="52" t="str">
        <f>IF($K959&lt;&gt;0,VLOOKUP($K959,DM_KM,5,0),"")</f>
        <v/>
      </c>
      <c r="K959" s="735"/>
      <c r="L959" s="735"/>
      <c r="M959" s="68"/>
      <c r="N959" s="739"/>
      <c r="O959" s="737"/>
      <c r="P959" s="751"/>
    </row>
    <row r="960" hidden="1">
      <c r="A960" s="1190"/>
      <c r="B960" s="52" t="str">
        <f t="shared" si="1"/>
        <v/>
      </c>
      <c r="C960" s="52" t="str">
        <f>IF(A960="","",VLOOKUP(A960,'THAM CHIẾU'!$A:$B,2,0))</f>
        <v/>
      </c>
      <c r="D960" s="52" t="str">
        <f>IF(E960&lt;&gt;0,VLOOKUP(E960,DM_DUAN,3,0),"")</f>
        <v/>
      </c>
      <c r="E960" s="735"/>
      <c r="F960" s="735"/>
      <c r="G960" s="735"/>
      <c r="H960" s="70"/>
      <c r="I960" s="52" t="str">
        <f>IF($K960&lt;&gt;0,VLOOKUP($K960,DM_KM,3,0),"")</f>
        <v/>
      </c>
      <c r="J960" s="52" t="str">
        <f>IF($K960&lt;&gt;0,VLOOKUP($K960,DM_KM,5,0),"")</f>
        <v/>
      </c>
      <c r="K960" s="735"/>
      <c r="L960" s="735"/>
      <c r="M960" s="68"/>
      <c r="N960" s="739"/>
      <c r="O960" s="737"/>
      <c r="P960" s="751"/>
    </row>
    <row r="961" hidden="1">
      <c r="A961" s="1190"/>
      <c r="B961" s="52" t="str">
        <f t="shared" si="1"/>
        <v/>
      </c>
      <c r="C961" s="52" t="str">
        <f>IF(A961="","",VLOOKUP(A961,'THAM CHIẾU'!$A:$B,2,0))</f>
        <v/>
      </c>
      <c r="D961" s="52" t="str">
        <f>IF(E961&lt;&gt;0,VLOOKUP(E961,DM_DUAN,3,0),"")</f>
        <v/>
      </c>
      <c r="E961" s="735"/>
      <c r="F961" s="735"/>
      <c r="G961" s="735"/>
      <c r="H961" s="70"/>
      <c r="I961" s="52" t="str">
        <f>IF($K961&lt;&gt;0,VLOOKUP($K961,DM_KM,3,0),"")</f>
        <v/>
      </c>
      <c r="J961" s="52" t="str">
        <f>IF($K961&lt;&gt;0,VLOOKUP($K961,DM_KM,5,0),"")</f>
        <v/>
      </c>
      <c r="K961" s="735"/>
      <c r="L961" s="735"/>
      <c r="M961" s="68"/>
      <c r="N961" s="739"/>
      <c r="O961" s="737"/>
      <c r="P961" s="751"/>
    </row>
    <row r="962" hidden="1">
      <c r="A962" s="1190"/>
      <c r="B962" s="52" t="str">
        <f t="shared" si="1"/>
        <v/>
      </c>
      <c r="C962" s="52" t="str">
        <f>IF(A962="","",VLOOKUP(A962,'THAM CHIẾU'!$A:$B,2,0))</f>
        <v/>
      </c>
      <c r="D962" s="52" t="str">
        <f>IF(E962&lt;&gt;0,VLOOKUP(E962,DM_DUAN,3,0),"")</f>
        <v/>
      </c>
      <c r="E962" s="735"/>
      <c r="F962" s="735"/>
      <c r="G962" s="735"/>
      <c r="H962" s="70"/>
      <c r="I962" s="52" t="str">
        <f>IF($K962&lt;&gt;0,VLOOKUP($K962,DM_KM,3,0),"")</f>
        <v/>
      </c>
      <c r="J962" s="52" t="str">
        <f>IF($K962&lt;&gt;0,VLOOKUP($K962,DM_KM,5,0),"")</f>
        <v/>
      </c>
      <c r="K962" s="735"/>
      <c r="L962" s="735"/>
      <c r="M962" s="68"/>
      <c r="N962" s="739"/>
      <c r="O962" s="737"/>
      <c r="P962" s="751"/>
    </row>
    <row r="963" hidden="1">
      <c r="A963" s="1190"/>
      <c r="B963" s="52" t="str">
        <f t="shared" si="1"/>
        <v/>
      </c>
      <c r="C963" s="52" t="str">
        <f>IF(A963="","",VLOOKUP(A963,'THAM CHIẾU'!$A:$B,2,0))</f>
        <v/>
      </c>
      <c r="D963" s="52" t="str">
        <f>IF(E963&lt;&gt;0,VLOOKUP(E963,DM_DUAN,3,0),"")</f>
        <v/>
      </c>
      <c r="E963" s="735"/>
      <c r="F963" s="735"/>
      <c r="G963" s="735"/>
      <c r="H963" s="70"/>
      <c r="I963" s="52" t="str">
        <f>IF($K963&lt;&gt;0,VLOOKUP($K963,DM_KM,3,0),"")</f>
        <v/>
      </c>
      <c r="J963" s="52" t="str">
        <f>IF($K963&lt;&gt;0,VLOOKUP($K963,DM_KM,5,0),"")</f>
        <v/>
      </c>
      <c r="K963" s="735"/>
      <c r="L963" s="735"/>
      <c r="M963" s="68"/>
      <c r="N963" s="739"/>
      <c r="O963" s="737"/>
      <c r="P963" s="751"/>
    </row>
    <row r="964" hidden="1">
      <c r="A964" s="1190"/>
      <c r="B964" s="52" t="str">
        <f t="shared" si="1"/>
        <v/>
      </c>
      <c r="C964" s="52" t="str">
        <f>IF(A964="","",VLOOKUP(A964,'THAM CHIẾU'!$A:$B,2,0))</f>
        <v/>
      </c>
      <c r="D964" s="52" t="str">
        <f>IF(E964&lt;&gt;0,VLOOKUP(E964,DM_DUAN,3,0),"")</f>
        <v/>
      </c>
      <c r="E964" s="735"/>
      <c r="F964" s="735"/>
      <c r="G964" s="735"/>
      <c r="H964" s="70"/>
      <c r="I964" s="52" t="str">
        <f>IF($K964&lt;&gt;0,VLOOKUP($K964,DM_KM,3,0),"")</f>
        <v/>
      </c>
      <c r="J964" s="52" t="str">
        <f>IF($K964&lt;&gt;0,VLOOKUP($K964,DM_KM,5,0),"")</f>
        <v/>
      </c>
      <c r="K964" s="735"/>
      <c r="L964" s="735"/>
      <c r="M964" s="68"/>
      <c r="N964" s="739"/>
      <c r="O964" s="737"/>
      <c r="P964" s="751"/>
    </row>
    <row r="965" hidden="1">
      <c r="A965" s="1190"/>
      <c r="B965" s="52" t="str">
        <f t="shared" si="1"/>
        <v/>
      </c>
      <c r="C965" s="52" t="str">
        <f>IF(A965="","",VLOOKUP(A965,'THAM CHIẾU'!$A:$B,2,0))</f>
        <v/>
      </c>
      <c r="D965" s="52" t="str">
        <f>IF(E965&lt;&gt;0,VLOOKUP(E965,DM_DUAN,3,0),"")</f>
        <v/>
      </c>
      <c r="E965" s="735"/>
      <c r="F965" s="735"/>
      <c r="G965" s="735"/>
      <c r="H965" s="70"/>
      <c r="I965" s="52" t="str">
        <f>IF($K965&lt;&gt;0,VLOOKUP($K965,DM_KM,3,0),"")</f>
        <v/>
      </c>
      <c r="J965" s="52" t="str">
        <f>IF($K965&lt;&gt;0,VLOOKUP($K965,DM_KM,5,0),"")</f>
        <v/>
      </c>
      <c r="K965" s="735"/>
      <c r="L965" s="735"/>
      <c r="M965" s="68"/>
      <c r="N965" s="739"/>
      <c r="O965" s="737"/>
      <c r="P965" s="751"/>
    </row>
    <row r="966" hidden="1">
      <c r="A966" s="1190"/>
      <c r="B966" s="52" t="str">
        <f t="shared" si="1"/>
        <v/>
      </c>
      <c r="C966" s="52" t="str">
        <f>IF(A966="","",VLOOKUP(A966,'THAM CHIẾU'!$A:$B,2,0))</f>
        <v/>
      </c>
      <c r="D966" s="52" t="str">
        <f>IF(E966&lt;&gt;0,VLOOKUP(E966,DM_DUAN,3,0),"")</f>
        <v/>
      </c>
      <c r="E966" s="735"/>
      <c r="F966" s="735"/>
      <c r="G966" s="735"/>
      <c r="H966" s="70"/>
      <c r="I966" s="52" t="str">
        <f>IF($K966&lt;&gt;0,VLOOKUP($K966,DM_KM,3,0),"")</f>
        <v/>
      </c>
      <c r="J966" s="52" t="str">
        <f>IF($K966&lt;&gt;0,VLOOKUP($K966,DM_KM,5,0),"")</f>
        <v/>
      </c>
      <c r="K966" s="735"/>
      <c r="L966" s="735"/>
      <c r="M966" s="68"/>
      <c r="N966" s="739"/>
      <c r="O966" s="737"/>
      <c r="P966" s="751"/>
    </row>
    <row r="967" hidden="1">
      <c r="A967" s="1190"/>
      <c r="B967" s="52" t="str">
        <f t="shared" si="1"/>
        <v/>
      </c>
      <c r="C967" s="52" t="str">
        <f>IF(A967="","",VLOOKUP(A967,'THAM CHIẾU'!$A:$B,2,0))</f>
        <v/>
      </c>
      <c r="D967" s="52" t="str">
        <f>IF(E967&lt;&gt;0,VLOOKUP(E967,DM_DUAN,3,0),"")</f>
        <v/>
      </c>
      <c r="E967" s="735"/>
      <c r="F967" s="735"/>
      <c r="G967" s="735"/>
      <c r="H967" s="70"/>
      <c r="I967" s="52" t="str">
        <f>IF($K967&lt;&gt;0,VLOOKUP($K967,DM_KM,3,0),"")</f>
        <v/>
      </c>
      <c r="J967" s="52" t="str">
        <f>IF($K967&lt;&gt;0,VLOOKUP($K967,DM_KM,5,0),"")</f>
        <v/>
      </c>
      <c r="K967" s="735"/>
      <c r="L967" s="735"/>
      <c r="M967" s="68"/>
      <c r="N967" s="739"/>
      <c r="O967" s="737"/>
      <c r="P967" s="751"/>
    </row>
    <row r="968" hidden="1">
      <c r="A968" s="1190"/>
      <c r="B968" s="52" t="str">
        <f t="shared" si="1"/>
        <v/>
      </c>
      <c r="C968" s="52" t="str">
        <f>IF(A968="","",VLOOKUP(A968,'THAM CHIẾU'!$A:$B,2,0))</f>
        <v/>
      </c>
      <c r="D968" s="52" t="str">
        <f>IF(E968&lt;&gt;0,VLOOKUP(E968,DM_DUAN,3,0),"")</f>
        <v/>
      </c>
      <c r="E968" s="735"/>
      <c r="F968" s="735"/>
      <c r="G968" s="735"/>
      <c r="H968" s="70"/>
      <c r="I968" s="52" t="str">
        <f>IF($K968&lt;&gt;0,VLOOKUP($K968,DM_KM,3,0),"")</f>
        <v/>
      </c>
      <c r="J968" s="52" t="str">
        <f>IF($K968&lt;&gt;0,VLOOKUP($K968,DM_KM,5,0),"")</f>
        <v/>
      </c>
      <c r="K968" s="735"/>
      <c r="L968" s="735"/>
      <c r="M968" s="68"/>
      <c r="N968" s="739"/>
      <c r="O968" s="737"/>
      <c r="P968" s="751"/>
    </row>
    <row r="969" hidden="1">
      <c r="A969" s="1190"/>
      <c r="B969" s="52" t="str">
        <f t="shared" si="1"/>
        <v/>
      </c>
      <c r="C969" s="52" t="str">
        <f>IF(A969="","",VLOOKUP(A969,'THAM CHIẾU'!$A:$B,2,0))</f>
        <v/>
      </c>
      <c r="D969" s="52" t="str">
        <f>IF(E969&lt;&gt;0,VLOOKUP(E969,DM_DUAN,3,0),"")</f>
        <v/>
      </c>
      <c r="E969" s="735"/>
      <c r="F969" s="735"/>
      <c r="G969" s="735"/>
      <c r="H969" s="70"/>
      <c r="I969" s="52" t="str">
        <f>IF($K969&lt;&gt;0,VLOOKUP($K969,DM_KM,3,0),"")</f>
        <v/>
      </c>
      <c r="J969" s="52" t="str">
        <f>IF($K969&lt;&gt;0,VLOOKUP($K969,DM_KM,5,0),"")</f>
        <v/>
      </c>
      <c r="K969" s="735"/>
      <c r="L969" s="735"/>
      <c r="M969" s="68"/>
      <c r="N969" s="739"/>
      <c r="O969" s="737"/>
      <c r="P969" s="751"/>
    </row>
    <row r="970" hidden="1">
      <c r="A970" s="1190"/>
      <c r="B970" s="52" t="str">
        <f t="shared" si="1"/>
        <v/>
      </c>
      <c r="C970" s="52" t="str">
        <f>IF(A970="","",VLOOKUP(A970,'THAM CHIẾU'!$A:$B,2,0))</f>
        <v/>
      </c>
      <c r="D970" s="52" t="str">
        <f>IF(E970&lt;&gt;0,VLOOKUP(E970,DM_DUAN,3,0),"")</f>
        <v/>
      </c>
      <c r="E970" s="735"/>
      <c r="F970" s="735"/>
      <c r="G970" s="735"/>
      <c r="H970" s="70"/>
      <c r="I970" s="52" t="str">
        <f>IF($K970&lt;&gt;0,VLOOKUP($K970,DM_KM,3,0),"")</f>
        <v/>
      </c>
      <c r="J970" s="52" t="str">
        <f>IF($K970&lt;&gt;0,VLOOKUP($K970,DM_KM,5,0),"")</f>
        <v/>
      </c>
      <c r="K970" s="735"/>
      <c r="L970" s="735"/>
      <c r="M970" s="68"/>
      <c r="N970" s="739"/>
      <c r="O970" s="737"/>
      <c r="P970" s="751"/>
    </row>
    <row r="971" hidden="1">
      <c r="A971" s="1190"/>
      <c r="B971" s="52" t="str">
        <f t="shared" si="1"/>
        <v/>
      </c>
      <c r="C971" s="52" t="str">
        <f>IF(A971="","",VLOOKUP(A971,'THAM CHIẾU'!$A:$B,2,0))</f>
        <v/>
      </c>
      <c r="D971" s="52" t="str">
        <f>IF(E971&lt;&gt;0,VLOOKUP(E971,DM_DUAN,3,0),"")</f>
        <v/>
      </c>
      <c r="E971" s="735"/>
      <c r="F971" s="735"/>
      <c r="G971" s="735"/>
      <c r="H971" s="70"/>
      <c r="I971" s="52" t="str">
        <f>IF($K971&lt;&gt;0,VLOOKUP($K971,DM_KM,3,0),"")</f>
        <v/>
      </c>
      <c r="J971" s="52" t="str">
        <f>IF($K971&lt;&gt;0,VLOOKUP($K971,DM_KM,5,0),"")</f>
        <v/>
      </c>
      <c r="K971" s="735"/>
      <c r="L971" s="735"/>
      <c r="M971" s="68"/>
      <c r="N971" s="739"/>
      <c r="O971" s="737"/>
      <c r="P971" s="751"/>
    </row>
    <row r="972" hidden="1">
      <c r="A972" s="1190"/>
      <c r="B972" s="52" t="str">
        <f t="shared" si="1"/>
        <v/>
      </c>
      <c r="C972" s="52" t="str">
        <f>IF(A972="","",VLOOKUP(A972,'THAM CHIẾU'!$A:$B,2,0))</f>
        <v/>
      </c>
      <c r="D972" s="52" t="str">
        <f>IF(E972&lt;&gt;0,VLOOKUP(E972,DM_DUAN,3,0),"")</f>
        <v/>
      </c>
      <c r="E972" s="735"/>
      <c r="F972" s="735"/>
      <c r="G972" s="735"/>
      <c r="H972" s="70"/>
      <c r="I972" s="52" t="str">
        <f>IF($K972&lt;&gt;0,VLOOKUP($K972,DM_KM,3,0),"")</f>
        <v/>
      </c>
      <c r="J972" s="52" t="str">
        <f>IF($K972&lt;&gt;0,VLOOKUP($K972,DM_KM,5,0),"")</f>
        <v/>
      </c>
      <c r="K972" s="735"/>
      <c r="L972" s="735"/>
      <c r="M972" s="68"/>
      <c r="N972" s="739"/>
      <c r="O972" s="737"/>
      <c r="P972" s="751"/>
    </row>
    <row r="973" hidden="1">
      <c r="A973" s="1190"/>
      <c r="B973" s="52" t="str">
        <f t="shared" si="1"/>
        <v/>
      </c>
      <c r="C973" s="52" t="str">
        <f>IF(A973="","",VLOOKUP(A973,'THAM CHIẾU'!$A:$B,2,0))</f>
        <v/>
      </c>
      <c r="D973" s="52" t="str">
        <f>IF(E973&lt;&gt;0,VLOOKUP(E973,DM_DUAN,3,0),"")</f>
        <v/>
      </c>
      <c r="E973" s="735"/>
      <c r="F973" s="735"/>
      <c r="G973" s="735"/>
      <c r="H973" s="70"/>
      <c r="I973" s="52" t="str">
        <f>IF($K973&lt;&gt;0,VLOOKUP($K973,DM_KM,3,0),"")</f>
        <v/>
      </c>
      <c r="J973" s="52" t="str">
        <f>IF($K973&lt;&gt;0,VLOOKUP($K973,DM_KM,5,0),"")</f>
        <v/>
      </c>
      <c r="K973" s="735"/>
      <c r="L973" s="735"/>
      <c r="M973" s="68"/>
      <c r="N973" s="739"/>
      <c r="O973" s="737"/>
      <c r="P973" s="751"/>
    </row>
    <row r="974" hidden="1">
      <c r="A974" s="1190"/>
      <c r="B974" s="52" t="str">
        <f t="shared" si="1"/>
        <v/>
      </c>
      <c r="C974" s="52" t="str">
        <f>IF(A974="","",VLOOKUP(A974,'THAM CHIẾU'!$A:$B,2,0))</f>
        <v/>
      </c>
      <c r="D974" s="52" t="str">
        <f>IF(E974&lt;&gt;0,VLOOKUP(E974,DM_DUAN,3,0),"")</f>
        <v/>
      </c>
      <c r="E974" s="735"/>
      <c r="F974" s="735"/>
      <c r="G974" s="735"/>
      <c r="H974" s="70"/>
      <c r="I974" s="52" t="str">
        <f>IF($K974&lt;&gt;0,VLOOKUP($K974,DM_KM,3,0),"")</f>
        <v/>
      </c>
      <c r="J974" s="52" t="str">
        <f>IF($K974&lt;&gt;0,VLOOKUP($K974,DM_KM,5,0),"")</f>
        <v/>
      </c>
      <c r="K974" s="735"/>
      <c r="L974" s="735"/>
      <c r="M974" s="68"/>
      <c r="N974" s="739"/>
      <c r="O974" s="737"/>
      <c r="P974" s="751"/>
    </row>
    <row r="975" hidden="1">
      <c r="A975" s="1190"/>
      <c r="B975" s="52" t="str">
        <f t="shared" si="1"/>
        <v/>
      </c>
      <c r="C975" s="52" t="str">
        <f>IF(A975="","",VLOOKUP(A975,'THAM CHIẾU'!$A:$B,2,0))</f>
        <v/>
      </c>
      <c r="D975" s="52" t="str">
        <f>IF(E975&lt;&gt;0,VLOOKUP(E975,DM_DUAN,3,0),"")</f>
        <v/>
      </c>
      <c r="E975" s="735"/>
      <c r="F975" s="735"/>
      <c r="G975" s="735"/>
      <c r="H975" s="70"/>
      <c r="I975" s="52" t="str">
        <f>IF($K975&lt;&gt;0,VLOOKUP($K975,DM_KM,3,0),"")</f>
        <v/>
      </c>
      <c r="J975" s="52" t="str">
        <f>IF($K975&lt;&gt;0,VLOOKUP($K975,DM_KM,5,0),"")</f>
        <v/>
      </c>
      <c r="K975" s="735"/>
      <c r="L975" s="735"/>
      <c r="M975" s="68"/>
      <c r="N975" s="739"/>
      <c r="O975" s="737"/>
      <c r="P975" s="751"/>
    </row>
    <row r="976" hidden="1">
      <c r="A976" s="1190"/>
      <c r="B976" s="52" t="str">
        <f t="shared" si="1"/>
        <v/>
      </c>
      <c r="C976" s="52" t="str">
        <f>IF(A976="","",VLOOKUP(A976,'THAM CHIẾU'!$A:$B,2,0))</f>
        <v/>
      </c>
      <c r="D976" s="52" t="str">
        <f>IF(E976&lt;&gt;0,VLOOKUP(E976,DM_DUAN,3,0),"")</f>
        <v/>
      </c>
      <c r="E976" s="735"/>
      <c r="F976" s="735"/>
      <c r="G976" s="735"/>
      <c r="H976" s="70"/>
      <c r="I976" s="52" t="str">
        <f>IF($K976&lt;&gt;0,VLOOKUP($K976,DM_KM,3,0),"")</f>
        <v/>
      </c>
      <c r="J976" s="52" t="str">
        <f>IF($K976&lt;&gt;0,VLOOKUP($K976,DM_KM,5,0),"")</f>
        <v/>
      </c>
      <c r="K976" s="735"/>
      <c r="L976" s="735"/>
      <c r="M976" s="68"/>
      <c r="N976" s="739"/>
      <c r="O976" s="737"/>
      <c r="P976" s="751"/>
    </row>
    <row r="977" hidden="1">
      <c r="A977" s="1190"/>
      <c r="B977" s="52" t="str">
        <f t="shared" si="1"/>
        <v/>
      </c>
      <c r="C977" s="52" t="str">
        <f>IF(A977="","",VLOOKUP(A977,'THAM CHIẾU'!$A:$B,2,0))</f>
        <v/>
      </c>
      <c r="D977" s="52" t="str">
        <f>IF(E977&lt;&gt;0,VLOOKUP(E977,DM_DUAN,3,0),"")</f>
        <v/>
      </c>
      <c r="E977" s="735"/>
      <c r="F977" s="735"/>
      <c r="G977" s="735"/>
      <c r="H977" s="70"/>
      <c r="I977" s="52" t="str">
        <f>IF($K977&lt;&gt;0,VLOOKUP($K977,DM_KM,3,0),"")</f>
        <v/>
      </c>
      <c r="J977" s="52" t="str">
        <f>IF($K977&lt;&gt;0,VLOOKUP($K977,DM_KM,5,0),"")</f>
        <v/>
      </c>
      <c r="K977" s="735"/>
      <c r="L977" s="735"/>
      <c r="M977" s="68"/>
      <c r="N977" s="739"/>
      <c r="O977" s="737"/>
      <c r="P977" s="751"/>
    </row>
    <row r="978" hidden="1">
      <c r="A978" s="1190"/>
      <c r="B978" s="52" t="str">
        <f t="shared" si="1"/>
        <v/>
      </c>
      <c r="C978" s="52" t="str">
        <f>IF(A978="","",VLOOKUP(A978,'THAM CHIẾU'!$A:$B,2,0))</f>
        <v/>
      </c>
      <c r="D978" s="52" t="str">
        <f>IF(E978&lt;&gt;0,VLOOKUP(E978,DM_DUAN,3,0),"")</f>
        <v/>
      </c>
      <c r="E978" s="735"/>
      <c r="F978" s="735"/>
      <c r="G978" s="735"/>
      <c r="H978" s="70"/>
      <c r="I978" s="52" t="str">
        <f>IF($K978&lt;&gt;0,VLOOKUP($K978,DM_KM,3,0),"")</f>
        <v/>
      </c>
      <c r="J978" s="52" t="str">
        <f>IF($K978&lt;&gt;0,VLOOKUP($K978,DM_KM,5,0),"")</f>
        <v/>
      </c>
      <c r="K978" s="735"/>
      <c r="L978" s="735"/>
      <c r="M978" s="68"/>
      <c r="N978" s="739"/>
      <c r="O978" s="737"/>
      <c r="P978" s="751"/>
    </row>
    <row r="979" hidden="1">
      <c r="A979" s="1190"/>
      <c r="B979" s="52" t="str">
        <f t="shared" si="1"/>
        <v/>
      </c>
      <c r="C979" s="52" t="str">
        <f>IF(A979="","",VLOOKUP(A979,'THAM CHIẾU'!$A:$B,2,0))</f>
        <v/>
      </c>
      <c r="D979" s="52" t="str">
        <f>IF(E979&lt;&gt;0,VLOOKUP(E979,DM_DUAN,3,0),"")</f>
        <v/>
      </c>
      <c r="E979" s="735"/>
      <c r="F979" s="735"/>
      <c r="G979" s="735"/>
      <c r="H979" s="70"/>
      <c r="I979" s="52" t="str">
        <f>IF($K979&lt;&gt;0,VLOOKUP($K979,DM_KM,3,0),"")</f>
        <v/>
      </c>
      <c r="J979" s="52" t="str">
        <f>IF($K979&lt;&gt;0,VLOOKUP($K979,DM_KM,5,0),"")</f>
        <v/>
      </c>
      <c r="K979" s="735"/>
      <c r="L979" s="735"/>
      <c r="M979" s="68"/>
      <c r="N979" s="739"/>
      <c r="O979" s="737"/>
      <c r="P979" s="751"/>
    </row>
    <row r="980" hidden="1">
      <c r="A980" s="1190"/>
      <c r="B980" s="52" t="str">
        <f t="shared" si="1"/>
        <v/>
      </c>
      <c r="C980" s="52" t="str">
        <f>IF(A980="","",VLOOKUP(A980,'THAM CHIẾU'!$A:$B,2,0))</f>
        <v/>
      </c>
      <c r="D980" s="52" t="str">
        <f>IF(E980&lt;&gt;0,VLOOKUP(E980,DM_DUAN,3,0),"")</f>
        <v/>
      </c>
      <c r="E980" s="735"/>
      <c r="F980" s="735"/>
      <c r="G980" s="735"/>
      <c r="H980" s="70"/>
      <c r="I980" s="52" t="str">
        <f>IF($K980&lt;&gt;0,VLOOKUP($K980,DM_KM,3,0),"")</f>
        <v/>
      </c>
      <c r="J980" s="52" t="str">
        <f>IF($K980&lt;&gt;0,VLOOKUP($K980,DM_KM,5,0),"")</f>
        <v/>
      </c>
      <c r="K980" s="735"/>
      <c r="L980" s="735"/>
      <c r="M980" s="68"/>
      <c r="N980" s="739"/>
      <c r="O980" s="737"/>
      <c r="P980" s="751"/>
    </row>
    <row r="981" hidden="1">
      <c r="A981" s="1190"/>
      <c r="B981" s="52" t="str">
        <f t="shared" si="1"/>
        <v/>
      </c>
      <c r="C981" s="52" t="str">
        <f>IF(A981="","",VLOOKUP(A981,'THAM CHIẾU'!$A:$B,2,0))</f>
        <v/>
      </c>
      <c r="D981" s="52" t="str">
        <f>IF(E981&lt;&gt;0,VLOOKUP(E981,DM_DUAN,3,0),"")</f>
        <v/>
      </c>
      <c r="E981" s="735"/>
      <c r="F981" s="735"/>
      <c r="G981" s="735"/>
      <c r="H981" s="70"/>
      <c r="I981" s="52" t="str">
        <f>IF($K981&lt;&gt;0,VLOOKUP($K981,DM_KM,3,0),"")</f>
        <v/>
      </c>
      <c r="J981" s="52" t="str">
        <f>IF($K981&lt;&gt;0,VLOOKUP($K981,DM_KM,5,0),"")</f>
        <v/>
      </c>
      <c r="K981" s="735"/>
      <c r="L981" s="735"/>
      <c r="M981" s="68"/>
      <c r="N981" s="739"/>
      <c r="O981" s="737"/>
      <c r="P981" s="751"/>
    </row>
    <row r="982" hidden="1">
      <c r="A982" s="1190"/>
      <c r="B982" s="52" t="str">
        <f t="shared" si="1"/>
        <v/>
      </c>
      <c r="C982" s="52" t="str">
        <f>IF(A982="","",VLOOKUP(A982,'THAM CHIẾU'!$A:$B,2,0))</f>
        <v/>
      </c>
      <c r="D982" s="52" t="str">
        <f>IF(E982&lt;&gt;0,VLOOKUP(E982,DM_DUAN,3,0),"")</f>
        <v/>
      </c>
      <c r="E982" s="735"/>
      <c r="F982" s="735"/>
      <c r="G982" s="735"/>
      <c r="H982" s="70"/>
      <c r="I982" s="52" t="str">
        <f>IF($K982&lt;&gt;0,VLOOKUP($K982,DM_KM,3,0),"")</f>
        <v/>
      </c>
      <c r="J982" s="52" t="str">
        <f>IF($K982&lt;&gt;0,VLOOKUP($K982,DM_KM,5,0),"")</f>
        <v/>
      </c>
      <c r="K982" s="735"/>
      <c r="L982" s="735"/>
      <c r="M982" s="68"/>
      <c r="N982" s="739"/>
      <c r="O982" s="737"/>
      <c r="P982" s="751"/>
    </row>
    <row r="983" hidden="1">
      <c r="A983" s="1190"/>
      <c r="B983" s="52" t="str">
        <f t="shared" si="1"/>
        <v/>
      </c>
      <c r="C983" s="52" t="str">
        <f>IF(A983="","",VLOOKUP(A983,'THAM CHIẾU'!$A:$B,2,0))</f>
        <v/>
      </c>
      <c r="D983" s="52" t="str">
        <f>IF(E983&lt;&gt;0,VLOOKUP(E983,DM_DUAN,3,0),"")</f>
        <v/>
      </c>
      <c r="E983" s="735"/>
      <c r="F983" s="735"/>
      <c r="G983" s="735"/>
      <c r="H983" s="70"/>
      <c r="I983" s="52" t="str">
        <f>IF($K983&lt;&gt;0,VLOOKUP($K983,DM_KM,3,0),"")</f>
        <v/>
      </c>
      <c r="J983" s="52" t="str">
        <f>IF($K983&lt;&gt;0,VLOOKUP($K983,DM_KM,5,0),"")</f>
        <v/>
      </c>
      <c r="K983" s="735"/>
      <c r="L983" s="735"/>
      <c r="M983" s="68"/>
      <c r="N983" s="739"/>
      <c r="O983" s="737"/>
      <c r="P983" s="751"/>
    </row>
    <row r="984" hidden="1">
      <c r="A984" s="1190"/>
      <c r="B984" s="52" t="str">
        <f t="shared" si="1"/>
        <v/>
      </c>
      <c r="C984" s="52" t="str">
        <f>IF(A984="","",VLOOKUP(A984,'THAM CHIẾU'!$A:$B,2,0))</f>
        <v/>
      </c>
      <c r="D984" s="52" t="str">
        <f>IF(E984&lt;&gt;0,VLOOKUP(E984,DM_DUAN,3,0),"")</f>
        <v/>
      </c>
      <c r="E984" s="735"/>
      <c r="F984" s="735"/>
      <c r="G984" s="735"/>
      <c r="H984" s="70"/>
      <c r="I984" s="52" t="str">
        <f>IF($K984&lt;&gt;0,VLOOKUP($K984,DM_KM,3,0),"")</f>
        <v/>
      </c>
      <c r="J984" s="52" t="str">
        <f>IF($K984&lt;&gt;0,VLOOKUP($K984,DM_KM,5,0),"")</f>
        <v/>
      </c>
      <c r="K984" s="735"/>
      <c r="L984" s="735"/>
      <c r="M984" s="68"/>
      <c r="N984" s="739"/>
      <c r="O984" s="737"/>
      <c r="P984" s="751"/>
    </row>
    <row r="985" hidden="1">
      <c r="A985" s="1190"/>
      <c r="B985" s="52" t="str">
        <f t="shared" si="1"/>
        <v/>
      </c>
      <c r="C985" s="52" t="str">
        <f>IF(A985="","",VLOOKUP(A985,'THAM CHIẾU'!$A:$B,2,0))</f>
        <v/>
      </c>
      <c r="D985" s="52" t="str">
        <f>IF(E985&lt;&gt;0,VLOOKUP(E985,DM_DUAN,3,0),"")</f>
        <v/>
      </c>
      <c r="E985" s="735"/>
      <c r="F985" s="735"/>
      <c r="G985" s="735"/>
      <c r="H985" s="70"/>
      <c r="I985" s="52" t="str">
        <f>IF($K985&lt;&gt;0,VLOOKUP($K985,DM_KM,3,0),"")</f>
        <v/>
      </c>
      <c r="J985" s="52" t="str">
        <f>IF($K985&lt;&gt;0,VLOOKUP($K985,DM_KM,5,0),"")</f>
        <v/>
      </c>
      <c r="K985" s="735"/>
      <c r="L985" s="735"/>
      <c r="M985" s="68"/>
      <c r="N985" s="739"/>
      <c r="O985" s="737"/>
      <c r="P985" s="751"/>
    </row>
    <row r="986" hidden="1">
      <c r="A986" s="1190"/>
      <c r="B986" s="52" t="str">
        <f t="shared" si="1"/>
        <v/>
      </c>
      <c r="C986" s="52" t="str">
        <f>IF(A986="","",VLOOKUP(A986,'THAM CHIẾU'!$A:$B,2,0))</f>
        <v/>
      </c>
      <c r="D986" s="52" t="str">
        <f>IF(E986&lt;&gt;0,VLOOKUP(E986,DM_DUAN,3,0),"")</f>
        <v/>
      </c>
      <c r="E986" s="735"/>
      <c r="F986" s="735"/>
      <c r="G986" s="735"/>
      <c r="H986" s="70"/>
      <c r="I986" s="52" t="str">
        <f>IF($K986&lt;&gt;0,VLOOKUP($K986,DM_KM,3,0),"")</f>
        <v/>
      </c>
      <c r="J986" s="52" t="str">
        <f>IF($K986&lt;&gt;0,VLOOKUP($K986,DM_KM,5,0),"")</f>
        <v/>
      </c>
      <c r="K986" s="735"/>
      <c r="L986" s="735"/>
      <c r="M986" s="68"/>
      <c r="N986" s="739"/>
      <c r="O986" s="737"/>
      <c r="P986" s="751"/>
    </row>
    <row r="987" hidden="1">
      <c r="A987" s="1190"/>
      <c r="B987" s="52" t="str">
        <f t="shared" si="1"/>
        <v/>
      </c>
      <c r="C987" s="52" t="str">
        <f>IF(A987="","",VLOOKUP(A987,'THAM CHIẾU'!$A:$B,2,0))</f>
        <v/>
      </c>
      <c r="D987" s="52" t="str">
        <f>IF(E987&lt;&gt;0,VLOOKUP(E987,DM_DUAN,3,0),"")</f>
        <v/>
      </c>
      <c r="E987" s="735"/>
      <c r="F987" s="735"/>
      <c r="G987" s="735"/>
      <c r="H987" s="70"/>
      <c r="I987" s="52" t="str">
        <f>IF($K987&lt;&gt;0,VLOOKUP($K987,DM_KM,3,0),"")</f>
        <v/>
      </c>
      <c r="J987" s="52" t="str">
        <f>IF($K987&lt;&gt;0,VLOOKUP($K987,DM_KM,5,0),"")</f>
        <v/>
      </c>
      <c r="K987" s="735"/>
      <c r="L987" s="735"/>
      <c r="M987" s="68"/>
      <c r="N987" s="739"/>
      <c r="O987" s="737"/>
      <c r="P987" s="751"/>
    </row>
    <row r="988" hidden="1">
      <c r="A988" s="1190"/>
      <c r="B988" s="52" t="str">
        <f t="shared" si="1"/>
        <v/>
      </c>
      <c r="C988" s="52" t="str">
        <f>IF(A988="","",VLOOKUP(A988,'THAM CHIẾU'!$A:$B,2,0))</f>
        <v/>
      </c>
      <c r="D988" s="52" t="str">
        <f>IF(E988&lt;&gt;0,VLOOKUP(E988,DM_DUAN,3,0),"")</f>
        <v/>
      </c>
      <c r="E988" s="735"/>
      <c r="F988" s="735"/>
      <c r="G988" s="735"/>
      <c r="H988" s="70"/>
      <c r="I988" s="52" t="str">
        <f>IF($K988&lt;&gt;0,VLOOKUP($K988,DM_KM,3,0),"")</f>
        <v/>
      </c>
      <c r="J988" s="52" t="str">
        <f>IF($K988&lt;&gt;0,VLOOKUP($K988,DM_KM,5,0),"")</f>
        <v/>
      </c>
      <c r="K988" s="735"/>
      <c r="L988" s="735"/>
      <c r="M988" s="68"/>
      <c r="N988" s="739"/>
      <c r="O988" s="737"/>
      <c r="P988" s="751"/>
    </row>
    <row r="989" hidden="1">
      <c r="A989" s="1190"/>
      <c r="B989" s="52" t="str">
        <f t="shared" si="1"/>
        <v/>
      </c>
      <c r="C989" s="52" t="str">
        <f>IF(A989="","",VLOOKUP(A989,'THAM CHIẾU'!$A:$B,2,0))</f>
        <v/>
      </c>
      <c r="D989" s="52" t="str">
        <f>IF(E989&lt;&gt;0,VLOOKUP(E989,DM_DUAN,3,0),"")</f>
        <v/>
      </c>
      <c r="E989" s="735"/>
      <c r="F989" s="735"/>
      <c r="G989" s="735"/>
      <c r="H989" s="70"/>
      <c r="I989" s="52" t="str">
        <f>IF($K989&lt;&gt;0,VLOOKUP($K989,DM_KM,3,0),"")</f>
        <v/>
      </c>
      <c r="J989" s="52" t="str">
        <f>IF($K989&lt;&gt;0,VLOOKUP($K989,DM_KM,5,0),"")</f>
        <v/>
      </c>
      <c r="K989" s="735"/>
      <c r="L989" s="735"/>
      <c r="M989" s="68"/>
      <c r="N989" s="739"/>
      <c r="O989" s="737"/>
      <c r="P989" s="751"/>
    </row>
    <row r="990" hidden="1">
      <c r="A990" s="1190"/>
      <c r="B990" s="52" t="str">
        <f t="shared" si="1"/>
        <v/>
      </c>
      <c r="C990" s="52" t="str">
        <f>IF(A990="","",VLOOKUP(A990,'THAM CHIẾU'!$A:$B,2,0))</f>
        <v/>
      </c>
      <c r="D990" s="52" t="str">
        <f>IF(E990&lt;&gt;0,VLOOKUP(E990,DM_DUAN,3,0),"")</f>
        <v/>
      </c>
      <c r="E990" s="735"/>
      <c r="F990" s="735"/>
      <c r="G990" s="735"/>
      <c r="H990" s="70"/>
      <c r="I990" s="52" t="str">
        <f>IF($K990&lt;&gt;0,VLOOKUP($K990,DM_KM,3,0),"")</f>
        <v/>
      </c>
      <c r="J990" s="52" t="str">
        <f>IF($K990&lt;&gt;0,VLOOKUP($K990,DM_KM,5,0),"")</f>
        <v/>
      </c>
      <c r="K990" s="735"/>
      <c r="L990" s="735"/>
      <c r="M990" s="68"/>
      <c r="N990" s="739"/>
      <c r="O990" s="737"/>
      <c r="P990" s="751"/>
    </row>
    <row r="991" hidden="1">
      <c r="A991" s="1190"/>
      <c r="B991" s="52" t="str">
        <f t="shared" si="1"/>
        <v/>
      </c>
      <c r="C991" s="52" t="str">
        <f>IF(A991="","",VLOOKUP(A991,'THAM CHIẾU'!$A:$B,2,0))</f>
        <v/>
      </c>
      <c r="D991" s="52" t="str">
        <f>IF(E991&lt;&gt;0,VLOOKUP(E991,DM_DUAN,3,0),"")</f>
        <v/>
      </c>
      <c r="E991" s="735"/>
      <c r="F991" s="735"/>
      <c r="G991" s="735"/>
      <c r="H991" s="70"/>
      <c r="I991" s="52" t="str">
        <f>IF($K991&lt;&gt;0,VLOOKUP($K991,DM_KM,3,0),"")</f>
        <v/>
      </c>
      <c r="J991" s="52" t="str">
        <f>IF($K991&lt;&gt;0,VLOOKUP($K991,DM_KM,5,0),"")</f>
        <v/>
      </c>
      <c r="K991" s="735"/>
      <c r="L991" s="735"/>
      <c r="M991" s="68"/>
      <c r="N991" s="739"/>
      <c r="O991" s="737"/>
      <c r="P991" s="751"/>
    </row>
    <row r="992" hidden="1">
      <c r="A992" s="1190"/>
      <c r="B992" s="52" t="str">
        <f t="shared" si="1"/>
        <v/>
      </c>
      <c r="C992" s="52" t="str">
        <f>IF(A992="","",VLOOKUP(A992,'THAM CHIẾU'!$A:$B,2,0))</f>
        <v/>
      </c>
      <c r="D992" s="52" t="str">
        <f>IF(E992&lt;&gt;0,VLOOKUP(E992,DM_DUAN,3,0),"")</f>
        <v/>
      </c>
      <c r="E992" s="735"/>
      <c r="F992" s="735"/>
      <c r="G992" s="735"/>
      <c r="H992" s="70"/>
      <c r="I992" s="52" t="str">
        <f>IF($K992&lt;&gt;0,VLOOKUP($K992,DM_KM,3,0),"")</f>
        <v/>
      </c>
      <c r="J992" s="52" t="str">
        <f>IF($K992&lt;&gt;0,VLOOKUP($K992,DM_KM,5,0),"")</f>
        <v/>
      </c>
      <c r="K992" s="735"/>
      <c r="L992" s="735"/>
      <c r="M992" s="68"/>
      <c r="N992" s="739"/>
      <c r="O992" s="737"/>
      <c r="P992" s="751"/>
    </row>
    <row r="993" hidden="1">
      <c r="A993" s="1190"/>
      <c r="B993" s="52" t="str">
        <f t="shared" si="1"/>
        <v/>
      </c>
      <c r="C993" s="52" t="str">
        <f>IF(A993="","",VLOOKUP(A993,'THAM CHIẾU'!$A:$B,2,0))</f>
        <v/>
      </c>
      <c r="D993" s="52" t="str">
        <f>IF(E993&lt;&gt;0,VLOOKUP(E993,DM_DUAN,3,0),"")</f>
        <v/>
      </c>
      <c r="E993" s="735"/>
      <c r="F993" s="735"/>
      <c r="G993" s="735"/>
      <c r="H993" s="70"/>
      <c r="I993" s="52" t="str">
        <f>IF($K993&lt;&gt;0,VLOOKUP($K993,DM_KM,3,0),"")</f>
        <v/>
      </c>
      <c r="J993" s="52" t="str">
        <f>IF($K993&lt;&gt;0,VLOOKUP($K993,DM_KM,5,0),"")</f>
        <v/>
      </c>
      <c r="K993" s="735"/>
      <c r="L993" s="735"/>
      <c r="M993" s="68"/>
      <c r="N993" s="739"/>
      <c r="O993" s="737"/>
      <c r="P993" s="751"/>
    </row>
    <row r="994" hidden="1">
      <c r="A994" s="1190"/>
      <c r="B994" s="52" t="str">
        <f t="shared" si="1"/>
        <v/>
      </c>
      <c r="C994" s="52" t="str">
        <f>IF(A994="","",VLOOKUP(A994,'THAM CHIẾU'!$A:$B,2,0))</f>
        <v/>
      </c>
      <c r="D994" s="52" t="str">
        <f>IF(E994&lt;&gt;0,VLOOKUP(E994,DM_DUAN,3,0),"")</f>
        <v/>
      </c>
      <c r="E994" s="735"/>
      <c r="F994" s="735"/>
      <c r="G994" s="735"/>
      <c r="H994" s="70"/>
      <c r="I994" s="52" t="str">
        <f>IF($K994&lt;&gt;0,VLOOKUP($K994,DM_KM,3,0),"")</f>
        <v/>
      </c>
      <c r="J994" s="52" t="str">
        <f>IF($K994&lt;&gt;0,VLOOKUP($K994,DM_KM,5,0),"")</f>
        <v/>
      </c>
      <c r="K994" s="735"/>
      <c r="L994" s="735"/>
      <c r="M994" s="68"/>
      <c r="N994" s="739"/>
      <c r="O994" s="737"/>
      <c r="P994" s="751"/>
    </row>
    <row r="995" hidden="1">
      <c r="A995" s="1190"/>
      <c r="B995" s="52" t="str">
        <f t="shared" si="1"/>
        <v/>
      </c>
      <c r="C995" s="52" t="str">
        <f>IF(A995="","",VLOOKUP(A995,'THAM CHIẾU'!$A:$B,2,0))</f>
        <v/>
      </c>
      <c r="D995" s="52" t="str">
        <f>IF(E995&lt;&gt;0,VLOOKUP(E995,DM_DUAN,3,0),"")</f>
        <v/>
      </c>
      <c r="E995" s="735"/>
      <c r="F995" s="735"/>
      <c r="G995" s="735"/>
      <c r="H995" s="70"/>
      <c r="I995" s="52" t="str">
        <f>IF($K995&lt;&gt;0,VLOOKUP($K995,DM_KM,3,0),"")</f>
        <v/>
      </c>
      <c r="J995" s="52" t="str">
        <f>IF($K995&lt;&gt;0,VLOOKUP($K995,DM_KM,5,0),"")</f>
        <v/>
      </c>
      <c r="K995" s="735"/>
      <c r="L995" s="735"/>
      <c r="M995" s="68"/>
      <c r="N995" s="739"/>
      <c r="O995" s="737"/>
      <c r="P995" s="751"/>
    </row>
    <row r="996" hidden="1">
      <c r="A996" s="1190"/>
      <c r="B996" s="52" t="str">
        <f t="shared" si="1"/>
        <v/>
      </c>
      <c r="C996" s="52" t="str">
        <f>IF(A996="","",VLOOKUP(A996,'THAM CHIẾU'!$A:$B,2,0))</f>
        <v/>
      </c>
      <c r="D996" s="52" t="str">
        <f>IF(E996&lt;&gt;0,VLOOKUP(E996,DM_DUAN,3,0),"")</f>
        <v/>
      </c>
      <c r="E996" s="735"/>
      <c r="F996" s="735"/>
      <c r="G996" s="735"/>
      <c r="H996" s="70"/>
      <c r="I996" s="52" t="str">
        <f>IF($K996&lt;&gt;0,VLOOKUP($K996,DM_KM,3,0),"")</f>
        <v/>
      </c>
      <c r="J996" s="52" t="str">
        <f>IF($K996&lt;&gt;0,VLOOKUP($K996,DM_KM,5,0),"")</f>
        <v/>
      </c>
      <c r="K996" s="735"/>
      <c r="L996" s="735"/>
      <c r="M996" s="68"/>
      <c r="N996" s="739"/>
      <c r="O996" s="737"/>
      <c r="P996" s="751"/>
    </row>
    <row r="997" hidden="1">
      <c r="A997" s="1190"/>
      <c r="B997" s="52" t="str">
        <f t="shared" si="1"/>
        <v/>
      </c>
      <c r="C997" s="52" t="str">
        <f>IF(A997="","",VLOOKUP(A997,'THAM CHIẾU'!$A:$B,2,0))</f>
        <v/>
      </c>
      <c r="D997" s="52" t="str">
        <f>IF(E997&lt;&gt;0,VLOOKUP(E997,DM_DUAN,3,0),"")</f>
        <v/>
      </c>
      <c r="E997" s="735"/>
      <c r="F997" s="735"/>
      <c r="G997" s="735"/>
      <c r="H997" s="70"/>
      <c r="I997" s="52" t="str">
        <f>IF($K997&lt;&gt;0,VLOOKUP($K997,DM_KM,3,0),"")</f>
        <v/>
      </c>
      <c r="J997" s="52" t="str">
        <f>IF($K997&lt;&gt;0,VLOOKUP($K997,DM_KM,5,0),"")</f>
        <v/>
      </c>
      <c r="K997" s="735"/>
      <c r="L997" s="735"/>
      <c r="M997" s="68"/>
      <c r="N997" s="739"/>
      <c r="O997" s="737"/>
      <c r="P997" s="751"/>
    </row>
    <row r="998" hidden="1">
      <c r="A998" s="1190"/>
      <c r="B998" s="52" t="str">
        <f t="shared" si="1"/>
        <v/>
      </c>
      <c r="C998" s="52" t="str">
        <f>IF(A998="","",VLOOKUP(A998,'THAM CHIẾU'!$A:$B,2,0))</f>
        <v/>
      </c>
      <c r="D998" s="52" t="str">
        <f>IF(E998&lt;&gt;0,VLOOKUP(E998,DM_DUAN,3,0),"")</f>
        <v/>
      </c>
      <c r="E998" s="735"/>
      <c r="F998" s="735"/>
      <c r="G998" s="735"/>
      <c r="H998" s="70"/>
      <c r="I998" s="52" t="str">
        <f>IF($K998&lt;&gt;0,VLOOKUP($K998,DM_KM,3,0),"")</f>
        <v/>
      </c>
      <c r="J998" s="52" t="str">
        <f>IF($K998&lt;&gt;0,VLOOKUP($K998,DM_KM,5,0),"")</f>
        <v/>
      </c>
      <c r="K998" s="735"/>
      <c r="L998" s="735"/>
      <c r="M998" s="68"/>
      <c r="N998" s="739"/>
      <c r="O998" s="737"/>
      <c r="P998" s="751"/>
    </row>
    <row r="999" hidden="1">
      <c r="A999" s="1190"/>
      <c r="B999" s="52" t="str">
        <f t="shared" si="1"/>
        <v/>
      </c>
      <c r="C999" s="52" t="str">
        <f>IF(A999="","",VLOOKUP(A999,'THAM CHIẾU'!$A:$B,2,0))</f>
        <v/>
      </c>
      <c r="D999" s="52" t="str">
        <f>IF(E999&lt;&gt;0,VLOOKUP(E999,DM_DUAN,3,0),"")</f>
        <v/>
      </c>
      <c r="E999" s="735"/>
      <c r="F999" s="735"/>
      <c r="G999" s="735"/>
      <c r="H999" s="70"/>
      <c r="I999" s="52" t="str">
        <f>IF($K999&lt;&gt;0,VLOOKUP($K999,DM_KM,3,0),"")</f>
        <v/>
      </c>
      <c r="J999" s="52" t="str">
        <f>IF($K999&lt;&gt;0,VLOOKUP($K999,DM_KM,5,0),"")</f>
        <v/>
      </c>
      <c r="K999" s="735"/>
      <c r="L999" s="735"/>
      <c r="M999" s="68"/>
      <c r="N999" s="739"/>
      <c r="O999" s="737"/>
      <c r="P999" s="751"/>
    </row>
    <row r="1000" hidden="1">
      <c r="A1000" s="1190"/>
      <c r="B1000" s="52" t="str">
        <f t="shared" si="1"/>
        <v/>
      </c>
      <c r="C1000" s="52" t="str">
        <f>IF(A1000="","",VLOOKUP(A1000,'THAM CHIẾU'!$A:$B,2,0))</f>
        <v/>
      </c>
      <c r="D1000" s="52" t="str">
        <f>IF(E1000&lt;&gt;0,VLOOKUP(E1000,DM_DUAN,3,0),"")</f>
        <v/>
      </c>
      <c r="E1000" s="735"/>
      <c r="F1000" s="735"/>
      <c r="G1000" s="735"/>
      <c r="H1000" s="70"/>
      <c r="I1000" s="52" t="str">
        <f>IF($K1000&lt;&gt;0,VLOOKUP($K1000,DM_KM,3,0),"")</f>
        <v/>
      </c>
      <c r="J1000" s="52" t="str">
        <f>IF($K1000&lt;&gt;0,VLOOKUP($K1000,DM_KM,5,0),"")</f>
        <v/>
      </c>
      <c r="K1000" s="735"/>
      <c r="L1000" s="735"/>
      <c r="M1000" s="68"/>
      <c r="N1000" s="739"/>
      <c r="O1000" s="737"/>
      <c r="P1000" s="751"/>
    </row>
    <row r="1001" hidden="1">
      <c r="A1001" s="1190"/>
      <c r="B1001" s="52" t="str">
        <f t="shared" si="1"/>
        <v/>
      </c>
      <c r="C1001" s="52" t="str">
        <f>IF(A1001="","",VLOOKUP(A1001,'THAM CHIẾU'!$A:$B,2,0))</f>
        <v/>
      </c>
      <c r="D1001" s="52" t="str">
        <f>IF(E1001&lt;&gt;0,VLOOKUP(E1001,DM_DUAN,3,0),"")</f>
        <v/>
      </c>
      <c r="E1001" s="735"/>
      <c r="F1001" s="735"/>
      <c r="G1001" s="735"/>
      <c r="H1001" s="70"/>
      <c r="I1001" s="52" t="str">
        <f>IF($K1001&lt;&gt;0,VLOOKUP($K1001,DM_KM,3,0),"")</f>
        <v/>
      </c>
      <c r="J1001" s="52" t="str">
        <f>IF($K1001&lt;&gt;0,VLOOKUP($K1001,DM_KM,5,0),"")</f>
        <v/>
      </c>
      <c r="K1001" s="735"/>
      <c r="L1001" s="735"/>
      <c r="M1001" s="68"/>
      <c r="N1001" s="739"/>
      <c r="O1001" s="737"/>
      <c r="P1001" s="751"/>
    </row>
    <row r="1002" hidden="1">
      <c r="A1002" s="1190"/>
      <c r="B1002" s="52" t="str">
        <f t="shared" si="1"/>
        <v/>
      </c>
      <c r="C1002" s="52" t="str">
        <f>IF(A1002="","",VLOOKUP(A1002,'THAM CHIẾU'!$A:$B,2,0))</f>
        <v/>
      </c>
      <c r="D1002" s="52" t="str">
        <f>IF(E1002&lt;&gt;0,VLOOKUP(E1002,DM_DUAN,3,0),"")</f>
        <v/>
      </c>
      <c r="E1002" s="735"/>
      <c r="F1002" s="735"/>
      <c r="G1002" s="735"/>
      <c r="H1002" s="70"/>
      <c r="I1002" s="52" t="str">
        <f>IF($K1002&lt;&gt;0,VLOOKUP($K1002,DM_KM,3,0),"")</f>
        <v/>
      </c>
      <c r="J1002" s="52" t="str">
        <f>IF($K1002&lt;&gt;0,VLOOKUP($K1002,DM_KM,5,0),"")</f>
        <v/>
      </c>
      <c r="K1002" s="735"/>
      <c r="L1002" s="735"/>
      <c r="M1002" s="68"/>
      <c r="N1002" s="739"/>
      <c r="O1002" s="737"/>
      <c r="P1002" s="751"/>
    </row>
    <row r="1003" hidden="1">
      <c r="A1003" s="1190"/>
      <c r="B1003" s="52" t="str">
        <f t="shared" si="1"/>
        <v/>
      </c>
      <c r="C1003" s="52" t="str">
        <f>IF(A1003="","",VLOOKUP(A1003,'THAM CHIẾU'!$A:$B,2,0))</f>
        <v/>
      </c>
      <c r="D1003" s="52" t="str">
        <f>IF(E1003&lt;&gt;0,VLOOKUP(E1003,DM_DUAN,3,0),"")</f>
        <v/>
      </c>
      <c r="E1003" s="735"/>
      <c r="F1003" s="735"/>
      <c r="G1003" s="735"/>
      <c r="H1003" s="70"/>
      <c r="I1003" s="52" t="str">
        <f>IF($K1003&lt;&gt;0,VLOOKUP($K1003,DM_KM,3,0),"")</f>
        <v/>
      </c>
      <c r="J1003" s="52" t="str">
        <f>IF($K1003&lt;&gt;0,VLOOKUP($K1003,DM_KM,5,0),"")</f>
        <v/>
      </c>
      <c r="K1003" s="735"/>
      <c r="L1003" s="735"/>
      <c r="M1003" s="68"/>
      <c r="N1003" s="739"/>
      <c r="O1003" s="737"/>
      <c r="P1003" s="751"/>
    </row>
    <row r="1004" hidden="1">
      <c r="A1004" s="1190"/>
      <c r="B1004" s="52" t="str">
        <f t="shared" si="1"/>
        <v/>
      </c>
      <c r="C1004" s="52" t="str">
        <f>IF(A1004="","",VLOOKUP(A1004,'THAM CHIẾU'!$A:$B,2,0))</f>
        <v/>
      </c>
      <c r="D1004" s="52" t="str">
        <f>IF(E1004&lt;&gt;0,VLOOKUP(E1004,DM_DUAN,3,0),"")</f>
        <v/>
      </c>
      <c r="E1004" s="735"/>
      <c r="F1004" s="735"/>
      <c r="G1004" s="735"/>
      <c r="H1004" s="70"/>
      <c r="I1004" s="52" t="str">
        <f>IF($K1004&lt;&gt;0,VLOOKUP($K1004,DM_KM,3,0),"")</f>
        <v/>
      </c>
      <c r="J1004" s="52" t="str">
        <f>IF($K1004&lt;&gt;0,VLOOKUP($K1004,DM_KM,5,0),"")</f>
        <v/>
      </c>
      <c r="K1004" s="735"/>
      <c r="L1004" s="735"/>
      <c r="M1004" s="68"/>
      <c r="N1004" s="739"/>
      <c r="O1004" s="737"/>
      <c r="P1004" s="751"/>
    </row>
    <row r="1005" hidden="1">
      <c r="A1005" s="1190"/>
      <c r="B1005" s="52" t="str">
        <f t="shared" si="1"/>
        <v/>
      </c>
      <c r="C1005" s="52" t="str">
        <f>IF(A1005="","",VLOOKUP(A1005,'THAM CHIẾU'!$A:$B,2,0))</f>
        <v/>
      </c>
      <c r="D1005" s="52" t="str">
        <f>IF(E1005&lt;&gt;0,VLOOKUP(E1005,DM_DUAN,3,0),"")</f>
        <v/>
      </c>
      <c r="E1005" s="735"/>
      <c r="F1005" s="735"/>
      <c r="G1005" s="735"/>
      <c r="H1005" s="70"/>
      <c r="I1005" s="52" t="str">
        <f>IF($K1005&lt;&gt;0,VLOOKUP($K1005,DM_KM,3,0),"")</f>
        <v/>
      </c>
      <c r="J1005" s="52" t="str">
        <f>IF($K1005&lt;&gt;0,VLOOKUP($K1005,DM_KM,5,0),"")</f>
        <v/>
      </c>
      <c r="K1005" s="735"/>
      <c r="L1005" s="735"/>
      <c r="M1005" s="68"/>
      <c r="N1005" s="739"/>
      <c r="O1005" s="737"/>
      <c r="P1005" s="751"/>
    </row>
    <row r="1006" hidden="1">
      <c r="A1006" s="1190"/>
      <c r="B1006" s="52" t="str">
        <f t="shared" si="1"/>
        <v/>
      </c>
      <c r="C1006" s="52" t="str">
        <f>IF(A1006="","",VLOOKUP(A1006,'THAM CHIẾU'!$A:$B,2,0))</f>
        <v/>
      </c>
      <c r="D1006" s="52" t="str">
        <f>IF(E1006&lt;&gt;0,VLOOKUP(E1006,DM_DUAN,3,0),"")</f>
        <v/>
      </c>
      <c r="E1006" s="735"/>
      <c r="F1006" s="735"/>
      <c r="G1006" s="735"/>
      <c r="H1006" s="70"/>
      <c r="I1006" s="52" t="str">
        <f>IF($K1006&lt;&gt;0,VLOOKUP($K1006,DM_KM,3,0),"")</f>
        <v/>
      </c>
      <c r="J1006" s="52" t="str">
        <f>IF($K1006&lt;&gt;0,VLOOKUP($K1006,DM_KM,5,0),"")</f>
        <v/>
      </c>
      <c r="K1006" s="735"/>
      <c r="L1006" s="735"/>
      <c r="M1006" s="68"/>
      <c r="N1006" s="739"/>
      <c r="O1006" s="737"/>
      <c r="P1006" s="751"/>
    </row>
    <row r="1007" hidden="1">
      <c r="A1007" s="1190"/>
      <c r="B1007" s="52" t="str">
        <f t="shared" si="1"/>
        <v/>
      </c>
      <c r="C1007" s="52" t="str">
        <f>IF(A1007="","",VLOOKUP(A1007,'THAM CHIẾU'!$A:$B,2,0))</f>
        <v/>
      </c>
      <c r="D1007" s="52" t="str">
        <f>IF(E1007&lt;&gt;0,VLOOKUP(E1007,DM_DUAN,3,0),"")</f>
        <v/>
      </c>
      <c r="E1007" s="735"/>
      <c r="F1007" s="735"/>
      <c r="G1007" s="735"/>
      <c r="H1007" s="70"/>
      <c r="I1007" s="52" t="str">
        <f>IF($K1007&lt;&gt;0,VLOOKUP($K1007,DM_KM,3,0),"")</f>
        <v/>
      </c>
      <c r="J1007" s="52" t="str">
        <f>IF($K1007&lt;&gt;0,VLOOKUP($K1007,DM_KM,5,0),"")</f>
        <v/>
      </c>
      <c r="K1007" s="735"/>
      <c r="L1007" s="735"/>
      <c r="M1007" s="68"/>
      <c r="N1007" s="739"/>
      <c r="O1007" s="737"/>
      <c r="P1007" s="751"/>
    </row>
    <row r="1008" hidden="1">
      <c r="A1008" s="1190"/>
      <c r="B1008" s="52" t="str">
        <f t="shared" si="1"/>
        <v/>
      </c>
      <c r="C1008" s="52" t="str">
        <f>IF(A1008="","",VLOOKUP(A1008,'THAM CHIẾU'!$A:$B,2,0))</f>
        <v/>
      </c>
      <c r="D1008" s="52" t="str">
        <f>IF(E1008&lt;&gt;0,VLOOKUP(E1008,DM_DUAN,3,0),"")</f>
        <v/>
      </c>
      <c r="E1008" s="735"/>
      <c r="F1008" s="735"/>
      <c r="G1008" s="735"/>
      <c r="H1008" s="70"/>
      <c r="I1008" s="52" t="str">
        <f>IF($K1008&lt;&gt;0,VLOOKUP($K1008,DM_KM,3,0),"")</f>
        <v/>
      </c>
      <c r="J1008" s="52" t="str">
        <f>IF($K1008&lt;&gt;0,VLOOKUP($K1008,DM_KM,5,0),"")</f>
        <v/>
      </c>
      <c r="K1008" s="735"/>
      <c r="L1008" s="735"/>
      <c r="M1008" s="68"/>
      <c r="N1008" s="739"/>
      <c r="O1008" s="737"/>
      <c r="P1008" s="751"/>
    </row>
    <row r="1009" hidden="1">
      <c r="A1009" s="1190"/>
      <c r="B1009" s="52" t="str">
        <f t="shared" si="1"/>
        <v/>
      </c>
      <c r="C1009" s="52" t="str">
        <f>IF(A1009="","",VLOOKUP(A1009,'THAM CHIẾU'!$A:$B,2,0))</f>
        <v/>
      </c>
      <c r="D1009" s="52" t="str">
        <f>IF(E1009&lt;&gt;0,VLOOKUP(E1009,DM_DUAN,3,0),"")</f>
        <v/>
      </c>
      <c r="E1009" s="735"/>
      <c r="F1009" s="735"/>
      <c r="G1009" s="735"/>
      <c r="H1009" s="70"/>
      <c r="I1009" s="52" t="str">
        <f>IF($K1009&lt;&gt;0,VLOOKUP($K1009,DM_KM,3,0),"")</f>
        <v/>
      </c>
      <c r="J1009" s="52" t="str">
        <f>IF($K1009&lt;&gt;0,VLOOKUP($K1009,DM_KM,5,0),"")</f>
        <v/>
      </c>
      <c r="K1009" s="735"/>
      <c r="L1009" s="735"/>
      <c r="M1009" s="68"/>
      <c r="N1009" s="739"/>
      <c r="O1009" s="737"/>
      <c r="P1009" s="751"/>
    </row>
    <row r="1010" hidden="1">
      <c r="A1010" s="1190"/>
      <c r="B1010" s="52" t="str">
        <f t="shared" si="1"/>
        <v/>
      </c>
      <c r="C1010" s="52" t="str">
        <f>IF(A1010="","",VLOOKUP(A1010,'THAM CHIẾU'!$A:$B,2,0))</f>
        <v/>
      </c>
      <c r="D1010" s="52" t="str">
        <f>IF(E1010&lt;&gt;0,VLOOKUP(E1010,DM_DUAN,3,0),"")</f>
        <v/>
      </c>
      <c r="E1010" s="735"/>
      <c r="F1010" s="735"/>
      <c r="G1010" s="735"/>
      <c r="H1010" s="70"/>
      <c r="I1010" s="52" t="str">
        <f>IF($K1010&lt;&gt;0,VLOOKUP($K1010,DM_KM,3,0),"")</f>
        <v/>
      </c>
      <c r="J1010" s="52" t="str">
        <f>IF($K1010&lt;&gt;0,VLOOKUP($K1010,DM_KM,5,0),"")</f>
        <v/>
      </c>
      <c r="K1010" s="735"/>
      <c r="L1010" s="735"/>
      <c r="M1010" s="68"/>
      <c r="N1010" s="739"/>
      <c r="O1010" s="737"/>
      <c r="P1010" s="751"/>
    </row>
    <row r="1011" hidden="1">
      <c r="A1011" s="1190"/>
      <c r="B1011" s="52" t="str">
        <f t="shared" si="1"/>
        <v/>
      </c>
      <c r="C1011" s="52" t="str">
        <f>IF(A1011="","",VLOOKUP(A1011,'THAM CHIẾU'!$A:$B,2,0))</f>
        <v/>
      </c>
      <c r="D1011" s="52" t="str">
        <f>IF(E1011&lt;&gt;0,VLOOKUP(E1011,DM_DUAN,3,0),"")</f>
        <v/>
      </c>
      <c r="E1011" s="735"/>
      <c r="F1011" s="735"/>
      <c r="G1011" s="735"/>
      <c r="H1011" s="70"/>
      <c r="I1011" s="52" t="str">
        <f>IF($K1011&lt;&gt;0,VLOOKUP($K1011,DM_KM,3,0),"")</f>
        <v/>
      </c>
      <c r="J1011" s="52" t="str">
        <f>IF($K1011&lt;&gt;0,VLOOKUP($K1011,DM_KM,5,0),"")</f>
        <v/>
      </c>
      <c r="K1011" s="735"/>
      <c r="L1011" s="735"/>
      <c r="M1011" s="68"/>
      <c r="N1011" s="739"/>
      <c r="O1011" s="737"/>
      <c r="P1011" s="751"/>
    </row>
    <row r="1012" hidden="1">
      <c r="A1012" s="1190"/>
      <c r="B1012" s="52" t="str">
        <f t="shared" si="1"/>
        <v/>
      </c>
      <c r="C1012" s="52" t="str">
        <f>IF(A1012="","",VLOOKUP(A1012,'THAM CHIẾU'!$A:$B,2,0))</f>
        <v/>
      </c>
      <c r="D1012" s="52" t="str">
        <f>IF(E1012&lt;&gt;0,VLOOKUP(E1012,DM_DUAN,3,0),"")</f>
        <v/>
      </c>
      <c r="E1012" s="735"/>
      <c r="F1012" s="735"/>
      <c r="G1012" s="735"/>
      <c r="H1012" s="70"/>
      <c r="I1012" s="52" t="str">
        <f>IF($K1012&lt;&gt;0,VLOOKUP($K1012,DM_KM,3,0),"")</f>
        <v/>
      </c>
      <c r="J1012" s="52" t="str">
        <f>IF($K1012&lt;&gt;0,VLOOKUP($K1012,DM_KM,5,0),"")</f>
        <v/>
      </c>
      <c r="K1012" s="735"/>
      <c r="L1012" s="735"/>
      <c r="M1012" s="68"/>
      <c r="N1012" s="739"/>
      <c r="O1012" s="737"/>
      <c r="P1012" s="751"/>
    </row>
    <row r="1013" hidden="1">
      <c r="A1013" s="1190"/>
      <c r="B1013" s="52" t="str">
        <f t="shared" si="1"/>
        <v/>
      </c>
      <c r="C1013" s="52" t="str">
        <f>IF(A1013="","",VLOOKUP(A1013,'THAM CHIẾU'!$A:$B,2,0))</f>
        <v/>
      </c>
      <c r="D1013" s="52" t="str">
        <f>IF(E1013&lt;&gt;0,VLOOKUP(E1013,DM_DUAN,3,0),"")</f>
        <v/>
      </c>
      <c r="E1013" s="735"/>
      <c r="F1013" s="735"/>
      <c r="G1013" s="735"/>
      <c r="H1013" s="70"/>
      <c r="I1013" s="52" t="str">
        <f>IF($K1013&lt;&gt;0,VLOOKUP($K1013,DM_KM,3,0),"")</f>
        <v/>
      </c>
      <c r="J1013" s="52" t="str">
        <f>IF($K1013&lt;&gt;0,VLOOKUP($K1013,DM_KM,5,0),"")</f>
        <v/>
      </c>
      <c r="K1013" s="735"/>
      <c r="L1013" s="735"/>
      <c r="M1013" s="68"/>
      <c r="N1013" s="739"/>
      <c r="O1013" s="737"/>
      <c r="P1013" s="751"/>
    </row>
    <row r="1014" hidden="1">
      <c r="A1014" s="1190"/>
      <c r="B1014" s="52" t="str">
        <f t="shared" si="1"/>
        <v/>
      </c>
      <c r="C1014" s="52" t="str">
        <f>IF(A1014="","",VLOOKUP(A1014,'THAM CHIẾU'!$A:$B,2,0))</f>
        <v/>
      </c>
      <c r="D1014" s="52" t="str">
        <f>IF(E1014&lt;&gt;0,VLOOKUP(E1014,DM_DUAN,3,0),"")</f>
        <v/>
      </c>
      <c r="E1014" s="735"/>
      <c r="F1014" s="735"/>
      <c r="G1014" s="735"/>
      <c r="H1014" s="70"/>
      <c r="I1014" s="52" t="str">
        <f>IF($K1014&lt;&gt;0,VLOOKUP($K1014,DM_KM,3,0),"")</f>
        <v/>
      </c>
      <c r="J1014" s="52" t="str">
        <f>IF($K1014&lt;&gt;0,VLOOKUP($K1014,DM_KM,5,0),"")</f>
        <v/>
      </c>
      <c r="K1014" s="735"/>
      <c r="L1014" s="735"/>
      <c r="M1014" s="68"/>
      <c r="N1014" s="739"/>
      <c r="O1014" s="737"/>
      <c r="P1014" s="751"/>
    </row>
    <row r="1015" hidden="1">
      <c r="A1015" s="1190"/>
      <c r="B1015" s="52" t="str">
        <f t="shared" si="1"/>
        <v/>
      </c>
      <c r="C1015" s="52" t="str">
        <f>IF(A1015="","",VLOOKUP(A1015,'THAM CHIẾU'!$A:$B,2,0))</f>
        <v/>
      </c>
      <c r="D1015" s="52" t="str">
        <f>IF(E1015&lt;&gt;0,VLOOKUP(E1015,DM_DUAN,3,0),"")</f>
        <v/>
      </c>
      <c r="E1015" s="735"/>
      <c r="F1015" s="735"/>
      <c r="G1015" s="735"/>
      <c r="H1015" s="70"/>
      <c r="I1015" s="52" t="str">
        <f>IF($K1015&lt;&gt;0,VLOOKUP($K1015,DM_KM,3,0),"")</f>
        <v/>
      </c>
      <c r="J1015" s="52" t="str">
        <f>IF($K1015&lt;&gt;0,VLOOKUP($K1015,DM_KM,5,0),"")</f>
        <v/>
      </c>
      <c r="K1015" s="735"/>
      <c r="L1015" s="735"/>
      <c r="M1015" s="68"/>
      <c r="N1015" s="739"/>
      <c r="O1015" s="737"/>
      <c r="P1015" s="751"/>
    </row>
    <row r="1016" hidden="1">
      <c r="A1016" s="1190"/>
      <c r="B1016" s="52" t="str">
        <f t="shared" si="1"/>
        <v/>
      </c>
      <c r="C1016" s="52" t="str">
        <f>IF(A1016="","",VLOOKUP(A1016,'THAM CHIẾU'!$A:$B,2,0))</f>
        <v/>
      </c>
      <c r="D1016" s="52" t="str">
        <f>IF(E1016&lt;&gt;0,VLOOKUP(E1016,DM_DUAN,3,0),"")</f>
        <v/>
      </c>
      <c r="E1016" s="735"/>
      <c r="F1016" s="735"/>
      <c r="G1016" s="735"/>
      <c r="H1016" s="70"/>
      <c r="I1016" s="52" t="str">
        <f>IF($K1016&lt;&gt;0,VLOOKUP($K1016,DM_KM,3,0),"")</f>
        <v/>
      </c>
      <c r="J1016" s="52" t="str">
        <f>IF($K1016&lt;&gt;0,VLOOKUP($K1016,DM_KM,5,0),"")</f>
        <v/>
      </c>
      <c r="K1016" s="735"/>
      <c r="L1016" s="735"/>
      <c r="M1016" s="68"/>
      <c r="N1016" s="739"/>
      <c r="O1016" s="737"/>
      <c r="P1016" s="751"/>
    </row>
    <row r="1017" hidden="1">
      <c r="A1017" s="1190"/>
      <c r="B1017" s="52" t="str">
        <f t="shared" si="1"/>
        <v/>
      </c>
      <c r="C1017" s="52" t="str">
        <f>IF(A1017="","",VLOOKUP(A1017,'THAM CHIẾU'!$A:$B,2,0))</f>
        <v/>
      </c>
      <c r="D1017" s="52" t="str">
        <f>IF(E1017&lt;&gt;0,VLOOKUP(E1017,DM_DUAN,3,0),"")</f>
        <v/>
      </c>
      <c r="E1017" s="735"/>
      <c r="F1017" s="735"/>
      <c r="G1017" s="735"/>
      <c r="H1017" s="70"/>
      <c r="I1017" s="52" t="str">
        <f>IF($K1017&lt;&gt;0,VLOOKUP($K1017,DM_KM,3,0),"")</f>
        <v/>
      </c>
      <c r="J1017" s="52" t="str">
        <f>IF($K1017&lt;&gt;0,VLOOKUP($K1017,DM_KM,5,0),"")</f>
        <v/>
      </c>
      <c r="K1017" s="735"/>
      <c r="L1017" s="735"/>
      <c r="M1017" s="68"/>
      <c r="N1017" s="739"/>
      <c r="O1017" s="737"/>
      <c r="P1017" s="751"/>
    </row>
    <row r="1018" hidden="1">
      <c r="A1018" s="1190"/>
      <c r="B1018" s="52" t="str">
        <f t="shared" si="1"/>
        <v/>
      </c>
      <c r="C1018" s="52" t="str">
        <f>IF(A1018="","",VLOOKUP(A1018,'THAM CHIẾU'!$A:$B,2,0))</f>
        <v/>
      </c>
      <c r="D1018" s="52" t="str">
        <f>IF(E1018&lt;&gt;0,VLOOKUP(E1018,DM_DUAN,3,0),"")</f>
        <v/>
      </c>
      <c r="E1018" s="735"/>
      <c r="F1018" s="735"/>
      <c r="G1018" s="735"/>
      <c r="H1018" s="70"/>
      <c r="I1018" s="52" t="str">
        <f>IF($K1018&lt;&gt;0,VLOOKUP($K1018,DM_KM,3,0),"")</f>
        <v/>
      </c>
      <c r="J1018" s="52" t="str">
        <f>IF($K1018&lt;&gt;0,VLOOKUP($K1018,DM_KM,5,0),"")</f>
        <v/>
      </c>
      <c r="K1018" s="735"/>
      <c r="L1018" s="735"/>
      <c r="M1018" s="68"/>
      <c r="N1018" s="739"/>
      <c r="O1018" s="737"/>
      <c r="P1018" s="751"/>
    </row>
    <row r="1019" hidden="1">
      <c r="A1019" s="1190"/>
      <c r="B1019" s="52" t="str">
        <f t="shared" si="1"/>
        <v/>
      </c>
      <c r="C1019" s="52" t="str">
        <f>IF(A1019="","",VLOOKUP(A1019,'THAM CHIẾU'!$A:$B,2,0))</f>
        <v/>
      </c>
      <c r="D1019" s="52" t="str">
        <f>IF(E1019&lt;&gt;0,VLOOKUP(E1019,DM_DUAN,3,0),"")</f>
        <v/>
      </c>
      <c r="E1019" s="735"/>
      <c r="F1019" s="735"/>
      <c r="G1019" s="735"/>
      <c r="H1019" s="70"/>
      <c r="I1019" s="52" t="str">
        <f>IF($K1019&lt;&gt;0,VLOOKUP($K1019,DM_KM,3,0),"")</f>
        <v/>
      </c>
      <c r="J1019" s="52" t="str">
        <f>IF($K1019&lt;&gt;0,VLOOKUP($K1019,DM_KM,5,0),"")</f>
        <v/>
      </c>
      <c r="K1019" s="735"/>
      <c r="L1019" s="735"/>
      <c r="M1019" s="68"/>
      <c r="N1019" s="739"/>
      <c r="O1019" s="737"/>
      <c r="P1019" s="751"/>
    </row>
    <row r="1020" hidden="1">
      <c r="A1020" s="1190"/>
      <c r="B1020" s="52" t="str">
        <f t="shared" si="1"/>
        <v/>
      </c>
      <c r="C1020" s="52" t="str">
        <f>IF(A1020="","",VLOOKUP(A1020,'THAM CHIẾU'!$A:$B,2,0))</f>
        <v/>
      </c>
      <c r="D1020" s="52" t="str">
        <f>IF(E1020&lt;&gt;0,VLOOKUP(E1020,DM_DUAN,3,0),"")</f>
        <v/>
      </c>
      <c r="E1020" s="735"/>
      <c r="F1020" s="735"/>
      <c r="G1020" s="735"/>
      <c r="H1020" s="70"/>
      <c r="I1020" s="52" t="str">
        <f>IF($K1020&lt;&gt;0,VLOOKUP($K1020,DM_KM,3,0),"")</f>
        <v/>
      </c>
      <c r="J1020" s="52" t="str">
        <f>IF($K1020&lt;&gt;0,VLOOKUP($K1020,DM_KM,5,0),"")</f>
        <v/>
      </c>
      <c r="K1020" s="735"/>
      <c r="L1020" s="735"/>
      <c r="M1020" s="68"/>
      <c r="N1020" s="739"/>
      <c r="O1020" s="737"/>
      <c r="P1020" s="751"/>
    </row>
    <row r="1021" hidden="1">
      <c r="A1021" s="1190"/>
      <c r="B1021" s="52" t="str">
        <f t="shared" si="1"/>
        <v/>
      </c>
      <c r="C1021" s="52" t="str">
        <f>IF(A1021="","",VLOOKUP(A1021,'THAM CHIẾU'!$A:$B,2,0))</f>
        <v/>
      </c>
      <c r="D1021" s="52" t="str">
        <f>IF(E1021&lt;&gt;0,VLOOKUP(E1021,DM_DUAN,3,0),"")</f>
        <v/>
      </c>
      <c r="E1021" s="735"/>
      <c r="F1021" s="735"/>
      <c r="G1021" s="735"/>
      <c r="H1021" s="70"/>
      <c r="I1021" s="52" t="str">
        <f>IF($K1021&lt;&gt;0,VLOOKUP($K1021,DM_KM,3,0),"")</f>
        <v/>
      </c>
      <c r="J1021" s="52" t="str">
        <f>IF($K1021&lt;&gt;0,VLOOKUP($K1021,DM_KM,5,0),"")</f>
        <v/>
      </c>
      <c r="K1021" s="735"/>
      <c r="L1021" s="735"/>
      <c r="M1021" s="68"/>
      <c r="N1021" s="739"/>
      <c r="O1021" s="737"/>
      <c r="P1021" s="751"/>
    </row>
    <row r="1022" hidden="1">
      <c r="A1022" s="1190"/>
      <c r="B1022" s="52" t="str">
        <f t="shared" si="1"/>
        <v/>
      </c>
      <c r="C1022" s="52" t="str">
        <f>IF(A1022="","",VLOOKUP(A1022,'THAM CHIẾU'!$A:$B,2,0))</f>
        <v/>
      </c>
      <c r="D1022" s="52" t="str">
        <f>IF(E1022&lt;&gt;0,VLOOKUP(E1022,DM_DUAN,3,0),"")</f>
        <v/>
      </c>
      <c r="E1022" s="735"/>
      <c r="F1022" s="735"/>
      <c r="G1022" s="735"/>
      <c r="H1022" s="70"/>
      <c r="I1022" s="52" t="str">
        <f>IF($K1022&lt;&gt;0,VLOOKUP($K1022,DM_KM,3,0),"")</f>
        <v/>
      </c>
      <c r="J1022" s="52" t="str">
        <f>IF($K1022&lt;&gt;0,VLOOKUP($K1022,DM_KM,5,0),"")</f>
        <v/>
      </c>
      <c r="K1022" s="735"/>
      <c r="L1022" s="735"/>
      <c r="M1022" s="68"/>
      <c r="N1022" s="739"/>
      <c r="O1022" s="737"/>
      <c r="P1022" s="751"/>
    </row>
    <row r="1023" hidden="1">
      <c r="A1023" s="1190"/>
      <c r="B1023" s="52" t="str">
        <f t="shared" si="1"/>
        <v/>
      </c>
      <c r="C1023" s="52" t="str">
        <f>IF(A1023="","",VLOOKUP(A1023,'THAM CHIẾU'!$A:$B,2,0))</f>
        <v/>
      </c>
      <c r="D1023" s="52" t="str">
        <f>IF(E1023&lt;&gt;0,VLOOKUP(E1023,DM_DUAN,3,0),"")</f>
        <v/>
      </c>
      <c r="E1023" s="735"/>
      <c r="F1023" s="735"/>
      <c r="G1023" s="735"/>
      <c r="H1023" s="70"/>
      <c r="I1023" s="52" t="str">
        <f>IF($K1023&lt;&gt;0,VLOOKUP($K1023,DM_KM,3,0),"")</f>
        <v/>
      </c>
      <c r="J1023" s="52" t="str">
        <f>IF($K1023&lt;&gt;0,VLOOKUP($K1023,DM_KM,5,0),"")</f>
        <v/>
      </c>
      <c r="K1023" s="735"/>
      <c r="L1023" s="735"/>
      <c r="M1023" s="68"/>
      <c r="N1023" s="739"/>
      <c r="O1023" s="737"/>
      <c r="P1023" s="751"/>
    </row>
    <row r="1024" hidden="1">
      <c r="A1024" s="1190"/>
      <c r="B1024" s="52" t="str">
        <f t="shared" si="1"/>
        <v/>
      </c>
      <c r="C1024" s="52" t="str">
        <f>IF(A1024="","",VLOOKUP(A1024,'THAM CHIẾU'!$A:$B,2,0))</f>
        <v/>
      </c>
      <c r="D1024" s="52" t="str">
        <f>IF(E1024&lt;&gt;0,VLOOKUP(E1024,DM_DUAN,3,0),"")</f>
        <v/>
      </c>
      <c r="E1024" s="735"/>
      <c r="F1024" s="735"/>
      <c r="G1024" s="735"/>
      <c r="H1024" s="70"/>
      <c r="I1024" s="52" t="str">
        <f>IF($K1024&lt;&gt;0,VLOOKUP($K1024,DM_KM,3,0),"")</f>
        <v/>
      </c>
      <c r="J1024" s="52" t="str">
        <f>IF($K1024&lt;&gt;0,VLOOKUP($K1024,DM_KM,5,0),"")</f>
        <v/>
      </c>
      <c r="K1024" s="735"/>
      <c r="L1024" s="735"/>
      <c r="M1024" s="68"/>
      <c r="N1024" s="739"/>
      <c r="O1024" s="737"/>
      <c r="P1024" s="751"/>
    </row>
    <row r="1025" hidden="1">
      <c r="A1025" s="1190"/>
      <c r="B1025" s="52" t="str">
        <f t="shared" si="1"/>
        <v/>
      </c>
      <c r="C1025" s="52" t="str">
        <f>IF(A1025="","",VLOOKUP(A1025,'THAM CHIẾU'!$A:$B,2,0))</f>
        <v/>
      </c>
      <c r="D1025" s="52" t="str">
        <f>IF(E1025&lt;&gt;0,VLOOKUP(E1025,DM_DUAN,3,0),"")</f>
        <v/>
      </c>
      <c r="E1025" s="735"/>
      <c r="F1025" s="735"/>
      <c r="G1025" s="735"/>
      <c r="H1025" s="70"/>
      <c r="I1025" s="52" t="str">
        <f>IF($K1025&lt;&gt;0,VLOOKUP($K1025,DM_KM,3,0),"")</f>
        <v/>
      </c>
      <c r="J1025" s="52" t="str">
        <f>IF($K1025&lt;&gt;0,VLOOKUP($K1025,DM_KM,5,0),"")</f>
        <v/>
      </c>
      <c r="K1025" s="735"/>
      <c r="L1025" s="735"/>
      <c r="M1025" s="68"/>
      <c r="N1025" s="739"/>
      <c r="O1025" s="737"/>
      <c r="P1025" s="751"/>
    </row>
    <row r="1026" hidden="1">
      <c r="A1026" s="1190"/>
      <c r="B1026" s="52" t="str">
        <f t="shared" si="1"/>
        <v/>
      </c>
      <c r="C1026" s="52" t="str">
        <f>IF(A1026="","",VLOOKUP(A1026,'THAM CHIẾU'!$A:$B,2,0))</f>
        <v/>
      </c>
      <c r="D1026" s="52" t="str">
        <f>IF(E1026&lt;&gt;0,VLOOKUP(E1026,DM_DUAN,3,0),"")</f>
        <v/>
      </c>
      <c r="E1026" s="735"/>
      <c r="F1026" s="735"/>
      <c r="G1026" s="735"/>
      <c r="H1026" s="70"/>
      <c r="I1026" s="52" t="str">
        <f>IF($K1026&lt;&gt;0,VLOOKUP($K1026,DM_KM,3,0),"")</f>
        <v/>
      </c>
      <c r="J1026" s="52" t="str">
        <f>IF($K1026&lt;&gt;0,VLOOKUP($K1026,DM_KM,5,0),"")</f>
        <v/>
      </c>
      <c r="K1026" s="735"/>
      <c r="L1026" s="735"/>
      <c r="M1026" s="68"/>
      <c r="N1026" s="739"/>
      <c r="O1026" s="737"/>
      <c r="P1026" s="751"/>
    </row>
    <row r="1027" hidden="1">
      <c r="A1027" s="1190"/>
      <c r="B1027" s="52" t="str">
        <f t="shared" si="1"/>
        <v/>
      </c>
      <c r="C1027" s="52" t="str">
        <f>IF(A1027="","",VLOOKUP(A1027,'THAM CHIẾU'!$A:$B,2,0))</f>
        <v/>
      </c>
      <c r="D1027" s="52" t="str">
        <f>IF(E1027&lt;&gt;0,VLOOKUP(E1027,DM_DUAN,3,0),"")</f>
        <v/>
      </c>
      <c r="E1027" s="735"/>
      <c r="F1027" s="735"/>
      <c r="G1027" s="735"/>
      <c r="H1027" s="70"/>
      <c r="I1027" s="52" t="str">
        <f>IF($K1027&lt;&gt;0,VLOOKUP($K1027,DM_KM,3,0),"")</f>
        <v/>
      </c>
      <c r="J1027" s="52" t="str">
        <f>IF($K1027&lt;&gt;0,VLOOKUP($K1027,DM_KM,5,0),"")</f>
        <v/>
      </c>
      <c r="K1027" s="735"/>
      <c r="L1027" s="735"/>
      <c r="M1027" s="68"/>
      <c r="N1027" s="739"/>
      <c r="O1027" s="737"/>
      <c r="P1027" s="751"/>
    </row>
    <row r="1028" hidden="1">
      <c r="A1028" s="1190"/>
      <c r="B1028" s="52" t="str">
        <f t="shared" si="1"/>
        <v/>
      </c>
      <c r="C1028" s="52" t="str">
        <f>IF(A1028="","",VLOOKUP(A1028,'THAM CHIẾU'!$A:$B,2,0))</f>
        <v/>
      </c>
      <c r="D1028" s="52" t="str">
        <f>IF(E1028&lt;&gt;0,VLOOKUP(E1028,DM_DUAN,3,0),"")</f>
        <v/>
      </c>
      <c r="E1028" s="735"/>
      <c r="F1028" s="735"/>
      <c r="G1028" s="735"/>
      <c r="H1028" s="70"/>
      <c r="I1028" s="52" t="str">
        <f>IF($K1028&lt;&gt;0,VLOOKUP($K1028,DM_KM,3,0),"")</f>
        <v/>
      </c>
      <c r="J1028" s="52" t="str">
        <f>IF($K1028&lt;&gt;0,VLOOKUP($K1028,DM_KM,5,0),"")</f>
        <v/>
      </c>
      <c r="K1028" s="735"/>
      <c r="L1028" s="735"/>
      <c r="M1028" s="68"/>
      <c r="N1028" s="739"/>
      <c r="O1028" s="737"/>
      <c r="P1028" s="751"/>
    </row>
    <row r="1029" hidden="1">
      <c r="A1029" s="1190"/>
      <c r="B1029" s="52" t="str">
        <f t="shared" si="1"/>
        <v/>
      </c>
      <c r="C1029" s="52" t="str">
        <f>IF(A1029="","",VLOOKUP(A1029,'THAM CHIẾU'!$A:$B,2,0))</f>
        <v/>
      </c>
      <c r="D1029" s="52" t="str">
        <f>IF(E1029&lt;&gt;0,VLOOKUP(E1029,DM_DUAN,3,0),"")</f>
        <v/>
      </c>
      <c r="E1029" s="735"/>
      <c r="F1029" s="735"/>
      <c r="G1029" s="735"/>
      <c r="H1029" s="70"/>
      <c r="I1029" s="52" t="str">
        <f>IF($K1029&lt;&gt;0,VLOOKUP($K1029,DM_KM,3,0),"")</f>
        <v/>
      </c>
      <c r="J1029" s="52" t="str">
        <f>IF($K1029&lt;&gt;0,VLOOKUP($K1029,DM_KM,5,0),"")</f>
        <v/>
      </c>
      <c r="K1029" s="735"/>
      <c r="L1029" s="735"/>
      <c r="M1029" s="68"/>
      <c r="N1029" s="739"/>
      <c r="O1029" s="737"/>
      <c r="P1029" s="751"/>
    </row>
    <row r="1030" hidden="1">
      <c r="A1030" s="1190"/>
      <c r="B1030" s="52" t="str">
        <f t="shared" si="1"/>
        <v/>
      </c>
      <c r="C1030" s="52" t="str">
        <f>IF(A1030="","",VLOOKUP(A1030,'THAM CHIẾU'!$A:$B,2,0))</f>
        <v/>
      </c>
      <c r="D1030" s="52" t="str">
        <f>IF(E1030&lt;&gt;0,VLOOKUP(E1030,DM_DUAN,3,0),"")</f>
        <v/>
      </c>
      <c r="E1030" s="735"/>
      <c r="F1030" s="735"/>
      <c r="G1030" s="735"/>
      <c r="H1030" s="70"/>
      <c r="I1030" s="52" t="str">
        <f>IF($K1030&lt;&gt;0,VLOOKUP($K1030,DM_KM,3,0),"")</f>
        <v/>
      </c>
      <c r="J1030" s="52" t="str">
        <f>IF($K1030&lt;&gt;0,VLOOKUP($K1030,DM_KM,5,0),"")</f>
        <v/>
      </c>
      <c r="K1030" s="735"/>
      <c r="L1030" s="735"/>
      <c r="M1030" s="68"/>
      <c r="N1030" s="739"/>
      <c r="O1030" s="737"/>
      <c r="P1030" s="751"/>
    </row>
    <row r="1031" hidden="1">
      <c r="A1031" s="1190"/>
      <c r="B1031" s="52" t="str">
        <f t="shared" si="1"/>
        <v/>
      </c>
      <c r="C1031" s="52" t="str">
        <f>IF(A1031="","",VLOOKUP(A1031,'THAM CHIẾU'!$A:$B,2,0))</f>
        <v/>
      </c>
      <c r="D1031" s="52" t="str">
        <f>IF(E1031&lt;&gt;0,VLOOKUP(E1031,DM_DUAN,3,0),"")</f>
        <v/>
      </c>
      <c r="E1031" s="735"/>
      <c r="F1031" s="735"/>
      <c r="G1031" s="735"/>
      <c r="H1031" s="70"/>
      <c r="I1031" s="52" t="str">
        <f>IF($K1031&lt;&gt;0,VLOOKUP($K1031,DM_KM,3,0),"")</f>
        <v/>
      </c>
      <c r="J1031" s="52" t="str">
        <f>IF($K1031&lt;&gt;0,VLOOKUP($K1031,DM_KM,5,0),"")</f>
        <v/>
      </c>
      <c r="K1031" s="735"/>
      <c r="L1031" s="735"/>
      <c r="M1031" s="68"/>
      <c r="N1031" s="739"/>
      <c r="O1031" s="737"/>
      <c r="P1031" s="751"/>
    </row>
    <row r="1032" hidden="1">
      <c r="A1032" s="1190"/>
      <c r="B1032" s="52" t="str">
        <f t="shared" si="1"/>
        <v/>
      </c>
      <c r="C1032" s="52" t="str">
        <f>IF(A1032="","",VLOOKUP(A1032,'THAM CHIẾU'!$A:$B,2,0))</f>
        <v/>
      </c>
      <c r="D1032" s="52" t="str">
        <f>IF(E1032&lt;&gt;0,VLOOKUP(E1032,DM_DUAN,3,0),"")</f>
        <v/>
      </c>
      <c r="E1032" s="735"/>
      <c r="F1032" s="735"/>
      <c r="G1032" s="735"/>
      <c r="H1032" s="70"/>
      <c r="I1032" s="52" t="str">
        <f>IF($K1032&lt;&gt;0,VLOOKUP($K1032,DM_KM,3,0),"")</f>
        <v/>
      </c>
      <c r="J1032" s="52" t="str">
        <f>IF($K1032&lt;&gt;0,VLOOKUP($K1032,DM_KM,5,0),"")</f>
        <v/>
      </c>
      <c r="K1032" s="735"/>
      <c r="L1032" s="735"/>
      <c r="M1032" s="68"/>
      <c r="N1032" s="739"/>
      <c r="O1032" s="737"/>
      <c r="P1032" s="751"/>
    </row>
    <row r="1033" hidden="1">
      <c r="A1033" s="1190"/>
      <c r="B1033" s="52" t="str">
        <f t="shared" si="1"/>
        <v/>
      </c>
      <c r="C1033" s="52" t="str">
        <f>IF(A1033="","",VLOOKUP(A1033,'THAM CHIẾU'!$A:$B,2,0))</f>
        <v/>
      </c>
      <c r="D1033" s="52" t="str">
        <f>IF(E1033&lt;&gt;0,VLOOKUP(E1033,DM_DUAN,3,0),"")</f>
        <v/>
      </c>
      <c r="E1033" s="735"/>
      <c r="F1033" s="735"/>
      <c r="G1033" s="735"/>
      <c r="H1033" s="70"/>
      <c r="I1033" s="52" t="str">
        <f>IF($K1033&lt;&gt;0,VLOOKUP($K1033,DM_KM,3,0),"")</f>
        <v/>
      </c>
      <c r="J1033" s="52" t="str">
        <f>IF($K1033&lt;&gt;0,VLOOKUP($K1033,DM_KM,5,0),"")</f>
        <v/>
      </c>
      <c r="K1033" s="735"/>
      <c r="L1033" s="735"/>
      <c r="M1033" s="68"/>
      <c r="N1033" s="739"/>
      <c r="O1033" s="737"/>
      <c r="P1033" s="751"/>
    </row>
    <row r="1034" hidden="1">
      <c r="A1034" s="1190"/>
      <c r="B1034" s="52" t="str">
        <f t="shared" si="1"/>
        <v/>
      </c>
      <c r="C1034" s="52" t="str">
        <f>IF(A1034="","",VLOOKUP(A1034,'THAM CHIẾU'!$A:$B,2,0))</f>
        <v/>
      </c>
      <c r="D1034" s="52" t="str">
        <f>IF(E1034&lt;&gt;0,VLOOKUP(E1034,DM_DUAN,3,0),"")</f>
        <v/>
      </c>
      <c r="E1034" s="735"/>
      <c r="F1034" s="735"/>
      <c r="G1034" s="735"/>
      <c r="H1034" s="70"/>
      <c r="I1034" s="52" t="str">
        <f>IF($K1034&lt;&gt;0,VLOOKUP($K1034,DM_KM,3,0),"")</f>
        <v/>
      </c>
      <c r="J1034" s="52" t="str">
        <f>IF($K1034&lt;&gt;0,VLOOKUP($K1034,DM_KM,5,0),"")</f>
        <v/>
      </c>
      <c r="K1034" s="735"/>
      <c r="L1034" s="735"/>
      <c r="M1034" s="68"/>
      <c r="N1034" s="739"/>
      <c r="O1034" s="737"/>
      <c r="P1034" s="751"/>
    </row>
    <row r="1035" hidden="1">
      <c r="A1035" s="1190"/>
      <c r="B1035" s="52" t="str">
        <f t="shared" si="1"/>
        <v/>
      </c>
      <c r="C1035" s="52" t="str">
        <f>IF(A1035="","",VLOOKUP(A1035,'THAM CHIẾU'!$A:$B,2,0))</f>
        <v/>
      </c>
      <c r="D1035" s="52" t="str">
        <f>IF(E1035&lt;&gt;0,VLOOKUP(E1035,DM_DUAN,3,0),"")</f>
        <v/>
      </c>
      <c r="E1035" s="735"/>
      <c r="F1035" s="735"/>
      <c r="G1035" s="735"/>
      <c r="H1035" s="70"/>
      <c r="I1035" s="52" t="str">
        <f>IF($K1035&lt;&gt;0,VLOOKUP($K1035,DM_KM,3,0),"")</f>
        <v/>
      </c>
      <c r="J1035" s="52" t="str">
        <f>IF($K1035&lt;&gt;0,VLOOKUP($K1035,DM_KM,5,0),"")</f>
        <v/>
      </c>
      <c r="K1035" s="735"/>
      <c r="L1035" s="735"/>
      <c r="M1035" s="68"/>
      <c r="N1035" s="739"/>
      <c r="O1035" s="737"/>
      <c r="P1035" s="751"/>
    </row>
    <row r="1036" hidden="1">
      <c r="A1036" s="1190"/>
      <c r="B1036" s="52" t="str">
        <f t="shared" si="1"/>
        <v/>
      </c>
      <c r="C1036" s="52" t="str">
        <f>IF(A1036="","",VLOOKUP(A1036,'THAM CHIẾU'!$A:$B,2,0))</f>
        <v/>
      </c>
      <c r="D1036" s="52" t="str">
        <f>IF(E1036&lt;&gt;0,VLOOKUP(E1036,DM_DUAN,3,0),"")</f>
        <v/>
      </c>
      <c r="E1036" s="735"/>
      <c r="F1036" s="735"/>
      <c r="G1036" s="735"/>
      <c r="H1036" s="70"/>
      <c r="I1036" s="52" t="str">
        <f>IF($K1036&lt;&gt;0,VLOOKUP($K1036,DM_KM,3,0),"")</f>
        <v/>
      </c>
      <c r="J1036" s="52" t="str">
        <f>IF($K1036&lt;&gt;0,VLOOKUP($K1036,DM_KM,5,0),"")</f>
        <v/>
      </c>
      <c r="K1036" s="735"/>
      <c r="L1036" s="735"/>
      <c r="M1036" s="68"/>
      <c r="N1036" s="739"/>
      <c r="O1036" s="737"/>
      <c r="P1036" s="751"/>
    </row>
    <row r="1037" hidden="1">
      <c r="A1037" s="1190"/>
      <c r="B1037" s="52" t="str">
        <f t="shared" si="1"/>
        <v/>
      </c>
      <c r="C1037" s="52" t="str">
        <f>IF(A1037="","",VLOOKUP(A1037,'THAM CHIẾU'!$A:$B,2,0))</f>
        <v/>
      </c>
      <c r="D1037" s="52" t="str">
        <f>IF(E1037&lt;&gt;0,VLOOKUP(E1037,DM_DUAN,3,0),"")</f>
        <v/>
      </c>
      <c r="E1037" s="735"/>
      <c r="F1037" s="735"/>
      <c r="G1037" s="735"/>
      <c r="H1037" s="70"/>
      <c r="I1037" s="52" t="str">
        <f>IF($K1037&lt;&gt;0,VLOOKUP($K1037,DM_KM,3,0),"")</f>
        <v/>
      </c>
      <c r="J1037" s="52" t="str">
        <f>IF($K1037&lt;&gt;0,VLOOKUP($K1037,DM_KM,5,0),"")</f>
        <v/>
      </c>
      <c r="K1037" s="735"/>
      <c r="L1037" s="735"/>
      <c r="M1037" s="68"/>
      <c r="N1037" s="739"/>
      <c r="O1037" s="737"/>
      <c r="P1037" s="751"/>
    </row>
    <row r="1038" hidden="1">
      <c r="A1038" s="1190"/>
      <c r="B1038" s="52" t="str">
        <f t="shared" si="1"/>
        <v/>
      </c>
      <c r="C1038" s="52" t="str">
        <f>IF(A1038="","",VLOOKUP(A1038,'THAM CHIẾU'!$A:$B,2,0))</f>
        <v/>
      </c>
      <c r="D1038" s="52" t="str">
        <f>IF(E1038&lt;&gt;0,VLOOKUP(E1038,DM_DUAN,3,0),"")</f>
        <v/>
      </c>
      <c r="E1038" s="735"/>
      <c r="F1038" s="735"/>
      <c r="G1038" s="735"/>
      <c r="H1038" s="70"/>
      <c r="I1038" s="52" t="str">
        <f>IF($K1038&lt;&gt;0,VLOOKUP($K1038,DM_KM,3,0),"")</f>
        <v/>
      </c>
      <c r="J1038" s="52" t="str">
        <f>IF($K1038&lt;&gt;0,VLOOKUP($K1038,DM_KM,5,0),"")</f>
        <v/>
      </c>
      <c r="K1038" s="735"/>
      <c r="L1038" s="735"/>
      <c r="M1038" s="68"/>
      <c r="N1038" s="739"/>
      <c r="O1038" s="737"/>
      <c r="P1038" s="751"/>
    </row>
    <row r="1039" hidden="1">
      <c r="A1039" s="1190"/>
      <c r="B1039" s="52" t="str">
        <f t="shared" si="1"/>
        <v/>
      </c>
      <c r="C1039" s="52" t="str">
        <f>IF(A1039="","",VLOOKUP(A1039,'THAM CHIẾU'!$A:$B,2,0))</f>
        <v/>
      </c>
      <c r="D1039" s="52" t="str">
        <f>IF(E1039&lt;&gt;0,VLOOKUP(E1039,DM_DUAN,3,0),"")</f>
        <v/>
      </c>
      <c r="E1039" s="735"/>
      <c r="F1039" s="735"/>
      <c r="G1039" s="735"/>
      <c r="H1039" s="70"/>
      <c r="I1039" s="52" t="str">
        <f>IF($K1039&lt;&gt;0,VLOOKUP($K1039,DM_KM,3,0),"")</f>
        <v/>
      </c>
      <c r="J1039" s="52" t="str">
        <f>IF($K1039&lt;&gt;0,VLOOKUP($K1039,DM_KM,5,0),"")</f>
        <v/>
      </c>
      <c r="K1039" s="735"/>
      <c r="L1039" s="735"/>
      <c r="M1039" s="68"/>
      <c r="N1039" s="739"/>
      <c r="O1039" s="737"/>
      <c r="P1039" s="751"/>
    </row>
    <row r="1040" hidden="1">
      <c r="A1040" s="1190"/>
      <c r="B1040" s="52" t="str">
        <f t="shared" si="1"/>
        <v/>
      </c>
      <c r="C1040" s="52" t="str">
        <f>IF(A1040="","",VLOOKUP(A1040,'THAM CHIẾU'!$A:$B,2,0))</f>
        <v/>
      </c>
      <c r="D1040" s="52" t="str">
        <f>IF(E1040&lt;&gt;0,VLOOKUP(E1040,DM_DUAN,3,0),"")</f>
        <v/>
      </c>
      <c r="E1040" s="735"/>
      <c r="F1040" s="735"/>
      <c r="G1040" s="735"/>
      <c r="H1040" s="70"/>
      <c r="I1040" s="52" t="str">
        <f>IF($K1040&lt;&gt;0,VLOOKUP($K1040,DM_KM,3,0),"")</f>
        <v/>
      </c>
      <c r="J1040" s="52" t="str">
        <f>IF($K1040&lt;&gt;0,VLOOKUP($K1040,DM_KM,5,0),"")</f>
        <v/>
      </c>
      <c r="K1040" s="735"/>
      <c r="L1040" s="735"/>
      <c r="M1040" s="68"/>
      <c r="N1040" s="739"/>
      <c r="O1040" s="737"/>
      <c r="P1040" s="751"/>
    </row>
    <row r="1041" hidden="1">
      <c r="A1041" s="1190"/>
      <c r="B1041" s="52" t="str">
        <f t="shared" si="1"/>
        <v/>
      </c>
      <c r="C1041" s="52" t="str">
        <f>IF(A1041="","",VLOOKUP(A1041,'THAM CHIẾU'!$A:$B,2,0))</f>
        <v/>
      </c>
      <c r="D1041" s="52" t="str">
        <f>IF(E1041&lt;&gt;0,VLOOKUP(E1041,DM_DUAN,3,0),"")</f>
        <v/>
      </c>
      <c r="E1041" s="735"/>
      <c r="F1041" s="735"/>
      <c r="G1041" s="735"/>
      <c r="H1041" s="70"/>
      <c r="I1041" s="52" t="str">
        <f>IF($K1041&lt;&gt;0,VLOOKUP($K1041,DM_KM,3,0),"")</f>
        <v/>
      </c>
      <c r="J1041" s="52" t="str">
        <f>IF($K1041&lt;&gt;0,VLOOKUP($K1041,DM_KM,5,0),"")</f>
        <v/>
      </c>
      <c r="K1041" s="735"/>
      <c r="L1041" s="735"/>
      <c r="M1041" s="68"/>
      <c r="N1041" s="739"/>
      <c r="O1041" s="737"/>
      <c r="P1041" s="751"/>
    </row>
    <row r="1042" hidden="1">
      <c r="A1042" s="1190"/>
      <c r="B1042" s="52" t="str">
        <f t="shared" si="1"/>
        <v/>
      </c>
      <c r="C1042" s="52" t="str">
        <f>IF(A1042="","",VLOOKUP(A1042,'THAM CHIẾU'!$A:$B,2,0))</f>
        <v/>
      </c>
      <c r="D1042" s="52" t="str">
        <f>IF(E1042&lt;&gt;0,VLOOKUP(E1042,DM_DUAN,3,0),"")</f>
        <v/>
      </c>
      <c r="E1042" s="735"/>
      <c r="F1042" s="735"/>
      <c r="G1042" s="735"/>
      <c r="H1042" s="70"/>
      <c r="I1042" s="52" t="str">
        <f>IF($K1042&lt;&gt;0,VLOOKUP($K1042,DM_KM,3,0),"")</f>
        <v/>
      </c>
      <c r="J1042" s="52" t="str">
        <f>IF($K1042&lt;&gt;0,VLOOKUP($K1042,DM_KM,5,0),"")</f>
        <v/>
      </c>
      <c r="K1042" s="735"/>
      <c r="L1042" s="735"/>
      <c r="M1042" s="68"/>
      <c r="N1042" s="739"/>
      <c r="O1042" s="737"/>
      <c r="P1042" s="751"/>
    </row>
    <row r="1043" hidden="1">
      <c r="A1043" s="1190"/>
      <c r="B1043" s="52" t="str">
        <f t="shared" si="1"/>
        <v/>
      </c>
      <c r="C1043" s="52" t="str">
        <f>IF(A1043="","",VLOOKUP(A1043,'THAM CHIẾU'!$A:$B,2,0))</f>
        <v/>
      </c>
      <c r="D1043" s="52" t="str">
        <f>IF(E1043&lt;&gt;0,VLOOKUP(E1043,DM_DUAN,3,0),"")</f>
        <v/>
      </c>
      <c r="E1043" s="735"/>
      <c r="F1043" s="735"/>
      <c r="G1043" s="735"/>
      <c r="H1043" s="70"/>
      <c r="I1043" s="52" t="str">
        <f>IF($K1043&lt;&gt;0,VLOOKUP($K1043,DM_KM,3,0),"")</f>
        <v/>
      </c>
      <c r="J1043" s="52" t="str">
        <f>IF($K1043&lt;&gt;0,VLOOKUP($K1043,DM_KM,5,0),"")</f>
        <v/>
      </c>
      <c r="K1043" s="735"/>
      <c r="L1043" s="735"/>
      <c r="M1043" s="68"/>
      <c r="N1043" s="739"/>
      <c r="O1043" s="737"/>
      <c r="P1043" s="751"/>
    </row>
  </sheetData>
  <autoFilter ref="$A$1:$P$1043">
    <filterColumn colId="10">
      <filters>
        <filter val="DOANHSO"/>
        <filter val="DOANHTHU"/>
      </filters>
    </filterColumn>
    <filterColumn colId="4">
      <filters>
        <filter val="PHUOCHOI"/>
      </filters>
    </filterColumn>
  </autoFilter>
  <dataValidations>
    <dataValidation type="list" allowBlank="1" showErrorMessage="1" sqref="H2:H1043">
      <formula1>'THAM CHIẾU'!$R$3:$R$86</formula1>
    </dataValidation>
    <dataValidation type="list" allowBlank="1" showErrorMessage="1" sqref="E2:E1043">
      <formula1>MA_DUAN</formula1>
    </dataValidation>
    <dataValidation type="list" allowBlank="1" showErrorMessage="1" sqref="K2:K1043">
      <formula1>MA_KM</formula1>
    </dataValidation>
    <dataValidation type="list" allowBlank="1" showErrorMessage="1" sqref="M2:M1043">
      <formula1>MA_DONGTIEN</formula1>
    </dataValidation>
  </dataValidation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4.0" topLeftCell="H5" activePane="bottomRight" state="frozen"/>
      <selection activeCell="H1" sqref="H1" pane="topRight"/>
      <selection activeCell="A5" sqref="A5" pane="bottomLeft"/>
      <selection activeCell="H5" sqref="H5" pane="bottomRight"/>
    </sheetView>
  </sheetViews>
  <sheetFormatPr customHeight="1" defaultColWidth="14.43" defaultRowHeight="15.0" outlineLevelCol="1" outlineLevelRow="1"/>
  <cols>
    <col collapsed="1" customWidth="1" min="1" max="1" width="7.0"/>
    <col customWidth="1" hidden="1" min="2" max="2" width="19.71" outlineLevel="1"/>
    <col customWidth="1" min="3" max="3" width="21.0"/>
    <col customWidth="1" min="4" max="4" width="37.57"/>
    <col customWidth="1" min="5" max="5" width="16.0" outlineLevel="1"/>
    <col customWidth="1" min="6" max="6" width="11.14" outlineLevel="1"/>
    <col customWidth="1" min="7" max="7" width="5.0" outlineLevel="1"/>
    <col customWidth="1" min="8" max="8" width="15.71"/>
    <col customWidth="1" min="9" max="9" width="6.43"/>
    <col customWidth="1" min="10" max="10" width="7.57"/>
    <col customWidth="1" min="12" max="12" width="4.71"/>
    <col customWidth="1" min="13" max="13" width="7.0"/>
    <col customWidth="1" min="15" max="15" width="6.57"/>
    <col customWidth="1" min="16" max="16" width="7.29"/>
    <col customWidth="1" min="17" max="17" width="16.57" outlineLevel="1"/>
    <col customWidth="1" min="18" max="18" width="8.0" outlineLevel="1"/>
    <col min="19" max="19" width="14.43" outlineLevel="1"/>
    <col customWidth="1" min="20" max="20" width="8.0" outlineLevel="1"/>
    <col min="21" max="21" width="14.43" outlineLevel="1"/>
    <col customWidth="1" min="22" max="23" width="7.0" outlineLevel="1"/>
    <col min="24" max="24" width="14.43" outlineLevel="1"/>
    <col customWidth="1" min="25" max="26" width="7.14" outlineLevel="1"/>
    <col min="27" max="27" width="14.43" outlineLevel="1"/>
    <col customWidth="1" min="28" max="29" width="6.86" outlineLevel="1"/>
    <col min="30" max="30" width="14.43" outlineLevel="1"/>
    <col customWidth="1" min="31" max="31" width="8.0" outlineLevel="1"/>
    <col min="32" max="32" width="14.43" outlineLevel="1"/>
    <col customWidth="1" min="33" max="33" width="8.0" outlineLevel="1"/>
    <col min="34" max="34" width="14.43" outlineLevel="1"/>
    <col customWidth="1" min="35" max="35" width="6.43" outlineLevel="1"/>
    <col customWidth="1" min="36" max="36" width="7.57" outlineLevel="1"/>
    <col min="37" max="37" width="14.43" outlineLevel="1"/>
    <col customWidth="1" min="38" max="38" width="6.43" outlineLevel="1"/>
    <col customWidth="1" min="39" max="39" width="7.0" outlineLevel="1"/>
    <col min="40" max="40" width="14.43" outlineLevel="1"/>
    <col customWidth="1" min="41" max="42" width="6.43" outlineLevel="1"/>
    <col min="43" max="43" width="14.43" outlineLevel="1"/>
    <col customWidth="1" min="44" max="44" width="7.0" outlineLevel="1"/>
    <col min="45" max="45" width="14.43" outlineLevel="1"/>
    <col customWidth="1" min="46" max="46" width="8.0" outlineLevel="1"/>
    <col min="47" max="47" width="14.43" outlineLevel="1"/>
    <col customWidth="1" min="48" max="48" width="6.43" outlineLevel="1"/>
    <col customWidth="1" min="49" max="49" width="6.71" outlineLevel="1"/>
    <col min="50" max="50" width="14.43" outlineLevel="1"/>
    <col customWidth="1" min="51" max="51" width="6.43" outlineLevel="1"/>
    <col customWidth="1" min="52" max="52" width="7.43" outlineLevel="1"/>
    <col min="53" max="53" width="14.43" outlineLevel="1"/>
    <col customWidth="1" min="54" max="54" width="7.57" outlineLevel="1"/>
    <col customWidth="1" min="55" max="55" width="7.0" outlineLevel="1"/>
    <col min="56" max="56" width="14.43" outlineLevel="1"/>
    <col customWidth="1" min="57" max="57" width="8.0" outlineLevel="1"/>
    <col min="58" max="58" width="14.43" outlineLevel="1"/>
    <col customWidth="1" min="59" max="59" width="8.0" outlineLevel="1"/>
    <col customWidth="1" min="61" max="61" width="6.43"/>
    <col customWidth="1" min="62" max="62" width="7.14"/>
    <col customWidth="1" min="64" max="64" width="6.43"/>
    <col customWidth="1" min="65" max="65" width="7.29"/>
    <col customWidth="1" min="67" max="67" width="6.86"/>
    <col customWidth="1" min="68" max="68" width="7.0"/>
    <col customWidth="1" min="69" max="69" width="14.86"/>
    <col customWidth="1" min="70" max="70" width="8.0"/>
    <col customWidth="1" min="72" max="72" width="8.0"/>
    <col customWidth="1" min="74" max="74" width="6.43"/>
    <col customWidth="1" min="75" max="75" width="8.29"/>
    <col customWidth="1" min="77" max="77" width="6.43"/>
    <col customWidth="1" min="78" max="78" width="7.71"/>
    <col customWidth="1" min="80" max="80" width="6.86"/>
    <col customWidth="1" min="81" max="81" width="6.43"/>
    <col customWidth="1" min="83" max="83" width="8.0"/>
    <col customWidth="1" min="85" max="85" width="8.0"/>
    <col customWidth="1" min="87" max="87" width="6.43"/>
    <col customWidth="1" min="88" max="88" width="7.29"/>
    <col customWidth="1" min="90" max="90" width="6.43"/>
    <col customWidth="1" min="91" max="91" width="7.0"/>
    <col customWidth="1" min="93" max="94" width="6.86"/>
    <col customWidth="1" min="96" max="96" width="8.0"/>
    <col customWidth="1" min="98" max="98" width="8.0"/>
    <col customWidth="1" min="100" max="100" width="6.43"/>
    <col customWidth="1" min="101" max="101" width="7.14"/>
    <col customWidth="1" min="103" max="103" width="6.43"/>
    <col customWidth="1" min="104" max="104" width="6.86"/>
    <col customWidth="1" min="106" max="106" width="6.43"/>
    <col customWidth="1" min="107" max="107" width="7.57"/>
    <col customWidth="1" min="109" max="109" width="8.0"/>
    <col customWidth="1" min="111" max="111" width="8.0"/>
    <col customWidth="1" min="113" max="113" width="6.43"/>
    <col customWidth="1" min="114" max="114" width="6.71"/>
    <col customWidth="1" min="116" max="116" width="6.43"/>
    <col customWidth="1" min="117" max="117" width="7.14"/>
    <col customWidth="1" min="119" max="119" width="6.43"/>
    <col customWidth="1" min="120" max="120" width="6.71"/>
    <col customWidth="1" min="121" max="121" width="14.86"/>
    <col customWidth="1" min="122" max="122" width="8.0"/>
    <col customWidth="1" min="124" max="124" width="6.43"/>
    <col customWidth="1" min="126" max="126" width="6.43"/>
    <col customWidth="1" min="127" max="127" width="7.0"/>
    <col customWidth="1" min="129" max="129" width="6.43"/>
    <col customWidth="1" min="130" max="130" width="7.29"/>
    <col customWidth="1" min="132" max="133" width="6.86"/>
    <col customWidth="1" min="135" max="135" width="8.0"/>
    <col customWidth="1" min="137" max="137" width="8.0"/>
    <col customWidth="1" min="139" max="139" width="6.43"/>
    <col customWidth="1" min="140" max="140" width="7.43"/>
    <col customWidth="1" min="142" max="142" width="6.43"/>
    <col customWidth="1" min="143" max="143" width="7.29"/>
    <col customWidth="1" min="145" max="145" width="6.86"/>
    <col customWidth="1" min="146" max="146" width="7.14"/>
    <col customWidth="1" min="148" max="148" width="8.0"/>
    <col customWidth="1" min="150" max="150" width="8.0"/>
    <col customWidth="1" min="152" max="152" width="6.43"/>
    <col customWidth="1" min="153" max="153" width="7.43"/>
    <col customWidth="1" min="155" max="155" width="6.43"/>
    <col customWidth="1" min="156" max="156" width="7.29"/>
    <col customWidth="1" min="158" max="158" width="6.86"/>
    <col customWidth="1" min="159" max="159" width="7.14"/>
    <col customWidth="1" min="161" max="161" width="8.0"/>
    <col customWidth="1" min="163" max="163" width="8.0"/>
    <col customWidth="1" min="165" max="165" width="6.43"/>
    <col customWidth="1" min="166" max="166" width="7.14"/>
    <col customWidth="1" min="168" max="168" width="6.43"/>
    <col customWidth="1" min="169" max="169" width="7.14"/>
    <col customWidth="1" min="171" max="171" width="6.43"/>
    <col customWidth="1" min="172" max="172" width="7.29"/>
    <col customWidth="1" min="174" max="174" width="8.0"/>
    <col customWidth="1" min="176" max="176" width="8.0"/>
    <col customWidth="1" min="178" max="178" width="6.43"/>
    <col customWidth="1" min="179" max="179" width="7.57"/>
    <col customWidth="1" min="181" max="181" width="6.43"/>
    <col customWidth="1" min="182" max="182" width="7.86"/>
    <col customWidth="1" min="184" max="184" width="6.86"/>
    <col customWidth="1" min="185" max="185" width="7.43"/>
    <col customWidth="1" min="187" max="187" width="8.0"/>
    <col customWidth="1" min="189" max="189" width="8.0"/>
    <col customWidth="1" min="191" max="191" width="6.43"/>
    <col customWidth="1" min="192" max="192" width="7.0"/>
    <col customWidth="1" min="194" max="194" width="6.43"/>
    <col customWidth="1" min="195" max="195" width="6.57"/>
    <col customWidth="1" min="197" max="197" width="6.86"/>
    <col customWidth="1" min="198" max="198" width="7.14"/>
    <col customWidth="1" min="200" max="200" width="8.0"/>
    <col customWidth="1" min="202" max="202" width="8.0"/>
    <col customWidth="1" min="204" max="204" width="6.43"/>
    <col customWidth="1" min="205" max="205" width="7.29"/>
    <col customWidth="1" min="207" max="207" width="6.43"/>
    <col customWidth="1" min="208" max="208" width="8.0"/>
    <col customWidth="1" min="210" max="210" width="6.86"/>
    <col customWidth="1" min="211" max="211" width="7.43"/>
    <col customWidth="1" min="213" max="213" width="8.0"/>
    <col customWidth="1" min="215" max="215" width="8.0"/>
    <col customWidth="1" min="217" max="217" width="6.43"/>
    <col customWidth="1" min="218" max="218" width="7.43"/>
    <col customWidth="1" min="220" max="220" width="6.43"/>
    <col customWidth="1" min="221" max="221" width="7.86"/>
    <col customWidth="1" min="223" max="223" width="6.43"/>
    <col customWidth="1" min="224" max="224" width="7.14"/>
    <col customWidth="1" min="226" max="226" width="8.0"/>
    <col customWidth="1" min="228" max="228" width="8.0"/>
    <col customWidth="1" min="230" max="230" width="6.43"/>
    <col customWidth="1" min="231" max="231" width="7.43"/>
    <col customWidth="1" min="233" max="233" width="6.43"/>
    <col customWidth="1" min="234" max="234" width="7.14"/>
    <col customWidth="1" min="236" max="236" width="6.43"/>
    <col customWidth="1" min="237" max="237" width="7.43"/>
    <col customWidth="1" min="239" max="239" width="8.0"/>
    <col customWidth="1" min="241" max="241" width="8.0"/>
    <col customWidth="1" min="242" max="242" width="16.0"/>
    <col customWidth="1" min="243" max="243" width="4.71"/>
    <col customWidth="1" min="244" max="244" width="7.29"/>
    <col customWidth="1" min="245" max="245" width="15.71"/>
    <col customWidth="1" min="246" max="246" width="4.86"/>
    <col customWidth="1" min="247" max="247" width="6.43"/>
    <col customWidth="1" min="248" max="248" width="15.71"/>
    <col customWidth="1" min="249" max="249" width="4.14"/>
    <col customWidth="1" min="250" max="250" width="7.0"/>
    <col customWidth="1" min="251" max="251" width="15.71"/>
    <col customWidth="1" min="252" max="252" width="6.86"/>
    <col customWidth="1" min="253" max="253" width="15.71"/>
    <col customWidth="1" min="254" max="254" width="6.71"/>
  </cols>
  <sheetData>
    <row r="1">
      <c r="A1" s="1191" t="s">
        <v>2802</v>
      </c>
      <c r="B1" s="737"/>
      <c r="C1" s="737"/>
      <c r="D1" s="737"/>
      <c r="E1" s="737"/>
      <c r="F1" s="737"/>
      <c r="G1" s="737"/>
      <c r="H1" s="739"/>
      <c r="I1" s="1091"/>
      <c r="J1" s="1091"/>
      <c r="K1" s="739"/>
      <c r="L1" s="1091"/>
      <c r="M1" s="1091"/>
      <c r="N1" s="739"/>
      <c r="O1" s="1091"/>
      <c r="P1" s="1091"/>
      <c r="Q1" s="739"/>
      <c r="R1" s="1091"/>
      <c r="S1" s="739"/>
      <c r="T1" s="1091"/>
      <c r="U1" s="739"/>
      <c r="V1" s="1192"/>
      <c r="W1" s="1192"/>
      <c r="X1" s="1192"/>
      <c r="Y1" s="1192"/>
      <c r="Z1" s="1192"/>
      <c r="AA1" s="1192"/>
      <c r="AB1" s="1192"/>
      <c r="AC1" s="1192"/>
      <c r="AD1" s="1192"/>
      <c r="AE1" s="1192"/>
      <c r="AF1" s="1192"/>
      <c r="AG1" s="1192"/>
      <c r="AH1" s="1192"/>
      <c r="AI1" s="1192"/>
      <c r="AJ1" s="1192"/>
      <c r="AK1" s="1192"/>
      <c r="AL1" s="1192"/>
      <c r="AM1" s="1192"/>
      <c r="AN1" s="1192"/>
      <c r="AO1" s="1192"/>
      <c r="AP1" s="1192"/>
      <c r="AQ1" s="1192"/>
      <c r="AR1" s="1192"/>
      <c r="AS1" s="1192"/>
      <c r="AT1" s="1192"/>
      <c r="AU1" s="1192"/>
      <c r="AV1" s="1192"/>
      <c r="AW1" s="1192"/>
      <c r="AX1" s="1192"/>
      <c r="AY1" s="1192"/>
      <c r="AZ1" s="1192"/>
      <c r="BA1" s="1192"/>
      <c r="BB1" s="1192"/>
      <c r="BC1" s="1192"/>
      <c r="BD1" s="1192"/>
      <c r="BE1" s="1192"/>
      <c r="BF1" s="1192"/>
      <c r="BG1" s="1192"/>
      <c r="BH1" s="1192"/>
      <c r="BI1" s="1192"/>
      <c r="BJ1" s="1192"/>
      <c r="BK1" s="1192"/>
      <c r="BL1" s="1192"/>
      <c r="BM1" s="1192"/>
      <c r="BN1" s="1192"/>
      <c r="BO1" s="1192"/>
      <c r="BP1" s="1192"/>
      <c r="BQ1" s="1192"/>
      <c r="BR1" s="1192"/>
      <c r="BS1" s="1192"/>
      <c r="BT1" s="1192"/>
      <c r="BU1" s="1192"/>
      <c r="BV1" s="1192"/>
      <c r="BW1" s="1192"/>
      <c r="BX1" s="1192"/>
      <c r="BY1" s="1192"/>
      <c r="BZ1" s="1192"/>
      <c r="CA1" s="1192"/>
      <c r="CB1" s="1192"/>
      <c r="CC1" s="1192"/>
      <c r="CD1" s="1192"/>
      <c r="CE1" s="1192"/>
      <c r="CF1" s="1192"/>
      <c r="CG1" s="1192"/>
      <c r="CH1" s="1192"/>
      <c r="CI1" s="1192"/>
      <c r="CJ1" s="1192"/>
      <c r="CK1" s="1192"/>
      <c r="CL1" s="1192"/>
      <c r="CM1" s="1192"/>
      <c r="CN1" s="1192"/>
      <c r="CO1" s="1192"/>
      <c r="CP1" s="1192"/>
      <c r="CQ1" s="1192"/>
      <c r="CR1" s="1192"/>
      <c r="CS1" s="1192"/>
      <c r="CT1" s="1192"/>
      <c r="CU1" s="1192"/>
      <c r="CV1" s="1192"/>
      <c r="CW1" s="1192"/>
      <c r="CX1" s="1192"/>
      <c r="CY1" s="1192"/>
      <c r="CZ1" s="1192"/>
      <c r="DA1" s="1192"/>
      <c r="DB1" s="1192"/>
      <c r="DC1" s="1192"/>
      <c r="DD1" s="1192"/>
      <c r="DE1" s="1192"/>
      <c r="DF1" s="1192"/>
      <c r="DG1" s="1192"/>
      <c r="DH1" s="1192"/>
      <c r="DI1" s="1192"/>
      <c r="DJ1" s="1192"/>
      <c r="DK1" s="1192"/>
      <c r="DL1" s="1192"/>
      <c r="DM1" s="1192"/>
      <c r="DN1" s="1192"/>
      <c r="DO1" s="1192"/>
      <c r="DP1" s="1192"/>
      <c r="DQ1" s="1192"/>
      <c r="DR1" s="1192"/>
      <c r="DS1" s="1192"/>
      <c r="DT1" s="1192"/>
      <c r="DU1" s="1192"/>
      <c r="DV1" s="1192"/>
      <c r="DW1" s="1192"/>
      <c r="DX1" s="1192"/>
      <c r="DY1" s="1192"/>
      <c r="DZ1" s="1192"/>
      <c r="EA1" s="1192"/>
      <c r="EB1" s="1192"/>
      <c r="EC1" s="1192"/>
      <c r="ED1" s="1192"/>
      <c r="EE1" s="1192"/>
      <c r="EF1" s="737"/>
      <c r="EG1" s="737"/>
      <c r="EH1" s="737"/>
      <c r="EI1" s="737"/>
      <c r="EJ1" s="737"/>
      <c r="EK1" s="737"/>
      <c r="EL1" s="737"/>
      <c r="EM1" s="737"/>
      <c r="EN1" s="737"/>
      <c r="EO1" s="737"/>
      <c r="EP1" s="737"/>
      <c r="EQ1" s="737"/>
      <c r="ER1" s="737"/>
      <c r="ES1" s="737"/>
      <c r="ET1" s="737"/>
      <c r="EU1" s="737"/>
      <c r="EV1" s="737"/>
      <c r="EW1" s="737"/>
      <c r="EX1" s="737"/>
      <c r="EY1" s="737"/>
      <c r="EZ1" s="737"/>
      <c r="FA1" s="737"/>
      <c r="FB1" s="737"/>
      <c r="FC1" s="737"/>
      <c r="FD1" s="737"/>
      <c r="FE1" s="737"/>
      <c r="FF1" s="737"/>
      <c r="FG1" s="737"/>
      <c r="FH1" s="737"/>
      <c r="FI1" s="737"/>
      <c r="FJ1" s="737"/>
      <c r="FK1" s="737"/>
      <c r="FL1" s="737"/>
      <c r="FM1" s="737"/>
      <c r="FN1" s="737"/>
      <c r="FO1" s="737"/>
      <c r="FP1" s="737"/>
      <c r="FQ1" s="737"/>
      <c r="FR1" s="737"/>
      <c r="FS1" s="737"/>
      <c r="FT1" s="737"/>
      <c r="FU1" s="737"/>
      <c r="FV1" s="737"/>
      <c r="FW1" s="737"/>
      <c r="FX1" s="737"/>
      <c r="FY1" s="737"/>
      <c r="FZ1" s="737"/>
      <c r="GA1" s="737"/>
      <c r="GB1" s="737"/>
      <c r="GC1" s="737"/>
      <c r="GD1" s="737"/>
      <c r="GE1" s="737"/>
      <c r="GF1" s="737"/>
      <c r="GG1" s="737"/>
      <c r="GH1" s="737"/>
      <c r="GI1" s="737"/>
      <c r="GJ1" s="737"/>
      <c r="GK1" s="737"/>
      <c r="GL1" s="737"/>
      <c r="GM1" s="737"/>
      <c r="GN1" s="737"/>
      <c r="GO1" s="737"/>
      <c r="GP1" s="737"/>
      <c r="GQ1" s="737"/>
      <c r="GR1" s="737"/>
      <c r="GS1" s="737"/>
      <c r="GT1" s="737"/>
      <c r="GU1" s="737"/>
      <c r="GV1" s="737"/>
      <c r="GW1" s="737"/>
      <c r="GX1" s="737"/>
      <c r="GY1" s="737"/>
      <c r="GZ1" s="737"/>
      <c r="HA1" s="737"/>
      <c r="HB1" s="737"/>
      <c r="HC1" s="737"/>
      <c r="HD1" s="737"/>
      <c r="HE1" s="737"/>
      <c r="HF1" s="737"/>
      <c r="HG1" s="737"/>
      <c r="HH1" s="737"/>
      <c r="HI1" s="737"/>
      <c r="HJ1" s="737"/>
      <c r="HK1" s="737"/>
      <c r="HL1" s="737"/>
      <c r="HM1" s="737"/>
      <c r="HN1" s="737"/>
      <c r="HO1" s="737"/>
      <c r="HP1" s="737"/>
      <c r="HQ1" s="737"/>
      <c r="HR1" s="737"/>
      <c r="HS1" s="737"/>
      <c r="HT1" s="737"/>
      <c r="HU1" s="737"/>
      <c r="HV1" s="737"/>
      <c r="HW1" s="737"/>
      <c r="HX1" s="737"/>
      <c r="HY1" s="737"/>
      <c r="HZ1" s="737"/>
      <c r="IA1" s="737"/>
      <c r="IB1" s="737"/>
      <c r="IC1" s="737"/>
      <c r="ID1" s="737"/>
      <c r="IE1" s="737"/>
      <c r="IF1" s="737"/>
      <c r="IG1" s="737"/>
      <c r="IH1" s="737">
        <f>COLUMN()</f>
        <v>242</v>
      </c>
      <c r="II1" s="737"/>
      <c r="IJ1" s="737"/>
      <c r="IK1" s="737"/>
      <c r="IL1" s="737"/>
      <c r="IM1" s="737"/>
      <c r="IN1" s="737">
        <f>COLUMN()</f>
        <v>248</v>
      </c>
      <c r="IO1" s="737"/>
      <c r="IP1" s="737"/>
      <c r="IQ1" s="737"/>
      <c r="IR1" s="737"/>
      <c r="IS1" s="737"/>
      <c r="IT1" s="737"/>
    </row>
    <row r="2">
      <c r="A2" s="1066"/>
      <c r="B2" s="1066" t="s">
        <v>2209</v>
      </c>
      <c r="C2" s="656" t="s">
        <v>2893</v>
      </c>
      <c r="D2" s="1068" t="s">
        <v>2894</v>
      </c>
      <c r="E2" s="1066"/>
      <c r="F2" s="1068" t="s">
        <v>2805</v>
      </c>
      <c r="G2" s="1066"/>
      <c r="H2" s="1069">
        <v>44562.0</v>
      </c>
      <c r="I2" s="454"/>
      <c r="J2" s="454"/>
      <c r="K2" s="454"/>
      <c r="L2" s="454"/>
      <c r="M2" s="454"/>
      <c r="N2" s="454"/>
      <c r="O2" s="454"/>
      <c r="P2" s="454"/>
      <c r="Q2" s="454"/>
      <c r="R2" s="454"/>
      <c r="S2" s="454"/>
      <c r="T2" s="3"/>
      <c r="U2" s="1069">
        <v>44593.0</v>
      </c>
      <c r="V2" s="454"/>
      <c r="W2" s="454"/>
      <c r="X2" s="454"/>
      <c r="Y2" s="454"/>
      <c r="Z2" s="454"/>
      <c r="AA2" s="454"/>
      <c r="AB2" s="454"/>
      <c r="AC2" s="454"/>
      <c r="AD2" s="454"/>
      <c r="AE2" s="454"/>
      <c r="AF2" s="454"/>
      <c r="AG2" s="3"/>
      <c r="AH2" s="1069">
        <v>44621.0</v>
      </c>
      <c r="AI2" s="454"/>
      <c r="AJ2" s="454"/>
      <c r="AK2" s="454"/>
      <c r="AL2" s="454"/>
      <c r="AM2" s="454"/>
      <c r="AN2" s="454"/>
      <c r="AO2" s="454"/>
      <c r="AP2" s="454"/>
      <c r="AQ2" s="454"/>
      <c r="AR2" s="454"/>
      <c r="AS2" s="454"/>
      <c r="AT2" s="3"/>
      <c r="AU2" s="1069" t="s">
        <v>2806</v>
      </c>
      <c r="AV2" s="454"/>
      <c r="AW2" s="454"/>
      <c r="AX2" s="454"/>
      <c r="AY2" s="454"/>
      <c r="AZ2" s="454"/>
      <c r="BA2" s="454"/>
      <c r="BB2" s="454"/>
      <c r="BC2" s="454"/>
      <c r="BD2" s="454"/>
      <c r="BE2" s="454"/>
      <c r="BF2" s="454"/>
      <c r="BG2" s="3"/>
      <c r="BH2" s="1069">
        <v>44652.0</v>
      </c>
      <c r="BI2" s="454"/>
      <c r="BJ2" s="454"/>
      <c r="BK2" s="454"/>
      <c r="BL2" s="454"/>
      <c r="BM2" s="454"/>
      <c r="BN2" s="454"/>
      <c r="BO2" s="454"/>
      <c r="BP2" s="454"/>
      <c r="BQ2" s="454"/>
      <c r="BR2" s="454"/>
      <c r="BS2" s="454"/>
      <c r="BT2" s="3"/>
      <c r="BU2" s="1069">
        <v>44682.0</v>
      </c>
      <c r="BV2" s="454"/>
      <c r="BW2" s="454"/>
      <c r="BX2" s="454"/>
      <c r="BY2" s="454"/>
      <c r="BZ2" s="454"/>
      <c r="CA2" s="454"/>
      <c r="CB2" s="454"/>
      <c r="CC2" s="454"/>
      <c r="CD2" s="454"/>
      <c r="CE2" s="454"/>
      <c r="CF2" s="454"/>
      <c r="CG2" s="3"/>
      <c r="CH2" s="1069">
        <v>44713.0</v>
      </c>
      <c r="CI2" s="454"/>
      <c r="CJ2" s="454"/>
      <c r="CK2" s="454"/>
      <c r="CL2" s="454"/>
      <c r="CM2" s="454"/>
      <c r="CN2" s="454"/>
      <c r="CO2" s="454"/>
      <c r="CP2" s="454"/>
      <c r="CQ2" s="454"/>
      <c r="CR2" s="454"/>
      <c r="CS2" s="454"/>
      <c r="CT2" s="3"/>
      <c r="CU2" s="1069" t="s">
        <v>2807</v>
      </c>
      <c r="CV2" s="454"/>
      <c r="CW2" s="454"/>
      <c r="CX2" s="454"/>
      <c r="CY2" s="454"/>
      <c r="CZ2" s="454"/>
      <c r="DA2" s="454"/>
      <c r="DB2" s="454"/>
      <c r="DC2" s="454"/>
      <c r="DD2" s="454"/>
      <c r="DE2" s="454"/>
      <c r="DF2" s="454"/>
      <c r="DG2" s="3"/>
      <c r="DH2" s="1069" t="s">
        <v>2808</v>
      </c>
      <c r="DI2" s="454"/>
      <c r="DJ2" s="454"/>
      <c r="DK2" s="454"/>
      <c r="DL2" s="454"/>
      <c r="DM2" s="454"/>
      <c r="DN2" s="454"/>
      <c r="DO2" s="454"/>
      <c r="DP2" s="454"/>
      <c r="DQ2" s="454"/>
      <c r="DR2" s="454"/>
      <c r="DS2" s="454"/>
      <c r="DT2" s="3"/>
      <c r="DU2" s="1069">
        <v>44743.0</v>
      </c>
      <c r="DV2" s="454"/>
      <c r="DW2" s="454"/>
      <c r="DX2" s="454"/>
      <c r="DY2" s="454"/>
      <c r="DZ2" s="454"/>
      <c r="EA2" s="454"/>
      <c r="EB2" s="454"/>
      <c r="EC2" s="454"/>
      <c r="ED2" s="454"/>
      <c r="EE2" s="454"/>
      <c r="EF2" s="454"/>
      <c r="EG2" s="3"/>
      <c r="EH2" s="1069">
        <v>44774.0</v>
      </c>
      <c r="EI2" s="454"/>
      <c r="EJ2" s="454"/>
      <c r="EK2" s="454"/>
      <c r="EL2" s="454"/>
      <c r="EM2" s="454"/>
      <c r="EN2" s="454"/>
      <c r="EO2" s="454"/>
      <c r="EP2" s="454"/>
      <c r="EQ2" s="454"/>
      <c r="ER2" s="454"/>
      <c r="ES2" s="454"/>
      <c r="ET2" s="3"/>
      <c r="EU2" s="1069">
        <v>44805.0</v>
      </c>
      <c r="EV2" s="454"/>
      <c r="EW2" s="454"/>
      <c r="EX2" s="454"/>
      <c r="EY2" s="454"/>
      <c r="EZ2" s="454"/>
      <c r="FA2" s="454"/>
      <c r="FB2" s="454"/>
      <c r="FC2" s="454"/>
      <c r="FD2" s="454"/>
      <c r="FE2" s="454"/>
      <c r="FF2" s="454"/>
      <c r="FG2" s="3"/>
      <c r="FH2" s="1069" t="s">
        <v>2809</v>
      </c>
      <c r="FI2" s="454"/>
      <c r="FJ2" s="454"/>
      <c r="FK2" s="454"/>
      <c r="FL2" s="454"/>
      <c r="FM2" s="454"/>
      <c r="FN2" s="454"/>
      <c r="FO2" s="454"/>
      <c r="FP2" s="454"/>
      <c r="FQ2" s="454"/>
      <c r="FR2" s="454"/>
      <c r="FS2" s="454"/>
      <c r="FT2" s="3"/>
      <c r="FU2" s="1069">
        <v>44835.0</v>
      </c>
      <c r="FV2" s="454"/>
      <c r="FW2" s="454"/>
      <c r="FX2" s="454"/>
      <c r="FY2" s="454"/>
      <c r="FZ2" s="454"/>
      <c r="GA2" s="454"/>
      <c r="GB2" s="454"/>
      <c r="GC2" s="454"/>
      <c r="GD2" s="454"/>
      <c r="GE2" s="454"/>
      <c r="GF2" s="454"/>
      <c r="GG2" s="3"/>
      <c r="GH2" s="1069">
        <v>44866.0</v>
      </c>
      <c r="GI2" s="454"/>
      <c r="GJ2" s="454"/>
      <c r="GK2" s="454"/>
      <c r="GL2" s="454"/>
      <c r="GM2" s="454"/>
      <c r="GN2" s="454"/>
      <c r="GO2" s="454"/>
      <c r="GP2" s="454"/>
      <c r="GQ2" s="454"/>
      <c r="GR2" s="454"/>
      <c r="GS2" s="454"/>
      <c r="GT2" s="3"/>
      <c r="GU2" s="1069">
        <v>44896.0</v>
      </c>
      <c r="GV2" s="454"/>
      <c r="GW2" s="454"/>
      <c r="GX2" s="454"/>
      <c r="GY2" s="454"/>
      <c r="GZ2" s="454"/>
      <c r="HA2" s="454"/>
      <c r="HB2" s="454"/>
      <c r="HC2" s="454"/>
      <c r="HD2" s="454"/>
      <c r="HE2" s="454"/>
      <c r="HF2" s="454"/>
      <c r="HG2" s="3"/>
      <c r="HH2" s="1069" t="s">
        <v>2810</v>
      </c>
      <c r="HI2" s="454"/>
      <c r="HJ2" s="454"/>
      <c r="HK2" s="454"/>
      <c r="HL2" s="454"/>
      <c r="HM2" s="454"/>
      <c r="HN2" s="454"/>
      <c r="HO2" s="454"/>
      <c r="HP2" s="454"/>
      <c r="HQ2" s="454"/>
      <c r="HR2" s="454"/>
      <c r="HS2" s="454"/>
      <c r="HT2" s="3"/>
      <c r="HU2" s="1069" t="s">
        <v>2811</v>
      </c>
      <c r="HV2" s="454"/>
      <c r="HW2" s="454"/>
      <c r="HX2" s="454"/>
      <c r="HY2" s="454"/>
      <c r="HZ2" s="454"/>
      <c r="IA2" s="454"/>
      <c r="IB2" s="454"/>
      <c r="IC2" s="454"/>
      <c r="ID2" s="454"/>
      <c r="IE2" s="454"/>
      <c r="IF2" s="454"/>
      <c r="IG2" s="3"/>
      <c r="IH2" s="1069" t="s">
        <v>2812</v>
      </c>
      <c r="II2" s="454"/>
      <c r="IJ2" s="454"/>
      <c r="IK2" s="454"/>
      <c r="IL2" s="454"/>
      <c r="IM2" s="454"/>
      <c r="IN2" s="454"/>
      <c r="IO2" s="454"/>
      <c r="IP2" s="454"/>
      <c r="IQ2" s="454"/>
      <c r="IR2" s="454"/>
      <c r="IS2" s="454"/>
      <c r="IT2" s="3"/>
    </row>
    <row r="3">
      <c r="A3" s="737"/>
      <c r="B3" s="737"/>
      <c r="C3" s="737"/>
      <c r="D3" s="737"/>
      <c r="E3" s="737"/>
      <c r="F3" s="737"/>
      <c r="G3" s="737"/>
      <c r="H3" s="1070" t="s">
        <v>2813</v>
      </c>
      <c r="I3" s="454"/>
      <c r="J3" s="3"/>
      <c r="K3" s="1071" t="s">
        <v>2814</v>
      </c>
      <c r="L3" s="454"/>
      <c r="M3" s="3"/>
      <c r="N3" s="1071" t="str">
        <f>IF(NOW()&gt;=DATE(YEAR(H$2),MONTH(H$2)+1,DAY(H$2)),"AC","TF")</f>
        <v>AC</v>
      </c>
      <c r="O3" s="454"/>
      <c r="P3" s="3"/>
      <c r="Q3" s="1071" t="str">
        <f>N3&amp;" vs "&amp;H3</f>
        <v>AC vs BP</v>
      </c>
      <c r="R3" s="3"/>
      <c r="S3" s="1071" t="str">
        <f>N3&amp;" vs "&amp;K3</f>
        <v>AC vs LF</v>
      </c>
      <c r="T3" s="3"/>
      <c r="U3" s="1070" t="s">
        <v>2813</v>
      </c>
      <c r="V3" s="454"/>
      <c r="W3" s="3"/>
      <c r="X3" s="1071" t="s">
        <v>2814</v>
      </c>
      <c r="Y3" s="454"/>
      <c r="Z3" s="3"/>
      <c r="AA3" s="1071" t="str">
        <f>IF(NOW()&gt;=DATE(YEAR(U$2),MONTH(U$2)+1,DAY(U$2)),"AC","TF")</f>
        <v>AC</v>
      </c>
      <c r="AB3" s="454"/>
      <c r="AC3" s="3"/>
      <c r="AD3" s="1071" t="str">
        <f>AA3&amp;" vs "&amp;U3</f>
        <v>AC vs BP</v>
      </c>
      <c r="AE3" s="3"/>
      <c r="AF3" s="1071" t="str">
        <f>AA3&amp;" vs "&amp;X3</f>
        <v>AC vs LF</v>
      </c>
      <c r="AG3" s="3"/>
      <c r="AH3" s="1070" t="s">
        <v>2813</v>
      </c>
      <c r="AI3" s="454"/>
      <c r="AJ3" s="3"/>
      <c r="AK3" s="1071" t="s">
        <v>2814</v>
      </c>
      <c r="AL3" s="454"/>
      <c r="AM3" s="3"/>
      <c r="AN3" s="1071" t="str">
        <f>IF(NOW()&gt;=DATE(YEAR(AH$2),MONTH(AH$2)+1,DAY(AH$2)),"AC","TF")</f>
        <v>AC</v>
      </c>
      <c r="AO3" s="454"/>
      <c r="AP3" s="3"/>
      <c r="AQ3" s="1071" t="str">
        <f>AN3&amp;" vs "&amp;AH3</f>
        <v>AC vs BP</v>
      </c>
      <c r="AR3" s="3"/>
      <c r="AS3" s="1071" t="str">
        <f>AN3&amp;" vs "&amp;AK3</f>
        <v>AC vs LF</v>
      </c>
      <c r="AT3" s="3"/>
      <c r="AU3" s="1070" t="s">
        <v>2813</v>
      </c>
      <c r="AV3" s="454"/>
      <c r="AW3" s="3"/>
      <c r="AX3" s="1071" t="s">
        <v>2814</v>
      </c>
      <c r="AY3" s="454"/>
      <c r="AZ3" s="3"/>
      <c r="BA3" s="1071" t="str">
        <f>IF(NOW()&gt;=DATE(YEAR(AH$2),MONTH(AH$2)+1,DAY(AH$2)),"AC","TF")</f>
        <v>AC</v>
      </c>
      <c r="BB3" s="454"/>
      <c r="BC3" s="3"/>
      <c r="BD3" s="1071" t="str">
        <f>BA3&amp;" vs "&amp;AU3</f>
        <v>AC vs BP</v>
      </c>
      <c r="BE3" s="3"/>
      <c r="BF3" s="1071" t="str">
        <f>BA3&amp;" vs "&amp;AX3</f>
        <v>AC vs LF</v>
      </c>
      <c r="BG3" s="3"/>
      <c r="BH3" s="1070" t="s">
        <v>2813</v>
      </c>
      <c r="BI3" s="454"/>
      <c r="BJ3" s="3"/>
      <c r="BK3" s="1071" t="s">
        <v>2814</v>
      </c>
      <c r="BL3" s="454"/>
      <c r="BM3" s="3"/>
      <c r="BN3" s="1071" t="str">
        <f>IF(NOW()&gt;=DATE(YEAR(BH$2),MONTH(BH$2)+1,DAY(BH$2)),"AC","TF")</f>
        <v>AC</v>
      </c>
      <c r="BO3" s="454"/>
      <c r="BP3" s="3"/>
      <c r="BQ3" s="1071" t="str">
        <f>BN3&amp;" vs "&amp;BH3</f>
        <v>AC vs BP</v>
      </c>
      <c r="BR3" s="3"/>
      <c r="BS3" s="1071" t="str">
        <f>BN3&amp;" vs "&amp;BK3</f>
        <v>AC vs LF</v>
      </c>
      <c r="BT3" s="3"/>
      <c r="BU3" s="1070" t="s">
        <v>2813</v>
      </c>
      <c r="BV3" s="454"/>
      <c r="BW3" s="3"/>
      <c r="BX3" s="1071" t="s">
        <v>2814</v>
      </c>
      <c r="BY3" s="454"/>
      <c r="BZ3" s="3"/>
      <c r="CA3" s="1071" t="str">
        <f>IF(NOW()&gt;=DATE(YEAR(BU$2),MONTH(BU$2)+1,DAY(BU$2)),"AC","TF")</f>
        <v>AC</v>
      </c>
      <c r="CB3" s="454"/>
      <c r="CC3" s="3"/>
      <c r="CD3" s="1071" t="str">
        <f>CA3&amp;" vs "&amp;BU3</f>
        <v>AC vs BP</v>
      </c>
      <c r="CE3" s="3"/>
      <c r="CF3" s="1071" t="str">
        <f>CA3&amp;" vs "&amp;BX3</f>
        <v>AC vs LF</v>
      </c>
      <c r="CG3" s="3"/>
      <c r="CH3" s="1070" t="s">
        <v>2813</v>
      </c>
      <c r="CI3" s="454"/>
      <c r="CJ3" s="3"/>
      <c r="CK3" s="1071" t="s">
        <v>2814</v>
      </c>
      <c r="CL3" s="454"/>
      <c r="CM3" s="3"/>
      <c r="CN3" s="1071" t="str">
        <f>IF(NOW()&gt;=DATE(YEAR(CH$2),MONTH(CH$2)+1,DAY(CH$2)),"AC","TF")</f>
        <v>AC</v>
      </c>
      <c r="CO3" s="454"/>
      <c r="CP3" s="3"/>
      <c r="CQ3" s="1071" t="str">
        <f>CN3&amp;" vs "&amp;CH3</f>
        <v>AC vs BP</v>
      </c>
      <c r="CR3" s="3"/>
      <c r="CS3" s="1071" t="str">
        <f>CN3&amp;" vs "&amp;CK3</f>
        <v>AC vs LF</v>
      </c>
      <c r="CT3" s="3"/>
      <c r="CU3" s="1070" t="s">
        <v>2813</v>
      </c>
      <c r="CV3" s="454"/>
      <c r="CW3" s="3"/>
      <c r="CX3" s="1071" t="s">
        <v>2814</v>
      </c>
      <c r="CY3" s="454"/>
      <c r="CZ3" s="3"/>
      <c r="DA3" s="1071" t="s">
        <v>2815</v>
      </c>
      <c r="DB3" s="454"/>
      <c r="DC3" s="3"/>
      <c r="DD3" s="1071" t="str">
        <f>DA3&amp;" vs "&amp;CU3</f>
        <v>AC vs BP</v>
      </c>
      <c r="DE3" s="3"/>
      <c r="DF3" s="1071" t="str">
        <f>DA3&amp;" vs "&amp;CX3</f>
        <v>AC vs LF</v>
      </c>
      <c r="DG3" s="3"/>
      <c r="DH3" s="1070" t="s">
        <v>2813</v>
      </c>
      <c r="DI3" s="454"/>
      <c r="DJ3" s="3"/>
      <c r="DK3" s="1071" t="s">
        <v>2814</v>
      </c>
      <c r="DL3" s="454"/>
      <c r="DM3" s="3"/>
      <c r="DN3" s="1071" t="s">
        <v>2815</v>
      </c>
      <c r="DO3" s="454"/>
      <c r="DP3" s="3"/>
      <c r="DQ3" s="1071" t="str">
        <f>DN3&amp;" vs "&amp;DH3</f>
        <v>AC vs BP</v>
      </c>
      <c r="DR3" s="3"/>
      <c r="DS3" s="1071" t="str">
        <f>DN3&amp;" vs "&amp;DK3</f>
        <v>AC vs LF</v>
      </c>
      <c r="DT3" s="3"/>
      <c r="DU3" s="1070" t="s">
        <v>2813</v>
      </c>
      <c r="DV3" s="454"/>
      <c r="DW3" s="3"/>
      <c r="DX3" s="1071" t="s">
        <v>2814</v>
      </c>
      <c r="DY3" s="454"/>
      <c r="DZ3" s="3"/>
      <c r="EA3" s="1071" t="str">
        <f>IF(NOW()&gt;=DATE(YEAR(DU$2),MONTH(DU$2)+1,DAY(DU$2)),"AC","TF")</f>
        <v>AC</v>
      </c>
      <c r="EB3" s="454"/>
      <c r="EC3" s="3"/>
      <c r="ED3" s="1071" t="str">
        <f>EA3&amp;" vs "&amp;DU3</f>
        <v>AC vs BP</v>
      </c>
      <c r="EE3" s="3"/>
      <c r="EF3" s="1071" t="str">
        <f>EA3&amp;" vs "&amp;DX3</f>
        <v>AC vs LF</v>
      </c>
      <c r="EG3" s="3"/>
      <c r="EH3" s="1070" t="s">
        <v>2813</v>
      </c>
      <c r="EI3" s="454"/>
      <c r="EJ3" s="3"/>
      <c r="EK3" s="1071" t="s">
        <v>2814</v>
      </c>
      <c r="EL3" s="454"/>
      <c r="EM3" s="3"/>
      <c r="EN3" s="1071" t="str">
        <f>IF(NOW()&gt;=DATE(YEAR(EH$2),MONTH(EH$2)+1,DAY(EH$2)),"AC","TF")</f>
        <v>AC</v>
      </c>
      <c r="EO3" s="454"/>
      <c r="EP3" s="3"/>
      <c r="EQ3" s="1071" t="str">
        <f>EN3&amp;" vs "&amp;EH3</f>
        <v>AC vs BP</v>
      </c>
      <c r="ER3" s="3"/>
      <c r="ES3" s="1071" t="str">
        <f>EN3&amp;" vs "&amp;EK3</f>
        <v>AC vs LF</v>
      </c>
      <c r="ET3" s="3"/>
      <c r="EU3" s="1070" t="s">
        <v>2813</v>
      </c>
      <c r="EV3" s="454"/>
      <c r="EW3" s="3"/>
      <c r="EX3" s="1071" t="s">
        <v>2814</v>
      </c>
      <c r="EY3" s="454"/>
      <c r="EZ3" s="3"/>
      <c r="FA3" s="1071" t="str">
        <f>IF(NOW()&gt;=DATE(YEAR(EW$2),MONTH(EW$2)+1,DAY(EW$2)),"AC","TF")</f>
        <v>TF</v>
      </c>
      <c r="FB3" s="454"/>
      <c r="FC3" s="3"/>
      <c r="FD3" s="1071" t="str">
        <f>FA3&amp;" vs "&amp;EU3</f>
        <v>TF vs BP</v>
      </c>
      <c r="FE3" s="3"/>
      <c r="FF3" s="1071" t="str">
        <f>FA3&amp;" vs "&amp;EX3</f>
        <v>TF vs LF</v>
      </c>
      <c r="FG3" s="3"/>
      <c r="FH3" s="1070" t="s">
        <v>2813</v>
      </c>
      <c r="FI3" s="454"/>
      <c r="FJ3" s="3"/>
      <c r="FK3" s="1071" t="s">
        <v>2814</v>
      </c>
      <c r="FL3" s="454"/>
      <c r="FM3" s="3"/>
      <c r="FN3" s="1071" t="s">
        <v>2815</v>
      </c>
      <c r="FO3" s="454"/>
      <c r="FP3" s="3"/>
      <c r="FQ3" s="1071" t="s">
        <v>2816</v>
      </c>
      <c r="FR3" s="3"/>
      <c r="FS3" s="1071" t="s">
        <v>2817</v>
      </c>
      <c r="FT3" s="3"/>
      <c r="FU3" s="1070" t="s">
        <v>2813</v>
      </c>
      <c r="FV3" s="454"/>
      <c r="FW3" s="3"/>
      <c r="FX3" s="1071" t="s">
        <v>2814</v>
      </c>
      <c r="FY3" s="454"/>
      <c r="FZ3" s="3"/>
      <c r="GA3" s="1071" t="str">
        <f>IF(NOW()&gt;=DATE(YEAR(FU$2),MONTH(FU$2)+1,DAY(FU$2)),"AC","TF")</f>
        <v>AC</v>
      </c>
      <c r="GB3" s="454"/>
      <c r="GC3" s="3"/>
      <c r="GD3" s="1071" t="str">
        <f>GA3&amp;" vs "&amp;FU3</f>
        <v>AC vs BP</v>
      </c>
      <c r="GE3" s="3"/>
      <c r="GF3" s="1071" t="str">
        <f>GA3&amp;" vs "&amp;FX3</f>
        <v>AC vs LF</v>
      </c>
      <c r="GG3" s="3"/>
      <c r="GH3" s="1070" t="s">
        <v>2813</v>
      </c>
      <c r="GI3" s="454"/>
      <c r="GJ3" s="3"/>
      <c r="GK3" s="1071" t="s">
        <v>2814</v>
      </c>
      <c r="GL3" s="454"/>
      <c r="GM3" s="3"/>
      <c r="GN3" s="1071" t="str">
        <f>IF(NOW()&gt;=DATE(YEAR(GH$2),MONTH(GH$2)+1,DAY(GH$2)),"AC","TF")</f>
        <v>AC</v>
      </c>
      <c r="GO3" s="454"/>
      <c r="GP3" s="3"/>
      <c r="GQ3" s="1071" t="str">
        <f>GN3&amp;" vs "&amp;GH3</f>
        <v>AC vs BP</v>
      </c>
      <c r="GR3" s="3"/>
      <c r="GS3" s="1071" t="str">
        <f>GN3&amp;" vs "&amp;GK3</f>
        <v>AC vs LF</v>
      </c>
      <c r="GT3" s="3"/>
      <c r="GU3" s="1070" t="s">
        <v>2813</v>
      </c>
      <c r="GV3" s="454"/>
      <c r="GW3" s="3"/>
      <c r="GX3" s="1071" t="s">
        <v>2814</v>
      </c>
      <c r="GY3" s="454"/>
      <c r="GZ3" s="454"/>
      <c r="HA3" s="1071" t="str">
        <f>IF(NOW()&gt;=DATE(YEAR(GU$2),MONTH(GU$2)+1,DAY(GU$2)),"AC","TF")</f>
        <v>AC</v>
      </c>
      <c r="HB3" s="454"/>
      <c r="HC3" s="3"/>
      <c r="HD3" s="1071" t="str">
        <f>HA3&amp;" vs "&amp;GU3</f>
        <v>AC vs BP</v>
      </c>
      <c r="HE3" s="3"/>
      <c r="HF3" s="1071" t="str">
        <f>HA3&amp;" vs "&amp;GX3</f>
        <v>AC vs LF</v>
      </c>
      <c r="HG3" s="3"/>
      <c r="HH3" s="1070" t="s">
        <v>2813</v>
      </c>
      <c r="HI3" s="454"/>
      <c r="HJ3" s="3"/>
      <c r="HK3" s="1071" t="s">
        <v>2814</v>
      </c>
      <c r="HL3" s="454"/>
      <c r="HM3" s="3"/>
      <c r="HN3" s="1071" t="s">
        <v>2815</v>
      </c>
      <c r="HO3" s="454"/>
      <c r="HP3" s="3"/>
      <c r="HQ3" s="1071" t="s">
        <v>2816</v>
      </c>
      <c r="HR3" s="3"/>
      <c r="HS3" s="1072" t="s">
        <v>2817</v>
      </c>
      <c r="HT3" s="3"/>
      <c r="HU3" s="1070" t="s">
        <v>2813</v>
      </c>
      <c r="HV3" s="454"/>
      <c r="HW3" s="3"/>
      <c r="HX3" s="1071" t="s">
        <v>2814</v>
      </c>
      <c r="HY3" s="454"/>
      <c r="HZ3" s="3"/>
      <c r="IA3" s="1071" t="s">
        <v>2815</v>
      </c>
      <c r="IB3" s="454"/>
      <c r="IC3" s="3"/>
      <c r="ID3" s="1071" t="s">
        <v>2816</v>
      </c>
      <c r="IE3" s="3"/>
      <c r="IF3" s="1071" t="s">
        <v>2817</v>
      </c>
      <c r="IG3" s="3"/>
      <c r="IH3" s="1070" t="s">
        <v>2813</v>
      </c>
      <c r="II3" s="454"/>
      <c r="IJ3" s="3"/>
      <c r="IK3" s="1071" t="s">
        <v>2814</v>
      </c>
      <c r="IL3" s="454"/>
      <c r="IM3" s="3"/>
      <c r="IN3" s="1071" t="s">
        <v>2815</v>
      </c>
      <c r="IO3" s="454"/>
      <c r="IP3" s="3"/>
      <c r="IQ3" s="1071" t="s">
        <v>2816</v>
      </c>
      <c r="IR3" s="3"/>
      <c r="IS3" s="1071" t="s">
        <v>2817</v>
      </c>
      <c r="IT3" s="3"/>
    </row>
    <row r="4">
      <c r="A4" s="1193" t="s">
        <v>2818</v>
      </c>
      <c r="B4" s="1194"/>
      <c r="C4" s="1194"/>
      <c r="D4" s="1194"/>
      <c r="E4" s="1195"/>
      <c r="F4" s="1196">
        <v>0.0</v>
      </c>
      <c r="G4" s="1196">
        <v>1.0</v>
      </c>
      <c r="H4" s="1197">
        <f>SUM(H5:H12)</f>
        <v>0</v>
      </c>
      <c r="I4" s="1198" t="s">
        <v>2819</v>
      </c>
      <c r="J4" s="1198" t="s">
        <v>2820</v>
      </c>
      <c r="K4" s="1197">
        <f>SUM(K5:K12)</f>
        <v>0</v>
      </c>
      <c r="L4" s="1198" t="s">
        <v>2819</v>
      </c>
      <c r="M4" s="1198" t="s">
        <v>2820</v>
      </c>
      <c r="N4" s="1197">
        <f>SUM(N5:N12)</f>
        <v>3418460</v>
      </c>
      <c r="O4" s="1198" t="s">
        <v>2819</v>
      </c>
      <c r="P4" s="1198" t="s">
        <v>2820</v>
      </c>
      <c r="Q4" s="1197">
        <f>SUM(Q5:Q12)</f>
        <v>3418460</v>
      </c>
      <c r="R4" s="1198" t="s">
        <v>2056</v>
      </c>
      <c r="S4" s="1197">
        <f>SUM(S5:S12)</f>
        <v>3418460</v>
      </c>
      <c r="T4" s="1198" t="s">
        <v>2056</v>
      </c>
      <c r="U4" s="1197">
        <f>SUM(U5:U12)</f>
        <v>0</v>
      </c>
      <c r="V4" s="1198" t="s">
        <v>2819</v>
      </c>
      <c r="W4" s="1198" t="s">
        <v>2820</v>
      </c>
      <c r="X4" s="1197">
        <f>SUM(X5:X12)</f>
        <v>0</v>
      </c>
      <c r="Y4" s="1198" t="s">
        <v>2819</v>
      </c>
      <c r="Z4" s="1198" t="s">
        <v>2820</v>
      </c>
      <c r="AA4" s="1197">
        <f>SUM(AA5:AA12)</f>
        <v>0</v>
      </c>
      <c r="AB4" s="1198" t="s">
        <v>2819</v>
      </c>
      <c r="AC4" s="1198" t="s">
        <v>2820</v>
      </c>
      <c r="AD4" s="1197">
        <f>SUM(AD5:AD12)</f>
        <v>0</v>
      </c>
      <c r="AE4" s="1198" t="s">
        <v>2056</v>
      </c>
      <c r="AF4" s="1197">
        <f>SUM(AF5:AF12)</f>
        <v>0</v>
      </c>
      <c r="AG4" s="1198" t="s">
        <v>2056</v>
      </c>
      <c r="AH4" s="1197">
        <f>SUM(AH5:AH12)</f>
        <v>0</v>
      </c>
      <c r="AI4" s="1198" t="s">
        <v>2819</v>
      </c>
      <c r="AJ4" s="1198" t="s">
        <v>2820</v>
      </c>
      <c r="AK4" s="1197">
        <f>SUM(AK5:AK12)</f>
        <v>0</v>
      </c>
      <c r="AL4" s="1198" t="s">
        <v>2819</v>
      </c>
      <c r="AM4" s="1198" t="s">
        <v>2820</v>
      </c>
      <c r="AN4" s="1197">
        <f>SUM(AN5:AN12)</f>
        <v>0</v>
      </c>
      <c r="AO4" s="1198" t="s">
        <v>2819</v>
      </c>
      <c r="AP4" s="1198" t="s">
        <v>2820</v>
      </c>
      <c r="AQ4" s="1197">
        <f>SUM(AQ5:AQ12)</f>
        <v>0</v>
      </c>
      <c r="AR4" s="1198" t="s">
        <v>2056</v>
      </c>
      <c r="AS4" s="1197">
        <f>SUM(AS5:AS12)</f>
        <v>0</v>
      </c>
      <c r="AT4" s="1198" t="s">
        <v>2056</v>
      </c>
      <c r="AU4" s="1197">
        <f>SUM(AU5:AU12)</f>
        <v>0</v>
      </c>
      <c r="AV4" s="1198" t="s">
        <v>2819</v>
      </c>
      <c r="AW4" s="1198" t="s">
        <v>2820</v>
      </c>
      <c r="AX4" s="1197">
        <f>SUM(AX5:AX12)</f>
        <v>0</v>
      </c>
      <c r="AY4" s="1198" t="s">
        <v>2819</v>
      </c>
      <c r="AZ4" s="1198" t="s">
        <v>2820</v>
      </c>
      <c r="BA4" s="1197">
        <f>SUM(BA5:BA12)</f>
        <v>3418460</v>
      </c>
      <c r="BB4" s="1198" t="s">
        <v>2819</v>
      </c>
      <c r="BC4" s="1198" t="s">
        <v>2820</v>
      </c>
      <c r="BD4" s="1197">
        <f>SUM(BD5:BD12)</f>
        <v>3418460</v>
      </c>
      <c r="BE4" s="1198" t="s">
        <v>2056</v>
      </c>
      <c r="BF4" s="1197">
        <f>SUM(BF5:BF12)</f>
        <v>3418460</v>
      </c>
      <c r="BG4" s="1198" t="s">
        <v>2056</v>
      </c>
      <c r="BH4" s="1197">
        <f>SUM(BH5:BH12)</f>
        <v>0</v>
      </c>
      <c r="BI4" s="1198" t="s">
        <v>2819</v>
      </c>
      <c r="BJ4" s="1198" t="s">
        <v>2820</v>
      </c>
      <c r="BK4" s="1197">
        <f>SUM(BK5:BK12)</f>
        <v>0</v>
      </c>
      <c r="BL4" s="1198" t="s">
        <v>2819</v>
      </c>
      <c r="BM4" s="1198" t="s">
        <v>2820</v>
      </c>
      <c r="BN4" s="1197">
        <f>SUM(BN5:BN12)</f>
        <v>0</v>
      </c>
      <c r="BO4" s="1198" t="s">
        <v>2819</v>
      </c>
      <c r="BP4" s="1198" t="s">
        <v>2820</v>
      </c>
      <c r="BQ4" s="1197">
        <f>SUM(BQ5:BQ12)</f>
        <v>0</v>
      </c>
      <c r="BR4" s="1198" t="s">
        <v>2056</v>
      </c>
      <c r="BS4" s="1197">
        <f>SUM(BS5:BS12)</f>
        <v>0</v>
      </c>
      <c r="BT4" s="1198" t="s">
        <v>2056</v>
      </c>
      <c r="BU4" s="1197">
        <f>SUM(BU5:BU12)</f>
        <v>0</v>
      </c>
      <c r="BV4" s="1198" t="s">
        <v>2056</v>
      </c>
      <c r="BW4" s="1198">
        <v>1.0000000000000002</v>
      </c>
      <c r="BX4" s="1197">
        <f>SUM(BX5:BX12)</f>
        <v>0</v>
      </c>
      <c r="BY4" s="1198" t="s">
        <v>2819</v>
      </c>
      <c r="BZ4" s="1198" t="s">
        <v>2820</v>
      </c>
      <c r="CA4" s="1197">
        <f>SUM(CA5:CA12)</f>
        <v>0</v>
      </c>
      <c r="CB4" s="1198" t="s">
        <v>2819</v>
      </c>
      <c r="CC4" s="1198" t="s">
        <v>2820</v>
      </c>
      <c r="CD4" s="1197">
        <f>SUM(CD5:CD12)</f>
        <v>0</v>
      </c>
      <c r="CE4" s="1198" t="s">
        <v>2056</v>
      </c>
      <c r="CF4" s="1197">
        <f>SUM(CF5:CF12)</f>
        <v>0</v>
      </c>
      <c r="CG4" s="1198" t="s">
        <v>2056</v>
      </c>
      <c r="CH4" s="1197">
        <f>SUM(CH5:CH12)</f>
        <v>0</v>
      </c>
      <c r="CI4" s="1198" t="s">
        <v>2819</v>
      </c>
      <c r="CJ4" s="1198" t="s">
        <v>2820</v>
      </c>
      <c r="CK4" s="1197">
        <f>SUM(CK5:CK12)</f>
        <v>0</v>
      </c>
      <c r="CL4" s="1198" t="s">
        <v>2819</v>
      </c>
      <c r="CM4" s="1198" t="s">
        <v>2820</v>
      </c>
      <c r="CN4" s="1197">
        <f>SUM(CN5:CN12)</f>
        <v>0</v>
      </c>
      <c r="CO4" s="1198" t="s">
        <v>2819</v>
      </c>
      <c r="CP4" s="1198" t="s">
        <v>2820</v>
      </c>
      <c r="CQ4" s="1197">
        <f>SUM(CQ5:CQ12)</f>
        <v>0</v>
      </c>
      <c r="CR4" s="1198" t="s">
        <v>2056</v>
      </c>
      <c r="CS4" s="1197">
        <f>SUM(CS5:CS12)</f>
        <v>0</v>
      </c>
      <c r="CT4" s="1198" t="s">
        <v>2056</v>
      </c>
      <c r="CU4" s="1197">
        <f>SUM(CU5:CU12)</f>
        <v>0</v>
      </c>
      <c r="CV4" s="1198" t="s">
        <v>2819</v>
      </c>
      <c r="CW4" s="1198" t="s">
        <v>2820</v>
      </c>
      <c r="CX4" s="1197">
        <f>SUM(CX5:CX12)</f>
        <v>0</v>
      </c>
      <c r="CY4" s="1198" t="s">
        <v>2819</v>
      </c>
      <c r="CZ4" s="1198" t="s">
        <v>2820</v>
      </c>
      <c r="DA4" s="1197">
        <f>SUM(DA5:DA12)</f>
        <v>0</v>
      </c>
      <c r="DB4" s="1198" t="s">
        <v>2819</v>
      </c>
      <c r="DC4" s="1198" t="s">
        <v>2820</v>
      </c>
      <c r="DD4" s="1197">
        <f>SUM(DD5:DD12)</f>
        <v>0</v>
      </c>
      <c r="DE4" s="1198" t="s">
        <v>2056</v>
      </c>
      <c r="DF4" s="1197">
        <f>SUM(DF5:DF12)</f>
        <v>0</v>
      </c>
      <c r="DG4" s="1198" t="s">
        <v>2056</v>
      </c>
      <c r="DH4" s="1197">
        <f>SUM(DH5:DH12)</f>
        <v>0</v>
      </c>
      <c r="DI4" s="1198" t="s">
        <v>2819</v>
      </c>
      <c r="DJ4" s="1198" t="s">
        <v>2820</v>
      </c>
      <c r="DK4" s="1197">
        <f>SUM(DK5:DK12)</f>
        <v>0</v>
      </c>
      <c r="DL4" s="1198" t="s">
        <v>2819</v>
      </c>
      <c r="DM4" s="1198" t="s">
        <v>2820</v>
      </c>
      <c r="DN4" s="1197">
        <f>SUM(DN5:DN12)</f>
        <v>3418460</v>
      </c>
      <c r="DO4" s="1198" t="s">
        <v>2819</v>
      </c>
      <c r="DP4" s="1198" t="s">
        <v>2820</v>
      </c>
      <c r="DQ4" s="1197">
        <f>SUM(DQ5:DQ12)</f>
        <v>3418460</v>
      </c>
      <c r="DR4" s="1198" t="s">
        <v>2056</v>
      </c>
      <c r="DS4" s="1197">
        <f>SUM(DS5:DS12)</f>
        <v>3418460</v>
      </c>
      <c r="DT4" s="1198" t="s">
        <v>2056</v>
      </c>
      <c r="DU4" s="1197">
        <f>SUM(DU5:DU12)</f>
        <v>0</v>
      </c>
      <c r="DV4" s="1198" t="s">
        <v>2819</v>
      </c>
      <c r="DW4" s="1198" t="s">
        <v>2820</v>
      </c>
      <c r="DX4" s="1197">
        <f>SUM(DX5:DX12)</f>
        <v>0</v>
      </c>
      <c r="DY4" s="1198" t="s">
        <v>2819</v>
      </c>
      <c r="DZ4" s="1198" t="s">
        <v>2820</v>
      </c>
      <c r="EA4" s="1197">
        <f>SUM(EA5:EA12)</f>
        <v>0</v>
      </c>
      <c r="EB4" s="1198" t="s">
        <v>2819</v>
      </c>
      <c r="EC4" s="1198" t="s">
        <v>2820</v>
      </c>
      <c r="ED4" s="1197">
        <f>SUM(ED5:ED12)</f>
        <v>0</v>
      </c>
      <c r="EE4" s="1198" t="s">
        <v>2056</v>
      </c>
      <c r="EF4" s="1197">
        <f>SUM(EF5:EF12)</f>
        <v>0</v>
      </c>
      <c r="EG4" s="1198" t="s">
        <v>2056</v>
      </c>
      <c r="EH4" s="1197">
        <f>SUM(EH5:EH12)</f>
        <v>0</v>
      </c>
      <c r="EI4" s="1198" t="s">
        <v>2819</v>
      </c>
      <c r="EJ4" s="1198" t="s">
        <v>2820</v>
      </c>
      <c r="EK4" s="1197">
        <f>SUM(EK5:EK12)</f>
        <v>0</v>
      </c>
      <c r="EL4" s="1198" t="s">
        <v>2819</v>
      </c>
      <c r="EM4" s="1198" t="s">
        <v>2820</v>
      </c>
      <c r="EN4" s="1197">
        <f>SUM(EN5:EN12)</f>
        <v>0</v>
      </c>
      <c r="EO4" s="1198" t="s">
        <v>2819</v>
      </c>
      <c r="EP4" s="1198" t="s">
        <v>2820</v>
      </c>
      <c r="EQ4" s="1197">
        <f>SUM(EQ5:EQ12)</f>
        <v>0</v>
      </c>
      <c r="ER4" s="1198" t="s">
        <v>2056</v>
      </c>
      <c r="ES4" s="1197">
        <f>SUM(ES5:ES12)</f>
        <v>0</v>
      </c>
      <c r="ET4" s="1199" t="s">
        <v>2056</v>
      </c>
      <c r="EU4" s="1197">
        <f>SUM(EU5:EU12)</f>
        <v>0</v>
      </c>
      <c r="EV4" s="1198" t="s">
        <v>2819</v>
      </c>
      <c r="EW4" s="1198" t="s">
        <v>2820</v>
      </c>
      <c r="EX4" s="1197">
        <f>SUM(EX5:EX12)</f>
        <v>0</v>
      </c>
      <c r="EY4" s="1198" t="s">
        <v>2819</v>
      </c>
      <c r="EZ4" s="1198" t="s">
        <v>2820</v>
      </c>
      <c r="FA4" s="1197">
        <f>SUM(FA5:FA12)</f>
        <v>0</v>
      </c>
      <c r="FB4" s="1198" t="s">
        <v>2819</v>
      </c>
      <c r="FC4" s="1198" t="s">
        <v>2820</v>
      </c>
      <c r="FD4" s="1197">
        <f>SUM(FD5:FD12)</f>
        <v>0</v>
      </c>
      <c r="FE4" s="1198" t="s">
        <v>2056</v>
      </c>
      <c r="FF4" s="1197">
        <f>SUM(FF5:FF12)</f>
        <v>0</v>
      </c>
      <c r="FG4" s="1199" t="s">
        <v>2056</v>
      </c>
      <c r="FH4" s="1197">
        <f>SUM(FH5:FH12)</f>
        <v>0</v>
      </c>
      <c r="FI4" s="1198" t="s">
        <v>2819</v>
      </c>
      <c r="FJ4" s="1198" t="s">
        <v>2820</v>
      </c>
      <c r="FK4" s="1197">
        <f>SUM(FK5:FK12)</f>
        <v>0</v>
      </c>
      <c r="FL4" s="1198" t="s">
        <v>2819</v>
      </c>
      <c r="FM4" s="1198" t="s">
        <v>2820</v>
      </c>
      <c r="FN4" s="1197">
        <f>SUM(FN5:FN12)</f>
        <v>0</v>
      </c>
      <c r="FO4" s="1198" t="s">
        <v>2819</v>
      </c>
      <c r="FP4" s="1198" t="s">
        <v>2820</v>
      </c>
      <c r="FQ4" s="1197">
        <f>SUM(FQ5:FQ12)</f>
        <v>0</v>
      </c>
      <c r="FR4" s="1198" t="s">
        <v>2056</v>
      </c>
      <c r="FS4" s="1197">
        <f>SUM(FS5:FS12)</f>
        <v>0</v>
      </c>
      <c r="FT4" s="1198" t="s">
        <v>2056</v>
      </c>
      <c r="FU4" s="1197">
        <f>SUM(FU5:FU12)</f>
        <v>0</v>
      </c>
      <c r="FV4" s="1198" t="s">
        <v>2819</v>
      </c>
      <c r="FW4" s="1198" t="s">
        <v>2820</v>
      </c>
      <c r="FX4" s="1197">
        <f>SUM(FX5:FX12)</f>
        <v>0</v>
      </c>
      <c r="FY4" s="1198" t="s">
        <v>2819</v>
      </c>
      <c r="FZ4" s="1198" t="s">
        <v>2820</v>
      </c>
      <c r="GA4" s="1197">
        <f>SUM(GA5:GA12)</f>
        <v>0</v>
      </c>
      <c r="GB4" s="1198" t="s">
        <v>2819</v>
      </c>
      <c r="GC4" s="1198" t="s">
        <v>2820</v>
      </c>
      <c r="GD4" s="1197">
        <f>SUM(GD5:GD12)</f>
        <v>0</v>
      </c>
      <c r="GE4" s="1198" t="s">
        <v>2056</v>
      </c>
      <c r="GF4" s="1197">
        <f>SUM(GF5:GF12)</f>
        <v>0</v>
      </c>
      <c r="GG4" s="1199" t="s">
        <v>2056</v>
      </c>
      <c r="GH4" s="1197">
        <f>SUM(GH5:GH12)</f>
        <v>0</v>
      </c>
      <c r="GI4" s="1198" t="s">
        <v>2819</v>
      </c>
      <c r="GJ4" s="1198" t="s">
        <v>2820</v>
      </c>
      <c r="GK4" s="1197">
        <f>SUM(GK5:GK12)</f>
        <v>0</v>
      </c>
      <c r="GL4" s="1198" t="s">
        <v>2819</v>
      </c>
      <c r="GM4" s="1198" t="s">
        <v>2820</v>
      </c>
      <c r="GN4" s="1197">
        <f>SUM(GN5:GN12)</f>
        <v>0</v>
      </c>
      <c r="GO4" s="1198" t="s">
        <v>2819</v>
      </c>
      <c r="GP4" s="1198" t="s">
        <v>2820</v>
      </c>
      <c r="GQ4" s="1197">
        <f>SUM(GQ5:GQ12)</f>
        <v>0</v>
      </c>
      <c r="GR4" s="1198" t="s">
        <v>2056</v>
      </c>
      <c r="GS4" s="1197">
        <f>SUM(GS5:GS12)</f>
        <v>0</v>
      </c>
      <c r="GT4" s="1198" t="s">
        <v>2056</v>
      </c>
      <c r="GU4" s="1197">
        <f>SUM(GU5:GU12)</f>
        <v>0</v>
      </c>
      <c r="GV4" s="1198" t="s">
        <v>2819</v>
      </c>
      <c r="GW4" s="1198" t="s">
        <v>2820</v>
      </c>
      <c r="GX4" s="1197">
        <f>SUM(GX5:GX12)</f>
        <v>0</v>
      </c>
      <c r="GY4" s="1198" t="s">
        <v>2819</v>
      </c>
      <c r="GZ4" s="1198" t="s">
        <v>2820</v>
      </c>
      <c r="HA4" s="1197">
        <f>SUM(HA5:HA12)</f>
        <v>0</v>
      </c>
      <c r="HB4" s="1198" t="s">
        <v>2819</v>
      </c>
      <c r="HC4" s="1198" t="s">
        <v>2820</v>
      </c>
      <c r="HD4" s="1197">
        <f>SUM(HD5:HD12)</f>
        <v>0</v>
      </c>
      <c r="HE4" s="1198" t="s">
        <v>2056</v>
      </c>
      <c r="HF4" s="1197">
        <f>SUM(HF5:HF12)</f>
        <v>0</v>
      </c>
      <c r="HG4" s="1198" t="s">
        <v>2056</v>
      </c>
      <c r="HH4" s="1197">
        <f>SUM(HH5:HH12)</f>
        <v>0</v>
      </c>
      <c r="HI4" s="1198" t="s">
        <v>2819</v>
      </c>
      <c r="HJ4" s="1198" t="s">
        <v>2820</v>
      </c>
      <c r="HK4" s="1197">
        <f>SUM(HK5:HK12)</f>
        <v>0</v>
      </c>
      <c r="HL4" s="1198" t="s">
        <v>2819</v>
      </c>
      <c r="HM4" s="1198" t="s">
        <v>2820</v>
      </c>
      <c r="HN4" s="1197">
        <f>SUM(HN5:HN12)</f>
        <v>0</v>
      </c>
      <c r="HO4" s="1198" t="s">
        <v>2819</v>
      </c>
      <c r="HP4" s="1198" t="s">
        <v>2820</v>
      </c>
      <c r="HQ4" s="1197">
        <f>SUM(HQ5:HQ12)</f>
        <v>0</v>
      </c>
      <c r="HR4" s="1198" t="s">
        <v>2056</v>
      </c>
      <c r="HS4" s="1197">
        <f>SUM(HS5:HS12)</f>
        <v>0</v>
      </c>
      <c r="HT4" s="1198" t="s">
        <v>2056</v>
      </c>
      <c r="HU4" s="1197">
        <f>SUM(HU5:HU12)</f>
        <v>0</v>
      </c>
      <c r="HV4" s="1198" t="s">
        <v>2819</v>
      </c>
      <c r="HW4" s="1198" t="s">
        <v>2820</v>
      </c>
      <c r="HX4" s="1197">
        <f>SUM(HX5:HX12)</f>
        <v>0</v>
      </c>
      <c r="HY4" s="1198" t="s">
        <v>2819</v>
      </c>
      <c r="HZ4" s="1198" t="s">
        <v>2820</v>
      </c>
      <c r="IA4" s="1197">
        <f>SUM(IA5:IA12)</f>
        <v>0</v>
      </c>
      <c r="IB4" s="1198" t="s">
        <v>2819</v>
      </c>
      <c r="IC4" s="1198" t="s">
        <v>2820</v>
      </c>
      <c r="ID4" s="1197">
        <f>SUM(ID5:ID12)</f>
        <v>0</v>
      </c>
      <c r="IE4" s="1198" t="s">
        <v>2056</v>
      </c>
      <c r="IF4" s="1197">
        <f>SUM(IF5:IF12)</f>
        <v>0</v>
      </c>
      <c r="IG4" s="1198" t="s">
        <v>2056</v>
      </c>
      <c r="IH4" s="1197">
        <f>SUM(IH5:IH12)</f>
        <v>0</v>
      </c>
      <c r="II4" s="1198" t="s">
        <v>2819</v>
      </c>
      <c r="IJ4" s="1198" t="s">
        <v>2820</v>
      </c>
      <c r="IK4" s="1197">
        <f>SUM(IK5:IK12)</f>
        <v>0</v>
      </c>
      <c r="IL4" s="1198" t="s">
        <v>2819</v>
      </c>
      <c r="IM4" s="1198" t="s">
        <v>2820</v>
      </c>
      <c r="IN4" s="1197">
        <f>SUM(IN5:IN12)</f>
        <v>3418460</v>
      </c>
      <c r="IO4" s="1198" t="s">
        <v>2819</v>
      </c>
      <c r="IP4" s="1198" t="s">
        <v>2820</v>
      </c>
      <c r="IQ4" s="1197">
        <f>SUM(IQ5:IQ12)</f>
        <v>3418460</v>
      </c>
      <c r="IR4" s="1198" t="str">
        <f t="shared" ref="IR4:IR97" si="1">IFERROR(IQ4/IH4,"")</f>
        <v/>
      </c>
      <c r="IS4" s="1197">
        <f>SUM(IS5:IS12)</f>
        <v>3418460</v>
      </c>
      <c r="IT4" s="1198" t="str">
        <f t="shared" ref="IT4:IT97" si="2">IFERROR(IS4/IK4,"")</f>
        <v/>
      </c>
    </row>
    <row r="5" outlineLevel="1">
      <c r="A5" s="1086">
        <f t="shared" ref="A5:A12" si="3">IF(C5="","",COUNTA(C$5:C5))</f>
        <v>1</v>
      </c>
      <c r="B5" s="1087" t="s">
        <v>2066</v>
      </c>
      <c r="C5" s="1087" t="s">
        <v>208</v>
      </c>
      <c r="D5" s="1087" t="str">
        <f t="shared" ref="D5:D12" si="4">C5</f>
        <v>THU</v>
      </c>
      <c r="E5" s="1087" t="s">
        <v>198</v>
      </c>
      <c r="F5" s="1087"/>
      <c r="G5" s="1086">
        <v>2.0</v>
      </c>
      <c r="H5" s="1088">
        <f>SUMIFS(BP_SOTIEN,BP_DOI ,$C5,BP_THANG,H$2,BP_KM,$E5)/1000</f>
        <v>0</v>
      </c>
      <c r="I5" s="1089" t="str">
        <f t="shared" ref="I5:I13" si="5">IFERROR(H5/H$4,"")</f>
        <v/>
      </c>
      <c r="J5" s="3"/>
      <c r="K5" s="1090">
        <f>IF(NOW()&gt;=DATE(YEAR(H$2),MONTH(H$2)+1,DAY(H$2)),SUMIFS(TF_SOTIEN,TF_DOI,$C5,TF_THANG,H$2,TF_KM,$E5)/1000, N5)</f>
        <v>0</v>
      </c>
      <c r="L5" s="1089" t="str">
        <f t="shared" ref="L5:L13" si="6">IFERROR(K5/K$4,"")</f>
        <v/>
      </c>
      <c r="M5" s="3"/>
      <c r="N5" s="1090">
        <f>IF(NOW()&gt;=DATE(YEAR(H$2),MONTH(H$2)+1,DAY(H$2)),SUMIFS(AC_SOTIEN,AC_DOI,$C5,AC_THANG,H$2,AC_KM,$E5),SUMIFS(TF_SOTIEN,TF_DOI,$C5,TF_THANG,H$2,TF_KM,$E5))/ 1000</f>
        <v>1668460</v>
      </c>
      <c r="O5" s="1089">
        <f t="shared" ref="O5:O13" si="7">IFERROR(N5/N$4,"")</f>
        <v>0.488073577</v>
      </c>
      <c r="P5" s="3"/>
      <c r="Q5" s="1090">
        <f t="shared" ref="Q5:Q97" si="8">N5-H5</f>
        <v>1668460</v>
      </c>
      <c r="R5" s="1091" t="str">
        <f t="shared" ref="R5:R97" si="9">IFERROR(Q5/H5,"")</f>
        <v/>
      </c>
      <c r="S5" s="1090">
        <f t="shared" ref="S5:S97" si="10">N5-K5</f>
        <v>1668460</v>
      </c>
      <c r="T5" s="1091" t="str">
        <f t="shared" ref="T5:T97" si="11">IFERROR(S5/K5,"")</f>
        <v/>
      </c>
      <c r="U5" s="1088">
        <f>SUMIFS(BP_SOTIEN,BP_DA,$C5,BP_THANG,U$2,BP_KM,$E5)/1000</f>
        <v>0</v>
      </c>
      <c r="V5" s="1089" t="str">
        <f t="shared" ref="V5:V13" si="12">IFERROR(U5/U$4,"")</f>
        <v/>
      </c>
      <c r="W5" s="3"/>
      <c r="X5" s="1090">
        <f>IF(NOW()&gt;=DATE(YEAR(U$2),MONTH(U$2)+1,DAY(U$2)),SUMIFS(TF_SOTIEN,TF_DA,$C5,TF_THANG,U$2,TF_KM,$E5)/1000, AA5)</f>
        <v>0</v>
      </c>
      <c r="Y5" s="1089" t="str">
        <f t="shared" ref="Y5:Y13" si="13">IFERROR(X5/X$4,"")</f>
        <v/>
      </c>
      <c r="Z5" s="3"/>
      <c r="AA5" s="1090">
        <f>IF(NOW()&gt;=DATE(YEAR(U$2),MONTH(U$2)+1,DAY(U$2)),SUMIFS(AC_SOTIEN,AC_DA,$C5,AC_THANG,U$2,AC_KM,$E5),SUMIFS(TF_SOTIEN,TF_DA,$C5,TF_THANG,U$2,TF_KM,$E5))/ 1000</f>
        <v>0</v>
      </c>
      <c r="AB5" s="1089" t="str">
        <f t="shared" ref="AB5:AB13" si="14">IFERROR(AA5/AA$4,"")</f>
        <v/>
      </c>
      <c r="AC5" s="3"/>
      <c r="AD5" s="1090">
        <f t="shared" ref="AD5:AD97" si="15">AA5-U5</f>
        <v>0</v>
      </c>
      <c r="AE5" s="1091" t="str">
        <f t="shared" ref="AE5:AE97" si="16">IFERROR(AD5/U5,"")</f>
        <v/>
      </c>
      <c r="AF5" s="1090">
        <f t="shared" ref="AF5:AF97" si="17">AA5-X5</f>
        <v>0</v>
      </c>
      <c r="AG5" s="1091" t="str">
        <f t="shared" ref="AG5:AG97" si="18">IFERROR(AF5/X5,"")</f>
        <v/>
      </c>
      <c r="AH5" s="1088">
        <f>SUMIFS(BP_SOTIEN,BP_DA,$C5,BP_THANG,AH$2,BP_KM,$E5)/1000</f>
        <v>0</v>
      </c>
      <c r="AI5" s="1089" t="str">
        <f t="shared" ref="AI5:AI13" si="19">IFERROR(AH5/AH$4,"")</f>
        <v/>
      </c>
      <c r="AJ5" s="3"/>
      <c r="AK5" s="1090">
        <f>IF(NOW()&gt;=DATE(YEAR(AH$2),MONTH(AH$2)+1,DAY(AH$2)),SUMIFS(TF_SOTIEN,TF_DA,$C5,TF_THANG,AH$2,TF_KM,$E5)/1000, AN5)</f>
        <v>0</v>
      </c>
      <c r="AL5" s="1089" t="str">
        <f t="shared" ref="AL5:AL13" si="20">IFERROR(AK5/AK$4,"")</f>
        <v/>
      </c>
      <c r="AM5" s="3"/>
      <c r="AN5" s="1090">
        <f>IF(NOW()&gt;=DATE(YEAR(AH$2),MONTH(AH$2)+1,DAY(AH$2)),SUMIFS(AC_SOTIEN,AC_DA,$C5,AC_THANG,AH$2,AC_KM,$E5),SUMIFS(TF_SOTIEN,TF_DA,$C5,TF_THANG,AH$2,TF_KM,$E5))/ 1000</f>
        <v>0</v>
      </c>
      <c r="AO5" s="1089" t="str">
        <f t="shared" ref="AO5:AO12" si="21">IFERROR(AN5/AN$4,"")</f>
        <v/>
      </c>
      <c r="AP5" s="3"/>
      <c r="AQ5" s="1090">
        <f t="shared" ref="AQ5:AQ97" si="22">AN5-AH5</f>
        <v>0</v>
      </c>
      <c r="AR5" s="1091" t="str">
        <f t="shared" ref="AR5:AR97" si="23">IFERROR(AQ5/AH5,"")</f>
        <v/>
      </c>
      <c r="AS5" s="1090">
        <f t="shared" ref="AS5:AS97" si="24">AN5-AK5</f>
        <v>0</v>
      </c>
      <c r="AT5" s="1091" t="str">
        <f t="shared" ref="AT5:AT97" si="25">IFERROR(AS5/AK5,"")</f>
        <v/>
      </c>
      <c r="AU5" s="1088">
        <f t="shared" ref="AU5:AU12" si="26">SUMIF(H$3:AT$3,AU$3,H5:AT5)</f>
        <v>0</v>
      </c>
      <c r="AV5" s="1089" t="str">
        <f t="shared" ref="AV5:AV13" si="27">IFERROR(AU5/AU$4,"")</f>
        <v/>
      </c>
      <c r="AW5" s="3"/>
      <c r="AX5" s="1090">
        <f t="shared" ref="AX5:AX12" si="28">SUMIF(H$3:AT$3,AX$3,H5:AT5)</f>
        <v>0</v>
      </c>
      <c r="AY5" s="1089" t="str">
        <f t="shared" ref="AY5:AY13" si="29">IFERROR(AX5/AX$4,"")</f>
        <v/>
      </c>
      <c r="AZ5" s="3"/>
      <c r="BA5" s="1090">
        <f t="shared" ref="BA5:BA12" si="30">SUMIF(H$3:AT$3,"AC",H5:AT5)+SUMIF(H$3:AT$3,"TF",H5:AT5)</f>
        <v>1668460</v>
      </c>
      <c r="BB5" s="1089">
        <f t="shared" ref="BB5:BB13" si="31">IFERROR(BA5/BA$4,"")</f>
        <v>0.488073577</v>
      </c>
      <c r="BC5" s="3"/>
      <c r="BD5" s="1090">
        <f t="shared" ref="BD5:BD97" si="32">BA5-AU5</f>
        <v>1668460</v>
      </c>
      <c r="BE5" s="1091" t="str">
        <f t="shared" ref="BE5:BE97" si="33">IFERROR(BD5/AU5,"")</f>
        <v/>
      </c>
      <c r="BF5" s="1090">
        <f t="shared" ref="BF5:BF97" si="34">BA5-AX5</f>
        <v>1668460</v>
      </c>
      <c r="BG5" s="1091" t="str">
        <f t="shared" ref="BG5:BG97" si="35">IFERROR(BF5/AX5,"")</f>
        <v/>
      </c>
      <c r="BH5" s="1088">
        <f>SUMIFS(BP_SOTIEN,BP_DA,$C5,BP_THANG,BH$2,BP_KM,$E5)/1000</f>
        <v>0</v>
      </c>
      <c r="BI5" s="1089" t="str">
        <f t="shared" ref="BI5:BI13" si="36">IFERROR(BH5/BH$4,"")</f>
        <v/>
      </c>
      <c r="BJ5" s="3"/>
      <c r="BK5" s="1090">
        <f>IF(NOW()&gt;=DATE(YEAR(BH$2),MONTH(BH$2)+1,DAY(BH$2)),SUMIFS(TF_SOTIEN,TF_DA,$C5,TF_THANG,BH$2,TF_KM,$E5)/1000, BN5)</f>
        <v>0</v>
      </c>
      <c r="BL5" s="1089" t="str">
        <f t="shared" ref="BL5:BL13" si="37">IFERROR(BK5/BK$4,"")</f>
        <v/>
      </c>
      <c r="BM5" s="3"/>
      <c r="BN5" s="1090">
        <f>IF(NOW()&gt;=DATE(YEAR(BH$2),MONTH(BH$2)+1,DAY(BH$2)),SUMIFS(AC_SOTIEN,AC_DA,$C5,AC_THANG,BH$2,AC_KM,$E5),SUMIFS(TF_SOTIEN,TF_DA,$C5,TF_THANG,BH$2,TF_KM,$E5))/ 1000</f>
        <v>0</v>
      </c>
      <c r="BO5" s="1089" t="str">
        <f t="shared" ref="BO5:BO13" si="38">IFERROR(BN5/BN$4,"")</f>
        <v/>
      </c>
      <c r="BP5" s="3"/>
      <c r="BQ5" s="1090">
        <f t="shared" ref="BQ5:BQ97" si="39">BN5-BH5</f>
        <v>0</v>
      </c>
      <c r="BR5" s="1091" t="str">
        <f t="shared" ref="BR5:BR97" si="40">IFERROR(BQ5/BH5,"")</f>
        <v/>
      </c>
      <c r="BS5" s="1090">
        <f t="shared" ref="BS5:BS97" si="41">BN5-BK5</f>
        <v>0</v>
      </c>
      <c r="BT5" s="1091" t="str">
        <f t="shared" ref="BT5:BT97" si="42">IFERROR(BS5/BK5,"")</f>
        <v/>
      </c>
      <c r="BU5" s="1088">
        <f>SUMIFS(BP_SOTIEN,BP_DA,$C5,BP_THANG,BU$2,BP_KM,$E5)/1000</f>
        <v>0</v>
      </c>
      <c r="BV5" s="1089" t="str">
        <f t="shared" ref="BV5:BV13" si="43">IFERROR(BU5/BU$4,"")</f>
        <v/>
      </c>
      <c r="BW5" s="3"/>
      <c r="BX5" s="1090">
        <f>IF(NOW()&gt;=DATE(YEAR(BU$2),MONTH(BU$2)+1,DAY(BU$2)),SUMIFS(TF_SOTIEN,TF_DA,$C5,TF_THANG,BU$2,TF_KM,$E5)/1000, CA5)</f>
        <v>0</v>
      </c>
      <c r="BY5" s="1089" t="str">
        <f t="shared" ref="BY5:BY13" si="44">IFERROR(BX5/BX$4,"")</f>
        <v/>
      </c>
      <c r="BZ5" s="3"/>
      <c r="CA5" s="1090">
        <f>IF(NOW()&gt;=DATE(YEAR(BU$2),MONTH(BU$2)+1,DAY(BU$2)),SUMIFS(AC_SOTIEN,AC_DA,$C5,AC_THANG,BU$2,AC_KM,$E5),SUMIFS(TF_SOTIEN,TF_DA,$C5,TF_THANG,BU$2,TF_KM,$E5))/ 1000</f>
        <v>0</v>
      </c>
      <c r="CB5" s="1089" t="str">
        <f t="shared" ref="CB5:CB12" si="45">IFERROR(CA5/CA$4,"")</f>
        <v/>
      </c>
      <c r="CC5" s="3"/>
      <c r="CD5" s="1090">
        <f t="shared" ref="CD5:CD97" si="46">CA5-BU5</f>
        <v>0</v>
      </c>
      <c r="CE5" s="1091" t="str">
        <f t="shared" ref="CE5:CE97" si="47">IFERROR(CD5/BU5,"")</f>
        <v/>
      </c>
      <c r="CF5" s="1090">
        <f t="shared" ref="CF5:CF97" si="48">CA5-BX5</f>
        <v>0</v>
      </c>
      <c r="CG5" s="1091" t="str">
        <f t="shared" ref="CG5:CG97" si="49">IFERROR(CF5/BX5,"")</f>
        <v/>
      </c>
      <c r="CH5" s="1088">
        <f>SUMIFS(BP_SOTIEN,BP_DA,$C5,BP_THANG,CH$2,BP_KM,$E5)/1000</f>
        <v>0</v>
      </c>
      <c r="CI5" s="1089" t="str">
        <f t="shared" ref="CI5:CI13" si="50">IFERROR(CH5/CH$4,"")</f>
        <v/>
      </c>
      <c r="CJ5" s="3"/>
      <c r="CK5" s="1090">
        <f>IF(NOW()&gt;=DATE(YEAR(CH$2),MONTH(CH$2)+1,DAY(CH$2)),SUMIFS(TF_SOTIEN,TF_DA,$C5,TF_THANG,CH$2,TF_KM,$E5)/1000, CN5)</f>
        <v>0</v>
      </c>
      <c r="CL5" s="1089" t="str">
        <f t="shared" ref="CL5:CL13" si="51">IFERROR(CK5/CK$4,"")</f>
        <v/>
      </c>
      <c r="CM5" s="3"/>
      <c r="CN5" s="1090">
        <f>IF(NOW()&gt;=DATE(YEAR(CH$2),MONTH(CH$2)+1,DAY(CH$2)),SUMIFS(AC_SOTIEN,AC_DA,$C5,AC_THANG,CH$2,AC_KM,$E5),SUMIFS(TF_SOTIEN,TF_DA,$C5,TF_THANG,CH$2,TF_KM,$E5))/ 1000</f>
        <v>0</v>
      </c>
      <c r="CO5" s="1089" t="str">
        <f t="shared" ref="CO5:CO12" si="52">IFERROR(CN5/CN$4,"")</f>
        <v/>
      </c>
      <c r="CP5" s="3"/>
      <c r="CQ5" s="1090">
        <f t="shared" ref="CQ5:CQ97" si="53">CN5-CH5</f>
        <v>0</v>
      </c>
      <c r="CR5" s="1091" t="str">
        <f t="shared" ref="CR5:CR97" si="54">IFERROR(CQ5/CH5,"")</f>
        <v/>
      </c>
      <c r="CS5" s="1090">
        <f t="shared" ref="CS5:CS97" si="55">CN5-CK5</f>
        <v>0</v>
      </c>
      <c r="CT5" s="1091" t="str">
        <f t="shared" ref="CT5:CT97" si="56">IFERROR(CS5/CK5,"")</f>
        <v/>
      </c>
      <c r="CU5" s="1088">
        <f t="shared" ref="CU5:CU12" si="57">SUMIF(BH$3:CT$3,CU$3,BH5:CT5)</f>
        <v>0</v>
      </c>
      <c r="CV5" s="1089" t="str">
        <f t="shared" ref="CV5:CV13" si="58">IFERROR(CU5/CU$4,"")</f>
        <v/>
      </c>
      <c r="CW5" s="3"/>
      <c r="CX5" s="1090">
        <f t="shared" ref="CX5:CX12" si="59">SUMIF(BH$3:CT$3,CX$3,BH5:CT5)</f>
        <v>0</v>
      </c>
      <c r="CY5" s="1089" t="str">
        <f t="shared" ref="CY5:CY13" si="60">IFERROR(CX5/CX$4,"")</f>
        <v/>
      </c>
      <c r="CZ5" s="3"/>
      <c r="DA5" s="1090">
        <f t="shared" ref="DA5:DA12" si="61">SUMIF(BH$3:CT$3,"AC",BH5:CT5)+SUMIF(BH$3:CT$3,"TF",BH5:CT5)</f>
        <v>0</v>
      </c>
      <c r="DB5" s="1089" t="str">
        <f t="shared" ref="DB5:DB13" si="62">IFERROR(DA5/DA$4,"")</f>
        <v/>
      </c>
      <c r="DC5" s="3"/>
      <c r="DD5" s="1090">
        <f t="shared" ref="DD5:DD97" si="63">DA5-CU5</f>
        <v>0</v>
      </c>
      <c r="DE5" s="1091" t="str">
        <f t="shared" ref="DE5:DE97" si="64">IFERROR(DD5/CU5,"")</f>
        <v/>
      </c>
      <c r="DF5" s="1090">
        <f t="shared" ref="DF5:DF97" si="65">DA5-CX5</f>
        <v>0</v>
      </c>
      <c r="DG5" s="1091" t="str">
        <f t="shared" ref="DG5:DG97" si="66">IFERROR(DF5/CX5,"")</f>
        <v/>
      </c>
      <c r="DH5" s="1088">
        <f t="shared" ref="DH5:DH12" si="67">AU5+CU5</f>
        <v>0</v>
      </c>
      <c r="DI5" s="1089" t="str">
        <f t="shared" ref="DI5:DI13" si="68">IFERROR(DH5/DH$4,"")</f>
        <v/>
      </c>
      <c r="DJ5" s="3"/>
      <c r="DK5" s="1090">
        <f t="shared" ref="DK5:DK12" si="69">AX5+CX5</f>
        <v>0</v>
      </c>
      <c r="DL5" s="1089" t="str">
        <f t="shared" ref="DL5:DL13" si="70">IFERROR(DK5/DK$4,"")</f>
        <v/>
      </c>
      <c r="DM5" s="3"/>
      <c r="DN5" s="1090">
        <f t="shared" ref="DN5:DN12" si="71">BA5+DA5</f>
        <v>1668460</v>
      </c>
      <c r="DO5" s="1089">
        <f t="shared" ref="DO5:DO13" si="72">IFERROR(DN5/DN$4,"")</f>
        <v>0.488073577</v>
      </c>
      <c r="DP5" s="3"/>
      <c r="DQ5" s="1090">
        <f t="shared" ref="DQ5:DQ97" si="73">DN5-DH5</f>
        <v>1668460</v>
      </c>
      <c r="DR5" s="1091" t="str">
        <f t="shared" ref="DR5:DR97" si="74">IFERROR(DQ5/DH5,"")</f>
        <v/>
      </c>
      <c r="DS5" s="1090">
        <f t="shared" ref="DS5:DS97" si="75">DN5-DK5</f>
        <v>1668460</v>
      </c>
      <c r="DT5" s="1091" t="str">
        <f t="shared" ref="DT5:DT97" si="76">IFERROR(DS5/DK5,"")</f>
        <v/>
      </c>
      <c r="DU5" s="1088">
        <f>SUMIFS(BP_SOTIEN,BP_DA,$C5,BP_THANG,DU$2,BP_KM,$E5)/1000</f>
        <v>0</v>
      </c>
      <c r="DV5" s="1089" t="str">
        <f t="shared" ref="DV5:DV13" si="77">IFERROR(DU5/DU$4,"")</f>
        <v/>
      </c>
      <c r="DW5" s="3"/>
      <c r="DX5" s="1090">
        <f>IF(NOW()&gt;=DATE(YEAR(DU$2),MONTH(DU$2)+1,DAY(DU$2)),SUMIFS(TF_SOTIEN,TF_DA,$C5,TF_THANG,DU$2,TF_KM,$E5)/1000, EA5)</f>
        <v>0</v>
      </c>
      <c r="DY5" s="1089" t="str">
        <f t="shared" ref="DY5:DY13" si="78">IFERROR(DX5/DX$4,"")</f>
        <v/>
      </c>
      <c r="DZ5" s="3"/>
      <c r="EA5" s="1090">
        <f>IF(NOW()&gt;=DATE(YEAR(DU$2),MONTH(DU$2)+1,DAY(DU$2)),SUMIFS(AC_SOTIEN,AC_DA,$C5,AC_THANG,DU$2,AC_KM,$E5),SUMIFS(TF_SOTIEN,TF_DA,$C5,TF_THANG,DU$2,TF_KM,$E5))/ 1000</f>
        <v>0</v>
      </c>
      <c r="EB5" s="1089" t="str">
        <f t="shared" ref="EB5:EB12" si="79">IFERROR(EA5/EA$4,"")</f>
        <v/>
      </c>
      <c r="EC5" s="3"/>
      <c r="ED5" s="1090">
        <f t="shared" ref="ED5:ED97" si="80">EA5-DU5</f>
        <v>0</v>
      </c>
      <c r="EE5" s="1091" t="str">
        <f t="shared" ref="EE5:EE97" si="81">IFERROR(ED5/DU5,"")</f>
        <v/>
      </c>
      <c r="EF5" s="1090">
        <f t="shared" ref="EF5:EF97" si="82">EA5-DX5</f>
        <v>0</v>
      </c>
      <c r="EG5" s="1091" t="str">
        <f t="shared" ref="EG5:EG97" si="83">IFERROR(EF5/DX5,"")</f>
        <v/>
      </c>
      <c r="EH5" s="1088">
        <f>SUMIFS(BP_SOTIEN,BP_DA,$C5,BP_THANG,EH$2,BP_KM,$E5)/1000</f>
        <v>0</v>
      </c>
      <c r="EI5" s="1089" t="str">
        <f t="shared" ref="EI5:EI13" si="84">IFERROR(EH5/EH$4,"")</f>
        <v/>
      </c>
      <c r="EJ5" s="3"/>
      <c r="EK5" s="1090">
        <f>IF(NOW()&gt;=DATE(YEAR(EH$2),MONTH(EH$2)+1,DAY(EH$2)),SUMIFS(TF_SOTIEN,TF_DA,$C5,TF_THANG,EH$2,TF_KM,$E5)/1000, EN5)</f>
        <v>0</v>
      </c>
      <c r="EL5" s="1089" t="str">
        <f t="shared" ref="EL5:EL13" si="85">IFERROR(EK5/EK$4,"")</f>
        <v/>
      </c>
      <c r="EM5" s="3"/>
      <c r="EN5" s="1090">
        <f>IF(NOW()&gt;=DATE(YEAR(EH$2),MONTH(EH$2)+1,DAY(EH$2)),SUMIFS(AC_SOTIEN,AC_DA,$C5,AC_THANG,EH$2,AC_KM,$E5),SUMIFS(TF_SOTIEN,TF_DA,$C5,TF_THANG,EH$2,TF_KM,$E5))/ 1000</f>
        <v>0</v>
      </c>
      <c r="EO5" s="1089" t="str">
        <f t="shared" ref="EO5:EO12" si="86">IFERROR(EN5/EN$4,"")</f>
        <v/>
      </c>
      <c r="EP5" s="3"/>
      <c r="EQ5" s="1090">
        <f t="shared" ref="EQ5:EQ97" si="87">EN5-EH5</f>
        <v>0</v>
      </c>
      <c r="ER5" s="1091" t="str">
        <f t="shared" ref="ER5:ER97" si="88">IFERROR(EQ5/EH5,"")</f>
        <v/>
      </c>
      <c r="ES5" s="1090">
        <f t="shared" ref="ES5:ES97" si="89">EN5-EK5</f>
        <v>0</v>
      </c>
      <c r="ET5" s="1091" t="str">
        <f t="shared" ref="ET5:ET97" si="90">IFERROR(ES5/EK5,"")</f>
        <v/>
      </c>
      <c r="EU5" s="1088">
        <f>SUMIFS(BP_SOTIEN,BP_DA,$C5,BP_THANG,EU$2,BP_KM,$E5)/1000</f>
        <v>0</v>
      </c>
      <c r="EV5" s="1089" t="str">
        <f t="shared" ref="EV5:EV13" si="91">IFERROR(EU5/EU$4,"")</f>
        <v/>
      </c>
      <c r="EW5" s="3"/>
      <c r="EX5" s="1090">
        <f>IF(NOW()&gt;=DATE(YEAR(EU$2),MONTH(EU$2)+1,DAY(EU$2)),SUMIFS(TF_SOTIEN,TF_DA,$C5,TF_THANG,EU$2,TF_KM,$E5)/1000, FA5)</f>
        <v>0</v>
      </c>
      <c r="EY5" s="1089" t="str">
        <f t="shared" ref="EY5:EY13" si="92">IFERROR(EX5/EX$4,"")</f>
        <v/>
      </c>
      <c r="EZ5" s="3"/>
      <c r="FA5" s="1090">
        <f>IF(NOW()&gt;=DATE(YEAR(EU$2),MONTH(EU$2)+1,DAY(EU$2)),SUMIFS(AC_SOTIEN,AC_DA,$C5,AC_THANG,EU$2,AC_KM,$E5),SUMIFS(TF_SOTIEN,TF_DA,$C5,TF_THANG,EU$2,TF_KM,$E5))/ 1000</f>
        <v>0</v>
      </c>
      <c r="FB5" s="1089" t="str">
        <f t="shared" ref="FB5:FB12" si="93">IFERROR(FA5/FA$4,"")</f>
        <v/>
      </c>
      <c r="FC5" s="3"/>
      <c r="FD5" s="1090">
        <f t="shared" ref="FD5:FD97" si="94">FA5-EU5</f>
        <v>0</v>
      </c>
      <c r="FE5" s="1091" t="str">
        <f t="shared" ref="FE5:FE97" si="95">IFERROR(FD5/EU5,"")</f>
        <v/>
      </c>
      <c r="FF5" s="1090">
        <f t="shared" ref="FF5:FF97" si="96">FA5-EX5</f>
        <v>0</v>
      </c>
      <c r="FG5" s="1091" t="str">
        <f t="shared" ref="FG5:FG97" si="97">IFERROR(FF5/EX5,"")</f>
        <v/>
      </c>
      <c r="FH5" s="1088">
        <f t="shared" ref="FH5:FH12" si="98">SUMIF(DU$3:FG$3,FH$3,DU5:FG5)</f>
        <v>0</v>
      </c>
      <c r="FI5" s="1089" t="str">
        <f t="shared" ref="FI5:FI13" si="99">IFERROR(FH5/FH$4,"")</f>
        <v/>
      </c>
      <c r="FJ5" s="3"/>
      <c r="FK5" s="1090">
        <f t="shared" ref="FK5:FK12" si="100">SUMIF(DU$3:FG$3,FK$3,DU5:FG5)</f>
        <v>0</v>
      </c>
      <c r="FL5" s="1089" t="str">
        <f t="shared" ref="FL5:FL13" si="101">IFERROR(FK5/FK$4,"")</f>
        <v/>
      </c>
      <c r="FM5" s="3"/>
      <c r="FN5" s="1090">
        <f t="shared" ref="FN5:FN12" si="102">SUMIF(DU$3:FG$3,"AC",DU5:FG5)+SUMIF(DU$3:FG$3,"TF",DU5:FG5)</f>
        <v>0</v>
      </c>
      <c r="FO5" s="1089" t="str">
        <f t="shared" ref="FO5:FO13" si="103">IFERROR(FN5/FN$4,"")</f>
        <v/>
      </c>
      <c r="FP5" s="3"/>
      <c r="FQ5" s="1090">
        <f t="shared" ref="FQ5:FQ97" si="104">FN5-FH5</f>
        <v>0</v>
      </c>
      <c r="FR5" s="1091" t="str">
        <f t="shared" ref="FR5:FR97" si="105">IFERROR(FQ5/FH5,"")</f>
        <v/>
      </c>
      <c r="FS5" s="1090">
        <f t="shared" ref="FS5:FS97" si="106">FN5-FK5</f>
        <v>0</v>
      </c>
      <c r="FT5" s="1091" t="str">
        <f t="shared" ref="FT5:FT97" si="107">IFERROR(FS5/FK5,"")</f>
        <v/>
      </c>
      <c r="FU5" s="1088">
        <f>SUMIFS(BP_SOTIEN,BP_DA,$C5,BP_THANG,FU$2,BP_KM,$E5)/1000</f>
        <v>0</v>
      </c>
      <c r="FV5" s="1089" t="str">
        <f t="shared" ref="FV5:FV13" si="108">IFERROR(FU5/FU$4,"")</f>
        <v/>
      </c>
      <c r="FW5" s="3"/>
      <c r="FX5" s="1090">
        <f>IF(NOW()&gt;=DATE(YEAR(FU$2),MONTH(FU$2)+1,DAY(FU$2)),SUMIFS(TF_SOTIEN,TF_DA,$C5,TF_THANG,FU$2,TF_KM,$E5)/1000, GA5)</f>
        <v>0</v>
      </c>
      <c r="FY5" s="1089" t="str">
        <f t="shared" ref="FY5:FY13" si="109">IFERROR(FX5/FX$4,"")</f>
        <v/>
      </c>
      <c r="FZ5" s="3"/>
      <c r="GA5" s="1090">
        <f>IF(NOW()&gt;=DATE(YEAR(FU$2),MONTH(FU$2)+1,DAY(FU$2)),SUMIFS(AC_SOTIEN,AC_DA,$C5,AC_THANG,FU$2,AC_KM,$E5),SUMIFS(TF_SOTIEN,TF_DA,$C5,TF_THANG,FU$2,TF_KM,$E5))/ 1000</f>
        <v>0</v>
      </c>
      <c r="GB5" s="1089" t="str">
        <f t="shared" ref="GB5:GB12" si="110">IFERROR(GA5/GA$4,"")</f>
        <v/>
      </c>
      <c r="GC5" s="3"/>
      <c r="GD5" s="1090">
        <f t="shared" ref="GD5:GD97" si="111">GA5-FU5</f>
        <v>0</v>
      </c>
      <c r="GE5" s="1091" t="str">
        <f t="shared" ref="GE5:GE97" si="112">IFERROR(GD5/FU5,"")</f>
        <v/>
      </c>
      <c r="GF5" s="1090">
        <f t="shared" ref="GF5:GF97" si="113">GA5-FX5</f>
        <v>0</v>
      </c>
      <c r="GG5" s="1091" t="str">
        <f t="shared" ref="GG5:GG97" si="114">IFERROR(GF5/FX5,"")</f>
        <v/>
      </c>
      <c r="GH5" s="1088">
        <f>SUMIFS(BP_SOTIEN,BP_DA,$C5,BP_THANG,GH$2,BP_KM,$E5)/1000</f>
        <v>0</v>
      </c>
      <c r="GI5" s="1089" t="str">
        <f t="shared" ref="GI5:GI13" si="115">IFERROR(GH5/GH$4,"")</f>
        <v/>
      </c>
      <c r="GJ5" s="3"/>
      <c r="GK5" s="1090">
        <f>IF(NOW()&gt;=DATE(YEAR(GH$2),MONTH(GH$2)+1,DAY(GH$2)),SUMIFS(TF_SOTIEN,TF_DA,$C5,TF_THANG,GH$2,TF_KM,$E5)/1000, GN5)</f>
        <v>0</v>
      </c>
      <c r="GL5" s="1089" t="str">
        <f t="shared" ref="GL5:GL13" si="116">IFERROR(GK5/GK$4,"")</f>
        <v/>
      </c>
      <c r="GM5" s="3"/>
      <c r="GN5" s="1090">
        <f>IF(NOW()&gt;=DATE(YEAR(GH$2),MONTH(GH$2)+1,DAY(GH$2)),SUMIFS(AC_SOTIEN,AC_DA,$C5,AC_THANG,GH$2,AC_KM,$E5),SUMIFS(TF_SOTIEN,TF_DA,$C5,TF_THANG,GH$2,TF_KM,$E5))/ 1000</f>
        <v>0</v>
      </c>
      <c r="GO5" s="1089" t="str">
        <f t="shared" ref="GO5:GO12" si="117">IFERROR(GN5/GN$4,"")</f>
        <v/>
      </c>
      <c r="GP5" s="3"/>
      <c r="GQ5" s="1090">
        <f t="shared" ref="GQ5:GQ97" si="118">GN5-GH5</f>
        <v>0</v>
      </c>
      <c r="GR5" s="1091" t="str">
        <f t="shared" ref="GR5:GR97" si="119">IFERROR(GQ5/GH5,"")</f>
        <v/>
      </c>
      <c r="GS5" s="1090">
        <f t="shared" ref="GS5:GS97" si="120">GN5-GK5</f>
        <v>0</v>
      </c>
      <c r="GT5" s="1091" t="str">
        <f t="shared" ref="GT5:GT97" si="121">IFERROR(GS5/GK5,"")</f>
        <v/>
      </c>
      <c r="GU5" s="1088">
        <f>SUMIFS(BP_SOTIEN,BP_DA,$C5,BP_THANG,GU$2,BP_KM,$E5)/1000</f>
        <v>0</v>
      </c>
      <c r="GV5" s="1089" t="str">
        <f t="shared" ref="GV5:GV13" si="122">IFERROR(GU5/GU$4,"")</f>
        <v/>
      </c>
      <c r="GW5" s="3"/>
      <c r="GX5" s="1090">
        <f>IF(NOW()&gt;=DATE(YEAR(GU$2),MONTH(GU$2)+1,DAY(GU$2)),SUMIFS(TF_SOTIEN,TF_DA,$C5,TF_THANG,GU$2,TF_KM,$E5)/1000, HA5)</f>
        <v>0</v>
      </c>
      <c r="GY5" s="1089" t="str">
        <f t="shared" ref="GY5:GY13" si="123">IFERROR(GX5/GX$4,"")</f>
        <v/>
      </c>
      <c r="GZ5" s="3"/>
      <c r="HA5" s="1090">
        <f>IF(NOW()&gt;=DATE(YEAR(GU$2),MONTH(GU$2)+1,DAY(GU$2)),SUMIFS(AC_SOTIEN,AC_DA,$C5,AC_THANG,GU$2,AC_KM,$E5),SUMIFS(TF_SOTIEN,TF_DA,$C5,TF_THANG,GU$2,TF_KM,$E5))/ 1000</f>
        <v>0</v>
      </c>
      <c r="HB5" s="1089" t="str">
        <f t="shared" ref="HB5:HB12" si="124">IFERROR(HA5/HA$4,"")</f>
        <v/>
      </c>
      <c r="HC5" s="3"/>
      <c r="HD5" s="1090">
        <f t="shared" ref="HD5:HD97" si="125">HA5-GU5</f>
        <v>0</v>
      </c>
      <c r="HE5" s="1091" t="str">
        <f t="shared" ref="HE5:HE97" si="126">IFERROR(HD5/GU5,"")</f>
        <v/>
      </c>
      <c r="HF5" s="1090">
        <f t="shared" ref="HF5:HF97" si="127">HA5-GX5</f>
        <v>0</v>
      </c>
      <c r="HG5" s="1091" t="str">
        <f t="shared" ref="HG5:HG97" si="128">IFERROR(HF5/GX5,"")</f>
        <v/>
      </c>
      <c r="HH5" s="1088">
        <f t="shared" ref="HH5:HH12" si="129">SUMIF(FU$3:HG$3,HH$3,FU5:HG5)</f>
        <v>0</v>
      </c>
      <c r="HI5" s="1089" t="str">
        <f t="shared" ref="HI5:HI13" si="130">IFERROR(HH5/HH$4,"")</f>
        <v/>
      </c>
      <c r="HJ5" s="3"/>
      <c r="HK5" s="1090">
        <f t="shared" ref="HK5:HK12" si="131">SUMIF(FU$3:HG$3,HK$3,FU5:HG5)</f>
        <v>0</v>
      </c>
      <c r="HL5" s="1089" t="str">
        <f t="shared" ref="HL5:HL13" si="132">IFERROR(HK5/HK$4,"")</f>
        <v/>
      </c>
      <c r="HM5" s="3"/>
      <c r="HN5" s="1090">
        <f t="shared" ref="HN5:HN12" si="133">SUMIF(FU$3:HG$3,"AC",FU5:HG5)+SUMIF(FU$3:HG$3,"TF",FU5:HG5)</f>
        <v>0</v>
      </c>
      <c r="HO5" s="1089" t="str">
        <f t="shared" ref="HO5:HO13" si="134">IFERROR(HN5/HN$4,"")</f>
        <v/>
      </c>
      <c r="HP5" s="3"/>
      <c r="HQ5" s="1090">
        <f t="shared" ref="HQ5:HQ97" si="135">HN5-HH5</f>
        <v>0</v>
      </c>
      <c r="HR5" s="1091" t="str">
        <f t="shared" ref="HR5:HR97" si="136">IFERROR(HQ5/HH5,"")</f>
        <v/>
      </c>
      <c r="HS5" s="1090">
        <f t="shared" ref="HS5:HS97" si="137">HN5-HK5</f>
        <v>0</v>
      </c>
      <c r="HT5" s="1091" t="str">
        <f t="shared" ref="HT5:HT97" si="138">IFERROR(HS5/HK5,"")</f>
        <v/>
      </c>
      <c r="HU5" s="1088">
        <f t="shared" ref="HU5:HU12" si="139">FH5+HH5</f>
        <v>0</v>
      </c>
      <c r="HV5" s="1089" t="str">
        <f t="shared" ref="HV5:HV13" si="140">IFERROR(HU5/HU$4,"")</f>
        <v/>
      </c>
      <c r="HW5" s="3"/>
      <c r="HX5" s="1090">
        <f t="shared" ref="HX5:HX12" si="141">FK5+HK5</f>
        <v>0</v>
      </c>
      <c r="HY5" s="1089" t="str">
        <f t="shared" ref="HY5:HY13" si="142">IFERROR(HX5/HX$4,"")</f>
        <v/>
      </c>
      <c r="HZ5" s="3"/>
      <c r="IA5" s="1090">
        <f t="shared" ref="IA5:IA12" si="143">FN5+HN5</f>
        <v>0</v>
      </c>
      <c r="IB5" s="1089" t="str">
        <f t="shared" ref="IB5:IB13" si="144">IFERROR(IA5/IA$4,"")</f>
        <v/>
      </c>
      <c r="IC5" s="3"/>
      <c r="ID5" s="1090">
        <f t="shared" ref="ID5:ID97" si="145">IA5-HU5</f>
        <v>0</v>
      </c>
      <c r="IE5" s="1091" t="str">
        <f t="shared" ref="IE5:IE97" si="146">IFERROR(ID5/HU5,"")</f>
        <v/>
      </c>
      <c r="IF5" s="1090">
        <f t="shared" ref="IF5:IF97" si="147">IA5-HX5</f>
        <v>0</v>
      </c>
      <c r="IG5" s="1091" t="str">
        <f t="shared" ref="IG5:IG97" si="148">IFERROR(IF5/HX5,"")</f>
        <v/>
      </c>
      <c r="IH5" s="1088">
        <f t="shared" ref="IH5:IH12" si="149">DH5+HU5</f>
        <v>0</v>
      </c>
      <c r="II5" s="1089" t="str">
        <f t="shared" ref="II5:II13" si="150">IFERROR(IH5/IH$4,"")</f>
        <v/>
      </c>
      <c r="IJ5" s="3"/>
      <c r="IK5" s="1090">
        <f t="shared" ref="IK5:IK12" si="151">DK5+HX5</f>
        <v>0</v>
      </c>
      <c r="IL5" s="1089" t="str">
        <f t="shared" ref="IL5:IL13" si="152">IFERROR(IK5/IK$4,"")</f>
        <v/>
      </c>
      <c r="IM5" s="3"/>
      <c r="IN5" s="1090">
        <f t="shared" ref="IN5:IN12" si="153">DN5+IA5</f>
        <v>1668460</v>
      </c>
      <c r="IO5" s="1089">
        <f t="shared" ref="IO5:IO13" si="154">IFERROR(IN5/IN$4,"")</f>
        <v>0.488073577</v>
      </c>
      <c r="IP5" s="3"/>
      <c r="IQ5" s="1090">
        <f t="shared" ref="IQ5:IQ97" si="155">IN5-IH5</f>
        <v>1668460</v>
      </c>
      <c r="IR5" s="1091" t="str">
        <f t="shared" si="1"/>
        <v/>
      </c>
      <c r="IS5" s="1090">
        <f t="shared" ref="IS5:IS97" si="156">IN5-IK5</f>
        <v>1668460</v>
      </c>
      <c r="IT5" s="1091" t="str">
        <f t="shared" si="2"/>
        <v/>
      </c>
    </row>
    <row r="6" outlineLevel="1">
      <c r="A6" s="1086">
        <f t="shared" si="3"/>
        <v>2</v>
      </c>
      <c r="B6" s="1087" t="s">
        <v>2067</v>
      </c>
      <c r="C6" s="656" t="s">
        <v>210</v>
      </c>
      <c r="D6" s="1087" t="str">
        <f t="shared" si="4"/>
        <v>NAM</v>
      </c>
      <c r="E6" s="1087" t="s">
        <v>198</v>
      </c>
      <c r="F6" s="1087"/>
      <c r="G6" s="1086">
        <v>2.0</v>
      </c>
      <c r="H6" s="1088">
        <f>SUMIFS(BP_SOTIEN,BP_DOI ,$C6,BP_THANG,H$2,BP_KM,$E6)/1000</f>
        <v>0</v>
      </c>
      <c r="I6" s="1089" t="str">
        <f t="shared" si="5"/>
        <v/>
      </c>
      <c r="J6" s="3"/>
      <c r="K6" s="1090">
        <f>IF(NOW()&gt;=DATE(YEAR(H$2),MONTH(H$2)+1,DAY(H$2)),SUMIFS(TF_SOTIEN,TF_DOI,$C6,TF_THANG,H$2,TF_KM,$E6)/1000, N6)</f>
        <v>0</v>
      </c>
      <c r="L6" s="1089" t="str">
        <f t="shared" si="6"/>
        <v/>
      </c>
      <c r="M6" s="3"/>
      <c r="N6" s="1090">
        <f>IF(NOW()&gt;=DATE(YEAR(H$2),MONTH(H$2)+1,DAY(H$2)),SUMIFS(AC_SOTIEN,AC_DOI,$C6,AC_THANG,H$2,AC_KM,$E6),SUMIFS(TF_SOTIEN,TF_DOI,$C6,TF_THANG,H$2,TF_KM,$E6))/ 1000</f>
        <v>0</v>
      </c>
      <c r="O6" s="1089">
        <f t="shared" si="7"/>
        <v>0</v>
      </c>
      <c r="P6" s="3"/>
      <c r="Q6" s="1090">
        <f t="shared" si="8"/>
        <v>0</v>
      </c>
      <c r="R6" s="1091" t="str">
        <f t="shared" si="9"/>
        <v/>
      </c>
      <c r="S6" s="1090">
        <f t="shared" si="10"/>
        <v>0</v>
      </c>
      <c r="T6" s="1091" t="str">
        <f t="shared" si="11"/>
        <v/>
      </c>
      <c r="U6" s="1088">
        <f>SUMIFS(BP_SOTIEN,BP_DA,$C6,BP_THANG,U$2,BP_KM,$E6)/1000</f>
        <v>0</v>
      </c>
      <c r="V6" s="1089" t="str">
        <f t="shared" si="12"/>
        <v/>
      </c>
      <c r="W6" s="3"/>
      <c r="X6" s="1090">
        <f>IF(NOW()&gt;=DATE(YEAR(U$2),MONTH(U$2)+1,DAY(U$2)),SUMIFS(TF_SOTIEN,TF_DA,$C6,TF_THANG,U$2,TF_KM,$E6)/1000, AA6)</f>
        <v>0</v>
      </c>
      <c r="Y6" s="1089" t="str">
        <f t="shared" si="13"/>
        <v/>
      </c>
      <c r="Z6" s="3"/>
      <c r="AA6" s="1090">
        <f>IF(NOW()&gt;=DATE(YEAR(U$2),MONTH(U$2)+1,DAY(U$2)),SUMIFS(AC_SOTIEN,AC_DA,$C6,AC_THANG,U$2,AC_KM,$E6),SUMIFS(TF_SOTIEN,TF_DA,$C6,TF_THANG,U$2,TF_KM,$E6))/ 1000</f>
        <v>0</v>
      </c>
      <c r="AB6" s="1089" t="str">
        <f t="shared" si="14"/>
        <v/>
      </c>
      <c r="AC6" s="3"/>
      <c r="AD6" s="1090">
        <f t="shared" si="15"/>
        <v>0</v>
      </c>
      <c r="AE6" s="1091" t="str">
        <f t="shared" si="16"/>
        <v/>
      </c>
      <c r="AF6" s="1090">
        <f t="shared" si="17"/>
        <v>0</v>
      </c>
      <c r="AG6" s="1091" t="str">
        <f t="shared" si="18"/>
        <v/>
      </c>
      <c r="AH6" s="1088">
        <f>SUMIFS(BP_SOTIEN,BP_DA,$C6,BP_THANG,AH$2,BP_KM,$E6)/1000</f>
        <v>0</v>
      </c>
      <c r="AI6" s="1089" t="str">
        <f t="shared" si="19"/>
        <v/>
      </c>
      <c r="AJ6" s="3"/>
      <c r="AK6" s="1090">
        <f>IF(NOW()&gt;=DATE(YEAR(AH$2),MONTH(AH$2)+1,DAY(AH$2)),SUMIFS(TF_SOTIEN,TF_DA,$C6,TF_THANG,AH$2,TF_KM,$E6)/1000, AN6)</f>
        <v>0</v>
      </c>
      <c r="AL6" s="1089" t="str">
        <f t="shared" si="20"/>
        <v/>
      </c>
      <c r="AM6" s="3"/>
      <c r="AN6" s="1090">
        <f>IF(NOW()&gt;=DATE(YEAR(AH$2),MONTH(AH$2)+1,DAY(AH$2)),SUMIFS(AC_SOTIEN,AC_DA,$C6,AC_THANG,AH$2,AC_KM,$E6),SUMIFS(TF_SOTIEN,TF_DA,$C6,TF_THANG,AH$2,TF_KM,$E6))/ 1000</f>
        <v>0</v>
      </c>
      <c r="AO6" s="1089" t="str">
        <f t="shared" si="21"/>
        <v/>
      </c>
      <c r="AP6" s="3"/>
      <c r="AQ6" s="1090">
        <f t="shared" si="22"/>
        <v>0</v>
      </c>
      <c r="AR6" s="1091" t="str">
        <f t="shared" si="23"/>
        <v/>
      </c>
      <c r="AS6" s="1090">
        <f t="shared" si="24"/>
        <v>0</v>
      </c>
      <c r="AT6" s="1091" t="str">
        <f t="shared" si="25"/>
        <v/>
      </c>
      <c r="AU6" s="1088">
        <f t="shared" si="26"/>
        <v>0</v>
      </c>
      <c r="AV6" s="1089" t="str">
        <f t="shared" si="27"/>
        <v/>
      </c>
      <c r="AW6" s="3"/>
      <c r="AX6" s="1090">
        <f t="shared" si="28"/>
        <v>0</v>
      </c>
      <c r="AY6" s="1089" t="str">
        <f t="shared" si="29"/>
        <v/>
      </c>
      <c r="AZ6" s="3"/>
      <c r="BA6" s="1090">
        <f t="shared" si="30"/>
        <v>0</v>
      </c>
      <c r="BB6" s="1089">
        <f t="shared" si="31"/>
        <v>0</v>
      </c>
      <c r="BC6" s="3"/>
      <c r="BD6" s="1090">
        <f t="shared" si="32"/>
        <v>0</v>
      </c>
      <c r="BE6" s="1091" t="str">
        <f t="shared" si="33"/>
        <v/>
      </c>
      <c r="BF6" s="1090">
        <f t="shared" si="34"/>
        <v>0</v>
      </c>
      <c r="BG6" s="1091" t="str">
        <f t="shared" si="35"/>
        <v/>
      </c>
      <c r="BH6" s="1088">
        <f>SUMIFS(BP_SOTIEN,BP_DA,$C6,BP_THANG,BH$2,BP_KM,$E6)/1000</f>
        <v>0</v>
      </c>
      <c r="BI6" s="1089" t="str">
        <f t="shared" si="36"/>
        <v/>
      </c>
      <c r="BJ6" s="3"/>
      <c r="BK6" s="1090">
        <f>IF(NOW()&gt;=DATE(YEAR(BH$2),MONTH(BH$2)+1,DAY(BH$2)),SUMIFS(TF_SOTIEN,TF_DA,$C6,TF_THANG,BH$2,TF_KM,$E6)/1000, BN6)</f>
        <v>0</v>
      </c>
      <c r="BL6" s="1089" t="str">
        <f t="shared" si="37"/>
        <v/>
      </c>
      <c r="BM6" s="3"/>
      <c r="BN6" s="1090">
        <f>IF(NOW()&gt;=DATE(YEAR(BH$2),MONTH(BH$2)+1,DAY(BH$2)),SUMIFS(AC_SOTIEN,AC_DA,$C6,AC_THANG,BH$2,AC_KM,$E6),SUMIFS(TF_SOTIEN,TF_DA,$C6,TF_THANG,BH$2,TF_KM,$E6))/ 1000</f>
        <v>0</v>
      </c>
      <c r="BO6" s="1089" t="str">
        <f t="shared" si="38"/>
        <v/>
      </c>
      <c r="BP6" s="3"/>
      <c r="BQ6" s="1090">
        <f t="shared" si="39"/>
        <v>0</v>
      </c>
      <c r="BR6" s="1091" t="str">
        <f t="shared" si="40"/>
        <v/>
      </c>
      <c r="BS6" s="1090">
        <f t="shared" si="41"/>
        <v>0</v>
      </c>
      <c r="BT6" s="1091" t="str">
        <f t="shared" si="42"/>
        <v/>
      </c>
      <c r="BU6" s="1088">
        <f>SUMIFS(BP_SOTIEN,BP_DA,$C6,BP_THANG,BU$2,BP_KM,$E6)/1000</f>
        <v>0</v>
      </c>
      <c r="BV6" s="1089" t="str">
        <f t="shared" si="43"/>
        <v/>
      </c>
      <c r="BW6" s="3"/>
      <c r="BX6" s="1090">
        <f>IF(NOW()&gt;=DATE(YEAR(BU$2),MONTH(BU$2)+1,DAY(BU$2)),SUMIFS(TF_SOTIEN,TF_DA,$C6,TF_THANG,BU$2,TF_KM,$E6)/1000, CA6)</f>
        <v>0</v>
      </c>
      <c r="BY6" s="1089" t="str">
        <f t="shared" si="44"/>
        <v/>
      </c>
      <c r="BZ6" s="3"/>
      <c r="CA6" s="1090">
        <f>IF(NOW()&gt;=DATE(YEAR(BU$2),MONTH(BU$2)+1,DAY(BU$2)),SUMIFS(AC_SOTIEN,AC_DA,$C6,AC_THANG,BU$2,AC_KM,$E6),SUMIFS(TF_SOTIEN,TF_DA,$C6,TF_THANG,BU$2,TF_KM,$E6))/ 1000</f>
        <v>0</v>
      </c>
      <c r="CB6" s="1089" t="str">
        <f t="shared" si="45"/>
        <v/>
      </c>
      <c r="CC6" s="3"/>
      <c r="CD6" s="1090">
        <f t="shared" si="46"/>
        <v>0</v>
      </c>
      <c r="CE6" s="1091" t="str">
        <f t="shared" si="47"/>
        <v/>
      </c>
      <c r="CF6" s="1090">
        <f t="shared" si="48"/>
        <v>0</v>
      </c>
      <c r="CG6" s="1091" t="str">
        <f t="shared" si="49"/>
        <v/>
      </c>
      <c r="CH6" s="1088">
        <f>SUMIFS(BP_SOTIEN,BP_DA,$C6,BP_THANG,CH$2,BP_KM,$E6)/1000</f>
        <v>0</v>
      </c>
      <c r="CI6" s="1089" t="str">
        <f t="shared" si="50"/>
        <v/>
      </c>
      <c r="CJ6" s="3"/>
      <c r="CK6" s="1090">
        <f>IF(NOW()&gt;=DATE(YEAR(CH$2),MONTH(CH$2)+1,DAY(CH$2)),SUMIFS(TF_SOTIEN,TF_DA,$C6,TF_THANG,CH$2,TF_KM,$E6)/1000, CN6)</f>
        <v>0</v>
      </c>
      <c r="CL6" s="1089" t="str">
        <f t="shared" si="51"/>
        <v/>
      </c>
      <c r="CM6" s="3"/>
      <c r="CN6" s="1090">
        <f>IF(NOW()&gt;=DATE(YEAR(CH$2),MONTH(CH$2)+1,DAY(CH$2)),SUMIFS(AC_SOTIEN,AC_DA,$C6,AC_THANG,CH$2,AC_KM,$E6),SUMIFS(TF_SOTIEN,TF_DA,$C6,TF_THANG,CH$2,TF_KM,$E6))/ 1000</f>
        <v>0</v>
      </c>
      <c r="CO6" s="1089" t="str">
        <f t="shared" si="52"/>
        <v/>
      </c>
      <c r="CP6" s="3"/>
      <c r="CQ6" s="1090">
        <f t="shared" si="53"/>
        <v>0</v>
      </c>
      <c r="CR6" s="1091" t="str">
        <f t="shared" si="54"/>
        <v/>
      </c>
      <c r="CS6" s="1090">
        <f t="shared" si="55"/>
        <v>0</v>
      </c>
      <c r="CT6" s="1091" t="str">
        <f t="shared" si="56"/>
        <v/>
      </c>
      <c r="CU6" s="1088">
        <f t="shared" si="57"/>
        <v>0</v>
      </c>
      <c r="CV6" s="1089" t="str">
        <f t="shared" si="58"/>
        <v/>
      </c>
      <c r="CW6" s="3"/>
      <c r="CX6" s="1090">
        <f t="shared" si="59"/>
        <v>0</v>
      </c>
      <c r="CY6" s="1089" t="str">
        <f t="shared" si="60"/>
        <v/>
      </c>
      <c r="CZ6" s="3"/>
      <c r="DA6" s="1090">
        <f t="shared" si="61"/>
        <v>0</v>
      </c>
      <c r="DB6" s="1089" t="str">
        <f t="shared" si="62"/>
        <v/>
      </c>
      <c r="DC6" s="3"/>
      <c r="DD6" s="1090">
        <f t="shared" si="63"/>
        <v>0</v>
      </c>
      <c r="DE6" s="1091" t="str">
        <f t="shared" si="64"/>
        <v/>
      </c>
      <c r="DF6" s="1090">
        <f t="shared" si="65"/>
        <v>0</v>
      </c>
      <c r="DG6" s="1091" t="str">
        <f t="shared" si="66"/>
        <v/>
      </c>
      <c r="DH6" s="1088">
        <f t="shared" si="67"/>
        <v>0</v>
      </c>
      <c r="DI6" s="1089" t="str">
        <f t="shared" si="68"/>
        <v/>
      </c>
      <c r="DJ6" s="3"/>
      <c r="DK6" s="1090">
        <f t="shared" si="69"/>
        <v>0</v>
      </c>
      <c r="DL6" s="1089" t="str">
        <f t="shared" si="70"/>
        <v/>
      </c>
      <c r="DM6" s="3"/>
      <c r="DN6" s="1090">
        <f t="shared" si="71"/>
        <v>0</v>
      </c>
      <c r="DO6" s="1089">
        <f t="shared" si="72"/>
        <v>0</v>
      </c>
      <c r="DP6" s="3"/>
      <c r="DQ6" s="1090">
        <f t="shared" si="73"/>
        <v>0</v>
      </c>
      <c r="DR6" s="1091" t="str">
        <f t="shared" si="74"/>
        <v/>
      </c>
      <c r="DS6" s="1090">
        <f t="shared" si="75"/>
        <v>0</v>
      </c>
      <c r="DT6" s="1091" t="str">
        <f t="shared" si="76"/>
        <v/>
      </c>
      <c r="DU6" s="1088">
        <f>SUMIFS(BP_SOTIEN,BP_DA,$C6,BP_THANG,DU$2,BP_KM,$E6)/1000</f>
        <v>0</v>
      </c>
      <c r="DV6" s="1089" t="str">
        <f t="shared" si="77"/>
        <v/>
      </c>
      <c r="DW6" s="3"/>
      <c r="DX6" s="1090">
        <f>IF(NOW()&gt;=DATE(YEAR(DU$2),MONTH(DU$2)+1,DAY(DU$2)),SUMIFS(TF_SOTIEN,TF_DA,$C6,TF_THANG,DU$2,TF_KM,$E6)/1000, EA6)</f>
        <v>0</v>
      </c>
      <c r="DY6" s="1089" t="str">
        <f t="shared" si="78"/>
        <v/>
      </c>
      <c r="DZ6" s="3"/>
      <c r="EA6" s="1090">
        <f>IF(NOW()&gt;=DATE(YEAR(DU$2),MONTH(DU$2)+1,DAY(DU$2)),SUMIFS(AC_SOTIEN,AC_DA,$C6,AC_THANG,DU$2,AC_KM,$E6),SUMIFS(TF_SOTIEN,TF_DA,$C6,TF_THANG,DU$2,TF_KM,$E6))/ 1000</f>
        <v>0</v>
      </c>
      <c r="EB6" s="1089" t="str">
        <f t="shared" si="79"/>
        <v/>
      </c>
      <c r="EC6" s="3"/>
      <c r="ED6" s="1090">
        <f t="shared" si="80"/>
        <v>0</v>
      </c>
      <c r="EE6" s="1091" t="str">
        <f t="shared" si="81"/>
        <v/>
      </c>
      <c r="EF6" s="1090">
        <f t="shared" si="82"/>
        <v>0</v>
      </c>
      <c r="EG6" s="1091" t="str">
        <f t="shared" si="83"/>
        <v/>
      </c>
      <c r="EH6" s="1088">
        <f>SUMIFS(BP_SOTIEN,BP_DA,$C6,BP_THANG,EH$2,BP_KM,$E6)/1000</f>
        <v>0</v>
      </c>
      <c r="EI6" s="1089" t="str">
        <f t="shared" si="84"/>
        <v/>
      </c>
      <c r="EJ6" s="3"/>
      <c r="EK6" s="1090">
        <f>IF(NOW()&gt;=DATE(YEAR(EH$2),MONTH(EH$2)+1,DAY(EH$2)),SUMIFS(TF_SOTIEN,TF_DA,$C6,TF_THANG,EH$2,TF_KM,$E6)/1000, EN6)</f>
        <v>0</v>
      </c>
      <c r="EL6" s="1089" t="str">
        <f t="shared" si="85"/>
        <v/>
      </c>
      <c r="EM6" s="3"/>
      <c r="EN6" s="1090">
        <f>IF(NOW()&gt;=DATE(YEAR(EH$2),MONTH(EH$2)+1,DAY(EH$2)),SUMIFS(AC_SOTIEN,AC_DA,$C6,AC_THANG,EH$2,AC_KM,$E6),SUMIFS(TF_SOTIEN,TF_DA,$C6,TF_THANG,EH$2,TF_KM,$E6))/ 1000</f>
        <v>0</v>
      </c>
      <c r="EO6" s="1089" t="str">
        <f t="shared" si="86"/>
        <v/>
      </c>
      <c r="EP6" s="3"/>
      <c r="EQ6" s="1090">
        <f t="shared" si="87"/>
        <v>0</v>
      </c>
      <c r="ER6" s="1091" t="str">
        <f t="shared" si="88"/>
        <v/>
      </c>
      <c r="ES6" s="1090">
        <f t="shared" si="89"/>
        <v>0</v>
      </c>
      <c r="ET6" s="1091" t="str">
        <f t="shared" si="90"/>
        <v/>
      </c>
      <c r="EU6" s="1088">
        <f>SUMIFS(BP_SOTIEN,BP_DA,$C6,BP_THANG,EU$2,BP_KM,$E6)/1000</f>
        <v>0</v>
      </c>
      <c r="EV6" s="1089" t="str">
        <f t="shared" si="91"/>
        <v/>
      </c>
      <c r="EW6" s="3"/>
      <c r="EX6" s="1090">
        <f>IF(NOW()&gt;=DATE(YEAR(EU$2),MONTH(EU$2)+1,DAY(EU$2)),SUMIFS(TF_SOTIEN,TF_DA,$C6,TF_THANG,EU$2,TF_KM,$E6)/1000, FA6)</f>
        <v>0</v>
      </c>
      <c r="EY6" s="1089" t="str">
        <f t="shared" si="92"/>
        <v/>
      </c>
      <c r="EZ6" s="3"/>
      <c r="FA6" s="1090">
        <f>IF(NOW()&gt;=DATE(YEAR(EU$2),MONTH(EU$2)+1,DAY(EU$2)),SUMIFS(AC_SOTIEN,AC_DA,$C6,AC_THANG,EU$2,AC_KM,$E6),SUMIFS(TF_SOTIEN,TF_DA,$C6,TF_THANG,EU$2,TF_KM,$E6))/ 1000</f>
        <v>0</v>
      </c>
      <c r="FB6" s="1089" t="str">
        <f t="shared" si="93"/>
        <v/>
      </c>
      <c r="FC6" s="3"/>
      <c r="FD6" s="1090">
        <f t="shared" si="94"/>
        <v>0</v>
      </c>
      <c r="FE6" s="1091" t="str">
        <f t="shared" si="95"/>
        <v/>
      </c>
      <c r="FF6" s="1090">
        <f t="shared" si="96"/>
        <v>0</v>
      </c>
      <c r="FG6" s="1091" t="str">
        <f t="shared" si="97"/>
        <v/>
      </c>
      <c r="FH6" s="1088">
        <f t="shared" si="98"/>
        <v>0</v>
      </c>
      <c r="FI6" s="1089" t="str">
        <f t="shared" si="99"/>
        <v/>
      </c>
      <c r="FJ6" s="3"/>
      <c r="FK6" s="1090">
        <f t="shared" si="100"/>
        <v>0</v>
      </c>
      <c r="FL6" s="1089" t="str">
        <f t="shared" si="101"/>
        <v/>
      </c>
      <c r="FM6" s="3"/>
      <c r="FN6" s="1090">
        <f t="shared" si="102"/>
        <v>0</v>
      </c>
      <c r="FO6" s="1089" t="str">
        <f t="shared" si="103"/>
        <v/>
      </c>
      <c r="FP6" s="3"/>
      <c r="FQ6" s="1090">
        <f t="shared" si="104"/>
        <v>0</v>
      </c>
      <c r="FR6" s="1091" t="str">
        <f t="shared" si="105"/>
        <v/>
      </c>
      <c r="FS6" s="1090">
        <f t="shared" si="106"/>
        <v>0</v>
      </c>
      <c r="FT6" s="1091" t="str">
        <f t="shared" si="107"/>
        <v/>
      </c>
      <c r="FU6" s="1088">
        <f>SUMIFS(BP_SOTIEN,BP_DA,$C6,BP_THANG,FU$2,BP_KM,$E6)/1000</f>
        <v>0</v>
      </c>
      <c r="FV6" s="1089" t="str">
        <f t="shared" si="108"/>
        <v/>
      </c>
      <c r="FW6" s="3"/>
      <c r="FX6" s="1090">
        <f>IF(NOW()&gt;=DATE(YEAR(FU$2),MONTH(FU$2)+1,DAY(FU$2)),SUMIFS(TF_SOTIEN,TF_DA,$C6,TF_THANG,FU$2,TF_KM,$E6)/1000, GA6)</f>
        <v>0</v>
      </c>
      <c r="FY6" s="1089" t="str">
        <f t="shared" si="109"/>
        <v/>
      </c>
      <c r="FZ6" s="3"/>
      <c r="GA6" s="1090">
        <f>IF(NOW()&gt;=DATE(YEAR(FU$2),MONTH(FU$2)+1,DAY(FU$2)),SUMIFS(AC_SOTIEN,AC_DA,$C6,AC_THANG,FU$2,AC_KM,$E6),SUMIFS(TF_SOTIEN,TF_DA,$C6,TF_THANG,FU$2,TF_KM,$E6))/ 1000</f>
        <v>0</v>
      </c>
      <c r="GB6" s="1089" t="str">
        <f t="shared" si="110"/>
        <v/>
      </c>
      <c r="GC6" s="3"/>
      <c r="GD6" s="1090">
        <f t="shared" si="111"/>
        <v>0</v>
      </c>
      <c r="GE6" s="1091" t="str">
        <f t="shared" si="112"/>
        <v/>
      </c>
      <c r="GF6" s="1090">
        <f t="shared" si="113"/>
        <v>0</v>
      </c>
      <c r="GG6" s="1091" t="str">
        <f t="shared" si="114"/>
        <v/>
      </c>
      <c r="GH6" s="1088">
        <f>SUMIFS(BP_SOTIEN,BP_DA,$C6,BP_THANG,GH$2,BP_KM,$E6)/1000</f>
        <v>0</v>
      </c>
      <c r="GI6" s="1089" t="str">
        <f t="shared" si="115"/>
        <v/>
      </c>
      <c r="GJ6" s="3"/>
      <c r="GK6" s="1090">
        <f>IF(NOW()&gt;=DATE(YEAR(GH$2),MONTH(GH$2)+1,DAY(GH$2)),SUMIFS(TF_SOTIEN,TF_DA,$C6,TF_THANG,GH$2,TF_KM,$E6)/1000, GN6)</f>
        <v>0</v>
      </c>
      <c r="GL6" s="1089" t="str">
        <f t="shared" si="116"/>
        <v/>
      </c>
      <c r="GM6" s="3"/>
      <c r="GN6" s="1090">
        <f>IF(NOW()&gt;=DATE(YEAR(GH$2),MONTH(GH$2)+1,DAY(GH$2)),SUMIFS(AC_SOTIEN,AC_DA,$C6,AC_THANG,GH$2,AC_KM,$E6),SUMIFS(TF_SOTIEN,TF_DA,$C6,TF_THANG,GH$2,TF_KM,$E6))/ 1000</f>
        <v>0</v>
      </c>
      <c r="GO6" s="1089" t="str">
        <f t="shared" si="117"/>
        <v/>
      </c>
      <c r="GP6" s="3"/>
      <c r="GQ6" s="1090">
        <f t="shared" si="118"/>
        <v>0</v>
      </c>
      <c r="GR6" s="1091" t="str">
        <f t="shared" si="119"/>
        <v/>
      </c>
      <c r="GS6" s="1090">
        <f t="shared" si="120"/>
        <v>0</v>
      </c>
      <c r="GT6" s="1091" t="str">
        <f t="shared" si="121"/>
        <v/>
      </c>
      <c r="GU6" s="1088">
        <f>SUMIFS(BP_SOTIEN,BP_DA,$C6,BP_THANG,GU$2,BP_KM,$E6)/1000</f>
        <v>0</v>
      </c>
      <c r="GV6" s="1089" t="str">
        <f t="shared" si="122"/>
        <v/>
      </c>
      <c r="GW6" s="3"/>
      <c r="GX6" s="1090">
        <f>IF(NOW()&gt;=DATE(YEAR(GU$2),MONTH(GU$2)+1,DAY(GU$2)),SUMIFS(TF_SOTIEN,TF_DA,$C6,TF_THANG,GU$2,TF_KM,$E6)/1000, HA6)</f>
        <v>0</v>
      </c>
      <c r="GY6" s="1089" t="str">
        <f t="shared" si="123"/>
        <v/>
      </c>
      <c r="GZ6" s="3"/>
      <c r="HA6" s="1090">
        <f>IF(NOW()&gt;=DATE(YEAR(GU$2),MONTH(GU$2)+1,DAY(GU$2)),SUMIFS(AC_SOTIEN,AC_DA,$C6,AC_THANG,GU$2,AC_KM,$E6),SUMIFS(TF_SOTIEN,TF_DA,$C6,TF_THANG,GU$2,TF_KM,$E6))/ 1000</f>
        <v>0</v>
      </c>
      <c r="HB6" s="1089" t="str">
        <f t="shared" si="124"/>
        <v/>
      </c>
      <c r="HC6" s="3"/>
      <c r="HD6" s="1090">
        <f t="shared" si="125"/>
        <v>0</v>
      </c>
      <c r="HE6" s="1091" t="str">
        <f t="shared" si="126"/>
        <v/>
      </c>
      <c r="HF6" s="1090">
        <f t="shared" si="127"/>
        <v>0</v>
      </c>
      <c r="HG6" s="1091" t="str">
        <f t="shared" si="128"/>
        <v/>
      </c>
      <c r="HH6" s="1088">
        <f t="shared" si="129"/>
        <v>0</v>
      </c>
      <c r="HI6" s="1089" t="str">
        <f t="shared" si="130"/>
        <v/>
      </c>
      <c r="HJ6" s="3"/>
      <c r="HK6" s="1090">
        <f t="shared" si="131"/>
        <v>0</v>
      </c>
      <c r="HL6" s="1089" t="str">
        <f t="shared" si="132"/>
        <v/>
      </c>
      <c r="HM6" s="3"/>
      <c r="HN6" s="1090">
        <f t="shared" si="133"/>
        <v>0</v>
      </c>
      <c r="HO6" s="1089" t="str">
        <f t="shared" si="134"/>
        <v/>
      </c>
      <c r="HP6" s="3"/>
      <c r="HQ6" s="1090">
        <f t="shared" si="135"/>
        <v>0</v>
      </c>
      <c r="HR6" s="1091" t="str">
        <f t="shared" si="136"/>
        <v/>
      </c>
      <c r="HS6" s="1090">
        <f t="shared" si="137"/>
        <v>0</v>
      </c>
      <c r="HT6" s="1091" t="str">
        <f t="shared" si="138"/>
        <v/>
      </c>
      <c r="HU6" s="1088">
        <f t="shared" si="139"/>
        <v>0</v>
      </c>
      <c r="HV6" s="1089" t="str">
        <f t="shared" si="140"/>
        <v/>
      </c>
      <c r="HW6" s="3"/>
      <c r="HX6" s="1090">
        <f t="shared" si="141"/>
        <v>0</v>
      </c>
      <c r="HY6" s="1089" t="str">
        <f t="shared" si="142"/>
        <v/>
      </c>
      <c r="HZ6" s="3"/>
      <c r="IA6" s="1090">
        <f t="shared" si="143"/>
        <v>0</v>
      </c>
      <c r="IB6" s="1089" t="str">
        <f t="shared" si="144"/>
        <v/>
      </c>
      <c r="IC6" s="3"/>
      <c r="ID6" s="1090">
        <f t="shared" si="145"/>
        <v>0</v>
      </c>
      <c r="IE6" s="1091" t="str">
        <f t="shared" si="146"/>
        <v/>
      </c>
      <c r="IF6" s="1090">
        <f t="shared" si="147"/>
        <v>0</v>
      </c>
      <c r="IG6" s="1091" t="str">
        <f t="shared" si="148"/>
        <v/>
      </c>
      <c r="IH6" s="1088">
        <f t="shared" si="149"/>
        <v>0</v>
      </c>
      <c r="II6" s="1089" t="str">
        <f t="shared" si="150"/>
        <v/>
      </c>
      <c r="IJ6" s="3"/>
      <c r="IK6" s="1090">
        <f t="shared" si="151"/>
        <v>0</v>
      </c>
      <c r="IL6" s="1089" t="str">
        <f t="shared" si="152"/>
        <v/>
      </c>
      <c r="IM6" s="3"/>
      <c r="IN6" s="1090">
        <f t="shared" si="153"/>
        <v>0</v>
      </c>
      <c r="IO6" s="1089">
        <f t="shared" si="154"/>
        <v>0</v>
      </c>
      <c r="IP6" s="3"/>
      <c r="IQ6" s="1090">
        <f t="shared" si="155"/>
        <v>0</v>
      </c>
      <c r="IR6" s="1091" t="str">
        <f t="shared" si="1"/>
        <v/>
      </c>
      <c r="IS6" s="1090">
        <f t="shared" si="156"/>
        <v>0</v>
      </c>
      <c r="IT6" s="1091" t="str">
        <f t="shared" si="2"/>
        <v/>
      </c>
    </row>
    <row r="7" outlineLevel="1">
      <c r="A7" s="1086">
        <f t="shared" si="3"/>
        <v>3</v>
      </c>
      <c r="B7" s="1087" t="s">
        <v>2068</v>
      </c>
      <c r="C7" s="656" t="s">
        <v>183</v>
      </c>
      <c r="D7" s="1087" t="str">
        <f t="shared" si="4"/>
        <v>VY</v>
      </c>
      <c r="E7" s="1087" t="s">
        <v>198</v>
      </c>
      <c r="F7" s="1087"/>
      <c r="G7" s="1086">
        <v>2.0</v>
      </c>
      <c r="H7" s="1088">
        <f>SUMIFS(BP_SOTIEN,BP_DOI ,$C7,BP_THANG,H$2,BP_KM,$E7)/1000</f>
        <v>0</v>
      </c>
      <c r="I7" s="1089" t="str">
        <f t="shared" si="5"/>
        <v/>
      </c>
      <c r="J7" s="3"/>
      <c r="K7" s="1090">
        <f>IF(NOW()&gt;=DATE(YEAR(H$2),MONTH(H$2)+1,DAY(H$2)),SUMIFS(TF_SOTIEN,TF_DOI,$C7,TF_THANG,H$2,TF_KM,$E7)/1000, N7)</f>
        <v>0</v>
      </c>
      <c r="L7" s="1089" t="str">
        <f t="shared" si="6"/>
        <v/>
      </c>
      <c r="M7" s="3"/>
      <c r="N7" s="1090">
        <f>IF(NOW()&gt;=DATE(YEAR(H$2),MONTH(H$2)+1,DAY(H$2)),SUMIFS(AC_SOTIEN,AC_DOI,$C7,AC_THANG,H$2,AC_KM,$E7),SUMIFS(TF_SOTIEN,TF_DOI,$C7,TF_THANG,H$2,TF_KM,$E7))/ 1000</f>
        <v>1750000</v>
      </c>
      <c r="O7" s="1089">
        <f t="shared" si="7"/>
        <v>0.511926423</v>
      </c>
      <c r="P7" s="3"/>
      <c r="Q7" s="1090">
        <f t="shared" si="8"/>
        <v>1750000</v>
      </c>
      <c r="R7" s="1091" t="str">
        <f t="shared" si="9"/>
        <v/>
      </c>
      <c r="S7" s="1090">
        <f t="shared" si="10"/>
        <v>1750000</v>
      </c>
      <c r="T7" s="1091" t="str">
        <f t="shared" si="11"/>
        <v/>
      </c>
      <c r="U7" s="1088">
        <f>SUMIFS(BP_SOTIEN,BP_DA,$C7,BP_THANG,U$2,BP_KM,$E7)/1000</f>
        <v>0</v>
      </c>
      <c r="V7" s="1089" t="str">
        <f t="shared" si="12"/>
        <v/>
      </c>
      <c r="W7" s="3"/>
      <c r="X7" s="1090">
        <f>IF(NOW()&gt;=DATE(YEAR(U$2),MONTH(U$2)+1,DAY(U$2)),SUMIFS(TF_SOTIEN,TF_DA,$C7,TF_THANG,U$2,TF_KM,$E7)/1000, AA7)</f>
        <v>0</v>
      </c>
      <c r="Y7" s="1089" t="str">
        <f t="shared" si="13"/>
        <v/>
      </c>
      <c r="Z7" s="3"/>
      <c r="AA7" s="1090">
        <f>IF(NOW()&gt;=DATE(YEAR(U$2),MONTH(U$2)+1,DAY(U$2)),SUMIFS(AC_SOTIEN,AC_DA,$C7,AC_THANG,U$2,AC_KM,$E7),SUMIFS(TF_SOTIEN,TF_DA,$C7,TF_THANG,U$2,TF_KM,$E7))/ 1000</f>
        <v>0</v>
      </c>
      <c r="AB7" s="1089" t="str">
        <f t="shared" si="14"/>
        <v/>
      </c>
      <c r="AC7" s="3"/>
      <c r="AD7" s="1090">
        <f t="shared" si="15"/>
        <v>0</v>
      </c>
      <c r="AE7" s="1091" t="str">
        <f t="shared" si="16"/>
        <v/>
      </c>
      <c r="AF7" s="1090">
        <f t="shared" si="17"/>
        <v>0</v>
      </c>
      <c r="AG7" s="1091" t="str">
        <f t="shared" si="18"/>
        <v/>
      </c>
      <c r="AH7" s="1088">
        <f>SUMIFS(BP_SOTIEN,BP_DA,$C7,BP_THANG,AH$2,BP_KM,$E7)/1000</f>
        <v>0</v>
      </c>
      <c r="AI7" s="1089" t="str">
        <f t="shared" si="19"/>
        <v/>
      </c>
      <c r="AJ7" s="3"/>
      <c r="AK7" s="1090">
        <f>IF(NOW()&gt;=DATE(YEAR(AH$2),MONTH(AH$2)+1,DAY(AH$2)),SUMIFS(TF_SOTIEN,TF_DA,$C7,TF_THANG,AH$2,TF_KM,$E7)/1000, AN7)</f>
        <v>0</v>
      </c>
      <c r="AL7" s="1089" t="str">
        <f t="shared" si="20"/>
        <v/>
      </c>
      <c r="AM7" s="3"/>
      <c r="AN7" s="1090">
        <f>IF(NOW()&gt;=DATE(YEAR(AH$2),MONTH(AH$2)+1,DAY(AH$2)),SUMIFS(AC_SOTIEN,AC_DA,$C7,AC_THANG,AH$2,AC_KM,$E7),SUMIFS(TF_SOTIEN,TF_DA,$C7,TF_THANG,AH$2,TF_KM,$E7))/ 1000</f>
        <v>0</v>
      </c>
      <c r="AO7" s="1089" t="str">
        <f t="shared" si="21"/>
        <v/>
      </c>
      <c r="AP7" s="3"/>
      <c r="AQ7" s="1090">
        <f t="shared" si="22"/>
        <v>0</v>
      </c>
      <c r="AR7" s="1091" t="str">
        <f t="shared" si="23"/>
        <v/>
      </c>
      <c r="AS7" s="1090">
        <f t="shared" si="24"/>
        <v>0</v>
      </c>
      <c r="AT7" s="1091" t="str">
        <f t="shared" si="25"/>
        <v/>
      </c>
      <c r="AU7" s="1088">
        <f t="shared" si="26"/>
        <v>0</v>
      </c>
      <c r="AV7" s="1089" t="str">
        <f t="shared" si="27"/>
        <v/>
      </c>
      <c r="AW7" s="3"/>
      <c r="AX7" s="1090">
        <f t="shared" si="28"/>
        <v>0</v>
      </c>
      <c r="AY7" s="1089" t="str">
        <f t="shared" si="29"/>
        <v/>
      </c>
      <c r="AZ7" s="3"/>
      <c r="BA7" s="1090">
        <f t="shared" si="30"/>
        <v>1750000</v>
      </c>
      <c r="BB7" s="1089">
        <f t="shared" si="31"/>
        <v>0.511926423</v>
      </c>
      <c r="BC7" s="3"/>
      <c r="BD7" s="1090">
        <f t="shared" si="32"/>
        <v>1750000</v>
      </c>
      <c r="BE7" s="1091" t="str">
        <f t="shared" si="33"/>
        <v/>
      </c>
      <c r="BF7" s="1090">
        <f t="shared" si="34"/>
        <v>1750000</v>
      </c>
      <c r="BG7" s="1091" t="str">
        <f t="shared" si="35"/>
        <v/>
      </c>
      <c r="BH7" s="1088">
        <f>SUMIFS(BP_SOTIEN,BP_DA,$C7,BP_THANG,BH$2,BP_KM,$E7)/1000</f>
        <v>0</v>
      </c>
      <c r="BI7" s="1089" t="str">
        <f t="shared" si="36"/>
        <v/>
      </c>
      <c r="BJ7" s="3"/>
      <c r="BK7" s="1090">
        <f>IF(NOW()&gt;=DATE(YEAR(BH$2),MONTH(BH$2)+1,DAY(BH$2)),SUMIFS(TF_SOTIEN,TF_DA,$C7,TF_THANG,BH$2,TF_KM,$E7)/1000, BN7)</f>
        <v>0</v>
      </c>
      <c r="BL7" s="1089" t="str">
        <f t="shared" si="37"/>
        <v/>
      </c>
      <c r="BM7" s="3"/>
      <c r="BN7" s="1090">
        <f>IF(NOW()&gt;=DATE(YEAR(BH$2),MONTH(BH$2)+1,DAY(BH$2)),SUMIFS(AC_SOTIEN,AC_DA,$C7,AC_THANG,BH$2,AC_KM,$E7),SUMIFS(TF_SOTIEN,TF_DA,$C7,TF_THANG,BH$2,TF_KM,$E7))/ 1000</f>
        <v>0</v>
      </c>
      <c r="BO7" s="1089" t="str">
        <f t="shared" si="38"/>
        <v/>
      </c>
      <c r="BP7" s="3"/>
      <c r="BQ7" s="1090">
        <f t="shared" si="39"/>
        <v>0</v>
      </c>
      <c r="BR7" s="1091" t="str">
        <f t="shared" si="40"/>
        <v/>
      </c>
      <c r="BS7" s="1090">
        <f t="shared" si="41"/>
        <v>0</v>
      </c>
      <c r="BT7" s="1091" t="str">
        <f t="shared" si="42"/>
        <v/>
      </c>
      <c r="BU7" s="1088">
        <f>SUMIFS(BP_SOTIEN,BP_DA,$C7,BP_THANG,BU$2,BP_KM,$E7)/1000</f>
        <v>0</v>
      </c>
      <c r="BV7" s="1089" t="str">
        <f t="shared" si="43"/>
        <v/>
      </c>
      <c r="BW7" s="3"/>
      <c r="BX7" s="1090">
        <f>IF(NOW()&gt;=DATE(YEAR(BU$2),MONTH(BU$2)+1,DAY(BU$2)),SUMIFS(TF_SOTIEN,TF_DA,$C7,TF_THANG,BU$2,TF_KM,$E7)/1000, CA7)</f>
        <v>0</v>
      </c>
      <c r="BY7" s="1089" t="str">
        <f t="shared" si="44"/>
        <v/>
      </c>
      <c r="BZ7" s="3"/>
      <c r="CA7" s="1090">
        <f>IF(NOW()&gt;=DATE(YEAR(BU$2),MONTH(BU$2)+1,DAY(BU$2)),SUMIFS(AC_SOTIEN,AC_DA,$C7,AC_THANG,BU$2,AC_KM,$E7),SUMIFS(TF_SOTIEN,TF_DA,$C7,TF_THANG,BU$2,TF_KM,$E7))/ 1000</f>
        <v>0</v>
      </c>
      <c r="CB7" s="1089" t="str">
        <f t="shared" si="45"/>
        <v/>
      </c>
      <c r="CC7" s="3"/>
      <c r="CD7" s="1090">
        <f t="shared" si="46"/>
        <v>0</v>
      </c>
      <c r="CE7" s="1091" t="str">
        <f t="shared" si="47"/>
        <v/>
      </c>
      <c r="CF7" s="1090">
        <f t="shared" si="48"/>
        <v>0</v>
      </c>
      <c r="CG7" s="1091" t="str">
        <f t="shared" si="49"/>
        <v/>
      </c>
      <c r="CH7" s="1088">
        <f>SUMIFS(BP_SOTIEN,BP_DA,$C7,BP_THANG,CH$2,BP_KM,$E7)/1000</f>
        <v>0</v>
      </c>
      <c r="CI7" s="1089" t="str">
        <f t="shared" si="50"/>
        <v/>
      </c>
      <c r="CJ7" s="3"/>
      <c r="CK7" s="1090">
        <f>IF(NOW()&gt;=DATE(YEAR(CH$2),MONTH(CH$2)+1,DAY(CH$2)),SUMIFS(TF_SOTIEN,TF_DA,$C7,TF_THANG,CH$2,TF_KM,$E7)/1000, CN7)</f>
        <v>0</v>
      </c>
      <c r="CL7" s="1089" t="str">
        <f t="shared" si="51"/>
        <v/>
      </c>
      <c r="CM7" s="3"/>
      <c r="CN7" s="1090">
        <f>IF(NOW()&gt;=DATE(YEAR(CH$2),MONTH(CH$2)+1,DAY(CH$2)),SUMIFS(AC_SOTIEN,AC_DA,$C7,AC_THANG,CH$2,AC_KM,$E7),SUMIFS(TF_SOTIEN,TF_DA,$C7,TF_THANG,CH$2,TF_KM,$E7))/ 1000</f>
        <v>0</v>
      </c>
      <c r="CO7" s="1089" t="str">
        <f t="shared" si="52"/>
        <v/>
      </c>
      <c r="CP7" s="3"/>
      <c r="CQ7" s="1090">
        <f t="shared" si="53"/>
        <v>0</v>
      </c>
      <c r="CR7" s="1091" t="str">
        <f t="shared" si="54"/>
        <v/>
      </c>
      <c r="CS7" s="1090">
        <f t="shared" si="55"/>
        <v>0</v>
      </c>
      <c r="CT7" s="1091" t="str">
        <f t="shared" si="56"/>
        <v/>
      </c>
      <c r="CU7" s="1088">
        <f t="shared" si="57"/>
        <v>0</v>
      </c>
      <c r="CV7" s="1089" t="str">
        <f t="shared" si="58"/>
        <v/>
      </c>
      <c r="CW7" s="3"/>
      <c r="CX7" s="1090">
        <f t="shared" si="59"/>
        <v>0</v>
      </c>
      <c r="CY7" s="1089" t="str">
        <f t="shared" si="60"/>
        <v/>
      </c>
      <c r="CZ7" s="3"/>
      <c r="DA7" s="1090">
        <f t="shared" si="61"/>
        <v>0</v>
      </c>
      <c r="DB7" s="1089" t="str">
        <f t="shared" si="62"/>
        <v/>
      </c>
      <c r="DC7" s="3"/>
      <c r="DD7" s="1090">
        <f t="shared" si="63"/>
        <v>0</v>
      </c>
      <c r="DE7" s="1091" t="str">
        <f t="shared" si="64"/>
        <v/>
      </c>
      <c r="DF7" s="1090">
        <f t="shared" si="65"/>
        <v>0</v>
      </c>
      <c r="DG7" s="1091" t="str">
        <f t="shared" si="66"/>
        <v/>
      </c>
      <c r="DH7" s="1088">
        <f t="shared" si="67"/>
        <v>0</v>
      </c>
      <c r="DI7" s="1089" t="str">
        <f t="shared" si="68"/>
        <v/>
      </c>
      <c r="DJ7" s="3"/>
      <c r="DK7" s="1090">
        <f t="shared" si="69"/>
        <v>0</v>
      </c>
      <c r="DL7" s="1089" t="str">
        <f t="shared" si="70"/>
        <v/>
      </c>
      <c r="DM7" s="3"/>
      <c r="DN7" s="1090">
        <f t="shared" si="71"/>
        <v>1750000</v>
      </c>
      <c r="DO7" s="1089">
        <f t="shared" si="72"/>
        <v>0.511926423</v>
      </c>
      <c r="DP7" s="3"/>
      <c r="DQ7" s="1090">
        <f t="shared" si="73"/>
        <v>1750000</v>
      </c>
      <c r="DR7" s="1091" t="str">
        <f t="shared" si="74"/>
        <v/>
      </c>
      <c r="DS7" s="1090">
        <f t="shared" si="75"/>
        <v>1750000</v>
      </c>
      <c r="DT7" s="1091" t="str">
        <f t="shared" si="76"/>
        <v/>
      </c>
      <c r="DU7" s="1088">
        <f>SUMIFS(BP_SOTIEN,BP_DA,$C7,BP_THANG,DU$2,BP_KM,$E7)/1000</f>
        <v>0</v>
      </c>
      <c r="DV7" s="1089" t="str">
        <f t="shared" si="77"/>
        <v/>
      </c>
      <c r="DW7" s="3"/>
      <c r="DX7" s="1090">
        <f>IF(NOW()&gt;=DATE(YEAR(DU$2),MONTH(DU$2)+1,DAY(DU$2)),SUMIFS(TF_SOTIEN,TF_DA,$C7,TF_THANG,DU$2,TF_KM,$E7)/1000, EA7)</f>
        <v>0</v>
      </c>
      <c r="DY7" s="1089" t="str">
        <f t="shared" si="78"/>
        <v/>
      </c>
      <c r="DZ7" s="3"/>
      <c r="EA7" s="1090">
        <f>IF(NOW()&gt;=DATE(YEAR(DU$2),MONTH(DU$2)+1,DAY(DU$2)),SUMIFS(AC_SOTIEN,AC_DA,$C7,AC_THANG,DU$2,AC_KM,$E7),SUMIFS(TF_SOTIEN,TF_DA,$C7,TF_THANG,DU$2,TF_KM,$E7))/ 1000</f>
        <v>0</v>
      </c>
      <c r="EB7" s="1089" t="str">
        <f t="shared" si="79"/>
        <v/>
      </c>
      <c r="EC7" s="3"/>
      <c r="ED7" s="1090">
        <f t="shared" si="80"/>
        <v>0</v>
      </c>
      <c r="EE7" s="1091" t="str">
        <f t="shared" si="81"/>
        <v/>
      </c>
      <c r="EF7" s="1090">
        <f t="shared" si="82"/>
        <v>0</v>
      </c>
      <c r="EG7" s="1091" t="str">
        <f t="shared" si="83"/>
        <v/>
      </c>
      <c r="EH7" s="1088">
        <f>SUMIFS(BP_SOTIEN,BP_DA,$C7,BP_THANG,EH$2,BP_KM,$E7)/1000</f>
        <v>0</v>
      </c>
      <c r="EI7" s="1089" t="str">
        <f t="shared" si="84"/>
        <v/>
      </c>
      <c r="EJ7" s="3"/>
      <c r="EK7" s="1090">
        <f>IF(NOW()&gt;=DATE(YEAR(EH$2),MONTH(EH$2)+1,DAY(EH$2)),SUMIFS(TF_SOTIEN,TF_DA,$C7,TF_THANG,EH$2,TF_KM,$E7)/1000, EN7)</f>
        <v>0</v>
      </c>
      <c r="EL7" s="1089" t="str">
        <f t="shared" si="85"/>
        <v/>
      </c>
      <c r="EM7" s="3"/>
      <c r="EN7" s="1090">
        <f>IF(NOW()&gt;=DATE(YEAR(EH$2),MONTH(EH$2)+1,DAY(EH$2)),SUMIFS(AC_SOTIEN,AC_DA,$C7,AC_THANG,EH$2,AC_KM,$E7),SUMIFS(TF_SOTIEN,TF_DA,$C7,TF_THANG,EH$2,TF_KM,$E7))/ 1000</f>
        <v>0</v>
      </c>
      <c r="EO7" s="1089" t="str">
        <f t="shared" si="86"/>
        <v/>
      </c>
      <c r="EP7" s="3"/>
      <c r="EQ7" s="1090">
        <f t="shared" si="87"/>
        <v>0</v>
      </c>
      <c r="ER7" s="1091" t="str">
        <f t="shared" si="88"/>
        <v/>
      </c>
      <c r="ES7" s="1090">
        <f t="shared" si="89"/>
        <v>0</v>
      </c>
      <c r="ET7" s="1091" t="str">
        <f t="shared" si="90"/>
        <v/>
      </c>
      <c r="EU7" s="1088">
        <f>SUMIFS(BP_SOTIEN,BP_DA,$C7,BP_THANG,EU$2,BP_KM,$E7)/1000</f>
        <v>0</v>
      </c>
      <c r="EV7" s="1089" t="str">
        <f t="shared" si="91"/>
        <v/>
      </c>
      <c r="EW7" s="3"/>
      <c r="EX7" s="1090">
        <f>IF(NOW()&gt;=DATE(YEAR(EU$2),MONTH(EU$2)+1,DAY(EU$2)),SUMIFS(TF_SOTIEN,TF_DA,$C7,TF_THANG,EU$2,TF_KM,$E7)/1000, FA7)</f>
        <v>0</v>
      </c>
      <c r="EY7" s="1089" t="str">
        <f t="shared" si="92"/>
        <v/>
      </c>
      <c r="EZ7" s="3"/>
      <c r="FA7" s="1090">
        <f>IF(NOW()&gt;=DATE(YEAR(EU$2),MONTH(EU$2)+1,DAY(EU$2)),SUMIFS(AC_SOTIEN,AC_DA,$C7,AC_THANG,EU$2,AC_KM,$E7),SUMIFS(TF_SOTIEN,TF_DA,$C7,TF_THANG,EU$2,TF_KM,$E7))/ 1000</f>
        <v>0</v>
      </c>
      <c r="FB7" s="1089" t="str">
        <f t="shared" si="93"/>
        <v/>
      </c>
      <c r="FC7" s="3"/>
      <c r="FD7" s="1090">
        <f t="shared" si="94"/>
        <v>0</v>
      </c>
      <c r="FE7" s="1091" t="str">
        <f t="shared" si="95"/>
        <v/>
      </c>
      <c r="FF7" s="1090">
        <f t="shared" si="96"/>
        <v>0</v>
      </c>
      <c r="FG7" s="1091" t="str">
        <f t="shared" si="97"/>
        <v/>
      </c>
      <c r="FH7" s="1088">
        <f t="shared" si="98"/>
        <v>0</v>
      </c>
      <c r="FI7" s="1089" t="str">
        <f t="shared" si="99"/>
        <v/>
      </c>
      <c r="FJ7" s="3"/>
      <c r="FK7" s="1090">
        <f t="shared" si="100"/>
        <v>0</v>
      </c>
      <c r="FL7" s="1089" t="str">
        <f t="shared" si="101"/>
        <v/>
      </c>
      <c r="FM7" s="3"/>
      <c r="FN7" s="1090">
        <f t="shared" si="102"/>
        <v>0</v>
      </c>
      <c r="FO7" s="1089" t="str">
        <f t="shared" si="103"/>
        <v/>
      </c>
      <c r="FP7" s="3"/>
      <c r="FQ7" s="1090">
        <f t="shared" si="104"/>
        <v>0</v>
      </c>
      <c r="FR7" s="1091" t="str">
        <f t="shared" si="105"/>
        <v/>
      </c>
      <c r="FS7" s="1090">
        <f t="shared" si="106"/>
        <v>0</v>
      </c>
      <c r="FT7" s="1091" t="str">
        <f t="shared" si="107"/>
        <v/>
      </c>
      <c r="FU7" s="1088">
        <f>SUMIFS(BP_SOTIEN,BP_DA,$C7,BP_THANG,FU$2,BP_KM,$E7)/1000</f>
        <v>0</v>
      </c>
      <c r="FV7" s="1089" t="str">
        <f t="shared" si="108"/>
        <v/>
      </c>
      <c r="FW7" s="3"/>
      <c r="FX7" s="1090">
        <f>IF(NOW()&gt;=DATE(YEAR(FU$2),MONTH(FU$2)+1,DAY(FU$2)),SUMIFS(TF_SOTIEN,TF_DA,$C7,TF_THANG,FU$2,TF_KM,$E7)/1000, GA7)</f>
        <v>0</v>
      </c>
      <c r="FY7" s="1089" t="str">
        <f t="shared" si="109"/>
        <v/>
      </c>
      <c r="FZ7" s="3"/>
      <c r="GA7" s="1090">
        <f>IF(NOW()&gt;=DATE(YEAR(FU$2),MONTH(FU$2)+1,DAY(FU$2)),SUMIFS(AC_SOTIEN,AC_DA,$C7,AC_THANG,FU$2,AC_KM,$E7),SUMIFS(TF_SOTIEN,TF_DA,$C7,TF_THANG,FU$2,TF_KM,$E7))/ 1000</f>
        <v>0</v>
      </c>
      <c r="GB7" s="1089" t="str">
        <f t="shared" si="110"/>
        <v/>
      </c>
      <c r="GC7" s="3"/>
      <c r="GD7" s="1090">
        <f t="shared" si="111"/>
        <v>0</v>
      </c>
      <c r="GE7" s="1091" t="str">
        <f t="shared" si="112"/>
        <v/>
      </c>
      <c r="GF7" s="1090">
        <f t="shared" si="113"/>
        <v>0</v>
      </c>
      <c r="GG7" s="1091" t="str">
        <f t="shared" si="114"/>
        <v/>
      </c>
      <c r="GH7" s="1088">
        <f>SUMIFS(BP_SOTIEN,BP_DA,$C7,BP_THANG,GH$2,BP_KM,$E7)/1000</f>
        <v>0</v>
      </c>
      <c r="GI7" s="1089" t="str">
        <f t="shared" si="115"/>
        <v/>
      </c>
      <c r="GJ7" s="3"/>
      <c r="GK7" s="1090">
        <f>IF(NOW()&gt;=DATE(YEAR(GH$2),MONTH(GH$2)+1,DAY(GH$2)),SUMIFS(TF_SOTIEN,TF_DA,$C7,TF_THANG,GH$2,TF_KM,$E7)/1000, GN7)</f>
        <v>0</v>
      </c>
      <c r="GL7" s="1089" t="str">
        <f t="shared" si="116"/>
        <v/>
      </c>
      <c r="GM7" s="3"/>
      <c r="GN7" s="1090">
        <f>IF(NOW()&gt;=DATE(YEAR(GH$2),MONTH(GH$2)+1,DAY(GH$2)),SUMIFS(AC_SOTIEN,AC_DA,$C7,AC_THANG,GH$2,AC_KM,$E7),SUMIFS(TF_SOTIEN,TF_DA,$C7,TF_THANG,GH$2,TF_KM,$E7))/ 1000</f>
        <v>0</v>
      </c>
      <c r="GO7" s="1089" t="str">
        <f t="shared" si="117"/>
        <v/>
      </c>
      <c r="GP7" s="3"/>
      <c r="GQ7" s="1090">
        <f t="shared" si="118"/>
        <v>0</v>
      </c>
      <c r="GR7" s="1091" t="str">
        <f t="shared" si="119"/>
        <v/>
      </c>
      <c r="GS7" s="1090">
        <f t="shared" si="120"/>
        <v>0</v>
      </c>
      <c r="GT7" s="1091" t="str">
        <f t="shared" si="121"/>
        <v/>
      </c>
      <c r="GU7" s="1088">
        <f>SUMIFS(BP_SOTIEN,BP_DA,$C7,BP_THANG,GU$2,BP_KM,$E7)/1000</f>
        <v>0</v>
      </c>
      <c r="GV7" s="1089" t="str">
        <f t="shared" si="122"/>
        <v/>
      </c>
      <c r="GW7" s="3"/>
      <c r="GX7" s="1090">
        <f>IF(NOW()&gt;=DATE(YEAR(GU$2),MONTH(GU$2)+1,DAY(GU$2)),SUMIFS(TF_SOTIEN,TF_DA,$C7,TF_THANG,GU$2,TF_KM,$E7)/1000, HA7)</f>
        <v>0</v>
      </c>
      <c r="GY7" s="1089" t="str">
        <f t="shared" si="123"/>
        <v/>
      </c>
      <c r="GZ7" s="3"/>
      <c r="HA7" s="1090">
        <f>IF(NOW()&gt;=DATE(YEAR(GU$2),MONTH(GU$2)+1,DAY(GU$2)),SUMIFS(AC_SOTIEN,AC_DA,$C7,AC_THANG,GU$2,AC_KM,$E7),SUMIFS(TF_SOTIEN,TF_DA,$C7,TF_THANG,GU$2,TF_KM,$E7))/ 1000</f>
        <v>0</v>
      </c>
      <c r="HB7" s="1089" t="str">
        <f t="shared" si="124"/>
        <v/>
      </c>
      <c r="HC7" s="3"/>
      <c r="HD7" s="1090">
        <f t="shared" si="125"/>
        <v>0</v>
      </c>
      <c r="HE7" s="1091" t="str">
        <f t="shared" si="126"/>
        <v/>
      </c>
      <c r="HF7" s="1090">
        <f t="shared" si="127"/>
        <v>0</v>
      </c>
      <c r="HG7" s="1091" t="str">
        <f t="shared" si="128"/>
        <v/>
      </c>
      <c r="HH7" s="1088">
        <f t="shared" si="129"/>
        <v>0</v>
      </c>
      <c r="HI7" s="1089" t="str">
        <f t="shared" si="130"/>
        <v/>
      </c>
      <c r="HJ7" s="3"/>
      <c r="HK7" s="1090">
        <f t="shared" si="131"/>
        <v>0</v>
      </c>
      <c r="HL7" s="1089" t="str">
        <f t="shared" si="132"/>
        <v/>
      </c>
      <c r="HM7" s="3"/>
      <c r="HN7" s="1090">
        <f t="shared" si="133"/>
        <v>0</v>
      </c>
      <c r="HO7" s="1089" t="str">
        <f t="shared" si="134"/>
        <v/>
      </c>
      <c r="HP7" s="3"/>
      <c r="HQ7" s="1090">
        <f t="shared" si="135"/>
        <v>0</v>
      </c>
      <c r="HR7" s="1091" t="str">
        <f t="shared" si="136"/>
        <v/>
      </c>
      <c r="HS7" s="1090">
        <f t="shared" si="137"/>
        <v>0</v>
      </c>
      <c r="HT7" s="1091" t="str">
        <f t="shared" si="138"/>
        <v/>
      </c>
      <c r="HU7" s="1088">
        <f t="shared" si="139"/>
        <v>0</v>
      </c>
      <c r="HV7" s="1089" t="str">
        <f t="shared" si="140"/>
        <v/>
      </c>
      <c r="HW7" s="3"/>
      <c r="HX7" s="1090">
        <f t="shared" si="141"/>
        <v>0</v>
      </c>
      <c r="HY7" s="1089" t="str">
        <f t="shared" si="142"/>
        <v/>
      </c>
      <c r="HZ7" s="3"/>
      <c r="IA7" s="1090">
        <f t="shared" si="143"/>
        <v>0</v>
      </c>
      <c r="IB7" s="1089" t="str">
        <f t="shared" si="144"/>
        <v/>
      </c>
      <c r="IC7" s="3"/>
      <c r="ID7" s="1090">
        <f t="shared" si="145"/>
        <v>0</v>
      </c>
      <c r="IE7" s="1091" t="str">
        <f t="shared" si="146"/>
        <v/>
      </c>
      <c r="IF7" s="1090">
        <f t="shared" si="147"/>
        <v>0</v>
      </c>
      <c r="IG7" s="1091" t="str">
        <f t="shared" si="148"/>
        <v/>
      </c>
      <c r="IH7" s="1088">
        <f t="shared" si="149"/>
        <v>0</v>
      </c>
      <c r="II7" s="1089" t="str">
        <f t="shared" si="150"/>
        <v/>
      </c>
      <c r="IJ7" s="3"/>
      <c r="IK7" s="1090">
        <f t="shared" si="151"/>
        <v>0</v>
      </c>
      <c r="IL7" s="1089" t="str">
        <f t="shared" si="152"/>
        <v/>
      </c>
      <c r="IM7" s="3"/>
      <c r="IN7" s="1090">
        <f t="shared" si="153"/>
        <v>1750000</v>
      </c>
      <c r="IO7" s="1089">
        <f t="shared" si="154"/>
        <v>0.511926423</v>
      </c>
      <c r="IP7" s="3"/>
      <c r="IQ7" s="1090">
        <f t="shared" si="155"/>
        <v>1750000</v>
      </c>
      <c r="IR7" s="1091" t="str">
        <f t="shared" si="1"/>
        <v/>
      </c>
      <c r="IS7" s="1090">
        <f t="shared" si="156"/>
        <v>1750000</v>
      </c>
      <c r="IT7" s="1091" t="str">
        <f t="shared" si="2"/>
        <v/>
      </c>
    </row>
    <row r="8" outlineLevel="1">
      <c r="A8" s="1086">
        <f t="shared" si="3"/>
        <v>4</v>
      </c>
      <c r="B8" s="1087" t="s">
        <v>2069</v>
      </c>
      <c r="C8" s="656" t="s">
        <v>177</v>
      </c>
      <c r="D8" s="1087" t="str">
        <f t="shared" si="4"/>
        <v>QUAN</v>
      </c>
      <c r="E8" s="1087" t="s">
        <v>198</v>
      </c>
      <c r="F8" s="1087"/>
      <c r="G8" s="1086">
        <v>2.0</v>
      </c>
      <c r="H8" s="1088">
        <f>SUMIFS(BP_SOTIEN,BP_DOI ,$C8,BP_THANG,H$2,BP_KM,$E8)/1000</f>
        <v>0</v>
      </c>
      <c r="I8" s="1089" t="str">
        <f t="shared" si="5"/>
        <v/>
      </c>
      <c r="J8" s="3"/>
      <c r="K8" s="1090">
        <f>IF(NOW()&gt;=DATE(YEAR(H$2),MONTH(H$2)+1,DAY(H$2)),SUMIFS(TF_SOTIEN,TF_DOI,$C8,TF_THANG,H$2,TF_KM,$E8)/1000, N8)</f>
        <v>0</v>
      </c>
      <c r="L8" s="1089" t="str">
        <f t="shared" si="6"/>
        <v/>
      </c>
      <c r="M8" s="3"/>
      <c r="N8" s="1090">
        <f>IF(NOW()&gt;=DATE(YEAR(H$2),MONTH(H$2)+1,DAY(H$2)),SUMIFS(AC_SOTIEN,AC_DOI,$C8,AC_THANG,H$2,AC_KM,$E8),SUMIFS(TF_SOTIEN,TF_DOI,$C8,TF_THANG,H$2,TF_KM,$E8))/ 1000</f>
        <v>0</v>
      </c>
      <c r="O8" s="1089">
        <f t="shared" si="7"/>
        <v>0</v>
      </c>
      <c r="P8" s="3"/>
      <c r="Q8" s="1090">
        <f t="shared" si="8"/>
        <v>0</v>
      </c>
      <c r="R8" s="1091" t="str">
        <f t="shared" si="9"/>
        <v/>
      </c>
      <c r="S8" s="1090">
        <f t="shared" si="10"/>
        <v>0</v>
      </c>
      <c r="T8" s="1091" t="str">
        <f t="shared" si="11"/>
        <v/>
      </c>
      <c r="U8" s="1088">
        <f>SUMIFS(BP_SOTIEN,BP_DA,$C8,BP_THANG,U$2,BP_KM,$E8)/1000</f>
        <v>0</v>
      </c>
      <c r="V8" s="1089" t="str">
        <f t="shared" si="12"/>
        <v/>
      </c>
      <c r="W8" s="3"/>
      <c r="X8" s="1090">
        <f>IF(NOW()&gt;=DATE(YEAR(U$2),MONTH(U$2)+1,DAY(U$2)),SUMIFS(TF_SOTIEN,TF_DA,$C8,TF_THANG,U$2,TF_KM,$E8)/1000, AA8)</f>
        <v>0</v>
      </c>
      <c r="Y8" s="1089" t="str">
        <f t="shared" si="13"/>
        <v/>
      </c>
      <c r="Z8" s="3"/>
      <c r="AA8" s="1090">
        <f>IF(NOW()&gt;=DATE(YEAR(U$2),MONTH(U$2)+1,DAY(U$2)),SUMIFS(AC_SOTIEN,AC_DA,$C8,AC_THANG,U$2,AC_KM,$E8),SUMIFS(TF_SOTIEN,TF_DA,$C8,TF_THANG,U$2,TF_KM,$E8))/ 1000</f>
        <v>0</v>
      </c>
      <c r="AB8" s="1089" t="str">
        <f t="shared" si="14"/>
        <v/>
      </c>
      <c r="AC8" s="3"/>
      <c r="AD8" s="1090">
        <f t="shared" si="15"/>
        <v>0</v>
      </c>
      <c r="AE8" s="1091" t="str">
        <f t="shared" si="16"/>
        <v/>
      </c>
      <c r="AF8" s="1090">
        <f t="shared" si="17"/>
        <v>0</v>
      </c>
      <c r="AG8" s="1091" t="str">
        <f t="shared" si="18"/>
        <v/>
      </c>
      <c r="AH8" s="1088">
        <f>SUMIFS(BP_SOTIEN,BP_DA,$C8,BP_THANG,AH$2,BP_KM,$E8)/1000</f>
        <v>0</v>
      </c>
      <c r="AI8" s="1089" t="str">
        <f t="shared" si="19"/>
        <v/>
      </c>
      <c r="AJ8" s="3"/>
      <c r="AK8" s="1090">
        <f>IF(NOW()&gt;=DATE(YEAR(AH$2),MONTH(AH$2)+1,DAY(AH$2)),SUMIFS(TF_SOTIEN,TF_DA,$C8,TF_THANG,AH$2,TF_KM,$E8)/1000, AN8)</f>
        <v>0</v>
      </c>
      <c r="AL8" s="1089" t="str">
        <f t="shared" si="20"/>
        <v/>
      </c>
      <c r="AM8" s="3"/>
      <c r="AN8" s="1090">
        <f>IF(NOW()&gt;=DATE(YEAR(AH$2),MONTH(AH$2)+1,DAY(AH$2)),SUMIFS(AC_SOTIEN,AC_DA,$C8,AC_THANG,AH$2,AC_KM,$E8),SUMIFS(TF_SOTIEN,TF_DA,$C8,TF_THANG,AH$2,TF_KM,$E8))/ 1000</f>
        <v>0</v>
      </c>
      <c r="AO8" s="1089" t="str">
        <f t="shared" si="21"/>
        <v/>
      </c>
      <c r="AP8" s="3"/>
      <c r="AQ8" s="1090">
        <f t="shared" si="22"/>
        <v>0</v>
      </c>
      <c r="AR8" s="1091" t="str">
        <f t="shared" si="23"/>
        <v/>
      </c>
      <c r="AS8" s="1090">
        <f t="shared" si="24"/>
        <v>0</v>
      </c>
      <c r="AT8" s="1091" t="str">
        <f t="shared" si="25"/>
        <v/>
      </c>
      <c r="AU8" s="1088">
        <f t="shared" si="26"/>
        <v>0</v>
      </c>
      <c r="AV8" s="1089" t="str">
        <f t="shared" si="27"/>
        <v/>
      </c>
      <c r="AW8" s="3"/>
      <c r="AX8" s="1090">
        <f t="shared" si="28"/>
        <v>0</v>
      </c>
      <c r="AY8" s="1089" t="str">
        <f t="shared" si="29"/>
        <v/>
      </c>
      <c r="AZ8" s="3"/>
      <c r="BA8" s="1090">
        <f t="shared" si="30"/>
        <v>0</v>
      </c>
      <c r="BB8" s="1089">
        <f t="shared" si="31"/>
        <v>0</v>
      </c>
      <c r="BC8" s="3"/>
      <c r="BD8" s="1090">
        <f t="shared" si="32"/>
        <v>0</v>
      </c>
      <c r="BE8" s="1091" t="str">
        <f t="shared" si="33"/>
        <v/>
      </c>
      <c r="BF8" s="1090">
        <f t="shared" si="34"/>
        <v>0</v>
      </c>
      <c r="BG8" s="1091" t="str">
        <f t="shared" si="35"/>
        <v/>
      </c>
      <c r="BH8" s="1088">
        <f>SUMIFS(BP_SOTIEN,BP_DA,$C8,BP_THANG,BH$2,BP_KM,$E8)/1000</f>
        <v>0</v>
      </c>
      <c r="BI8" s="1089" t="str">
        <f t="shared" si="36"/>
        <v/>
      </c>
      <c r="BJ8" s="3"/>
      <c r="BK8" s="1090">
        <f>IF(NOW()&gt;=DATE(YEAR(BH$2),MONTH(BH$2)+1,DAY(BH$2)),SUMIFS(TF_SOTIEN,TF_DA,$C8,TF_THANG,BH$2,TF_KM,$E8)/1000, BN8)</f>
        <v>0</v>
      </c>
      <c r="BL8" s="1089" t="str">
        <f t="shared" si="37"/>
        <v/>
      </c>
      <c r="BM8" s="3"/>
      <c r="BN8" s="1090">
        <f>IF(NOW()&gt;=DATE(YEAR(BH$2),MONTH(BH$2)+1,DAY(BH$2)),SUMIFS(AC_SOTIEN,AC_DA,$C8,AC_THANG,BH$2,AC_KM,$E8),SUMIFS(TF_SOTIEN,TF_DA,$C8,TF_THANG,BH$2,TF_KM,$E8))/ 1000</f>
        <v>0</v>
      </c>
      <c r="BO8" s="1089" t="str">
        <f t="shared" si="38"/>
        <v/>
      </c>
      <c r="BP8" s="3"/>
      <c r="BQ8" s="1090">
        <f t="shared" si="39"/>
        <v>0</v>
      </c>
      <c r="BR8" s="1091" t="str">
        <f t="shared" si="40"/>
        <v/>
      </c>
      <c r="BS8" s="1090">
        <f t="shared" si="41"/>
        <v>0</v>
      </c>
      <c r="BT8" s="1091" t="str">
        <f t="shared" si="42"/>
        <v/>
      </c>
      <c r="BU8" s="1088">
        <f>SUMIFS(BP_SOTIEN,BP_DA,$C8,BP_THANG,BU$2,BP_KM,$E8)/1000</f>
        <v>0</v>
      </c>
      <c r="BV8" s="1089" t="str">
        <f t="shared" si="43"/>
        <v/>
      </c>
      <c r="BW8" s="3"/>
      <c r="BX8" s="1090">
        <f>IF(NOW()&gt;=DATE(YEAR(BU$2),MONTH(BU$2)+1,DAY(BU$2)),SUMIFS(TF_SOTIEN,TF_DA,$C8,TF_THANG,BU$2,TF_KM,$E8)/1000, CA8)</f>
        <v>0</v>
      </c>
      <c r="BY8" s="1089" t="str">
        <f t="shared" si="44"/>
        <v/>
      </c>
      <c r="BZ8" s="3"/>
      <c r="CA8" s="1090">
        <f>IF(NOW()&gt;=DATE(YEAR(BU$2),MONTH(BU$2)+1,DAY(BU$2)),SUMIFS(AC_SOTIEN,AC_DA,$C8,AC_THANG,BU$2,AC_KM,$E8),SUMIFS(TF_SOTIEN,TF_DA,$C8,TF_THANG,BU$2,TF_KM,$E8))/ 1000</f>
        <v>0</v>
      </c>
      <c r="CB8" s="1089" t="str">
        <f t="shared" si="45"/>
        <v/>
      </c>
      <c r="CC8" s="3"/>
      <c r="CD8" s="1090">
        <f t="shared" si="46"/>
        <v>0</v>
      </c>
      <c r="CE8" s="1091" t="str">
        <f t="shared" si="47"/>
        <v/>
      </c>
      <c r="CF8" s="1090">
        <f t="shared" si="48"/>
        <v>0</v>
      </c>
      <c r="CG8" s="1091" t="str">
        <f t="shared" si="49"/>
        <v/>
      </c>
      <c r="CH8" s="1088">
        <f>SUMIFS(BP_SOTIEN,BP_DA,$C8,BP_THANG,CH$2,BP_KM,$E8)/1000</f>
        <v>0</v>
      </c>
      <c r="CI8" s="1089" t="str">
        <f t="shared" si="50"/>
        <v/>
      </c>
      <c r="CJ8" s="3"/>
      <c r="CK8" s="1090">
        <f>IF(NOW()&gt;=DATE(YEAR(CH$2),MONTH(CH$2)+1,DAY(CH$2)),SUMIFS(TF_SOTIEN,TF_DA,$C8,TF_THANG,CH$2,TF_KM,$E8)/1000, CN8)</f>
        <v>0</v>
      </c>
      <c r="CL8" s="1089" t="str">
        <f t="shared" si="51"/>
        <v/>
      </c>
      <c r="CM8" s="3"/>
      <c r="CN8" s="1090">
        <f>IF(NOW()&gt;=DATE(YEAR(CH$2),MONTH(CH$2)+1,DAY(CH$2)),SUMIFS(AC_SOTIEN,AC_DA,$C8,AC_THANG,CH$2,AC_KM,$E8),SUMIFS(TF_SOTIEN,TF_DA,$C8,TF_THANG,CH$2,TF_KM,$E8))/ 1000</f>
        <v>0</v>
      </c>
      <c r="CO8" s="1089" t="str">
        <f t="shared" si="52"/>
        <v/>
      </c>
      <c r="CP8" s="3"/>
      <c r="CQ8" s="1090">
        <f t="shared" si="53"/>
        <v>0</v>
      </c>
      <c r="CR8" s="1091" t="str">
        <f t="shared" si="54"/>
        <v/>
      </c>
      <c r="CS8" s="1090">
        <f t="shared" si="55"/>
        <v>0</v>
      </c>
      <c r="CT8" s="1091" t="str">
        <f t="shared" si="56"/>
        <v/>
      </c>
      <c r="CU8" s="1088">
        <f t="shared" si="57"/>
        <v>0</v>
      </c>
      <c r="CV8" s="1089" t="str">
        <f t="shared" si="58"/>
        <v/>
      </c>
      <c r="CW8" s="3"/>
      <c r="CX8" s="1090">
        <f t="shared" si="59"/>
        <v>0</v>
      </c>
      <c r="CY8" s="1089" t="str">
        <f t="shared" si="60"/>
        <v/>
      </c>
      <c r="CZ8" s="3"/>
      <c r="DA8" s="1090">
        <f t="shared" si="61"/>
        <v>0</v>
      </c>
      <c r="DB8" s="1089" t="str">
        <f t="shared" si="62"/>
        <v/>
      </c>
      <c r="DC8" s="3"/>
      <c r="DD8" s="1090">
        <f t="shared" si="63"/>
        <v>0</v>
      </c>
      <c r="DE8" s="1091" t="str">
        <f t="shared" si="64"/>
        <v/>
      </c>
      <c r="DF8" s="1090">
        <f t="shared" si="65"/>
        <v>0</v>
      </c>
      <c r="DG8" s="1091" t="str">
        <f t="shared" si="66"/>
        <v/>
      </c>
      <c r="DH8" s="1088">
        <f t="shared" si="67"/>
        <v>0</v>
      </c>
      <c r="DI8" s="1089" t="str">
        <f t="shared" si="68"/>
        <v/>
      </c>
      <c r="DJ8" s="3"/>
      <c r="DK8" s="1090">
        <f t="shared" si="69"/>
        <v>0</v>
      </c>
      <c r="DL8" s="1089" t="str">
        <f t="shared" si="70"/>
        <v/>
      </c>
      <c r="DM8" s="3"/>
      <c r="DN8" s="1090">
        <f t="shared" si="71"/>
        <v>0</v>
      </c>
      <c r="DO8" s="1089">
        <f t="shared" si="72"/>
        <v>0</v>
      </c>
      <c r="DP8" s="3"/>
      <c r="DQ8" s="1090">
        <f t="shared" si="73"/>
        <v>0</v>
      </c>
      <c r="DR8" s="1091" t="str">
        <f t="shared" si="74"/>
        <v/>
      </c>
      <c r="DS8" s="1090">
        <f t="shared" si="75"/>
        <v>0</v>
      </c>
      <c r="DT8" s="1091" t="str">
        <f t="shared" si="76"/>
        <v/>
      </c>
      <c r="DU8" s="1088">
        <f>SUMIFS(BP_SOTIEN,BP_DA,$C8,BP_THANG,DU$2,BP_KM,$E8)/1000</f>
        <v>0</v>
      </c>
      <c r="DV8" s="1089" t="str">
        <f t="shared" si="77"/>
        <v/>
      </c>
      <c r="DW8" s="3"/>
      <c r="DX8" s="1090">
        <f>IF(NOW()&gt;=DATE(YEAR(DU$2),MONTH(DU$2)+1,DAY(DU$2)),SUMIFS(TF_SOTIEN,TF_DA,$C8,TF_THANG,DU$2,TF_KM,$E8)/1000, EA8)</f>
        <v>0</v>
      </c>
      <c r="DY8" s="1089" t="str">
        <f t="shared" si="78"/>
        <v/>
      </c>
      <c r="DZ8" s="3"/>
      <c r="EA8" s="1090">
        <f>IF(NOW()&gt;=DATE(YEAR(DU$2),MONTH(DU$2)+1,DAY(DU$2)),SUMIFS(AC_SOTIEN,AC_DA,$C8,AC_THANG,DU$2,AC_KM,$E8),SUMIFS(TF_SOTIEN,TF_DA,$C8,TF_THANG,DU$2,TF_KM,$E8))/ 1000</f>
        <v>0</v>
      </c>
      <c r="EB8" s="1089" t="str">
        <f t="shared" si="79"/>
        <v/>
      </c>
      <c r="EC8" s="3"/>
      <c r="ED8" s="1090">
        <f t="shared" si="80"/>
        <v>0</v>
      </c>
      <c r="EE8" s="1091" t="str">
        <f t="shared" si="81"/>
        <v/>
      </c>
      <c r="EF8" s="1090">
        <f t="shared" si="82"/>
        <v>0</v>
      </c>
      <c r="EG8" s="1091" t="str">
        <f t="shared" si="83"/>
        <v/>
      </c>
      <c r="EH8" s="1088">
        <f>SUMIFS(BP_SOTIEN,BP_DA,$C8,BP_THANG,EH$2,BP_KM,$E8)/1000</f>
        <v>0</v>
      </c>
      <c r="EI8" s="1089" t="str">
        <f t="shared" si="84"/>
        <v/>
      </c>
      <c r="EJ8" s="3"/>
      <c r="EK8" s="1090">
        <f>IF(NOW()&gt;=DATE(YEAR(EH$2),MONTH(EH$2)+1,DAY(EH$2)),SUMIFS(TF_SOTIEN,TF_DA,$C8,TF_THANG,EH$2,TF_KM,$E8)/1000, EN8)</f>
        <v>0</v>
      </c>
      <c r="EL8" s="1089" t="str">
        <f t="shared" si="85"/>
        <v/>
      </c>
      <c r="EM8" s="3"/>
      <c r="EN8" s="1090">
        <f>IF(NOW()&gt;=DATE(YEAR(EH$2),MONTH(EH$2)+1,DAY(EH$2)),SUMIFS(AC_SOTIEN,AC_DA,$C8,AC_THANG,EH$2,AC_KM,$E8),SUMIFS(TF_SOTIEN,TF_DA,$C8,TF_THANG,EH$2,TF_KM,$E8))/ 1000</f>
        <v>0</v>
      </c>
      <c r="EO8" s="1089" t="str">
        <f t="shared" si="86"/>
        <v/>
      </c>
      <c r="EP8" s="3"/>
      <c r="EQ8" s="1090">
        <f t="shared" si="87"/>
        <v>0</v>
      </c>
      <c r="ER8" s="1091" t="str">
        <f t="shared" si="88"/>
        <v/>
      </c>
      <c r="ES8" s="1090">
        <f t="shared" si="89"/>
        <v>0</v>
      </c>
      <c r="ET8" s="1091" t="str">
        <f t="shared" si="90"/>
        <v/>
      </c>
      <c r="EU8" s="1088">
        <f>SUMIFS(BP_SOTIEN,BP_DA,$C8,BP_THANG,EU$2,BP_KM,$E8)/1000</f>
        <v>0</v>
      </c>
      <c r="EV8" s="1089" t="str">
        <f t="shared" si="91"/>
        <v/>
      </c>
      <c r="EW8" s="3"/>
      <c r="EX8" s="1090">
        <f>IF(NOW()&gt;=DATE(YEAR(EU$2),MONTH(EU$2)+1,DAY(EU$2)),SUMIFS(TF_SOTIEN,TF_DA,$C8,TF_THANG,EU$2,TF_KM,$E8)/1000, FA8)</f>
        <v>0</v>
      </c>
      <c r="EY8" s="1089" t="str">
        <f t="shared" si="92"/>
        <v/>
      </c>
      <c r="EZ8" s="3"/>
      <c r="FA8" s="1090">
        <f>IF(NOW()&gt;=DATE(YEAR(EU$2),MONTH(EU$2)+1,DAY(EU$2)),SUMIFS(AC_SOTIEN,AC_DA,$C8,AC_THANG,EU$2,AC_KM,$E8),SUMIFS(TF_SOTIEN,TF_DA,$C8,TF_THANG,EU$2,TF_KM,$E8))/ 1000</f>
        <v>0</v>
      </c>
      <c r="FB8" s="1089" t="str">
        <f t="shared" si="93"/>
        <v/>
      </c>
      <c r="FC8" s="3"/>
      <c r="FD8" s="1090">
        <f t="shared" si="94"/>
        <v>0</v>
      </c>
      <c r="FE8" s="1091" t="str">
        <f t="shared" si="95"/>
        <v/>
      </c>
      <c r="FF8" s="1090">
        <f t="shared" si="96"/>
        <v>0</v>
      </c>
      <c r="FG8" s="1091" t="str">
        <f t="shared" si="97"/>
        <v/>
      </c>
      <c r="FH8" s="1088">
        <f t="shared" si="98"/>
        <v>0</v>
      </c>
      <c r="FI8" s="1089" t="str">
        <f t="shared" si="99"/>
        <v/>
      </c>
      <c r="FJ8" s="3"/>
      <c r="FK8" s="1090">
        <f t="shared" si="100"/>
        <v>0</v>
      </c>
      <c r="FL8" s="1089" t="str">
        <f t="shared" si="101"/>
        <v/>
      </c>
      <c r="FM8" s="3"/>
      <c r="FN8" s="1090">
        <f t="shared" si="102"/>
        <v>0</v>
      </c>
      <c r="FO8" s="1089" t="str">
        <f t="shared" si="103"/>
        <v/>
      </c>
      <c r="FP8" s="3"/>
      <c r="FQ8" s="1090">
        <f t="shared" si="104"/>
        <v>0</v>
      </c>
      <c r="FR8" s="1091" t="str">
        <f t="shared" si="105"/>
        <v/>
      </c>
      <c r="FS8" s="1090">
        <f t="shared" si="106"/>
        <v>0</v>
      </c>
      <c r="FT8" s="1091" t="str">
        <f t="shared" si="107"/>
        <v/>
      </c>
      <c r="FU8" s="1088">
        <f>SUMIFS(BP_SOTIEN,BP_DA,$C8,BP_THANG,FU$2,BP_KM,$E8)/1000</f>
        <v>0</v>
      </c>
      <c r="FV8" s="1089" t="str">
        <f t="shared" si="108"/>
        <v/>
      </c>
      <c r="FW8" s="3"/>
      <c r="FX8" s="1090">
        <f>IF(NOW()&gt;=DATE(YEAR(FU$2),MONTH(FU$2)+1,DAY(FU$2)),SUMIFS(TF_SOTIEN,TF_DA,$C8,TF_THANG,FU$2,TF_KM,$E8)/1000, GA8)</f>
        <v>0</v>
      </c>
      <c r="FY8" s="1089" t="str">
        <f t="shared" si="109"/>
        <v/>
      </c>
      <c r="FZ8" s="3"/>
      <c r="GA8" s="1090">
        <f>IF(NOW()&gt;=DATE(YEAR(FU$2),MONTH(FU$2)+1,DAY(FU$2)),SUMIFS(AC_SOTIEN,AC_DA,$C8,AC_THANG,FU$2,AC_KM,$E8),SUMIFS(TF_SOTIEN,TF_DA,$C8,TF_THANG,FU$2,TF_KM,$E8))/ 1000</f>
        <v>0</v>
      </c>
      <c r="GB8" s="1089" t="str">
        <f t="shared" si="110"/>
        <v/>
      </c>
      <c r="GC8" s="3"/>
      <c r="GD8" s="1090">
        <f t="shared" si="111"/>
        <v>0</v>
      </c>
      <c r="GE8" s="1091" t="str">
        <f t="shared" si="112"/>
        <v/>
      </c>
      <c r="GF8" s="1090">
        <f t="shared" si="113"/>
        <v>0</v>
      </c>
      <c r="GG8" s="1091" t="str">
        <f t="shared" si="114"/>
        <v/>
      </c>
      <c r="GH8" s="1088">
        <f>SUMIFS(BP_SOTIEN,BP_DA,$C8,BP_THANG,GH$2,BP_KM,$E8)/1000</f>
        <v>0</v>
      </c>
      <c r="GI8" s="1089" t="str">
        <f t="shared" si="115"/>
        <v/>
      </c>
      <c r="GJ8" s="3"/>
      <c r="GK8" s="1090">
        <f>IF(NOW()&gt;=DATE(YEAR(GH$2),MONTH(GH$2)+1,DAY(GH$2)),SUMIFS(TF_SOTIEN,TF_DA,$C8,TF_THANG,GH$2,TF_KM,$E8)/1000, GN8)</f>
        <v>0</v>
      </c>
      <c r="GL8" s="1089" t="str">
        <f t="shared" si="116"/>
        <v/>
      </c>
      <c r="GM8" s="3"/>
      <c r="GN8" s="1090">
        <f>IF(NOW()&gt;=DATE(YEAR(GH$2),MONTH(GH$2)+1,DAY(GH$2)),SUMIFS(AC_SOTIEN,AC_DA,$C8,AC_THANG,GH$2,AC_KM,$E8),SUMIFS(TF_SOTIEN,TF_DA,$C8,TF_THANG,GH$2,TF_KM,$E8))/ 1000</f>
        <v>0</v>
      </c>
      <c r="GO8" s="1089" t="str">
        <f t="shared" si="117"/>
        <v/>
      </c>
      <c r="GP8" s="3"/>
      <c r="GQ8" s="1090">
        <f t="shared" si="118"/>
        <v>0</v>
      </c>
      <c r="GR8" s="1091" t="str">
        <f t="shared" si="119"/>
        <v/>
      </c>
      <c r="GS8" s="1090">
        <f t="shared" si="120"/>
        <v>0</v>
      </c>
      <c r="GT8" s="1091" t="str">
        <f t="shared" si="121"/>
        <v/>
      </c>
      <c r="GU8" s="1088">
        <f>SUMIFS(BP_SOTIEN,BP_DA,$C8,BP_THANG,GU$2,BP_KM,$E8)/1000</f>
        <v>0</v>
      </c>
      <c r="GV8" s="1089" t="str">
        <f t="shared" si="122"/>
        <v/>
      </c>
      <c r="GW8" s="3"/>
      <c r="GX8" s="1090">
        <f>IF(NOW()&gt;=DATE(YEAR(GU$2),MONTH(GU$2)+1,DAY(GU$2)),SUMIFS(TF_SOTIEN,TF_DA,$C8,TF_THANG,GU$2,TF_KM,$E8)/1000, HA8)</f>
        <v>0</v>
      </c>
      <c r="GY8" s="1089" t="str">
        <f t="shared" si="123"/>
        <v/>
      </c>
      <c r="GZ8" s="3"/>
      <c r="HA8" s="1090">
        <f>IF(NOW()&gt;=DATE(YEAR(GU$2),MONTH(GU$2)+1,DAY(GU$2)),SUMIFS(AC_SOTIEN,AC_DA,$C8,AC_THANG,GU$2,AC_KM,$E8),SUMIFS(TF_SOTIEN,TF_DA,$C8,TF_THANG,GU$2,TF_KM,$E8))/ 1000</f>
        <v>0</v>
      </c>
      <c r="HB8" s="1089" t="str">
        <f t="shared" si="124"/>
        <v/>
      </c>
      <c r="HC8" s="3"/>
      <c r="HD8" s="1090">
        <f t="shared" si="125"/>
        <v>0</v>
      </c>
      <c r="HE8" s="1091" t="str">
        <f t="shared" si="126"/>
        <v/>
      </c>
      <c r="HF8" s="1090">
        <f t="shared" si="127"/>
        <v>0</v>
      </c>
      <c r="HG8" s="1091" t="str">
        <f t="shared" si="128"/>
        <v/>
      </c>
      <c r="HH8" s="1088">
        <f t="shared" si="129"/>
        <v>0</v>
      </c>
      <c r="HI8" s="1089" t="str">
        <f t="shared" si="130"/>
        <v/>
      </c>
      <c r="HJ8" s="3"/>
      <c r="HK8" s="1090">
        <f t="shared" si="131"/>
        <v>0</v>
      </c>
      <c r="HL8" s="1089" t="str">
        <f t="shared" si="132"/>
        <v/>
      </c>
      <c r="HM8" s="3"/>
      <c r="HN8" s="1090">
        <f t="shared" si="133"/>
        <v>0</v>
      </c>
      <c r="HO8" s="1089" t="str">
        <f t="shared" si="134"/>
        <v/>
      </c>
      <c r="HP8" s="3"/>
      <c r="HQ8" s="1090">
        <f t="shared" si="135"/>
        <v>0</v>
      </c>
      <c r="HR8" s="1091" t="str">
        <f t="shared" si="136"/>
        <v/>
      </c>
      <c r="HS8" s="1090">
        <f t="shared" si="137"/>
        <v>0</v>
      </c>
      <c r="HT8" s="1091" t="str">
        <f t="shared" si="138"/>
        <v/>
      </c>
      <c r="HU8" s="1088">
        <f t="shared" si="139"/>
        <v>0</v>
      </c>
      <c r="HV8" s="1089" t="str">
        <f t="shared" si="140"/>
        <v/>
      </c>
      <c r="HW8" s="3"/>
      <c r="HX8" s="1090">
        <f t="shared" si="141"/>
        <v>0</v>
      </c>
      <c r="HY8" s="1089" t="str">
        <f t="shared" si="142"/>
        <v/>
      </c>
      <c r="HZ8" s="3"/>
      <c r="IA8" s="1090">
        <f t="shared" si="143"/>
        <v>0</v>
      </c>
      <c r="IB8" s="1089" t="str">
        <f t="shared" si="144"/>
        <v/>
      </c>
      <c r="IC8" s="3"/>
      <c r="ID8" s="1090">
        <f t="shared" si="145"/>
        <v>0</v>
      </c>
      <c r="IE8" s="1091" t="str">
        <f t="shared" si="146"/>
        <v/>
      </c>
      <c r="IF8" s="1090">
        <f t="shared" si="147"/>
        <v>0</v>
      </c>
      <c r="IG8" s="1091" t="str">
        <f t="shared" si="148"/>
        <v/>
      </c>
      <c r="IH8" s="1088">
        <f t="shared" si="149"/>
        <v>0</v>
      </c>
      <c r="II8" s="1089" t="str">
        <f t="shared" si="150"/>
        <v/>
      </c>
      <c r="IJ8" s="3"/>
      <c r="IK8" s="1090">
        <f t="shared" si="151"/>
        <v>0</v>
      </c>
      <c r="IL8" s="1089" t="str">
        <f t="shared" si="152"/>
        <v/>
      </c>
      <c r="IM8" s="3"/>
      <c r="IN8" s="1090">
        <f t="shared" si="153"/>
        <v>0</v>
      </c>
      <c r="IO8" s="1089">
        <f t="shared" si="154"/>
        <v>0</v>
      </c>
      <c r="IP8" s="3"/>
      <c r="IQ8" s="1090">
        <f t="shared" si="155"/>
        <v>0</v>
      </c>
      <c r="IR8" s="1091" t="str">
        <f t="shared" si="1"/>
        <v/>
      </c>
      <c r="IS8" s="1090">
        <f t="shared" si="156"/>
        <v>0</v>
      </c>
      <c r="IT8" s="1091" t="str">
        <f t="shared" si="2"/>
        <v/>
      </c>
    </row>
    <row r="9" outlineLevel="1">
      <c r="A9" s="1086">
        <f t="shared" si="3"/>
        <v>5</v>
      </c>
      <c r="B9" s="1087" t="s">
        <v>2070</v>
      </c>
      <c r="C9" s="656" t="s">
        <v>514</v>
      </c>
      <c r="D9" s="1087" t="str">
        <f t="shared" si="4"/>
        <v>KHANH</v>
      </c>
      <c r="E9" s="1087" t="s">
        <v>198</v>
      </c>
      <c r="F9" s="1087"/>
      <c r="G9" s="1086">
        <v>2.0</v>
      </c>
      <c r="H9" s="1088">
        <f>SUMIFS(BP_SOTIEN,BP_DOI ,$C9,BP_THANG,H$2,BP_KM,$E9)/1000</f>
        <v>0</v>
      </c>
      <c r="I9" s="1089" t="str">
        <f t="shared" si="5"/>
        <v/>
      </c>
      <c r="J9" s="3"/>
      <c r="K9" s="1090">
        <f>IF(NOW()&gt;=DATE(YEAR(H$2),MONTH(H$2)+1,DAY(H$2)),SUMIFS(TF_SOTIEN,TF_DOI,$C9,TF_THANG,H$2,TF_KM,$E9)/1000, N9)</f>
        <v>0</v>
      </c>
      <c r="L9" s="1089" t="str">
        <f t="shared" si="6"/>
        <v/>
      </c>
      <c r="M9" s="3"/>
      <c r="N9" s="1090">
        <f>IF(NOW()&gt;=DATE(YEAR(H$2),MONTH(H$2)+1,DAY(H$2)),SUMIFS(AC_SOTIEN,AC_DOI,$C9,AC_THANG,H$2,AC_KM,$E9),SUMIFS(TF_SOTIEN,TF_DOI,$C9,TF_THANG,H$2,TF_KM,$E9))/ 1000</f>
        <v>0</v>
      </c>
      <c r="O9" s="1089">
        <f t="shared" si="7"/>
        <v>0</v>
      </c>
      <c r="P9" s="3"/>
      <c r="Q9" s="1090">
        <f t="shared" si="8"/>
        <v>0</v>
      </c>
      <c r="R9" s="1091" t="str">
        <f t="shared" si="9"/>
        <v/>
      </c>
      <c r="S9" s="1090">
        <f t="shared" si="10"/>
        <v>0</v>
      </c>
      <c r="T9" s="1091" t="str">
        <f t="shared" si="11"/>
        <v/>
      </c>
      <c r="U9" s="1088">
        <f>SUMIFS(BP_SOTIEN,BP_DA,$C9,BP_THANG,U$2,BP_KM,$E9)/1000</f>
        <v>0</v>
      </c>
      <c r="V9" s="1089" t="str">
        <f t="shared" si="12"/>
        <v/>
      </c>
      <c r="W9" s="3"/>
      <c r="X9" s="1090">
        <f>IF(NOW()&gt;=DATE(YEAR(U$2),MONTH(U$2)+1,DAY(U$2)),SUMIFS(TF_SOTIEN,TF_DA,$C9,TF_THANG,U$2,TF_KM,$E9)/1000, AA9)</f>
        <v>0</v>
      </c>
      <c r="Y9" s="1089" t="str">
        <f t="shared" si="13"/>
        <v/>
      </c>
      <c r="Z9" s="3"/>
      <c r="AA9" s="1090">
        <f>IF(NOW()&gt;=DATE(YEAR(U$2),MONTH(U$2)+1,DAY(U$2)),SUMIFS(AC_SOTIEN,AC_DA,$C9,AC_THANG,U$2,AC_KM,$E9),SUMIFS(TF_SOTIEN,TF_DA,$C9,TF_THANG,U$2,TF_KM,$E9))/ 1000</f>
        <v>0</v>
      </c>
      <c r="AB9" s="1089" t="str">
        <f t="shared" si="14"/>
        <v/>
      </c>
      <c r="AC9" s="3"/>
      <c r="AD9" s="1090">
        <f t="shared" si="15"/>
        <v>0</v>
      </c>
      <c r="AE9" s="1091" t="str">
        <f t="shared" si="16"/>
        <v/>
      </c>
      <c r="AF9" s="1090">
        <f t="shared" si="17"/>
        <v>0</v>
      </c>
      <c r="AG9" s="1091" t="str">
        <f t="shared" si="18"/>
        <v/>
      </c>
      <c r="AH9" s="1088">
        <f>SUMIFS(BP_SOTIEN,BP_DA,$C9,BP_THANG,AH$2,BP_KM,$E9)/1000</f>
        <v>0</v>
      </c>
      <c r="AI9" s="1089" t="str">
        <f t="shared" si="19"/>
        <v/>
      </c>
      <c r="AJ9" s="3"/>
      <c r="AK9" s="1090">
        <f>IF(NOW()&gt;=DATE(YEAR(AH$2),MONTH(AH$2)+1,DAY(AH$2)),SUMIFS(TF_SOTIEN,TF_DA,$C9,TF_THANG,AH$2,TF_KM,$E9)/1000, AN9)</f>
        <v>0</v>
      </c>
      <c r="AL9" s="1089" t="str">
        <f t="shared" si="20"/>
        <v/>
      </c>
      <c r="AM9" s="3"/>
      <c r="AN9" s="1090">
        <f>IF(NOW()&gt;=DATE(YEAR(AH$2),MONTH(AH$2)+1,DAY(AH$2)),SUMIFS(AC_SOTIEN,AC_DA,$C9,AC_THANG,AH$2,AC_KM,$E9),SUMIFS(TF_SOTIEN,TF_DA,$C9,TF_THANG,AH$2,TF_KM,$E9))/ 1000</f>
        <v>0</v>
      </c>
      <c r="AO9" s="1089" t="str">
        <f t="shared" si="21"/>
        <v/>
      </c>
      <c r="AP9" s="3"/>
      <c r="AQ9" s="1090">
        <f t="shared" si="22"/>
        <v>0</v>
      </c>
      <c r="AR9" s="1091" t="str">
        <f t="shared" si="23"/>
        <v/>
      </c>
      <c r="AS9" s="1090">
        <f t="shared" si="24"/>
        <v>0</v>
      </c>
      <c r="AT9" s="1091" t="str">
        <f t="shared" si="25"/>
        <v/>
      </c>
      <c r="AU9" s="1088">
        <f t="shared" si="26"/>
        <v>0</v>
      </c>
      <c r="AV9" s="1089" t="str">
        <f t="shared" si="27"/>
        <v/>
      </c>
      <c r="AW9" s="3"/>
      <c r="AX9" s="1090">
        <f t="shared" si="28"/>
        <v>0</v>
      </c>
      <c r="AY9" s="1089" t="str">
        <f t="shared" si="29"/>
        <v/>
      </c>
      <c r="AZ9" s="3"/>
      <c r="BA9" s="1090">
        <f t="shared" si="30"/>
        <v>0</v>
      </c>
      <c r="BB9" s="1089">
        <f t="shared" si="31"/>
        <v>0</v>
      </c>
      <c r="BC9" s="3"/>
      <c r="BD9" s="1090">
        <f t="shared" si="32"/>
        <v>0</v>
      </c>
      <c r="BE9" s="1091" t="str">
        <f t="shared" si="33"/>
        <v/>
      </c>
      <c r="BF9" s="1090">
        <f t="shared" si="34"/>
        <v>0</v>
      </c>
      <c r="BG9" s="1091" t="str">
        <f t="shared" si="35"/>
        <v/>
      </c>
      <c r="BH9" s="1088">
        <f>SUMIFS(BP_SOTIEN,BP_DA,$C9,BP_THANG,BH$2,BP_KM,$E9)/1000</f>
        <v>0</v>
      </c>
      <c r="BI9" s="1089" t="str">
        <f t="shared" si="36"/>
        <v/>
      </c>
      <c r="BJ9" s="3"/>
      <c r="BK9" s="1090">
        <f>IF(NOW()&gt;=DATE(YEAR(BH$2),MONTH(BH$2)+1,DAY(BH$2)),SUMIFS(TF_SOTIEN,TF_DA,$C9,TF_THANG,BH$2,TF_KM,$E9)/1000, BN9)</f>
        <v>0</v>
      </c>
      <c r="BL9" s="1089" t="str">
        <f t="shared" si="37"/>
        <v/>
      </c>
      <c r="BM9" s="3"/>
      <c r="BN9" s="1090">
        <f>IF(NOW()&gt;=DATE(YEAR(BH$2),MONTH(BH$2)+1,DAY(BH$2)),SUMIFS(AC_SOTIEN,AC_DA,$C9,AC_THANG,BH$2,AC_KM,$E9),SUMIFS(TF_SOTIEN,TF_DA,$C9,TF_THANG,BH$2,TF_KM,$E9))/ 1000</f>
        <v>0</v>
      </c>
      <c r="BO9" s="1089" t="str">
        <f t="shared" si="38"/>
        <v/>
      </c>
      <c r="BP9" s="3"/>
      <c r="BQ9" s="1090">
        <f t="shared" si="39"/>
        <v>0</v>
      </c>
      <c r="BR9" s="1091" t="str">
        <f t="shared" si="40"/>
        <v/>
      </c>
      <c r="BS9" s="1090">
        <f t="shared" si="41"/>
        <v>0</v>
      </c>
      <c r="BT9" s="1091" t="str">
        <f t="shared" si="42"/>
        <v/>
      </c>
      <c r="BU9" s="1088">
        <f>SUMIFS(BP_SOTIEN,BP_DA,$C9,BP_THANG,BU$2,BP_KM,$E9)/1000</f>
        <v>0</v>
      </c>
      <c r="BV9" s="1089" t="str">
        <f t="shared" si="43"/>
        <v/>
      </c>
      <c r="BW9" s="3"/>
      <c r="BX9" s="1090">
        <f>IF(NOW()&gt;=DATE(YEAR(BU$2),MONTH(BU$2)+1,DAY(BU$2)),SUMIFS(TF_SOTIEN,TF_DA,$C9,TF_THANG,BU$2,TF_KM,$E9)/1000, CA9)</f>
        <v>0</v>
      </c>
      <c r="BY9" s="1089" t="str">
        <f t="shared" si="44"/>
        <v/>
      </c>
      <c r="BZ9" s="3"/>
      <c r="CA9" s="1090">
        <f>IF(NOW()&gt;=DATE(YEAR(BU$2),MONTH(BU$2)+1,DAY(BU$2)),SUMIFS(AC_SOTIEN,AC_DA,$C9,AC_THANG,BU$2,AC_KM,$E9),SUMIFS(TF_SOTIEN,TF_DA,$C9,TF_THANG,BU$2,TF_KM,$E9))/ 1000</f>
        <v>0</v>
      </c>
      <c r="CB9" s="1089" t="str">
        <f t="shared" si="45"/>
        <v/>
      </c>
      <c r="CC9" s="3"/>
      <c r="CD9" s="1090">
        <f t="shared" si="46"/>
        <v>0</v>
      </c>
      <c r="CE9" s="1091" t="str">
        <f t="shared" si="47"/>
        <v/>
      </c>
      <c r="CF9" s="1090">
        <f t="shared" si="48"/>
        <v>0</v>
      </c>
      <c r="CG9" s="1091" t="str">
        <f t="shared" si="49"/>
        <v/>
      </c>
      <c r="CH9" s="1088">
        <f>SUMIFS(BP_SOTIEN,BP_DA,$C9,BP_THANG,CH$2,BP_KM,$E9)/1000</f>
        <v>0</v>
      </c>
      <c r="CI9" s="1089" t="str">
        <f t="shared" si="50"/>
        <v/>
      </c>
      <c r="CJ9" s="3"/>
      <c r="CK9" s="1090">
        <f>IF(NOW()&gt;=DATE(YEAR(CH$2),MONTH(CH$2)+1,DAY(CH$2)),SUMIFS(TF_SOTIEN,TF_DA,$C9,TF_THANG,CH$2,TF_KM,$E9)/1000, CN9)</f>
        <v>0</v>
      </c>
      <c r="CL9" s="1089" t="str">
        <f t="shared" si="51"/>
        <v/>
      </c>
      <c r="CM9" s="3"/>
      <c r="CN9" s="1090">
        <f>IF(NOW()&gt;=DATE(YEAR(CH$2),MONTH(CH$2)+1,DAY(CH$2)),SUMIFS(AC_SOTIEN,AC_DA,$C9,AC_THANG,CH$2,AC_KM,$E9),SUMIFS(TF_SOTIEN,TF_DA,$C9,TF_THANG,CH$2,TF_KM,$E9))/ 1000</f>
        <v>0</v>
      </c>
      <c r="CO9" s="1089" t="str">
        <f t="shared" si="52"/>
        <v/>
      </c>
      <c r="CP9" s="3"/>
      <c r="CQ9" s="1090">
        <f t="shared" si="53"/>
        <v>0</v>
      </c>
      <c r="CR9" s="1091" t="str">
        <f t="shared" si="54"/>
        <v/>
      </c>
      <c r="CS9" s="1090">
        <f t="shared" si="55"/>
        <v>0</v>
      </c>
      <c r="CT9" s="1091" t="str">
        <f t="shared" si="56"/>
        <v/>
      </c>
      <c r="CU9" s="1088">
        <f t="shared" si="57"/>
        <v>0</v>
      </c>
      <c r="CV9" s="1089" t="str">
        <f t="shared" si="58"/>
        <v/>
      </c>
      <c r="CW9" s="3"/>
      <c r="CX9" s="1090">
        <f t="shared" si="59"/>
        <v>0</v>
      </c>
      <c r="CY9" s="1089" t="str">
        <f t="shared" si="60"/>
        <v/>
      </c>
      <c r="CZ9" s="3"/>
      <c r="DA9" s="1090">
        <f t="shared" si="61"/>
        <v>0</v>
      </c>
      <c r="DB9" s="1089" t="str">
        <f t="shared" si="62"/>
        <v/>
      </c>
      <c r="DC9" s="3"/>
      <c r="DD9" s="1090">
        <f t="shared" si="63"/>
        <v>0</v>
      </c>
      <c r="DE9" s="1091" t="str">
        <f t="shared" si="64"/>
        <v/>
      </c>
      <c r="DF9" s="1090">
        <f t="shared" si="65"/>
        <v>0</v>
      </c>
      <c r="DG9" s="1091" t="str">
        <f t="shared" si="66"/>
        <v/>
      </c>
      <c r="DH9" s="1088">
        <f t="shared" si="67"/>
        <v>0</v>
      </c>
      <c r="DI9" s="1089" t="str">
        <f t="shared" si="68"/>
        <v/>
      </c>
      <c r="DJ9" s="3"/>
      <c r="DK9" s="1090">
        <f t="shared" si="69"/>
        <v>0</v>
      </c>
      <c r="DL9" s="1089" t="str">
        <f t="shared" si="70"/>
        <v/>
      </c>
      <c r="DM9" s="3"/>
      <c r="DN9" s="1090">
        <f t="shared" si="71"/>
        <v>0</v>
      </c>
      <c r="DO9" s="1089">
        <f t="shared" si="72"/>
        <v>0</v>
      </c>
      <c r="DP9" s="3"/>
      <c r="DQ9" s="1090">
        <f t="shared" si="73"/>
        <v>0</v>
      </c>
      <c r="DR9" s="1091" t="str">
        <f t="shared" si="74"/>
        <v/>
      </c>
      <c r="DS9" s="1090">
        <f t="shared" si="75"/>
        <v>0</v>
      </c>
      <c r="DT9" s="1091" t="str">
        <f t="shared" si="76"/>
        <v/>
      </c>
      <c r="DU9" s="1088">
        <f>SUMIFS(BP_SOTIEN,BP_DA,$C9,BP_THANG,DU$2,BP_KM,$E9)/1000</f>
        <v>0</v>
      </c>
      <c r="DV9" s="1089" t="str">
        <f t="shared" si="77"/>
        <v/>
      </c>
      <c r="DW9" s="3"/>
      <c r="DX9" s="1090">
        <f>IF(NOW()&gt;=DATE(YEAR(DU$2),MONTH(DU$2)+1,DAY(DU$2)),SUMIFS(TF_SOTIEN,TF_DA,$C9,TF_THANG,DU$2,TF_KM,$E9)/1000, EA9)</f>
        <v>0</v>
      </c>
      <c r="DY9" s="1089" t="str">
        <f t="shared" si="78"/>
        <v/>
      </c>
      <c r="DZ9" s="3"/>
      <c r="EA9" s="1090">
        <f>IF(NOW()&gt;=DATE(YEAR(DU$2),MONTH(DU$2)+1,DAY(DU$2)),SUMIFS(AC_SOTIEN,AC_DA,$C9,AC_THANG,DU$2,AC_KM,$E9),SUMIFS(TF_SOTIEN,TF_DA,$C9,TF_THANG,DU$2,TF_KM,$E9))/ 1000</f>
        <v>0</v>
      </c>
      <c r="EB9" s="1089" t="str">
        <f t="shared" si="79"/>
        <v/>
      </c>
      <c r="EC9" s="3"/>
      <c r="ED9" s="1090">
        <f t="shared" si="80"/>
        <v>0</v>
      </c>
      <c r="EE9" s="1091" t="str">
        <f t="shared" si="81"/>
        <v/>
      </c>
      <c r="EF9" s="1090">
        <f t="shared" si="82"/>
        <v>0</v>
      </c>
      <c r="EG9" s="1091" t="str">
        <f t="shared" si="83"/>
        <v/>
      </c>
      <c r="EH9" s="1088">
        <f>SUMIFS(BP_SOTIEN,BP_DA,$C9,BP_THANG,EH$2,BP_KM,$E9)/1000</f>
        <v>0</v>
      </c>
      <c r="EI9" s="1089" t="str">
        <f t="shared" si="84"/>
        <v/>
      </c>
      <c r="EJ9" s="3"/>
      <c r="EK9" s="1090">
        <f>IF(NOW()&gt;=DATE(YEAR(EH$2),MONTH(EH$2)+1,DAY(EH$2)),SUMIFS(TF_SOTIEN,TF_DA,$C9,TF_THANG,EH$2,TF_KM,$E9)/1000, EN9)</f>
        <v>0</v>
      </c>
      <c r="EL9" s="1089" t="str">
        <f t="shared" si="85"/>
        <v/>
      </c>
      <c r="EM9" s="3"/>
      <c r="EN9" s="1090">
        <f>IF(NOW()&gt;=DATE(YEAR(EH$2),MONTH(EH$2)+1,DAY(EH$2)),SUMIFS(AC_SOTIEN,AC_DA,$C9,AC_THANG,EH$2,AC_KM,$E9),SUMIFS(TF_SOTIEN,TF_DA,$C9,TF_THANG,EH$2,TF_KM,$E9))/ 1000</f>
        <v>0</v>
      </c>
      <c r="EO9" s="1089" t="str">
        <f t="shared" si="86"/>
        <v/>
      </c>
      <c r="EP9" s="3"/>
      <c r="EQ9" s="1090">
        <f t="shared" si="87"/>
        <v>0</v>
      </c>
      <c r="ER9" s="1091" t="str">
        <f t="shared" si="88"/>
        <v/>
      </c>
      <c r="ES9" s="1090">
        <f t="shared" si="89"/>
        <v>0</v>
      </c>
      <c r="ET9" s="1091" t="str">
        <f t="shared" si="90"/>
        <v/>
      </c>
      <c r="EU9" s="1088">
        <f>SUMIFS(BP_SOTIEN,BP_DA,$C9,BP_THANG,EU$2,BP_KM,$E9)/1000</f>
        <v>0</v>
      </c>
      <c r="EV9" s="1089" t="str">
        <f t="shared" si="91"/>
        <v/>
      </c>
      <c r="EW9" s="3"/>
      <c r="EX9" s="1090">
        <f>IF(NOW()&gt;=DATE(YEAR(EU$2),MONTH(EU$2)+1,DAY(EU$2)),SUMIFS(TF_SOTIEN,TF_DA,$C9,TF_THANG,EU$2,TF_KM,$E9)/1000, FA9)</f>
        <v>0</v>
      </c>
      <c r="EY9" s="1089" t="str">
        <f t="shared" si="92"/>
        <v/>
      </c>
      <c r="EZ9" s="3"/>
      <c r="FA9" s="1090">
        <f>IF(NOW()&gt;=DATE(YEAR(EU$2),MONTH(EU$2)+1,DAY(EU$2)),SUMIFS(AC_SOTIEN,AC_DA,$C9,AC_THANG,EU$2,AC_KM,$E9),SUMIFS(TF_SOTIEN,TF_DA,$C9,TF_THANG,EU$2,TF_KM,$E9))/ 1000</f>
        <v>0</v>
      </c>
      <c r="FB9" s="1089" t="str">
        <f t="shared" si="93"/>
        <v/>
      </c>
      <c r="FC9" s="3"/>
      <c r="FD9" s="1090">
        <f t="shared" si="94"/>
        <v>0</v>
      </c>
      <c r="FE9" s="1091" t="str">
        <f t="shared" si="95"/>
        <v/>
      </c>
      <c r="FF9" s="1090">
        <f t="shared" si="96"/>
        <v>0</v>
      </c>
      <c r="FG9" s="1091" t="str">
        <f t="shared" si="97"/>
        <v/>
      </c>
      <c r="FH9" s="1088">
        <f t="shared" si="98"/>
        <v>0</v>
      </c>
      <c r="FI9" s="1089" t="str">
        <f t="shared" si="99"/>
        <v/>
      </c>
      <c r="FJ9" s="3"/>
      <c r="FK9" s="1090">
        <f t="shared" si="100"/>
        <v>0</v>
      </c>
      <c r="FL9" s="1089" t="str">
        <f t="shared" si="101"/>
        <v/>
      </c>
      <c r="FM9" s="3"/>
      <c r="FN9" s="1090">
        <f t="shared" si="102"/>
        <v>0</v>
      </c>
      <c r="FO9" s="1089" t="str">
        <f t="shared" si="103"/>
        <v/>
      </c>
      <c r="FP9" s="3"/>
      <c r="FQ9" s="1090">
        <f t="shared" si="104"/>
        <v>0</v>
      </c>
      <c r="FR9" s="1091" t="str">
        <f t="shared" si="105"/>
        <v/>
      </c>
      <c r="FS9" s="1090">
        <f t="shared" si="106"/>
        <v>0</v>
      </c>
      <c r="FT9" s="1091" t="str">
        <f t="shared" si="107"/>
        <v/>
      </c>
      <c r="FU9" s="1088">
        <f>SUMIFS(BP_SOTIEN,BP_DA,$C9,BP_THANG,FU$2,BP_KM,$E9)/1000</f>
        <v>0</v>
      </c>
      <c r="FV9" s="1089" t="str">
        <f t="shared" si="108"/>
        <v/>
      </c>
      <c r="FW9" s="3"/>
      <c r="FX9" s="1090">
        <f>IF(NOW()&gt;=DATE(YEAR(FU$2),MONTH(FU$2)+1,DAY(FU$2)),SUMIFS(TF_SOTIEN,TF_DA,$C9,TF_THANG,FU$2,TF_KM,$E9)/1000, GA9)</f>
        <v>0</v>
      </c>
      <c r="FY9" s="1089" t="str">
        <f t="shared" si="109"/>
        <v/>
      </c>
      <c r="FZ9" s="3"/>
      <c r="GA9" s="1090">
        <f>IF(NOW()&gt;=DATE(YEAR(FU$2),MONTH(FU$2)+1,DAY(FU$2)),SUMIFS(AC_SOTIEN,AC_DA,$C9,AC_THANG,FU$2,AC_KM,$E9),SUMIFS(TF_SOTIEN,TF_DA,$C9,TF_THANG,FU$2,TF_KM,$E9))/ 1000</f>
        <v>0</v>
      </c>
      <c r="GB9" s="1089" t="str">
        <f t="shared" si="110"/>
        <v/>
      </c>
      <c r="GC9" s="3"/>
      <c r="GD9" s="1090">
        <f t="shared" si="111"/>
        <v>0</v>
      </c>
      <c r="GE9" s="1091" t="str">
        <f t="shared" si="112"/>
        <v/>
      </c>
      <c r="GF9" s="1090">
        <f t="shared" si="113"/>
        <v>0</v>
      </c>
      <c r="GG9" s="1091" t="str">
        <f t="shared" si="114"/>
        <v/>
      </c>
      <c r="GH9" s="1088">
        <f>SUMIFS(BP_SOTIEN,BP_DA,$C9,BP_THANG,GH$2,BP_KM,$E9)/1000</f>
        <v>0</v>
      </c>
      <c r="GI9" s="1089" t="str">
        <f t="shared" si="115"/>
        <v/>
      </c>
      <c r="GJ9" s="3"/>
      <c r="GK9" s="1090">
        <f>IF(NOW()&gt;=DATE(YEAR(GH$2),MONTH(GH$2)+1,DAY(GH$2)),SUMIFS(TF_SOTIEN,TF_DA,$C9,TF_THANG,GH$2,TF_KM,$E9)/1000, GN9)</f>
        <v>0</v>
      </c>
      <c r="GL9" s="1089" t="str">
        <f t="shared" si="116"/>
        <v/>
      </c>
      <c r="GM9" s="3"/>
      <c r="GN9" s="1090">
        <f>IF(NOW()&gt;=DATE(YEAR(GH$2),MONTH(GH$2)+1,DAY(GH$2)),SUMIFS(AC_SOTIEN,AC_DA,$C9,AC_THANG,GH$2,AC_KM,$E9),SUMIFS(TF_SOTIEN,TF_DA,$C9,TF_THANG,GH$2,TF_KM,$E9))/ 1000</f>
        <v>0</v>
      </c>
      <c r="GO9" s="1089" t="str">
        <f t="shared" si="117"/>
        <v/>
      </c>
      <c r="GP9" s="3"/>
      <c r="GQ9" s="1090">
        <f t="shared" si="118"/>
        <v>0</v>
      </c>
      <c r="GR9" s="1091" t="str">
        <f t="shared" si="119"/>
        <v/>
      </c>
      <c r="GS9" s="1090">
        <f t="shared" si="120"/>
        <v>0</v>
      </c>
      <c r="GT9" s="1091" t="str">
        <f t="shared" si="121"/>
        <v/>
      </c>
      <c r="GU9" s="1088">
        <f>SUMIFS(BP_SOTIEN,BP_DA,$C9,BP_THANG,GU$2,BP_KM,$E9)/1000</f>
        <v>0</v>
      </c>
      <c r="GV9" s="1089" t="str">
        <f t="shared" si="122"/>
        <v/>
      </c>
      <c r="GW9" s="3"/>
      <c r="GX9" s="1090">
        <f>IF(NOW()&gt;=DATE(YEAR(GU$2),MONTH(GU$2)+1,DAY(GU$2)),SUMIFS(TF_SOTIEN,TF_DA,$C9,TF_THANG,GU$2,TF_KM,$E9)/1000, HA9)</f>
        <v>0</v>
      </c>
      <c r="GY9" s="1089" t="str">
        <f t="shared" si="123"/>
        <v/>
      </c>
      <c r="GZ9" s="3"/>
      <c r="HA9" s="1090">
        <f>IF(NOW()&gt;=DATE(YEAR(GU$2),MONTH(GU$2)+1,DAY(GU$2)),SUMIFS(AC_SOTIEN,AC_DA,$C9,AC_THANG,GU$2,AC_KM,$E9),SUMIFS(TF_SOTIEN,TF_DA,$C9,TF_THANG,GU$2,TF_KM,$E9))/ 1000</f>
        <v>0</v>
      </c>
      <c r="HB9" s="1089" t="str">
        <f t="shared" si="124"/>
        <v/>
      </c>
      <c r="HC9" s="3"/>
      <c r="HD9" s="1090">
        <f t="shared" si="125"/>
        <v>0</v>
      </c>
      <c r="HE9" s="1091" t="str">
        <f t="shared" si="126"/>
        <v/>
      </c>
      <c r="HF9" s="1090">
        <f t="shared" si="127"/>
        <v>0</v>
      </c>
      <c r="HG9" s="1091" t="str">
        <f t="shared" si="128"/>
        <v/>
      </c>
      <c r="HH9" s="1088">
        <f t="shared" si="129"/>
        <v>0</v>
      </c>
      <c r="HI9" s="1089" t="str">
        <f t="shared" si="130"/>
        <v/>
      </c>
      <c r="HJ9" s="3"/>
      <c r="HK9" s="1090">
        <f t="shared" si="131"/>
        <v>0</v>
      </c>
      <c r="HL9" s="1089" t="str">
        <f t="shared" si="132"/>
        <v/>
      </c>
      <c r="HM9" s="3"/>
      <c r="HN9" s="1090">
        <f t="shared" si="133"/>
        <v>0</v>
      </c>
      <c r="HO9" s="1089" t="str">
        <f t="shared" si="134"/>
        <v/>
      </c>
      <c r="HP9" s="3"/>
      <c r="HQ9" s="1090">
        <f t="shared" si="135"/>
        <v>0</v>
      </c>
      <c r="HR9" s="1091" t="str">
        <f t="shared" si="136"/>
        <v/>
      </c>
      <c r="HS9" s="1090">
        <f t="shared" si="137"/>
        <v>0</v>
      </c>
      <c r="HT9" s="1091" t="str">
        <f t="shared" si="138"/>
        <v/>
      </c>
      <c r="HU9" s="1088">
        <f t="shared" si="139"/>
        <v>0</v>
      </c>
      <c r="HV9" s="1089" t="str">
        <f t="shared" si="140"/>
        <v/>
      </c>
      <c r="HW9" s="3"/>
      <c r="HX9" s="1090">
        <f t="shared" si="141"/>
        <v>0</v>
      </c>
      <c r="HY9" s="1089" t="str">
        <f t="shared" si="142"/>
        <v/>
      </c>
      <c r="HZ9" s="3"/>
      <c r="IA9" s="1090">
        <f t="shared" si="143"/>
        <v>0</v>
      </c>
      <c r="IB9" s="1089" t="str">
        <f t="shared" si="144"/>
        <v/>
      </c>
      <c r="IC9" s="3"/>
      <c r="ID9" s="1090">
        <f t="shared" si="145"/>
        <v>0</v>
      </c>
      <c r="IE9" s="1091" t="str">
        <f t="shared" si="146"/>
        <v/>
      </c>
      <c r="IF9" s="1090">
        <f t="shared" si="147"/>
        <v>0</v>
      </c>
      <c r="IG9" s="1091" t="str">
        <f t="shared" si="148"/>
        <v/>
      </c>
      <c r="IH9" s="1088">
        <f t="shared" si="149"/>
        <v>0</v>
      </c>
      <c r="II9" s="1089" t="str">
        <f t="shared" si="150"/>
        <v/>
      </c>
      <c r="IJ9" s="3"/>
      <c r="IK9" s="1090">
        <f t="shared" si="151"/>
        <v>0</v>
      </c>
      <c r="IL9" s="1089" t="str">
        <f t="shared" si="152"/>
        <v/>
      </c>
      <c r="IM9" s="3"/>
      <c r="IN9" s="1090">
        <f t="shared" si="153"/>
        <v>0</v>
      </c>
      <c r="IO9" s="1089">
        <f t="shared" si="154"/>
        <v>0</v>
      </c>
      <c r="IP9" s="3"/>
      <c r="IQ9" s="1090">
        <f t="shared" si="155"/>
        <v>0</v>
      </c>
      <c r="IR9" s="1091" t="str">
        <f t="shared" si="1"/>
        <v/>
      </c>
      <c r="IS9" s="1090">
        <f t="shared" si="156"/>
        <v>0</v>
      </c>
      <c r="IT9" s="1091" t="str">
        <f t="shared" si="2"/>
        <v/>
      </c>
    </row>
    <row r="10" outlineLevel="1">
      <c r="A10" s="1086">
        <f t="shared" si="3"/>
        <v>6</v>
      </c>
      <c r="B10" s="1087" t="s">
        <v>2071</v>
      </c>
      <c r="C10" s="656" t="s">
        <v>705</v>
      </c>
      <c r="D10" s="1087" t="str">
        <f t="shared" si="4"/>
        <v>DAT</v>
      </c>
      <c r="E10" s="1087" t="s">
        <v>198</v>
      </c>
      <c r="F10" s="1087"/>
      <c r="G10" s="1086">
        <v>2.0</v>
      </c>
      <c r="H10" s="1088">
        <f>SUMIFS(BP_SOTIEN,BP_DOI ,$C10,BP_THANG,H$2,BP_KM,$E10)/1000</f>
        <v>0</v>
      </c>
      <c r="I10" s="1089" t="str">
        <f t="shared" si="5"/>
        <v/>
      </c>
      <c r="J10" s="3"/>
      <c r="K10" s="1090">
        <f>IF(NOW()&gt;=DATE(YEAR(H$2),MONTH(H$2)+1,DAY(H$2)),SUMIFS(TF_SOTIEN,TF_DOI,$C10,TF_THANG,H$2,TF_KM,$E10)/1000, N10)</f>
        <v>0</v>
      </c>
      <c r="L10" s="1089" t="str">
        <f t="shared" si="6"/>
        <v/>
      </c>
      <c r="M10" s="3"/>
      <c r="N10" s="1090">
        <f>IF(NOW()&gt;=DATE(YEAR(H$2),MONTH(H$2)+1,DAY(H$2)),SUMIFS(AC_SOTIEN,AC_DOI,$C10,AC_THANG,H$2,AC_KM,$E10),SUMIFS(TF_SOTIEN,TF_DOI,$C10,TF_THANG,H$2,TF_KM,$E10))/ 1000</f>
        <v>0</v>
      </c>
      <c r="O10" s="1089">
        <f t="shared" si="7"/>
        <v>0</v>
      </c>
      <c r="P10" s="3"/>
      <c r="Q10" s="1090">
        <f t="shared" si="8"/>
        <v>0</v>
      </c>
      <c r="R10" s="1091" t="str">
        <f t="shared" si="9"/>
        <v/>
      </c>
      <c r="S10" s="1090">
        <f t="shared" si="10"/>
        <v>0</v>
      </c>
      <c r="T10" s="1091" t="str">
        <f t="shared" si="11"/>
        <v/>
      </c>
      <c r="U10" s="1088">
        <f>SUMIFS(BP_SOTIEN,BP_DA,$C10,BP_THANG,U$2,BP_KM,$E10)/1000</f>
        <v>0</v>
      </c>
      <c r="V10" s="1089" t="str">
        <f t="shared" si="12"/>
        <v/>
      </c>
      <c r="W10" s="3"/>
      <c r="X10" s="1090">
        <f>IF(NOW()&gt;=DATE(YEAR(U$2),MONTH(U$2)+1,DAY(U$2)),SUMIFS(TF_SOTIEN,TF_DA,$C10,TF_THANG,U$2,TF_KM,$E10)/1000, AA10)</f>
        <v>0</v>
      </c>
      <c r="Y10" s="1089" t="str">
        <f t="shared" si="13"/>
        <v/>
      </c>
      <c r="Z10" s="3"/>
      <c r="AA10" s="1090">
        <f>IF(NOW()&gt;=DATE(YEAR(U$2),MONTH(U$2)+1,DAY(U$2)),SUMIFS(AC_SOTIEN,AC_DA,$C10,AC_THANG,U$2,AC_KM,$E10),SUMIFS(TF_SOTIEN,TF_DA,$C10,TF_THANG,U$2,TF_KM,$E10))/ 1000</f>
        <v>0</v>
      </c>
      <c r="AB10" s="1089" t="str">
        <f t="shared" si="14"/>
        <v/>
      </c>
      <c r="AC10" s="3"/>
      <c r="AD10" s="1090">
        <f t="shared" si="15"/>
        <v>0</v>
      </c>
      <c r="AE10" s="1091" t="str">
        <f t="shared" si="16"/>
        <v/>
      </c>
      <c r="AF10" s="1090">
        <f t="shared" si="17"/>
        <v>0</v>
      </c>
      <c r="AG10" s="1091" t="str">
        <f t="shared" si="18"/>
        <v/>
      </c>
      <c r="AH10" s="1088">
        <f>SUMIFS(BP_SOTIEN,BP_DA,$C10,BP_THANG,AH$2,BP_KM,$E10)/1000</f>
        <v>0</v>
      </c>
      <c r="AI10" s="1089" t="str">
        <f t="shared" si="19"/>
        <v/>
      </c>
      <c r="AJ10" s="3"/>
      <c r="AK10" s="1090">
        <f>IF(NOW()&gt;=DATE(YEAR(AH$2),MONTH(AH$2)+1,DAY(AH$2)),SUMIFS(TF_SOTIEN,TF_DA,$C10,TF_THANG,AH$2,TF_KM,$E10)/1000, AN10)</f>
        <v>0</v>
      </c>
      <c r="AL10" s="1089" t="str">
        <f t="shared" si="20"/>
        <v/>
      </c>
      <c r="AM10" s="3"/>
      <c r="AN10" s="1090">
        <f>IF(NOW()&gt;=DATE(YEAR(AH$2),MONTH(AH$2)+1,DAY(AH$2)),SUMIFS(AC_SOTIEN,AC_DA,$C10,AC_THANG,AH$2,AC_KM,$E10),SUMIFS(TF_SOTIEN,TF_DA,$C10,TF_THANG,AH$2,TF_KM,$E10))/ 1000</f>
        <v>0</v>
      </c>
      <c r="AO10" s="1089" t="str">
        <f t="shared" si="21"/>
        <v/>
      </c>
      <c r="AP10" s="3"/>
      <c r="AQ10" s="1090">
        <f t="shared" si="22"/>
        <v>0</v>
      </c>
      <c r="AR10" s="1091" t="str">
        <f t="shared" si="23"/>
        <v/>
      </c>
      <c r="AS10" s="1090">
        <f t="shared" si="24"/>
        <v>0</v>
      </c>
      <c r="AT10" s="1091" t="str">
        <f t="shared" si="25"/>
        <v/>
      </c>
      <c r="AU10" s="1088">
        <f t="shared" si="26"/>
        <v>0</v>
      </c>
      <c r="AV10" s="1089" t="str">
        <f t="shared" si="27"/>
        <v/>
      </c>
      <c r="AW10" s="3"/>
      <c r="AX10" s="1090">
        <f t="shared" si="28"/>
        <v>0</v>
      </c>
      <c r="AY10" s="1089" t="str">
        <f t="shared" si="29"/>
        <v/>
      </c>
      <c r="AZ10" s="3"/>
      <c r="BA10" s="1090">
        <f t="shared" si="30"/>
        <v>0</v>
      </c>
      <c r="BB10" s="1089">
        <f t="shared" si="31"/>
        <v>0</v>
      </c>
      <c r="BC10" s="3"/>
      <c r="BD10" s="1090">
        <f t="shared" si="32"/>
        <v>0</v>
      </c>
      <c r="BE10" s="1091" t="str">
        <f t="shared" si="33"/>
        <v/>
      </c>
      <c r="BF10" s="1090">
        <f t="shared" si="34"/>
        <v>0</v>
      </c>
      <c r="BG10" s="1091" t="str">
        <f t="shared" si="35"/>
        <v/>
      </c>
      <c r="BH10" s="1088">
        <f>SUMIFS(BP_SOTIEN,BP_DA,$C10,BP_THANG,BH$2,BP_KM,$E10)/1000</f>
        <v>0</v>
      </c>
      <c r="BI10" s="1089" t="str">
        <f t="shared" si="36"/>
        <v/>
      </c>
      <c r="BJ10" s="3"/>
      <c r="BK10" s="1090">
        <f>IF(NOW()&gt;=DATE(YEAR(BH$2),MONTH(BH$2)+1,DAY(BH$2)),SUMIFS(TF_SOTIEN,TF_DA,$C10,TF_THANG,BH$2,TF_KM,$E10)/1000, BN10)</f>
        <v>0</v>
      </c>
      <c r="BL10" s="1089" t="str">
        <f t="shared" si="37"/>
        <v/>
      </c>
      <c r="BM10" s="3"/>
      <c r="BN10" s="1090">
        <f>IF(NOW()&gt;=DATE(YEAR(BH$2),MONTH(BH$2)+1,DAY(BH$2)),SUMIFS(AC_SOTIEN,AC_DA,$C10,AC_THANG,BH$2,AC_KM,$E10),SUMIFS(TF_SOTIEN,TF_DA,$C10,TF_THANG,BH$2,TF_KM,$E10))/ 1000</f>
        <v>0</v>
      </c>
      <c r="BO10" s="1089" t="str">
        <f t="shared" si="38"/>
        <v/>
      </c>
      <c r="BP10" s="3"/>
      <c r="BQ10" s="1090">
        <f t="shared" si="39"/>
        <v>0</v>
      </c>
      <c r="BR10" s="1091" t="str">
        <f t="shared" si="40"/>
        <v/>
      </c>
      <c r="BS10" s="1090">
        <f t="shared" si="41"/>
        <v>0</v>
      </c>
      <c r="BT10" s="1091" t="str">
        <f t="shared" si="42"/>
        <v/>
      </c>
      <c r="BU10" s="1088">
        <f>SUMIFS(BP_SOTIEN,BP_DA,$C10,BP_THANG,BU$2,BP_KM,$E10)/1000</f>
        <v>0</v>
      </c>
      <c r="BV10" s="1089" t="str">
        <f t="shared" si="43"/>
        <v/>
      </c>
      <c r="BW10" s="3"/>
      <c r="BX10" s="1090">
        <f>IF(NOW()&gt;=DATE(YEAR(BU$2),MONTH(BU$2)+1,DAY(BU$2)),SUMIFS(TF_SOTIEN,TF_DA,$C10,TF_THANG,BU$2,TF_KM,$E10)/1000, CA10)</f>
        <v>0</v>
      </c>
      <c r="BY10" s="1089" t="str">
        <f t="shared" si="44"/>
        <v/>
      </c>
      <c r="BZ10" s="3"/>
      <c r="CA10" s="1090">
        <f>IF(NOW()&gt;=DATE(YEAR(BU$2),MONTH(BU$2)+1,DAY(BU$2)),SUMIFS(AC_SOTIEN,AC_DA,$C10,AC_THANG,BU$2,AC_KM,$E10),SUMIFS(TF_SOTIEN,TF_DA,$C10,TF_THANG,BU$2,TF_KM,$E10))/ 1000</f>
        <v>0</v>
      </c>
      <c r="CB10" s="1089" t="str">
        <f t="shared" si="45"/>
        <v/>
      </c>
      <c r="CC10" s="3"/>
      <c r="CD10" s="1090">
        <f t="shared" si="46"/>
        <v>0</v>
      </c>
      <c r="CE10" s="1091" t="str">
        <f t="shared" si="47"/>
        <v/>
      </c>
      <c r="CF10" s="1090">
        <f t="shared" si="48"/>
        <v>0</v>
      </c>
      <c r="CG10" s="1091" t="str">
        <f t="shared" si="49"/>
        <v/>
      </c>
      <c r="CH10" s="1088">
        <f>SUMIFS(BP_SOTIEN,BP_DA,$C10,BP_THANG,CH$2,BP_KM,$E10)/1000</f>
        <v>0</v>
      </c>
      <c r="CI10" s="1089" t="str">
        <f t="shared" si="50"/>
        <v/>
      </c>
      <c r="CJ10" s="3"/>
      <c r="CK10" s="1090">
        <f>IF(NOW()&gt;=DATE(YEAR(CH$2),MONTH(CH$2)+1,DAY(CH$2)),SUMIFS(TF_SOTIEN,TF_DA,$C10,TF_THANG,CH$2,TF_KM,$E10)/1000, CN10)</f>
        <v>0</v>
      </c>
      <c r="CL10" s="1089" t="str">
        <f t="shared" si="51"/>
        <v/>
      </c>
      <c r="CM10" s="3"/>
      <c r="CN10" s="1090">
        <f>IF(NOW()&gt;=DATE(YEAR(CH$2),MONTH(CH$2)+1,DAY(CH$2)),SUMIFS(AC_SOTIEN,AC_DA,$C10,AC_THANG,CH$2,AC_KM,$E10),SUMIFS(TF_SOTIEN,TF_DA,$C10,TF_THANG,CH$2,TF_KM,$E10))/ 1000</f>
        <v>0</v>
      </c>
      <c r="CO10" s="1089" t="str">
        <f t="shared" si="52"/>
        <v/>
      </c>
      <c r="CP10" s="3"/>
      <c r="CQ10" s="1090">
        <f t="shared" si="53"/>
        <v>0</v>
      </c>
      <c r="CR10" s="1091" t="str">
        <f t="shared" si="54"/>
        <v/>
      </c>
      <c r="CS10" s="1090">
        <f t="shared" si="55"/>
        <v>0</v>
      </c>
      <c r="CT10" s="1091" t="str">
        <f t="shared" si="56"/>
        <v/>
      </c>
      <c r="CU10" s="1088">
        <f t="shared" si="57"/>
        <v>0</v>
      </c>
      <c r="CV10" s="1089" t="str">
        <f t="shared" si="58"/>
        <v/>
      </c>
      <c r="CW10" s="3"/>
      <c r="CX10" s="1090">
        <f t="shared" si="59"/>
        <v>0</v>
      </c>
      <c r="CY10" s="1089" t="str">
        <f t="shared" si="60"/>
        <v/>
      </c>
      <c r="CZ10" s="3"/>
      <c r="DA10" s="1090">
        <f t="shared" si="61"/>
        <v>0</v>
      </c>
      <c r="DB10" s="1089" t="str">
        <f t="shared" si="62"/>
        <v/>
      </c>
      <c r="DC10" s="3"/>
      <c r="DD10" s="1090">
        <f t="shared" si="63"/>
        <v>0</v>
      </c>
      <c r="DE10" s="1091" t="str">
        <f t="shared" si="64"/>
        <v/>
      </c>
      <c r="DF10" s="1090">
        <f t="shared" si="65"/>
        <v>0</v>
      </c>
      <c r="DG10" s="1091" t="str">
        <f t="shared" si="66"/>
        <v/>
      </c>
      <c r="DH10" s="1088">
        <f t="shared" si="67"/>
        <v>0</v>
      </c>
      <c r="DI10" s="1089" t="str">
        <f t="shared" si="68"/>
        <v/>
      </c>
      <c r="DJ10" s="3"/>
      <c r="DK10" s="1090">
        <f t="shared" si="69"/>
        <v>0</v>
      </c>
      <c r="DL10" s="1089" t="str">
        <f t="shared" si="70"/>
        <v/>
      </c>
      <c r="DM10" s="3"/>
      <c r="DN10" s="1090">
        <f t="shared" si="71"/>
        <v>0</v>
      </c>
      <c r="DO10" s="1089">
        <f t="shared" si="72"/>
        <v>0</v>
      </c>
      <c r="DP10" s="3"/>
      <c r="DQ10" s="1090">
        <f t="shared" si="73"/>
        <v>0</v>
      </c>
      <c r="DR10" s="1091" t="str">
        <f t="shared" si="74"/>
        <v/>
      </c>
      <c r="DS10" s="1090">
        <f t="shared" si="75"/>
        <v>0</v>
      </c>
      <c r="DT10" s="1091" t="str">
        <f t="shared" si="76"/>
        <v/>
      </c>
      <c r="DU10" s="1088">
        <f>SUMIFS(BP_SOTIEN,BP_DA,$C10,BP_THANG,DU$2,BP_KM,$E10)/1000</f>
        <v>0</v>
      </c>
      <c r="DV10" s="1089" t="str">
        <f t="shared" si="77"/>
        <v/>
      </c>
      <c r="DW10" s="3"/>
      <c r="DX10" s="1090">
        <f>IF(NOW()&gt;=DATE(YEAR(DU$2),MONTH(DU$2)+1,DAY(DU$2)),SUMIFS(TF_SOTIEN,TF_DA,$C10,TF_THANG,DU$2,TF_KM,$E10)/1000, EA10)</f>
        <v>0</v>
      </c>
      <c r="DY10" s="1089" t="str">
        <f t="shared" si="78"/>
        <v/>
      </c>
      <c r="DZ10" s="3"/>
      <c r="EA10" s="1090">
        <f>IF(NOW()&gt;=DATE(YEAR(DU$2),MONTH(DU$2)+1,DAY(DU$2)),SUMIFS(AC_SOTIEN,AC_DA,$C10,AC_THANG,DU$2,AC_KM,$E10),SUMIFS(TF_SOTIEN,TF_DA,$C10,TF_THANG,DU$2,TF_KM,$E10))/ 1000</f>
        <v>0</v>
      </c>
      <c r="EB10" s="1089" t="str">
        <f t="shared" si="79"/>
        <v/>
      </c>
      <c r="EC10" s="3"/>
      <c r="ED10" s="1090">
        <f t="shared" si="80"/>
        <v>0</v>
      </c>
      <c r="EE10" s="1091" t="str">
        <f t="shared" si="81"/>
        <v/>
      </c>
      <c r="EF10" s="1090">
        <f t="shared" si="82"/>
        <v>0</v>
      </c>
      <c r="EG10" s="1091" t="str">
        <f t="shared" si="83"/>
        <v/>
      </c>
      <c r="EH10" s="1088">
        <f>SUMIFS(BP_SOTIEN,BP_DA,$C10,BP_THANG,EH$2,BP_KM,$E10)/1000</f>
        <v>0</v>
      </c>
      <c r="EI10" s="1089" t="str">
        <f t="shared" si="84"/>
        <v/>
      </c>
      <c r="EJ10" s="3"/>
      <c r="EK10" s="1090">
        <f>IF(NOW()&gt;=DATE(YEAR(EH$2),MONTH(EH$2)+1,DAY(EH$2)),SUMIFS(TF_SOTIEN,TF_DA,$C10,TF_THANG,EH$2,TF_KM,$E10)/1000, EN10)</f>
        <v>0</v>
      </c>
      <c r="EL10" s="1089" t="str">
        <f t="shared" si="85"/>
        <v/>
      </c>
      <c r="EM10" s="3"/>
      <c r="EN10" s="1090">
        <f>IF(NOW()&gt;=DATE(YEAR(EH$2),MONTH(EH$2)+1,DAY(EH$2)),SUMIFS(AC_SOTIEN,AC_DA,$C10,AC_THANG,EH$2,AC_KM,$E10),SUMIFS(TF_SOTIEN,TF_DA,$C10,TF_THANG,EH$2,TF_KM,$E10))/ 1000</f>
        <v>0</v>
      </c>
      <c r="EO10" s="1089" t="str">
        <f t="shared" si="86"/>
        <v/>
      </c>
      <c r="EP10" s="3"/>
      <c r="EQ10" s="1090">
        <f t="shared" si="87"/>
        <v>0</v>
      </c>
      <c r="ER10" s="1091" t="str">
        <f t="shared" si="88"/>
        <v/>
      </c>
      <c r="ES10" s="1090">
        <f t="shared" si="89"/>
        <v>0</v>
      </c>
      <c r="ET10" s="1091" t="str">
        <f t="shared" si="90"/>
        <v/>
      </c>
      <c r="EU10" s="1088">
        <f>SUMIFS(BP_SOTIEN,BP_DA,$C10,BP_THANG,EU$2,BP_KM,$E10)/1000</f>
        <v>0</v>
      </c>
      <c r="EV10" s="1089" t="str">
        <f t="shared" si="91"/>
        <v/>
      </c>
      <c r="EW10" s="3"/>
      <c r="EX10" s="1090">
        <f>IF(NOW()&gt;=DATE(YEAR(EU$2),MONTH(EU$2)+1,DAY(EU$2)),SUMIFS(TF_SOTIEN,TF_DA,$C10,TF_THANG,EU$2,TF_KM,$E10)/1000, FA10)</f>
        <v>0</v>
      </c>
      <c r="EY10" s="1089" t="str">
        <f t="shared" si="92"/>
        <v/>
      </c>
      <c r="EZ10" s="3"/>
      <c r="FA10" s="1090">
        <f>IF(NOW()&gt;=DATE(YEAR(EU$2),MONTH(EU$2)+1,DAY(EU$2)),SUMIFS(AC_SOTIEN,AC_DA,$C10,AC_THANG,EU$2,AC_KM,$E10),SUMIFS(TF_SOTIEN,TF_DA,$C10,TF_THANG,EU$2,TF_KM,$E10))/ 1000</f>
        <v>0</v>
      </c>
      <c r="FB10" s="1089" t="str">
        <f t="shared" si="93"/>
        <v/>
      </c>
      <c r="FC10" s="3"/>
      <c r="FD10" s="1090">
        <f t="shared" si="94"/>
        <v>0</v>
      </c>
      <c r="FE10" s="1091" t="str">
        <f t="shared" si="95"/>
        <v/>
      </c>
      <c r="FF10" s="1090">
        <f t="shared" si="96"/>
        <v>0</v>
      </c>
      <c r="FG10" s="1091" t="str">
        <f t="shared" si="97"/>
        <v/>
      </c>
      <c r="FH10" s="1088">
        <f t="shared" si="98"/>
        <v>0</v>
      </c>
      <c r="FI10" s="1089" t="str">
        <f t="shared" si="99"/>
        <v/>
      </c>
      <c r="FJ10" s="3"/>
      <c r="FK10" s="1090">
        <f t="shared" si="100"/>
        <v>0</v>
      </c>
      <c r="FL10" s="1089" t="str">
        <f t="shared" si="101"/>
        <v/>
      </c>
      <c r="FM10" s="3"/>
      <c r="FN10" s="1090">
        <f t="shared" si="102"/>
        <v>0</v>
      </c>
      <c r="FO10" s="1089" t="str">
        <f t="shared" si="103"/>
        <v/>
      </c>
      <c r="FP10" s="3"/>
      <c r="FQ10" s="1090">
        <f t="shared" si="104"/>
        <v>0</v>
      </c>
      <c r="FR10" s="1091" t="str">
        <f t="shared" si="105"/>
        <v/>
      </c>
      <c r="FS10" s="1090">
        <f t="shared" si="106"/>
        <v>0</v>
      </c>
      <c r="FT10" s="1091" t="str">
        <f t="shared" si="107"/>
        <v/>
      </c>
      <c r="FU10" s="1088">
        <f>SUMIFS(BP_SOTIEN,BP_DA,$C10,BP_THANG,FU$2,BP_KM,$E10)/1000</f>
        <v>0</v>
      </c>
      <c r="FV10" s="1089" t="str">
        <f t="shared" si="108"/>
        <v/>
      </c>
      <c r="FW10" s="3"/>
      <c r="FX10" s="1090">
        <f>IF(NOW()&gt;=DATE(YEAR(FU$2),MONTH(FU$2)+1,DAY(FU$2)),SUMIFS(TF_SOTIEN,TF_DA,$C10,TF_THANG,FU$2,TF_KM,$E10)/1000, GA10)</f>
        <v>0</v>
      </c>
      <c r="FY10" s="1089" t="str">
        <f t="shared" si="109"/>
        <v/>
      </c>
      <c r="FZ10" s="3"/>
      <c r="GA10" s="1090">
        <f>IF(NOW()&gt;=DATE(YEAR(FU$2),MONTH(FU$2)+1,DAY(FU$2)),SUMIFS(AC_SOTIEN,AC_DA,$C10,AC_THANG,FU$2,AC_KM,$E10),SUMIFS(TF_SOTIEN,TF_DA,$C10,TF_THANG,FU$2,TF_KM,$E10))/ 1000</f>
        <v>0</v>
      </c>
      <c r="GB10" s="1089" t="str">
        <f t="shared" si="110"/>
        <v/>
      </c>
      <c r="GC10" s="3"/>
      <c r="GD10" s="1090">
        <f t="shared" si="111"/>
        <v>0</v>
      </c>
      <c r="GE10" s="1091" t="str">
        <f t="shared" si="112"/>
        <v/>
      </c>
      <c r="GF10" s="1090">
        <f t="shared" si="113"/>
        <v>0</v>
      </c>
      <c r="GG10" s="1091" t="str">
        <f t="shared" si="114"/>
        <v/>
      </c>
      <c r="GH10" s="1088">
        <f>SUMIFS(BP_SOTIEN,BP_DA,$C10,BP_THANG,GH$2,BP_KM,$E10)/1000</f>
        <v>0</v>
      </c>
      <c r="GI10" s="1089" t="str">
        <f t="shared" si="115"/>
        <v/>
      </c>
      <c r="GJ10" s="3"/>
      <c r="GK10" s="1090">
        <f>IF(NOW()&gt;=DATE(YEAR(GH$2),MONTH(GH$2)+1,DAY(GH$2)),SUMIFS(TF_SOTIEN,TF_DA,$C10,TF_THANG,GH$2,TF_KM,$E10)/1000, GN10)</f>
        <v>0</v>
      </c>
      <c r="GL10" s="1089" t="str">
        <f t="shared" si="116"/>
        <v/>
      </c>
      <c r="GM10" s="3"/>
      <c r="GN10" s="1090">
        <f>IF(NOW()&gt;=DATE(YEAR(GH$2),MONTH(GH$2)+1,DAY(GH$2)),SUMIFS(AC_SOTIEN,AC_DA,$C10,AC_THANG,GH$2,AC_KM,$E10),SUMIFS(TF_SOTIEN,TF_DA,$C10,TF_THANG,GH$2,TF_KM,$E10))/ 1000</f>
        <v>0</v>
      </c>
      <c r="GO10" s="1089" t="str">
        <f t="shared" si="117"/>
        <v/>
      </c>
      <c r="GP10" s="3"/>
      <c r="GQ10" s="1090">
        <f t="shared" si="118"/>
        <v>0</v>
      </c>
      <c r="GR10" s="1091" t="str">
        <f t="shared" si="119"/>
        <v/>
      </c>
      <c r="GS10" s="1090">
        <f t="shared" si="120"/>
        <v>0</v>
      </c>
      <c r="GT10" s="1091" t="str">
        <f t="shared" si="121"/>
        <v/>
      </c>
      <c r="GU10" s="1088">
        <f>SUMIFS(BP_SOTIEN,BP_DA,$C10,BP_THANG,GU$2,BP_KM,$E10)/1000</f>
        <v>0</v>
      </c>
      <c r="GV10" s="1089" t="str">
        <f t="shared" si="122"/>
        <v/>
      </c>
      <c r="GW10" s="3"/>
      <c r="GX10" s="1090">
        <f>IF(NOW()&gt;=DATE(YEAR(GU$2),MONTH(GU$2)+1,DAY(GU$2)),SUMIFS(TF_SOTIEN,TF_DA,$C10,TF_THANG,GU$2,TF_KM,$E10)/1000, HA10)</f>
        <v>0</v>
      </c>
      <c r="GY10" s="1089" t="str">
        <f t="shared" si="123"/>
        <v/>
      </c>
      <c r="GZ10" s="3"/>
      <c r="HA10" s="1090">
        <f>IF(NOW()&gt;=DATE(YEAR(GU$2),MONTH(GU$2)+1,DAY(GU$2)),SUMIFS(AC_SOTIEN,AC_DA,$C10,AC_THANG,GU$2,AC_KM,$E10),SUMIFS(TF_SOTIEN,TF_DA,$C10,TF_THANG,GU$2,TF_KM,$E10))/ 1000</f>
        <v>0</v>
      </c>
      <c r="HB10" s="1089" t="str">
        <f t="shared" si="124"/>
        <v/>
      </c>
      <c r="HC10" s="3"/>
      <c r="HD10" s="1090">
        <f t="shared" si="125"/>
        <v>0</v>
      </c>
      <c r="HE10" s="1091" t="str">
        <f t="shared" si="126"/>
        <v/>
      </c>
      <c r="HF10" s="1090">
        <f t="shared" si="127"/>
        <v>0</v>
      </c>
      <c r="HG10" s="1091" t="str">
        <f t="shared" si="128"/>
        <v/>
      </c>
      <c r="HH10" s="1088">
        <f t="shared" si="129"/>
        <v>0</v>
      </c>
      <c r="HI10" s="1089" t="str">
        <f t="shared" si="130"/>
        <v/>
      </c>
      <c r="HJ10" s="3"/>
      <c r="HK10" s="1090">
        <f t="shared" si="131"/>
        <v>0</v>
      </c>
      <c r="HL10" s="1089" t="str">
        <f t="shared" si="132"/>
        <v/>
      </c>
      <c r="HM10" s="3"/>
      <c r="HN10" s="1090">
        <f t="shared" si="133"/>
        <v>0</v>
      </c>
      <c r="HO10" s="1089" t="str">
        <f t="shared" si="134"/>
        <v/>
      </c>
      <c r="HP10" s="3"/>
      <c r="HQ10" s="1090">
        <f t="shared" si="135"/>
        <v>0</v>
      </c>
      <c r="HR10" s="1091" t="str">
        <f t="shared" si="136"/>
        <v/>
      </c>
      <c r="HS10" s="1090">
        <f t="shared" si="137"/>
        <v>0</v>
      </c>
      <c r="HT10" s="1091" t="str">
        <f t="shared" si="138"/>
        <v/>
      </c>
      <c r="HU10" s="1088">
        <f t="shared" si="139"/>
        <v>0</v>
      </c>
      <c r="HV10" s="1089" t="str">
        <f t="shared" si="140"/>
        <v/>
      </c>
      <c r="HW10" s="3"/>
      <c r="HX10" s="1090">
        <f t="shared" si="141"/>
        <v>0</v>
      </c>
      <c r="HY10" s="1089" t="str">
        <f t="shared" si="142"/>
        <v/>
      </c>
      <c r="HZ10" s="3"/>
      <c r="IA10" s="1090">
        <f t="shared" si="143"/>
        <v>0</v>
      </c>
      <c r="IB10" s="1089" t="str">
        <f t="shared" si="144"/>
        <v/>
      </c>
      <c r="IC10" s="3"/>
      <c r="ID10" s="1090">
        <f t="shared" si="145"/>
        <v>0</v>
      </c>
      <c r="IE10" s="1091" t="str">
        <f t="shared" si="146"/>
        <v/>
      </c>
      <c r="IF10" s="1090">
        <f t="shared" si="147"/>
        <v>0</v>
      </c>
      <c r="IG10" s="1091" t="str">
        <f t="shared" si="148"/>
        <v/>
      </c>
      <c r="IH10" s="1088">
        <f t="shared" si="149"/>
        <v>0</v>
      </c>
      <c r="II10" s="1089" t="str">
        <f t="shared" si="150"/>
        <v/>
      </c>
      <c r="IJ10" s="3"/>
      <c r="IK10" s="1090">
        <f t="shared" si="151"/>
        <v>0</v>
      </c>
      <c r="IL10" s="1089" t="str">
        <f t="shared" si="152"/>
        <v/>
      </c>
      <c r="IM10" s="3"/>
      <c r="IN10" s="1090">
        <f t="shared" si="153"/>
        <v>0</v>
      </c>
      <c r="IO10" s="1089">
        <f t="shared" si="154"/>
        <v>0</v>
      </c>
      <c r="IP10" s="3"/>
      <c r="IQ10" s="1090">
        <f t="shared" si="155"/>
        <v>0</v>
      </c>
      <c r="IR10" s="1091" t="str">
        <f t="shared" si="1"/>
        <v/>
      </c>
      <c r="IS10" s="1090">
        <f t="shared" si="156"/>
        <v>0</v>
      </c>
      <c r="IT10" s="1091" t="str">
        <f t="shared" si="2"/>
        <v/>
      </c>
    </row>
    <row r="11" outlineLevel="1">
      <c r="A11" s="1086">
        <f t="shared" si="3"/>
        <v>7</v>
      </c>
      <c r="B11" s="1087" t="s">
        <v>2072</v>
      </c>
      <c r="C11" s="656" t="s">
        <v>810</v>
      </c>
      <c r="D11" s="1087" t="str">
        <f t="shared" si="4"/>
        <v>QUY</v>
      </c>
      <c r="E11" s="1087" t="s">
        <v>198</v>
      </c>
      <c r="F11" s="1087"/>
      <c r="G11" s="1086">
        <v>2.0</v>
      </c>
      <c r="H11" s="1088">
        <f>SUMIFS(BP_SOTIEN,BP_DOI ,$C11,BP_THANG,H$2,BP_KM,$E11)/1000</f>
        <v>0</v>
      </c>
      <c r="I11" s="1089" t="str">
        <f t="shared" si="5"/>
        <v/>
      </c>
      <c r="J11" s="3"/>
      <c r="K11" s="1090">
        <f>IF(NOW()&gt;=DATE(YEAR(H$2),MONTH(H$2)+1,DAY(H$2)),SUMIFS(TF_SOTIEN,TF_DOI,$C11,TF_THANG,H$2,TF_KM,$E11)/1000, N11)</f>
        <v>0</v>
      </c>
      <c r="L11" s="1089" t="str">
        <f t="shared" si="6"/>
        <v/>
      </c>
      <c r="M11" s="3"/>
      <c r="N11" s="1090">
        <f>IF(NOW()&gt;=DATE(YEAR(H$2),MONTH(H$2)+1,DAY(H$2)),SUMIFS(AC_SOTIEN,AC_DOI,$C11,AC_THANG,H$2,AC_KM,$E11),SUMIFS(TF_SOTIEN,TF_DOI,$C11,TF_THANG,H$2,TF_KM,$E11))/ 1000</f>
        <v>0</v>
      </c>
      <c r="O11" s="1089">
        <f t="shared" si="7"/>
        <v>0</v>
      </c>
      <c r="P11" s="3"/>
      <c r="Q11" s="1090">
        <f t="shared" si="8"/>
        <v>0</v>
      </c>
      <c r="R11" s="1091" t="str">
        <f t="shared" si="9"/>
        <v/>
      </c>
      <c r="S11" s="1090">
        <f t="shared" si="10"/>
        <v>0</v>
      </c>
      <c r="T11" s="1091" t="str">
        <f t="shared" si="11"/>
        <v/>
      </c>
      <c r="U11" s="1088">
        <f>SUMIFS(BP_SOTIEN,BP_DA,$C11,BP_THANG,U$2,BP_KM,$E11)/1000</f>
        <v>0</v>
      </c>
      <c r="V11" s="1089" t="str">
        <f t="shared" si="12"/>
        <v/>
      </c>
      <c r="W11" s="3"/>
      <c r="X11" s="1090">
        <f>IF(NOW()&gt;=DATE(YEAR(U$2),MONTH(U$2)+1,DAY(U$2)),SUMIFS(TF_SOTIEN,TF_DA,$C11,TF_THANG,U$2,TF_KM,$E11)/1000, AA11)</f>
        <v>0</v>
      </c>
      <c r="Y11" s="1089" t="str">
        <f t="shared" si="13"/>
        <v/>
      </c>
      <c r="Z11" s="3"/>
      <c r="AA11" s="1090">
        <f>IF(NOW()&gt;=DATE(YEAR(U$2),MONTH(U$2)+1,DAY(U$2)),SUMIFS(AC_SOTIEN,AC_DA,$C11,AC_THANG,U$2,AC_KM,$E11),SUMIFS(TF_SOTIEN,TF_DA,$C11,TF_THANG,U$2,TF_KM,$E11))/ 1000</f>
        <v>0</v>
      </c>
      <c r="AB11" s="1089" t="str">
        <f t="shared" si="14"/>
        <v/>
      </c>
      <c r="AC11" s="3"/>
      <c r="AD11" s="1090">
        <f t="shared" si="15"/>
        <v>0</v>
      </c>
      <c r="AE11" s="1091" t="str">
        <f t="shared" si="16"/>
        <v/>
      </c>
      <c r="AF11" s="1090">
        <f t="shared" si="17"/>
        <v>0</v>
      </c>
      <c r="AG11" s="1091" t="str">
        <f t="shared" si="18"/>
        <v/>
      </c>
      <c r="AH11" s="1088">
        <f>SUMIFS(BP_SOTIEN,BP_DA,$C11,BP_THANG,AH$2,BP_KM,$E11)/1000</f>
        <v>0</v>
      </c>
      <c r="AI11" s="1089" t="str">
        <f t="shared" si="19"/>
        <v/>
      </c>
      <c r="AJ11" s="3"/>
      <c r="AK11" s="1090">
        <f>IF(NOW()&gt;=DATE(YEAR(AH$2),MONTH(AH$2)+1,DAY(AH$2)),SUMIFS(TF_SOTIEN,TF_DA,$C11,TF_THANG,AH$2,TF_KM,$E11)/1000, AN11)</f>
        <v>0</v>
      </c>
      <c r="AL11" s="1089" t="str">
        <f t="shared" si="20"/>
        <v/>
      </c>
      <c r="AM11" s="3"/>
      <c r="AN11" s="1090">
        <f>IF(NOW()&gt;=DATE(YEAR(AH$2),MONTH(AH$2)+1,DAY(AH$2)),SUMIFS(AC_SOTIEN,AC_DA,$C11,AC_THANG,AH$2,AC_KM,$E11),SUMIFS(TF_SOTIEN,TF_DA,$C11,TF_THANG,AH$2,TF_KM,$E11))/ 1000</f>
        <v>0</v>
      </c>
      <c r="AO11" s="1089" t="str">
        <f t="shared" si="21"/>
        <v/>
      </c>
      <c r="AP11" s="3"/>
      <c r="AQ11" s="1090">
        <f t="shared" si="22"/>
        <v>0</v>
      </c>
      <c r="AR11" s="1091" t="str">
        <f t="shared" si="23"/>
        <v/>
      </c>
      <c r="AS11" s="1090">
        <f t="shared" si="24"/>
        <v>0</v>
      </c>
      <c r="AT11" s="1091" t="str">
        <f t="shared" si="25"/>
        <v/>
      </c>
      <c r="AU11" s="1088">
        <f t="shared" si="26"/>
        <v>0</v>
      </c>
      <c r="AV11" s="1089" t="str">
        <f t="shared" si="27"/>
        <v/>
      </c>
      <c r="AW11" s="3"/>
      <c r="AX11" s="1090">
        <f t="shared" si="28"/>
        <v>0</v>
      </c>
      <c r="AY11" s="1089" t="str">
        <f t="shared" si="29"/>
        <v/>
      </c>
      <c r="AZ11" s="3"/>
      <c r="BA11" s="1090">
        <f t="shared" si="30"/>
        <v>0</v>
      </c>
      <c r="BB11" s="1089">
        <f t="shared" si="31"/>
        <v>0</v>
      </c>
      <c r="BC11" s="3"/>
      <c r="BD11" s="1090">
        <f t="shared" si="32"/>
        <v>0</v>
      </c>
      <c r="BE11" s="1091" t="str">
        <f t="shared" si="33"/>
        <v/>
      </c>
      <c r="BF11" s="1090">
        <f t="shared" si="34"/>
        <v>0</v>
      </c>
      <c r="BG11" s="1091" t="str">
        <f t="shared" si="35"/>
        <v/>
      </c>
      <c r="BH11" s="1088">
        <f>SUMIFS(BP_SOTIEN,BP_DA,$C11,BP_THANG,BH$2,BP_KM,$E11)/1000</f>
        <v>0</v>
      </c>
      <c r="BI11" s="1089" t="str">
        <f t="shared" si="36"/>
        <v/>
      </c>
      <c r="BJ11" s="3"/>
      <c r="BK11" s="1090">
        <f>IF(NOW()&gt;=DATE(YEAR(BH$2),MONTH(BH$2)+1,DAY(BH$2)),SUMIFS(TF_SOTIEN,TF_DA,$C11,TF_THANG,BH$2,TF_KM,$E11)/1000, BN11)</f>
        <v>0</v>
      </c>
      <c r="BL11" s="1089" t="str">
        <f t="shared" si="37"/>
        <v/>
      </c>
      <c r="BM11" s="3"/>
      <c r="BN11" s="1090">
        <f>IF(NOW()&gt;=DATE(YEAR(BH$2),MONTH(BH$2)+1,DAY(BH$2)),SUMIFS(AC_SOTIEN,AC_DA,$C11,AC_THANG,BH$2,AC_KM,$E11),SUMIFS(TF_SOTIEN,TF_DA,$C11,TF_THANG,BH$2,TF_KM,$E11))/ 1000</f>
        <v>0</v>
      </c>
      <c r="BO11" s="1089" t="str">
        <f t="shared" si="38"/>
        <v/>
      </c>
      <c r="BP11" s="3"/>
      <c r="BQ11" s="1090">
        <f t="shared" si="39"/>
        <v>0</v>
      </c>
      <c r="BR11" s="1091" t="str">
        <f t="shared" si="40"/>
        <v/>
      </c>
      <c r="BS11" s="1090">
        <f t="shared" si="41"/>
        <v>0</v>
      </c>
      <c r="BT11" s="1091" t="str">
        <f t="shared" si="42"/>
        <v/>
      </c>
      <c r="BU11" s="1088">
        <f>SUMIFS(BP_SOTIEN,BP_DA,$C11,BP_THANG,BU$2,BP_KM,$E11)/1000</f>
        <v>0</v>
      </c>
      <c r="BV11" s="1089" t="str">
        <f t="shared" si="43"/>
        <v/>
      </c>
      <c r="BW11" s="3"/>
      <c r="BX11" s="1090">
        <f>IF(NOW()&gt;=DATE(YEAR(BU$2),MONTH(BU$2)+1,DAY(BU$2)),SUMIFS(TF_SOTIEN,TF_DA,$C11,TF_THANG,BU$2,TF_KM,$E11)/1000, CA11)</f>
        <v>0</v>
      </c>
      <c r="BY11" s="1089" t="str">
        <f t="shared" si="44"/>
        <v/>
      </c>
      <c r="BZ11" s="3"/>
      <c r="CA11" s="1090">
        <f>IF(NOW()&gt;=DATE(YEAR(BU$2),MONTH(BU$2)+1,DAY(BU$2)),SUMIFS(AC_SOTIEN,AC_DA,$C11,AC_THANG,BU$2,AC_KM,$E11),SUMIFS(TF_SOTIEN,TF_DA,$C11,TF_THANG,BU$2,TF_KM,$E11))/ 1000</f>
        <v>0</v>
      </c>
      <c r="CB11" s="1089" t="str">
        <f t="shared" si="45"/>
        <v/>
      </c>
      <c r="CC11" s="3"/>
      <c r="CD11" s="1090">
        <f t="shared" si="46"/>
        <v>0</v>
      </c>
      <c r="CE11" s="1091" t="str">
        <f t="shared" si="47"/>
        <v/>
      </c>
      <c r="CF11" s="1090">
        <f t="shared" si="48"/>
        <v>0</v>
      </c>
      <c r="CG11" s="1091" t="str">
        <f t="shared" si="49"/>
        <v/>
      </c>
      <c r="CH11" s="1088">
        <f>SUMIFS(BP_SOTIEN,BP_DA,$C11,BP_THANG,CH$2,BP_KM,$E11)/1000</f>
        <v>0</v>
      </c>
      <c r="CI11" s="1089" t="str">
        <f t="shared" si="50"/>
        <v/>
      </c>
      <c r="CJ11" s="3"/>
      <c r="CK11" s="1090">
        <f>IF(NOW()&gt;=DATE(YEAR(CH$2),MONTH(CH$2)+1,DAY(CH$2)),SUMIFS(TF_SOTIEN,TF_DA,$C11,TF_THANG,CH$2,TF_KM,$E11)/1000, CN11)</f>
        <v>0</v>
      </c>
      <c r="CL11" s="1089" t="str">
        <f t="shared" si="51"/>
        <v/>
      </c>
      <c r="CM11" s="3"/>
      <c r="CN11" s="1090">
        <f>IF(NOW()&gt;=DATE(YEAR(CH$2),MONTH(CH$2)+1,DAY(CH$2)),SUMIFS(AC_SOTIEN,AC_DA,$C11,AC_THANG,CH$2,AC_KM,$E11),SUMIFS(TF_SOTIEN,TF_DA,$C11,TF_THANG,CH$2,TF_KM,$E11))/ 1000</f>
        <v>0</v>
      </c>
      <c r="CO11" s="1089" t="str">
        <f t="shared" si="52"/>
        <v/>
      </c>
      <c r="CP11" s="3"/>
      <c r="CQ11" s="1090">
        <f t="shared" si="53"/>
        <v>0</v>
      </c>
      <c r="CR11" s="1091" t="str">
        <f t="shared" si="54"/>
        <v/>
      </c>
      <c r="CS11" s="1090">
        <f t="shared" si="55"/>
        <v>0</v>
      </c>
      <c r="CT11" s="1091" t="str">
        <f t="shared" si="56"/>
        <v/>
      </c>
      <c r="CU11" s="1088">
        <f t="shared" si="57"/>
        <v>0</v>
      </c>
      <c r="CV11" s="1089" t="str">
        <f t="shared" si="58"/>
        <v/>
      </c>
      <c r="CW11" s="3"/>
      <c r="CX11" s="1090">
        <f t="shared" si="59"/>
        <v>0</v>
      </c>
      <c r="CY11" s="1089" t="str">
        <f t="shared" si="60"/>
        <v/>
      </c>
      <c r="CZ11" s="3"/>
      <c r="DA11" s="1090">
        <f t="shared" si="61"/>
        <v>0</v>
      </c>
      <c r="DB11" s="1089" t="str">
        <f t="shared" si="62"/>
        <v/>
      </c>
      <c r="DC11" s="3"/>
      <c r="DD11" s="1090">
        <f t="shared" si="63"/>
        <v>0</v>
      </c>
      <c r="DE11" s="1091" t="str">
        <f t="shared" si="64"/>
        <v/>
      </c>
      <c r="DF11" s="1090">
        <f t="shared" si="65"/>
        <v>0</v>
      </c>
      <c r="DG11" s="1091" t="str">
        <f t="shared" si="66"/>
        <v/>
      </c>
      <c r="DH11" s="1088">
        <f t="shared" si="67"/>
        <v>0</v>
      </c>
      <c r="DI11" s="1089" t="str">
        <f t="shared" si="68"/>
        <v/>
      </c>
      <c r="DJ11" s="3"/>
      <c r="DK11" s="1090">
        <f t="shared" si="69"/>
        <v>0</v>
      </c>
      <c r="DL11" s="1089" t="str">
        <f t="shared" si="70"/>
        <v/>
      </c>
      <c r="DM11" s="3"/>
      <c r="DN11" s="1090">
        <f t="shared" si="71"/>
        <v>0</v>
      </c>
      <c r="DO11" s="1089">
        <f t="shared" si="72"/>
        <v>0</v>
      </c>
      <c r="DP11" s="3"/>
      <c r="DQ11" s="1090">
        <f t="shared" si="73"/>
        <v>0</v>
      </c>
      <c r="DR11" s="1091" t="str">
        <f t="shared" si="74"/>
        <v/>
      </c>
      <c r="DS11" s="1090">
        <f t="shared" si="75"/>
        <v>0</v>
      </c>
      <c r="DT11" s="1091" t="str">
        <f t="shared" si="76"/>
        <v/>
      </c>
      <c r="DU11" s="1088">
        <f>SUMIFS(BP_SOTIEN,BP_DA,$C11,BP_THANG,DU$2,BP_KM,$E11)/1000</f>
        <v>0</v>
      </c>
      <c r="DV11" s="1089" t="str">
        <f t="shared" si="77"/>
        <v/>
      </c>
      <c r="DW11" s="3"/>
      <c r="DX11" s="1090">
        <f>IF(NOW()&gt;=DATE(YEAR(DU$2),MONTH(DU$2)+1,DAY(DU$2)),SUMIFS(TF_SOTIEN,TF_DA,$C11,TF_THANG,DU$2,TF_KM,$E11)/1000, EA11)</f>
        <v>0</v>
      </c>
      <c r="DY11" s="1089" t="str">
        <f t="shared" si="78"/>
        <v/>
      </c>
      <c r="DZ11" s="3"/>
      <c r="EA11" s="1090">
        <f>IF(NOW()&gt;=DATE(YEAR(DU$2),MONTH(DU$2)+1,DAY(DU$2)),SUMIFS(AC_SOTIEN,AC_DA,$C11,AC_THANG,DU$2,AC_KM,$E11),SUMIFS(TF_SOTIEN,TF_DA,$C11,TF_THANG,DU$2,TF_KM,$E11))/ 1000</f>
        <v>0</v>
      </c>
      <c r="EB11" s="1089" t="str">
        <f t="shared" si="79"/>
        <v/>
      </c>
      <c r="EC11" s="3"/>
      <c r="ED11" s="1090">
        <f t="shared" si="80"/>
        <v>0</v>
      </c>
      <c r="EE11" s="1091" t="str">
        <f t="shared" si="81"/>
        <v/>
      </c>
      <c r="EF11" s="1090">
        <f t="shared" si="82"/>
        <v>0</v>
      </c>
      <c r="EG11" s="1091" t="str">
        <f t="shared" si="83"/>
        <v/>
      </c>
      <c r="EH11" s="1088">
        <f>SUMIFS(BP_SOTIEN,BP_DA,$C11,BP_THANG,EH$2,BP_KM,$E11)/1000</f>
        <v>0</v>
      </c>
      <c r="EI11" s="1089" t="str">
        <f t="shared" si="84"/>
        <v/>
      </c>
      <c r="EJ11" s="3"/>
      <c r="EK11" s="1090">
        <f>IF(NOW()&gt;=DATE(YEAR(EH$2),MONTH(EH$2)+1,DAY(EH$2)),SUMIFS(TF_SOTIEN,TF_DA,$C11,TF_THANG,EH$2,TF_KM,$E11)/1000, EN11)</f>
        <v>0</v>
      </c>
      <c r="EL11" s="1089" t="str">
        <f t="shared" si="85"/>
        <v/>
      </c>
      <c r="EM11" s="3"/>
      <c r="EN11" s="1090">
        <f>IF(NOW()&gt;=DATE(YEAR(EH$2),MONTH(EH$2)+1,DAY(EH$2)),SUMIFS(AC_SOTIEN,AC_DA,$C11,AC_THANG,EH$2,AC_KM,$E11),SUMIFS(TF_SOTIEN,TF_DA,$C11,TF_THANG,EH$2,TF_KM,$E11))/ 1000</f>
        <v>0</v>
      </c>
      <c r="EO11" s="1089" t="str">
        <f t="shared" si="86"/>
        <v/>
      </c>
      <c r="EP11" s="3"/>
      <c r="EQ11" s="1090">
        <f t="shared" si="87"/>
        <v>0</v>
      </c>
      <c r="ER11" s="1091" t="str">
        <f t="shared" si="88"/>
        <v/>
      </c>
      <c r="ES11" s="1090">
        <f t="shared" si="89"/>
        <v>0</v>
      </c>
      <c r="ET11" s="1091" t="str">
        <f t="shared" si="90"/>
        <v/>
      </c>
      <c r="EU11" s="1088">
        <f>SUMIFS(BP_SOTIEN,BP_DA,$C11,BP_THANG,EU$2,BP_KM,$E11)/1000</f>
        <v>0</v>
      </c>
      <c r="EV11" s="1089" t="str">
        <f t="shared" si="91"/>
        <v/>
      </c>
      <c r="EW11" s="3"/>
      <c r="EX11" s="1090">
        <f>IF(NOW()&gt;=DATE(YEAR(EU$2),MONTH(EU$2)+1,DAY(EU$2)),SUMIFS(TF_SOTIEN,TF_DA,$C11,TF_THANG,EU$2,TF_KM,$E11)/1000, FA11)</f>
        <v>0</v>
      </c>
      <c r="EY11" s="1089" t="str">
        <f t="shared" si="92"/>
        <v/>
      </c>
      <c r="EZ11" s="3"/>
      <c r="FA11" s="1090">
        <f>IF(NOW()&gt;=DATE(YEAR(EU$2),MONTH(EU$2)+1,DAY(EU$2)),SUMIFS(AC_SOTIEN,AC_DA,$C11,AC_THANG,EU$2,AC_KM,$E11),SUMIFS(TF_SOTIEN,TF_DA,$C11,TF_THANG,EU$2,TF_KM,$E11))/ 1000</f>
        <v>0</v>
      </c>
      <c r="FB11" s="1089" t="str">
        <f t="shared" si="93"/>
        <v/>
      </c>
      <c r="FC11" s="3"/>
      <c r="FD11" s="1090">
        <f t="shared" si="94"/>
        <v>0</v>
      </c>
      <c r="FE11" s="1091" t="str">
        <f t="shared" si="95"/>
        <v/>
      </c>
      <c r="FF11" s="1090">
        <f t="shared" si="96"/>
        <v>0</v>
      </c>
      <c r="FG11" s="1091" t="str">
        <f t="shared" si="97"/>
        <v/>
      </c>
      <c r="FH11" s="1088">
        <f t="shared" si="98"/>
        <v>0</v>
      </c>
      <c r="FI11" s="1089" t="str">
        <f t="shared" si="99"/>
        <v/>
      </c>
      <c r="FJ11" s="3"/>
      <c r="FK11" s="1090">
        <f t="shared" si="100"/>
        <v>0</v>
      </c>
      <c r="FL11" s="1089" t="str">
        <f t="shared" si="101"/>
        <v/>
      </c>
      <c r="FM11" s="3"/>
      <c r="FN11" s="1090">
        <f t="shared" si="102"/>
        <v>0</v>
      </c>
      <c r="FO11" s="1089" t="str">
        <f t="shared" si="103"/>
        <v/>
      </c>
      <c r="FP11" s="3"/>
      <c r="FQ11" s="1090">
        <f t="shared" si="104"/>
        <v>0</v>
      </c>
      <c r="FR11" s="1091" t="str">
        <f t="shared" si="105"/>
        <v/>
      </c>
      <c r="FS11" s="1090">
        <f t="shared" si="106"/>
        <v>0</v>
      </c>
      <c r="FT11" s="1091" t="str">
        <f t="shared" si="107"/>
        <v/>
      </c>
      <c r="FU11" s="1088">
        <f>SUMIFS(BP_SOTIEN,BP_DA,$C11,BP_THANG,FU$2,BP_KM,$E11)/1000</f>
        <v>0</v>
      </c>
      <c r="FV11" s="1089" t="str">
        <f t="shared" si="108"/>
        <v/>
      </c>
      <c r="FW11" s="3"/>
      <c r="FX11" s="1090">
        <f>IF(NOW()&gt;=DATE(YEAR(FU$2),MONTH(FU$2)+1,DAY(FU$2)),SUMIFS(TF_SOTIEN,TF_DA,$C11,TF_THANG,FU$2,TF_KM,$E11)/1000, GA11)</f>
        <v>0</v>
      </c>
      <c r="FY11" s="1089" t="str">
        <f t="shared" si="109"/>
        <v/>
      </c>
      <c r="FZ11" s="3"/>
      <c r="GA11" s="1090">
        <f>IF(NOW()&gt;=DATE(YEAR(FU$2),MONTH(FU$2)+1,DAY(FU$2)),SUMIFS(AC_SOTIEN,AC_DA,$C11,AC_THANG,FU$2,AC_KM,$E11),SUMIFS(TF_SOTIEN,TF_DA,$C11,TF_THANG,FU$2,TF_KM,$E11))/ 1000</f>
        <v>0</v>
      </c>
      <c r="GB11" s="1089" t="str">
        <f t="shared" si="110"/>
        <v/>
      </c>
      <c r="GC11" s="3"/>
      <c r="GD11" s="1090">
        <f t="shared" si="111"/>
        <v>0</v>
      </c>
      <c r="GE11" s="1091" t="str">
        <f t="shared" si="112"/>
        <v/>
      </c>
      <c r="GF11" s="1090">
        <f t="shared" si="113"/>
        <v>0</v>
      </c>
      <c r="GG11" s="1091" t="str">
        <f t="shared" si="114"/>
        <v/>
      </c>
      <c r="GH11" s="1088">
        <f>SUMIFS(BP_SOTIEN,BP_DA,$C11,BP_THANG,GH$2,BP_KM,$E11)/1000</f>
        <v>0</v>
      </c>
      <c r="GI11" s="1089" t="str">
        <f t="shared" si="115"/>
        <v/>
      </c>
      <c r="GJ11" s="3"/>
      <c r="GK11" s="1090">
        <f>IF(NOW()&gt;=DATE(YEAR(GH$2),MONTH(GH$2)+1,DAY(GH$2)),SUMIFS(TF_SOTIEN,TF_DA,$C11,TF_THANG,GH$2,TF_KM,$E11)/1000, GN11)</f>
        <v>0</v>
      </c>
      <c r="GL11" s="1089" t="str">
        <f t="shared" si="116"/>
        <v/>
      </c>
      <c r="GM11" s="3"/>
      <c r="GN11" s="1090">
        <f>IF(NOW()&gt;=DATE(YEAR(GH$2),MONTH(GH$2)+1,DAY(GH$2)),SUMIFS(AC_SOTIEN,AC_DA,$C11,AC_THANG,GH$2,AC_KM,$E11),SUMIFS(TF_SOTIEN,TF_DA,$C11,TF_THANG,GH$2,TF_KM,$E11))/ 1000</f>
        <v>0</v>
      </c>
      <c r="GO11" s="1089" t="str">
        <f t="shared" si="117"/>
        <v/>
      </c>
      <c r="GP11" s="3"/>
      <c r="GQ11" s="1090">
        <f t="shared" si="118"/>
        <v>0</v>
      </c>
      <c r="GR11" s="1091" t="str">
        <f t="shared" si="119"/>
        <v/>
      </c>
      <c r="GS11" s="1090">
        <f t="shared" si="120"/>
        <v>0</v>
      </c>
      <c r="GT11" s="1091" t="str">
        <f t="shared" si="121"/>
        <v/>
      </c>
      <c r="GU11" s="1088">
        <f>SUMIFS(BP_SOTIEN,BP_DA,$C11,BP_THANG,GU$2,BP_KM,$E11)/1000</f>
        <v>0</v>
      </c>
      <c r="GV11" s="1089" t="str">
        <f t="shared" si="122"/>
        <v/>
      </c>
      <c r="GW11" s="3"/>
      <c r="GX11" s="1090">
        <f>IF(NOW()&gt;=DATE(YEAR(GU$2),MONTH(GU$2)+1,DAY(GU$2)),SUMIFS(TF_SOTIEN,TF_DA,$C11,TF_THANG,GU$2,TF_KM,$E11)/1000, HA11)</f>
        <v>0</v>
      </c>
      <c r="GY11" s="1089" t="str">
        <f t="shared" si="123"/>
        <v/>
      </c>
      <c r="GZ11" s="3"/>
      <c r="HA11" s="1090">
        <f>IF(NOW()&gt;=DATE(YEAR(GU$2),MONTH(GU$2)+1,DAY(GU$2)),SUMIFS(AC_SOTIEN,AC_DA,$C11,AC_THANG,GU$2,AC_KM,$E11),SUMIFS(TF_SOTIEN,TF_DA,$C11,TF_THANG,GU$2,TF_KM,$E11))/ 1000</f>
        <v>0</v>
      </c>
      <c r="HB11" s="1089" t="str">
        <f t="shared" si="124"/>
        <v/>
      </c>
      <c r="HC11" s="3"/>
      <c r="HD11" s="1090">
        <f t="shared" si="125"/>
        <v>0</v>
      </c>
      <c r="HE11" s="1091" t="str">
        <f t="shared" si="126"/>
        <v/>
      </c>
      <c r="HF11" s="1090">
        <f t="shared" si="127"/>
        <v>0</v>
      </c>
      <c r="HG11" s="1091" t="str">
        <f t="shared" si="128"/>
        <v/>
      </c>
      <c r="HH11" s="1088">
        <f t="shared" si="129"/>
        <v>0</v>
      </c>
      <c r="HI11" s="1089" t="str">
        <f t="shared" si="130"/>
        <v/>
      </c>
      <c r="HJ11" s="3"/>
      <c r="HK11" s="1090">
        <f t="shared" si="131"/>
        <v>0</v>
      </c>
      <c r="HL11" s="1089" t="str">
        <f t="shared" si="132"/>
        <v/>
      </c>
      <c r="HM11" s="3"/>
      <c r="HN11" s="1090">
        <f t="shared" si="133"/>
        <v>0</v>
      </c>
      <c r="HO11" s="1089" t="str">
        <f t="shared" si="134"/>
        <v/>
      </c>
      <c r="HP11" s="3"/>
      <c r="HQ11" s="1090">
        <f t="shared" si="135"/>
        <v>0</v>
      </c>
      <c r="HR11" s="1091" t="str">
        <f t="shared" si="136"/>
        <v/>
      </c>
      <c r="HS11" s="1090">
        <f t="shared" si="137"/>
        <v>0</v>
      </c>
      <c r="HT11" s="1091" t="str">
        <f t="shared" si="138"/>
        <v/>
      </c>
      <c r="HU11" s="1088">
        <f t="shared" si="139"/>
        <v>0</v>
      </c>
      <c r="HV11" s="1089" t="str">
        <f t="shared" si="140"/>
        <v/>
      </c>
      <c r="HW11" s="3"/>
      <c r="HX11" s="1090">
        <f t="shared" si="141"/>
        <v>0</v>
      </c>
      <c r="HY11" s="1089" t="str">
        <f t="shared" si="142"/>
        <v/>
      </c>
      <c r="HZ11" s="3"/>
      <c r="IA11" s="1090">
        <f t="shared" si="143"/>
        <v>0</v>
      </c>
      <c r="IB11" s="1089" t="str">
        <f t="shared" si="144"/>
        <v/>
      </c>
      <c r="IC11" s="3"/>
      <c r="ID11" s="1090">
        <f t="shared" si="145"/>
        <v>0</v>
      </c>
      <c r="IE11" s="1091" t="str">
        <f t="shared" si="146"/>
        <v/>
      </c>
      <c r="IF11" s="1090">
        <f t="shared" si="147"/>
        <v>0</v>
      </c>
      <c r="IG11" s="1091" t="str">
        <f t="shared" si="148"/>
        <v/>
      </c>
      <c r="IH11" s="1088">
        <f t="shared" si="149"/>
        <v>0</v>
      </c>
      <c r="II11" s="1089" t="str">
        <f t="shared" si="150"/>
        <v/>
      </c>
      <c r="IJ11" s="3"/>
      <c r="IK11" s="1090">
        <f t="shared" si="151"/>
        <v>0</v>
      </c>
      <c r="IL11" s="1089" t="str">
        <f t="shared" si="152"/>
        <v/>
      </c>
      <c r="IM11" s="3"/>
      <c r="IN11" s="1090">
        <f t="shared" si="153"/>
        <v>0</v>
      </c>
      <c r="IO11" s="1089">
        <f t="shared" si="154"/>
        <v>0</v>
      </c>
      <c r="IP11" s="3"/>
      <c r="IQ11" s="1090">
        <f t="shared" si="155"/>
        <v>0</v>
      </c>
      <c r="IR11" s="1091" t="str">
        <f t="shared" si="1"/>
        <v/>
      </c>
      <c r="IS11" s="1090">
        <f t="shared" si="156"/>
        <v>0</v>
      </c>
      <c r="IT11" s="1091" t="str">
        <f t="shared" si="2"/>
        <v/>
      </c>
    </row>
    <row r="12" outlineLevel="1">
      <c r="A12" s="737" t="str">
        <f t="shared" si="3"/>
        <v/>
      </c>
      <c r="B12" s="737"/>
      <c r="C12" s="1087"/>
      <c r="D12" s="1087" t="str">
        <f t="shared" si="4"/>
        <v/>
      </c>
      <c r="E12" s="1087" t="s">
        <v>198</v>
      </c>
      <c r="F12" s="737"/>
      <c r="G12" s="1086">
        <v>2.0</v>
      </c>
      <c r="H12" s="1088">
        <f>SUMIFS(BP_SOTIEN,BP_DOI ,$C12,BP_THANG,H$2,BP_KM,$E12)/1000</f>
        <v>0</v>
      </c>
      <c r="I12" s="1089" t="str">
        <f t="shared" si="5"/>
        <v/>
      </c>
      <c r="J12" s="3"/>
      <c r="K12" s="1090">
        <f>IF(NOW()&gt;=DATE(YEAR(H$2),MONTH(H$2)+1,DAY(H$2)),SUMIFS(TF_SOTIEN,TF_DOI,$C12,TF_THANG,H$2,TF_KM,$E12)/1000, N12)</f>
        <v>0</v>
      </c>
      <c r="L12" s="1089" t="str">
        <f t="shared" si="6"/>
        <v/>
      </c>
      <c r="M12" s="3"/>
      <c r="N12" s="1090">
        <f>IF(NOW()&gt;=DATE(YEAR(H$2),MONTH(H$2)+1,DAY(H$2)),SUMIFS(AC_SOTIEN,AC_DOI,$C12,AC_THANG,H$2,AC_KM,$E12),SUMIFS(TF_SOTIEN,TF_DOI,$C12,TF_THANG,H$2,TF_KM,$E12))/ 1000</f>
        <v>0</v>
      </c>
      <c r="O12" s="1089">
        <f t="shared" si="7"/>
        <v>0</v>
      </c>
      <c r="P12" s="3"/>
      <c r="Q12" s="1090">
        <f t="shared" si="8"/>
        <v>0</v>
      </c>
      <c r="R12" s="1091" t="str">
        <f t="shared" si="9"/>
        <v/>
      </c>
      <c r="S12" s="1090">
        <f t="shared" si="10"/>
        <v>0</v>
      </c>
      <c r="T12" s="1091" t="str">
        <f t="shared" si="11"/>
        <v/>
      </c>
      <c r="U12" s="1088">
        <f>SUMIFS(BP_SOTIEN,BP_DA,$C12,BP_THANG,U$2,BP_KM,$E12)/1000</f>
        <v>0</v>
      </c>
      <c r="V12" s="1089" t="str">
        <f t="shared" si="12"/>
        <v/>
      </c>
      <c r="W12" s="3"/>
      <c r="X12" s="1090">
        <f>IF(NOW()&gt;=DATE(YEAR(U$2),MONTH(U$2)+1,DAY(U$2)),SUMIFS(TF_SOTIEN,TF_DA,$C12,TF_THANG,U$2,TF_KM,$E12)/1000, AA12)</f>
        <v>0</v>
      </c>
      <c r="Y12" s="1089" t="str">
        <f t="shared" si="13"/>
        <v/>
      </c>
      <c r="Z12" s="3"/>
      <c r="AA12" s="1090">
        <f>IF(NOW()&gt;=DATE(YEAR(U$2),MONTH(U$2)+1,DAY(U$2)),SUMIFS(AC_SOTIEN,AC_DA,$C12,AC_THANG,U$2,AC_KM,$E12),SUMIFS(TF_SOTIEN,TF_DA,$C12,TF_THANG,U$2,TF_KM,$E12))/ 1000</f>
        <v>0</v>
      </c>
      <c r="AB12" s="1089" t="str">
        <f t="shared" si="14"/>
        <v/>
      </c>
      <c r="AC12" s="3"/>
      <c r="AD12" s="1090">
        <f t="shared" si="15"/>
        <v>0</v>
      </c>
      <c r="AE12" s="1091" t="str">
        <f t="shared" si="16"/>
        <v/>
      </c>
      <c r="AF12" s="1090">
        <f t="shared" si="17"/>
        <v>0</v>
      </c>
      <c r="AG12" s="1091" t="str">
        <f t="shared" si="18"/>
        <v/>
      </c>
      <c r="AH12" s="1088">
        <f>SUMIFS(BP_SOTIEN,BP_DA,$C12,BP_THANG,AH$2,BP_KM,$E12)/1000</f>
        <v>0</v>
      </c>
      <c r="AI12" s="1089" t="str">
        <f t="shared" si="19"/>
        <v/>
      </c>
      <c r="AJ12" s="3"/>
      <c r="AK12" s="1090">
        <f>IF(NOW()&gt;=DATE(YEAR(AH$2),MONTH(AH$2)+1,DAY(AH$2)),SUMIFS(TF_SOTIEN,TF_DA,$C12,TF_THANG,AH$2,TF_KM,$E12)/1000, AN12)</f>
        <v>0</v>
      </c>
      <c r="AL12" s="1089" t="str">
        <f t="shared" si="20"/>
        <v/>
      </c>
      <c r="AM12" s="3"/>
      <c r="AN12" s="1090">
        <f>IF(NOW()&gt;=DATE(YEAR(AH$2),MONTH(AH$2)+1,DAY(AH$2)),SUMIFS(AC_SOTIEN,AC_DA,$C12,AC_THANG,AH$2,AC_KM,$E12),SUMIFS(TF_SOTIEN,TF_DA,$C12,TF_THANG,AH$2,TF_KM,$E12))/ 1000</f>
        <v>0</v>
      </c>
      <c r="AO12" s="1089" t="str">
        <f t="shared" si="21"/>
        <v/>
      </c>
      <c r="AP12" s="3"/>
      <c r="AQ12" s="1090">
        <f t="shared" si="22"/>
        <v>0</v>
      </c>
      <c r="AR12" s="1091" t="str">
        <f t="shared" si="23"/>
        <v/>
      </c>
      <c r="AS12" s="1090">
        <f t="shared" si="24"/>
        <v>0</v>
      </c>
      <c r="AT12" s="1091" t="str">
        <f t="shared" si="25"/>
        <v/>
      </c>
      <c r="AU12" s="1088">
        <f t="shared" si="26"/>
        <v>0</v>
      </c>
      <c r="AV12" s="1089" t="str">
        <f t="shared" si="27"/>
        <v/>
      </c>
      <c r="AW12" s="3"/>
      <c r="AX12" s="1090">
        <f t="shared" si="28"/>
        <v>0</v>
      </c>
      <c r="AY12" s="1089" t="str">
        <f t="shared" si="29"/>
        <v/>
      </c>
      <c r="AZ12" s="3"/>
      <c r="BA12" s="1090">
        <f t="shared" si="30"/>
        <v>0</v>
      </c>
      <c r="BB12" s="1089">
        <f t="shared" si="31"/>
        <v>0</v>
      </c>
      <c r="BC12" s="3"/>
      <c r="BD12" s="1090">
        <f t="shared" si="32"/>
        <v>0</v>
      </c>
      <c r="BE12" s="1091" t="str">
        <f t="shared" si="33"/>
        <v/>
      </c>
      <c r="BF12" s="1090">
        <f t="shared" si="34"/>
        <v>0</v>
      </c>
      <c r="BG12" s="1091" t="str">
        <f t="shared" si="35"/>
        <v/>
      </c>
      <c r="BH12" s="1088">
        <f>SUMIFS(BP_SOTIEN,BP_DA,$C12,BP_THANG,BH$2,BP_KM,$E12)/1000</f>
        <v>0</v>
      </c>
      <c r="BI12" s="1089" t="str">
        <f t="shared" si="36"/>
        <v/>
      </c>
      <c r="BJ12" s="3"/>
      <c r="BK12" s="1090">
        <f>IF(NOW()&gt;=DATE(YEAR(BH$2),MONTH(BH$2)+1,DAY(BH$2)),SUMIFS(TF_SOTIEN,TF_DA,$C12,TF_THANG,BH$2,TF_KM,$E12)/1000, BN12)</f>
        <v>0</v>
      </c>
      <c r="BL12" s="1089" t="str">
        <f t="shared" si="37"/>
        <v/>
      </c>
      <c r="BM12" s="3"/>
      <c r="BN12" s="1090">
        <f>IF(NOW()&gt;=DATE(YEAR(BH$2),MONTH(BH$2)+1,DAY(BH$2)),SUMIFS(AC_SOTIEN,AC_DA,$C12,AC_THANG,BH$2,AC_KM,$E12),SUMIFS(TF_SOTIEN,TF_DA,$C12,TF_THANG,BH$2,TF_KM,$E12))/ 1000</f>
        <v>0</v>
      </c>
      <c r="BO12" s="1089" t="str">
        <f t="shared" si="38"/>
        <v/>
      </c>
      <c r="BP12" s="3"/>
      <c r="BQ12" s="1090">
        <f t="shared" si="39"/>
        <v>0</v>
      </c>
      <c r="BR12" s="1091" t="str">
        <f t="shared" si="40"/>
        <v/>
      </c>
      <c r="BS12" s="1090">
        <f t="shared" si="41"/>
        <v>0</v>
      </c>
      <c r="BT12" s="1091" t="str">
        <f t="shared" si="42"/>
        <v/>
      </c>
      <c r="BU12" s="1088">
        <f>SUMIFS(BP_SOTIEN,BP_DA,$C12,BP_THANG,BU$2,BP_KM,$E12)/1000</f>
        <v>0</v>
      </c>
      <c r="BV12" s="1089" t="str">
        <f t="shared" si="43"/>
        <v/>
      </c>
      <c r="BW12" s="3"/>
      <c r="BX12" s="1090">
        <f>IF(NOW()&gt;=DATE(YEAR(BU$2),MONTH(BU$2)+1,DAY(BU$2)),SUMIFS(TF_SOTIEN,TF_DA,$C12,TF_THANG,BU$2,TF_KM,$E12)/1000, CA12)</f>
        <v>0</v>
      </c>
      <c r="BY12" s="1089" t="str">
        <f t="shared" si="44"/>
        <v/>
      </c>
      <c r="BZ12" s="3"/>
      <c r="CA12" s="1090">
        <f>IF(NOW()&gt;=DATE(YEAR(BU$2),MONTH(BU$2)+1,DAY(BU$2)),SUMIFS(AC_SOTIEN,AC_DA,$C12,AC_THANG,BU$2,AC_KM,$E12),SUMIFS(TF_SOTIEN,TF_DA,$C12,TF_THANG,BU$2,TF_KM,$E12))/ 1000</f>
        <v>0</v>
      </c>
      <c r="CB12" s="1089" t="str">
        <f t="shared" si="45"/>
        <v/>
      </c>
      <c r="CC12" s="3"/>
      <c r="CD12" s="1090">
        <f t="shared" si="46"/>
        <v>0</v>
      </c>
      <c r="CE12" s="1091" t="str">
        <f t="shared" si="47"/>
        <v/>
      </c>
      <c r="CF12" s="1090">
        <f t="shared" si="48"/>
        <v>0</v>
      </c>
      <c r="CG12" s="1091" t="str">
        <f t="shared" si="49"/>
        <v/>
      </c>
      <c r="CH12" s="1088">
        <f>SUMIFS(BP_SOTIEN,BP_DA,$C12,BP_THANG,CH$2,BP_KM,$E12)/1000</f>
        <v>0</v>
      </c>
      <c r="CI12" s="1089" t="str">
        <f t="shared" si="50"/>
        <v/>
      </c>
      <c r="CJ12" s="3"/>
      <c r="CK12" s="1090">
        <f>IF(NOW()&gt;=DATE(YEAR(CH$2),MONTH(CH$2)+1,DAY(CH$2)),SUMIFS(TF_SOTIEN,TF_DA,$C12,TF_THANG,CH$2,TF_KM,$E12)/1000, CN12)</f>
        <v>0</v>
      </c>
      <c r="CL12" s="1089" t="str">
        <f t="shared" si="51"/>
        <v/>
      </c>
      <c r="CM12" s="3"/>
      <c r="CN12" s="1090">
        <f>IF(NOW()&gt;=DATE(YEAR(CH$2),MONTH(CH$2)+1,DAY(CH$2)),SUMIFS(AC_SOTIEN,AC_DA,$C12,AC_THANG,CH$2,AC_KM,$E12),SUMIFS(TF_SOTIEN,TF_DA,$C12,TF_THANG,CH$2,TF_KM,$E12))/ 1000</f>
        <v>0</v>
      </c>
      <c r="CO12" s="1089" t="str">
        <f t="shared" si="52"/>
        <v/>
      </c>
      <c r="CP12" s="3"/>
      <c r="CQ12" s="1090">
        <f t="shared" si="53"/>
        <v>0</v>
      </c>
      <c r="CR12" s="1091" t="str">
        <f t="shared" si="54"/>
        <v/>
      </c>
      <c r="CS12" s="1090">
        <f t="shared" si="55"/>
        <v>0</v>
      </c>
      <c r="CT12" s="1091" t="str">
        <f t="shared" si="56"/>
        <v/>
      </c>
      <c r="CU12" s="1088">
        <f t="shared" si="57"/>
        <v>0</v>
      </c>
      <c r="CV12" s="1089" t="str">
        <f t="shared" si="58"/>
        <v/>
      </c>
      <c r="CW12" s="3"/>
      <c r="CX12" s="1090">
        <f t="shared" si="59"/>
        <v>0</v>
      </c>
      <c r="CY12" s="1089" t="str">
        <f t="shared" si="60"/>
        <v/>
      </c>
      <c r="CZ12" s="3"/>
      <c r="DA12" s="1090">
        <f t="shared" si="61"/>
        <v>0</v>
      </c>
      <c r="DB12" s="1089" t="str">
        <f t="shared" si="62"/>
        <v/>
      </c>
      <c r="DC12" s="3"/>
      <c r="DD12" s="1090">
        <f t="shared" si="63"/>
        <v>0</v>
      </c>
      <c r="DE12" s="1091" t="str">
        <f t="shared" si="64"/>
        <v/>
      </c>
      <c r="DF12" s="1090">
        <f t="shared" si="65"/>
        <v>0</v>
      </c>
      <c r="DG12" s="1091" t="str">
        <f t="shared" si="66"/>
        <v/>
      </c>
      <c r="DH12" s="1088">
        <f t="shared" si="67"/>
        <v>0</v>
      </c>
      <c r="DI12" s="1089" t="str">
        <f t="shared" si="68"/>
        <v/>
      </c>
      <c r="DJ12" s="3"/>
      <c r="DK12" s="1090">
        <f t="shared" si="69"/>
        <v>0</v>
      </c>
      <c r="DL12" s="1089" t="str">
        <f t="shared" si="70"/>
        <v/>
      </c>
      <c r="DM12" s="3"/>
      <c r="DN12" s="1090">
        <f t="shared" si="71"/>
        <v>0</v>
      </c>
      <c r="DO12" s="1089">
        <f t="shared" si="72"/>
        <v>0</v>
      </c>
      <c r="DP12" s="3"/>
      <c r="DQ12" s="1090">
        <f t="shared" si="73"/>
        <v>0</v>
      </c>
      <c r="DR12" s="1091" t="str">
        <f t="shared" si="74"/>
        <v/>
      </c>
      <c r="DS12" s="1090">
        <f t="shared" si="75"/>
        <v>0</v>
      </c>
      <c r="DT12" s="1091" t="str">
        <f t="shared" si="76"/>
        <v/>
      </c>
      <c r="DU12" s="1088">
        <f>SUMIFS(BP_SOTIEN,BP_DA,$C12,BP_THANG,DU$2,BP_KM,$E12)/1000</f>
        <v>0</v>
      </c>
      <c r="DV12" s="1089" t="str">
        <f t="shared" si="77"/>
        <v/>
      </c>
      <c r="DW12" s="3"/>
      <c r="DX12" s="1090">
        <f>IF(NOW()&gt;=DATE(YEAR(DU$2),MONTH(DU$2)+1,DAY(DU$2)),SUMIFS(TF_SOTIEN,TF_DA,$C12,TF_THANG,DU$2,TF_KM,$E12)/1000, EA12)</f>
        <v>0</v>
      </c>
      <c r="DY12" s="1089" t="str">
        <f t="shared" si="78"/>
        <v/>
      </c>
      <c r="DZ12" s="3"/>
      <c r="EA12" s="1090">
        <f>IF(NOW()&gt;=DATE(YEAR(DU$2),MONTH(DU$2)+1,DAY(DU$2)),SUMIFS(AC_SOTIEN,AC_DA,$C12,AC_THANG,DU$2,AC_KM,$E12),SUMIFS(TF_SOTIEN,TF_DA,$C12,TF_THANG,DU$2,TF_KM,$E12))/ 1000</f>
        <v>0</v>
      </c>
      <c r="EB12" s="1089" t="str">
        <f t="shared" si="79"/>
        <v/>
      </c>
      <c r="EC12" s="3"/>
      <c r="ED12" s="1090">
        <f t="shared" si="80"/>
        <v>0</v>
      </c>
      <c r="EE12" s="1091" t="str">
        <f t="shared" si="81"/>
        <v/>
      </c>
      <c r="EF12" s="1090">
        <f t="shared" si="82"/>
        <v>0</v>
      </c>
      <c r="EG12" s="1091" t="str">
        <f t="shared" si="83"/>
        <v/>
      </c>
      <c r="EH12" s="1088">
        <f>SUMIFS(BP_SOTIEN,BP_DA,$C12,BP_THANG,EH$2,BP_KM,$E12)/1000</f>
        <v>0</v>
      </c>
      <c r="EI12" s="1089" t="str">
        <f t="shared" si="84"/>
        <v/>
      </c>
      <c r="EJ12" s="3"/>
      <c r="EK12" s="1090">
        <f>IF(NOW()&gt;=DATE(YEAR(EH$2),MONTH(EH$2)+1,DAY(EH$2)),SUMIFS(TF_SOTIEN,TF_DA,$C12,TF_THANG,EH$2,TF_KM,$E12)/1000, EN12)</f>
        <v>0</v>
      </c>
      <c r="EL12" s="1089" t="str">
        <f t="shared" si="85"/>
        <v/>
      </c>
      <c r="EM12" s="3"/>
      <c r="EN12" s="1090">
        <f>IF(NOW()&gt;=DATE(YEAR(EH$2),MONTH(EH$2)+1,DAY(EH$2)),SUMIFS(AC_SOTIEN,AC_DA,$C12,AC_THANG,EH$2,AC_KM,$E12),SUMIFS(TF_SOTIEN,TF_DA,$C12,TF_THANG,EH$2,TF_KM,$E12))/ 1000</f>
        <v>0</v>
      </c>
      <c r="EO12" s="1089" t="str">
        <f t="shared" si="86"/>
        <v/>
      </c>
      <c r="EP12" s="3"/>
      <c r="EQ12" s="1090">
        <f t="shared" si="87"/>
        <v>0</v>
      </c>
      <c r="ER12" s="1091" t="str">
        <f t="shared" si="88"/>
        <v/>
      </c>
      <c r="ES12" s="1090">
        <f t="shared" si="89"/>
        <v>0</v>
      </c>
      <c r="ET12" s="1091" t="str">
        <f t="shared" si="90"/>
        <v/>
      </c>
      <c r="EU12" s="1088">
        <f>SUMIFS(BP_SOTIEN,BP_DA,$C12,BP_THANG,EU$2,BP_KM,$E12)/1000</f>
        <v>0</v>
      </c>
      <c r="EV12" s="1089" t="str">
        <f t="shared" si="91"/>
        <v/>
      </c>
      <c r="EW12" s="3"/>
      <c r="EX12" s="1090">
        <f>IF(NOW()&gt;=DATE(YEAR(EU$2),MONTH(EU$2)+1,DAY(EU$2)),SUMIFS(TF_SOTIEN,TF_DA,$C12,TF_THANG,EU$2,TF_KM,$E12)/1000, FA12)</f>
        <v>0</v>
      </c>
      <c r="EY12" s="1089" t="str">
        <f t="shared" si="92"/>
        <v/>
      </c>
      <c r="EZ12" s="3"/>
      <c r="FA12" s="1090">
        <f>IF(NOW()&gt;=DATE(YEAR(EU$2),MONTH(EU$2)+1,DAY(EU$2)),SUMIFS(AC_SOTIEN,AC_DA,$C12,AC_THANG,EU$2,AC_KM,$E12),SUMIFS(TF_SOTIEN,TF_DA,$C12,TF_THANG,EU$2,TF_KM,$E12))/ 1000</f>
        <v>0</v>
      </c>
      <c r="FB12" s="1089" t="str">
        <f t="shared" si="93"/>
        <v/>
      </c>
      <c r="FC12" s="3"/>
      <c r="FD12" s="1090">
        <f t="shared" si="94"/>
        <v>0</v>
      </c>
      <c r="FE12" s="1091" t="str">
        <f t="shared" si="95"/>
        <v/>
      </c>
      <c r="FF12" s="1090">
        <f t="shared" si="96"/>
        <v>0</v>
      </c>
      <c r="FG12" s="1091" t="str">
        <f t="shared" si="97"/>
        <v/>
      </c>
      <c r="FH12" s="1088">
        <f t="shared" si="98"/>
        <v>0</v>
      </c>
      <c r="FI12" s="1089" t="str">
        <f t="shared" si="99"/>
        <v/>
      </c>
      <c r="FJ12" s="3"/>
      <c r="FK12" s="1090">
        <f t="shared" si="100"/>
        <v>0</v>
      </c>
      <c r="FL12" s="1089" t="str">
        <f t="shared" si="101"/>
        <v/>
      </c>
      <c r="FM12" s="3"/>
      <c r="FN12" s="1090">
        <f t="shared" si="102"/>
        <v>0</v>
      </c>
      <c r="FO12" s="1089" t="str">
        <f t="shared" si="103"/>
        <v/>
      </c>
      <c r="FP12" s="3"/>
      <c r="FQ12" s="1090">
        <f t="shared" si="104"/>
        <v>0</v>
      </c>
      <c r="FR12" s="1091" t="str">
        <f t="shared" si="105"/>
        <v/>
      </c>
      <c r="FS12" s="1090">
        <f t="shared" si="106"/>
        <v>0</v>
      </c>
      <c r="FT12" s="1091" t="str">
        <f t="shared" si="107"/>
        <v/>
      </c>
      <c r="FU12" s="1088">
        <f>SUMIFS(BP_SOTIEN,BP_DA,$C12,BP_THANG,FU$2,BP_KM,$E12)/1000</f>
        <v>0</v>
      </c>
      <c r="FV12" s="1089" t="str">
        <f t="shared" si="108"/>
        <v/>
      </c>
      <c r="FW12" s="3"/>
      <c r="FX12" s="1090">
        <f>IF(NOW()&gt;=DATE(YEAR(FU$2),MONTH(FU$2)+1,DAY(FU$2)),SUMIFS(TF_SOTIEN,TF_DA,$C12,TF_THANG,FU$2,TF_KM,$E12)/1000, GA12)</f>
        <v>0</v>
      </c>
      <c r="FY12" s="1089" t="str">
        <f t="shared" si="109"/>
        <v/>
      </c>
      <c r="FZ12" s="3"/>
      <c r="GA12" s="1090">
        <f>IF(NOW()&gt;=DATE(YEAR(FU$2),MONTH(FU$2)+1,DAY(FU$2)),SUMIFS(AC_SOTIEN,AC_DA,$C12,AC_THANG,FU$2,AC_KM,$E12),SUMIFS(TF_SOTIEN,TF_DA,$C12,TF_THANG,FU$2,TF_KM,$E12))/ 1000</f>
        <v>0</v>
      </c>
      <c r="GB12" s="1089" t="str">
        <f t="shared" si="110"/>
        <v/>
      </c>
      <c r="GC12" s="3"/>
      <c r="GD12" s="1090">
        <f t="shared" si="111"/>
        <v>0</v>
      </c>
      <c r="GE12" s="1091" t="str">
        <f t="shared" si="112"/>
        <v/>
      </c>
      <c r="GF12" s="1090">
        <f t="shared" si="113"/>
        <v>0</v>
      </c>
      <c r="GG12" s="1091" t="str">
        <f t="shared" si="114"/>
        <v/>
      </c>
      <c r="GH12" s="1088">
        <f>SUMIFS(BP_SOTIEN,BP_DA,$C12,BP_THANG,GH$2,BP_KM,$E12)/1000</f>
        <v>0</v>
      </c>
      <c r="GI12" s="1089" t="str">
        <f t="shared" si="115"/>
        <v/>
      </c>
      <c r="GJ12" s="3"/>
      <c r="GK12" s="1090">
        <f>IF(NOW()&gt;=DATE(YEAR(GH$2),MONTH(GH$2)+1,DAY(GH$2)),SUMIFS(TF_SOTIEN,TF_DA,$C12,TF_THANG,GH$2,TF_KM,$E12)/1000, GN12)</f>
        <v>0</v>
      </c>
      <c r="GL12" s="1089" t="str">
        <f t="shared" si="116"/>
        <v/>
      </c>
      <c r="GM12" s="3"/>
      <c r="GN12" s="1090">
        <f>IF(NOW()&gt;=DATE(YEAR(GH$2),MONTH(GH$2)+1,DAY(GH$2)),SUMIFS(AC_SOTIEN,AC_DA,$C12,AC_THANG,GH$2,AC_KM,$E12),SUMIFS(TF_SOTIEN,TF_DA,$C12,TF_THANG,GH$2,TF_KM,$E12))/ 1000</f>
        <v>0</v>
      </c>
      <c r="GO12" s="1089" t="str">
        <f t="shared" si="117"/>
        <v/>
      </c>
      <c r="GP12" s="3"/>
      <c r="GQ12" s="1090">
        <f t="shared" si="118"/>
        <v>0</v>
      </c>
      <c r="GR12" s="1091" t="str">
        <f t="shared" si="119"/>
        <v/>
      </c>
      <c r="GS12" s="1090">
        <f t="shared" si="120"/>
        <v>0</v>
      </c>
      <c r="GT12" s="1091" t="str">
        <f t="shared" si="121"/>
        <v/>
      </c>
      <c r="GU12" s="1088">
        <f>SUMIFS(BP_SOTIEN,BP_DA,$C12,BP_THANG,GU$2,BP_KM,$E12)/1000</f>
        <v>0</v>
      </c>
      <c r="GV12" s="1089" t="str">
        <f t="shared" si="122"/>
        <v/>
      </c>
      <c r="GW12" s="3"/>
      <c r="GX12" s="1090">
        <f>IF(NOW()&gt;=DATE(YEAR(GU$2),MONTH(GU$2)+1,DAY(GU$2)),SUMIFS(TF_SOTIEN,TF_DA,$C12,TF_THANG,GU$2,TF_KM,$E12)/1000, HA12)</f>
        <v>0</v>
      </c>
      <c r="GY12" s="1089" t="str">
        <f t="shared" si="123"/>
        <v/>
      </c>
      <c r="GZ12" s="3"/>
      <c r="HA12" s="1090">
        <f>IF(NOW()&gt;=DATE(YEAR(GU$2),MONTH(GU$2)+1,DAY(GU$2)),SUMIFS(AC_SOTIEN,AC_DA,$C12,AC_THANG,GU$2,AC_KM,$E12),SUMIFS(TF_SOTIEN,TF_DA,$C12,TF_THANG,GU$2,TF_KM,$E12))/ 1000</f>
        <v>0</v>
      </c>
      <c r="HB12" s="1089" t="str">
        <f t="shared" si="124"/>
        <v/>
      </c>
      <c r="HC12" s="3"/>
      <c r="HD12" s="1090">
        <f t="shared" si="125"/>
        <v>0</v>
      </c>
      <c r="HE12" s="1091" t="str">
        <f t="shared" si="126"/>
        <v/>
      </c>
      <c r="HF12" s="1090">
        <f t="shared" si="127"/>
        <v>0</v>
      </c>
      <c r="HG12" s="1091" t="str">
        <f t="shared" si="128"/>
        <v/>
      </c>
      <c r="HH12" s="1088">
        <f t="shared" si="129"/>
        <v>0</v>
      </c>
      <c r="HI12" s="1089" t="str">
        <f t="shared" si="130"/>
        <v/>
      </c>
      <c r="HJ12" s="3"/>
      <c r="HK12" s="1090">
        <f t="shared" si="131"/>
        <v>0</v>
      </c>
      <c r="HL12" s="1089" t="str">
        <f t="shared" si="132"/>
        <v/>
      </c>
      <c r="HM12" s="3"/>
      <c r="HN12" s="1090">
        <f t="shared" si="133"/>
        <v>0</v>
      </c>
      <c r="HO12" s="1089" t="str">
        <f t="shared" si="134"/>
        <v/>
      </c>
      <c r="HP12" s="3"/>
      <c r="HQ12" s="1090">
        <f t="shared" si="135"/>
        <v>0</v>
      </c>
      <c r="HR12" s="1091" t="str">
        <f t="shared" si="136"/>
        <v/>
      </c>
      <c r="HS12" s="1090">
        <f t="shared" si="137"/>
        <v>0</v>
      </c>
      <c r="HT12" s="1091" t="str">
        <f t="shared" si="138"/>
        <v/>
      </c>
      <c r="HU12" s="1088">
        <f t="shared" si="139"/>
        <v>0</v>
      </c>
      <c r="HV12" s="1089" t="str">
        <f t="shared" si="140"/>
        <v/>
      </c>
      <c r="HW12" s="3"/>
      <c r="HX12" s="1090">
        <f t="shared" si="141"/>
        <v>0</v>
      </c>
      <c r="HY12" s="1089" t="str">
        <f t="shared" si="142"/>
        <v/>
      </c>
      <c r="HZ12" s="3"/>
      <c r="IA12" s="1090">
        <f t="shared" si="143"/>
        <v>0</v>
      </c>
      <c r="IB12" s="1089" t="str">
        <f t="shared" si="144"/>
        <v/>
      </c>
      <c r="IC12" s="3"/>
      <c r="ID12" s="1090">
        <f t="shared" si="145"/>
        <v>0</v>
      </c>
      <c r="IE12" s="1091" t="str">
        <f t="shared" si="146"/>
        <v/>
      </c>
      <c r="IF12" s="1090">
        <f t="shared" si="147"/>
        <v>0</v>
      </c>
      <c r="IG12" s="1091" t="str">
        <f t="shared" si="148"/>
        <v/>
      </c>
      <c r="IH12" s="1088">
        <f t="shared" si="149"/>
        <v>0</v>
      </c>
      <c r="II12" s="1089" t="str">
        <f t="shared" si="150"/>
        <v/>
      </c>
      <c r="IJ12" s="3"/>
      <c r="IK12" s="1090">
        <f t="shared" si="151"/>
        <v>0</v>
      </c>
      <c r="IL12" s="1089" t="str">
        <f t="shared" si="152"/>
        <v/>
      </c>
      <c r="IM12" s="3"/>
      <c r="IN12" s="1090">
        <f t="shared" si="153"/>
        <v>0</v>
      </c>
      <c r="IO12" s="1089">
        <f t="shared" si="154"/>
        <v>0</v>
      </c>
      <c r="IP12" s="3"/>
      <c r="IQ12" s="1090">
        <f t="shared" si="155"/>
        <v>0</v>
      </c>
      <c r="IR12" s="1091" t="str">
        <f t="shared" si="1"/>
        <v/>
      </c>
      <c r="IS12" s="1090">
        <f t="shared" si="156"/>
        <v>0</v>
      </c>
      <c r="IT12" s="1091" t="str">
        <f t="shared" si="2"/>
        <v/>
      </c>
    </row>
    <row r="13">
      <c r="A13" s="1073" t="s">
        <v>2822</v>
      </c>
      <c r="B13" s="1074"/>
      <c r="C13" s="1074"/>
      <c r="D13" s="1074"/>
      <c r="E13" s="1075"/>
      <c r="F13" s="1076">
        <v>511.0</v>
      </c>
      <c r="G13" s="1075"/>
      <c r="H13" s="1077">
        <f>SUM(H14:H21)</f>
        <v>0</v>
      </c>
      <c r="I13" s="1100" t="str">
        <f t="shared" si="5"/>
        <v/>
      </c>
      <c r="J13" s="3"/>
      <c r="K13" s="1077">
        <f>SUM(K14:K21)</f>
        <v>0</v>
      </c>
      <c r="L13" s="1100" t="str">
        <f t="shared" si="6"/>
        <v/>
      </c>
      <c r="M13" s="3"/>
      <c r="N13" s="1077">
        <f>SUM(N14:N21)</f>
        <v>340000</v>
      </c>
      <c r="O13" s="1100">
        <f t="shared" si="7"/>
        <v>0.09945999076</v>
      </c>
      <c r="P13" s="3"/>
      <c r="Q13" s="1077">
        <f t="shared" si="8"/>
        <v>340000</v>
      </c>
      <c r="R13" s="1078" t="str">
        <f t="shared" si="9"/>
        <v/>
      </c>
      <c r="S13" s="1077">
        <f t="shared" si="10"/>
        <v>340000</v>
      </c>
      <c r="T13" s="1078" t="str">
        <f t="shared" si="11"/>
        <v/>
      </c>
      <c r="U13" s="1077">
        <f>SUM(U14:U21)</f>
        <v>0</v>
      </c>
      <c r="V13" s="1100" t="str">
        <f t="shared" si="12"/>
        <v/>
      </c>
      <c r="W13" s="3"/>
      <c r="X13" s="1077">
        <f>SUM(X14:X21)</f>
        <v>0</v>
      </c>
      <c r="Y13" s="1100" t="str">
        <f t="shared" si="13"/>
        <v/>
      </c>
      <c r="Z13" s="3"/>
      <c r="AA13" s="1077">
        <f>SUM(AA14:AA21)</f>
        <v>0</v>
      </c>
      <c r="AB13" s="1100" t="str">
        <f t="shared" si="14"/>
        <v/>
      </c>
      <c r="AC13" s="3"/>
      <c r="AD13" s="1077">
        <f t="shared" si="15"/>
        <v>0</v>
      </c>
      <c r="AE13" s="1078" t="str">
        <f t="shared" si="16"/>
        <v/>
      </c>
      <c r="AF13" s="1077">
        <f t="shared" si="17"/>
        <v>0</v>
      </c>
      <c r="AG13" s="1078" t="str">
        <f t="shared" si="18"/>
        <v/>
      </c>
      <c r="AH13" s="1077">
        <f>SUM(AH14:AH21)</f>
        <v>0</v>
      </c>
      <c r="AI13" s="1100" t="str">
        <f t="shared" si="19"/>
        <v/>
      </c>
      <c r="AJ13" s="3"/>
      <c r="AK13" s="1077">
        <f>SUM(AK14:AK21)</f>
        <v>0</v>
      </c>
      <c r="AL13" s="1100" t="str">
        <f t="shared" si="20"/>
        <v/>
      </c>
      <c r="AM13" s="3"/>
      <c r="AN13" s="1077">
        <f>SUM(AN14:AN21)</f>
        <v>0</v>
      </c>
      <c r="AO13" s="1100" t="str">
        <f>IFERROR(AN13/AN$13,"")</f>
        <v/>
      </c>
      <c r="AP13" s="3"/>
      <c r="AQ13" s="1077">
        <f t="shared" si="22"/>
        <v>0</v>
      </c>
      <c r="AR13" s="1078" t="str">
        <f t="shared" si="23"/>
        <v/>
      </c>
      <c r="AS13" s="1077">
        <f t="shared" si="24"/>
        <v>0</v>
      </c>
      <c r="AT13" s="1078" t="str">
        <f t="shared" si="25"/>
        <v/>
      </c>
      <c r="AU13" s="1077">
        <f>SUM(AU14:AU21)</f>
        <v>0</v>
      </c>
      <c r="AV13" s="1100" t="str">
        <f t="shared" si="27"/>
        <v/>
      </c>
      <c r="AW13" s="3"/>
      <c r="AX13" s="1077">
        <f>SUM(AX14:AX21)</f>
        <v>0</v>
      </c>
      <c r="AY13" s="1100" t="str">
        <f t="shared" si="29"/>
        <v/>
      </c>
      <c r="AZ13" s="3"/>
      <c r="BA13" s="1077">
        <f>SUM(BA14:BA21)</f>
        <v>340000</v>
      </c>
      <c r="BB13" s="1100">
        <f t="shared" si="31"/>
        <v>0.09945999076</v>
      </c>
      <c r="BC13" s="3"/>
      <c r="BD13" s="1077">
        <f t="shared" si="32"/>
        <v>340000</v>
      </c>
      <c r="BE13" s="1078" t="str">
        <f t="shared" si="33"/>
        <v/>
      </c>
      <c r="BF13" s="1077">
        <f t="shared" si="34"/>
        <v>340000</v>
      </c>
      <c r="BG13" s="1078" t="str">
        <f t="shared" si="35"/>
        <v/>
      </c>
      <c r="BH13" s="1077">
        <f>SUM(BH14:BH21)</f>
        <v>0</v>
      </c>
      <c r="BI13" s="1100" t="str">
        <f t="shared" si="36"/>
        <v/>
      </c>
      <c r="BJ13" s="3"/>
      <c r="BK13" s="1077">
        <f>SUM(BK14:BK21)</f>
        <v>0</v>
      </c>
      <c r="BL13" s="1100" t="str">
        <f t="shared" si="37"/>
        <v/>
      </c>
      <c r="BM13" s="3"/>
      <c r="BN13" s="1077">
        <f>SUM(BN14:BN21)</f>
        <v>0</v>
      </c>
      <c r="BO13" s="1100" t="str">
        <f t="shared" si="38"/>
        <v/>
      </c>
      <c r="BP13" s="3"/>
      <c r="BQ13" s="1077">
        <f t="shared" si="39"/>
        <v>0</v>
      </c>
      <c r="BR13" s="1078" t="str">
        <f t="shared" si="40"/>
        <v/>
      </c>
      <c r="BS13" s="1077">
        <f t="shared" si="41"/>
        <v>0</v>
      </c>
      <c r="BT13" s="1078" t="str">
        <f t="shared" si="42"/>
        <v/>
      </c>
      <c r="BU13" s="1077">
        <f>SUM(BU14:BU21)</f>
        <v>0</v>
      </c>
      <c r="BV13" s="1100" t="str">
        <f t="shared" si="43"/>
        <v/>
      </c>
      <c r="BW13" s="3"/>
      <c r="BX13" s="1077">
        <f>SUM(BX14:BX21)</f>
        <v>0</v>
      </c>
      <c r="BY13" s="1100" t="str">
        <f t="shared" si="44"/>
        <v/>
      </c>
      <c r="BZ13" s="3"/>
      <c r="CA13" s="1077">
        <f>SUM(CA14:CA21)</f>
        <v>0</v>
      </c>
      <c r="CB13" s="1100" t="str">
        <f>IFERROR(CA13/CA$13,"")</f>
        <v/>
      </c>
      <c r="CC13" s="3"/>
      <c r="CD13" s="1077">
        <f t="shared" si="46"/>
        <v>0</v>
      </c>
      <c r="CE13" s="1078" t="str">
        <f t="shared" si="47"/>
        <v/>
      </c>
      <c r="CF13" s="1077">
        <f t="shared" si="48"/>
        <v>0</v>
      </c>
      <c r="CG13" s="1078" t="str">
        <f t="shared" si="49"/>
        <v/>
      </c>
      <c r="CH13" s="1077">
        <f>SUM(CH14:CH21)</f>
        <v>0</v>
      </c>
      <c r="CI13" s="1100" t="str">
        <f t="shared" si="50"/>
        <v/>
      </c>
      <c r="CJ13" s="3"/>
      <c r="CK13" s="1077">
        <f>SUM(CK14:CK21)</f>
        <v>0</v>
      </c>
      <c r="CL13" s="1100" t="str">
        <f t="shared" si="51"/>
        <v/>
      </c>
      <c r="CM13" s="3"/>
      <c r="CN13" s="1077">
        <f>SUM(CN14:CN21)</f>
        <v>0</v>
      </c>
      <c r="CO13" s="1100" t="str">
        <f>IFERROR(CN13/CN$13,"")</f>
        <v/>
      </c>
      <c r="CP13" s="3"/>
      <c r="CQ13" s="1077">
        <f t="shared" si="53"/>
        <v>0</v>
      </c>
      <c r="CR13" s="1078" t="str">
        <f t="shared" si="54"/>
        <v/>
      </c>
      <c r="CS13" s="1077">
        <f t="shared" si="55"/>
        <v>0</v>
      </c>
      <c r="CT13" s="1078" t="str">
        <f t="shared" si="56"/>
        <v/>
      </c>
      <c r="CU13" s="1077">
        <f>SUM(CU14:CU21)</f>
        <v>0</v>
      </c>
      <c r="CV13" s="1100" t="str">
        <f t="shared" si="58"/>
        <v/>
      </c>
      <c r="CW13" s="3"/>
      <c r="CX13" s="1077">
        <f>SUM(CX14:CX21)</f>
        <v>0</v>
      </c>
      <c r="CY13" s="1100" t="str">
        <f t="shared" si="60"/>
        <v/>
      </c>
      <c r="CZ13" s="3"/>
      <c r="DA13" s="1077">
        <f>SUM(DA14:DA21)</f>
        <v>0</v>
      </c>
      <c r="DB13" s="1100" t="str">
        <f t="shared" si="62"/>
        <v/>
      </c>
      <c r="DC13" s="3"/>
      <c r="DD13" s="1077">
        <f t="shared" si="63"/>
        <v>0</v>
      </c>
      <c r="DE13" s="1078" t="str">
        <f t="shared" si="64"/>
        <v/>
      </c>
      <c r="DF13" s="1077">
        <f t="shared" si="65"/>
        <v>0</v>
      </c>
      <c r="DG13" s="1078" t="str">
        <f t="shared" si="66"/>
        <v/>
      </c>
      <c r="DH13" s="1077">
        <f>SUM(DH14:DH21)</f>
        <v>0</v>
      </c>
      <c r="DI13" s="1100" t="str">
        <f t="shared" si="68"/>
        <v/>
      </c>
      <c r="DJ13" s="3"/>
      <c r="DK13" s="1077">
        <f>SUM(DK14:DK21)</f>
        <v>0</v>
      </c>
      <c r="DL13" s="1100" t="str">
        <f t="shared" si="70"/>
        <v/>
      </c>
      <c r="DM13" s="3"/>
      <c r="DN13" s="1077">
        <f>SUM(DN14:DN21)</f>
        <v>340000</v>
      </c>
      <c r="DO13" s="1100">
        <f t="shared" si="72"/>
        <v>0.09945999076</v>
      </c>
      <c r="DP13" s="3"/>
      <c r="DQ13" s="1077">
        <f t="shared" si="73"/>
        <v>340000</v>
      </c>
      <c r="DR13" s="1078" t="str">
        <f t="shared" si="74"/>
        <v/>
      </c>
      <c r="DS13" s="1077">
        <f t="shared" si="75"/>
        <v>340000</v>
      </c>
      <c r="DT13" s="1078" t="str">
        <f t="shared" si="76"/>
        <v/>
      </c>
      <c r="DU13" s="1077">
        <f>SUM(DU14:DU21)</f>
        <v>0</v>
      </c>
      <c r="DV13" s="1100" t="str">
        <f t="shared" si="77"/>
        <v/>
      </c>
      <c r="DW13" s="3"/>
      <c r="DX13" s="1077">
        <f>SUM(DX14:DX21)</f>
        <v>0</v>
      </c>
      <c r="DY13" s="1100" t="str">
        <f t="shared" si="78"/>
        <v/>
      </c>
      <c r="DZ13" s="3"/>
      <c r="EA13" s="1077">
        <f>SUM(EA14:EA21)</f>
        <v>0</v>
      </c>
      <c r="EB13" s="1100" t="str">
        <f>IFERROR(EA13/EA$13,"")</f>
        <v/>
      </c>
      <c r="EC13" s="3"/>
      <c r="ED13" s="1077">
        <f t="shared" si="80"/>
        <v>0</v>
      </c>
      <c r="EE13" s="1078" t="str">
        <f t="shared" si="81"/>
        <v/>
      </c>
      <c r="EF13" s="1077">
        <f t="shared" si="82"/>
        <v>0</v>
      </c>
      <c r="EG13" s="1078" t="str">
        <f t="shared" si="83"/>
        <v/>
      </c>
      <c r="EH13" s="1077">
        <f>SUM(EH14:EH21)</f>
        <v>0</v>
      </c>
      <c r="EI13" s="1100" t="str">
        <f t="shared" si="84"/>
        <v/>
      </c>
      <c r="EJ13" s="3"/>
      <c r="EK13" s="1077">
        <f>SUM(EK14:EK21)</f>
        <v>0</v>
      </c>
      <c r="EL13" s="1100" t="str">
        <f t="shared" si="85"/>
        <v/>
      </c>
      <c r="EM13" s="3"/>
      <c r="EN13" s="1077">
        <f>SUM(EN14:EN21)</f>
        <v>0</v>
      </c>
      <c r="EO13" s="1100" t="str">
        <f>IFERROR(EN13/EN$13,"")</f>
        <v/>
      </c>
      <c r="EP13" s="3"/>
      <c r="EQ13" s="1077">
        <f t="shared" si="87"/>
        <v>0</v>
      </c>
      <c r="ER13" s="1078" t="str">
        <f t="shared" si="88"/>
        <v/>
      </c>
      <c r="ES13" s="1077">
        <f t="shared" si="89"/>
        <v>0</v>
      </c>
      <c r="ET13" s="1078" t="str">
        <f t="shared" si="90"/>
        <v/>
      </c>
      <c r="EU13" s="1077">
        <f>SUM(EU14:EU21)</f>
        <v>0</v>
      </c>
      <c r="EV13" s="1100" t="str">
        <f t="shared" si="91"/>
        <v/>
      </c>
      <c r="EW13" s="3"/>
      <c r="EX13" s="1077">
        <f>SUM(EX14:EX21)</f>
        <v>0</v>
      </c>
      <c r="EY13" s="1100" t="str">
        <f t="shared" si="92"/>
        <v/>
      </c>
      <c r="EZ13" s="3"/>
      <c r="FA13" s="1077">
        <f>SUM(FA14:FA21)</f>
        <v>0</v>
      </c>
      <c r="FB13" s="1100" t="str">
        <f>IFERROR(FA13/FA$13,"")</f>
        <v/>
      </c>
      <c r="FC13" s="3"/>
      <c r="FD13" s="1077">
        <f t="shared" si="94"/>
        <v>0</v>
      </c>
      <c r="FE13" s="1078" t="str">
        <f t="shared" si="95"/>
        <v/>
      </c>
      <c r="FF13" s="1077">
        <f t="shared" si="96"/>
        <v>0</v>
      </c>
      <c r="FG13" s="1078" t="str">
        <f t="shared" si="97"/>
        <v/>
      </c>
      <c r="FH13" s="1077">
        <f>SUM(FH14:FH21)</f>
        <v>0</v>
      </c>
      <c r="FI13" s="1100" t="str">
        <f t="shared" si="99"/>
        <v/>
      </c>
      <c r="FJ13" s="3"/>
      <c r="FK13" s="1077">
        <f>SUM(FK14:FK21)</f>
        <v>0</v>
      </c>
      <c r="FL13" s="1100" t="str">
        <f t="shared" si="101"/>
        <v/>
      </c>
      <c r="FM13" s="3"/>
      <c r="FN13" s="1077">
        <f>SUM(FN14:FN21)</f>
        <v>0</v>
      </c>
      <c r="FO13" s="1100" t="str">
        <f t="shared" si="103"/>
        <v/>
      </c>
      <c r="FP13" s="3"/>
      <c r="FQ13" s="1077">
        <f t="shared" si="104"/>
        <v>0</v>
      </c>
      <c r="FR13" s="1078" t="str">
        <f t="shared" si="105"/>
        <v/>
      </c>
      <c r="FS13" s="1077">
        <f t="shared" si="106"/>
        <v>0</v>
      </c>
      <c r="FT13" s="1078" t="str">
        <f t="shared" si="107"/>
        <v/>
      </c>
      <c r="FU13" s="1077">
        <f>SUM(FU14:FU21)</f>
        <v>0</v>
      </c>
      <c r="FV13" s="1100" t="str">
        <f t="shared" si="108"/>
        <v/>
      </c>
      <c r="FW13" s="3"/>
      <c r="FX13" s="1077">
        <f>SUM(FX14:FX21)</f>
        <v>0</v>
      </c>
      <c r="FY13" s="1100" t="str">
        <f t="shared" si="109"/>
        <v/>
      </c>
      <c r="FZ13" s="3"/>
      <c r="GA13" s="1077">
        <f>SUM(GA14:GA21)</f>
        <v>0</v>
      </c>
      <c r="GB13" s="1100" t="str">
        <f>IFERROR(GA13/GA$13,"")</f>
        <v/>
      </c>
      <c r="GC13" s="3"/>
      <c r="GD13" s="1077">
        <f t="shared" si="111"/>
        <v>0</v>
      </c>
      <c r="GE13" s="1078" t="str">
        <f t="shared" si="112"/>
        <v/>
      </c>
      <c r="GF13" s="1077">
        <f t="shared" si="113"/>
        <v>0</v>
      </c>
      <c r="GG13" s="1078" t="str">
        <f t="shared" si="114"/>
        <v/>
      </c>
      <c r="GH13" s="1077">
        <f>SUM(GH14:GH21)</f>
        <v>0</v>
      </c>
      <c r="GI13" s="1100" t="str">
        <f t="shared" si="115"/>
        <v/>
      </c>
      <c r="GJ13" s="3"/>
      <c r="GK13" s="1077">
        <f>SUM(GK14:GK21)</f>
        <v>0</v>
      </c>
      <c r="GL13" s="1100" t="str">
        <f t="shared" si="116"/>
        <v/>
      </c>
      <c r="GM13" s="3"/>
      <c r="GN13" s="1077">
        <f>SUM(GN14:GN21)</f>
        <v>0</v>
      </c>
      <c r="GO13" s="1100" t="str">
        <f>IFERROR(GN13/GN$13,"")</f>
        <v/>
      </c>
      <c r="GP13" s="3"/>
      <c r="GQ13" s="1077">
        <f t="shared" si="118"/>
        <v>0</v>
      </c>
      <c r="GR13" s="1078" t="str">
        <f t="shared" si="119"/>
        <v/>
      </c>
      <c r="GS13" s="1077">
        <f t="shared" si="120"/>
        <v>0</v>
      </c>
      <c r="GT13" s="1078" t="str">
        <f t="shared" si="121"/>
        <v/>
      </c>
      <c r="GU13" s="1077">
        <f>SUM(GU14:GU21)</f>
        <v>0</v>
      </c>
      <c r="GV13" s="1100" t="str">
        <f t="shared" si="122"/>
        <v/>
      </c>
      <c r="GW13" s="3"/>
      <c r="GX13" s="1077">
        <f>SUM(GX14:GX21)</f>
        <v>0</v>
      </c>
      <c r="GY13" s="1100" t="str">
        <f t="shared" si="123"/>
        <v/>
      </c>
      <c r="GZ13" s="3"/>
      <c r="HA13" s="1077">
        <f>SUM(HA14:HA21)</f>
        <v>0</v>
      </c>
      <c r="HB13" s="1100" t="str">
        <f>IFERROR(HA13/HA$13,"")</f>
        <v/>
      </c>
      <c r="HC13" s="3"/>
      <c r="HD13" s="1077">
        <f t="shared" si="125"/>
        <v>0</v>
      </c>
      <c r="HE13" s="1078" t="str">
        <f t="shared" si="126"/>
        <v/>
      </c>
      <c r="HF13" s="1077">
        <f t="shared" si="127"/>
        <v>0</v>
      </c>
      <c r="HG13" s="1078" t="str">
        <f t="shared" si="128"/>
        <v/>
      </c>
      <c r="HH13" s="1077">
        <f>SUM(HH14:HH21)</f>
        <v>0</v>
      </c>
      <c r="HI13" s="1100" t="str">
        <f t="shared" si="130"/>
        <v/>
      </c>
      <c r="HJ13" s="3"/>
      <c r="HK13" s="1077">
        <f>SUM(HK14:HK21)</f>
        <v>0</v>
      </c>
      <c r="HL13" s="1100" t="str">
        <f t="shared" si="132"/>
        <v/>
      </c>
      <c r="HM13" s="3"/>
      <c r="HN13" s="1077">
        <f>SUM(HN14:HN21)</f>
        <v>0</v>
      </c>
      <c r="HO13" s="1100" t="str">
        <f t="shared" si="134"/>
        <v/>
      </c>
      <c r="HP13" s="3"/>
      <c r="HQ13" s="1077">
        <f t="shared" si="135"/>
        <v>0</v>
      </c>
      <c r="HR13" s="1078" t="str">
        <f t="shared" si="136"/>
        <v/>
      </c>
      <c r="HS13" s="1077">
        <f t="shared" si="137"/>
        <v>0</v>
      </c>
      <c r="HT13" s="1078" t="str">
        <f t="shared" si="138"/>
        <v/>
      </c>
      <c r="HU13" s="1077">
        <f>SUM(HU14:HU21)</f>
        <v>0</v>
      </c>
      <c r="HV13" s="1100" t="str">
        <f t="shared" si="140"/>
        <v/>
      </c>
      <c r="HW13" s="3"/>
      <c r="HX13" s="1077">
        <f>SUM(HX14:HX21)</f>
        <v>0</v>
      </c>
      <c r="HY13" s="1100" t="str">
        <f t="shared" si="142"/>
        <v/>
      </c>
      <c r="HZ13" s="3"/>
      <c r="IA13" s="1077">
        <f>SUM(IA14:IA21)</f>
        <v>0</v>
      </c>
      <c r="IB13" s="1100" t="str">
        <f t="shared" si="144"/>
        <v/>
      </c>
      <c r="IC13" s="3"/>
      <c r="ID13" s="1077">
        <f t="shared" si="145"/>
        <v>0</v>
      </c>
      <c r="IE13" s="1078" t="str">
        <f t="shared" si="146"/>
        <v/>
      </c>
      <c r="IF13" s="1077">
        <f t="shared" si="147"/>
        <v>0</v>
      </c>
      <c r="IG13" s="1078" t="str">
        <f t="shared" si="148"/>
        <v/>
      </c>
      <c r="IH13" s="1077">
        <f>SUM(IH14:IH21)</f>
        <v>0</v>
      </c>
      <c r="II13" s="1100" t="str">
        <f t="shared" si="150"/>
        <v/>
      </c>
      <c r="IJ13" s="3"/>
      <c r="IK13" s="1077">
        <f>SUM(IK14:IK21)</f>
        <v>0</v>
      </c>
      <c r="IL13" s="1100" t="str">
        <f t="shared" si="152"/>
        <v/>
      </c>
      <c r="IM13" s="3"/>
      <c r="IN13" s="1077">
        <f>SUM(IN14:IN21)</f>
        <v>340000</v>
      </c>
      <c r="IO13" s="1100">
        <f t="shared" si="154"/>
        <v>0.09945999076</v>
      </c>
      <c r="IP13" s="3"/>
      <c r="IQ13" s="1077">
        <f t="shared" si="155"/>
        <v>340000</v>
      </c>
      <c r="IR13" s="1078" t="str">
        <f t="shared" si="1"/>
        <v/>
      </c>
      <c r="IS13" s="1077">
        <f t="shared" si="156"/>
        <v>340000</v>
      </c>
      <c r="IT13" s="1078" t="str">
        <f t="shared" si="2"/>
        <v/>
      </c>
    </row>
    <row r="14">
      <c r="A14" s="1086">
        <f t="shared" ref="A14:A21" si="157">IF(C14="","",COUNTA(C$13:C14))</f>
        <v>1</v>
      </c>
      <c r="B14" s="1087" t="s">
        <v>2066</v>
      </c>
      <c r="C14" s="1087" t="s">
        <v>208</v>
      </c>
      <c r="D14" s="1087" t="str">
        <f t="shared" ref="D14:D20" si="158">C14</f>
        <v>THU</v>
      </c>
      <c r="E14" s="1087" t="s">
        <v>187</v>
      </c>
      <c r="F14" s="1087"/>
      <c r="G14" s="1086">
        <v>2.0</v>
      </c>
      <c r="H14" s="1088">
        <f>SUMIFS(BP_SOTIEN,BP_DOI,$C14,BP_THANG,H$2,BP_KM,$E14)/1000</f>
        <v>0</v>
      </c>
      <c r="I14" s="1089" t="str">
        <f t="shared" ref="I14:I21" si="159">IFERROR(H14/SUMIF($C$5:$C$12,$C14,H$5:H$12),"")</f>
        <v/>
      </c>
      <c r="J14" s="1089" t="str">
        <f t="shared" ref="J14:J21" si="160">IFERROR(H14/H$13,"")</f>
        <v/>
      </c>
      <c r="K14" s="1090">
        <f>IF(NOW()&gt;=DATE(YEAR(H$2),MONTH(H$2)+1,DAY(H$2)),SUMIFS(TF_SOTIEN,TF_DOI,$C14,TF_THANG,H$2,TF_KM,$E14)/1000, N14)</f>
        <v>0</v>
      </c>
      <c r="L14" s="1089" t="str">
        <f t="shared" ref="L14:L21" si="161">IFERROR(K14/SUMIF($C$5:$C$12,$C14,K$5:K$12),"")</f>
        <v/>
      </c>
      <c r="M14" s="1089" t="str">
        <f t="shared" ref="M14:M21" si="162">IFERROR(K14/K$13,"")</f>
        <v/>
      </c>
      <c r="N14" s="1090">
        <f>IF(NOW()&gt;=DATE(YEAR(H$2),MONTH(H$2)+1,DAY(H$2)),SUMIFS(AC_SOTIEN,AC_DOI,$C14,AC_THANG,H$2,AC_KM,$E14),SUMIFS(TF_SOTIEN,TF_DOI,$C14,TF_THANG,H$2,TF_KM,$E14))/ 1000</f>
        <v>180000</v>
      </c>
      <c r="O14" s="1089">
        <f t="shared" ref="O14:O21" si="163">IFERROR(N14/SUMIF($C$5:$C$12,$C14,N$5:N$12),"")</f>
        <v>0.1078839169</v>
      </c>
      <c r="P14" s="1089">
        <f t="shared" ref="P14:P21" si="164">IFERROR(N14/N$13,"")</f>
        <v>0.5294117647</v>
      </c>
      <c r="Q14" s="1090">
        <f t="shared" si="8"/>
        <v>180000</v>
      </c>
      <c r="R14" s="1091" t="str">
        <f t="shared" si="9"/>
        <v/>
      </c>
      <c r="S14" s="1090">
        <f t="shared" si="10"/>
        <v>180000</v>
      </c>
      <c r="T14" s="1091" t="str">
        <f t="shared" si="11"/>
        <v/>
      </c>
      <c r="U14" s="1088">
        <f>SUMIFS(BP_SOTIEN,BP_DA,$C14,BP_THANG,U$2,BP_KM,$E14)/1000</f>
        <v>0</v>
      </c>
      <c r="V14" s="1089" t="str">
        <f t="shared" ref="V14:V21" si="165">IFERROR(U14/SUMIF($C$5:$C$12,$C14,U$5:U$12),"")</f>
        <v/>
      </c>
      <c r="W14" s="1089" t="str">
        <f t="shared" ref="W14:W21" si="166">IFERROR(U14/U$13,"")</f>
        <v/>
      </c>
      <c r="X14" s="1090">
        <f>IF(NOW()&gt;=DATE(YEAR(U$2),MONTH(U$2)+1,DAY(U$2)),SUMIFS(TF_SOTIEN,TF_DA,$C14,TF_THANG,U$2,TF_KM,$E14)/1000, AA14)</f>
        <v>0</v>
      </c>
      <c r="Y14" s="1089" t="str">
        <f t="shared" ref="Y14:Y21" si="167">IFERROR(X14/SUMIF($C$5:$C$12,$C14,X$5:X$12),"")</f>
        <v/>
      </c>
      <c r="Z14" s="1089" t="str">
        <f t="shared" ref="Z14:Z21" si="168">IFERROR(X14/X$13,"")</f>
        <v/>
      </c>
      <c r="AA14" s="1090">
        <f>IF(NOW()&gt;=DATE(YEAR(U$2),MONTH(U$2)+1,DAY(U$2)),SUMIFS(AC_SOTIEN,AC_DA,$C14,AC_THANG,U$2,AC_KM,$E14),SUMIFS(TF_SOTIEN,TF_DA,$C14,TF_THANG,U$2,TF_KM,$E14))/ 1000</f>
        <v>0</v>
      </c>
      <c r="AB14" s="1089" t="str">
        <f t="shared" ref="AB14:AB21" si="169">IFERROR(AA14/SUMIF($C$5:$C$12,$C14,AA$5:AA$12),"")</f>
        <v/>
      </c>
      <c r="AC14" s="1089" t="str">
        <f t="shared" ref="AC14:AC21" si="170">IFERROR(AA14/AA$13,"")</f>
        <v/>
      </c>
      <c r="AD14" s="1090">
        <f t="shared" si="15"/>
        <v>0</v>
      </c>
      <c r="AE14" s="1091" t="str">
        <f t="shared" si="16"/>
        <v/>
      </c>
      <c r="AF14" s="1090">
        <f t="shared" si="17"/>
        <v>0</v>
      </c>
      <c r="AG14" s="1091" t="str">
        <f t="shared" si="18"/>
        <v/>
      </c>
      <c r="AH14" s="1088">
        <f>SUMIFS(BP_SOTIEN,BP_DA,$C14,BP_THANG,AH$2,BP_KM,$E14)/1000</f>
        <v>0</v>
      </c>
      <c r="AI14" s="1089" t="str">
        <f t="shared" ref="AI14:AI21" si="171">IFERROR(AH14/SUMIF($C$5:$C$12,$C14,AH$5:AH$12),"")</f>
        <v/>
      </c>
      <c r="AJ14" s="1089" t="str">
        <f t="shared" ref="AJ14:AJ21" si="172">IFERROR(AH14/AH$13,"")</f>
        <v/>
      </c>
      <c r="AK14" s="1090">
        <f>IF(NOW()&gt;=DATE(YEAR(AH$2),MONTH(AH$2)+1,DAY(AH$2)),SUMIFS(TF_SOTIEN,TF_DA,$C14,TF_THANG,AH$2,TF_KM,$E14)/1000, AN14)</f>
        <v>0</v>
      </c>
      <c r="AL14" s="1089" t="str">
        <f t="shared" ref="AL14:AL21" si="173">IFERROR(AK14/SUMIF($C$5:$C$12,$C14,AK$5:AK$12),"")</f>
        <v/>
      </c>
      <c r="AM14" s="1089" t="str">
        <f t="shared" ref="AM14:AM21" si="174">IFERROR(AK14/AK$13,"")</f>
        <v/>
      </c>
      <c r="AN14" s="1090">
        <f>IF(NOW()&gt;=DATE(YEAR(AH$2),MONTH(AH$2)+1,DAY(AH$2)),SUMIFS(AC_SOTIEN,AC_DA,$C14,AC_THANG,AH$2,AC_KM,$E14),SUMIFS(TF_SOTIEN,TF_DA,$C14,TF_THANG,AH$2,TF_KM,$E14))/ 1000</f>
        <v>0</v>
      </c>
      <c r="AO14" s="1089" t="str">
        <f t="shared" ref="AO14:AO21" si="175">IFERROR(AN14/SUMIF($C$5:$C$12,$C14,AN$5:AN$12),"")</f>
        <v/>
      </c>
      <c r="AP14" s="1089" t="str">
        <f t="shared" ref="AP14:AP21" si="176">IFERROR(AN14/AN$13,"")</f>
        <v/>
      </c>
      <c r="AQ14" s="1090">
        <f t="shared" si="22"/>
        <v>0</v>
      </c>
      <c r="AR14" s="1091" t="str">
        <f t="shared" si="23"/>
        <v/>
      </c>
      <c r="AS14" s="1090">
        <f t="shared" si="24"/>
        <v>0</v>
      </c>
      <c r="AT14" s="1091" t="str">
        <f t="shared" si="25"/>
        <v/>
      </c>
      <c r="AU14" s="1088">
        <f t="shared" ref="AU14:AU50" si="177">SUMIF(H$3:AT$3,AU$3,H14:AT14)</f>
        <v>0</v>
      </c>
      <c r="AV14" s="1089" t="str">
        <f t="shared" ref="AV14:AV21" si="178">IFERROR(AU14/SUMIF($C$5:$C$12,$C14,AU$5:AU$12),"")</f>
        <v/>
      </c>
      <c r="AW14" s="1089" t="str">
        <f t="shared" ref="AW14:AW21" si="179">IFERROR(AU14/AU$13,"")</f>
        <v/>
      </c>
      <c r="AX14" s="1090">
        <f t="shared" ref="AX14:AX50" si="180">SUMIF(H$3:AT$3,AX$3,H14:AT14)</f>
        <v>0</v>
      </c>
      <c r="AY14" s="1089" t="str">
        <f t="shared" ref="AY14:AY21" si="181">IFERROR(AX14/SUMIF($C$5:$C$12,$C14,AX$5:AX$12),"")</f>
        <v/>
      </c>
      <c r="AZ14" s="1089" t="str">
        <f t="shared" ref="AZ14:AZ21" si="182">IFERROR(AX14/AX$13,"")</f>
        <v/>
      </c>
      <c r="BA14" s="1090">
        <f t="shared" ref="BA14:BA21" si="183">SUMIF(H$3:AT$3,"AC",H14:AT14)+SUMIF(H$3:AT$3,"TF",H14:AT14)</f>
        <v>180000</v>
      </c>
      <c r="BB14" s="1089">
        <f t="shared" ref="BB14:BB21" si="184">IFERROR(BA14/SUMIF($C$5:$C$12,$C14,BA$5:BA$12),"")</f>
        <v>0.1078839169</v>
      </c>
      <c r="BC14" s="1089">
        <f t="shared" ref="BC14:BC21" si="185">IFERROR(BA14/BA$13,"")</f>
        <v>0.5294117647</v>
      </c>
      <c r="BD14" s="1090">
        <f t="shared" si="32"/>
        <v>180000</v>
      </c>
      <c r="BE14" s="1091" t="str">
        <f t="shared" si="33"/>
        <v/>
      </c>
      <c r="BF14" s="1090">
        <f t="shared" si="34"/>
        <v>180000</v>
      </c>
      <c r="BG14" s="1091" t="str">
        <f t="shared" si="35"/>
        <v/>
      </c>
      <c r="BH14" s="1088">
        <f>SUMIFS(BP_SOTIEN,BP_DA,$C14,BP_THANG,BH$2,BP_KM,$E14)/1000</f>
        <v>0</v>
      </c>
      <c r="BI14" s="1089" t="str">
        <f t="shared" ref="BI14:BI21" si="186">IFERROR(BH14/SUMIF($C$5:$C$12,$C14,BH$5:BH$12),"")</f>
        <v/>
      </c>
      <c r="BJ14" s="1089" t="str">
        <f t="shared" ref="BJ14:BJ21" si="187">IFERROR(BH14/BH$13,"")</f>
        <v/>
      </c>
      <c r="BK14" s="1090">
        <f>IF(NOW()&gt;=DATE(YEAR(BH$2),MONTH(BH$2)+1,DAY(BH$2)),SUMIFS(TF_SOTIEN,TF_DA,$C14,TF_THANG,BH$2,TF_KM,$E14)/1000, BN14)</f>
        <v>0</v>
      </c>
      <c r="BL14" s="1089" t="str">
        <f t="shared" ref="BL14:BL21" si="188">IFERROR(BK14/SUMIF($C$5:$C$12,$C14,BK$5:BK$12),"")</f>
        <v/>
      </c>
      <c r="BM14" s="1089" t="str">
        <f t="shared" ref="BM14:BM21" si="189">IFERROR(BK14/BK$13,"")</f>
        <v/>
      </c>
      <c r="BN14" s="1090">
        <f>IF(NOW()&gt;=DATE(YEAR(BH$2),MONTH(BH$2)+1,DAY(BH$2)),SUMIFS(AC_SOTIEN,AC_DA,$C14,AC_THANG,BH$2,AC_KM,$E14),SUMIFS(TF_SOTIEN,TF_DA,$C14,TF_THANG,BH$2,TF_KM,$E14))/ 1000</f>
        <v>0</v>
      </c>
      <c r="BO14" s="1089" t="str">
        <f t="shared" ref="BO14:BO21" si="190">IFERROR(BN14/SUMIF($C$5:$C$12,$C14,BN$5:BN$12),"")</f>
        <v/>
      </c>
      <c r="BP14" s="1089" t="str">
        <f t="shared" ref="BP14:BP21" si="191">IFERROR(BN14/BN$13,"")</f>
        <v/>
      </c>
      <c r="BQ14" s="1090">
        <f t="shared" si="39"/>
        <v>0</v>
      </c>
      <c r="BR14" s="1091" t="str">
        <f t="shared" si="40"/>
        <v/>
      </c>
      <c r="BS14" s="1090">
        <f t="shared" si="41"/>
        <v>0</v>
      </c>
      <c r="BT14" s="1091" t="str">
        <f t="shared" si="42"/>
        <v/>
      </c>
      <c r="BU14" s="1088">
        <f>SUMIFS(BP_SOTIEN,BP_DA,$C14,BP_THANG,BU$2,BP_KM,$E14)/1000</f>
        <v>0</v>
      </c>
      <c r="BV14" s="1089" t="str">
        <f t="shared" ref="BV14:BV21" si="192">IFERROR(BU14/SUMIF($C$5:$C$12,$C14,BU$5:BU$12),"")</f>
        <v/>
      </c>
      <c r="BW14" s="1089" t="str">
        <f t="shared" ref="BW14:BW21" si="193">IFERROR(BU14/BU$13,"")</f>
        <v/>
      </c>
      <c r="BX14" s="1090">
        <f>IF(NOW()&gt;=DATE(YEAR(BU$2),MONTH(BU$2)+1,DAY(BU$2)),SUMIFS(TF_SOTIEN,TF_DA,$C14,TF_THANG,BU$2,TF_KM,$E14)/1000, CA14)</f>
        <v>0</v>
      </c>
      <c r="BY14" s="1089" t="str">
        <f t="shared" ref="BY14:BY21" si="194">IFERROR(BX14/SUMIF($C$5:$C$12,$C14,BX$5:BX$12),"")</f>
        <v/>
      </c>
      <c r="BZ14" s="1089" t="str">
        <f t="shared" ref="BZ14:BZ21" si="195">IFERROR(BX14/BX$13,"")</f>
        <v/>
      </c>
      <c r="CA14" s="1090">
        <f>IF(NOW()&gt;=DATE(YEAR(BU$2),MONTH(BU$2)+1,DAY(BU$2)),SUMIFS(AC_SOTIEN,AC_DA,$C14,AC_THANG,BU$2,AC_KM,$E14),SUMIFS(TF_SOTIEN,TF_DA,$C14,TF_THANG,BU$2,TF_KM,$E14))/ 1000</f>
        <v>0</v>
      </c>
      <c r="CB14" s="1089" t="str">
        <f t="shared" ref="CB14:CB21" si="196">IFERROR(CA14/SUMIF($C$5:$C$12,$C14,CA$5:CA$12),"")</f>
        <v/>
      </c>
      <c r="CC14" s="1089" t="str">
        <f t="shared" ref="CC14:CC21" si="197">IFERROR(CA14/CA$13,"")</f>
        <v/>
      </c>
      <c r="CD14" s="1090">
        <f t="shared" si="46"/>
        <v>0</v>
      </c>
      <c r="CE14" s="1091" t="str">
        <f t="shared" si="47"/>
        <v/>
      </c>
      <c r="CF14" s="1090">
        <f t="shared" si="48"/>
        <v>0</v>
      </c>
      <c r="CG14" s="1091" t="str">
        <f t="shared" si="49"/>
        <v/>
      </c>
      <c r="CH14" s="1088">
        <f>SUMIFS(BP_SOTIEN,BP_DA,$C14,BP_THANG,CH$2,BP_KM,$E14)/1000</f>
        <v>0</v>
      </c>
      <c r="CI14" s="1089" t="str">
        <f t="shared" ref="CI14:CI21" si="198">IFERROR(CH14/SUMIF($C$5:$C$12,$C14,CH$5:CH$12),"")</f>
        <v/>
      </c>
      <c r="CJ14" s="1089" t="str">
        <f t="shared" ref="CJ14:CJ21" si="199">IFERROR(CH14/CH$13,"")</f>
        <v/>
      </c>
      <c r="CK14" s="1090">
        <f>IF(NOW()&gt;=DATE(YEAR(CH$2),MONTH(CH$2)+1,DAY(CH$2)),SUMIFS(TF_SOTIEN,TF_DA,$C14,TF_THANG,CH$2,TF_KM,$E14)/1000, CN14)</f>
        <v>0</v>
      </c>
      <c r="CL14" s="1089" t="str">
        <f t="shared" ref="CL14:CL21" si="200">IFERROR(CK14/SUMIF($C$5:$C$12,$C14,CK$5:CK$12),"")</f>
        <v/>
      </c>
      <c r="CM14" s="1089" t="str">
        <f t="shared" ref="CM14:CM21" si="201">IFERROR(CK14/CK$13,"")</f>
        <v/>
      </c>
      <c r="CN14" s="1090">
        <f>IF(NOW()&gt;=DATE(YEAR(CH$2),MONTH(CH$2)+1,DAY(CH$2)),SUMIFS(AC_SOTIEN,AC_DA,$C14,AC_THANG,CH$2,AC_KM,$E14),SUMIFS(TF_SOTIEN,TF_DA,$C14,TF_THANG,CH$2,TF_KM,$E14))/ 1000</f>
        <v>0</v>
      </c>
      <c r="CO14" s="1089" t="str">
        <f t="shared" ref="CO14:CO21" si="202">IFERROR(CN14/SUMIF($C$5:$C$12,$C14,CN$5:CN$12),"")</f>
        <v/>
      </c>
      <c r="CP14" s="1089" t="str">
        <f t="shared" ref="CP14:CP21" si="203">IFERROR(CN14/CN$13,"")</f>
        <v/>
      </c>
      <c r="CQ14" s="1090">
        <f t="shared" si="53"/>
        <v>0</v>
      </c>
      <c r="CR14" s="1091" t="str">
        <f t="shared" si="54"/>
        <v/>
      </c>
      <c r="CS14" s="1090">
        <f t="shared" si="55"/>
        <v>0</v>
      </c>
      <c r="CT14" s="1091" t="str">
        <f t="shared" si="56"/>
        <v/>
      </c>
      <c r="CU14" s="1088">
        <f t="shared" ref="CU14:CU50" si="204">SUMIF(BH$3:CT$3,CU$3,BH14:CT14)</f>
        <v>0</v>
      </c>
      <c r="CV14" s="1089" t="str">
        <f t="shared" ref="CV14:CV21" si="205">IFERROR(CU14/SUMIF($C$5:$C$12,$C14,CU$5:CU$12),"")</f>
        <v/>
      </c>
      <c r="CW14" s="1089" t="str">
        <f t="shared" ref="CW14:CW21" si="206">IFERROR(CU14/CU$13,"")</f>
        <v/>
      </c>
      <c r="CX14" s="1090">
        <f t="shared" ref="CX14:CX31" si="207">SUMIF(BH$3:CT$3,CX$3,BH14:CT14)</f>
        <v>0</v>
      </c>
      <c r="CY14" s="1089" t="str">
        <f t="shared" ref="CY14:CY21" si="208">IFERROR(CX14/SUMIF($C$5:$C$12,$C14,CX$5:CX$12),"")</f>
        <v/>
      </c>
      <c r="CZ14" s="1089" t="str">
        <f t="shared" ref="CZ14:CZ21" si="209">IFERROR(CX14/CX$13,"")</f>
        <v/>
      </c>
      <c r="DA14" s="1090">
        <f t="shared" ref="DA14:DA31" si="210">SUMIF(BH$3:CT$3,"AC",BH14:CT14)+SUMIF(BH$3:CT$3,"TF",BH14:CT14)</f>
        <v>0</v>
      </c>
      <c r="DB14" s="1089" t="str">
        <f t="shared" ref="DB14:DB21" si="211">IFERROR(DA14/SUMIF($C$5:$C$12,$C14,DA$5:DA$12),"")</f>
        <v/>
      </c>
      <c r="DC14" s="1089" t="str">
        <f t="shared" ref="DC14:DC21" si="212">IFERROR(DA14/DA$13,"")</f>
        <v/>
      </c>
      <c r="DD14" s="1090">
        <f t="shared" si="63"/>
        <v>0</v>
      </c>
      <c r="DE14" s="1091" t="str">
        <f t="shared" si="64"/>
        <v/>
      </c>
      <c r="DF14" s="1090">
        <f t="shared" si="65"/>
        <v>0</v>
      </c>
      <c r="DG14" s="1091" t="str">
        <f t="shared" si="66"/>
        <v/>
      </c>
      <c r="DH14" s="1088">
        <f t="shared" ref="DH14:DH50" si="213">AU14+CU14</f>
        <v>0</v>
      </c>
      <c r="DI14" s="1089" t="str">
        <f t="shared" ref="DI14:DI21" si="214">IFERROR(DH14/SUMIF($C$5:$C$12,$C14,DH$5:DH$12),"")</f>
        <v/>
      </c>
      <c r="DJ14" s="1089" t="str">
        <f t="shared" ref="DJ14:DJ21" si="215">IFERROR(DH14/DH$13,"")</f>
        <v/>
      </c>
      <c r="DK14" s="1090">
        <f t="shared" ref="DK14:DK94" si="216">AX14+CX14</f>
        <v>0</v>
      </c>
      <c r="DL14" s="1089" t="str">
        <f t="shared" ref="DL14:DL21" si="217">IFERROR(DK14/SUMIF($C$5:$C$12,$C14,DK$5:DK$12),"")</f>
        <v/>
      </c>
      <c r="DM14" s="1089" t="str">
        <f t="shared" ref="DM14:DM21" si="218">IFERROR(DK14/DK$13,"")</f>
        <v/>
      </c>
      <c r="DN14" s="1090">
        <f t="shared" ref="DN14:DN94" si="219">BA14+DA14</f>
        <v>180000</v>
      </c>
      <c r="DO14" s="1089">
        <f t="shared" ref="DO14:DO21" si="220">IFERROR(DN14/SUMIF($C$5:$C$12,$C14,DN$5:DN$12),"")</f>
        <v>0.1078839169</v>
      </c>
      <c r="DP14" s="1089">
        <f t="shared" ref="DP14:DP21" si="221">IFERROR(DN14/DN$13,"")</f>
        <v>0.5294117647</v>
      </c>
      <c r="DQ14" s="1090">
        <f t="shared" si="73"/>
        <v>180000</v>
      </c>
      <c r="DR14" s="1091" t="str">
        <f t="shared" si="74"/>
        <v/>
      </c>
      <c r="DS14" s="1090">
        <f t="shared" si="75"/>
        <v>180000</v>
      </c>
      <c r="DT14" s="1091" t="str">
        <f t="shared" si="76"/>
        <v/>
      </c>
      <c r="DU14" s="1088">
        <f>SUMIFS(BP_SOTIEN,BP_DA,$C14,BP_THANG,DU$2,BP_KM,$E14)/1000</f>
        <v>0</v>
      </c>
      <c r="DV14" s="1089" t="str">
        <f t="shared" ref="DV14:DV21" si="222">IFERROR(DU14/SUMIF($C$5:$C$12,$C14,DU$5:DU$12),"")</f>
        <v/>
      </c>
      <c r="DW14" s="1089" t="str">
        <f t="shared" ref="DW14:DW21" si="223">IFERROR(DU14/DU$13,"")</f>
        <v/>
      </c>
      <c r="DX14" s="1090">
        <f>IF(NOW()&gt;=DATE(YEAR(DU$2),MONTH(DU$2)+1,DAY(DU$2)),SUMIFS(TF_SOTIEN,TF_DA,$C14,TF_THANG,DU$2,TF_KM,$E14)/1000, EA14)</f>
        <v>0</v>
      </c>
      <c r="DY14" s="1089" t="str">
        <f t="shared" ref="DY14:DY21" si="224">IFERROR(DX14/SUMIF($C$5:$C$12,$C14,DX$5:DX$12),"")</f>
        <v/>
      </c>
      <c r="DZ14" s="1089" t="str">
        <f t="shared" ref="DZ14:DZ21" si="225">IFERROR(DX14/DX$13,"")</f>
        <v/>
      </c>
      <c r="EA14" s="1090">
        <f>IF(NOW()&gt;=DATE(YEAR(DU$2),MONTH(DU$2)+1,DAY(DU$2)),SUMIFS(AC_SOTIEN,AC_DA,$C14,AC_THANG,DU$2,AC_KM,$E14),SUMIFS(TF_SOTIEN,TF_DA,$C14,TF_THANG,DU$2,TF_KM,$E14))/ 1000</f>
        <v>0</v>
      </c>
      <c r="EB14" s="1089" t="str">
        <f t="shared" ref="EB14:EB21" si="226">IFERROR(EA14/SUMIF($C$5:$C$12,$C14,EA$5:EA$12),"")</f>
        <v/>
      </c>
      <c r="EC14" s="1089" t="str">
        <f t="shared" ref="EC14:EC21" si="227">IFERROR(EA14/EA$13,"")</f>
        <v/>
      </c>
      <c r="ED14" s="1090">
        <f t="shared" si="80"/>
        <v>0</v>
      </c>
      <c r="EE14" s="1091" t="str">
        <f t="shared" si="81"/>
        <v/>
      </c>
      <c r="EF14" s="1090">
        <f t="shared" si="82"/>
        <v>0</v>
      </c>
      <c r="EG14" s="1091" t="str">
        <f t="shared" si="83"/>
        <v/>
      </c>
      <c r="EH14" s="1088">
        <f>SUMIFS(BP_SOTIEN,BP_DA,$C14,BP_THANG,EH$2,BP_KM,$E14)/1000</f>
        <v>0</v>
      </c>
      <c r="EI14" s="1089" t="str">
        <f t="shared" ref="EI14:EI21" si="228">IFERROR(EH14/SUMIF($C$5:$C$12,$C14,EH$5:EH$12),"")</f>
        <v/>
      </c>
      <c r="EJ14" s="1089" t="str">
        <f t="shared" ref="EJ14:EJ21" si="229">IFERROR(EH14/EH$13,"")</f>
        <v/>
      </c>
      <c r="EK14" s="1090">
        <f>IF(NOW()&gt;=DATE(YEAR(EH$2),MONTH(EH$2)+1,DAY(EH$2)),SUMIFS(TF_SOTIEN,TF_DA,$C14,TF_THANG,EH$2,TF_KM,$E14)/1000, EN14)</f>
        <v>0</v>
      </c>
      <c r="EL14" s="1089" t="str">
        <f t="shared" ref="EL14:EL21" si="230">IFERROR(EK14/SUMIF($C$5:$C$12,$C14,EK$5:EK$12),"")</f>
        <v/>
      </c>
      <c r="EM14" s="1089" t="str">
        <f t="shared" ref="EM14:EM21" si="231">IFERROR(EK14/EK$13,"")</f>
        <v/>
      </c>
      <c r="EN14" s="1090">
        <f>IF(NOW()&gt;=DATE(YEAR(EH$2),MONTH(EH$2)+1,DAY(EH$2)),SUMIFS(AC_SOTIEN,AC_DA,$C14,AC_THANG,EH$2,AC_KM,$E14),SUMIFS(TF_SOTIEN,TF_DA,$C14,TF_THANG,EH$2,TF_KM,$E14))/ 1000</f>
        <v>0</v>
      </c>
      <c r="EO14" s="1089" t="str">
        <f t="shared" ref="EO14:EO21" si="232">IFERROR(EN14/SUMIF($C$5:$C$12,$C14,EN$5:EN$12),"")</f>
        <v/>
      </c>
      <c r="EP14" s="1089" t="str">
        <f t="shared" ref="EP14:EP21" si="233">IFERROR(EN14/EN$13,"")</f>
        <v/>
      </c>
      <c r="EQ14" s="1090">
        <f t="shared" si="87"/>
        <v>0</v>
      </c>
      <c r="ER14" s="1091" t="str">
        <f t="shared" si="88"/>
        <v/>
      </c>
      <c r="ES14" s="1090">
        <f t="shared" si="89"/>
        <v>0</v>
      </c>
      <c r="ET14" s="1091" t="str">
        <f t="shared" si="90"/>
        <v/>
      </c>
      <c r="EU14" s="1088">
        <f>SUMIFS(BP_SOTIEN,BP_DA,$C14,BP_THANG,EU$2,BP_KM,$E14)/1000</f>
        <v>0</v>
      </c>
      <c r="EV14" s="1089" t="str">
        <f t="shared" ref="EV14:EV21" si="234">IFERROR(EU14/SUMIF($C$5:$C$12,$C14,EU$5:EU$12),"")</f>
        <v/>
      </c>
      <c r="EW14" s="1089" t="str">
        <f t="shared" ref="EW14:EW21" si="235">IFERROR(EU14/EU$13,"")</f>
        <v/>
      </c>
      <c r="EX14" s="1090">
        <f>IF(NOW()&gt;=DATE(YEAR(EU$2),MONTH(EU$2)+1,DAY(EU$2)),SUMIFS(TF_SOTIEN,TF_DA,$C14,TF_THANG,EU$2,TF_KM,$E14)/1000, FA14)</f>
        <v>0</v>
      </c>
      <c r="EY14" s="1089" t="str">
        <f t="shared" ref="EY14:EY21" si="236">IFERROR(EX14/SUMIF($C$5:$C$12,$C14,EX$5:EX$12),"")</f>
        <v/>
      </c>
      <c r="EZ14" s="1089" t="str">
        <f t="shared" ref="EZ14:EZ21" si="237">IFERROR(EX14/EX$13,"")</f>
        <v/>
      </c>
      <c r="FA14" s="1090">
        <f>IF(NOW()&gt;=DATE(YEAR(EU$2),MONTH(EU$2)+1,DAY(EU$2)),SUMIFS(AC_SOTIEN,AC_DA,$C14,AC_THANG,EU$2,AC_KM,$E14),SUMIFS(TF_SOTIEN,TF_DA,$C14,TF_THANG,EU$2,TF_KM,$E14))/ 1000</f>
        <v>0</v>
      </c>
      <c r="FB14" s="1089" t="str">
        <f t="shared" ref="FB14:FB21" si="238">IFERROR(FA14/SUMIF($C$5:$C$12,$C14,FA$5:FA$12),"")</f>
        <v/>
      </c>
      <c r="FC14" s="1089" t="str">
        <f t="shared" ref="FC14:FC21" si="239">IFERROR(FA14/FA$13,"")</f>
        <v/>
      </c>
      <c r="FD14" s="1090">
        <f t="shared" si="94"/>
        <v>0</v>
      </c>
      <c r="FE14" s="1091" t="str">
        <f t="shared" si="95"/>
        <v/>
      </c>
      <c r="FF14" s="1090">
        <f t="shared" si="96"/>
        <v>0</v>
      </c>
      <c r="FG14" s="1091" t="str">
        <f t="shared" si="97"/>
        <v/>
      </c>
      <c r="FH14" s="1088">
        <f t="shared" ref="FH14:FH50" si="240">SUMIF(DU$3:FG$3,FH$3,DU14:FG14)</f>
        <v>0</v>
      </c>
      <c r="FI14" s="1089" t="str">
        <f t="shared" ref="FI14:FI21" si="241">IFERROR(FH14/SUMIF($C$5:$C$12,$C14,FH$5:FH$12),"")</f>
        <v/>
      </c>
      <c r="FJ14" s="1089" t="str">
        <f t="shared" ref="FJ14:FJ21" si="242">IFERROR(FH14/FH$13,"")</f>
        <v/>
      </c>
      <c r="FK14" s="1090">
        <f t="shared" ref="FK14:FK97" si="243">SUMIF(DU$3:FG$3,FK$3,DU14:FG14)</f>
        <v>0</v>
      </c>
      <c r="FL14" s="1089" t="str">
        <f t="shared" ref="FL14:FL21" si="244">IFERROR(FK14/SUMIF($C$5:$C$12,$C14,FK$5:FK$12),"")</f>
        <v/>
      </c>
      <c r="FM14" s="1089" t="str">
        <f t="shared" ref="FM14:FM21" si="245">IFERROR(FK14/FK$13,"")</f>
        <v/>
      </c>
      <c r="FN14" s="1090">
        <f t="shared" ref="FN14:FN97" si="246">SUMIF(DU$3:FG$3,"AC",DU14:FG14)+SUMIF(DU$3:FG$3,"TF",DU14:FG14)</f>
        <v>0</v>
      </c>
      <c r="FO14" s="1089" t="str">
        <f t="shared" ref="FO14:FO21" si="247">IFERROR(FN14/SUMIF($C$5:$C$12,$C14,FN$5:FN$12),"")</f>
        <v/>
      </c>
      <c r="FP14" s="1089" t="str">
        <f t="shared" ref="FP14:FP21" si="248">IFERROR(FN14/FN$13,"")</f>
        <v/>
      </c>
      <c r="FQ14" s="1090">
        <f t="shared" si="104"/>
        <v>0</v>
      </c>
      <c r="FR14" s="1091" t="str">
        <f t="shared" si="105"/>
        <v/>
      </c>
      <c r="FS14" s="1090">
        <f t="shared" si="106"/>
        <v>0</v>
      </c>
      <c r="FT14" s="1091" t="str">
        <f t="shared" si="107"/>
        <v/>
      </c>
      <c r="FU14" s="1088">
        <f>SUMIFS(BP_SOTIEN,BP_DA,$C14,BP_THANG,FU$2,BP_KM,$E14)/1000</f>
        <v>0</v>
      </c>
      <c r="FV14" s="1089" t="str">
        <f t="shared" ref="FV14:FV21" si="249">IFERROR(FU14/SUMIF($C$5:$C$12,$C14,FU$5:FU$12),"")</f>
        <v/>
      </c>
      <c r="FW14" s="1089" t="str">
        <f t="shared" ref="FW14:FW21" si="250">IFERROR(FU14/FU$13,"")</f>
        <v/>
      </c>
      <c r="FX14" s="1090">
        <f>IF(NOW()&gt;=DATE(YEAR(FU$2),MONTH(FU$2)+1,DAY(FU$2)),SUMIFS(TF_SOTIEN,TF_DA,$C14,TF_THANG,FU$2,TF_KM,$E14)/1000, GA14)</f>
        <v>0</v>
      </c>
      <c r="FY14" s="1089" t="str">
        <f t="shared" ref="FY14:FY21" si="251">IFERROR(FX14/SUMIF($C$5:$C$12,$C14,FX$5:FX$12),"")</f>
        <v/>
      </c>
      <c r="FZ14" s="1089" t="str">
        <f t="shared" ref="FZ14:FZ21" si="252">IFERROR(FX14/FX$13,"")</f>
        <v/>
      </c>
      <c r="GA14" s="1090">
        <f>IF(NOW()&gt;=DATE(YEAR(FU$2),MONTH(FU$2)+1,DAY(FU$2)),SUMIFS(AC_SOTIEN,AC_DA,$C14,AC_THANG,FU$2,AC_KM,$E14),SUMIFS(TF_SOTIEN,TF_DA,$C14,TF_THANG,FU$2,TF_KM,$E14))/ 1000</f>
        <v>0</v>
      </c>
      <c r="GB14" s="1089" t="str">
        <f t="shared" ref="GB14:GB21" si="253">IFERROR(GA14/SUMIF($C$5:$C$12,$C14,GA$5:GA$12),"")</f>
        <v/>
      </c>
      <c r="GC14" s="1089" t="str">
        <f t="shared" ref="GC14:GC21" si="254">IFERROR(GA14/GA$13,"")</f>
        <v/>
      </c>
      <c r="GD14" s="1090">
        <f t="shared" si="111"/>
        <v>0</v>
      </c>
      <c r="GE14" s="1091" t="str">
        <f t="shared" si="112"/>
        <v/>
      </c>
      <c r="GF14" s="1090">
        <f t="shared" si="113"/>
        <v>0</v>
      </c>
      <c r="GG14" s="1091" t="str">
        <f t="shared" si="114"/>
        <v/>
      </c>
      <c r="GH14" s="1088">
        <f>SUMIFS(BP_SOTIEN,BP_DA,$C14,BP_THANG,GH$2,BP_KM,$E14)/1000</f>
        <v>0</v>
      </c>
      <c r="GI14" s="1089" t="str">
        <f t="shared" ref="GI14:GI21" si="255">IFERROR(GH14/SUMIF($C$5:$C$12,$C14,GH$5:GH$12),"")</f>
        <v/>
      </c>
      <c r="GJ14" s="1089" t="str">
        <f t="shared" ref="GJ14:GJ21" si="256">IFERROR(GH14/GH$13,"")</f>
        <v/>
      </c>
      <c r="GK14" s="1090">
        <f>IF(NOW()&gt;=DATE(YEAR(GH$2),MONTH(GH$2)+1,DAY(GH$2)),SUMIFS(TF_SOTIEN,TF_DA,$C14,TF_THANG,GH$2,TF_KM,$E14)/1000, GN14)</f>
        <v>0</v>
      </c>
      <c r="GL14" s="1089" t="str">
        <f t="shared" ref="GL14:GL21" si="257">IFERROR(GK14/SUMIF($C$5:$C$12,$C14,GK$5:GK$12),"")</f>
        <v/>
      </c>
      <c r="GM14" s="1089" t="str">
        <f t="shared" ref="GM14:GM21" si="258">IFERROR(GK14/GK$13,"")</f>
        <v/>
      </c>
      <c r="GN14" s="1090">
        <f>IF(NOW()&gt;=DATE(YEAR(GH$2),MONTH(GH$2)+1,DAY(GH$2)),SUMIFS(AC_SOTIEN,AC_DA,$C14,AC_THANG,GH$2,AC_KM,$E14),SUMIFS(TF_SOTIEN,TF_DA,$C14,TF_THANG,GH$2,TF_KM,$E14))/ 1000</f>
        <v>0</v>
      </c>
      <c r="GO14" s="1089" t="str">
        <f t="shared" ref="GO14:GO21" si="259">IFERROR(GN14/SUMIF($C$5:$C$12,$C14,GN$5:GN$12),"")</f>
        <v/>
      </c>
      <c r="GP14" s="1089" t="str">
        <f t="shared" ref="GP14:GP21" si="260">IFERROR(GN14/GN$13,"")</f>
        <v/>
      </c>
      <c r="GQ14" s="1090">
        <f t="shared" si="118"/>
        <v>0</v>
      </c>
      <c r="GR14" s="1091" t="str">
        <f t="shared" si="119"/>
        <v/>
      </c>
      <c r="GS14" s="1090">
        <f t="shared" si="120"/>
        <v>0</v>
      </c>
      <c r="GT14" s="1091" t="str">
        <f t="shared" si="121"/>
        <v/>
      </c>
      <c r="GU14" s="1088">
        <f>SUMIFS(BP_SOTIEN,BP_DA,$C14,BP_THANG,GU$2,BP_KM,$E14)/1000</f>
        <v>0</v>
      </c>
      <c r="GV14" s="1089" t="str">
        <f t="shared" ref="GV14:GV21" si="261">IFERROR(GU14/SUMIF($C$5:$C$12,$C14,GU$5:GU$12),"")</f>
        <v/>
      </c>
      <c r="GW14" s="1089" t="str">
        <f t="shared" ref="GW14:GW21" si="262">IFERROR(GU14/GU$13,"")</f>
        <v/>
      </c>
      <c r="GX14" s="1090">
        <f>IF(NOW()&gt;=DATE(YEAR(GU$2),MONTH(GU$2)+1,DAY(GU$2)),SUMIFS(TF_SOTIEN,TF_DA,$C14,TF_THANG,GU$2,TF_KM,$E14)/1000, HA14)</f>
        <v>0</v>
      </c>
      <c r="GY14" s="1089" t="str">
        <f t="shared" ref="GY14:GY21" si="263">IFERROR(GX14/SUMIF($C$5:$C$12,$C14,GX$5:GX$12),"")</f>
        <v/>
      </c>
      <c r="GZ14" s="1089" t="str">
        <f t="shared" ref="GZ14:GZ21" si="264">IFERROR(GX14/GX$13,"")</f>
        <v/>
      </c>
      <c r="HA14" s="1090">
        <f>IF(NOW()&gt;=DATE(YEAR(GU$2),MONTH(GU$2)+1,DAY(GU$2)),SUMIFS(AC_SOTIEN,AC_DA,$C14,AC_THANG,GU$2,AC_KM,$E14),SUMIFS(TF_SOTIEN,TF_DA,$C14,TF_THANG,GU$2,TF_KM,$E14))/ 1000</f>
        <v>0</v>
      </c>
      <c r="HB14" s="1089" t="str">
        <f t="shared" ref="HB14:HB21" si="265">IFERROR(HA14/SUMIF($C$5:$C$12,$C14,HA$5:HA$12),"")</f>
        <v/>
      </c>
      <c r="HC14" s="1089" t="str">
        <f t="shared" ref="HC14:HC21" si="266">IFERROR(HA14/HA$13,"")</f>
        <v/>
      </c>
      <c r="HD14" s="1090">
        <f t="shared" si="125"/>
        <v>0</v>
      </c>
      <c r="HE14" s="1091" t="str">
        <f t="shared" si="126"/>
        <v/>
      </c>
      <c r="HF14" s="1090">
        <f t="shared" si="127"/>
        <v>0</v>
      </c>
      <c r="HG14" s="1091" t="str">
        <f t="shared" si="128"/>
        <v/>
      </c>
      <c r="HH14" s="1088">
        <f t="shared" ref="HH14:HH50" si="267">SUMIF(FU$3:HG$3,HH$3,FU14:HG14)</f>
        <v>0</v>
      </c>
      <c r="HI14" s="1089" t="str">
        <f t="shared" ref="HI14:HI21" si="268">IFERROR(HH14/SUMIF($C$5:$C$12,$C14,HH$5:HH$12),"")</f>
        <v/>
      </c>
      <c r="HJ14" s="1089" t="str">
        <f t="shared" ref="HJ14:HJ21" si="269">IFERROR(HH14/HH$13,"")</f>
        <v/>
      </c>
      <c r="HK14" s="1090">
        <f t="shared" ref="HK14:HK97" si="270">SUMIF(FU$3:HG$3,HK$3,FU14:HG14)</f>
        <v>0</v>
      </c>
      <c r="HL14" s="1089" t="str">
        <f t="shared" ref="HL14:HL21" si="271">IFERROR(HK14/SUMIF($C$5:$C$12,$C14,HK$5:HK$12),"")</f>
        <v/>
      </c>
      <c r="HM14" s="1089" t="str">
        <f t="shared" ref="HM14:HM21" si="272">IFERROR(HK14/HK$13,"")</f>
        <v/>
      </c>
      <c r="HN14" s="1090">
        <f t="shared" ref="HN14:HN97" si="273">SUMIF(FU$3:HG$3,"AC",FU14:HG14)+SUMIF(FU$3:HG$3,"TF",FU14:HG14)</f>
        <v>0</v>
      </c>
      <c r="HO14" s="1089" t="str">
        <f t="shared" ref="HO14:HO21" si="274">IFERROR(HN14/SUMIF($C$5:$C$12,$C14,HN$5:HN$12),"")</f>
        <v/>
      </c>
      <c r="HP14" s="1089" t="str">
        <f t="shared" ref="HP14:HP21" si="275">IFERROR(HN14/HN$13,"")</f>
        <v/>
      </c>
      <c r="HQ14" s="1090">
        <f t="shared" si="135"/>
        <v>0</v>
      </c>
      <c r="HR14" s="1091" t="str">
        <f t="shared" si="136"/>
        <v/>
      </c>
      <c r="HS14" s="1090">
        <f t="shared" si="137"/>
        <v>0</v>
      </c>
      <c r="HT14" s="1091" t="str">
        <f t="shared" si="138"/>
        <v/>
      </c>
      <c r="HU14" s="1088">
        <f t="shared" ref="HU14:HU50" si="276">FH14+HH14</f>
        <v>0</v>
      </c>
      <c r="HV14" s="1089" t="str">
        <f t="shared" ref="HV14:HV21" si="277">IFERROR(HU14/SUMIF($C$5:$C$12,$C14,HU$5:HU$12),"")</f>
        <v/>
      </c>
      <c r="HW14" s="1089" t="str">
        <f t="shared" ref="HW14:HW21" si="278">IFERROR(HU14/HU$13,"")</f>
        <v/>
      </c>
      <c r="HX14" s="1090">
        <f t="shared" ref="HX14:HX97" si="279">FK14+HK14</f>
        <v>0</v>
      </c>
      <c r="HY14" s="1089" t="str">
        <f t="shared" ref="HY14:HY21" si="280">IFERROR(HX14/SUMIF($C$5:$C$12,$C14,HX$5:HX$12),"")</f>
        <v/>
      </c>
      <c r="HZ14" s="1089" t="str">
        <f t="shared" ref="HZ14:HZ21" si="281">IFERROR(HX14/HX$13,"")</f>
        <v/>
      </c>
      <c r="IA14" s="1090">
        <f t="shared" ref="IA14:IA97" si="282">FN14+HN14</f>
        <v>0</v>
      </c>
      <c r="IB14" s="1089" t="str">
        <f t="shared" ref="IB14:IB21" si="283">IFERROR(IA14/SUMIF($C$5:$C$12,$C14,IA$5:IA$12),"")</f>
        <v/>
      </c>
      <c r="IC14" s="1089" t="str">
        <f t="shared" ref="IC14:IC21" si="284">IFERROR(IA14/IA$13,"")</f>
        <v/>
      </c>
      <c r="ID14" s="1090">
        <f t="shared" si="145"/>
        <v>0</v>
      </c>
      <c r="IE14" s="1091" t="str">
        <f t="shared" si="146"/>
        <v/>
      </c>
      <c r="IF14" s="1090">
        <f t="shared" si="147"/>
        <v>0</v>
      </c>
      <c r="IG14" s="1091" t="str">
        <f t="shared" si="148"/>
        <v/>
      </c>
      <c r="IH14" s="1088">
        <f t="shared" ref="IH14:IH50" si="285">DH14+HU14</f>
        <v>0</v>
      </c>
      <c r="II14" s="1089" t="str">
        <f t="shared" ref="II14:II21" si="286">IFERROR(IH14/SUMIF($C$5:$C$12,$C14,IH$5:IH$12),"")</f>
        <v/>
      </c>
      <c r="IJ14" s="1089" t="str">
        <f t="shared" ref="IJ14:IJ21" si="287">IFERROR(IH14/IH$13,"")</f>
        <v/>
      </c>
      <c r="IK14" s="1090">
        <f t="shared" ref="IK14:IK97" si="288">DK14+HX14</f>
        <v>0</v>
      </c>
      <c r="IL14" s="1089" t="str">
        <f t="shared" ref="IL14:IL21" si="289">IFERROR(IK14/SUMIF($C$5:$C$12,$C14,IK$5:IK$12),"")</f>
        <v/>
      </c>
      <c r="IM14" s="1089" t="str">
        <f t="shared" ref="IM14:IM21" si="290">IFERROR(IK14/IK$13,"")</f>
        <v/>
      </c>
      <c r="IN14" s="1090">
        <f t="shared" ref="IN14:IN97" si="291">DN14+IA14</f>
        <v>180000</v>
      </c>
      <c r="IO14" s="1089">
        <f t="shared" ref="IO14:IO21" si="292">IFERROR(IN14/SUMIF($C$5:$C$12,$C14,IN$5:IN$12),"")</f>
        <v>0.1078839169</v>
      </c>
      <c r="IP14" s="1089">
        <f t="shared" ref="IP14:IP21" si="293">IFERROR(IN14/IN$13,"")</f>
        <v>0.5294117647</v>
      </c>
      <c r="IQ14" s="1090">
        <f t="shared" si="155"/>
        <v>180000</v>
      </c>
      <c r="IR14" s="1091" t="str">
        <f t="shared" si="1"/>
        <v/>
      </c>
      <c r="IS14" s="1090">
        <f t="shared" si="156"/>
        <v>180000</v>
      </c>
      <c r="IT14" s="1091" t="str">
        <f t="shared" si="2"/>
        <v/>
      </c>
    </row>
    <row r="15">
      <c r="A15" s="1086">
        <f t="shared" si="157"/>
        <v>2</v>
      </c>
      <c r="B15" s="1087" t="s">
        <v>2067</v>
      </c>
      <c r="C15" s="656" t="s">
        <v>210</v>
      </c>
      <c r="D15" s="1087" t="str">
        <f t="shared" si="158"/>
        <v>NAM</v>
      </c>
      <c r="E15" s="1087" t="s">
        <v>187</v>
      </c>
      <c r="F15" s="1087"/>
      <c r="G15" s="1086">
        <v>2.0</v>
      </c>
      <c r="H15" s="1088">
        <f>SUMIFS(BP_SOTIEN,BP_DOI,$C15,BP_THANG,H$2,BP_KM,$E15)/1000</f>
        <v>0</v>
      </c>
      <c r="I15" s="1089" t="str">
        <f t="shared" si="159"/>
        <v/>
      </c>
      <c r="J15" s="1089" t="str">
        <f t="shared" si="160"/>
        <v/>
      </c>
      <c r="K15" s="1090">
        <f>IF(NOW()&gt;=DATE(YEAR(H$2),MONTH(H$2)+1,DAY(H$2)),SUMIFS(TF_SOTIEN,TF_DOI,$C15,TF_THANG,H$2,TF_KM,$E15)/1000, N15)</f>
        <v>0</v>
      </c>
      <c r="L15" s="1089" t="str">
        <f t="shared" si="161"/>
        <v/>
      </c>
      <c r="M15" s="1089" t="str">
        <f t="shared" si="162"/>
        <v/>
      </c>
      <c r="N15" s="1090">
        <f>IF(NOW()&gt;=DATE(YEAR(H$2),MONTH(H$2)+1,DAY(H$2)),SUMIFS(AC_SOTIEN,AC_DOI,$C15,AC_THANG,H$2,AC_KM,$E15),SUMIFS(TF_SOTIEN,TF_DOI,$C15,TF_THANG,H$2,TF_KM,$E15))/ 1000</f>
        <v>0</v>
      </c>
      <c r="O15" s="1089" t="str">
        <f t="shared" si="163"/>
        <v/>
      </c>
      <c r="P15" s="1089">
        <f t="shared" si="164"/>
        <v>0</v>
      </c>
      <c r="Q15" s="1090">
        <f t="shared" si="8"/>
        <v>0</v>
      </c>
      <c r="R15" s="1091" t="str">
        <f t="shared" si="9"/>
        <v/>
      </c>
      <c r="S15" s="1090">
        <f t="shared" si="10"/>
        <v>0</v>
      </c>
      <c r="T15" s="1091" t="str">
        <f t="shared" si="11"/>
        <v/>
      </c>
      <c r="U15" s="1088">
        <f>SUMIFS(BP_SOTIEN,BP_DA,$C15,BP_THANG,U$2,BP_KM,$E15)/1000</f>
        <v>0</v>
      </c>
      <c r="V15" s="1089" t="str">
        <f t="shared" si="165"/>
        <v/>
      </c>
      <c r="W15" s="1089" t="str">
        <f t="shared" si="166"/>
        <v/>
      </c>
      <c r="X15" s="1090">
        <f>IF(NOW()&gt;=DATE(YEAR(U$2),MONTH(U$2)+1,DAY(U$2)),SUMIFS(TF_SOTIEN,TF_DA,$C15,TF_THANG,U$2,TF_KM,$E15)/1000, AA15)</f>
        <v>0</v>
      </c>
      <c r="Y15" s="1089" t="str">
        <f t="shared" si="167"/>
        <v/>
      </c>
      <c r="Z15" s="1089" t="str">
        <f t="shared" si="168"/>
        <v/>
      </c>
      <c r="AA15" s="1090">
        <f>IF(NOW()&gt;=DATE(YEAR(U$2),MONTH(U$2)+1,DAY(U$2)),SUMIFS(AC_SOTIEN,AC_DA,$C15,AC_THANG,U$2,AC_KM,$E15),SUMIFS(TF_SOTIEN,TF_DA,$C15,TF_THANG,U$2,TF_KM,$E15))/ 1000</f>
        <v>0</v>
      </c>
      <c r="AB15" s="1089" t="str">
        <f t="shared" si="169"/>
        <v/>
      </c>
      <c r="AC15" s="1089" t="str">
        <f t="shared" si="170"/>
        <v/>
      </c>
      <c r="AD15" s="1090">
        <f t="shared" si="15"/>
        <v>0</v>
      </c>
      <c r="AE15" s="1091" t="str">
        <f t="shared" si="16"/>
        <v/>
      </c>
      <c r="AF15" s="1090">
        <f t="shared" si="17"/>
        <v>0</v>
      </c>
      <c r="AG15" s="1091" t="str">
        <f t="shared" si="18"/>
        <v/>
      </c>
      <c r="AH15" s="1088">
        <f>SUMIFS(BP_SOTIEN,BP_DA,$C15,BP_THANG,AH$2,BP_KM,$E15)/1000</f>
        <v>0</v>
      </c>
      <c r="AI15" s="1089" t="str">
        <f t="shared" si="171"/>
        <v/>
      </c>
      <c r="AJ15" s="1089" t="str">
        <f t="shared" si="172"/>
        <v/>
      </c>
      <c r="AK15" s="1090">
        <f>IF(NOW()&gt;=DATE(YEAR(AH$2),MONTH(AH$2)+1,DAY(AH$2)),SUMIFS(TF_SOTIEN,TF_DA,$C15,TF_THANG,AH$2,TF_KM,$E15)/1000, AN15)</f>
        <v>0</v>
      </c>
      <c r="AL15" s="1089" t="str">
        <f t="shared" si="173"/>
        <v/>
      </c>
      <c r="AM15" s="1089" t="str">
        <f t="shared" si="174"/>
        <v/>
      </c>
      <c r="AN15" s="1090">
        <f>IF(NOW()&gt;=DATE(YEAR(AH$2),MONTH(AH$2)+1,DAY(AH$2)),SUMIFS(AC_SOTIEN,AC_DA,$C15,AC_THANG,AH$2,AC_KM,$E15),SUMIFS(TF_SOTIEN,TF_DA,$C15,TF_THANG,AH$2,TF_KM,$E15))/ 1000</f>
        <v>0</v>
      </c>
      <c r="AO15" s="1089" t="str">
        <f t="shared" si="175"/>
        <v/>
      </c>
      <c r="AP15" s="1089" t="str">
        <f t="shared" si="176"/>
        <v/>
      </c>
      <c r="AQ15" s="1090">
        <f t="shared" si="22"/>
        <v>0</v>
      </c>
      <c r="AR15" s="1091" t="str">
        <f t="shared" si="23"/>
        <v/>
      </c>
      <c r="AS15" s="1090">
        <f t="shared" si="24"/>
        <v>0</v>
      </c>
      <c r="AT15" s="1091" t="str">
        <f t="shared" si="25"/>
        <v/>
      </c>
      <c r="AU15" s="1088">
        <f t="shared" si="177"/>
        <v>0</v>
      </c>
      <c r="AV15" s="1089" t="str">
        <f t="shared" si="178"/>
        <v/>
      </c>
      <c r="AW15" s="1089" t="str">
        <f t="shared" si="179"/>
        <v/>
      </c>
      <c r="AX15" s="1090">
        <f t="shared" si="180"/>
        <v>0</v>
      </c>
      <c r="AY15" s="1089" t="str">
        <f t="shared" si="181"/>
        <v/>
      </c>
      <c r="AZ15" s="1089" t="str">
        <f t="shared" si="182"/>
        <v/>
      </c>
      <c r="BA15" s="1090">
        <f t="shared" si="183"/>
        <v>0</v>
      </c>
      <c r="BB15" s="1089" t="str">
        <f t="shared" si="184"/>
        <v/>
      </c>
      <c r="BC15" s="1089">
        <f t="shared" si="185"/>
        <v>0</v>
      </c>
      <c r="BD15" s="1090">
        <f t="shared" si="32"/>
        <v>0</v>
      </c>
      <c r="BE15" s="1091" t="str">
        <f t="shared" si="33"/>
        <v/>
      </c>
      <c r="BF15" s="1090">
        <f t="shared" si="34"/>
        <v>0</v>
      </c>
      <c r="BG15" s="1091" t="str">
        <f t="shared" si="35"/>
        <v/>
      </c>
      <c r="BH15" s="1088">
        <f>SUMIFS(BP_SOTIEN,BP_DA,$C15,BP_THANG,BH$2,BP_KM,$E15)/1000</f>
        <v>0</v>
      </c>
      <c r="BI15" s="1089" t="str">
        <f t="shared" si="186"/>
        <v/>
      </c>
      <c r="BJ15" s="1089" t="str">
        <f t="shared" si="187"/>
        <v/>
      </c>
      <c r="BK15" s="1090">
        <f>IF(NOW()&gt;=DATE(YEAR(BH$2),MONTH(BH$2)+1,DAY(BH$2)),SUMIFS(TF_SOTIEN,TF_DA,$C15,TF_THANG,BH$2,TF_KM,$E15)/1000, BN15)</f>
        <v>0</v>
      </c>
      <c r="BL15" s="1089" t="str">
        <f t="shared" si="188"/>
        <v/>
      </c>
      <c r="BM15" s="1089" t="str">
        <f t="shared" si="189"/>
        <v/>
      </c>
      <c r="BN15" s="1090">
        <f>IF(NOW()&gt;=DATE(YEAR(BH$2),MONTH(BH$2)+1,DAY(BH$2)),SUMIFS(AC_SOTIEN,AC_DA,$C15,AC_THANG,BH$2,AC_KM,$E15),SUMIFS(TF_SOTIEN,TF_DA,$C15,TF_THANG,BH$2,TF_KM,$E15))/ 1000</f>
        <v>0</v>
      </c>
      <c r="BO15" s="1089" t="str">
        <f t="shared" si="190"/>
        <v/>
      </c>
      <c r="BP15" s="1089" t="str">
        <f t="shared" si="191"/>
        <v/>
      </c>
      <c r="BQ15" s="1090">
        <f t="shared" si="39"/>
        <v>0</v>
      </c>
      <c r="BR15" s="1091" t="str">
        <f t="shared" si="40"/>
        <v/>
      </c>
      <c r="BS15" s="1090">
        <f t="shared" si="41"/>
        <v>0</v>
      </c>
      <c r="BT15" s="1091" t="str">
        <f t="shared" si="42"/>
        <v/>
      </c>
      <c r="BU15" s="1088">
        <f>SUMIFS(BP_SOTIEN,BP_DA,$C15,BP_THANG,BU$2,BP_KM,$E15)/1000</f>
        <v>0</v>
      </c>
      <c r="BV15" s="1089" t="str">
        <f t="shared" si="192"/>
        <v/>
      </c>
      <c r="BW15" s="1089" t="str">
        <f t="shared" si="193"/>
        <v/>
      </c>
      <c r="BX15" s="1090">
        <f>IF(NOW()&gt;=DATE(YEAR(BU$2),MONTH(BU$2)+1,DAY(BU$2)),SUMIFS(TF_SOTIEN,TF_DA,$C15,TF_THANG,BU$2,TF_KM,$E15)/1000, CA15)</f>
        <v>0</v>
      </c>
      <c r="BY15" s="1089" t="str">
        <f t="shared" si="194"/>
        <v/>
      </c>
      <c r="BZ15" s="1089" t="str">
        <f t="shared" si="195"/>
        <v/>
      </c>
      <c r="CA15" s="1090">
        <f>IF(NOW()&gt;=DATE(YEAR(BU$2),MONTH(BU$2)+1,DAY(BU$2)),SUMIFS(AC_SOTIEN,AC_DA,$C15,AC_THANG,BU$2,AC_KM,$E15),SUMIFS(TF_SOTIEN,TF_DA,$C15,TF_THANG,BU$2,TF_KM,$E15))/ 1000</f>
        <v>0</v>
      </c>
      <c r="CB15" s="1089" t="str">
        <f t="shared" si="196"/>
        <v/>
      </c>
      <c r="CC15" s="1089" t="str">
        <f t="shared" si="197"/>
        <v/>
      </c>
      <c r="CD15" s="1090">
        <f t="shared" si="46"/>
        <v>0</v>
      </c>
      <c r="CE15" s="1091" t="str">
        <f t="shared" si="47"/>
        <v/>
      </c>
      <c r="CF15" s="1090">
        <f t="shared" si="48"/>
        <v>0</v>
      </c>
      <c r="CG15" s="1091" t="str">
        <f t="shared" si="49"/>
        <v/>
      </c>
      <c r="CH15" s="1088">
        <f>SUMIFS(BP_SOTIEN,BP_DA,$C15,BP_THANG,CH$2,BP_KM,$E15)/1000</f>
        <v>0</v>
      </c>
      <c r="CI15" s="1089" t="str">
        <f t="shared" si="198"/>
        <v/>
      </c>
      <c r="CJ15" s="1089" t="str">
        <f t="shared" si="199"/>
        <v/>
      </c>
      <c r="CK15" s="1090">
        <f>IF(NOW()&gt;=DATE(YEAR(CH$2),MONTH(CH$2)+1,DAY(CH$2)),SUMIFS(TF_SOTIEN,TF_DA,$C15,TF_THANG,CH$2,TF_KM,$E15)/1000, CN15)</f>
        <v>0</v>
      </c>
      <c r="CL15" s="1089" t="str">
        <f t="shared" si="200"/>
        <v/>
      </c>
      <c r="CM15" s="1089" t="str">
        <f t="shared" si="201"/>
        <v/>
      </c>
      <c r="CN15" s="1090">
        <f>IF(NOW()&gt;=DATE(YEAR(CH$2),MONTH(CH$2)+1,DAY(CH$2)),SUMIFS(AC_SOTIEN,AC_DA,$C15,AC_THANG,CH$2,AC_KM,$E15),SUMIFS(TF_SOTIEN,TF_DA,$C15,TF_THANG,CH$2,TF_KM,$E15))/ 1000</f>
        <v>0</v>
      </c>
      <c r="CO15" s="1089" t="str">
        <f t="shared" si="202"/>
        <v/>
      </c>
      <c r="CP15" s="1089" t="str">
        <f t="shared" si="203"/>
        <v/>
      </c>
      <c r="CQ15" s="1090">
        <f t="shared" si="53"/>
        <v>0</v>
      </c>
      <c r="CR15" s="1091" t="str">
        <f t="shared" si="54"/>
        <v/>
      </c>
      <c r="CS15" s="1090">
        <f t="shared" si="55"/>
        <v>0</v>
      </c>
      <c r="CT15" s="1091" t="str">
        <f t="shared" si="56"/>
        <v/>
      </c>
      <c r="CU15" s="1088">
        <f t="shared" si="204"/>
        <v>0</v>
      </c>
      <c r="CV15" s="1089" t="str">
        <f t="shared" si="205"/>
        <v/>
      </c>
      <c r="CW15" s="1089" t="str">
        <f t="shared" si="206"/>
        <v/>
      </c>
      <c r="CX15" s="1090">
        <f t="shared" si="207"/>
        <v>0</v>
      </c>
      <c r="CY15" s="1089" t="str">
        <f t="shared" si="208"/>
        <v/>
      </c>
      <c r="CZ15" s="1089" t="str">
        <f t="shared" si="209"/>
        <v/>
      </c>
      <c r="DA15" s="1090">
        <f t="shared" si="210"/>
        <v>0</v>
      </c>
      <c r="DB15" s="1089" t="str">
        <f t="shared" si="211"/>
        <v/>
      </c>
      <c r="DC15" s="1089" t="str">
        <f t="shared" si="212"/>
        <v/>
      </c>
      <c r="DD15" s="1090">
        <f t="shared" si="63"/>
        <v>0</v>
      </c>
      <c r="DE15" s="1091" t="str">
        <f t="shared" si="64"/>
        <v/>
      </c>
      <c r="DF15" s="1090">
        <f t="shared" si="65"/>
        <v>0</v>
      </c>
      <c r="DG15" s="1091" t="str">
        <f t="shared" si="66"/>
        <v/>
      </c>
      <c r="DH15" s="1088">
        <f t="shared" si="213"/>
        <v>0</v>
      </c>
      <c r="DI15" s="1089" t="str">
        <f t="shared" si="214"/>
        <v/>
      </c>
      <c r="DJ15" s="1089" t="str">
        <f t="shared" si="215"/>
        <v/>
      </c>
      <c r="DK15" s="1090">
        <f t="shared" si="216"/>
        <v>0</v>
      </c>
      <c r="DL15" s="1089" t="str">
        <f t="shared" si="217"/>
        <v/>
      </c>
      <c r="DM15" s="1089" t="str">
        <f t="shared" si="218"/>
        <v/>
      </c>
      <c r="DN15" s="1090">
        <f t="shared" si="219"/>
        <v>0</v>
      </c>
      <c r="DO15" s="1089" t="str">
        <f t="shared" si="220"/>
        <v/>
      </c>
      <c r="DP15" s="1089">
        <f t="shared" si="221"/>
        <v>0</v>
      </c>
      <c r="DQ15" s="1090">
        <f t="shared" si="73"/>
        <v>0</v>
      </c>
      <c r="DR15" s="1091" t="str">
        <f t="shared" si="74"/>
        <v/>
      </c>
      <c r="DS15" s="1090">
        <f t="shared" si="75"/>
        <v>0</v>
      </c>
      <c r="DT15" s="1091" t="str">
        <f t="shared" si="76"/>
        <v/>
      </c>
      <c r="DU15" s="1088">
        <f>SUMIFS(BP_SOTIEN,BP_DA,$C15,BP_THANG,DU$2,BP_KM,$E15)/1000</f>
        <v>0</v>
      </c>
      <c r="DV15" s="1089" t="str">
        <f t="shared" si="222"/>
        <v/>
      </c>
      <c r="DW15" s="1089" t="str">
        <f t="shared" si="223"/>
        <v/>
      </c>
      <c r="DX15" s="1090">
        <f>IF(NOW()&gt;=DATE(YEAR(DU$2),MONTH(DU$2)+1,DAY(DU$2)),SUMIFS(TF_SOTIEN,TF_DA,$C15,TF_THANG,DU$2,TF_KM,$E15)/1000, EA15)</f>
        <v>0</v>
      </c>
      <c r="DY15" s="1089" t="str">
        <f t="shared" si="224"/>
        <v/>
      </c>
      <c r="DZ15" s="1089" t="str">
        <f t="shared" si="225"/>
        <v/>
      </c>
      <c r="EA15" s="1090">
        <f>IF(NOW()&gt;=DATE(YEAR(DU$2),MONTH(DU$2)+1,DAY(DU$2)),SUMIFS(AC_SOTIEN,AC_DA,$C15,AC_THANG,DU$2,AC_KM,$E15),SUMIFS(TF_SOTIEN,TF_DA,$C15,TF_THANG,DU$2,TF_KM,$E15))/ 1000</f>
        <v>0</v>
      </c>
      <c r="EB15" s="1089" t="str">
        <f t="shared" si="226"/>
        <v/>
      </c>
      <c r="EC15" s="1089" t="str">
        <f t="shared" si="227"/>
        <v/>
      </c>
      <c r="ED15" s="1090">
        <f t="shared" si="80"/>
        <v>0</v>
      </c>
      <c r="EE15" s="1091" t="str">
        <f t="shared" si="81"/>
        <v/>
      </c>
      <c r="EF15" s="1090">
        <f t="shared" si="82"/>
        <v>0</v>
      </c>
      <c r="EG15" s="1091" t="str">
        <f t="shared" si="83"/>
        <v/>
      </c>
      <c r="EH15" s="1088">
        <f>SUMIFS(BP_SOTIEN,BP_DA,$C15,BP_THANG,EH$2,BP_KM,$E15)/1000</f>
        <v>0</v>
      </c>
      <c r="EI15" s="1089" t="str">
        <f t="shared" si="228"/>
        <v/>
      </c>
      <c r="EJ15" s="1089" t="str">
        <f t="shared" si="229"/>
        <v/>
      </c>
      <c r="EK15" s="1090">
        <f>IF(NOW()&gt;=DATE(YEAR(EH$2),MONTH(EH$2)+1,DAY(EH$2)),SUMIFS(TF_SOTIEN,TF_DA,$C15,TF_THANG,EH$2,TF_KM,$E15)/1000, EN15)</f>
        <v>0</v>
      </c>
      <c r="EL15" s="1089" t="str">
        <f t="shared" si="230"/>
        <v/>
      </c>
      <c r="EM15" s="1089" t="str">
        <f t="shared" si="231"/>
        <v/>
      </c>
      <c r="EN15" s="1090">
        <f>IF(NOW()&gt;=DATE(YEAR(EH$2),MONTH(EH$2)+1,DAY(EH$2)),SUMIFS(AC_SOTIEN,AC_DA,$C15,AC_THANG,EH$2,AC_KM,$E15),SUMIFS(TF_SOTIEN,TF_DA,$C15,TF_THANG,EH$2,TF_KM,$E15))/ 1000</f>
        <v>0</v>
      </c>
      <c r="EO15" s="1089" t="str">
        <f t="shared" si="232"/>
        <v/>
      </c>
      <c r="EP15" s="1089" t="str">
        <f t="shared" si="233"/>
        <v/>
      </c>
      <c r="EQ15" s="1090">
        <f t="shared" si="87"/>
        <v>0</v>
      </c>
      <c r="ER15" s="1091" t="str">
        <f t="shared" si="88"/>
        <v/>
      </c>
      <c r="ES15" s="1090">
        <f t="shared" si="89"/>
        <v>0</v>
      </c>
      <c r="ET15" s="1091" t="str">
        <f t="shared" si="90"/>
        <v/>
      </c>
      <c r="EU15" s="1088">
        <f>SUMIFS(BP_SOTIEN,BP_DA,$C15,BP_THANG,EU$2,BP_KM,$E15)/1000</f>
        <v>0</v>
      </c>
      <c r="EV15" s="1089" t="str">
        <f t="shared" si="234"/>
        <v/>
      </c>
      <c r="EW15" s="1089" t="str">
        <f t="shared" si="235"/>
        <v/>
      </c>
      <c r="EX15" s="1090">
        <f>IF(NOW()&gt;=DATE(YEAR(EU$2),MONTH(EU$2)+1,DAY(EU$2)),SUMIFS(TF_SOTIEN,TF_DA,$C15,TF_THANG,EU$2,TF_KM,$E15)/1000, FA15)</f>
        <v>0</v>
      </c>
      <c r="EY15" s="1089" t="str">
        <f t="shared" si="236"/>
        <v/>
      </c>
      <c r="EZ15" s="1089" t="str">
        <f t="shared" si="237"/>
        <v/>
      </c>
      <c r="FA15" s="1090">
        <f>IF(NOW()&gt;=DATE(YEAR(EU$2),MONTH(EU$2)+1,DAY(EU$2)),SUMIFS(AC_SOTIEN,AC_DA,$C15,AC_THANG,EU$2,AC_KM,$E15),SUMIFS(TF_SOTIEN,TF_DA,$C15,TF_THANG,EU$2,TF_KM,$E15))/ 1000</f>
        <v>0</v>
      </c>
      <c r="FB15" s="1089" t="str">
        <f t="shared" si="238"/>
        <v/>
      </c>
      <c r="FC15" s="1089" t="str">
        <f t="shared" si="239"/>
        <v/>
      </c>
      <c r="FD15" s="1090">
        <f t="shared" si="94"/>
        <v>0</v>
      </c>
      <c r="FE15" s="1091" t="str">
        <f t="shared" si="95"/>
        <v/>
      </c>
      <c r="FF15" s="1090">
        <f t="shared" si="96"/>
        <v>0</v>
      </c>
      <c r="FG15" s="1091" t="str">
        <f t="shared" si="97"/>
        <v/>
      </c>
      <c r="FH15" s="1088">
        <f t="shared" si="240"/>
        <v>0</v>
      </c>
      <c r="FI15" s="1089" t="str">
        <f t="shared" si="241"/>
        <v/>
      </c>
      <c r="FJ15" s="1089" t="str">
        <f t="shared" si="242"/>
        <v/>
      </c>
      <c r="FK15" s="1090">
        <f t="shared" si="243"/>
        <v>0</v>
      </c>
      <c r="FL15" s="1089" t="str">
        <f t="shared" si="244"/>
        <v/>
      </c>
      <c r="FM15" s="1089" t="str">
        <f t="shared" si="245"/>
        <v/>
      </c>
      <c r="FN15" s="1090">
        <f t="shared" si="246"/>
        <v>0</v>
      </c>
      <c r="FO15" s="1089" t="str">
        <f t="shared" si="247"/>
        <v/>
      </c>
      <c r="FP15" s="1089" t="str">
        <f t="shared" si="248"/>
        <v/>
      </c>
      <c r="FQ15" s="1090">
        <f t="shared" si="104"/>
        <v>0</v>
      </c>
      <c r="FR15" s="1091" t="str">
        <f t="shared" si="105"/>
        <v/>
      </c>
      <c r="FS15" s="1090">
        <f t="shared" si="106"/>
        <v>0</v>
      </c>
      <c r="FT15" s="1091" t="str">
        <f t="shared" si="107"/>
        <v/>
      </c>
      <c r="FU15" s="1088">
        <f>SUMIFS(BP_SOTIEN,BP_DA,$C15,BP_THANG,FU$2,BP_KM,$E15)/1000</f>
        <v>0</v>
      </c>
      <c r="FV15" s="1089" t="str">
        <f t="shared" si="249"/>
        <v/>
      </c>
      <c r="FW15" s="1089" t="str">
        <f t="shared" si="250"/>
        <v/>
      </c>
      <c r="FX15" s="1090">
        <f>IF(NOW()&gt;=DATE(YEAR(FU$2),MONTH(FU$2)+1,DAY(FU$2)),SUMIFS(TF_SOTIEN,TF_DA,$C15,TF_THANG,FU$2,TF_KM,$E15)/1000, GA15)</f>
        <v>0</v>
      </c>
      <c r="FY15" s="1089" t="str">
        <f t="shared" si="251"/>
        <v/>
      </c>
      <c r="FZ15" s="1089" t="str">
        <f t="shared" si="252"/>
        <v/>
      </c>
      <c r="GA15" s="1090">
        <f>IF(NOW()&gt;=DATE(YEAR(FU$2),MONTH(FU$2)+1,DAY(FU$2)),SUMIFS(AC_SOTIEN,AC_DA,$C15,AC_THANG,FU$2,AC_KM,$E15),SUMIFS(TF_SOTIEN,TF_DA,$C15,TF_THANG,FU$2,TF_KM,$E15))/ 1000</f>
        <v>0</v>
      </c>
      <c r="GB15" s="1089" t="str">
        <f t="shared" si="253"/>
        <v/>
      </c>
      <c r="GC15" s="1089" t="str">
        <f t="shared" si="254"/>
        <v/>
      </c>
      <c r="GD15" s="1090">
        <f t="shared" si="111"/>
        <v>0</v>
      </c>
      <c r="GE15" s="1091" t="str">
        <f t="shared" si="112"/>
        <v/>
      </c>
      <c r="GF15" s="1090">
        <f t="shared" si="113"/>
        <v>0</v>
      </c>
      <c r="GG15" s="1091" t="str">
        <f t="shared" si="114"/>
        <v/>
      </c>
      <c r="GH15" s="1088">
        <f>SUMIFS(BP_SOTIEN,BP_DA,$C15,BP_THANG,GH$2,BP_KM,$E15)/1000</f>
        <v>0</v>
      </c>
      <c r="GI15" s="1089" t="str">
        <f t="shared" si="255"/>
        <v/>
      </c>
      <c r="GJ15" s="1089" t="str">
        <f t="shared" si="256"/>
        <v/>
      </c>
      <c r="GK15" s="1090">
        <f>IF(NOW()&gt;=DATE(YEAR(GH$2),MONTH(GH$2)+1,DAY(GH$2)),SUMIFS(TF_SOTIEN,TF_DA,$C15,TF_THANG,GH$2,TF_KM,$E15)/1000, GN15)</f>
        <v>0</v>
      </c>
      <c r="GL15" s="1089" t="str">
        <f t="shared" si="257"/>
        <v/>
      </c>
      <c r="GM15" s="1089" t="str">
        <f t="shared" si="258"/>
        <v/>
      </c>
      <c r="GN15" s="1090">
        <f>IF(NOW()&gt;=DATE(YEAR(GH$2),MONTH(GH$2)+1,DAY(GH$2)),SUMIFS(AC_SOTIEN,AC_DA,$C15,AC_THANG,GH$2,AC_KM,$E15),SUMIFS(TF_SOTIEN,TF_DA,$C15,TF_THANG,GH$2,TF_KM,$E15))/ 1000</f>
        <v>0</v>
      </c>
      <c r="GO15" s="1089" t="str">
        <f t="shared" si="259"/>
        <v/>
      </c>
      <c r="GP15" s="1089" t="str">
        <f t="shared" si="260"/>
        <v/>
      </c>
      <c r="GQ15" s="1090">
        <f t="shared" si="118"/>
        <v>0</v>
      </c>
      <c r="GR15" s="1091" t="str">
        <f t="shared" si="119"/>
        <v/>
      </c>
      <c r="GS15" s="1090">
        <f t="shared" si="120"/>
        <v>0</v>
      </c>
      <c r="GT15" s="1091" t="str">
        <f t="shared" si="121"/>
        <v/>
      </c>
      <c r="GU15" s="1088">
        <f>SUMIFS(BP_SOTIEN,BP_DA,$C15,BP_THANG,GU$2,BP_KM,$E15)/1000</f>
        <v>0</v>
      </c>
      <c r="GV15" s="1089" t="str">
        <f t="shared" si="261"/>
        <v/>
      </c>
      <c r="GW15" s="1089" t="str">
        <f t="shared" si="262"/>
        <v/>
      </c>
      <c r="GX15" s="1090">
        <f>IF(NOW()&gt;=DATE(YEAR(GU$2),MONTH(GU$2)+1,DAY(GU$2)),SUMIFS(TF_SOTIEN,TF_DA,$C15,TF_THANG,GU$2,TF_KM,$E15)/1000, HA15)</f>
        <v>0</v>
      </c>
      <c r="GY15" s="1089" t="str">
        <f t="shared" si="263"/>
        <v/>
      </c>
      <c r="GZ15" s="1089" t="str">
        <f t="shared" si="264"/>
        <v/>
      </c>
      <c r="HA15" s="1090">
        <f>IF(NOW()&gt;=DATE(YEAR(GU$2),MONTH(GU$2)+1,DAY(GU$2)),SUMIFS(AC_SOTIEN,AC_DA,$C15,AC_THANG,GU$2,AC_KM,$E15),SUMIFS(TF_SOTIEN,TF_DA,$C15,TF_THANG,GU$2,TF_KM,$E15))/ 1000</f>
        <v>0</v>
      </c>
      <c r="HB15" s="1089" t="str">
        <f t="shared" si="265"/>
        <v/>
      </c>
      <c r="HC15" s="1089" t="str">
        <f t="shared" si="266"/>
        <v/>
      </c>
      <c r="HD15" s="1090">
        <f t="shared" si="125"/>
        <v>0</v>
      </c>
      <c r="HE15" s="1091" t="str">
        <f t="shared" si="126"/>
        <v/>
      </c>
      <c r="HF15" s="1090">
        <f t="shared" si="127"/>
        <v>0</v>
      </c>
      <c r="HG15" s="1091" t="str">
        <f t="shared" si="128"/>
        <v/>
      </c>
      <c r="HH15" s="1088">
        <f t="shared" si="267"/>
        <v>0</v>
      </c>
      <c r="HI15" s="1089" t="str">
        <f t="shared" si="268"/>
        <v/>
      </c>
      <c r="HJ15" s="1089" t="str">
        <f t="shared" si="269"/>
        <v/>
      </c>
      <c r="HK15" s="1090">
        <f t="shared" si="270"/>
        <v>0</v>
      </c>
      <c r="HL15" s="1089" t="str">
        <f t="shared" si="271"/>
        <v/>
      </c>
      <c r="HM15" s="1089" t="str">
        <f t="shared" si="272"/>
        <v/>
      </c>
      <c r="HN15" s="1090">
        <f t="shared" si="273"/>
        <v>0</v>
      </c>
      <c r="HO15" s="1089" t="str">
        <f t="shared" si="274"/>
        <v/>
      </c>
      <c r="HP15" s="1089" t="str">
        <f t="shared" si="275"/>
        <v/>
      </c>
      <c r="HQ15" s="1090">
        <f t="shared" si="135"/>
        <v>0</v>
      </c>
      <c r="HR15" s="1091" t="str">
        <f t="shared" si="136"/>
        <v/>
      </c>
      <c r="HS15" s="1090">
        <f t="shared" si="137"/>
        <v>0</v>
      </c>
      <c r="HT15" s="1091" t="str">
        <f t="shared" si="138"/>
        <v/>
      </c>
      <c r="HU15" s="1088">
        <f t="shared" si="276"/>
        <v>0</v>
      </c>
      <c r="HV15" s="1089" t="str">
        <f t="shared" si="277"/>
        <v/>
      </c>
      <c r="HW15" s="1089" t="str">
        <f t="shared" si="278"/>
        <v/>
      </c>
      <c r="HX15" s="1090">
        <f t="shared" si="279"/>
        <v>0</v>
      </c>
      <c r="HY15" s="1089" t="str">
        <f t="shared" si="280"/>
        <v/>
      </c>
      <c r="HZ15" s="1089" t="str">
        <f t="shared" si="281"/>
        <v/>
      </c>
      <c r="IA15" s="1090">
        <f t="shared" si="282"/>
        <v>0</v>
      </c>
      <c r="IB15" s="1089" t="str">
        <f t="shared" si="283"/>
        <v/>
      </c>
      <c r="IC15" s="1089" t="str">
        <f t="shared" si="284"/>
        <v/>
      </c>
      <c r="ID15" s="1090">
        <f t="shared" si="145"/>
        <v>0</v>
      </c>
      <c r="IE15" s="1091" t="str">
        <f t="shared" si="146"/>
        <v/>
      </c>
      <c r="IF15" s="1090">
        <f t="shared" si="147"/>
        <v>0</v>
      </c>
      <c r="IG15" s="1091" t="str">
        <f t="shared" si="148"/>
        <v/>
      </c>
      <c r="IH15" s="1088">
        <f t="shared" si="285"/>
        <v>0</v>
      </c>
      <c r="II15" s="1089" t="str">
        <f t="shared" si="286"/>
        <v/>
      </c>
      <c r="IJ15" s="1089" t="str">
        <f t="shared" si="287"/>
        <v/>
      </c>
      <c r="IK15" s="1090">
        <f t="shared" si="288"/>
        <v>0</v>
      </c>
      <c r="IL15" s="1089" t="str">
        <f t="shared" si="289"/>
        <v/>
      </c>
      <c r="IM15" s="1089" t="str">
        <f t="shared" si="290"/>
        <v/>
      </c>
      <c r="IN15" s="1090">
        <f t="shared" si="291"/>
        <v>0</v>
      </c>
      <c r="IO15" s="1089" t="str">
        <f t="shared" si="292"/>
        <v/>
      </c>
      <c r="IP15" s="1089">
        <f t="shared" si="293"/>
        <v>0</v>
      </c>
      <c r="IQ15" s="1090">
        <f t="shared" si="155"/>
        <v>0</v>
      </c>
      <c r="IR15" s="1091" t="str">
        <f t="shared" si="1"/>
        <v/>
      </c>
      <c r="IS15" s="1090">
        <f t="shared" si="156"/>
        <v>0</v>
      </c>
      <c r="IT15" s="1091" t="str">
        <f t="shared" si="2"/>
        <v/>
      </c>
    </row>
    <row r="16">
      <c r="A16" s="1086">
        <f t="shared" si="157"/>
        <v>3</v>
      </c>
      <c r="B16" s="1087" t="s">
        <v>2068</v>
      </c>
      <c r="C16" s="656" t="s">
        <v>183</v>
      </c>
      <c r="D16" s="1087" t="str">
        <f t="shared" si="158"/>
        <v>VY</v>
      </c>
      <c r="E16" s="1087" t="s">
        <v>187</v>
      </c>
      <c r="F16" s="1087"/>
      <c r="G16" s="1086">
        <v>2.0</v>
      </c>
      <c r="H16" s="1088">
        <f>SUMIFS(BP_SOTIEN,BP_DOI,$C16,BP_THANG,H$2,BP_KM,$E16)/1000</f>
        <v>0</v>
      </c>
      <c r="I16" s="1089" t="str">
        <f t="shared" si="159"/>
        <v/>
      </c>
      <c r="J16" s="1089" t="str">
        <f t="shared" si="160"/>
        <v/>
      </c>
      <c r="K16" s="1090">
        <f>IF(NOW()&gt;=DATE(YEAR(H$2),MONTH(H$2)+1,DAY(H$2)),SUMIFS(TF_SOTIEN,TF_DOI,$C16,TF_THANG,H$2,TF_KM,$E16)/1000, N16)</f>
        <v>0</v>
      </c>
      <c r="L16" s="1089" t="str">
        <f t="shared" si="161"/>
        <v/>
      </c>
      <c r="M16" s="1089" t="str">
        <f t="shared" si="162"/>
        <v/>
      </c>
      <c r="N16" s="1090">
        <f>IF(NOW()&gt;=DATE(YEAR(H$2),MONTH(H$2)+1,DAY(H$2)),SUMIFS(AC_SOTIEN,AC_DOI,$C16,AC_THANG,H$2,AC_KM,$E16),SUMIFS(TF_SOTIEN,TF_DOI,$C16,TF_THANG,H$2,TF_KM,$E16))/ 1000</f>
        <v>160000</v>
      </c>
      <c r="O16" s="1089">
        <f t="shared" si="163"/>
        <v>0.09142857143</v>
      </c>
      <c r="P16" s="1089">
        <f t="shared" si="164"/>
        <v>0.4705882353</v>
      </c>
      <c r="Q16" s="1090">
        <f t="shared" si="8"/>
        <v>160000</v>
      </c>
      <c r="R16" s="1091" t="str">
        <f t="shared" si="9"/>
        <v/>
      </c>
      <c r="S16" s="1090">
        <f t="shared" si="10"/>
        <v>160000</v>
      </c>
      <c r="T16" s="1091" t="str">
        <f t="shared" si="11"/>
        <v/>
      </c>
      <c r="U16" s="1088">
        <f>SUMIFS(BP_SOTIEN,BP_DA,$C16,BP_THANG,U$2,BP_KM,$E16)/1000</f>
        <v>0</v>
      </c>
      <c r="V16" s="1089" t="str">
        <f t="shared" si="165"/>
        <v/>
      </c>
      <c r="W16" s="1089" t="str">
        <f t="shared" si="166"/>
        <v/>
      </c>
      <c r="X16" s="1090">
        <f>IF(NOW()&gt;=DATE(YEAR(U$2),MONTH(U$2)+1,DAY(U$2)),SUMIFS(TF_SOTIEN,TF_DA,$C16,TF_THANG,U$2,TF_KM,$E16)/1000, AA16)</f>
        <v>0</v>
      </c>
      <c r="Y16" s="1089" t="str">
        <f t="shared" si="167"/>
        <v/>
      </c>
      <c r="Z16" s="1089" t="str">
        <f t="shared" si="168"/>
        <v/>
      </c>
      <c r="AA16" s="1090">
        <f>IF(NOW()&gt;=DATE(YEAR(U$2),MONTH(U$2)+1,DAY(U$2)),SUMIFS(AC_SOTIEN,AC_DA,$C16,AC_THANG,U$2,AC_KM,$E16),SUMIFS(TF_SOTIEN,TF_DA,$C16,TF_THANG,U$2,TF_KM,$E16))/ 1000</f>
        <v>0</v>
      </c>
      <c r="AB16" s="1089" t="str">
        <f t="shared" si="169"/>
        <v/>
      </c>
      <c r="AC16" s="1089" t="str">
        <f t="shared" si="170"/>
        <v/>
      </c>
      <c r="AD16" s="1090">
        <f t="shared" si="15"/>
        <v>0</v>
      </c>
      <c r="AE16" s="1091" t="str">
        <f t="shared" si="16"/>
        <v/>
      </c>
      <c r="AF16" s="1090">
        <f t="shared" si="17"/>
        <v>0</v>
      </c>
      <c r="AG16" s="1091" t="str">
        <f t="shared" si="18"/>
        <v/>
      </c>
      <c r="AH16" s="1088">
        <f>SUMIFS(BP_SOTIEN,BP_DA,$C16,BP_THANG,AH$2,BP_KM,$E16)/1000</f>
        <v>0</v>
      </c>
      <c r="AI16" s="1089" t="str">
        <f t="shared" si="171"/>
        <v/>
      </c>
      <c r="AJ16" s="1089" t="str">
        <f t="shared" si="172"/>
        <v/>
      </c>
      <c r="AK16" s="1090">
        <f>IF(NOW()&gt;=DATE(YEAR(AH$2),MONTH(AH$2)+1,DAY(AH$2)),SUMIFS(TF_SOTIEN,TF_DA,$C16,TF_THANG,AH$2,TF_KM,$E16)/1000, AN16)</f>
        <v>0</v>
      </c>
      <c r="AL16" s="1089" t="str">
        <f t="shared" si="173"/>
        <v/>
      </c>
      <c r="AM16" s="1089" t="str">
        <f t="shared" si="174"/>
        <v/>
      </c>
      <c r="AN16" s="1090">
        <f>IF(NOW()&gt;=DATE(YEAR(AH$2),MONTH(AH$2)+1,DAY(AH$2)),SUMIFS(AC_SOTIEN,AC_DA,$C16,AC_THANG,AH$2,AC_KM,$E16),SUMIFS(TF_SOTIEN,TF_DA,$C16,TF_THANG,AH$2,TF_KM,$E16))/ 1000</f>
        <v>0</v>
      </c>
      <c r="AO16" s="1089" t="str">
        <f t="shared" si="175"/>
        <v/>
      </c>
      <c r="AP16" s="1089" t="str">
        <f t="shared" si="176"/>
        <v/>
      </c>
      <c r="AQ16" s="1090">
        <f t="shared" si="22"/>
        <v>0</v>
      </c>
      <c r="AR16" s="1091" t="str">
        <f t="shared" si="23"/>
        <v/>
      </c>
      <c r="AS16" s="1090">
        <f t="shared" si="24"/>
        <v>0</v>
      </c>
      <c r="AT16" s="1091" t="str">
        <f t="shared" si="25"/>
        <v/>
      </c>
      <c r="AU16" s="1088">
        <f t="shared" si="177"/>
        <v>0</v>
      </c>
      <c r="AV16" s="1089" t="str">
        <f t="shared" si="178"/>
        <v/>
      </c>
      <c r="AW16" s="1089" t="str">
        <f t="shared" si="179"/>
        <v/>
      </c>
      <c r="AX16" s="1090">
        <f t="shared" si="180"/>
        <v>0</v>
      </c>
      <c r="AY16" s="1089" t="str">
        <f t="shared" si="181"/>
        <v/>
      </c>
      <c r="AZ16" s="1089" t="str">
        <f t="shared" si="182"/>
        <v/>
      </c>
      <c r="BA16" s="1090">
        <f t="shared" si="183"/>
        <v>160000</v>
      </c>
      <c r="BB16" s="1089">
        <f t="shared" si="184"/>
        <v>0.09142857143</v>
      </c>
      <c r="BC16" s="1089">
        <f t="shared" si="185"/>
        <v>0.4705882353</v>
      </c>
      <c r="BD16" s="1090">
        <f t="shared" si="32"/>
        <v>160000</v>
      </c>
      <c r="BE16" s="1091" t="str">
        <f t="shared" si="33"/>
        <v/>
      </c>
      <c r="BF16" s="1090">
        <f t="shared" si="34"/>
        <v>160000</v>
      </c>
      <c r="BG16" s="1091" t="str">
        <f t="shared" si="35"/>
        <v/>
      </c>
      <c r="BH16" s="1088">
        <f>SUMIFS(BP_SOTIEN,BP_DA,$C16,BP_THANG,BH$2,BP_KM,$E16)/1000</f>
        <v>0</v>
      </c>
      <c r="BI16" s="1089" t="str">
        <f t="shared" si="186"/>
        <v/>
      </c>
      <c r="BJ16" s="1089" t="str">
        <f t="shared" si="187"/>
        <v/>
      </c>
      <c r="BK16" s="1090">
        <f>IF(NOW()&gt;=DATE(YEAR(BH$2),MONTH(BH$2)+1,DAY(BH$2)),SUMIFS(TF_SOTIEN,TF_DA,$C16,TF_THANG,BH$2,TF_KM,$E16)/1000, BN16)</f>
        <v>0</v>
      </c>
      <c r="BL16" s="1089" t="str">
        <f t="shared" si="188"/>
        <v/>
      </c>
      <c r="BM16" s="1089" t="str">
        <f t="shared" si="189"/>
        <v/>
      </c>
      <c r="BN16" s="1090">
        <f>IF(NOW()&gt;=DATE(YEAR(BH$2),MONTH(BH$2)+1,DAY(BH$2)),SUMIFS(AC_SOTIEN,AC_DA,$C16,AC_THANG,BH$2,AC_KM,$E16),SUMIFS(TF_SOTIEN,TF_DA,$C16,TF_THANG,BH$2,TF_KM,$E16))/ 1000</f>
        <v>0</v>
      </c>
      <c r="BO16" s="1089" t="str">
        <f t="shared" si="190"/>
        <v/>
      </c>
      <c r="BP16" s="1089" t="str">
        <f t="shared" si="191"/>
        <v/>
      </c>
      <c r="BQ16" s="1090">
        <f t="shared" si="39"/>
        <v>0</v>
      </c>
      <c r="BR16" s="1091" t="str">
        <f t="shared" si="40"/>
        <v/>
      </c>
      <c r="BS16" s="1090">
        <f t="shared" si="41"/>
        <v>0</v>
      </c>
      <c r="BT16" s="1091" t="str">
        <f t="shared" si="42"/>
        <v/>
      </c>
      <c r="BU16" s="1088">
        <f>SUMIFS(BP_SOTIEN,BP_DA,$C16,BP_THANG,BU$2,BP_KM,$E16)/1000</f>
        <v>0</v>
      </c>
      <c r="BV16" s="1089" t="str">
        <f t="shared" si="192"/>
        <v/>
      </c>
      <c r="BW16" s="1089" t="str">
        <f t="shared" si="193"/>
        <v/>
      </c>
      <c r="BX16" s="1090">
        <f>IF(NOW()&gt;=DATE(YEAR(BU$2),MONTH(BU$2)+1,DAY(BU$2)),SUMIFS(TF_SOTIEN,TF_DA,$C16,TF_THANG,BU$2,TF_KM,$E16)/1000, CA16)</f>
        <v>0</v>
      </c>
      <c r="BY16" s="1089" t="str">
        <f t="shared" si="194"/>
        <v/>
      </c>
      <c r="BZ16" s="1089" t="str">
        <f t="shared" si="195"/>
        <v/>
      </c>
      <c r="CA16" s="1090">
        <f>IF(NOW()&gt;=DATE(YEAR(BU$2),MONTH(BU$2)+1,DAY(BU$2)),SUMIFS(AC_SOTIEN,AC_DA,$C16,AC_THANG,BU$2,AC_KM,$E16),SUMIFS(TF_SOTIEN,TF_DA,$C16,TF_THANG,BU$2,TF_KM,$E16))/ 1000</f>
        <v>0</v>
      </c>
      <c r="CB16" s="1089" t="str">
        <f t="shared" si="196"/>
        <v/>
      </c>
      <c r="CC16" s="1089" t="str">
        <f t="shared" si="197"/>
        <v/>
      </c>
      <c r="CD16" s="1090">
        <f t="shared" si="46"/>
        <v>0</v>
      </c>
      <c r="CE16" s="1091" t="str">
        <f t="shared" si="47"/>
        <v/>
      </c>
      <c r="CF16" s="1090">
        <f t="shared" si="48"/>
        <v>0</v>
      </c>
      <c r="CG16" s="1091" t="str">
        <f t="shared" si="49"/>
        <v/>
      </c>
      <c r="CH16" s="1088">
        <f>SUMIFS(BP_SOTIEN,BP_DA,$C16,BP_THANG,CH$2,BP_KM,$E16)/1000</f>
        <v>0</v>
      </c>
      <c r="CI16" s="1089" t="str">
        <f t="shared" si="198"/>
        <v/>
      </c>
      <c r="CJ16" s="1089" t="str">
        <f t="shared" si="199"/>
        <v/>
      </c>
      <c r="CK16" s="1090">
        <f>IF(NOW()&gt;=DATE(YEAR(CH$2),MONTH(CH$2)+1,DAY(CH$2)),SUMIFS(TF_SOTIEN,TF_DA,$C16,TF_THANG,CH$2,TF_KM,$E16)/1000, CN16)</f>
        <v>0</v>
      </c>
      <c r="CL16" s="1089" t="str">
        <f t="shared" si="200"/>
        <v/>
      </c>
      <c r="CM16" s="1089" t="str">
        <f t="shared" si="201"/>
        <v/>
      </c>
      <c r="CN16" s="1090">
        <f>IF(NOW()&gt;=DATE(YEAR(CH$2),MONTH(CH$2)+1,DAY(CH$2)),SUMIFS(AC_SOTIEN,AC_DA,$C16,AC_THANG,CH$2,AC_KM,$E16),SUMIFS(TF_SOTIEN,TF_DA,$C16,TF_THANG,CH$2,TF_KM,$E16))/ 1000</f>
        <v>0</v>
      </c>
      <c r="CO16" s="1089" t="str">
        <f t="shared" si="202"/>
        <v/>
      </c>
      <c r="CP16" s="1089" t="str">
        <f t="shared" si="203"/>
        <v/>
      </c>
      <c r="CQ16" s="1090">
        <f t="shared" si="53"/>
        <v>0</v>
      </c>
      <c r="CR16" s="1091" t="str">
        <f t="shared" si="54"/>
        <v/>
      </c>
      <c r="CS16" s="1090">
        <f t="shared" si="55"/>
        <v>0</v>
      </c>
      <c r="CT16" s="1091" t="str">
        <f t="shared" si="56"/>
        <v/>
      </c>
      <c r="CU16" s="1088">
        <f t="shared" si="204"/>
        <v>0</v>
      </c>
      <c r="CV16" s="1089" t="str">
        <f t="shared" si="205"/>
        <v/>
      </c>
      <c r="CW16" s="1089" t="str">
        <f t="shared" si="206"/>
        <v/>
      </c>
      <c r="CX16" s="1090">
        <f t="shared" si="207"/>
        <v>0</v>
      </c>
      <c r="CY16" s="1089" t="str">
        <f t="shared" si="208"/>
        <v/>
      </c>
      <c r="CZ16" s="1089" t="str">
        <f t="shared" si="209"/>
        <v/>
      </c>
      <c r="DA16" s="1090">
        <f t="shared" si="210"/>
        <v>0</v>
      </c>
      <c r="DB16" s="1089" t="str">
        <f t="shared" si="211"/>
        <v/>
      </c>
      <c r="DC16" s="1089" t="str">
        <f t="shared" si="212"/>
        <v/>
      </c>
      <c r="DD16" s="1090">
        <f t="shared" si="63"/>
        <v>0</v>
      </c>
      <c r="DE16" s="1091" t="str">
        <f t="shared" si="64"/>
        <v/>
      </c>
      <c r="DF16" s="1090">
        <f t="shared" si="65"/>
        <v>0</v>
      </c>
      <c r="DG16" s="1091" t="str">
        <f t="shared" si="66"/>
        <v/>
      </c>
      <c r="DH16" s="1088">
        <f t="shared" si="213"/>
        <v>0</v>
      </c>
      <c r="DI16" s="1089" t="str">
        <f t="shared" si="214"/>
        <v/>
      </c>
      <c r="DJ16" s="1089" t="str">
        <f t="shared" si="215"/>
        <v/>
      </c>
      <c r="DK16" s="1090">
        <f t="shared" si="216"/>
        <v>0</v>
      </c>
      <c r="DL16" s="1089" t="str">
        <f t="shared" si="217"/>
        <v/>
      </c>
      <c r="DM16" s="1089" t="str">
        <f t="shared" si="218"/>
        <v/>
      </c>
      <c r="DN16" s="1090">
        <f t="shared" si="219"/>
        <v>160000</v>
      </c>
      <c r="DO16" s="1089">
        <f t="shared" si="220"/>
        <v>0.09142857143</v>
      </c>
      <c r="DP16" s="1089">
        <f t="shared" si="221"/>
        <v>0.4705882353</v>
      </c>
      <c r="DQ16" s="1090">
        <f t="shared" si="73"/>
        <v>160000</v>
      </c>
      <c r="DR16" s="1091" t="str">
        <f t="shared" si="74"/>
        <v/>
      </c>
      <c r="DS16" s="1090">
        <f t="shared" si="75"/>
        <v>160000</v>
      </c>
      <c r="DT16" s="1091" t="str">
        <f t="shared" si="76"/>
        <v/>
      </c>
      <c r="DU16" s="1088">
        <f>SUMIFS(BP_SOTIEN,BP_DA,$C16,BP_THANG,DU$2,BP_KM,$E16)/1000</f>
        <v>0</v>
      </c>
      <c r="DV16" s="1089" t="str">
        <f t="shared" si="222"/>
        <v/>
      </c>
      <c r="DW16" s="1089" t="str">
        <f t="shared" si="223"/>
        <v/>
      </c>
      <c r="DX16" s="1090">
        <f>IF(NOW()&gt;=DATE(YEAR(DU$2),MONTH(DU$2)+1,DAY(DU$2)),SUMIFS(TF_SOTIEN,TF_DA,$C16,TF_THANG,DU$2,TF_KM,$E16)/1000, EA16)</f>
        <v>0</v>
      </c>
      <c r="DY16" s="1089" t="str">
        <f t="shared" si="224"/>
        <v/>
      </c>
      <c r="DZ16" s="1089" t="str">
        <f t="shared" si="225"/>
        <v/>
      </c>
      <c r="EA16" s="1090">
        <f>IF(NOW()&gt;=DATE(YEAR(DU$2),MONTH(DU$2)+1,DAY(DU$2)),SUMIFS(AC_SOTIEN,AC_DA,$C16,AC_THANG,DU$2,AC_KM,$E16),SUMIFS(TF_SOTIEN,TF_DA,$C16,TF_THANG,DU$2,TF_KM,$E16))/ 1000</f>
        <v>0</v>
      </c>
      <c r="EB16" s="1089" t="str">
        <f t="shared" si="226"/>
        <v/>
      </c>
      <c r="EC16" s="1089" t="str">
        <f t="shared" si="227"/>
        <v/>
      </c>
      <c r="ED16" s="1090">
        <f t="shared" si="80"/>
        <v>0</v>
      </c>
      <c r="EE16" s="1091" t="str">
        <f t="shared" si="81"/>
        <v/>
      </c>
      <c r="EF16" s="1090">
        <f t="shared" si="82"/>
        <v>0</v>
      </c>
      <c r="EG16" s="1091" t="str">
        <f t="shared" si="83"/>
        <v/>
      </c>
      <c r="EH16" s="1088">
        <f>SUMIFS(BP_SOTIEN,BP_DA,$C16,BP_THANG,EH$2,BP_KM,$E16)/1000</f>
        <v>0</v>
      </c>
      <c r="EI16" s="1089" t="str">
        <f t="shared" si="228"/>
        <v/>
      </c>
      <c r="EJ16" s="1089" t="str">
        <f t="shared" si="229"/>
        <v/>
      </c>
      <c r="EK16" s="1090">
        <f>IF(NOW()&gt;=DATE(YEAR(EH$2),MONTH(EH$2)+1,DAY(EH$2)),SUMIFS(TF_SOTIEN,TF_DA,$C16,TF_THANG,EH$2,TF_KM,$E16)/1000, EN16)</f>
        <v>0</v>
      </c>
      <c r="EL16" s="1089" t="str">
        <f t="shared" si="230"/>
        <v/>
      </c>
      <c r="EM16" s="1089" t="str">
        <f t="shared" si="231"/>
        <v/>
      </c>
      <c r="EN16" s="1090">
        <f>IF(NOW()&gt;=DATE(YEAR(EH$2),MONTH(EH$2)+1,DAY(EH$2)),SUMIFS(AC_SOTIEN,AC_DA,$C16,AC_THANG,EH$2,AC_KM,$E16),SUMIFS(TF_SOTIEN,TF_DA,$C16,TF_THANG,EH$2,TF_KM,$E16))/ 1000</f>
        <v>0</v>
      </c>
      <c r="EO16" s="1089" t="str">
        <f t="shared" si="232"/>
        <v/>
      </c>
      <c r="EP16" s="1089" t="str">
        <f t="shared" si="233"/>
        <v/>
      </c>
      <c r="EQ16" s="1090">
        <f t="shared" si="87"/>
        <v>0</v>
      </c>
      <c r="ER16" s="1091" t="str">
        <f t="shared" si="88"/>
        <v/>
      </c>
      <c r="ES16" s="1090">
        <f t="shared" si="89"/>
        <v>0</v>
      </c>
      <c r="ET16" s="1091" t="str">
        <f t="shared" si="90"/>
        <v/>
      </c>
      <c r="EU16" s="1088">
        <f>SUMIFS(BP_SOTIEN,BP_DA,$C16,BP_THANG,EU$2,BP_KM,$E16)/1000</f>
        <v>0</v>
      </c>
      <c r="EV16" s="1089" t="str">
        <f t="shared" si="234"/>
        <v/>
      </c>
      <c r="EW16" s="1089" t="str">
        <f t="shared" si="235"/>
        <v/>
      </c>
      <c r="EX16" s="1090">
        <f>IF(NOW()&gt;=DATE(YEAR(EU$2),MONTH(EU$2)+1,DAY(EU$2)),SUMIFS(TF_SOTIEN,TF_DA,$C16,TF_THANG,EU$2,TF_KM,$E16)/1000, FA16)</f>
        <v>0</v>
      </c>
      <c r="EY16" s="1089" t="str">
        <f t="shared" si="236"/>
        <v/>
      </c>
      <c r="EZ16" s="1089" t="str">
        <f t="shared" si="237"/>
        <v/>
      </c>
      <c r="FA16" s="1090">
        <f>IF(NOW()&gt;=DATE(YEAR(EU$2),MONTH(EU$2)+1,DAY(EU$2)),SUMIFS(AC_SOTIEN,AC_DA,$C16,AC_THANG,EU$2,AC_KM,$E16),SUMIFS(TF_SOTIEN,TF_DA,$C16,TF_THANG,EU$2,TF_KM,$E16))/ 1000</f>
        <v>0</v>
      </c>
      <c r="FB16" s="1089" t="str">
        <f t="shared" si="238"/>
        <v/>
      </c>
      <c r="FC16" s="1089" t="str">
        <f t="shared" si="239"/>
        <v/>
      </c>
      <c r="FD16" s="1090">
        <f t="shared" si="94"/>
        <v>0</v>
      </c>
      <c r="FE16" s="1091" t="str">
        <f t="shared" si="95"/>
        <v/>
      </c>
      <c r="FF16" s="1090">
        <f t="shared" si="96"/>
        <v>0</v>
      </c>
      <c r="FG16" s="1091" t="str">
        <f t="shared" si="97"/>
        <v/>
      </c>
      <c r="FH16" s="1088">
        <f t="shared" si="240"/>
        <v>0</v>
      </c>
      <c r="FI16" s="1089" t="str">
        <f t="shared" si="241"/>
        <v/>
      </c>
      <c r="FJ16" s="1089" t="str">
        <f t="shared" si="242"/>
        <v/>
      </c>
      <c r="FK16" s="1090">
        <f t="shared" si="243"/>
        <v>0</v>
      </c>
      <c r="FL16" s="1089" t="str">
        <f t="shared" si="244"/>
        <v/>
      </c>
      <c r="FM16" s="1089" t="str">
        <f t="shared" si="245"/>
        <v/>
      </c>
      <c r="FN16" s="1090">
        <f t="shared" si="246"/>
        <v>0</v>
      </c>
      <c r="FO16" s="1089" t="str">
        <f t="shared" si="247"/>
        <v/>
      </c>
      <c r="FP16" s="1089" t="str">
        <f t="shared" si="248"/>
        <v/>
      </c>
      <c r="FQ16" s="1090">
        <f t="shared" si="104"/>
        <v>0</v>
      </c>
      <c r="FR16" s="1091" t="str">
        <f t="shared" si="105"/>
        <v/>
      </c>
      <c r="FS16" s="1090">
        <f t="shared" si="106"/>
        <v>0</v>
      </c>
      <c r="FT16" s="1091" t="str">
        <f t="shared" si="107"/>
        <v/>
      </c>
      <c r="FU16" s="1088">
        <f>SUMIFS(BP_SOTIEN,BP_DA,$C16,BP_THANG,FU$2,BP_KM,$E16)/1000</f>
        <v>0</v>
      </c>
      <c r="FV16" s="1089" t="str">
        <f t="shared" si="249"/>
        <v/>
      </c>
      <c r="FW16" s="1089" t="str">
        <f t="shared" si="250"/>
        <v/>
      </c>
      <c r="FX16" s="1090">
        <f>IF(NOW()&gt;=DATE(YEAR(FU$2),MONTH(FU$2)+1,DAY(FU$2)),SUMIFS(TF_SOTIEN,TF_DA,$C16,TF_THANG,FU$2,TF_KM,$E16)/1000, GA16)</f>
        <v>0</v>
      </c>
      <c r="FY16" s="1089" t="str">
        <f t="shared" si="251"/>
        <v/>
      </c>
      <c r="FZ16" s="1089" t="str">
        <f t="shared" si="252"/>
        <v/>
      </c>
      <c r="GA16" s="1090">
        <f>IF(NOW()&gt;=DATE(YEAR(FU$2),MONTH(FU$2)+1,DAY(FU$2)),SUMIFS(AC_SOTIEN,AC_DA,$C16,AC_THANG,FU$2,AC_KM,$E16),SUMIFS(TF_SOTIEN,TF_DA,$C16,TF_THANG,FU$2,TF_KM,$E16))/ 1000</f>
        <v>0</v>
      </c>
      <c r="GB16" s="1089" t="str">
        <f t="shared" si="253"/>
        <v/>
      </c>
      <c r="GC16" s="1089" t="str">
        <f t="shared" si="254"/>
        <v/>
      </c>
      <c r="GD16" s="1090">
        <f t="shared" si="111"/>
        <v>0</v>
      </c>
      <c r="GE16" s="1091" t="str">
        <f t="shared" si="112"/>
        <v/>
      </c>
      <c r="GF16" s="1090">
        <f t="shared" si="113"/>
        <v>0</v>
      </c>
      <c r="GG16" s="1091" t="str">
        <f t="shared" si="114"/>
        <v/>
      </c>
      <c r="GH16" s="1088">
        <f>SUMIFS(BP_SOTIEN,BP_DA,$C16,BP_THANG,GH$2,BP_KM,$E16)/1000</f>
        <v>0</v>
      </c>
      <c r="GI16" s="1089" t="str">
        <f t="shared" si="255"/>
        <v/>
      </c>
      <c r="GJ16" s="1089" t="str">
        <f t="shared" si="256"/>
        <v/>
      </c>
      <c r="GK16" s="1090">
        <f>IF(NOW()&gt;=DATE(YEAR(GH$2),MONTH(GH$2)+1,DAY(GH$2)),SUMIFS(TF_SOTIEN,TF_DA,$C16,TF_THANG,GH$2,TF_KM,$E16)/1000, GN16)</f>
        <v>0</v>
      </c>
      <c r="GL16" s="1089" t="str">
        <f t="shared" si="257"/>
        <v/>
      </c>
      <c r="GM16" s="1089" t="str">
        <f t="shared" si="258"/>
        <v/>
      </c>
      <c r="GN16" s="1090">
        <f>IF(NOW()&gt;=DATE(YEAR(GH$2),MONTH(GH$2)+1,DAY(GH$2)),SUMIFS(AC_SOTIEN,AC_DA,$C16,AC_THANG,GH$2,AC_KM,$E16),SUMIFS(TF_SOTIEN,TF_DA,$C16,TF_THANG,GH$2,TF_KM,$E16))/ 1000</f>
        <v>0</v>
      </c>
      <c r="GO16" s="1089" t="str">
        <f t="shared" si="259"/>
        <v/>
      </c>
      <c r="GP16" s="1089" t="str">
        <f t="shared" si="260"/>
        <v/>
      </c>
      <c r="GQ16" s="1090">
        <f t="shared" si="118"/>
        <v>0</v>
      </c>
      <c r="GR16" s="1091" t="str">
        <f t="shared" si="119"/>
        <v/>
      </c>
      <c r="GS16" s="1090">
        <f t="shared" si="120"/>
        <v>0</v>
      </c>
      <c r="GT16" s="1091" t="str">
        <f t="shared" si="121"/>
        <v/>
      </c>
      <c r="GU16" s="1088">
        <f>SUMIFS(BP_SOTIEN,BP_DA,$C16,BP_THANG,GU$2,BP_KM,$E16)/1000</f>
        <v>0</v>
      </c>
      <c r="GV16" s="1089" t="str">
        <f t="shared" si="261"/>
        <v/>
      </c>
      <c r="GW16" s="1089" t="str">
        <f t="shared" si="262"/>
        <v/>
      </c>
      <c r="GX16" s="1090">
        <f>IF(NOW()&gt;=DATE(YEAR(GU$2),MONTH(GU$2)+1,DAY(GU$2)),SUMIFS(TF_SOTIEN,TF_DA,$C16,TF_THANG,GU$2,TF_KM,$E16)/1000, HA16)</f>
        <v>0</v>
      </c>
      <c r="GY16" s="1089" t="str">
        <f t="shared" si="263"/>
        <v/>
      </c>
      <c r="GZ16" s="1089" t="str">
        <f t="shared" si="264"/>
        <v/>
      </c>
      <c r="HA16" s="1090">
        <f>IF(NOW()&gt;=DATE(YEAR(GU$2),MONTH(GU$2)+1,DAY(GU$2)),SUMIFS(AC_SOTIEN,AC_DA,$C16,AC_THANG,GU$2,AC_KM,$E16),SUMIFS(TF_SOTIEN,TF_DA,$C16,TF_THANG,GU$2,TF_KM,$E16))/ 1000</f>
        <v>0</v>
      </c>
      <c r="HB16" s="1089" t="str">
        <f t="shared" si="265"/>
        <v/>
      </c>
      <c r="HC16" s="1089" t="str">
        <f t="shared" si="266"/>
        <v/>
      </c>
      <c r="HD16" s="1090">
        <f t="shared" si="125"/>
        <v>0</v>
      </c>
      <c r="HE16" s="1091" t="str">
        <f t="shared" si="126"/>
        <v/>
      </c>
      <c r="HF16" s="1090">
        <f t="shared" si="127"/>
        <v>0</v>
      </c>
      <c r="HG16" s="1091" t="str">
        <f t="shared" si="128"/>
        <v/>
      </c>
      <c r="HH16" s="1088">
        <f t="shared" si="267"/>
        <v>0</v>
      </c>
      <c r="HI16" s="1089" t="str">
        <f t="shared" si="268"/>
        <v/>
      </c>
      <c r="HJ16" s="1089" t="str">
        <f t="shared" si="269"/>
        <v/>
      </c>
      <c r="HK16" s="1090">
        <f t="shared" si="270"/>
        <v>0</v>
      </c>
      <c r="HL16" s="1089" t="str">
        <f t="shared" si="271"/>
        <v/>
      </c>
      <c r="HM16" s="1089" t="str">
        <f t="shared" si="272"/>
        <v/>
      </c>
      <c r="HN16" s="1090">
        <f t="shared" si="273"/>
        <v>0</v>
      </c>
      <c r="HO16" s="1089" t="str">
        <f t="shared" si="274"/>
        <v/>
      </c>
      <c r="HP16" s="1089" t="str">
        <f t="shared" si="275"/>
        <v/>
      </c>
      <c r="HQ16" s="1090">
        <f t="shared" si="135"/>
        <v>0</v>
      </c>
      <c r="HR16" s="1091" t="str">
        <f t="shared" si="136"/>
        <v/>
      </c>
      <c r="HS16" s="1090">
        <f t="shared" si="137"/>
        <v>0</v>
      </c>
      <c r="HT16" s="1091" t="str">
        <f t="shared" si="138"/>
        <v/>
      </c>
      <c r="HU16" s="1088">
        <f t="shared" si="276"/>
        <v>0</v>
      </c>
      <c r="HV16" s="1089" t="str">
        <f t="shared" si="277"/>
        <v/>
      </c>
      <c r="HW16" s="1089" t="str">
        <f t="shared" si="278"/>
        <v/>
      </c>
      <c r="HX16" s="1090">
        <f t="shared" si="279"/>
        <v>0</v>
      </c>
      <c r="HY16" s="1089" t="str">
        <f t="shared" si="280"/>
        <v/>
      </c>
      <c r="HZ16" s="1089" t="str">
        <f t="shared" si="281"/>
        <v/>
      </c>
      <c r="IA16" s="1090">
        <f t="shared" si="282"/>
        <v>0</v>
      </c>
      <c r="IB16" s="1089" t="str">
        <f t="shared" si="283"/>
        <v/>
      </c>
      <c r="IC16" s="1089" t="str">
        <f t="shared" si="284"/>
        <v/>
      </c>
      <c r="ID16" s="1090">
        <f t="shared" si="145"/>
        <v>0</v>
      </c>
      <c r="IE16" s="1091" t="str">
        <f t="shared" si="146"/>
        <v/>
      </c>
      <c r="IF16" s="1090">
        <f t="shared" si="147"/>
        <v>0</v>
      </c>
      <c r="IG16" s="1091" t="str">
        <f t="shared" si="148"/>
        <v/>
      </c>
      <c r="IH16" s="1088">
        <f t="shared" si="285"/>
        <v>0</v>
      </c>
      <c r="II16" s="1089" t="str">
        <f t="shared" si="286"/>
        <v/>
      </c>
      <c r="IJ16" s="1089" t="str">
        <f t="shared" si="287"/>
        <v/>
      </c>
      <c r="IK16" s="1090">
        <f t="shared" si="288"/>
        <v>0</v>
      </c>
      <c r="IL16" s="1089" t="str">
        <f t="shared" si="289"/>
        <v/>
      </c>
      <c r="IM16" s="1089" t="str">
        <f t="shared" si="290"/>
        <v/>
      </c>
      <c r="IN16" s="1090">
        <f t="shared" si="291"/>
        <v>160000</v>
      </c>
      <c r="IO16" s="1089">
        <f t="shared" si="292"/>
        <v>0.09142857143</v>
      </c>
      <c r="IP16" s="1089">
        <f t="shared" si="293"/>
        <v>0.4705882353</v>
      </c>
      <c r="IQ16" s="1090">
        <f t="shared" si="155"/>
        <v>160000</v>
      </c>
      <c r="IR16" s="1091" t="str">
        <f t="shared" si="1"/>
        <v/>
      </c>
      <c r="IS16" s="1090">
        <f t="shared" si="156"/>
        <v>160000</v>
      </c>
      <c r="IT16" s="1091" t="str">
        <f t="shared" si="2"/>
        <v/>
      </c>
    </row>
    <row r="17">
      <c r="A17" s="1086">
        <f t="shared" si="157"/>
        <v>4</v>
      </c>
      <c r="B17" s="1087" t="s">
        <v>2069</v>
      </c>
      <c r="C17" s="656" t="s">
        <v>177</v>
      </c>
      <c r="D17" s="1087" t="str">
        <f t="shared" si="158"/>
        <v>QUAN</v>
      </c>
      <c r="E17" s="1087" t="s">
        <v>187</v>
      </c>
      <c r="F17" s="1087"/>
      <c r="G17" s="1086">
        <v>2.0</v>
      </c>
      <c r="H17" s="1088">
        <f>SUMIFS(BP_SOTIEN,BP_DOI,$C17,BP_THANG,H$2,BP_KM,$E17)/1000</f>
        <v>0</v>
      </c>
      <c r="I17" s="1089" t="str">
        <f t="shared" si="159"/>
        <v/>
      </c>
      <c r="J17" s="1089" t="str">
        <f t="shared" si="160"/>
        <v/>
      </c>
      <c r="K17" s="1090">
        <f>IF(NOW()&gt;=DATE(YEAR(H$2),MONTH(H$2)+1,DAY(H$2)),SUMIFS(TF_SOTIEN,TF_DOI,$C17,TF_THANG,H$2,TF_KM,$E17)/1000, N17)</f>
        <v>0</v>
      </c>
      <c r="L17" s="1089" t="str">
        <f t="shared" si="161"/>
        <v/>
      </c>
      <c r="M17" s="1089" t="str">
        <f t="shared" si="162"/>
        <v/>
      </c>
      <c r="N17" s="1090">
        <f>IF(NOW()&gt;=DATE(YEAR(H$2),MONTH(H$2)+1,DAY(H$2)),SUMIFS(AC_SOTIEN,AC_DOI,$C17,AC_THANG,H$2,AC_KM,$E17),SUMIFS(TF_SOTIEN,TF_DOI,$C17,TF_THANG,H$2,TF_KM,$E17))/ 1000</f>
        <v>0</v>
      </c>
      <c r="O17" s="1089" t="str">
        <f t="shared" si="163"/>
        <v/>
      </c>
      <c r="P17" s="1089">
        <f t="shared" si="164"/>
        <v>0</v>
      </c>
      <c r="Q17" s="1090">
        <f t="shared" si="8"/>
        <v>0</v>
      </c>
      <c r="R17" s="1091" t="str">
        <f t="shared" si="9"/>
        <v/>
      </c>
      <c r="S17" s="1090">
        <f t="shared" si="10"/>
        <v>0</v>
      </c>
      <c r="T17" s="1091" t="str">
        <f t="shared" si="11"/>
        <v/>
      </c>
      <c r="U17" s="1088">
        <f>SUMIFS(BP_SOTIEN,BP_DA,$C17,BP_THANG,U$2,BP_KM,$E17)/1000</f>
        <v>0</v>
      </c>
      <c r="V17" s="1089" t="str">
        <f t="shared" si="165"/>
        <v/>
      </c>
      <c r="W17" s="1089" t="str">
        <f t="shared" si="166"/>
        <v/>
      </c>
      <c r="X17" s="1090">
        <f>IF(NOW()&gt;=DATE(YEAR(U$2),MONTH(U$2)+1,DAY(U$2)),SUMIFS(TF_SOTIEN,TF_DA,$C17,TF_THANG,U$2,TF_KM,$E17)/1000, AA17)</f>
        <v>0</v>
      </c>
      <c r="Y17" s="1089" t="str">
        <f t="shared" si="167"/>
        <v/>
      </c>
      <c r="Z17" s="1089" t="str">
        <f t="shared" si="168"/>
        <v/>
      </c>
      <c r="AA17" s="1090">
        <f>IF(NOW()&gt;=DATE(YEAR(U$2),MONTH(U$2)+1,DAY(U$2)),SUMIFS(AC_SOTIEN,AC_DA,$C17,AC_THANG,U$2,AC_KM,$E17),SUMIFS(TF_SOTIEN,TF_DA,$C17,TF_THANG,U$2,TF_KM,$E17))/ 1000</f>
        <v>0</v>
      </c>
      <c r="AB17" s="1089" t="str">
        <f t="shared" si="169"/>
        <v/>
      </c>
      <c r="AC17" s="1089" t="str">
        <f t="shared" si="170"/>
        <v/>
      </c>
      <c r="AD17" s="1090">
        <f t="shared" si="15"/>
        <v>0</v>
      </c>
      <c r="AE17" s="1091" t="str">
        <f t="shared" si="16"/>
        <v/>
      </c>
      <c r="AF17" s="1090">
        <f t="shared" si="17"/>
        <v>0</v>
      </c>
      <c r="AG17" s="1091" t="str">
        <f t="shared" si="18"/>
        <v/>
      </c>
      <c r="AH17" s="1088">
        <f>SUMIFS(BP_SOTIEN,BP_DA,$C17,BP_THANG,AH$2,BP_KM,$E17)/1000</f>
        <v>0</v>
      </c>
      <c r="AI17" s="1089" t="str">
        <f t="shared" si="171"/>
        <v/>
      </c>
      <c r="AJ17" s="1089" t="str">
        <f t="shared" si="172"/>
        <v/>
      </c>
      <c r="AK17" s="1090">
        <f>IF(NOW()&gt;=DATE(YEAR(AH$2),MONTH(AH$2)+1,DAY(AH$2)),SUMIFS(TF_SOTIEN,TF_DA,$C17,TF_THANG,AH$2,TF_KM,$E17)/1000, AN17)</f>
        <v>0</v>
      </c>
      <c r="AL17" s="1089" t="str">
        <f t="shared" si="173"/>
        <v/>
      </c>
      <c r="AM17" s="1089" t="str">
        <f t="shared" si="174"/>
        <v/>
      </c>
      <c r="AN17" s="1090">
        <f>IF(NOW()&gt;=DATE(YEAR(AH$2),MONTH(AH$2)+1,DAY(AH$2)),SUMIFS(AC_SOTIEN,AC_DA,$C17,AC_THANG,AH$2,AC_KM,$E17),SUMIFS(TF_SOTIEN,TF_DA,$C17,TF_THANG,AH$2,TF_KM,$E17))/ 1000</f>
        <v>0</v>
      </c>
      <c r="AO17" s="1089" t="str">
        <f t="shared" si="175"/>
        <v/>
      </c>
      <c r="AP17" s="1089" t="str">
        <f t="shared" si="176"/>
        <v/>
      </c>
      <c r="AQ17" s="1090">
        <f t="shared" si="22"/>
        <v>0</v>
      </c>
      <c r="AR17" s="1091" t="str">
        <f t="shared" si="23"/>
        <v/>
      </c>
      <c r="AS17" s="1090">
        <f t="shared" si="24"/>
        <v>0</v>
      </c>
      <c r="AT17" s="1091" t="str">
        <f t="shared" si="25"/>
        <v/>
      </c>
      <c r="AU17" s="1088">
        <f t="shared" si="177"/>
        <v>0</v>
      </c>
      <c r="AV17" s="1089" t="str">
        <f t="shared" si="178"/>
        <v/>
      </c>
      <c r="AW17" s="1089" t="str">
        <f t="shared" si="179"/>
        <v/>
      </c>
      <c r="AX17" s="1090">
        <f t="shared" si="180"/>
        <v>0</v>
      </c>
      <c r="AY17" s="1089" t="str">
        <f t="shared" si="181"/>
        <v/>
      </c>
      <c r="AZ17" s="1089" t="str">
        <f t="shared" si="182"/>
        <v/>
      </c>
      <c r="BA17" s="1090">
        <f t="shared" si="183"/>
        <v>0</v>
      </c>
      <c r="BB17" s="1089" t="str">
        <f t="shared" si="184"/>
        <v/>
      </c>
      <c r="BC17" s="1089">
        <f t="shared" si="185"/>
        <v>0</v>
      </c>
      <c r="BD17" s="1090">
        <f t="shared" si="32"/>
        <v>0</v>
      </c>
      <c r="BE17" s="1091" t="str">
        <f t="shared" si="33"/>
        <v/>
      </c>
      <c r="BF17" s="1090">
        <f t="shared" si="34"/>
        <v>0</v>
      </c>
      <c r="BG17" s="1091" t="str">
        <f t="shared" si="35"/>
        <v/>
      </c>
      <c r="BH17" s="1088">
        <f>SUMIFS(BP_SOTIEN,BP_DA,$C17,BP_THANG,BH$2,BP_KM,$E17)/1000</f>
        <v>0</v>
      </c>
      <c r="BI17" s="1089" t="str">
        <f t="shared" si="186"/>
        <v/>
      </c>
      <c r="BJ17" s="1089" t="str">
        <f t="shared" si="187"/>
        <v/>
      </c>
      <c r="BK17" s="1090">
        <f>IF(NOW()&gt;=DATE(YEAR(BH$2),MONTH(BH$2)+1,DAY(BH$2)),SUMIFS(TF_SOTIEN,TF_DA,$C17,TF_THANG,BH$2,TF_KM,$E17)/1000, BN17)</f>
        <v>0</v>
      </c>
      <c r="BL17" s="1089" t="str">
        <f t="shared" si="188"/>
        <v/>
      </c>
      <c r="BM17" s="1089" t="str">
        <f t="shared" si="189"/>
        <v/>
      </c>
      <c r="BN17" s="1090">
        <f>IF(NOW()&gt;=DATE(YEAR(BH$2),MONTH(BH$2)+1,DAY(BH$2)),SUMIFS(AC_SOTIEN,AC_DA,$C17,AC_THANG,BH$2,AC_KM,$E17),SUMIFS(TF_SOTIEN,TF_DA,$C17,TF_THANG,BH$2,TF_KM,$E17))/ 1000</f>
        <v>0</v>
      </c>
      <c r="BO17" s="1089" t="str">
        <f t="shared" si="190"/>
        <v/>
      </c>
      <c r="BP17" s="1089" t="str">
        <f t="shared" si="191"/>
        <v/>
      </c>
      <c r="BQ17" s="1090">
        <f t="shared" si="39"/>
        <v>0</v>
      </c>
      <c r="BR17" s="1091" t="str">
        <f t="shared" si="40"/>
        <v/>
      </c>
      <c r="BS17" s="1090">
        <f t="shared" si="41"/>
        <v>0</v>
      </c>
      <c r="BT17" s="1091" t="str">
        <f t="shared" si="42"/>
        <v/>
      </c>
      <c r="BU17" s="1088">
        <f>SUMIFS(BP_SOTIEN,BP_DA,$C17,BP_THANG,BU$2,BP_KM,$E17)/1000</f>
        <v>0</v>
      </c>
      <c r="BV17" s="1089" t="str">
        <f t="shared" si="192"/>
        <v/>
      </c>
      <c r="BW17" s="1089" t="str">
        <f t="shared" si="193"/>
        <v/>
      </c>
      <c r="BX17" s="1090">
        <f>IF(NOW()&gt;=DATE(YEAR(BU$2),MONTH(BU$2)+1,DAY(BU$2)),SUMIFS(TF_SOTIEN,TF_DA,$C17,TF_THANG,BU$2,TF_KM,$E17)/1000, CA17)</f>
        <v>0</v>
      </c>
      <c r="BY17" s="1089" t="str">
        <f t="shared" si="194"/>
        <v/>
      </c>
      <c r="BZ17" s="1089" t="str">
        <f t="shared" si="195"/>
        <v/>
      </c>
      <c r="CA17" s="1090">
        <f>IF(NOW()&gt;=DATE(YEAR(BU$2),MONTH(BU$2)+1,DAY(BU$2)),SUMIFS(AC_SOTIEN,AC_DA,$C17,AC_THANG,BU$2,AC_KM,$E17),SUMIFS(TF_SOTIEN,TF_DA,$C17,TF_THANG,BU$2,TF_KM,$E17))/ 1000</f>
        <v>0</v>
      </c>
      <c r="CB17" s="1089" t="str">
        <f t="shared" si="196"/>
        <v/>
      </c>
      <c r="CC17" s="1089" t="str">
        <f t="shared" si="197"/>
        <v/>
      </c>
      <c r="CD17" s="1090">
        <f t="shared" si="46"/>
        <v>0</v>
      </c>
      <c r="CE17" s="1091" t="str">
        <f t="shared" si="47"/>
        <v/>
      </c>
      <c r="CF17" s="1090">
        <f t="shared" si="48"/>
        <v>0</v>
      </c>
      <c r="CG17" s="1091" t="str">
        <f t="shared" si="49"/>
        <v/>
      </c>
      <c r="CH17" s="1088">
        <f>SUMIFS(BP_SOTIEN,BP_DA,$C17,BP_THANG,CH$2,BP_KM,$E17)/1000</f>
        <v>0</v>
      </c>
      <c r="CI17" s="1089" t="str">
        <f t="shared" si="198"/>
        <v/>
      </c>
      <c r="CJ17" s="1089" t="str">
        <f t="shared" si="199"/>
        <v/>
      </c>
      <c r="CK17" s="1090">
        <f>IF(NOW()&gt;=DATE(YEAR(CH$2),MONTH(CH$2)+1,DAY(CH$2)),SUMIFS(TF_SOTIEN,TF_DA,$C17,TF_THANG,CH$2,TF_KM,$E17)/1000, CN17)</f>
        <v>0</v>
      </c>
      <c r="CL17" s="1089" t="str">
        <f t="shared" si="200"/>
        <v/>
      </c>
      <c r="CM17" s="1089" t="str">
        <f t="shared" si="201"/>
        <v/>
      </c>
      <c r="CN17" s="1090">
        <f>IF(NOW()&gt;=DATE(YEAR(CH$2),MONTH(CH$2)+1,DAY(CH$2)),SUMIFS(AC_SOTIEN,AC_DA,$C17,AC_THANG,CH$2,AC_KM,$E17),SUMIFS(TF_SOTIEN,TF_DA,$C17,TF_THANG,CH$2,TF_KM,$E17))/ 1000</f>
        <v>0</v>
      </c>
      <c r="CO17" s="1089" t="str">
        <f t="shared" si="202"/>
        <v/>
      </c>
      <c r="CP17" s="1089" t="str">
        <f t="shared" si="203"/>
        <v/>
      </c>
      <c r="CQ17" s="1090">
        <f t="shared" si="53"/>
        <v>0</v>
      </c>
      <c r="CR17" s="1091" t="str">
        <f t="shared" si="54"/>
        <v/>
      </c>
      <c r="CS17" s="1090">
        <f t="shared" si="55"/>
        <v>0</v>
      </c>
      <c r="CT17" s="1091" t="str">
        <f t="shared" si="56"/>
        <v/>
      </c>
      <c r="CU17" s="1088">
        <f t="shared" si="204"/>
        <v>0</v>
      </c>
      <c r="CV17" s="1089" t="str">
        <f t="shared" si="205"/>
        <v/>
      </c>
      <c r="CW17" s="1089" t="str">
        <f t="shared" si="206"/>
        <v/>
      </c>
      <c r="CX17" s="1090">
        <f t="shared" si="207"/>
        <v>0</v>
      </c>
      <c r="CY17" s="1089" t="str">
        <f t="shared" si="208"/>
        <v/>
      </c>
      <c r="CZ17" s="1089" t="str">
        <f t="shared" si="209"/>
        <v/>
      </c>
      <c r="DA17" s="1090">
        <f t="shared" si="210"/>
        <v>0</v>
      </c>
      <c r="DB17" s="1089" t="str">
        <f t="shared" si="211"/>
        <v/>
      </c>
      <c r="DC17" s="1089" t="str">
        <f t="shared" si="212"/>
        <v/>
      </c>
      <c r="DD17" s="1090">
        <f t="shared" si="63"/>
        <v>0</v>
      </c>
      <c r="DE17" s="1091" t="str">
        <f t="shared" si="64"/>
        <v/>
      </c>
      <c r="DF17" s="1090">
        <f t="shared" si="65"/>
        <v>0</v>
      </c>
      <c r="DG17" s="1091" t="str">
        <f t="shared" si="66"/>
        <v/>
      </c>
      <c r="DH17" s="1088">
        <f t="shared" si="213"/>
        <v>0</v>
      </c>
      <c r="DI17" s="1089" t="str">
        <f t="shared" si="214"/>
        <v/>
      </c>
      <c r="DJ17" s="1089" t="str">
        <f t="shared" si="215"/>
        <v/>
      </c>
      <c r="DK17" s="1090">
        <f t="shared" si="216"/>
        <v>0</v>
      </c>
      <c r="DL17" s="1089" t="str">
        <f t="shared" si="217"/>
        <v/>
      </c>
      <c r="DM17" s="1089" t="str">
        <f t="shared" si="218"/>
        <v/>
      </c>
      <c r="DN17" s="1090">
        <f t="shared" si="219"/>
        <v>0</v>
      </c>
      <c r="DO17" s="1089" t="str">
        <f t="shared" si="220"/>
        <v/>
      </c>
      <c r="DP17" s="1089">
        <f t="shared" si="221"/>
        <v>0</v>
      </c>
      <c r="DQ17" s="1090">
        <f t="shared" si="73"/>
        <v>0</v>
      </c>
      <c r="DR17" s="1091" t="str">
        <f t="shared" si="74"/>
        <v/>
      </c>
      <c r="DS17" s="1090">
        <f t="shared" si="75"/>
        <v>0</v>
      </c>
      <c r="DT17" s="1091" t="str">
        <f t="shared" si="76"/>
        <v/>
      </c>
      <c r="DU17" s="1088">
        <f>SUMIFS(BP_SOTIEN,BP_DA,$C17,BP_THANG,DU$2,BP_KM,$E17)/1000</f>
        <v>0</v>
      </c>
      <c r="DV17" s="1089" t="str">
        <f t="shared" si="222"/>
        <v/>
      </c>
      <c r="DW17" s="1089" t="str">
        <f t="shared" si="223"/>
        <v/>
      </c>
      <c r="DX17" s="1090">
        <f>IF(NOW()&gt;=DATE(YEAR(DU$2),MONTH(DU$2)+1,DAY(DU$2)),SUMIFS(TF_SOTIEN,TF_DA,$C17,TF_THANG,DU$2,TF_KM,$E17)/1000, EA17)</f>
        <v>0</v>
      </c>
      <c r="DY17" s="1089" t="str">
        <f t="shared" si="224"/>
        <v/>
      </c>
      <c r="DZ17" s="1089" t="str">
        <f t="shared" si="225"/>
        <v/>
      </c>
      <c r="EA17" s="1090">
        <f>IF(NOW()&gt;=DATE(YEAR(DU$2),MONTH(DU$2)+1,DAY(DU$2)),SUMIFS(AC_SOTIEN,AC_DA,$C17,AC_THANG,DU$2,AC_KM,$E17),SUMIFS(TF_SOTIEN,TF_DA,$C17,TF_THANG,DU$2,TF_KM,$E17))/ 1000</f>
        <v>0</v>
      </c>
      <c r="EB17" s="1089" t="str">
        <f t="shared" si="226"/>
        <v/>
      </c>
      <c r="EC17" s="1089" t="str">
        <f t="shared" si="227"/>
        <v/>
      </c>
      <c r="ED17" s="1090">
        <f t="shared" si="80"/>
        <v>0</v>
      </c>
      <c r="EE17" s="1091" t="str">
        <f t="shared" si="81"/>
        <v/>
      </c>
      <c r="EF17" s="1090">
        <f t="shared" si="82"/>
        <v>0</v>
      </c>
      <c r="EG17" s="1091" t="str">
        <f t="shared" si="83"/>
        <v/>
      </c>
      <c r="EH17" s="1088">
        <f>SUMIFS(BP_SOTIEN,BP_DA,$C17,BP_THANG,EH$2,BP_KM,$E17)/1000</f>
        <v>0</v>
      </c>
      <c r="EI17" s="1089" t="str">
        <f t="shared" si="228"/>
        <v/>
      </c>
      <c r="EJ17" s="1089" t="str">
        <f t="shared" si="229"/>
        <v/>
      </c>
      <c r="EK17" s="1090">
        <f>IF(NOW()&gt;=DATE(YEAR(EH$2),MONTH(EH$2)+1,DAY(EH$2)),SUMIFS(TF_SOTIEN,TF_DA,$C17,TF_THANG,EH$2,TF_KM,$E17)/1000, EN17)</f>
        <v>0</v>
      </c>
      <c r="EL17" s="1089" t="str">
        <f t="shared" si="230"/>
        <v/>
      </c>
      <c r="EM17" s="1089" t="str">
        <f t="shared" si="231"/>
        <v/>
      </c>
      <c r="EN17" s="1090">
        <f>IF(NOW()&gt;=DATE(YEAR(EH$2),MONTH(EH$2)+1,DAY(EH$2)),SUMIFS(AC_SOTIEN,AC_DA,$C17,AC_THANG,EH$2,AC_KM,$E17),SUMIFS(TF_SOTIEN,TF_DA,$C17,TF_THANG,EH$2,TF_KM,$E17))/ 1000</f>
        <v>0</v>
      </c>
      <c r="EO17" s="1089" t="str">
        <f t="shared" si="232"/>
        <v/>
      </c>
      <c r="EP17" s="1089" t="str">
        <f t="shared" si="233"/>
        <v/>
      </c>
      <c r="EQ17" s="1090">
        <f t="shared" si="87"/>
        <v>0</v>
      </c>
      <c r="ER17" s="1091" t="str">
        <f t="shared" si="88"/>
        <v/>
      </c>
      <c r="ES17" s="1090">
        <f t="shared" si="89"/>
        <v>0</v>
      </c>
      <c r="ET17" s="1091" t="str">
        <f t="shared" si="90"/>
        <v/>
      </c>
      <c r="EU17" s="1088">
        <f>SUMIFS(BP_SOTIEN,BP_DA,$C17,BP_THANG,EU$2,BP_KM,$E17)/1000</f>
        <v>0</v>
      </c>
      <c r="EV17" s="1089" t="str">
        <f t="shared" si="234"/>
        <v/>
      </c>
      <c r="EW17" s="1089" t="str">
        <f t="shared" si="235"/>
        <v/>
      </c>
      <c r="EX17" s="1090">
        <f>IF(NOW()&gt;=DATE(YEAR(EU$2),MONTH(EU$2)+1,DAY(EU$2)),SUMIFS(TF_SOTIEN,TF_DA,$C17,TF_THANG,EU$2,TF_KM,$E17)/1000, FA17)</f>
        <v>0</v>
      </c>
      <c r="EY17" s="1089" t="str">
        <f t="shared" si="236"/>
        <v/>
      </c>
      <c r="EZ17" s="1089" t="str">
        <f t="shared" si="237"/>
        <v/>
      </c>
      <c r="FA17" s="1090">
        <f>IF(NOW()&gt;=DATE(YEAR(EU$2),MONTH(EU$2)+1,DAY(EU$2)),SUMIFS(AC_SOTIEN,AC_DA,$C17,AC_THANG,EU$2,AC_KM,$E17),SUMIFS(TF_SOTIEN,TF_DA,$C17,TF_THANG,EU$2,TF_KM,$E17))/ 1000</f>
        <v>0</v>
      </c>
      <c r="FB17" s="1089" t="str">
        <f t="shared" si="238"/>
        <v/>
      </c>
      <c r="FC17" s="1089" t="str">
        <f t="shared" si="239"/>
        <v/>
      </c>
      <c r="FD17" s="1090">
        <f t="shared" si="94"/>
        <v>0</v>
      </c>
      <c r="FE17" s="1091" t="str">
        <f t="shared" si="95"/>
        <v/>
      </c>
      <c r="FF17" s="1090">
        <f t="shared" si="96"/>
        <v>0</v>
      </c>
      <c r="FG17" s="1091" t="str">
        <f t="shared" si="97"/>
        <v/>
      </c>
      <c r="FH17" s="1088">
        <f t="shared" si="240"/>
        <v>0</v>
      </c>
      <c r="FI17" s="1089" t="str">
        <f t="shared" si="241"/>
        <v/>
      </c>
      <c r="FJ17" s="1089" t="str">
        <f t="shared" si="242"/>
        <v/>
      </c>
      <c r="FK17" s="1090">
        <f t="shared" si="243"/>
        <v>0</v>
      </c>
      <c r="FL17" s="1089" t="str">
        <f t="shared" si="244"/>
        <v/>
      </c>
      <c r="FM17" s="1089" t="str">
        <f t="shared" si="245"/>
        <v/>
      </c>
      <c r="FN17" s="1090">
        <f t="shared" si="246"/>
        <v>0</v>
      </c>
      <c r="FO17" s="1089" t="str">
        <f t="shared" si="247"/>
        <v/>
      </c>
      <c r="FP17" s="1089" t="str">
        <f t="shared" si="248"/>
        <v/>
      </c>
      <c r="FQ17" s="1090">
        <f t="shared" si="104"/>
        <v>0</v>
      </c>
      <c r="FR17" s="1091" t="str">
        <f t="shared" si="105"/>
        <v/>
      </c>
      <c r="FS17" s="1090">
        <f t="shared" si="106"/>
        <v>0</v>
      </c>
      <c r="FT17" s="1091" t="str">
        <f t="shared" si="107"/>
        <v/>
      </c>
      <c r="FU17" s="1088">
        <f>SUMIFS(BP_SOTIEN,BP_DA,$C17,BP_THANG,FU$2,BP_KM,$E17)/1000</f>
        <v>0</v>
      </c>
      <c r="FV17" s="1089" t="str">
        <f t="shared" si="249"/>
        <v/>
      </c>
      <c r="FW17" s="1089" t="str">
        <f t="shared" si="250"/>
        <v/>
      </c>
      <c r="FX17" s="1090">
        <f>IF(NOW()&gt;=DATE(YEAR(FU$2),MONTH(FU$2)+1,DAY(FU$2)),SUMIFS(TF_SOTIEN,TF_DA,$C17,TF_THANG,FU$2,TF_KM,$E17)/1000, GA17)</f>
        <v>0</v>
      </c>
      <c r="FY17" s="1089" t="str">
        <f t="shared" si="251"/>
        <v/>
      </c>
      <c r="FZ17" s="1089" t="str">
        <f t="shared" si="252"/>
        <v/>
      </c>
      <c r="GA17" s="1090">
        <f>IF(NOW()&gt;=DATE(YEAR(FU$2),MONTH(FU$2)+1,DAY(FU$2)),SUMIFS(AC_SOTIEN,AC_DA,$C17,AC_THANG,FU$2,AC_KM,$E17),SUMIFS(TF_SOTIEN,TF_DA,$C17,TF_THANG,FU$2,TF_KM,$E17))/ 1000</f>
        <v>0</v>
      </c>
      <c r="GB17" s="1089" t="str">
        <f t="shared" si="253"/>
        <v/>
      </c>
      <c r="GC17" s="1089" t="str">
        <f t="shared" si="254"/>
        <v/>
      </c>
      <c r="GD17" s="1090">
        <f t="shared" si="111"/>
        <v>0</v>
      </c>
      <c r="GE17" s="1091" t="str">
        <f t="shared" si="112"/>
        <v/>
      </c>
      <c r="GF17" s="1090">
        <f t="shared" si="113"/>
        <v>0</v>
      </c>
      <c r="GG17" s="1091" t="str">
        <f t="shared" si="114"/>
        <v/>
      </c>
      <c r="GH17" s="1088">
        <f>SUMIFS(BP_SOTIEN,BP_DA,$C17,BP_THANG,GH$2,BP_KM,$E17)/1000</f>
        <v>0</v>
      </c>
      <c r="GI17" s="1089" t="str">
        <f t="shared" si="255"/>
        <v/>
      </c>
      <c r="GJ17" s="1089" t="str">
        <f t="shared" si="256"/>
        <v/>
      </c>
      <c r="GK17" s="1090">
        <f>IF(NOW()&gt;=DATE(YEAR(GH$2),MONTH(GH$2)+1,DAY(GH$2)),SUMIFS(TF_SOTIEN,TF_DA,$C17,TF_THANG,GH$2,TF_KM,$E17)/1000, GN17)</f>
        <v>0</v>
      </c>
      <c r="GL17" s="1089" t="str">
        <f t="shared" si="257"/>
        <v/>
      </c>
      <c r="GM17" s="1089" t="str">
        <f t="shared" si="258"/>
        <v/>
      </c>
      <c r="GN17" s="1090">
        <f>IF(NOW()&gt;=DATE(YEAR(GH$2),MONTH(GH$2)+1,DAY(GH$2)),SUMIFS(AC_SOTIEN,AC_DA,$C17,AC_THANG,GH$2,AC_KM,$E17),SUMIFS(TF_SOTIEN,TF_DA,$C17,TF_THANG,GH$2,TF_KM,$E17))/ 1000</f>
        <v>0</v>
      </c>
      <c r="GO17" s="1089" t="str">
        <f t="shared" si="259"/>
        <v/>
      </c>
      <c r="GP17" s="1089" t="str">
        <f t="shared" si="260"/>
        <v/>
      </c>
      <c r="GQ17" s="1090">
        <f t="shared" si="118"/>
        <v>0</v>
      </c>
      <c r="GR17" s="1091" t="str">
        <f t="shared" si="119"/>
        <v/>
      </c>
      <c r="GS17" s="1090">
        <f t="shared" si="120"/>
        <v>0</v>
      </c>
      <c r="GT17" s="1091" t="str">
        <f t="shared" si="121"/>
        <v/>
      </c>
      <c r="GU17" s="1088">
        <f>SUMIFS(BP_SOTIEN,BP_DA,$C17,BP_THANG,GU$2,BP_KM,$E17)/1000</f>
        <v>0</v>
      </c>
      <c r="GV17" s="1089" t="str">
        <f t="shared" si="261"/>
        <v/>
      </c>
      <c r="GW17" s="1089" t="str">
        <f t="shared" si="262"/>
        <v/>
      </c>
      <c r="GX17" s="1090">
        <f>IF(NOW()&gt;=DATE(YEAR(GU$2),MONTH(GU$2)+1,DAY(GU$2)),SUMIFS(TF_SOTIEN,TF_DA,$C17,TF_THANG,GU$2,TF_KM,$E17)/1000, HA17)</f>
        <v>0</v>
      </c>
      <c r="GY17" s="1089" t="str">
        <f t="shared" si="263"/>
        <v/>
      </c>
      <c r="GZ17" s="1089" t="str">
        <f t="shared" si="264"/>
        <v/>
      </c>
      <c r="HA17" s="1090">
        <f>IF(NOW()&gt;=DATE(YEAR(GU$2),MONTH(GU$2)+1,DAY(GU$2)),SUMIFS(AC_SOTIEN,AC_DA,$C17,AC_THANG,GU$2,AC_KM,$E17),SUMIFS(TF_SOTIEN,TF_DA,$C17,TF_THANG,GU$2,TF_KM,$E17))/ 1000</f>
        <v>0</v>
      </c>
      <c r="HB17" s="1089" t="str">
        <f t="shared" si="265"/>
        <v/>
      </c>
      <c r="HC17" s="1089" t="str">
        <f t="shared" si="266"/>
        <v/>
      </c>
      <c r="HD17" s="1090">
        <f t="shared" si="125"/>
        <v>0</v>
      </c>
      <c r="HE17" s="1091" t="str">
        <f t="shared" si="126"/>
        <v/>
      </c>
      <c r="HF17" s="1090">
        <f t="shared" si="127"/>
        <v>0</v>
      </c>
      <c r="HG17" s="1091" t="str">
        <f t="shared" si="128"/>
        <v/>
      </c>
      <c r="HH17" s="1088">
        <f t="shared" si="267"/>
        <v>0</v>
      </c>
      <c r="HI17" s="1089" t="str">
        <f t="shared" si="268"/>
        <v/>
      </c>
      <c r="HJ17" s="1089" t="str">
        <f t="shared" si="269"/>
        <v/>
      </c>
      <c r="HK17" s="1090">
        <f t="shared" si="270"/>
        <v>0</v>
      </c>
      <c r="HL17" s="1089" t="str">
        <f t="shared" si="271"/>
        <v/>
      </c>
      <c r="HM17" s="1089" t="str">
        <f t="shared" si="272"/>
        <v/>
      </c>
      <c r="HN17" s="1090">
        <f t="shared" si="273"/>
        <v>0</v>
      </c>
      <c r="HO17" s="1089" t="str">
        <f t="shared" si="274"/>
        <v/>
      </c>
      <c r="HP17" s="1089" t="str">
        <f t="shared" si="275"/>
        <v/>
      </c>
      <c r="HQ17" s="1090">
        <f t="shared" si="135"/>
        <v>0</v>
      </c>
      <c r="HR17" s="1091" t="str">
        <f t="shared" si="136"/>
        <v/>
      </c>
      <c r="HS17" s="1090">
        <f t="shared" si="137"/>
        <v>0</v>
      </c>
      <c r="HT17" s="1091" t="str">
        <f t="shared" si="138"/>
        <v/>
      </c>
      <c r="HU17" s="1088">
        <f t="shared" si="276"/>
        <v>0</v>
      </c>
      <c r="HV17" s="1089" t="str">
        <f t="shared" si="277"/>
        <v/>
      </c>
      <c r="HW17" s="1089" t="str">
        <f t="shared" si="278"/>
        <v/>
      </c>
      <c r="HX17" s="1090">
        <f t="shared" si="279"/>
        <v>0</v>
      </c>
      <c r="HY17" s="1089" t="str">
        <f t="shared" si="280"/>
        <v/>
      </c>
      <c r="HZ17" s="1089" t="str">
        <f t="shared" si="281"/>
        <v/>
      </c>
      <c r="IA17" s="1090">
        <f t="shared" si="282"/>
        <v>0</v>
      </c>
      <c r="IB17" s="1089" t="str">
        <f t="shared" si="283"/>
        <v/>
      </c>
      <c r="IC17" s="1089" t="str">
        <f t="shared" si="284"/>
        <v/>
      </c>
      <c r="ID17" s="1090">
        <f t="shared" si="145"/>
        <v>0</v>
      </c>
      <c r="IE17" s="1091" t="str">
        <f t="shared" si="146"/>
        <v/>
      </c>
      <c r="IF17" s="1090">
        <f t="shared" si="147"/>
        <v>0</v>
      </c>
      <c r="IG17" s="1091" t="str">
        <f t="shared" si="148"/>
        <v/>
      </c>
      <c r="IH17" s="1088">
        <f t="shared" si="285"/>
        <v>0</v>
      </c>
      <c r="II17" s="1089" t="str">
        <f t="shared" si="286"/>
        <v/>
      </c>
      <c r="IJ17" s="1089" t="str">
        <f t="shared" si="287"/>
        <v/>
      </c>
      <c r="IK17" s="1090">
        <f t="shared" si="288"/>
        <v>0</v>
      </c>
      <c r="IL17" s="1089" t="str">
        <f t="shared" si="289"/>
        <v/>
      </c>
      <c r="IM17" s="1089" t="str">
        <f t="shared" si="290"/>
        <v/>
      </c>
      <c r="IN17" s="1090">
        <f t="shared" si="291"/>
        <v>0</v>
      </c>
      <c r="IO17" s="1089" t="str">
        <f t="shared" si="292"/>
        <v/>
      </c>
      <c r="IP17" s="1089">
        <f t="shared" si="293"/>
        <v>0</v>
      </c>
      <c r="IQ17" s="1090">
        <f t="shared" si="155"/>
        <v>0</v>
      </c>
      <c r="IR17" s="1091" t="str">
        <f t="shared" si="1"/>
        <v/>
      </c>
      <c r="IS17" s="1090">
        <f t="shared" si="156"/>
        <v>0</v>
      </c>
      <c r="IT17" s="1091" t="str">
        <f t="shared" si="2"/>
        <v/>
      </c>
    </row>
    <row r="18">
      <c r="A18" s="1086">
        <f t="shared" si="157"/>
        <v>5</v>
      </c>
      <c r="B18" s="1087" t="s">
        <v>2070</v>
      </c>
      <c r="C18" s="656" t="s">
        <v>514</v>
      </c>
      <c r="D18" s="1087" t="str">
        <f t="shared" si="158"/>
        <v>KHANH</v>
      </c>
      <c r="E18" s="1087" t="s">
        <v>187</v>
      </c>
      <c r="F18" s="1087"/>
      <c r="G18" s="1086">
        <v>2.0</v>
      </c>
      <c r="H18" s="1088">
        <f>SUMIFS(BP_SOTIEN,BP_DOI,$C18,BP_THANG,H$2,BP_KM,$E18)/1000</f>
        <v>0</v>
      </c>
      <c r="I18" s="1089" t="str">
        <f t="shared" si="159"/>
        <v/>
      </c>
      <c r="J18" s="1089" t="str">
        <f t="shared" si="160"/>
        <v/>
      </c>
      <c r="K18" s="1090">
        <f>IF(NOW()&gt;=DATE(YEAR(H$2),MONTH(H$2)+1,DAY(H$2)),SUMIFS(TF_SOTIEN,TF_DOI,$C18,TF_THANG,H$2,TF_KM,$E18)/1000, N18)</f>
        <v>0</v>
      </c>
      <c r="L18" s="1089" t="str">
        <f t="shared" si="161"/>
        <v/>
      </c>
      <c r="M18" s="1089" t="str">
        <f t="shared" si="162"/>
        <v/>
      </c>
      <c r="N18" s="1090">
        <f>IF(NOW()&gt;=DATE(YEAR(H$2),MONTH(H$2)+1,DAY(H$2)),SUMIFS(AC_SOTIEN,AC_DOI,$C18,AC_THANG,H$2,AC_KM,$E18),SUMIFS(TF_SOTIEN,TF_DOI,$C18,TF_THANG,H$2,TF_KM,$E18))/ 1000</f>
        <v>0</v>
      </c>
      <c r="O18" s="1089" t="str">
        <f t="shared" si="163"/>
        <v/>
      </c>
      <c r="P18" s="1089">
        <f t="shared" si="164"/>
        <v>0</v>
      </c>
      <c r="Q18" s="1090">
        <f t="shared" si="8"/>
        <v>0</v>
      </c>
      <c r="R18" s="1091" t="str">
        <f t="shared" si="9"/>
        <v/>
      </c>
      <c r="S18" s="1090">
        <f t="shared" si="10"/>
        <v>0</v>
      </c>
      <c r="T18" s="1091" t="str">
        <f t="shared" si="11"/>
        <v/>
      </c>
      <c r="U18" s="1088">
        <f>SUMIFS(BP_SOTIEN,BP_DA,$C18,BP_THANG,U$2,BP_KM,$E18)/1000</f>
        <v>0</v>
      </c>
      <c r="V18" s="1089" t="str">
        <f t="shared" si="165"/>
        <v/>
      </c>
      <c r="W18" s="1089" t="str">
        <f t="shared" si="166"/>
        <v/>
      </c>
      <c r="X18" s="1090">
        <f>IF(NOW()&gt;=DATE(YEAR(U$2),MONTH(U$2)+1,DAY(U$2)),SUMIFS(TF_SOTIEN,TF_DA,$C18,TF_THANG,U$2,TF_KM,$E18)/1000, AA18)</f>
        <v>0</v>
      </c>
      <c r="Y18" s="1089" t="str">
        <f t="shared" si="167"/>
        <v/>
      </c>
      <c r="Z18" s="1089" t="str">
        <f t="shared" si="168"/>
        <v/>
      </c>
      <c r="AA18" s="1090">
        <f>IF(NOW()&gt;=DATE(YEAR(U$2),MONTH(U$2)+1,DAY(U$2)),SUMIFS(AC_SOTIEN,AC_DA,$C18,AC_THANG,U$2,AC_KM,$E18),SUMIFS(TF_SOTIEN,TF_DA,$C18,TF_THANG,U$2,TF_KM,$E18))/ 1000</f>
        <v>0</v>
      </c>
      <c r="AB18" s="1089" t="str">
        <f t="shared" si="169"/>
        <v/>
      </c>
      <c r="AC18" s="1089" t="str">
        <f t="shared" si="170"/>
        <v/>
      </c>
      <c r="AD18" s="1090">
        <f t="shared" si="15"/>
        <v>0</v>
      </c>
      <c r="AE18" s="1091" t="str">
        <f t="shared" si="16"/>
        <v/>
      </c>
      <c r="AF18" s="1090">
        <f t="shared" si="17"/>
        <v>0</v>
      </c>
      <c r="AG18" s="1091" t="str">
        <f t="shared" si="18"/>
        <v/>
      </c>
      <c r="AH18" s="1088">
        <f>SUMIFS(BP_SOTIEN,BP_DA,$C18,BP_THANG,AH$2,BP_KM,$E18)/1000</f>
        <v>0</v>
      </c>
      <c r="AI18" s="1089" t="str">
        <f t="shared" si="171"/>
        <v/>
      </c>
      <c r="AJ18" s="1089" t="str">
        <f t="shared" si="172"/>
        <v/>
      </c>
      <c r="AK18" s="1090">
        <f>IF(NOW()&gt;=DATE(YEAR(AH$2),MONTH(AH$2)+1,DAY(AH$2)),SUMIFS(TF_SOTIEN,TF_DA,$C18,TF_THANG,AH$2,TF_KM,$E18)/1000, AN18)</f>
        <v>0</v>
      </c>
      <c r="AL18" s="1089" t="str">
        <f t="shared" si="173"/>
        <v/>
      </c>
      <c r="AM18" s="1089" t="str">
        <f t="shared" si="174"/>
        <v/>
      </c>
      <c r="AN18" s="1090">
        <f>IF(NOW()&gt;=DATE(YEAR(AH$2),MONTH(AH$2)+1,DAY(AH$2)),SUMIFS(AC_SOTIEN,AC_DA,$C18,AC_THANG,AH$2,AC_KM,$E18),SUMIFS(TF_SOTIEN,TF_DA,$C18,TF_THANG,AH$2,TF_KM,$E18))/ 1000</f>
        <v>0</v>
      </c>
      <c r="AO18" s="1089" t="str">
        <f t="shared" si="175"/>
        <v/>
      </c>
      <c r="AP18" s="1089" t="str">
        <f t="shared" si="176"/>
        <v/>
      </c>
      <c r="AQ18" s="1090">
        <f t="shared" si="22"/>
        <v>0</v>
      </c>
      <c r="AR18" s="1091" t="str">
        <f t="shared" si="23"/>
        <v/>
      </c>
      <c r="AS18" s="1090">
        <f t="shared" si="24"/>
        <v>0</v>
      </c>
      <c r="AT18" s="1091" t="str">
        <f t="shared" si="25"/>
        <v/>
      </c>
      <c r="AU18" s="1088">
        <f t="shared" si="177"/>
        <v>0</v>
      </c>
      <c r="AV18" s="1089" t="str">
        <f t="shared" si="178"/>
        <v/>
      </c>
      <c r="AW18" s="1089" t="str">
        <f t="shared" si="179"/>
        <v/>
      </c>
      <c r="AX18" s="1090">
        <f t="shared" si="180"/>
        <v>0</v>
      </c>
      <c r="AY18" s="1089" t="str">
        <f t="shared" si="181"/>
        <v/>
      </c>
      <c r="AZ18" s="1089" t="str">
        <f t="shared" si="182"/>
        <v/>
      </c>
      <c r="BA18" s="1090">
        <f t="shared" si="183"/>
        <v>0</v>
      </c>
      <c r="BB18" s="1089" t="str">
        <f t="shared" si="184"/>
        <v/>
      </c>
      <c r="BC18" s="1089">
        <f t="shared" si="185"/>
        <v>0</v>
      </c>
      <c r="BD18" s="1090">
        <f t="shared" si="32"/>
        <v>0</v>
      </c>
      <c r="BE18" s="1091" t="str">
        <f t="shared" si="33"/>
        <v/>
      </c>
      <c r="BF18" s="1090">
        <f t="shared" si="34"/>
        <v>0</v>
      </c>
      <c r="BG18" s="1091" t="str">
        <f t="shared" si="35"/>
        <v/>
      </c>
      <c r="BH18" s="1088">
        <f>SUMIFS(BP_SOTIEN,BP_DA,$C18,BP_THANG,BH$2,BP_KM,$E18)/1000</f>
        <v>0</v>
      </c>
      <c r="BI18" s="1089" t="str">
        <f t="shared" si="186"/>
        <v/>
      </c>
      <c r="BJ18" s="1089" t="str">
        <f t="shared" si="187"/>
        <v/>
      </c>
      <c r="BK18" s="1090">
        <f>IF(NOW()&gt;=DATE(YEAR(BH$2),MONTH(BH$2)+1,DAY(BH$2)),SUMIFS(TF_SOTIEN,TF_DA,$C18,TF_THANG,BH$2,TF_KM,$E18)/1000, BN18)</f>
        <v>0</v>
      </c>
      <c r="BL18" s="1089" t="str">
        <f t="shared" si="188"/>
        <v/>
      </c>
      <c r="BM18" s="1089" t="str">
        <f t="shared" si="189"/>
        <v/>
      </c>
      <c r="BN18" s="1090">
        <f>IF(NOW()&gt;=DATE(YEAR(BH$2),MONTH(BH$2)+1,DAY(BH$2)),SUMIFS(AC_SOTIEN,AC_DA,$C18,AC_THANG,BH$2,AC_KM,$E18),SUMIFS(TF_SOTIEN,TF_DA,$C18,TF_THANG,BH$2,TF_KM,$E18))/ 1000</f>
        <v>0</v>
      </c>
      <c r="BO18" s="1089" t="str">
        <f t="shared" si="190"/>
        <v/>
      </c>
      <c r="BP18" s="1089" t="str">
        <f t="shared" si="191"/>
        <v/>
      </c>
      <c r="BQ18" s="1090">
        <f t="shared" si="39"/>
        <v>0</v>
      </c>
      <c r="BR18" s="1091" t="str">
        <f t="shared" si="40"/>
        <v/>
      </c>
      <c r="BS18" s="1090">
        <f t="shared" si="41"/>
        <v>0</v>
      </c>
      <c r="BT18" s="1091" t="str">
        <f t="shared" si="42"/>
        <v/>
      </c>
      <c r="BU18" s="1088">
        <f>SUMIFS(BP_SOTIEN,BP_DA,$C18,BP_THANG,BU$2,BP_KM,$E18)/1000</f>
        <v>0</v>
      </c>
      <c r="BV18" s="1089" t="str">
        <f t="shared" si="192"/>
        <v/>
      </c>
      <c r="BW18" s="1089" t="str">
        <f t="shared" si="193"/>
        <v/>
      </c>
      <c r="BX18" s="1090">
        <f>IF(NOW()&gt;=DATE(YEAR(BU$2),MONTH(BU$2)+1,DAY(BU$2)),SUMIFS(TF_SOTIEN,TF_DA,$C18,TF_THANG,BU$2,TF_KM,$E18)/1000, CA18)</f>
        <v>0</v>
      </c>
      <c r="BY18" s="1089" t="str">
        <f t="shared" si="194"/>
        <v/>
      </c>
      <c r="BZ18" s="1089" t="str">
        <f t="shared" si="195"/>
        <v/>
      </c>
      <c r="CA18" s="1090">
        <f>IF(NOW()&gt;=DATE(YEAR(BU$2),MONTH(BU$2)+1,DAY(BU$2)),SUMIFS(AC_SOTIEN,AC_DA,$C18,AC_THANG,BU$2,AC_KM,$E18),SUMIFS(TF_SOTIEN,TF_DA,$C18,TF_THANG,BU$2,TF_KM,$E18))/ 1000</f>
        <v>0</v>
      </c>
      <c r="CB18" s="1089" t="str">
        <f t="shared" si="196"/>
        <v/>
      </c>
      <c r="CC18" s="1089" t="str">
        <f t="shared" si="197"/>
        <v/>
      </c>
      <c r="CD18" s="1090">
        <f t="shared" si="46"/>
        <v>0</v>
      </c>
      <c r="CE18" s="1091" t="str">
        <f t="shared" si="47"/>
        <v/>
      </c>
      <c r="CF18" s="1090">
        <f t="shared" si="48"/>
        <v>0</v>
      </c>
      <c r="CG18" s="1091" t="str">
        <f t="shared" si="49"/>
        <v/>
      </c>
      <c r="CH18" s="1088">
        <f>SUMIFS(BP_SOTIEN,BP_DA,$C18,BP_THANG,CH$2,BP_KM,$E18)/1000</f>
        <v>0</v>
      </c>
      <c r="CI18" s="1089" t="str">
        <f t="shared" si="198"/>
        <v/>
      </c>
      <c r="CJ18" s="1089" t="str">
        <f t="shared" si="199"/>
        <v/>
      </c>
      <c r="CK18" s="1090">
        <f>IF(NOW()&gt;=DATE(YEAR(CH$2),MONTH(CH$2)+1,DAY(CH$2)),SUMIFS(TF_SOTIEN,TF_DA,$C18,TF_THANG,CH$2,TF_KM,$E18)/1000, CN18)</f>
        <v>0</v>
      </c>
      <c r="CL18" s="1089" t="str">
        <f t="shared" si="200"/>
        <v/>
      </c>
      <c r="CM18" s="1089" t="str">
        <f t="shared" si="201"/>
        <v/>
      </c>
      <c r="CN18" s="1090">
        <f>IF(NOW()&gt;=DATE(YEAR(CH$2),MONTH(CH$2)+1,DAY(CH$2)),SUMIFS(AC_SOTIEN,AC_DA,$C18,AC_THANG,CH$2,AC_KM,$E18),SUMIFS(TF_SOTIEN,TF_DA,$C18,TF_THANG,CH$2,TF_KM,$E18))/ 1000</f>
        <v>0</v>
      </c>
      <c r="CO18" s="1089" t="str">
        <f t="shared" si="202"/>
        <v/>
      </c>
      <c r="CP18" s="1089" t="str">
        <f t="shared" si="203"/>
        <v/>
      </c>
      <c r="CQ18" s="1090">
        <f t="shared" si="53"/>
        <v>0</v>
      </c>
      <c r="CR18" s="1091" t="str">
        <f t="shared" si="54"/>
        <v/>
      </c>
      <c r="CS18" s="1090">
        <f t="shared" si="55"/>
        <v>0</v>
      </c>
      <c r="CT18" s="1091" t="str">
        <f t="shared" si="56"/>
        <v/>
      </c>
      <c r="CU18" s="1088">
        <f t="shared" si="204"/>
        <v>0</v>
      </c>
      <c r="CV18" s="1089" t="str">
        <f t="shared" si="205"/>
        <v/>
      </c>
      <c r="CW18" s="1089" t="str">
        <f t="shared" si="206"/>
        <v/>
      </c>
      <c r="CX18" s="1090">
        <f t="shared" si="207"/>
        <v>0</v>
      </c>
      <c r="CY18" s="1089" t="str">
        <f t="shared" si="208"/>
        <v/>
      </c>
      <c r="CZ18" s="1089" t="str">
        <f t="shared" si="209"/>
        <v/>
      </c>
      <c r="DA18" s="1090">
        <f t="shared" si="210"/>
        <v>0</v>
      </c>
      <c r="DB18" s="1089" t="str">
        <f t="shared" si="211"/>
        <v/>
      </c>
      <c r="DC18" s="1089" t="str">
        <f t="shared" si="212"/>
        <v/>
      </c>
      <c r="DD18" s="1090">
        <f t="shared" si="63"/>
        <v>0</v>
      </c>
      <c r="DE18" s="1091" t="str">
        <f t="shared" si="64"/>
        <v/>
      </c>
      <c r="DF18" s="1090">
        <f t="shared" si="65"/>
        <v>0</v>
      </c>
      <c r="DG18" s="1091" t="str">
        <f t="shared" si="66"/>
        <v/>
      </c>
      <c r="DH18" s="1088">
        <f t="shared" si="213"/>
        <v>0</v>
      </c>
      <c r="DI18" s="1089" t="str">
        <f t="shared" si="214"/>
        <v/>
      </c>
      <c r="DJ18" s="1089" t="str">
        <f t="shared" si="215"/>
        <v/>
      </c>
      <c r="DK18" s="1090">
        <f t="shared" si="216"/>
        <v>0</v>
      </c>
      <c r="DL18" s="1089" t="str">
        <f t="shared" si="217"/>
        <v/>
      </c>
      <c r="DM18" s="1089" t="str">
        <f t="shared" si="218"/>
        <v/>
      </c>
      <c r="DN18" s="1090">
        <f t="shared" si="219"/>
        <v>0</v>
      </c>
      <c r="DO18" s="1089" t="str">
        <f t="shared" si="220"/>
        <v/>
      </c>
      <c r="DP18" s="1089">
        <f t="shared" si="221"/>
        <v>0</v>
      </c>
      <c r="DQ18" s="1090">
        <f t="shared" si="73"/>
        <v>0</v>
      </c>
      <c r="DR18" s="1091" t="str">
        <f t="shared" si="74"/>
        <v/>
      </c>
      <c r="DS18" s="1090">
        <f t="shared" si="75"/>
        <v>0</v>
      </c>
      <c r="DT18" s="1091" t="str">
        <f t="shared" si="76"/>
        <v/>
      </c>
      <c r="DU18" s="1088">
        <f>SUMIFS(BP_SOTIEN,BP_DA,$C18,BP_THANG,DU$2,BP_KM,$E18)/1000</f>
        <v>0</v>
      </c>
      <c r="DV18" s="1089" t="str">
        <f t="shared" si="222"/>
        <v/>
      </c>
      <c r="DW18" s="1089" t="str">
        <f t="shared" si="223"/>
        <v/>
      </c>
      <c r="DX18" s="1090">
        <f>IF(NOW()&gt;=DATE(YEAR(DU$2),MONTH(DU$2)+1,DAY(DU$2)),SUMIFS(TF_SOTIEN,TF_DA,$C18,TF_THANG,DU$2,TF_KM,$E18)/1000, EA18)</f>
        <v>0</v>
      </c>
      <c r="DY18" s="1089" t="str">
        <f t="shared" si="224"/>
        <v/>
      </c>
      <c r="DZ18" s="1089" t="str">
        <f t="shared" si="225"/>
        <v/>
      </c>
      <c r="EA18" s="1090">
        <f>IF(NOW()&gt;=DATE(YEAR(DU$2),MONTH(DU$2)+1,DAY(DU$2)),SUMIFS(AC_SOTIEN,AC_DA,$C18,AC_THANG,DU$2,AC_KM,$E18),SUMIFS(TF_SOTIEN,TF_DA,$C18,TF_THANG,DU$2,TF_KM,$E18))/ 1000</f>
        <v>0</v>
      </c>
      <c r="EB18" s="1089" t="str">
        <f t="shared" si="226"/>
        <v/>
      </c>
      <c r="EC18" s="1089" t="str">
        <f t="shared" si="227"/>
        <v/>
      </c>
      <c r="ED18" s="1090">
        <f t="shared" si="80"/>
        <v>0</v>
      </c>
      <c r="EE18" s="1091" t="str">
        <f t="shared" si="81"/>
        <v/>
      </c>
      <c r="EF18" s="1090">
        <f t="shared" si="82"/>
        <v>0</v>
      </c>
      <c r="EG18" s="1091" t="str">
        <f t="shared" si="83"/>
        <v/>
      </c>
      <c r="EH18" s="1088">
        <f>SUMIFS(BP_SOTIEN,BP_DA,$C18,BP_THANG,EH$2,BP_KM,$E18)/1000</f>
        <v>0</v>
      </c>
      <c r="EI18" s="1089" t="str">
        <f t="shared" si="228"/>
        <v/>
      </c>
      <c r="EJ18" s="1089" t="str">
        <f t="shared" si="229"/>
        <v/>
      </c>
      <c r="EK18" s="1090">
        <f>IF(NOW()&gt;=DATE(YEAR(EH$2),MONTH(EH$2)+1,DAY(EH$2)),SUMIFS(TF_SOTIEN,TF_DA,$C18,TF_THANG,EH$2,TF_KM,$E18)/1000, EN18)</f>
        <v>0</v>
      </c>
      <c r="EL18" s="1089" t="str">
        <f t="shared" si="230"/>
        <v/>
      </c>
      <c r="EM18" s="1089" t="str">
        <f t="shared" si="231"/>
        <v/>
      </c>
      <c r="EN18" s="1090">
        <f>IF(NOW()&gt;=DATE(YEAR(EH$2),MONTH(EH$2)+1,DAY(EH$2)),SUMIFS(AC_SOTIEN,AC_DA,$C18,AC_THANG,EH$2,AC_KM,$E18),SUMIFS(TF_SOTIEN,TF_DA,$C18,TF_THANG,EH$2,TF_KM,$E18))/ 1000</f>
        <v>0</v>
      </c>
      <c r="EO18" s="1089" t="str">
        <f t="shared" si="232"/>
        <v/>
      </c>
      <c r="EP18" s="1089" t="str">
        <f t="shared" si="233"/>
        <v/>
      </c>
      <c r="EQ18" s="1090">
        <f t="shared" si="87"/>
        <v>0</v>
      </c>
      <c r="ER18" s="1091" t="str">
        <f t="shared" si="88"/>
        <v/>
      </c>
      <c r="ES18" s="1090">
        <f t="shared" si="89"/>
        <v>0</v>
      </c>
      <c r="ET18" s="1091" t="str">
        <f t="shared" si="90"/>
        <v/>
      </c>
      <c r="EU18" s="1088">
        <f>SUMIFS(BP_SOTIEN,BP_DA,$C18,BP_THANG,EU$2,BP_KM,$E18)/1000</f>
        <v>0</v>
      </c>
      <c r="EV18" s="1089" t="str">
        <f t="shared" si="234"/>
        <v/>
      </c>
      <c r="EW18" s="1089" t="str">
        <f t="shared" si="235"/>
        <v/>
      </c>
      <c r="EX18" s="1090">
        <f>IF(NOW()&gt;=DATE(YEAR(EU$2),MONTH(EU$2)+1,DAY(EU$2)),SUMIFS(TF_SOTIEN,TF_DA,$C18,TF_THANG,EU$2,TF_KM,$E18)/1000, FA18)</f>
        <v>0</v>
      </c>
      <c r="EY18" s="1089" t="str">
        <f t="shared" si="236"/>
        <v/>
      </c>
      <c r="EZ18" s="1089" t="str">
        <f t="shared" si="237"/>
        <v/>
      </c>
      <c r="FA18" s="1090">
        <f>IF(NOW()&gt;=DATE(YEAR(EU$2),MONTH(EU$2)+1,DAY(EU$2)),SUMIFS(AC_SOTIEN,AC_DA,$C18,AC_THANG,EU$2,AC_KM,$E18),SUMIFS(TF_SOTIEN,TF_DA,$C18,TF_THANG,EU$2,TF_KM,$E18))/ 1000</f>
        <v>0</v>
      </c>
      <c r="FB18" s="1089" t="str">
        <f t="shared" si="238"/>
        <v/>
      </c>
      <c r="FC18" s="1089" t="str">
        <f t="shared" si="239"/>
        <v/>
      </c>
      <c r="FD18" s="1090">
        <f t="shared" si="94"/>
        <v>0</v>
      </c>
      <c r="FE18" s="1091" t="str">
        <f t="shared" si="95"/>
        <v/>
      </c>
      <c r="FF18" s="1090">
        <f t="shared" si="96"/>
        <v>0</v>
      </c>
      <c r="FG18" s="1091" t="str">
        <f t="shared" si="97"/>
        <v/>
      </c>
      <c r="FH18" s="1088">
        <f t="shared" si="240"/>
        <v>0</v>
      </c>
      <c r="FI18" s="1089" t="str">
        <f t="shared" si="241"/>
        <v/>
      </c>
      <c r="FJ18" s="1089" t="str">
        <f t="shared" si="242"/>
        <v/>
      </c>
      <c r="FK18" s="1090">
        <f t="shared" si="243"/>
        <v>0</v>
      </c>
      <c r="FL18" s="1089" t="str">
        <f t="shared" si="244"/>
        <v/>
      </c>
      <c r="FM18" s="1089" t="str">
        <f t="shared" si="245"/>
        <v/>
      </c>
      <c r="FN18" s="1090">
        <f t="shared" si="246"/>
        <v>0</v>
      </c>
      <c r="FO18" s="1089" t="str">
        <f t="shared" si="247"/>
        <v/>
      </c>
      <c r="FP18" s="1089" t="str">
        <f t="shared" si="248"/>
        <v/>
      </c>
      <c r="FQ18" s="1090">
        <f t="shared" si="104"/>
        <v>0</v>
      </c>
      <c r="FR18" s="1091" t="str">
        <f t="shared" si="105"/>
        <v/>
      </c>
      <c r="FS18" s="1090">
        <f t="shared" si="106"/>
        <v>0</v>
      </c>
      <c r="FT18" s="1091" t="str">
        <f t="shared" si="107"/>
        <v/>
      </c>
      <c r="FU18" s="1088">
        <f>SUMIFS(BP_SOTIEN,BP_DA,$C18,BP_THANG,FU$2,BP_KM,$E18)/1000</f>
        <v>0</v>
      </c>
      <c r="FV18" s="1089" t="str">
        <f t="shared" si="249"/>
        <v/>
      </c>
      <c r="FW18" s="1089" t="str">
        <f t="shared" si="250"/>
        <v/>
      </c>
      <c r="FX18" s="1090">
        <f>IF(NOW()&gt;=DATE(YEAR(FU$2),MONTH(FU$2)+1,DAY(FU$2)),SUMIFS(TF_SOTIEN,TF_DA,$C18,TF_THANG,FU$2,TF_KM,$E18)/1000, GA18)</f>
        <v>0</v>
      </c>
      <c r="FY18" s="1089" t="str">
        <f t="shared" si="251"/>
        <v/>
      </c>
      <c r="FZ18" s="1089" t="str">
        <f t="shared" si="252"/>
        <v/>
      </c>
      <c r="GA18" s="1090">
        <f>IF(NOW()&gt;=DATE(YEAR(FU$2),MONTH(FU$2)+1,DAY(FU$2)),SUMIFS(AC_SOTIEN,AC_DA,$C18,AC_THANG,FU$2,AC_KM,$E18),SUMIFS(TF_SOTIEN,TF_DA,$C18,TF_THANG,FU$2,TF_KM,$E18))/ 1000</f>
        <v>0</v>
      </c>
      <c r="GB18" s="1089" t="str">
        <f t="shared" si="253"/>
        <v/>
      </c>
      <c r="GC18" s="1089" t="str">
        <f t="shared" si="254"/>
        <v/>
      </c>
      <c r="GD18" s="1090">
        <f t="shared" si="111"/>
        <v>0</v>
      </c>
      <c r="GE18" s="1091" t="str">
        <f t="shared" si="112"/>
        <v/>
      </c>
      <c r="GF18" s="1090">
        <f t="shared" si="113"/>
        <v>0</v>
      </c>
      <c r="GG18" s="1091" t="str">
        <f t="shared" si="114"/>
        <v/>
      </c>
      <c r="GH18" s="1088">
        <f>SUMIFS(BP_SOTIEN,BP_DA,$C18,BP_THANG,GH$2,BP_KM,$E18)/1000</f>
        <v>0</v>
      </c>
      <c r="GI18" s="1089" t="str">
        <f t="shared" si="255"/>
        <v/>
      </c>
      <c r="GJ18" s="1089" t="str">
        <f t="shared" si="256"/>
        <v/>
      </c>
      <c r="GK18" s="1090">
        <f>IF(NOW()&gt;=DATE(YEAR(GH$2),MONTH(GH$2)+1,DAY(GH$2)),SUMIFS(TF_SOTIEN,TF_DA,$C18,TF_THANG,GH$2,TF_KM,$E18)/1000, GN18)</f>
        <v>0</v>
      </c>
      <c r="GL18" s="1089" t="str">
        <f t="shared" si="257"/>
        <v/>
      </c>
      <c r="GM18" s="1089" t="str">
        <f t="shared" si="258"/>
        <v/>
      </c>
      <c r="GN18" s="1090">
        <f>IF(NOW()&gt;=DATE(YEAR(GH$2),MONTH(GH$2)+1,DAY(GH$2)),SUMIFS(AC_SOTIEN,AC_DA,$C18,AC_THANG,GH$2,AC_KM,$E18),SUMIFS(TF_SOTIEN,TF_DA,$C18,TF_THANG,GH$2,TF_KM,$E18))/ 1000</f>
        <v>0</v>
      </c>
      <c r="GO18" s="1089" t="str">
        <f t="shared" si="259"/>
        <v/>
      </c>
      <c r="GP18" s="1089" t="str">
        <f t="shared" si="260"/>
        <v/>
      </c>
      <c r="GQ18" s="1090">
        <f t="shared" si="118"/>
        <v>0</v>
      </c>
      <c r="GR18" s="1091" t="str">
        <f t="shared" si="119"/>
        <v/>
      </c>
      <c r="GS18" s="1090">
        <f t="shared" si="120"/>
        <v>0</v>
      </c>
      <c r="GT18" s="1091" t="str">
        <f t="shared" si="121"/>
        <v/>
      </c>
      <c r="GU18" s="1088">
        <f>SUMIFS(BP_SOTIEN,BP_DA,$C18,BP_THANG,GU$2,BP_KM,$E18)/1000</f>
        <v>0</v>
      </c>
      <c r="GV18" s="1089" t="str">
        <f t="shared" si="261"/>
        <v/>
      </c>
      <c r="GW18" s="1089" t="str">
        <f t="shared" si="262"/>
        <v/>
      </c>
      <c r="GX18" s="1090">
        <f>IF(NOW()&gt;=DATE(YEAR(GU$2),MONTH(GU$2)+1,DAY(GU$2)),SUMIFS(TF_SOTIEN,TF_DA,$C18,TF_THANG,GU$2,TF_KM,$E18)/1000, HA18)</f>
        <v>0</v>
      </c>
      <c r="GY18" s="1089" t="str">
        <f t="shared" si="263"/>
        <v/>
      </c>
      <c r="GZ18" s="1089" t="str">
        <f t="shared" si="264"/>
        <v/>
      </c>
      <c r="HA18" s="1090">
        <f>IF(NOW()&gt;=DATE(YEAR(GU$2),MONTH(GU$2)+1,DAY(GU$2)),SUMIFS(AC_SOTIEN,AC_DA,$C18,AC_THANG,GU$2,AC_KM,$E18),SUMIFS(TF_SOTIEN,TF_DA,$C18,TF_THANG,GU$2,TF_KM,$E18))/ 1000</f>
        <v>0</v>
      </c>
      <c r="HB18" s="1089" t="str">
        <f t="shared" si="265"/>
        <v/>
      </c>
      <c r="HC18" s="1089" t="str">
        <f t="shared" si="266"/>
        <v/>
      </c>
      <c r="HD18" s="1090">
        <f t="shared" si="125"/>
        <v>0</v>
      </c>
      <c r="HE18" s="1091" t="str">
        <f t="shared" si="126"/>
        <v/>
      </c>
      <c r="HF18" s="1090">
        <f t="shared" si="127"/>
        <v>0</v>
      </c>
      <c r="HG18" s="1091" t="str">
        <f t="shared" si="128"/>
        <v/>
      </c>
      <c r="HH18" s="1088">
        <f t="shared" si="267"/>
        <v>0</v>
      </c>
      <c r="HI18" s="1089" t="str">
        <f t="shared" si="268"/>
        <v/>
      </c>
      <c r="HJ18" s="1089" t="str">
        <f t="shared" si="269"/>
        <v/>
      </c>
      <c r="HK18" s="1090">
        <f t="shared" si="270"/>
        <v>0</v>
      </c>
      <c r="HL18" s="1089" t="str">
        <f t="shared" si="271"/>
        <v/>
      </c>
      <c r="HM18" s="1089" t="str">
        <f t="shared" si="272"/>
        <v/>
      </c>
      <c r="HN18" s="1090">
        <f t="shared" si="273"/>
        <v>0</v>
      </c>
      <c r="HO18" s="1089" t="str">
        <f t="shared" si="274"/>
        <v/>
      </c>
      <c r="HP18" s="1089" t="str">
        <f t="shared" si="275"/>
        <v/>
      </c>
      <c r="HQ18" s="1090">
        <f t="shared" si="135"/>
        <v>0</v>
      </c>
      <c r="HR18" s="1091" t="str">
        <f t="shared" si="136"/>
        <v/>
      </c>
      <c r="HS18" s="1090">
        <f t="shared" si="137"/>
        <v>0</v>
      </c>
      <c r="HT18" s="1091" t="str">
        <f t="shared" si="138"/>
        <v/>
      </c>
      <c r="HU18" s="1088">
        <f t="shared" si="276"/>
        <v>0</v>
      </c>
      <c r="HV18" s="1089" t="str">
        <f t="shared" si="277"/>
        <v/>
      </c>
      <c r="HW18" s="1089" t="str">
        <f t="shared" si="278"/>
        <v/>
      </c>
      <c r="HX18" s="1090">
        <f t="shared" si="279"/>
        <v>0</v>
      </c>
      <c r="HY18" s="1089" t="str">
        <f t="shared" si="280"/>
        <v/>
      </c>
      <c r="HZ18" s="1089" t="str">
        <f t="shared" si="281"/>
        <v/>
      </c>
      <c r="IA18" s="1090">
        <f t="shared" si="282"/>
        <v>0</v>
      </c>
      <c r="IB18" s="1089" t="str">
        <f t="shared" si="283"/>
        <v/>
      </c>
      <c r="IC18" s="1089" t="str">
        <f t="shared" si="284"/>
        <v/>
      </c>
      <c r="ID18" s="1090">
        <f t="shared" si="145"/>
        <v>0</v>
      </c>
      <c r="IE18" s="1091" t="str">
        <f t="shared" si="146"/>
        <v/>
      </c>
      <c r="IF18" s="1090">
        <f t="shared" si="147"/>
        <v>0</v>
      </c>
      <c r="IG18" s="1091" t="str">
        <f t="shared" si="148"/>
        <v/>
      </c>
      <c r="IH18" s="1088">
        <f t="shared" si="285"/>
        <v>0</v>
      </c>
      <c r="II18" s="1089" t="str">
        <f t="shared" si="286"/>
        <v/>
      </c>
      <c r="IJ18" s="1089" t="str">
        <f t="shared" si="287"/>
        <v/>
      </c>
      <c r="IK18" s="1090">
        <f t="shared" si="288"/>
        <v>0</v>
      </c>
      <c r="IL18" s="1089" t="str">
        <f t="shared" si="289"/>
        <v/>
      </c>
      <c r="IM18" s="1089" t="str">
        <f t="shared" si="290"/>
        <v/>
      </c>
      <c r="IN18" s="1090">
        <f t="shared" si="291"/>
        <v>0</v>
      </c>
      <c r="IO18" s="1089" t="str">
        <f t="shared" si="292"/>
        <v/>
      </c>
      <c r="IP18" s="1089">
        <f t="shared" si="293"/>
        <v>0</v>
      </c>
      <c r="IQ18" s="1090">
        <f t="shared" si="155"/>
        <v>0</v>
      </c>
      <c r="IR18" s="1091" t="str">
        <f t="shared" si="1"/>
        <v/>
      </c>
      <c r="IS18" s="1090">
        <f t="shared" si="156"/>
        <v>0</v>
      </c>
      <c r="IT18" s="1091" t="str">
        <f t="shared" si="2"/>
        <v/>
      </c>
    </row>
    <row r="19">
      <c r="A19" s="1086">
        <f t="shared" si="157"/>
        <v>6</v>
      </c>
      <c r="B19" s="1087" t="s">
        <v>2071</v>
      </c>
      <c r="C19" s="656" t="s">
        <v>705</v>
      </c>
      <c r="D19" s="1087" t="str">
        <f t="shared" si="158"/>
        <v>DAT</v>
      </c>
      <c r="E19" s="1087" t="s">
        <v>187</v>
      </c>
      <c r="F19" s="1087"/>
      <c r="G19" s="1086">
        <v>2.0</v>
      </c>
      <c r="H19" s="1088">
        <f>SUMIFS(BP_SOTIEN,BP_DOI,$C19,BP_THANG,H$2,BP_KM,$E19)/1000</f>
        <v>0</v>
      </c>
      <c r="I19" s="1089" t="str">
        <f t="shared" si="159"/>
        <v/>
      </c>
      <c r="J19" s="1089" t="str">
        <f t="shared" si="160"/>
        <v/>
      </c>
      <c r="K19" s="1090">
        <f>IF(NOW()&gt;=DATE(YEAR(H$2),MONTH(H$2)+1,DAY(H$2)),SUMIFS(TF_SOTIEN,TF_DOI,$C19,TF_THANG,H$2,TF_KM,$E19)/1000, N19)</f>
        <v>0</v>
      </c>
      <c r="L19" s="1089" t="str">
        <f t="shared" si="161"/>
        <v/>
      </c>
      <c r="M19" s="1089" t="str">
        <f t="shared" si="162"/>
        <v/>
      </c>
      <c r="N19" s="1090">
        <f>IF(NOW()&gt;=DATE(YEAR(H$2),MONTH(H$2)+1,DAY(H$2)),SUMIFS(AC_SOTIEN,AC_DOI,$C19,AC_THANG,H$2,AC_KM,$E19),SUMIFS(TF_SOTIEN,TF_DOI,$C19,TF_THANG,H$2,TF_KM,$E19))/ 1000</f>
        <v>0</v>
      </c>
      <c r="O19" s="1089" t="str">
        <f t="shared" si="163"/>
        <v/>
      </c>
      <c r="P19" s="1089">
        <f t="shared" si="164"/>
        <v>0</v>
      </c>
      <c r="Q19" s="1090">
        <f t="shared" si="8"/>
        <v>0</v>
      </c>
      <c r="R19" s="1091" t="str">
        <f t="shared" si="9"/>
        <v/>
      </c>
      <c r="S19" s="1090">
        <f t="shared" si="10"/>
        <v>0</v>
      </c>
      <c r="T19" s="1091" t="str">
        <f t="shared" si="11"/>
        <v/>
      </c>
      <c r="U19" s="1088">
        <f>SUMIFS(BP_SOTIEN,BP_DA,$C19,BP_THANG,U$2,BP_KM,$E19)/1000</f>
        <v>0</v>
      </c>
      <c r="V19" s="1089" t="str">
        <f t="shared" si="165"/>
        <v/>
      </c>
      <c r="W19" s="1089" t="str">
        <f t="shared" si="166"/>
        <v/>
      </c>
      <c r="X19" s="1090">
        <f>IF(NOW()&gt;=DATE(YEAR(U$2),MONTH(U$2)+1,DAY(U$2)),SUMIFS(TF_SOTIEN,TF_DA,$C19,TF_THANG,U$2,TF_KM,$E19)/1000, AA19)</f>
        <v>0</v>
      </c>
      <c r="Y19" s="1089" t="str">
        <f t="shared" si="167"/>
        <v/>
      </c>
      <c r="Z19" s="1089" t="str">
        <f t="shared" si="168"/>
        <v/>
      </c>
      <c r="AA19" s="1090">
        <f>IF(NOW()&gt;=DATE(YEAR(U$2),MONTH(U$2)+1,DAY(U$2)),SUMIFS(AC_SOTIEN,AC_DA,$C19,AC_THANG,U$2,AC_KM,$E19),SUMIFS(TF_SOTIEN,TF_DA,$C19,TF_THANG,U$2,TF_KM,$E19))/ 1000</f>
        <v>0</v>
      </c>
      <c r="AB19" s="1089" t="str">
        <f t="shared" si="169"/>
        <v/>
      </c>
      <c r="AC19" s="1089" t="str">
        <f t="shared" si="170"/>
        <v/>
      </c>
      <c r="AD19" s="1090">
        <f t="shared" si="15"/>
        <v>0</v>
      </c>
      <c r="AE19" s="1091" t="str">
        <f t="shared" si="16"/>
        <v/>
      </c>
      <c r="AF19" s="1090">
        <f t="shared" si="17"/>
        <v>0</v>
      </c>
      <c r="AG19" s="1091" t="str">
        <f t="shared" si="18"/>
        <v/>
      </c>
      <c r="AH19" s="1088">
        <f>SUMIFS(BP_SOTIEN,BP_DA,$C19,BP_THANG,AH$2,BP_KM,$E19)/1000</f>
        <v>0</v>
      </c>
      <c r="AI19" s="1089" t="str">
        <f t="shared" si="171"/>
        <v/>
      </c>
      <c r="AJ19" s="1089" t="str">
        <f t="shared" si="172"/>
        <v/>
      </c>
      <c r="AK19" s="1090">
        <f>IF(NOW()&gt;=DATE(YEAR(AH$2),MONTH(AH$2)+1,DAY(AH$2)),SUMIFS(TF_SOTIEN,TF_DA,$C19,TF_THANG,AH$2,TF_KM,$E19)/1000, AN19)</f>
        <v>0</v>
      </c>
      <c r="AL19" s="1089" t="str">
        <f t="shared" si="173"/>
        <v/>
      </c>
      <c r="AM19" s="1089" t="str">
        <f t="shared" si="174"/>
        <v/>
      </c>
      <c r="AN19" s="1090">
        <f>IF(NOW()&gt;=DATE(YEAR(AH$2),MONTH(AH$2)+1,DAY(AH$2)),SUMIFS(AC_SOTIEN,AC_DA,$C19,AC_THANG,AH$2,AC_KM,$E19),SUMIFS(TF_SOTIEN,TF_DA,$C19,TF_THANG,AH$2,TF_KM,$E19))/ 1000</f>
        <v>0</v>
      </c>
      <c r="AO19" s="1089" t="str">
        <f t="shared" si="175"/>
        <v/>
      </c>
      <c r="AP19" s="1089" t="str">
        <f t="shared" si="176"/>
        <v/>
      </c>
      <c r="AQ19" s="1090">
        <f t="shared" si="22"/>
        <v>0</v>
      </c>
      <c r="AR19" s="1091" t="str">
        <f t="shared" si="23"/>
        <v/>
      </c>
      <c r="AS19" s="1090">
        <f t="shared" si="24"/>
        <v>0</v>
      </c>
      <c r="AT19" s="1091" t="str">
        <f t="shared" si="25"/>
        <v/>
      </c>
      <c r="AU19" s="1088">
        <f t="shared" si="177"/>
        <v>0</v>
      </c>
      <c r="AV19" s="1089" t="str">
        <f t="shared" si="178"/>
        <v/>
      </c>
      <c r="AW19" s="1089" t="str">
        <f t="shared" si="179"/>
        <v/>
      </c>
      <c r="AX19" s="1090">
        <f t="shared" si="180"/>
        <v>0</v>
      </c>
      <c r="AY19" s="1089" t="str">
        <f t="shared" si="181"/>
        <v/>
      </c>
      <c r="AZ19" s="1089" t="str">
        <f t="shared" si="182"/>
        <v/>
      </c>
      <c r="BA19" s="1090">
        <f t="shared" si="183"/>
        <v>0</v>
      </c>
      <c r="BB19" s="1089" t="str">
        <f t="shared" si="184"/>
        <v/>
      </c>
      <c r="BC19" s="1089">
        <f t="shared" si="185"/>
        <v>0</v>
      </c>
      <c r="BD19" s="1090">
        <f t="shared" si="32"/>
        <v>0</v>
      </c>
      <c r="BE19" s="1091" t="str">
        <f t="shared" si="33"/>
        <v/>
      </c>
      <c r="BF19" s="1090">
        <f t="shared" si="34"/>
        <v>0</v>
      </c>
      <c r="BG19" s="1091" t="str">
        <f t="shared" si="35"/>
        <v/>
      </c>
      <c r="BH19" s="1088">
        <f>SUMIFS(BP_SOTIEN,BP_DA,$C19,BP_THANG,BH$2,BP_KM,$E19)/1000</f>
        <v>0</v>
      </c>
      <c r="BI19" s="1089" t="str">
        <f t="shared" si="186"/>
        <v/>
      </c>
      <c r="BJ19" s="1089" t="str">
        <f t="shared" si="187"/>
        <v/>
      </c>
      <c r="BK19" s="1090">
        <f>IF(NOW()&gt;=DATE(YEAR(BH$2),MONTH(BH$2)+1,DAY(BH$2)),SUMIFS(TF_SOTIEN,TF_DA,$C19,TF_THANG,BH$2,TF_KM,$E19)/1000, BN19)</f>
        <v>0</v>
      </c>
      <c r="BL19" s="1089" t="str">
        <f t="shared" si="188"/>
        <v/>
      </c>
      <c r="BM19" s="1089" t="str">
        <f t="shared" si="189"/>
        <v/>
      </c>
      <c r="BN19" s="1090">
        <f>IF(NOW()&gt;=DATE(YEAR(BH$2),MONTH(BH$2)+1,DAY(BH$2)),SUMIFS(AC_SOTIEN,AC_DA,$C19,AC_THANG,BH$2,AC_KM,$E19),SUMIFS(TF_SOTIEN,TF_DA,$C19,TF_THANG,BH$2,TF_KM,$E19))/ 1000</f>
        <v>0</v>
      </c>
      <c r="BO19" s="1089" t="str">
        <f t="shared" si="190"/>
        <v/>
      </c>
      <c r="BP19" s="1089" t="str">
        <f t="shared" si="191"/>
        <v/>
      </c>
      <c r="BQ19" s="1090">
        <f t="shared" si="39"/>
        <v>0</v>
      </c>
      <c r="BR19" s="1091" t="str">
        <f t="shared" si="40"/>
        <v/>
      </c>
      <c r="BS19" s="1090">
        <f t="shared" si="41"/>
        <v>0</v>
      </c>
      <c r="BT19" s="1091" t="str">
        <f t="shared" si="42"/>
        <v/>
      </c>
      <c r="BU19" s="1088">
        <f>SUMIFS(BP_SOTIEN,BP_DA,$C19,BP_THANG,BU$2,BP_KM,$E19)/1000</f>
        <v>0</v>
      </c>
      <c r="BV19" s="1089" t="str">
        <f t="shared" si="192"/>
        <v/>
      </c>
      <c r="BW19" s="1089" t="str">
        <f t="shared" si="193"/>
        <v/>
      </c>
      <c r="BX19" s="1090">
        <f>IF(NOW()&gt;=DATE(YEAR(BU$2),MONTH(BU$2)+1,DAY(BU$2)),SUMIFS(TF_SOTIEN,TF_DA,$C19,TF_THANG,BU$2,TF_KM,$E19)/1000, CA19)</f>
        <v>0</v>
      </c>
      <c r="BY19" s="1089" t="str">
        <f t="shared" si="194"/>
        <v/>
      </c>
      <c r="BZ19" s="1089" t="str">
        <f t="shared" si="195"/>
        <v/>
      </c>
      <c r="CA19" s="1090">
        <f>IF(NOW()&gt;=DATE(YEAR(BU$2),MONTH(BU$2)+1,DAY(BU$2)),SUMIFS(AC_SOTIEN,AC_DA,$C19,AC_THANG,BU$2,AC_KM,$E19),SUMIFS(TF_SOTIEN,TF_DA,$C19,TF_THANG,BU$2,TF_KM,$E19))/ 1000</f>
        <v>0</v>
      </c>
      <c r="CB19" s="1089" t="str">
        <f t="shared" si="196"/>
        <v/>
      </c>
      <c r="CC19" s="1089" t="str">
        <f t="shared" si="197"/>
        <v/>
      </c>
      <c r="CD19" s="1090">
        <f t="shared" si="46"/>
        <v>0</v>
      </c>
      <c r="CE19" s="1091" t="str">
        <f t="shared" si="47"/>
        <v/>
      </c>
      <c r="CF19" s="1090">
        <f t="shared" si="48"/>
        <v>0</v>
      </c>
      <c r="CG19" s="1091" t="str">
        <f t="shared" si="49"/>
        <v/>
      </c>
      <c r="CH19" s="1088">
        <f>SUMIFS(BP_SOTIEN,BP_DA,$C19,BP_THANG,CH$2,BP_KM,$E19)/1000</f>
        <v>0</v>
      </c>
      <c r="CI19" s="1089" t="str">
        <f t="shared" si="198"/>
        <v/>
      </c>
      <c r="CJ19" s="1089" t="str">
        <f t="shared" si="199"/>
        <v/>
      </c>
      <c r="CK19" s="1090">
        <f>IF(NOW()&gt;=DATE(YEAR(CH$2),MONTH(CH$2)+1,DAY(CH$2)),SUMIFS(TF_SOTIEN,TF_DA,$C19,TF_THANG,CH$2,TF_KM,$E19)/1000, CN19)</f>
        <v>0</v>
      </c>
      <c r="CL19" s="1089" t="str">
        <f t="shared" si="200"/>
        <v/>
      </c>
      <c r="CM19" s="1089" t="str">
        <f t="shared" si="201"/>
        <v/>
      </c>
      <c r="CN19" s="1090">
        <f>IF(NOW()&gt;=DATE(YEAR(CH$2),MONTH(CH$2)+1,DAY(CH$2)),SUMIFS(AC_SOTIEN,AC_DA,$C19,AC_THANG,CH$2,AC_KM,$E19),SUMIFS(TF_SOTIEN,TF_DA,$C19,TF_THANG,CH$2,TF_KM,$E19))/ 1000</f>
        <v>0</v>
      </c>
      <c r="CO19" s="1089" t="str">
        <f t="shared" si="202"/>
        <v/>
      </c>
      <c r="CP19" s="1089" t="str">
        <f t="shared" si="203"/>
        <v/>
      </c>
      <c r="CQ19" s="1090">
        <f t="shared" si="53"/>
        <v>0</v>
      </c>
      <c r="CR19" s="1091" t="str">
        <f t="shared" si="54"/>
        <v/>
      </c>
      <c r="CS19" s="1090">
        <f t="shared" si="55"/>
        <v>0</v>
      </c>
      <c r="CT19" s="1091" t="str">
        <f t="shared" si="56"/>
        <v/>
      </c>
      <c r="CU19" s="1088">
        <f t="shared" si="204"/>
        <v>0</v>
      </c>
      <c r="CV19" s="1089" t="str">
        <f t="shared" si="205"/>
        <v/>
      </c>
      <c r="CW19" s="1089" t="str">
        <f t="shared" si="206"/>
        <v/>
      </c>
      <c r="CX19" s="1090">
        <f t="shared" si="207"/>
        <v>0</v>
      </c>
      <c r="CY19" s="1089" t="str">
        <f t="shared" si="208"/>
        <v/>
      </c>
      <c r="CZ19" s="1089" t="str">
        <f t="shared" si="209"/>
        <v/>
      </c>
      <c r="DA19" s="1090">
        <f t="shared" si="210"/>
        <v>0</v>
      </c>
      <c r="DB19" s="1089" t="str">
        <f t="shared" si="211"/>
        <v/>
      </c>
      <c r="DC19" s="1089" t="str">
        <f t="shared" si="212"/>
        <v/>
      </c>
      <c r="DD19" s="1090">
        <f t="shared" si="63"/>
        <v>0</v>
      </c>
      <c r="DE19" s="1091" t="str">
        <f t="shared" si="64"/>
        <v/>
      </c>
      <c r="DF19" s="1090">
        <f t="shared" si="65"/>
        <v>0</v>
      </c>
      <c r="DG19" s="1091" t="str">
        <f t="shared" si="66"/>
        <v/>
      </c>
      <c r="DH19" s="1088">
        <f t="shared" si="213"/>
        <v>0</v>
      </c>
      <c r="DI19" s="1089" t="str">
        <f t="shared" si="214"/>
        <v/>
      </c>
      <c r="DJ19" s="1089" t="str">
        <f t="shared" si="215"/>
        <v/>
      </c>
      <c r="DK19" s="1090">
        <f t="shared" si="216"/>
        <v>0</v>
      </c>
      <c r="DL19" s="1089" t="str">
        <f t="shared" si="217"/>
        <v/>
      </c>
      <c r="DM19" s="1089" t="str">
        <f t="shared" si="218"/>
        <v/>
      </c>
      <c r="DN19" s="1090">
        <f t="shared" si="219"/>
        <v>0</v>
      </c>
      <c r="DO19" s="1089" t="str">
        <f t="shared" si="220"/>
        <v/>
      </c>
      <c r="DP19" s="1089">
        <f t="shared" si="221"/>
        <v>0</v>
      </c>
      <c r="DQ19" s="1090">
        <f t="shared" si="73"/>
        <v>0</v>
      </c>
      <c r="DR19" s="1091" t="str">
        <f t="shared" si="74"/>
        <v/>
      </c>
      <c r="DS19" s="1090">
        <f t="shared" si="75"/>
        <v>0</v>
      </c>
      <c r="DT19" s="1091" t="str">
        <f t="shared" si="76"/>
        <v/>
      </c>
      <c r="DU19" s="1088">
        <f>SUMIFS(BP_SOTIEN,BP_DA,$C19,BP_THANG,DU$2,BP_KM,$E19)/1000</f>
        <v>0</v>
      </c>
      <c r="DV19" s="1089" t="str">
        <f t="shared" si="222"/>
        <v/>
      </c>
      <c r="DW19" s="1089" t="str">
        <f t="shared" si="223"/>
        <v/>
      </c>
      <c r="DX19" s="1090">
        <f>IF(NOW()&gt;=DATE(YEAR(DU$2),MONTH(DU$2)+1,DAY(DU$2)),SUMIFS(TF_SOTIEN,TF_DA,$C19,TF_THANG,DU$2,TF_KM,$E19)/1000, EA19)</f>
        <v>0</v>
      </c>
      <c r="DY19" s="1089" t="str">
        <f t="shared" si="224"/>
        <v/>
      </c>
      <c r="DZ19" s="1089" t="str">
        <f t="shared" si="225"/>
        <v/>
      </c>
      <c r="EA19" s="1090">
        <f>IF(NOW()&gt;=DATE(YEAR(DU$2),MONTH(DU$2)+1,DAY(DU$2)),SUMIFS(AC_SOTIEN,AC_DA,$C19,AC_THANG,DU$2,AC_KM,$E19),SUMIFS(TF_SOTIEN,TF_DA,$C19,TF_THANG,DU$2,TF_KM,$E19))/ 1000</f>
        <v>0</v>
      </c>
      <c r="EB19" s="1089" t="str">
        <f t="shared" si="226"/>
        <v/>
      </c>
      <c r="EC19" s="1089" t="str">
        <f t="shared" si="227"/>
        <v/>
      </c>
      <c r="ED19" s="1090">
        <f t="shared" si="80"/>
        <v>0</v>
      </c>
      <c r="EE19" s="1091" t="str">
        <f t="shared" si="81"/>
        <v/>
      </c>
      <c r="EF19" s="1090">
        <f t="shared" si="82"/>
        <v>0</v>
      </c>
      <c r="EG19" s="1091" t="str">
        <f t="shared" si="83"/>
        <v/>
      </c>
      <c r="EH19" s="1088">
        <f>SUMIFS(BP_SOTIEN,BP_DA,$C19,BP_THANG,EH$2,BP_KM,$E19)/1000</f>
        <v>0</v>
      </c>
      <c r="EI19" s="1089" t="str">
        <f t="shared" si="228"/>
        <v/>
      </c>
      <c r="EJ19" s="1089" t="str">
        <f t="shared" si="229"/>
        <v/>
      </c>
      <c r="EK19" s="1090">
        <f>IF(NOW()&gt;=DATE(YEAR(EH$2),MONTH(EH$2)+1,DAY(EH$2)),SUMIFS(TF_SOTIEN,TF_DA,$C19,TF_THANG,EH$2,TF_KM,$E19)/1000, EN19)</f>
        <v>0</v>
      </c>
      <c r="EL19" s="1089" t="str">
        <f t="shared" si="230"/>
        <v/>
      </c>
      <c r="EM19" s="1089" t="str">
        <f t="shared" si="231"/>
        <v/>
      </c>
      <c r="EN19" s="1090">
        <f>IF(NOW()&gt;=DATE(YEAR(EH$2),MONTH(EH$2)+1,DAY(EH$2)),SUMIFS(AC_SOTIEN,AC_DA,$C19,AC_THANG,EH$2,AC_KM,$E19),SUMIFS(TF_SOTIEN,TF_DA,$C19,TF_THANG,EH$2,TF_KM,$E19))/ 1000</f>
        <v>0</v>
      </c>
      <c r="EO19" s="1089" t="str">
        <f t="shared" si="232"/>
        <v/>
      </c>
      <c r="EP19" s="1089" t="str">
        <f t="shared" si="233"/>
        <v/>
      </c>
      <c r="EQ19" s="1090">
        <f t="shared" si="87"/>
        <v>0</v>
      </c>
      <c r="ER19" s="1091" t="str">
        <f t="shared" si="88"/>
        <v/>
      </c>
      <c r="ES19" s="1090">
        <f t="shared" si="89"/>
        <v>0</v>
      </c>
      <c r="ET19" s="1091" t="str">
        <f t="shared" si="90"/>
        <v/>
      </c>
      <c r="EU19" s="1088">
        <f>SUMIFS(BP_SOTIEN,BP_DA,$C19,BP_THANG,EU$2,BP_KM,$E19)/1000</f>
        <v>0</v>
      </c>
      <c r="EV19" s="1089" t="str">
        <f t="shared" si="234"/>
        <v/>
      </c>
      <c r="EW19" s="1089" t="str">
        <f t="shared" si="235"/>
        <v/>
      </c>
      <c r="EX19" s="1090">
        <f>IF(NOW()&gt;=DATE(YEAR(EU$2),MONTH(EU$2)+1,DAY(EU$2)),SUMIFS(TF_SOTIEN,TF_DA,$C19,TF_THANG,EU$2,TF_KM,$E19)/1000, FA19)</f>
        <v>0</v>
      </c>
      <c r="EY19" s="1089" t="str">
        <f t="shared" si="236"/>
        <v/>
      </c>
      <c r="EZ19" s="1089" t="str">
        <f t="shared" si="237"/>
        <v/>
      </c>
      <c r="FA19" s="1090">
        <f>IF(NOW()&gt;=DATE(YEAR(EU$2),MONTH(EU$2)+1,DAY(EU$2)),SUMIFS(AC_SOTIEN,AC_DA,$C19,AC_THANG,EU$2,AC_KM,$E19),SUMIFS(TF_SOTIEN,TF_DA,$C19,TF_THANG,EU$2,TF_KM,$E19))/ 1000</f>
        <v>0</v>
      </c>
      <c r="FB19" s="1089" t="str">
        <f t="shared" si="238"/>
        <v/>
      </c>
      <c r="FC19" s="1089" t="str">
        <f t="shared" si="239"/>
        <v/>
      </c>
      <c r="FD19" s="1090">
        <f t="shared" si="94"/>
        <v>0</v>
      </c>
      <c r="FE19" s="1091" t="str">
        <f t="shared" si="95"/>
        <v/>
      </c>
      <c r="FF19" s="1090">
        <f t="shared" si="96"/>
        <v>0</v>
      </c>
      <c r="FG19" s="1091" t="str">
        <f t="shared" si="97"/>
        <v/>
      </c>
      <c r="FH19" s="1088">
        <f t="shared" si="240"/>
        <v>0</v>
      </c>
      <c r="FI19" s="1089" t="str">
        <f t="shared" si="241"/>
        <v/>
      </c>
      <c r="FJ19" s="1089" t="str">
        <f t="shared" si="242"/>
        <v/>
      </c>
      <c r="FK19" s="1090">
        <f t="shared" si="243"/>
        <v>0</v>
      </c>
      <c r="FL19" s="1089" t="str">
        <f t="shared" si="244"/>
        <v/>
      </c>
      <c r="FM19" s="1089" t="str">
        <f t="shared" si="245"/>
        <v/>
      </c>
      <c r="FN19" s="1090">
        <f t="shared" si="246"/>
        <v>0</v>
      </c>
      <c r="FO19" s="1089" t="str">
        <f t="shared" si="247"/>
        <v/>
      </c>
      <c r="FP19" s="1089" t="str">
        <f t="shared" si="248"/>
        <v/>
      </c>
      <c r="FQ19" s="1090">
        <f t="shared" si="104"/>
        <v>0</v>
      </c>
      <c r="FR19" s="1091" t="str">
        <f t="shared" si="105"/>
        <v/>
      </c>
      <c r="FS19" s="1090">
        <f t="shared" si="106"/>
        <v>0</v>
      </c>
      <c r="FT19" s="1091" t="str">
        <f t="shared" si="107"/>
        <v/>
      </c>
      <c r="FU19" s="1088">
        <f>SUMIFS(BP_SOTIEN,BP_DA,$C19,BP_THANG,FU$2,BP_KM,$E19)/1000</f>
        <v>0</v>
      </c>
      <c r="FV19" s="1089" t="str">
        <f t="shared" si="249"/>
        <v/>
      </c>
      <c r="FW19" s="1089" t="str">
        <f t="shared" si="250"/>
        <v/>
      </c>
      <c r="FX19" s="1090">
        <f>IF(NOW()&gt;=DATE(YEAR(FU$2),MONTH(FU$2)+1,DAY(FU$2)),SUMIFS(TF_SOTIEN,TF_DA,$C19,TF_THANG,FU$2,TF_KM,$E19)/1000, GA19)</f>
        <v>0</v>
      </c>
      <c r="FY19" s="1089" t="str">
        <f t="shared" si="251"/>
        <v/>
      </c>
      <c r="FZ19" s="1089" t="str">
        <f t="shared" si="252"/>
        <v/>
      </c>
      <c r="GA19" s="1090">
        <f>IF(NOW()&gt;=DATE(YEAR(FU$2),MONTH(FU$2)+1,DAY(FU$2)),SUMIFS(AC_SOTIEN,AC_DA,$C19,AC_THANG,FU$2,AC_KM,$E19),SUMIFS(TF_SOTIEN,TF_DA,$C19,TF_THANG,FU$2,TF_KM,$E19))/ 1000</f>
        <v>0</v>
      </c>
      <c r="GB19" s="1089" t="str">
        <f t="shared" si="253"/>
        <v/>
      </c>
      <c r="GC19" s="1089" t="str">
        <f t="shared" si="254"/>
        <v/>
      </c>
      <c r="GD19" s="1090">
        <f t="shared" si="111"/>
        <v>0</v>
      </c>
      <c r="GE19" s="1091" t="str">
        <f t="shared" si="112"/>
        <v/>
      </c>
      <c r="GF19" s="1090">
        <f t="shared" si="113"/>
        <v>0</v>
      </c>
      <c r="GG19" s="1091" t="str">
        <f t="shared" si="114"/>
        <v/>
      </c>
      <c r="GH19" s="1088">
        <f>SUMIFS(BP_SOTIEN,BP_DA,$C19,BP_THANG,GH$2,BP_KM,$E19)/1000</f>
        <v>0</v>
      </c>
      <c r="GI19" s="1089" t="str">
        <f t="shared" si="255"/>
        <v/>
      </c>
      <c r="GJ19" s="1089" t="str">
        <f t="shared" si="256"/>
        <v/>
      </c>
      <c r="GK19" s="1090">
        <f>IF(NOW()&gt;=DATE(YEAR(GH$2),MONTH(GH$2)+1,DAY(GH$2)),SUMIFS(TF_SOTIEN,TF_DA,$C19,TF_THANG,GH$2,TF_KM,$E19)/1000, GN19)</f>
        <v>0</v>
      </c>
      <c r="GL19" s="1089" t="str">
        <f t="shared" si="257"/>
        <v/>
      </c>
      <c r="GM19" s="1089" t="str">
        <f t="shared" si="258"/>
        <v/>
      </c>
      <c r="GN19" s="1090">
        <f>IF(NOW()&gt;=DATE(YEAR(GH$2),MONTH(GH$2)+1,DAY(GH$2)),SUMIFS(AC_SOTIEN,AC_DA,$C19,AC_THANG,GH$2,AC_KM,$E19),SUMIFS(TF_SOTIEN,TF_DA,$C19,TF_THANG,GH$2,TF_KM,$E19))/ 1000</f>
        <v>0</v>
      </c>
      <c r="GO19" s="1089" t="str">
        <f t="shared" si="259"/>
        <v/>
      </c>
      <c r="GP19" s="1089" t="str">
        <f t="shared" si="260"/>
        <v/>
      </c>
      <c r="GQ19" s="1090">
        <f t="shared" si="118"/>
        <v>0</v>
      </c>
      <c r="GR19" s="1091" t="str">
        <f t="shared" si="119"/>
        <v/>
      </c>
      <c r="GS19" s="1090">
        <f t="shared" si="120"/>
        <v>0</v>
      </c>
      <c r="GT19" s="1091" t="str">
        <f t="shared" si="121"/>
        <v/>
      </c>
      <c r="GU19" s="1088">
        <f>SUMIFS(BP_SOTIEN,BP_DA,$C19,BP_THANG,GU$2,BP_KM,$E19)/1000</f>
        <v>0</v>
      </c>
      <c r="GV19" s="1089" t="str">
        <f t="shared" si="261"/>
        <v/>
      </c>
      <c r="GW19" s="1089" t="str">
        <f t="shared" si="262"/>
        <v/>
      </c>
      <c r="GX19" s="1090">
        <f>IF(NOW()&gt;=DATE(YEAR(GU$2),MONTH(GU$2)+1,DAY(GU$2)),SUMIFS(TF_SOTIEN,TF_DA,$C19,TF_THANG,GU$2,TF_KM,$E19)/1000, HA19)</f>
        <v>0</v>
      </c>
      <c r="GY19" s="1089" t="str">
        <f t="shared" si="263"/>
        <v/>
      </c>
      <c r="GZ19" s="1089" t="str">
        <f t="shared" si="264"/>
        <v/>
      </c>
      <c r="HA19" s="1090">
        <f>IF(NOW()&gt;=DATE(YEAR(GU$2),MONTH(GU$2)+1,DAY(GU$2)),SUMIFS(AC_SOTIEN,AC_DA,$C19,AC_THANG,GU$2,AC_KM,$E19),SUMIFS(TF_SOTIEN,TF_DA,$C19,TF_THANG,GU$2,TF_KM,$E19))/ 1000</f>
        <v>0</v>
      </c>
      <c r="HB19" s="1089" t="str">
        <f t="shared" si="265"/>
        <v/>
      </c>
      <c r="HC19" s="1089" t="str">
        <f t="shared" si="266"/>
        <v/>
      </c>
      <c r="HD19" s="1090">
        <f t="shared" si="125"/>
        <v>0</v>
      </c>
      <c r="HE19" s="1091" t="str">
        <f t="shared" si="126"/>
        <v/>
      </c>
      <c r="HF19" s="1090">
        <f t="shared" si="127"/>
        <v>0</v>
      </c>
      <c r="HG19" s="1091" t="str">
        <f t="shared" si="128"/>
        <v/>
      </c>
      <c r="HH19" s="1088">
        <f t="shared" si="267"/>
        <v>0</v>
      </c>
      <c r="HI19" s="1089" t="str">
        <f t="shared" si="268"/>
        <v/>
      </c>
      <c r="HJ19" s="1089" t="str">
        <f t="shared" si="269"/>
        <v/>
      </c>
      <c r="HK19" s="1090">
        <f t="shared" si="270"/>
        <v>0</v>
      </c>
      <c r="HL19" s="1089" t="str">
        <f t="shared" si="271"/>
        <v/>
      </c>
      <c r="HM19" s="1089" t="str">
        <f t="shared" si="272"/>
        <v/>
      </c>
      <c r="HN19" s="1090">
        <f t="shared" si="273"/>
        <v>0</v>
      </c>
      <c r="HO19" s="1089" t="str">
        <f t="shared" si="274"/>
        <v/>
      </c>
      <c r="HP19" s="1089" t="str">
        <f t="shared" si="275"/>
        <v/>
      </c>
      <c r="HQ19" s="1090">
        <f t="shared" si="135"/>
        <v>0</v>
      </c>
      <c r="HR19" s="1091" t="str">
        <f t="shared" si="136"/>
        <v/>
      </c>
      <c r="HS19" s="1090">
        <f t="shared" si="137"/>
        <v>0</v>
      </c>
      <c r="HT19" s="1091" t="str">
        <f t="shared" si="138"/>
        <v/>
      </c>
      <c r="HU19" s="1088">
        <f t="shared" si="276"/>
        <v>0</v>
      </c>
      <c r="HV19" s="1089" t="str">
        <f t="shared" si="277"/>
        <v/>
      </c>
      <c r="HW19" s="1089" t="str">
        <f t="shared" si="278"/>
        <v/>
      </c>
      <c r="HX19" s="1090">
        <f t="shared" si="279"/>
        <v>0</v>
      </c>
      <c r="HY19" s="1089" t="str">
        <f t="shared" si="280"/>
        <v/>
      </c>
      <c r="HZ19" s="1089" t="str">
        <f t="shared" si="281"/>
        <v/>
      </c>
      <c r="IA19" s="1090">
        <f t="shared" si="282"/>
        <v>0</v>
      </c>
      <c r="IB19" s="1089" t="str">
        <f t="shared" si="283"/>
        <v/>
      </c>
      <c r="IC19" s="1089" t="str">
        <f t="shared" si="284"/>
        <v/>
      </c>
      <c r="ID19" s="1090">
        <f t="shared" si="145"/>
        <v>0</v>
      </c>
      <c r="IE19" s="1091" t="str">
        <f t="shared" si="146"/>
        <v/>
      </c>
      <c r="IF19" s="1090">
        <f t="shared" si="147"/>
        <v>0</v>
      </c>
      <c r="IG19" s="1091" t="str">
        <f t="shared" si="148"/>
        <v/>
      </c>
      <c r="IH19" s="1088">
        <f t="shared" si="285"/>
        <v>0</v>
      </c>
      <c r="II19" s="1089" t="str">
        <f t="shared" si="286"/>
        <v/>
      </c>
      <c r="IJ19" s="1089" t="str">
        <f t="shared" si="287"/>
        <v/>
      </c>
      <c r="IK19" s="1090">
        <f t="shared" si="288"/>
        <v>0</v>
      </c>
      <c r="IL19" s="1089" t="str">
        <f t="shared" si="289"/>
        <v/>
      </c>
      <c r="IM19" s="1089" t="str">
        <f t="shared" si="290"/>
        <v/>
      </c>
      <c r="IN19" s="1090">
        <f t="shared" si="291"/>
        <v>0</v>
      </c>
      <c r="IO19" s="1089" t="str">
        <f t="shared" si="292"/>
        <v/>
      </c>
      <c r="IP19" s="1089">
        <f t="shared" si="293"/>
        <v>0</v>
      </c>
      <c r="IQ19" s="1090">
        <f t="shared" si="155"/>
        <v>0</v>
      </c>
      <c r="IR19" s="1091" t="str">
        <f t="shared" si="1"/>
        <v/>
      </c>
      <c r="IS19" s="1090">
        <f t="shared" si="156"/>
        <v>0</v>
      </c>
      <c r="IT19" s="1091" t="str">
        <f t="shared" si="2"/>
        <v/>
      </c>
    </row>
    <row r="20">
      <c r="A20" s="1086">
        <f t="shared" si="157"/>
        <v>7</v>
      </c>
      <c r="B20" s="1087" t="s">
        <v>2072</v>
      </c>
      <c r="C20" s="656" t="s">
        <v>810</v>
      </c>
      <c r="D20" s="1087" t="str">
        <f t="shared" si="158"/>
        <v>QUY</v>
      </c>
      <c r="E20" s="1087" t="s">
        <v>187</v>
      </c>
      <c r="F20" s="1087"/>
      <c r="G20" s="1086">
        <v>2.0</v>
      </c>
      <c r="H20" s="1088">
        <f>SUMIFS(BP_SOTIEN,BP_DOI,$C20,BP_THANG,H$2,BP_KM,$E20)/1000</f>
        <v>0</v>
      </c>
      <c r="I20" s="1089" t="str">
        <f t="shared" si="159"/>
        <v/>
      </c>
      <c r="J20" s="1089" t="str">
        <f t="shared" si="160"/>
        <v/>
      </c>
      <c r="K20" s="1090">
        <f>IF(NOW()&gt;=DATE(YEAR(H$2),MONTH(H$2)+1,DAY(H$2)),SUMIFS(TF_SOTIEN,TF_DOI,$C20,TF_THANG,H$2,TF_KM,$E20)/1000, N20)</f>
        <v>0</v>
      </c>
      <c r="L20" s="1089" t="str">
        <f t="shared" si="161"/>
        <v/>
      </c>
      <c r="M20" s="1089" t="str">
        <f t="shared" si="162"/>
        <v/>
      </c>
      <c r="N20" s="1090">
        <f>IF(NOW()&gt;=DATE(YEAR(H$2),MONTH(H$2)+1,DAY(H$2)),SUMIFS(AC_SOTIEN,AC_DOI,$C20,AC_THANG,H$2,AC_KM,$E20),SUMIFS(TF_SOTIEN,TF_DOI,$C20,TF_THANG,H$2,TF_KM,$E20))/ 1000</f>
        <v>0</v>
      </c>
      <c r="O20" s="1089" t="str">
        <f t="shared" si="163"/>
        <v/>
      </c>
      <c r="P20" s="1089">
        <f t="shared" si="164"/>
        <v>0</v>
      </c>
      <c r="Q20" s="1090">
        <f t="shared" si="8"/>
        <v>0</v>
      </c>
      <c r="R20" s="1091" t="str">
        <f t="shared" si="9"/>
        <v/>
      </c>
      <c r="S20" s="1090">
        <f t="shared" si="10"/>
        <v>0</v>
      </c>
      <c r="T20" s="1091" t="str">
        <f t="shared" si="11"/>
        <v/>
      </c>
      <c r="U20" s="1088">
        <f>SUMIFS(BP_SOTIEN,BP_DA,$C20,BP_THANG,U$2,BP_KM,$E20)/1000</f>
        <v>0</v>
      </c>
      <c r="V20" s="1089" t="str">
        <f t="shared" si="165"/>
        <v/>
      </c>
      <c r="W20" s="1089" t="str">
        <f t="shared" si="166"/>
        <v/>
      </c>
      <c r="X20" s="1090">
        <f>IF(NOW()&gt;=DATE(YEAR(U$2),MONTH(U$2)+1,DAY(U$2)),SUMIFS(TF_SOTIEN,TF_DA,$C20,TF_THANG,U$2,TF_KM,$E20)/1000, AA20)</f>
        <v>0</v>
      </c>
      <c r="Y20" s="1089" t="str">
        <f t="shared" si="167"/>
        <v/>
      </c>
      <c r="Z20" s="1089" t="str">
        <f t="shared" si="168"/>
        <v/>
      </c>
      <c r="AA20" s="1090">
        <f>IF(NOW()&gt;=DATE(YEAR(U$2),MONTH(U$2)+1,DAY(U$2)),SUMIFS(AC_SOTIEN,AC_DA,$C20,AC_THANG,U$2,AC_KM,$E20),SUMIFS(TF_SOTIEN,TF_DA,$C20,TF_THANG,U$2,TF_KM,$E20))/ 1000</f>
        <v>0</v>
      </c>
      <c r="AB20" s="1089" t="str">
        <f t="shared" si="169"/>
        <v/>
      </c>
      <c r="AC20" s="1089" t="str">
        <f t="shared" si="170"/>
        <v/>
      </c>
      <c r="AD20" s="1090">
        <f t="shared" si="15"/>
        <v>0</v>
      </c>
      <c r="AE20" s="1091" t="str">
        <f t="shared" si="16"/>
        <v/>
      </c>
      <c r="AF20" s="1090">
        <f t="shared" si="17"/>
        <v>0</v>
      </c>
      <c r="AG20" s="1091" t="str">
        <f t="shared" si="18"/>
        <v/>
      </c>
      <c r="AH20" s="1088">
        <f>SUMIFS(BP_SOTIEN,BP_DA,$C20,BP_THANG,AH$2,BP_KM,$E20)/1000</f>
        <v>0</v>
      </c>
      <c r="AI20" s="1089" t="str">
        <f t="shared" si="171"/>
        <v/>
      </c>
      <c r="AJ20" s="1089" t="str">
        <f t="shared" si="172"/>
        <v/>
      </c>
      <c r="AK20" s="1090">
        <f>IF(NOW()&gt;=DATE(YEAR(AH$2),MONTH(AH$2)+1,DAY(AH$2)),SUMIFS(TF_SOTIEN,TF_DA,$C20,TF_THANG,AH$2,TF_KM,$E20)/1000, AN20)</f>
        <v>0</v>
      </c>
      <c r="AL20" s="1089" t="str">
        <f t="shared" si="173"/>
        <v/>
      </c>
      <c r="AM20" s="1089" t="str">
        <f t="shared" si="174"/>
        <v/>
      </c>
      <c r="AN20" s="1090">
        <f>IF(NOW()&gt;=DATE(YEAR(AH$2),MONTH(AH$2)+1,DAY(AH$2)),SUMIFS(AC_SOTIEN,AC_DA,$C20,AC_THANG,AH$2,AC_KM,$E20),SUMIFS(TF_SOTIEN,TF_DA,$C20,TF_THANG,AH$2,TF_KM,$E20))/ 1000</f>
        <v>0</v>
      </c>
      <c r="AO20" s="1089" t="str">
        <f t="shared" si="175"/>
        <v/>
      </c>
      <c r="AP20" s="1089" t="str">
        <f t="shared" si="176"/>
        <v/>
      </c>
      <c r="AQ20" s="1090">
        <f t="shared" si="22"/>
        <v>0</v>
      </c>
      <c r="AR20" s="1091" t="str">
        <f t="shared" si="23"/>
        <v/>
      </c>
      <c r="AS20" s="1090">
        <f t="shared" si="24"/>
        <v>0</v>
      </c>
      <c r="AT20" s="1091" t="str">
        <f t="shared" si="25"/>
        <v/>
      </c>
      <c r="AU20" s="1088">
        <f t="shared" si="177"/>
        <v>0</v>
      </c>
      <c r="AV20" s="1089" t="str">
        <f t="shared" si="178"/>
        <v/>
      </c>
      <c r="AW20" s="1089" t="str">
        <f t="shared" si="179"/>
        <v/>
      </c>
      <c r="AX20" s="1090">
        <f t="shared" si="180"/>
        <v>0</v>
      </c>
      <c r="AY20" s="1089" t="str">
        <f t="shared" si="181"/>
        <v/>
      </c>
      <c r="AZ20" s="1089" t="str">
        <f t="shared" si="182"/>
        <v/>
      </c>
      <c r="BA20" s="1090">
        <f t="shared" si="183"/>
        <v>0</v>
      </c>
      <c r="BB20" s="1089" t="str">
        <f t="shared" si="184"/>
        <v/>
      </c>
      <c r="BC20" s="1089">
        <f t="shared" si="185"/>
        <v>0</v>
      </c>
      <c r="BD20" s="1090">
        <f t="shared" si="32"/>
        <v>0</v>
      </c>
      <c r="BE20" s="1091" t="str">
        <f t="shared" si="33"/>
        <v/>
      </c>
      <c r="BF20" s="1090">
        <f t="shared" si="34"/>
        <v>0</v>
      </c>
      <c r="BG20" s="1091" t="str">
        <f t="shared" si="35"/>
        <v/>
      </c>
      <c r="BH20" s="1088">
        <f>SUMIFS(BP_SOTIEN,BP_DA,$C20,BP_THANG,BH$2,BP_KM,$E20)/1000</f>
        <v>0</v>
      </c>
      <c r="BI20" s="1089" t="str">
        <f t="shared" si="186"/>
        <v/>
      </c>
      <c r="BJ20" s="1089" t="str">
        <f t="shared" si="187"/>
        <v/>
      </c>
      <c r="BK20" s="1090">
        <f>IF(NOW()&gt;=DATE(YEAR(BH$2),MONTH(BH$2)+1,DAY(BH$2)),SUMIFS(TF_SOTIEN,TF_DA,$C20,TF_THANG,BH$2,TF_KM,$E20)/1000, BN20)</f>
        <v>0</v>
      </c>
      <c r="BL20" s="1089" t="str">
        <f t="shared" si="188"/>
        <v/>
      </c>
      <c r="BM20" s="1089" t="str">
        <f t="shared" si="189"/>
        <v/>
      </c>
      <c r="BN20" s="1090">
        <f>IF(NOW()&gt;=DATE(YEAR(BH$2),MONTH(BH$2)+1,DAY(BH$2)),SUMIFS(AC_SOTIEN,AC_DA,$C20,AC_THANG,BH$2,AC_KM,$E20),SUMIFS(TF_SOTIEN,TF_DA,$C20,TF_THANG,BH$2,TF_KM,$E20))/ 1000</f>
        <v>0</v>
      </c>
      <c r="BO20" s="1089" t="str">
        <f t="shared" si="190"/>
        <v/>
      </c>
      <c r="BP20" s="1089" t="str">
        <f t="shared" si="191"/>
        <v/>
      </c>
      <c r="BQ20" s="1090">
        <f t="shared" si="39"/>
        <v>0</v>
      </c>
      <c r="BR20" s="1091" t="str">
        <f t="shared" si="40"/>
        <v/>
      </c>
      <c r="BS20" s="1090">
        <f t="shared" si="41"/>
        <v>0</v>
      </c>
      <c r="BT20" s="1091" t="str">
        <f t="shared" si="42"/>
        <v/>
      </c>
      <c r="BU20" s="1088">
        <f>SUMIFS(BP_SOTIEN,BP_DA,$C20,BP_THANG,BU$2,BP_KM,$E20)/1000</f>
        <v>0</v>
      </c>
      <c r="BV20" s="1089" t="str">
        <f t="shared" si="192"/>
        <v/>
      </c>
      <c r="BW20" s="1089" t="str">
        <f t="shared" si="193"/>
        <v/>
      </c>
      <c r="BX20" s="1090">
        <f>IF(NOW()&gt;=DATE(YEAR(BU$2),MONTH(BU$2)+1,DAY(BU$2)),SUMIFS(TF_SOTIEN,TF_DA,$C20,TF_THANG,BU$2,TF_KM,$E20)/1000, CA20)</f>
        <v>0</v>
      </c>
      <c r="BY20" s="1089" t="str">
        <f t="shared" si="194"/>
        <v/>
      </c>
      <c r="BZ20" s="1089" t="str">
        <f t="shared" si="195"/>
        <v/>
      </c>
      <c r="CA20" s="1090">
        <f>IF(NOW()&gt;=DATE(YEAR(BU$2),MONTH(BU$2)+1,DAY(BU$2)),SUMIFS(AC_SOTIEN,AC_DA,$C20,AC_THANG,BU$2,AC_KM,$E20),SUMIFS(TF_SOTIEN,TF_DA,$C20,TF_THANG,BU$2,TF_KM,$E20))/ 1000</f>
        <v>0</v>
      </c>
      <c r="CB20" s="1089" t="str">
        <f t="shared" si="196"/>
        <v/>
      </c>
      <c r="CC20" s="1089" t="str">
        <f t="shared" si="197"/>
        <v/>
      </c>
      <c r="CD20" s="1090">
        <f t="shared" si="46"/>
        <v>0</v>
      </c>
      <c r="CE20" s="1091" t="str">
        <f t="shared" si="47"/>
        <v/>
      </c>
      <c r="CF20" s="1090">
        <f t="shared" si="48"/>
        <v>0</v>
      </c>
      <c r="CG20" s="1091" t="str">
        <f t="shared" si="49"/>
        <v/>
      </c>
      <c r="CH20" s="1088">
        <f>SUMIFS(BP_SOTIEN,BP_DA,$C20,BP_THANG,CH$2,BP_KM,$E20)/1000</f>
        <v>0</v>
      </c>
      <c r="CI20" s="1089" t="str">
        <f t="shared" si="198"/>
        <v/>
      </c>
      <c r="CJ20" s="1089" t="str">
        <f t="shared" si="199"/>
        <v/>
      </c>
      <c r="CK20" s="1090">
        <f>IF(NOW()&gt;=DATE(YEAR(CH$2),MONTH(CH$2)+1,DAY(CH$2)),SUMIFS(TF_SOTIEN,TF_DA,$C20,TF_THANG,CH$2,TF_KM,$E20)/1000, CN20)</f>
        <v>0</v>
      </c>
      <c r="CL20" s="1089" t="str">
        <f t="shared" si="200"/>
        <v/>
      </c>
      <c r="CM20" s="1089" t="str">
        <f t="shared" si="201"/>
        <v/>
      </c>
      <c r="CN20" s="1090">
        <f>IF(NOW()&gt;=DATE(YEAR(CH$2),MONTH(CH$2)+1,DAY(CH$2)),SUMIFS(AC_SOTIEN,AC_DA,$C20,AC_THANG,CH$2,AC_KM,$E20),SUMIFS(TF_SOTIEN,TF_DA,$C20,TF_THANG,CH$2,TF_KM,$E20))/ 1000</f>
        <v>0</v>
      </c>
      <c r="CO20" s="1089" t="str">
        <f t="shared" si="202"/>
        <v/>
      </c>
      <c r="CP20" s="1089" t="str">
        <f t="shared" si="203"/>
        <v/>
      </c>
      <c r="CQ20" s="1090">
        <f t="shared" si="53"/>
        <v>0</v>
      </c>
      <c r="CR20" s="1091" t="str">
        <f t="shared" si="54"/>
        <v/>
      </c>
      <c r="CS20" s="1090">
        <f t="shared" si="55"/>
        <v>0</v>
      </c>
      <c r="CT20" s="1091" t="str">
        <f t="shared" si="56"/>
        <v/>
      </c>
      <c r="CU20" s="1088">
        <f t="shared" si="204"/>
        <v>0</v>
      </c>
      <c r="CV20" s="1089" t="str">
        <f t="shared" si="205"/>
        <v/>
      </c>
      <c r="CW20" s="1089" t="str">
        <f t="shared" si="206"/>
        <v/>
      </c>
      <c r="CX20" s="1090">
        <f t="shared" si="207"/>
        <v>0</v>
      </c>
      <c r="CY20" s="1089" t="str">
        <f t="shared" si="208"/>
        <v/>
      </c>
      <c r="CZ20" s="1089" t="str">
        <f t="shared" si="209"/>
        <v/>
      </c>
      <c r="DA20" s="1090">
        <f t="shared" si="210"/>
        <v>0</v>
      </c>
      <c r="DB20" s="1089" t="str">
        <f t="shared" si="211"/>
        <v/>
      </c>
      <c r="DC20" s="1089" t="str">
        <f t="shared" si="212"/>
        <v/>
      </c>
      <c r="DD20" s="1090">
        <f t="shared" si="63"/>
        <v>0</v>
      </c>
      <c r="DE20" s="1091" t="str">
        <f t="shared" si="64"/>
        <v/>
      </c>
      <c r="DF20" s="1090">
        <f t="shared" si="65"/>
        <v>0</v>
      </c>
      <c r="DG20" s="1091" t="str">
        <f t="shared" si="66"/>
        <v/>
      </c>
      <c r="DH20" s="1088">
        <f t="shared" si="213"/>
        <v>0</v>
      </c>
      <c r="DI20" s="1089" t="str">
        <f t="shared" si="214"/>
        <v/>
      </c>
      <c r="DJ20" s="1089" t="str">
        <f t="shared" si="215"/>
        <v/>
      </c>
      <c r="DK20" s="1090">
        <f t="shared" si="216"/>
        <v>0</v>
      </c>
      <c r="DL20" s="1089" t="str">
        <f t="shared" si="217"/>
        <v/>
      </c>
      <c r="DM20" s="1089" t="str">
        <f t="shared" si="218"/>
        <v/>
      </c>
      <c r="DN20" s="1090">
        <f t="shared" si="219"/>
        <v>0</v>
      </c>
      <c r="DO20" s="1089" t="str">
        <f t="shared" si="220"/>
        <v/>
      </c>
      <c r="DP20" s="1089">
        <f t="shared" si="221"/>
        <v>0</v>
      </c>
      <c r="DQ20" s="1090">
        <f t="shared" si="73"/>
        <v>0</v>
      </c>
      <c r="DR20" s="1091" t="str">
        <f t="shared" si="74"/>
        <v/>
      </c>
      <c r="DS20" s="1090">
        <f t="shared" si="75"/>
        <v>0</v>
      </c>
      <c r="DT20" s="1091" t="str">
        <f t="shared" si="76"/>
        <v/>
      </c>
      <c r="DU20" s="1088">
        <f>SUMIFS(BP_SOTIEN,BP_DA,$C20,BP_THANG,DU$2,BP_KM,$E20)/1000</f>
        <v>0</v>
      </c>
      <c r="DV20" s="1089" t="str">
        <f t="shared" si="222"/>
        <v/>
      </c>
      <c r="DW20" s="1089" t="str">
        <f t="shared" si="223"/>
        <v/>
      </c>
      <c r="DX20" s="1090">
        <f>IF(NOW()&gt;=DATE(YEAR(DU$2),MONTH(DU$2)+1,DAY(DU$2)),SUMIFS(TF_SOTIEN,TF_DA,$C20,TF_THANG,DU$2,TF_KM,$E20)/1000, EA20)</f>
        <v>0</v>
      </c>
      <c r="DY20" s="1089" t="str">
        <f t="shared" si="224"/>
        <v/>
      </c>
      <c r="DZ20" s="1089" t="str">
        <f t="shared" si="225"/>
        <v/>
      </c>
      <c r="EA20" s="1090">
        <f>IF(NOW()&gt;=DATE(YEAR(DU$2),MONTH(DU$2)+1,DAY(DU$2)),SUMIFS(AC_SOTIEN,AC_DA,$C20,AC_THANG,DU$2,AC_KM,$E20),SUMIFS(TF_SOTIEN,TF_DA,$C20,TF_THANG,DU$2,TF_KM,$E20))/ 1000</f>
        <v>0</v>
      </c>
      <c r="EB20" s="1089" t="str">
        <f t="shared" si="226"/>
        <v/>
      </c>
      <c r="EC20" s="1089" t="str">
        <f t="shared" si="227"/>
        <v/>
      </c>
      <c r="ED20" s="1090">
        <f t="shared" si="80"/>
        <v>0</v>
      </c>
      <c r="EE20" s="1091" t="str">
        <f t="shared" si="81"/>
        <v/>
      </c>
      <c r="EF20" s="1090">
        <f t="shared" si="82"/>
        <v>0</v>
      </c>
      <c r="EG20" s="1091" t="str">
        <f t="shared" si="83"/>
        <v/>
      </c>
      <c r="EH20" s="1088">
        <f>SUMIFS(BP_SOTIEN,BP_DA,$C20,BP_THANG,EH$2,BP_KM,$E20)/1000</f>
        <v>0</v>
      </c>
      <c r="EI20" s="1089" t="str">
        <f t="shared" si="228"/>
        <v/>
      </c>
      <c r="EJ20" s="1089" t="str">
        <f t="shared" si="229"/>
        <v/>
      </c>
      <c r="EK20" s="1090">
        <f>IF(NOW()&gt;=DATE(YEAR(EH$2),MONTH(EH$2)+1,DAY(EH$2)),SUMIFS(TF_SOTIEN,TF_DA,$C20,TF_THANG,EH$2,TF_KM,$E20)/1000, EN20)</f>
        <v>0</v>
      </c>
      <c r="EL20" s="1089" t="str">
        <f t="shared" si="230"/>
        <v/>
      </c>
      <c r="EM20" s="1089" t="str">
        <f t="shared" si="231"/>
        <v/>
      </c>
      <c r="EN20" s="1090">
        <f>IF(NOW()&gt;=DATE(YEAR(EH$2),MONTH(EH$2)+1,DAY(EH$2)),SUMIFS(AC_SOTIEN,AC_DA,$C20,AC_THANG,EH$2,AC_KM,$E20),SUMIFS(TF_SOTIEN,TF_DA,$C20,TF_THANG,EH$2,TF_KM,$E20))/ 1000</f>
        <v>0</v>
      </c>
      <c r="EO20" s="1089" t="str">
        <f t="shared" si="232"/>
        <v/>
      </c>
      <c r="EP20" s="1089" t="str">
        <f t="shared" si="233"/>
        <v/>
      </c>
      <c r="EQ20" s="1090">
        <f t="shared" si="87"/>
        <v>0</v>
      </c>
      <c r="ER20" s="1091" t="str">
        <f t="shared" si="88"/>
        <v/>
      </c>
      <c r="ES20" s="1090">
        <f t="shared" si="89"/>
        <v>0</v>
      </c>
      <c r="ET20" s="1091" t="str">
        <f t="shared" si="90"/>
        <v/>
      </c>
      <c r="EU20" s="1088">
        <f>SUMIFS(BP_SOTIEN,BP_DA,$C20,BP_THANG,EU$2,BP_KM,$E20)/1000</f>
        <v>0</v>
      </c>
      <c r="EV20" s="1089" t="str">
        <f t="shared" si="234"/>
        <v/>
      </c>
      <c r="EW20" s="1089" t="str">
        <f t="shared" si="235"/>
        <v/>
      </c>
      <c r="EX20" s="1090">
        <f>IF(NOW()&gt;=DATE(YEAR(EU$2),MONTH(EU$2)+1,DAY(EU$2)),SUMIFS(TF_SOTIEN,TF_DA,$C20,TF_THANG,EU$2,TF_KM,$E20)/1000, FA20)</f>
        <v>0</v>
      </c>
      <c r="EY20" s="1089" t="str">
        <f t="shared" si="236"/>
        <v/>
      </c>
      <c r="EZ20" s="1089" t="str">
        <f t="shared" si="237"/>
        <v/>
      </c>
      <c r="FA20" s="1090">
        <f>IF(NOW()&gt;=DATE(YEAR(EU$2),MONTH(EU$2)+1,DAY(EU$2)),SUMIFS(AC_SOTIEN,AC_DA,$C20,AC_THANG,EU$2,AC_KM,$E20),SUMIFS(TF_SOTIEN,TF_DA,$C20,TF_THANG,EU$2,TF_KM,$E20))/ 1000</f>
        <v>0</v>
      </c>
      <c r="FB20" s="1089" t="str">
        <f t="shared" si="238"/>
        <v/>
      </c>
      <c r="FC20" s="1089" t="str">
        <f t="shared" si="239"/>
        <v/>
      </c>
      <c r="FD20" s="1090">
        <f t="shared" si="94"/>
        <v>0</v>
      </c>
      <c r="FE20" s="1091" t="str">
        <f t="shared" si="95"/>
        <v/>
      </c>
      <c r="FF20" s="1090">
        <f t="shared" si="96"/>
        <v>0</v>
      </c>
      <c r="FG20" s="1091" t="str">
        <f t="shared" si="97"/>
        <v/>
      </c>
      <c r="FH20" s="1088">
        <f t="shared" si="240"/>
        <v>0</v>
      </c>
      <c r="FI20" s="1089" t="str">
        <f t="shared" si="241"/>
        <v/>
      </c>
      <c r="FJ20" s="1089" t="str">
        <f t="shared" si="242"/>
        <v/>
      </c>
      <c r="FK20" s="1090">
        <f t="shared" si="243"/>
        <v>0</v>
      </c>
      <c r="FL20" s="1089" t="str">
        <f t="shared" si="244"/>
        <v/>
      </c>
      <c r="FM20" s="1089" t="str">
        <f t="shared" si="245"/>
        <v/>
      </c>
      <c r="FN20" s="1090">
        <f t="shared" si="246"/>
        <v>0</v>
      </c>
      <c r="FO20" s="1089" t="str">
        <f t="shared" si="247"/>
        <v/>
      </c>
      <c r="FP20" s="1089" t="str">
        <f t="shared" si="248"/>
        <v/>
      </c>
      <c r="FQ20" s="1090">
        <f t="shared" si="104"/>
        <v>0</v>
      </c>
      <c r="FR20" s="1091" t="str">
        <f t="shared" si="105"/>
        <v/>
      </c>
      <c r="FS20" s="1090">
        <f t="shared" si="106"/>
        <v>0</v>
      </c>
      <c r="FT20" s="1091" t="str">
        <f t="shared" si="107"/>
        <v/>
      </c>
      <c r="FU20" s="1088">
        <f>SUMIFS(BP_SOTIEN,BP_DA,$C20,BP_THANG,FU$2,BP_KM,$E20)/1000</f>
        <v>0</v>
      </c>
      <c r="FV20" s="1089" t="str">
        <f t="shared" si="249"/>
        <v/>
      </c>
      <c r="FW20" s="1089" t="str">
        <f t="shared" si="250"/>
        <v/>
      </c>
      <c r="FX20" s="1090">
        <f>IF(NOW()&gt;=DATE(YEAR(FU$2),MONTH(FU$2)+1,DAY(FU$2)),SUMIFS(TF_SOTIEN,TF_DA,$C20,TF_THANG,FU$2,TF_KM,$E20)/1000, GA20)</f>
        <v>0</v>
      </c>
      <c r="FY20" s="1089" t="str">
        <f t="shared" si="251"/>
        <v/>
      </c>
      <c r="FZ20" s="1089" t="str">
        <f t="shared" si="252"/>
        <v/>
      </c>
      <c r="GA20" s="1090">
        <f>IF(NOW()&gt;=DATE(YEAR(FU$2),MONTH(FU$2)+1,DAY(FU$2)),SUMIFS(AC_SOTIEN,AC_DA,$C20,AC_THANG,FU$2,AC_KM,$E20),SUMIFS(TF_SOTIEN,TF_DA,$C20,TF_THANG,FU$2,TF_KM,$E20))/ 1000</f>
        <v>0</v>
      </c>
      <c r="GB20" s="1089" t="str">
        <f t="shared" si="253"/>
        <v/>
      </c>
      <c r="GC20" s="1089" t="str">
        <f t="shared" si="254"/>
        <v/>
      </c>
      <c r="GD20" s="1090">
        <f t="shared" si="111"/>
        <v>0</v>
      </c>
      <c r="GE20" s="1091" t="str">
        <f t="shared" si="112"/>
        <v/>
      </c>
      <c r="GF20" s="1090">
        <f t="shared" si="113"/>
        <v>0</v>
      </c>
      <c r="GG20" s="1091" t="str">
        <f t="shared" si="114"/>
        <v/>
      </c>
      <c r="GH20" s="1088">
        <f>SUMIFS(BP_SOTIEN,BP_DA,$C20,BP_THANG,GH$2,BP_KM,$E20)/1000</f>
        <v>0</v>
      </c>
      <c r="GI20" s="1089" t="str">
        <f t="shared" si="255"/>
        <v/>
      </c>
      <c r="GJ20" s="1089" t="str">
        <f t="shared" si="256"/>
        <v/>
      </c>
      <c r="GK20" s="1090">
        <f>IF(NOW()&gt;=DATE(YEAR(GH$2),MONTH(GH$2)+1,DAY(GH$2)),SUMIFS(TF_SOTIEN,TF_DA,$C20,TF_THANG,GH$2,TF_KM,$E20)/1000, GN20)</f>
        <v>0</v>
      </c>
      <c r="GL20" s="1089" t="str">
        <f t="shared" si="257"/>
        <v/>
      </c>
      <c r="GM20" s="1089" t="str">
        <f t="shared" si="258"/>
        <v/>
      </c>
      <c r="GN20" s="1090">
        <f>IF(NOW()&gt;=DATE(YEAR(GH$2),MONTH(GH$2)+1,DAY(GH$2)),SUMIFS(AC_SOTIEN,AC_DA,$C20,AC_THANG,GH$2,AC_KM,$E20),SUMIFS(TF_SOTIEN,TF_DA,$C20,TF_THANG,GH$2,TF_KM,$E20))/ 1000</f>
        <v>0</v>
      </c>
      <c r="GO20" s="1089" t="str">
        <f t="shared" si="259"/>
        <v/>
      </c>
      <c r="GP20" s="1089" t="str">
        <f t="shared" si="260"/>
        <v/>
      </c>
      <c r="GQ20" s="1090">
        <f t="shared" si="118"/>
        <v>0</v>
      </c>
      <c r="GR20" s="1091" t="str">
        <f t="shared" si="119"/>
        <v/>
      </c>
      <c r="GS20" s="1090">
        <f t="shared" si="120"/>
        <v>0</v>
      </c>
      <c r="GT20" s="1091" t="str">
        <f t="shared" si="121"/>
        <v/>
      </c>
      <c r="GU20" s="1088">
        <f>SUMIFS(BP_SOTIEN,BP_DA,$C20,BP_THANG,GU$2,BP_KM,$E20)/1000</f>
        <v>0</v>
      </c>
      <c r="GV20" s="1089" t="str">
        <f t="shared" si="261"/>
        <v/>
      </c>
      <c r="GW20" s="1089" t="str">
        <f t="shared" si="262"/>
        <v/>
      </c>
      <c r="GX20" s="1090">
        <f>IF(NOW()&gt;=DATE(YEAR(GU$2),MONTH(GU$2)+1,DAY(GU$2)),SUMIFS(TF_SOTIEN,TF_DA,$C20,TF_THANG,GU$2,TF_KM,$E20)/1000, HA20)</f>
        <v>0</v>
      </c>
      <c r="GY20" s="1089" t="str">
        <f t="shared" si="263"/>
        <v/>
      </c>
      <c r="GZ20" s="1089" t="str">
        <f t="shared" si="264"/>
        <v/>
      </c>
      <c r="HA20" s="1090">
        <f>IF(NOW()&gt;=DATE(YEAR(GU$2),MONTH(GU$2)+1,DAY(GU$2)),SUMIFS(AC_SOTIEN,AC_DA,$C20,AC_THANG,GU$2,AC_KM,$E20),SUMIFS(TF_SOTIEN,TF_DA,$C20,TF_THANG,GU$2,TF_KM,$E20))/ 1000</f>
        <v>0</v>
      </c>
      <c r="HB20" s="1089" t="str">
        <f t="shared" si="265"/>
        <v/>
      </c>
      <c r="HC20" s="1089" t="str">
        <f t="shared" si="266"/>
        <v/>
      </c>
      <c r="HD20" s="1090">
        <f t="shared" si="125"/>
        <v>0</v>
      </c>
      <c r="HE20" s="1091" t="str">
        <f t="shared" si="126"/>
        <v/>
      </c>
      <c r="HF20" s="1090">
        <f t="shared" si="127"/>
        <v>0</v>
      </c>
      <c r="HG20" s="1091" t="str">
        <f t="shared" si="128"/>
        <v/>
      </c>
      <c r="HH20" s="1088">
        <f t="shared" si="267"/>
        <v>0</v>
      </c>
      <c r="HI20" s="1089" t="str">
        <f t="shared" si="268"/>
        <v/>
      </c>
      <c r="HJ20" s="1089" t="str">
        <f t="shared" si="269"/>
        <v/>
      </c>
      <c r="HK20" s="1090">
        <f t="shared" si="270"/>
        <v>0</v>
      </c>
      <c r="HL20" s="1089" t="str">
        <f t="shared" si="271"/>
        <v/>
      </c>
      <c r="HM20" s="1089" t="str">
        <f t="shared" si="272"/>
        <v/>
      </c>
      <c r="HN20" s="1090">
        <f t="shared" si="273"/>
        <v>0</v>
      </c>
      <c r="HO20" s="1089" t="str">
        <f t="shared" si="274"/>
        <v/>
      </c>
      <c r="HP20" s="1089" t="str">
        <f t="shared" si="275"/>
        <v/>
      </c>
      <c r="HQ20" s="1090">
        <f t="shared" si="135"/>
        <v>0</v>
      </c>
      <c r="HR20" s="1091" t="str">
        <f t="shared" si="136"/>
        <v/>
      </c>
      <c r="HS20" s="1090">
        <f t="shared" si="137"/>
        <v>0</v>
      </c>
      <c r="HT20" s="1091" t="str">
        <f t="shared" si="138"/>
        <v/>
      </c>
      <c r="HU20" s="1088">
        <f t="shared" si="276"/>
        <v>0</v>
      </c>
      <c r="HV20" s="1089" t="str">
        <f t="shared" si="277"/>
        <v/>
      </c>
      <c r="HW20" s="1089" t="str">
        <f t="shared" si="278"/>
        <v/>
      </c>
      <c r="HX20" s="1090">
        <f t="shared" si="279"/>
        <v>0</v>
      </c>
      <c r="HY20" s="1089" t="str">
        <f t="shared" si="280"/>
        <v/>
      </c>
      <c r="HZ20" s="1089" t="str">
        <f t="shared" si="281"/>
        <v/>
      </c>
      <c r="IA20" s="1090">
        <f t="shared" si="282"/>
        <v>0</v>
      </c>
      <c r="IB20" s="1089" t="str">
        <f t="shared" si="283"/>
        <v/>
      </c>
      <c r="IC20" s="1089" t="str">
        <f t="shared" si="284"/>
        <v/>
      </c>
      <c r="ID20" s="1090">
        <f t="shared" si="145"/>
        <v>0</v>
      </c>
      <c r="IE20" s="1091" t="str">
        <f t="shared" si="146"/>
        <v/>
      </c>
      <c r="IF20" s="1090">
        <f t="shared" si="147"/>
        <v>0</v>
      </c>
      <c r="IG20" s="1091" t="str">
        <f t="shared" si="148"/>
        <v/>
      </c>
      <c r="IH20" s="1088">
        <f t="shared" si="285"/>
        <v>0</v>
      </c>
      <c r="II20" s="1089" t="str">
        <f t="shared" si="286"/>
        <v/>
      </c>
      <c r="IJ20" s="1089" t="str">
        <f t="shared" si="287"/>
        <v/>
      </c>
      <c r="IK20" s="1090">
        <f t="shared" si="288"/>
        <v>0</v>
      </c>
      <c r="IL20" s="1089" t="str">
        <f t="shared" si="289"/>
        <v/>
      </c>
      <c r="IM20" s="1089" t="str">
        <f t="shared" si="290"/>
        <v/>
      </c>
      <c r="IN20" s="1090">
        <f t="shared" si="291"/>
        <v>0</v>
      </c>
      <c r="IO20" s="1089" t="str">
        <f t="shared" si="292"/>
        <v/>
      </c>
      <c r="IP20" s="1089">
        <f t="shared" si="293"/>
        <v>0</v>
      </c>
      <c r="IQ20" s="1090">
        <f t="shared" si="155"/>
        <v>0</v>
      </c>
      <c r="IR20" s="1091" t="str">
        <f t="shared" si="1"/>
        <v/>
      </c>
      <c r="IS20" s="1090">
        <f t="shared" si="156"/>
        <v>0</v>
      </c>
      <c r="IT20" s="1091" t="str">
        <f t="shared" si="2"/>
        <v/>
      </c>
    </row>
    <row r="21">
      <c r="A21" s="1086" t="str">
        <f t="shared" si="157"/>
        <v/>
      </c>
      <c r="B21" s="1087"/>
      <c r="C21" s="656"/>
      <c r="D21" s="1087" t="str">
        <f>IF(C21="","",VLOOKUP(C21,DM_DUAN,2,0))</f>
        <v/>
      </c>
      <c r="E21" s="1087" t="s">
        <v>187</v>
      </c>
      <c r="F21" s="1087"/>
      <c r="G21" s="1086">
        <v>2.0</v>
      </c>
      <c r="H21" s="1088">
        <f>SUMIFS(BP_SOTIEN,BP_DOI,$C21,BP_THANG,H$2,BP_KM,$E21)/1000</f>
        <v>0</v>
      </c>
      <c r="I21" s="1089" t="str">
        <f t="shared" si="159"/>
        <v/>
      </c>
      <c r="J21" s="1089" t="str">
        <f t="shared" si="160"/>
        <v/>
      </c>
      <c r="K21" s="1090">
        <f>IF(NOW()&gt;=DATE(YEAR(H$2),MONTH(H$2)+1,DAY(H$2)),SUMIFS(TF_SOTIEN,TF_DOI,$C21,TF_THANG,H$2,TF_KM,$E21)/1000, N21)</f>
        <v>0</v>
      </c>
      <c r="L21" s="1089" t="str">
        <f t="shared" si="161"/>
        <v/>
      </c>
      <c r="M21" s="1089" t="str">
        <f t="shared" si="162"/>
        <v/>
      </c>
      <c r="N21" s="1090">
        <f>IF(NOW()&gt;=DATE(YEAR(H$2),MONTH(H$2)+1,DAY(H$2)),SUMIFS(AC_SOTIEN,AC_DOI,$C21,AC_THANG,H$2,AC_KM,$E21),SUMIFS(TF_SOTIEN,TF_DOI,$C21,TF_THANG,H$2,TF_KM,$E21))/ 1000</f>
        <v>0</v>
      </c>
      <c r="O21" s="1089" t="str">
        <f t="shared" si="163"/>
        <v/>
      </c>
      <c r="P21" s="1089">
        <f t="shared" si="164"/>
        <v>0</v>
      </c>
      <c r="Q21" s="1090">
        <f t="shared" si="8"/>
        <v>0</v>
      </c>
      <c r="R21" s="1091" t="str">
        <f t="shared" si="9"/>
        <v/>
      </c>
      <c r="S21" s="1090">
        <f t="shared" si="10"/>
        <v>0</v>
      </c>
      <c r="T21" s="1091" t="str">
        <f t="shared" si="11"/>
        <v/>
      </c>
      <c r="U21" s="1088">
        <f>SUMIFS(BP_SOTIEN,BP_DA,$C21,BP_THANG,U$2,BP_KM,$E21)/1000</f>
        <v>0</v>
      </c>
      <c r="V21" s="1089" t="str">
        <f t="shared" si="165"/>
        <v/>
      </c>
      <c r="W21" s="1089" t="str">
        <f t="shared" si="166"/>
        <v/>
      </c>
      <c r="X21" s="1090">
        <f>IF(NOW()&gt;=DATE(YEAR(U$2),MONTH(U$2)+1,DAY(U$2)),SUMIFS(TF_SOTIEN,TF_DA,$C21,TF_THANG,U$2,TF_KM,$E21)/1000, AA21)</f>
        <v>0</v>
      </c>
      <c r="Y21" s="1089" t="str">
        <f t="shared" si="167"/>
        <v/>
      </c>
      <c r="Z21" s="1089" t="str">
        <f t="shared" si="168"/>
        <v/>
      </c>
      <c r="AA21" s="1090">
        <f>IF(NOW()&gt;=DATE(YEAR(U$2),MONTH(U$2)+1,DAY(U$2)),SUMIFS(AC_SOTIEN,AC_DA,$C21,AC_THANG,U$2,AC_KM,$E21),SUMIFS(TF_SOTIEN,TF_DA,$C21,TF_THANG,U$2,TF_KM,$E21))/ 1000</f>
        <v>0</v>
      </c>
      <c r="AB21" s="1089" t="str">
        <f t="shared" si="169"/>
        <v/>
      </c>
      <c r="AC21" s="1089" t="str">
        <f t="shared" si="170"/>
        <v/>
      </c>
      <c r="AD21" s="1090">
        <f t="shared" si="15"/>
        <v>0</v>
      </c>
      <c r="AE21" s="1091" t="str">
        <f t="shared" si="16"/>
        <v/>
      </c>
      <c r="AF21" s="1090">
        <f t="shared" si="17"/>
        <v>0</v>
      </c>
      <c r="AG21" s="1091" t="str">
        <f t="shared" si="18"/>
        <v/>
      </c>
      <c r="AH21" s="1088">
        <f>SUMIFS(BP_SOTIEN,BP_DA,$C21,BP_THANG,AH$2,BP_KM,$E21)/1000</f>
        <v>0</v>
      </c>
      <c r="AI21" s="1089" t="str">
        <f t="shared" si="171"/>
        <v/>
      </c>
      <c r="AJ21" s="1089" t="str">
        <f t="shared" si="172"/>
        <v/>
      </c>
      <c r="AK21" s="1090">
        <f>IF(NOW()&gt;=DATE(YEAR(AH$2),MONTH(AH$2)+1,DAY(AH$2)),SUMIFS(TF_SOTIEN,TF_DA,$C21,TF_THANG,AH$2,TF_KM,$E21)/1000, AN21)</f>
        <v>0</v>
      </c>
      <c r="AL21" s="1089" t="str">
        <f t="shared" si="173"/>
        <v/>
      </c>
      <c r="AM21" s="1089" t="str">
        <f t="shared" si="174"/>
        <v/>
      </c>
      <c r="AN21" s="1090">
        <f>IF(NOW()&gt;=DATE(YEAR(AH$2),MONTH(AH$2)+1,DAY(AH$2)),SUMIFS(AC_SOTIEN,AC_DA,$C21,AC_THANG,AH$2,AC_KM,$E21),SUMIFS(TF_SOTIEN,TF_DA,$C21,TF_THANG,AH$2,TF_KM,$E21))/ 1000</f>
        <v>0</v>
      </c>
      <c r="AO21" s="1089" t="str">
        <f t="shared" si="175"/>
        <v/>
      </c>
      <c r="AP21" s="1089" t="str">
        <f t="shared" si="176"/>
        <v/>
      </c>
      <c r="AQ21" s="1090">
        <f t="shared" si="22"/>
        <v>0</v>
      </c>
      <c r="AR21" s="1091" t="str">
        <f t="shared" si="23"/>
        <v/>
      </c>
      <c r="AS21" s="1090">
        <f t="shared" si="24"/>
        <v>0</v>
      </c>
      <c r="AT21" s="1091" t="str">
        <f t="shared" si="25"/>
        <v/>
      </c>
      <c r="AU21" s="1088">
        <f t="shared" si="177"/>
        <v>0</v>
      </c>
      <c r="AV21" s="1089" t="str">
        <f t="shared" si="178"/>
        <v/>
      </c>
      <c r="AW21" s="1089" t="str">
        <f t="shared" si="179"/>
        <v/>
      </c>
      <c r="AX21" s="1090">
        <f t="shared" si="180"/>
        <v>0</v>
      </c>
      <c r="AY21" s="1089" t="str">
        <f t="shared" si="181"/>
        <v/>
      </c>
      <c r="AZ21" s="1089" t="str">
        <f t="shared" si="182"/>
        <v/>
      </c>
      <c r="BA21" s="1090">
        <f t="shared" si="183"/>
        <v>0</v>
      </c>
      <c r="BB21" s="1089" t="str">
        <f t="shared" si="184"/>
        <v/>
      </c>
      <c r="BC21" s="1089">
        <f t="shared" si="185"/>
        <v>0</v>
      </c>
      <c r="BD21" s="1090">
        <f t="shared" si="32"/>
        <v>0</v>
      </c>
      <c r="BE21" s="1091" t="str">
        <f t="shared" si="33"/>
        <v/>
      </c>
      <c r="BF21" s="1090">
        <f t="shared" si="34"/>
        <v>0</v>
      </c>
      <c r="BG21" s="1091" t="str">
        <f t="shared" si="35"/>
        <v/>
      </c>
      <c r="BH21" s="1088">
        <f>SUMIFS(BP_SOTIEN,BP_DA,$C21,BP_THANG,BH$2,BP_KM,$E21)/1000</f>
        <v>0</v>
      </c>
      <c r="BI21" s="1089" t="str">
        <f t="shared" si="186"/>
        <v/>
      </c>
      <c r="BJ21" s="1089" t="str">
        <f t="shared" si="187"/>
        <v/>
      </c>
      <c r="BK21" s="1090">
        <f>IF(NOW()&gt;=DATE(YEAR(BH$2),MONTH(BH$2)+1,DAY(BH$2)),SUMIFS(TF_SOTIEN,TF_DA,$C21,TF_THANG,BH$2,TF_KM,$E21)/1000, BN21)</f>
        <v>0</v>
      </c>
      <c r="BL21" s="1089" t="str">
        <f t="shared" si="188"/>
        <v/>
      </c>
      <c r="BM21" s="1089" t="str">
        <f t="shared" si="189"/>
        <v/>
      </c>
      <c r="BN21" s="1090">
        <f>IF(NOW()&gt;=DATE(YEAR(BH$2),MONTH(BH$2)+1,DAY(BH$2)),SUMIFS(AC_SOTIEN,AC_DA,$C21,AC_THANG,BH$2,AC_KM,$E21),SUMIFS(TF_SOTIEN,TF_DA,$C21,TF_THANG,BH$2,TF_KM,$E21))/ 1000</f>
        <v>0</v>
      </c>
      <c r="BO21" s="1089" t="str">
        <f t="shared" si="190"/>
        <v/>
      </c>
      <c r="BP21" s="1089" t="str">
        <f t="shared" si="191"/>
        <v/>
      </c>
      <c r="BQ21" s="1090">
        <f t="shared" si="39"/>
        <v>0</v>
      </c>
      <c r="BR21" s="1091" t="str">
        <f t="shared" si="40"/>
        <v/>
      </c>
      <c r="BS21" s="1090">
        <f t="shared" si="41"/>
        <v>0</v>
      </c>
      <c r="BT21" s="1091" t="str">
        <f t="shared" si="42"/>
        <v/>
      </c>
      <c r="BU21" s="1088">
        <f>SUMIFS(BP_SOTIEN,BP_DA,$C21,BP_THANG,BU$2,BP_KM,$E21)/1000</f>
        <v>0</v>
      </c>
      <c r="BV21" s="1089" t="str">
        <f t="shared" si="192"/>
        <v/>
      </c>
      <c r="BW21" s="1089" t="str">
        <f t="shared" si="193"/>
        <v/>
      </c>
      <c r="BX21" s="1090">
        <f>IF(NOW()&gt;=DATE(YEAR(BU$2),MONTH(BU$2)+1,DAY(BU$2)),SUMIFS(TF_SOTIEN,TF_DA,$C21,TF_THANG,BU$2,TF_KM,$E21)/1000, CA21)</f>
        <v>0</v>
      </c>
      <c r="BY21" s="1089" t="str">
        <f t="shared" si="194"/>
        <v/>
      </c>
      <c r="BZ21" s="1089" t="str">
        <f t="shared" si="195"/>
        <v/>
      </c>
      <c r="CA21" s="1090">
        <f>IF(NOW()&gt;=DATE(YEAR(BU$2),MONTH(BU$2)+1,DAY(BU$2)),SUMIFS(AC_SOTIEN,AC_DA,$C21,AC_THANG,BU$2,AC_KM,$E21),SUMIFS(TF_SOTIEN,TF_DA,$C21,TF_THANG,BU$2,TF_KM,$E21))/ 1000</f>
        <v>0</v>
      </c>
      <c r="CB21" s="1089" t="str">
        <f t="shared" si="196"/>
        <v/>
      </c>
      <c r="CC21" s="1089" t="str">
        <f t="shared" si="197"/>
        <v/>
      </c>
      <c r="CD21" s="1090">
        <f t="shared" si="46"/>
        <v>0</v>
      </c>
      <c r="CE21" s="1091" t="str">
        <f t="shared" si="47"/>
        <v/>
      </c>
      <c r="CF21" s="1090">
        <f t="shared" si="48"/>
        <v>0</v>
      </c>
      <c r="CG21" s="1091" t="str">
        <f t="shared" si="49"/>
        <v/>
      </c>
      <c r="CH21" s="1088">
        <f>SUMIFS(BP_SOTIEN,BP_DA,$C21,BP_THANG,CH$2,BP_KM,$E21)/1000</f>
        <v>0</v>
      </c>
      <c r="CI21" s="1089" t="str">
        <f t="shared" si="198"/>
        <v/>
      </c>
      <c r="CJ21" s="1089" t="str">
        <f t="shared" si="199"/>
        <v/>
      </c>
      <c r="CK21" s="1090">
        <f>IF(NOW()&gt;=DATE(YEAR(CH$2),MONTH(CH$2)+1,DAY(CH$2)),SUMIFS(TF_SOTIEN,TF_DA,$C21,TF_THANG,CH$2,TF_KM,$E21)/1000, CN21)</f>
        <v>0</v>
      </c>
      <c r="CL21" s="1089" t="str">
        <f t="shared" si="200"/>
        <v/>
      </c>
      <c r="CM21" s="1089" t="str">
        <f t="shared" si="201"/>
        <v/>
      </c>
      <c r="CN21" s="1090">
        <f>IF(NOW()&gt;=DATE(YEAR(CH$2),MONTH(CH$2)+1,DAY(CH$2)),SUMIFS(AC_SOTIEN,AC_DA,$C21,AC_THANG,CH$2,AC_KM,$E21),SUMIFS(TF_SOTIEN,TF_DA,$C21,TF_THANG,CH$2,TF_KM,$E21))/ 1000</f>
        <v>0</v>
      </c>
      <c r="CO21" s="1089" t="str">
        <f t="shared" si="202"/>
        <v/>
      </c>
      <c r="CP21" s="1089" t="str">
        <f t="shared" si="203"/>
        <v/>
      </c>
      <c r="CQ21" s="1090">
        <f t="shared" si="53"/>
        <v>0</v>
      </c>
      <c r="CR21" s="1091" t="str">
        <f t="shared" si="54"/>
        <v/>
      </c>
      <c r="CS21" s="1090">
        <f t="shared" si="55"/>
        <v>0</v>
      </c>
      <c r="CT21" s="1091" t="str">
        <f t="shared" si="56"/>
        <v/>
      </c>
      <c r="CU21" s="1088">
        <f t="shared" si="204"/>
        <v>0</v>
      </c>
      <c r="CV21" s="1089" t="str">
        <f t="shared" si="205"/>
        <v/>
      </c>
      <c r="CW21" s="1089" t="str">
        <f t="shared" si="206"/>
        <v/>
      </c>
      <c r="CX21" s="1090">
        <f t="shared" si="207"/>
        <v>0</v>
      </c>
      <c r="CY21" s="1089" t="str">
        <f t="shared" si="208"/>
        <v/>
      </c>
      <c r="CZ21" s="1089" t="str">
        <f t="shared" si="209"/>
        <v/>
      </c>
      <c r="DA21" s="1090">
        <f t="shared" si="210"/>
        <v>0</v>
      </c>
      <c r="DB21" s="1089" t="str">
        <f t="shared" si="211"/>
        <v/>
      </c>
      <c r="DC21" s="1089" t="str">
        <f t="shared" si="212"/>
        <v/>
      </c>
      <c r="DD21" s="1090">
        <f t="shared" si="63"/>
        <v>0</v>
      </c>
      <c r="DE21" s="1091" t="str">
        <f t="shared" si="64"/>
        <v/>
      </c>
      <c r="DF21" s="1090">
        <f t="shared" si="65"/>
        <v>0</v>
      </c>
      <c r="DG21" s="1091" t="str">
        <f t="shared" si="66"/>
        <v/>
      </c>
      <c r="DH21" s="1088">
        <f t="shared" si="213"/>
        <v>0</v>
      </c>
      <c r="DI21" s="1089" t="str">
        <f t="shared" si="214"/>
        <v/>
      </c>
      <c r="DJ21" s="1089" t="str">
        <f t="shared" si="215"/>
        <v/>
      </c>
      <c r="DK21" s="1090">
        <f t="shared" si="216"/>
        <v>0</v>
      </c>
      <c r="DL21" s="1089" t="str">
        <f t="shared" si="217"/>
        <v/>
      </c>
      <c r="DM21" s="1089" t="str">
        <f t="shared" si="218"/>
        <v/>
      </c>
      <c r="DN21" s="1090">
        <f t="shared" si="219"/>
        <v>0</v>
      </c>
      <c r="DO21" s="1089" t="str">
        <f t="shared" si="220"/>
        <v/>
      </c>
      <c r="DP21" s="1089">
        <f t="shared" si="221"/>
        <v>0</v>
      </c>
      <c r="DQ21" s="1090">
        <f t="shared" si="73"/>
        <v>0</v>
      </c>
      <c r="DR21" s="1091" t="str">
        <f t="shared" si="74"/>
        <v/>
      </c>
      <c r="DS21" s="1090">
        <f t="shared" si="75"/>
        <v>0</v>
      </c>
      <c r="DT21" s="1091" t="str">
        <f t="shared" si="76"/>
        <v/>
      </c>
      <c r="DU21" s="1088">
        <f>SUMIFS(BP_SOTIEN,BP_DA,$C21,BP_THANG,DU$2,BP_KM,$E21)/1000</f>
        <v>0</v>
      </c>
      <c r="DV21" s="1089" t="str">
        <f t="shared" si="222"/>
        <v/>
      </c>
      <c r="DW21" s="1089" t="str">
        <f t="shared" si="223"/>
        <v/>
      </c>
      <c r="DX21" s="1090">
        <f>IF(NOW()&gt;=DATE(YEAR(DU$2),MONTH(DU$2)+1,DAY(DU$2)),SUMIFS(TF_SOTIEN,TF_DA,$C21,TF_THANG,DU$2,TF_KM,$E21)/1000, EA21)</f>
        <v>0</v>
      </c>
      <c r="DY21" s="1089" t="str">
        <f t="shared" si="224"/>
        <v/>
      </c>
      <c r="DZ21" s="1089" t="str">
        <f t="shared" si="225"/>
        <v/>
      </c>
      <c r="EA21" s="1090">
        <f>IF(NOW()&gt;=DATE(YEAR(DU$2),MONTH(DU$2)+1,DAY(DU$2)),SUMIFS(AC_SOTIEN,AC_DA,$C21,AC_THANG,DU$2,AC_KM,$E21),SUMIFS(TF_SOTIEN,TF_DA,$C21,TF_THANG,DU$2,TF_KM,$E21))/ 1000</f>
        <v>0</v>
      </c>
      <c r="EB21" s="1089" t="str">
        <f t="shared" si="226"/>
        <v/>
      </c>
      <c r="EC21" s="1089" t="str">
        <f t="shared" si="227"/>
        <v/>
      </c>
      <c r="ED21" s="1090">
        <f t="shared" si="80"/>
        <v>0</v>
      </c>
      <c r="EE21" s="1091" t="str">
        <f t="shared" si="81"/>
        <v/>
      </c>
      <c r="EF21" s="1090">
        <f t="shared" si="82"/>
        <v>0</v>
      </c>
      <c r="EG21" s="1091" t="str">
        <f t="shared" si="83"/>
        <v/>
      </c>
      <c r="EH21" s="1088">
        <f>SUMIFS(BP_SOTIEN,BP_DA,$C21,BP_THANG,EH$2,BP_KM,$E21)/1000</f>
        <v>0</v>
      </c>
      <c r="EI21" s="1089" t="str">
        <f t="shared" si="228"/>
        <v/>
      </c>
      <c r="EJ21" s="1089" t="str">
        <f t="shared" si="229"/>
        <v/>
      </c>
      <c r="EK21" s="1090">
        <f>IF(NOW()&gt;=DATE(YEAR(EH$2),MONTH(EH$2)+1,DAY(EH$2)),SUMIFS(TF_SOTIEN,TF_DA,$C21,TF_THANG,EH$2,TF_KM,$E21)/1000, EN21)</f>
        <v>0</v>
      </c>
      <c r="EL21" s="1089" t="str">
        <f t="shared" si="230"/>
        <v/>
      </c>
      <c r="EM21" s="1089" t="str">
        <f t="shared" si="231"/>
        <v/>
      </c>
      <c r="EN21" s="1090">
        <f>IF(NOW()&gt;=DATE(YEAR(EH$2),MONTH(EH$2)+1,DAY(EH$2)),SUMIFS(AC_SOTIEN,AC_DA,$C21,AC_THANG,EH$2,AC_KM,$E21),SUMIFS(TF_SOTIEN,TF_DA,$C21,TF_THANG,EH$2,TF_KM,$E21))/ 1000</f>
        <v>0</v>
      </c>
      <c r="EO21" s="1089" t="str">
        <f t="shared" si="232"/>
        <v/>
      </c>
      <c r="EP21" s="1089" t="str">
        <f t="shared" si="233"/>
        <v/>
      </c>
      <c r="EQ21" s="1090">
        <f t="shared" si="87"/>
        <v>0</v>
      </c>
      <c r="ER21" s="1091" t="str">
        <f t="shared" si="88"/>
        <v/>
      </c>
      <c r="ES21" s="1090">
        <f t="shared" si="89"/>
        <v>0</v>
      </c>
      <c r="ET21" s="1091" t="str">
        <f t="shared" si="90"/>
        <v/>
      </c>
      <c r="EU21" s="1088">
        <f>SUMIFS(BP_SOTIEN,BP_DA,$C21,BP_THANG,EU$2,BP_KM,$E21)/1000</f>
        <v>0</v>
      </c>
      <c r="EV21" s="1089" t="str">
        <f t="shared" si="234"/>
        <v/>
      </c>
      <c r="EW21" s="1089" t="str">
        <f t="shared" si="235"/>
        <v/>
      </c>
      <c r="EX21" s="1090">
        <f>IF(NOW()&gt;=DATE(YEAR(EU$2),MONTH(EU$2)+1,DAY(EU$2)),SUMIFS(TF_SOTIEN,TF_DA,$C21,TF_THANG,EU$2,TF_KM,$E21)/1000, FA21)</f>
        <v>0</v>
      </c>
      <c r="EY21" s="1089" t="str">
        <f t="shared" si="236"/>
        <v/>
      </c>
      <c r="EZ21" s="1089" t="str">
        <f t="shared" si="237"/>
        <v/>
      </c>
      <c r="FA21" s="1090">
        <f>IF(NOW()&gt;=DATE(YEAR(EU$2),MONTH(EU$2)+1,DAY(EU$2)),SUMIFS(AC_SOTIEN,AC_DA,$C21,AC_THANG,EU$2,AC_KM,$E21),SUMIFS(TF_SOTIEN,TF_DA,$C21,TF_THANG,EU$2,TF_KM,$E21))/ 1000</f>
        <v>0</v>
      </c>
      <c r="FB21" s="1089" t="str">
        <f t="shared" si="238"/>
        <v/>
      </c>
      <c r="FC21" s="1089" t="str">
        <f t="shared" si="239"/>
        <v/>
      </c>
      <c r="FD21" s="1090">
        <f t="shared" si="94"/>
        <v>0</v>
      </c>
      <c r="FE21" s="1091" t="str">
        <f t="shared" si="95"/>
        <v/>
      </c>
      <c r="FF21" s="1090">
        <f t="shared" si="96"/>
        <v>0</v>
      </c>
      <c r="FG21" s="1091" t="str">
        <f t="shared" si="97"/>
        <v/>
      </c>
      <c r="FH21" s="1088">
        <f t="shared" si="240"/>
        <v>0</v>
      </c>
      <c r="FI21" s="1089" t="str">
        <f t="shared" si="241"/>
        <v/>
      </c>
      <c r="FJ21" s="1089" t="str">
        <f t="shared" si="242"/>
        <v/>
      </c>
      <c r="FK21" s="1090">
        <f t="shared" si="243"/>
        <v>0</v>
      </c>
      <c r="FL21" s="1089" t="str">
        <f t="shared" si="244"/>
        <v/>
      </c>
      <c r="FM21" s="1089" t="str">
        <f t="shared" si="245"/>
        <v/>
      </c>
      <c r="FN21" s="1090">
        <f t="shared" si="246"/>
        <v>0</v>
      </c>
      <c r="FO21" s="1089" t="str">
        <f t="shared" si="247"/>
        <v/>
      </c>
      <c r="FP21" s="1089" t="str">
        <f t="shared" si="248"/>
        <v/>
      </c>
      <c r="FQ21" s="1090">
        <f t="shared" si="104"/>
        <v>0</v>
      </c>
      <c r="FR21" s="1091" t="str">
        <f t="shared" si="105"/>
        <v/>
      </c>
      <c r="FS21" s="1090">
        <f t="shared" si="106"/>
        <v>0</v>
      </c>
      <c r="FT21" s="1091" t="str">
        <f t="shared" si="107"/>
        <v/>
      </c>
      <c r="FU21" s="1088">
        <f>SUMIFS(BP_SOTIEN,BP_DA,$C21,BP_THANG,FU$2,BP_KM,$E21)/1000</f>
        <v>0</v>
      </c>
      <c r="FV21" s="1089" t="str">
        <f t="shared" si="249"/>
        <v/>
      </c>
      <c r="FW21" s="1089" t="str">
        <f t="shared" si="250"/>
        <v/>
      </c>
      <c r="FX21" s="1090">
        <f>IF(NOW()&gt;=DATE(YEAR(FU$2),MONTH(FU$2)+1,DAY(FU$2)),SUMIFS(TF_SOTIEN,TF_DA,$C21,TF_THANG,FU$2,TF_KM,$E21)/1000, GA21)</f>
        <v>0</v>
      </c>
      <c r="FY21" s="1089" t="str">
        <f t="shared" si="251"/>
        <v/>
      </c>
      <c r="FZ21" s="1089" t="str">
        <f t="shared" si="252"/>
        <v/>
      </c>
      <c r="GA21" s="1090">
        <f>IF(NOW()&gt;=DATE(YEAR(FU$2),MONTH(FU$2)+1,DAY(FU$2)),SUMIFS(AC_SOTIEN,AC_DA,$C21,AC_THANG,FU$2,AC_KM,$E21),SUMIFS(TF_SOTIEN,TF_DA,$C21,TF_THANG,FU$2,TF_KM,$E21))/ 1000</f>
        <v>0</v>
      </c>
      <c r="GB21" s="1089" t="str">
        <f t="shared" si="253"/>
        <v/>
      </c>
      <c r="GC21" s="1089" t="str">
        <f t="shared" si="254"/>
        <v/>
      </c>
      <c r="GD21" s="1090">
        <f t="shared" si="111"/>
        <v>0</v>
      </c>
      <c r="GE21" s="1091" t="str">
        <f t="shared" si="112"/>
        <v/>
      </c>
      <c r="GF21" s="1090">
        <f t="shared" si="113"/>
        <v>0</v>
      </c>
      <c r="GG21" s="1091" t="str">
        <f t="shared" si="114"/>
        <v/>
      </c>
      <c r="GH21" s="1088">
        <f>SUMIFS(BP_SOTIEN,BP_DA,$C21,BP_THANG,GH$2,BP_KM,$E21)/1000</f>
        <v>0</v>
      </c>
      <c r="GI21" s="1089" t="str">
        <f t="shared" si="255"/>
        <v/>
      </c>
      <c r="GJ21" s="1089" t="str">
        <f t="shared" si="256"/>
        <v/>
      </c>
      <c r="GK21" s="1090">
        <f>IF(NOW()&gt;=DATE(YEAR(GH$2),MONTH(GH$2)+1,DAY(GH$2)),SUMIFS(TF_SOTIEN,TF_DA,$C21,TF_THANG,GH$2,TF_KM,$E21)/1000, GN21)</f>
        <v>0</v>
      </c>
      <c r="GL21" s="1089" t="str">
        <f t="shared" si="257"/>
        <v/>
      </c>
      <c r="GM21" s="1089" t="str">
        <f t="shared" si="258"/>
        <v/>
      </c>
      <c r="GN21" s="1090">
        <f>IF(NOW()&gt;=DATE(YEAR(GH$2),MONTH(GH$2)+1,DAY(GH$2)),SUMIFS(AC_SOTIEN,AC_DA,$C21,AC_THANG,GH$2,AC_KM,$E21),SUMIFS(TF_SOTIEN,TF_DA,$C21,TF_THANG,GH$2,TF_KM,$E21))/ 1000</f>
        <v>0</v>
      </c>
      <c r="GO21" s="1089" t="str">
        <f t="shared" si="259"/>
        <v/>
      </c>
      <c r="GP21" s="1089" t="str">
        <f t="shared" si="260"/>
        <v/>
      </c>
      <c r="GQ21" s="1090">
        <f t="shared" si="118"/>
        <v>0</v>
      </c>
      <c r="GR21" s="1091" t="str">
        <f t="shared" si="119"/>
        <v/>
      </c>
      <c r="GS21" s="1090">
        <f t="shared" si="120"/>
        <v>0</v>
      </c>
      <c r="GT21" s="1091" t="str">
        <f t="shared" si="121"/>
        <v/>
      </c>
      <c r="GU21" s="1088">
        <f>SUMIFS(BP_SOTIEN,BP_DA,$C21,BP_THANG,GU$2,BP_KM,$E21)/1000</f>
        <v>0</v>
      </c>
      <c r="GV21" s="1089" t="str">
        <f t="shared" si="261"/>
        <v/>
      </c>
      <c r="GW21" s="1089" t="str">
        <f t="shared" si="262"/>
        <v/>
      </c>
      <c r="GX21" s="1090">
        <f>IF(NOW()&gt;=DATE(YEAR(GU$2),MONTH(GU$2)+1,DAY(GU$2)),SUMIFS(TF_SOTIEN,TF_DA,$C21,TF_THANG,GU$2,TF_KM,$E21)/1000, HA21)</f>
        <v>0</v>
      </c>
      <c r="GY21" s="1089" t="str">
        <f t="shared" si="263"/>
        <v/>
      </c>
      <c r="GZ21" s="1089" t="str">
        <f t="shared" si="264"/>
        <v/>
      </c>
      <c r="HA21" s="1090">
        <f>IF(NOW()&gt;=DATE(YEAR(GU$2),MONTH(GU$2)+1,DAY(GU$2)),SUMIFS(AC_SOTIEN,AC_DA,$C21,AC_THANG,GU$2,AC_KM,$E21),SUMIFS(TF_SOTIEN,TF_DA,$C21,TF_THANG,GU$2,TF_KM,$E21))/ 1000</f>
        <v>0</v>
      </c>
      <c r="HB21" s="1089" t="str">
        <f t="shared" si="265"/>
        <v/>
      </c>
      <c r="HC21" s="1089" t="str">
        <f t="shared" si="266"/>
        <v/>
      </c>
      <c r="HD21" s="1090">
        <f t="shared" si="125"/>
        <v>0</v>
      </c>
      <c r="HE21" s="1091" t="str">
        <f t="shared" si="126"/>
        <v/>
      </c>
      <c r="HF21" s="1090">
        <f t="shared" si="127"/>
        <v>0</v>
      </c>
      <c r="HG21" s="1091" t="str">
        <f t="shared" si="128"/>
        <v/>
      </c>
      <c r="HH21" s="1088">
        <f t="shared" si="267"/>
        <v>0</v>
      </c>
      <c r="HI21" s="1089" t="str">
        <f t="shared" si="268"/>
        <v/>
      </c>
      <c r="HJ21" s="1089" t="str">
        <f t="shared" si="269"/>
        <v/>
      </c>
      <c r="HK21" s="1090">
        <f t="shared" si="270"/>
        <v>0</v>
      </c>
      <c r="HL21" s="1089" t="str">
        <f t="shared" si="271"/>
        <v/>
      </c>
      <c r="HM21" s="1089" t="str">
        <f t="shared" si="272"/>
        <v/>
      </c>
      <c r="HN21" s="1090">
        <f t="shared" si="273"/>
        <v>0</v>
      </c>
      <c r="HO21" s="1089" t="str">
        <f t="shared" si="274"/>
        <v/>
      </c>
      <c r="HP21" s="1089" t="str">
        <f t="shared" si="275"/>
        <v/>
      </c>
      <c r="HQ21" s="1090">
        <f t="shared" si="135"/>
        <v>0</v>
      </c>
      <c r="HR21" s="1091" t="str">
        <f t="shared" si="136"/>
        <v/>
      </c>
      <c r="HS21" s="1090">
        <f t="shared" si="137"/>
        <v>0</v>
      </c>
      <c r="HT21" s="1091" t="str">
        <f t="shared" si="138"/>
        <v/>
      </c>
      <c r="HU21" s="1088">
        <f t="shared" si="276"/>
        <v>0</v>
      </c>
      <c r="HV21" s="1089" t="str">
        <f t="shared" si="277"/>
        <v/>
      </c>
      <c r="HW21" s="1089" t="str">
        <f t="shared" si="278"/>
        <v/>
      </c>
      <c r="HX21" s="1090">
        <f t="shared" si="279"/>
        <v>0</v>
      </c>
      <c r="HY21" s="1089" t="str">
        <f t="shared" si="280"/>
        <v/>
      </c>
      <c r="HZ21" s="1089" t="str">
        <f t="shared" si="281"/>
        <v/>
      </c>
      <c r="IA21" s="1090">
        <f t="shared" si="282"/>
        <v>0</v>
      </c>
      <c r="IB21" s="1089" t="str">
        <f t="shared" si="283"/>
        <v/>
      </c>
      <c r="IC21" s="1089" t="str">
        <f t="shared" si="284"/>
        <v/>
      </c>
      <c r="ID21" s="1090">
        <f t="shared" si="145"/>
        <v>0</v>
      </c>
      <c r="IE21" s="1091" t="str">
        <f t="shared" si="146"/>
        <v/>
      </c>
      <c r="IF21" s="1090">
        <f t="shared" si="147"/>
        <v>0</v>
      </c>
      <c r="IG21" s="1091" t="str">
        <f t="shared" si="148"/>
        <v/>
      </c>
      <c r="IH21" s="1088">
        <f t="shared" si="285"/>
        <v>0</v>
      </c>
      <c r="II21" s="1089" t="str">
        <f t="shared" si="286"/>
        <v/>
      </c>
      <c r="IJ21" s="1089" t="str">
        <f t="shared" si="287"/>
        <v/>
      </c>
      <c r="IK21" s="1090">
        <f t="shared" si="288"/>
        <v>0</v>
      </c>
      <c r="IL21" s="1089" t="str">
        <f t="shared" si="289"/>
        <v/>
      </c>
      <c r="IM21" s="1089" t="str">
        <f t="shared" si="290"/>
        <v/>
      </c>
      <c r="IN21" s="1090">
        <f t="shared" si="291"/>
        <v>0</v>
      </c>
      <c r="IO21" s="1089" t="str">
        <f t="shared" si="292"/>
        <v/>
      </c>
      <c r="IP21" s="1089">
        <f t="shared" si="293"/>
        <v>0</v>
      </c>
      <c r="IQ21" s="1090">
        <f t="shared" si="155"/>
        <v>0</v>
      </c>
      <c r="IR21" s="1091" t="str">
        <f t="shared" si="1"/>
        <v/>
      </c>
      <c r="IS21" s="1090">
        <f t="shared" si="156"/>
        <v>0</v>
      </c>
      <c r="IT21" s="1091" t="str">
        <f t="shared" si="2"/>
        <v/>
      </c>
    </row>
    <row r="22">
      <c r="A22" s="1107" t="s">
        <v>2823</v>
      </c>
      <c r="B22" s="1108"/>
      <c r="C22" s="1108"/>
      <c r="D22" s="1108"/>
      <c r="E22" s="1108"/>
      <c r="F22" s="1108"/>
      <c r="G22" s="1108"/>
      <c r="H22" s="1110">
        <f>SUM(H23:H30)</f>
        <v>0</v>
      </c>
      <c r="I22" s="1111" t="str">
        <f>IFERROR(H22/H$13,"")</f>
        <v/>
      </c>
      <c r="J22" s="3"/>
      <c r="K22" s="1142">
        <f>SUM(K23:K30)</f>
        <v>0</v>
      </c>
      <c r="L22" s="1111" t="str">
        <f>IFERROR(K22/K$13,"")</f>
        <v/>
      </c>
      <c r="M22" s="3"/>
      <c r="N22" s="1142">
        <f>SUM(N23:N30)</f>
        <v>0</v>
      </c>
      <c r="O22" s="1111">
        <f>IFERROR(N22/N$13,"")</f>
        <v>0</v>
      </c>
      <c r="P22" s="3"/>
      <c r="Q22" s="1143">
        <f t="shared" si="8"/>
        <v>0</v>
      </c>
      <c r="R22" s="1112" t="str">
        <f t="shared" si="9"/>
        <v/>
      </c>
      <c r="S22" s="1143">
        <f t="shared" si="10"/>
        <v>0</v>
      </c>
      <c r="T22" s="1112" t="str">
        <f t="shared" si="11"/>
        <v/>
      </c>
      <c r="U22" s="1110">
        <f>SUM(U23:U30)</f>
        <v>0</v>
      </c>
      <c r="V22" s="1111" t="str">
        <f>IFERROR(U22/U$13,"")</f>
        <v/>
      </c>
      <c r="W22" s="3"/>
      <c r="X22" s="1142">
        <f>SUM(X23:X30)</f>
        <v>0</v>
      </c>
      <c r="Y22" s="1111" t="str">
        <f>IFERROR(X22/X$13,"")</f>
        <v/>
      </c>
      <c r="Z22" s="3"/>
      <c r="AA22" s="1142">
        <f>SUM(AA23:AA30)</f>
        <v>0</v>
      </c>
      <c r="AB22" s="1111" t="str">
        <f>IFERROR(AA22/AA$13,"")</f>
        <v/>
      </c>
      <c r="AC22" s="3"/>
      <c r="AD22" s="1143">
        <f t="shared" si="15"/>
        <v>0</v>
      </c>
      <c r="AE22" s="1112" t="str">
        <f t="shared" si="16"/>
        <v/>
      </c>
      <c r="AF22" s="1143">
        <f t="shared" si="17"/>
        <v>0</v>
      </c>
      <c r="AG22" s="1112" t="str">
        <f t="shared" si="18"/>
        <v/>
      </c>
      <c r="AH22" s="1110">
        <f>SUM(AH23:AH30)</f>
        <v>0</v>
      </c>
      <c r="AI22" s="1111" t="str">
        <f>IFERROR(AH22/AH$13,"")</f>
        <v/>
      </c>
      <c r="AJ22" s="3"/>
      <c r="AK22" s="1142">
        <f>SUM(AK23:AK30)</f>
        <v>0</v>
      </c>
      <c r="AL22" s="1111" t="str">
        <f>IFERROR(AK22/AK$13,"")</f>
        <v/>
      </c>
      <c r="AM22" s="3"/>
      <c r="AN22" s="1142">
        <f>SUM(AN23:AN30)</f>
        <v>0</v>
      </c>
      <c r="AO22" s="1111" t="str">
        <f>IFERROR(AN22/AN$13,"")</f>
        <v/>
      </c>
      <c r="AP22" s="3"/>
      <c r="AQ22" s="1143">
        <f t="shared" si="22"/>
        <v>0</v>
      </c>
      <c r="AR22" s="1112" t="str">
        <f t="shared" si="23"/>
        <v/>
      </c>
      <c r="AS22" s="1143">
        <f t="shared" si="24"/>
        <v>0</v>
      </c>
      <c r="AT22" s="1112" t="str">
        <f t="shared" si="25"/>
        <v/>
      </c>
      <c r="AU22" s="1110">
        <f t="shared" si="177"/>
        <v>0</v>
      </c>
      <c r="AV22" s="1111" t="str">
        <f>IFERROR(AU22/AU$13,"")</f>
        <v/>
      </c>
      <c r="AW22" s="3"/>
      <c r="AX22" s="1142">
        <f t="shared" si="180"/>
        <v>0</v>
      </c>
      <c r="AY22" s="1111" t="str">
        <f>IFERROR(AX22/AX$13,"")</f>
        <v/>
      </c>
      <c r="AZ22" s="3"/>
      <c r="BA22" s="1143">
        <f>SUMIF(H$3:AT$3,BA$3,H22:AT22)</f>
        <v>0</v>
      </c>
      <c r="BB22" s="1111">
        <f>IFERROR(BA22/BA$13,"")</f>
        <v>0</v>
      </c>
      <c r="BC22" s="3"/>
      <c r="BD22" s="1143">
        <f t="shared" si="32"/>
        <v>0</v>
      </c>
      <c r="BE22" s="1112" t="str">
        <f t="shared" si="33"/>
        <v/>
      </c>
      <c r="BF22" s="1143">
        <f t="shared" si="34"/>
        <v>0</v>
      </c>
      <c r="BG22" s="1112" t="str">
        <f t="shared" si="35"/>
        <v/>
      </c>
      <c r="BH22" s="1110">
        <f>SUM(BH23:BH30)</f>
        <v>0</v>
      </c>
      <c r="BI22" s="1111" t="str">
        <f>IFERROR(BH22/BH$13,"")</f>
        <v/>
      </c>
      <c r="BJ22" s="3"/>
      <c r="BK22" s="1142">
        <f>SUM(BK23:BK30)</f>
        <v>0</v>
      </c>
      <c r="BL22" s="1111" t="str">
        <f>IFERROR(BK22/BK$13,"")</f>
        <v/>
      </c>
      <c r="BM22" s="3"/>
      <c r="BN22" s="1142">
        <f>SUM(BN23:BN30)</f>
        <v>0</v>
      </c>
      <c r="BO22" s="1111" t="str">
        <f>IFERROR(BN22/BN$13,"")</f>
        <v/>
      </c>
      <c r="BP22" s="3"/>
      <c r="BQ22" s="1143">
        <f t="shared" si="39"/>
        <v>0</v>
      </c>
      <c r="BR22" s="1112" t="str">
        <f t="shared" si="40"/>
        <v/>
      </c>
      <c r="BS22" s="1143">
        <f t="shared" si="41"/>
        <v>0</v>
      </c>
      <c r="BT22" s="1112" t="str">
        <f t="shared" si="42"/>
        <v/>
      </c>
      <c r="BU22" s="1110">
        <f>SUM(BU23:BU30)</f>
        <v>0</v>
      </c>
      <c r="BV22" s="1111" t="str">
        <f>IFERROR(BU22/BU$13,"")</f>
        <v/>
      </c>
      <c r="BW22" s="3"/>
      <c r="BX22" s="1142">
        <f>SUM(BX23:BX30)</f>
        <v>0</v>
      </c>
      <c r="BY22" s="1111" t="str">
        <f>IFERROR(BX22/BX$13,"")</f>
        <v/>
      </c>
      <c r="BZ22" s="3"/>
      <c r="CA22" s="1142">
        <f>SUM(CA23:CA30)</f>
        <v>0</v>
      </c>
      <c r="CB22" s="1111" t="str">
        <f>IFERROR(CA22/CA$13,"")</f>
        <v/>
      </c>
      <c r="CC22" s="3"/>
      <c r="CD22" s="1143">
        <f t="shared" si="46"/>
        <v>0</v>
      </c>
      <c r="CE22" s="1112" t="str">
        <f t="shared" si="47"/>
        <v/>
      </c>
      <c r="CF22" s="1143">
        <f t="shared" si="48"/>
        <v>0</v>
      </c>
      <c r="CG22" s="1112" t="str">
        <f t="shared" si="49"/>
        <v/>
      </c>
      <c r="CH22" s="1110">
        <f>SUM(CH23:CH30)</f>
        <v>0</v>
      </c>
      <c r="CI22" s="1111" t="str">
        <f>IFERROR(CH22/CH$13,"")</f>
        <v/>
      </c>
      <c r="CJ22" s="3"/>
      <c r="CK22" s="1142">
        <f>SUM(CK23:CK30)</f>
        <v>0</v>
      </c>
      <c r="CL22" s="1111" t="str">
        <f>IFERROR(CK22/CK$13,"")</f>
        <v/>
      </c>
      <c r="CM22" s="3"/>
      <c r="CN22" s="1142">
        <f>SUM(CN23:CN30)</f>
        <v>0</v>
      </c>
      <c r="CO22" s="1111" t="str">
        <f>IFERROR(CN22/CN$13,"")</f>
        <v/>
      </c>
      <c r="CP22" s="3"/>
      <c r="CQ22" s="1143">
        <f t="shared" si="53"/>
        <v>0</v>
      </c>
      <c r="CR22" s="1112" t="str">
        <f t="shared" si="54"/>
        <v/>
      </c>
      <c r="CS22" s="1143">
        <f t="shared" si="55"/>
        <v>0</v>
      </c>
      <c r="CT22" s="1112" t="str">
        <f t="shared" si="56"/>
        <v/>
      </c>
      <c r="CU22" s="1110">
        <f t="shared" si="204"/>
        <v>0</v>
      </c>
      <c r="CV22" s="1111" t="str">
        <f>IFERROR(CU22/CU$13,"")</f>
        <v/>
      </c>
      <c r="CW22" s="3"/>
      <c r="CX22" s="1142">
        <f t="shared" si="207"/>
        <v>0</v>
      </c>
      <c r="CY22" s="1111" t="str">
        <f>IFERROR(CX22/CX$13,"")</f>
        <v/>
      </c>
      <c r="CZ22" s="3"/>
      <c r="DA22" s="1142">
        <f t="shared" si="210"/>
        <v>0</v>
      </c>
      <c r="DB22" s="1111" t="str">
        <f>IFERROR(DA22/DA$13,"")</f>
        <v/>
      </c>
      <c r="DC22" s="3"/>
      <c r="DD22" s="1143">
        <f t="shared" si="63"/>
        <v>0</v>
      </c>
      <c r="DE22" s="1112" t="str">
        <f t="shared" si="64"/>
        <v/>
      </c>
      <c r="DF22" s="1143">
        <f t="shared" si="65"/>
        <v>0</v>
      </c>
      <c r="DG22" s="1112" t="str">
        <f t="shared" si="66"/>
        <v/>
      </c>
      <c r="DH22" s="1110">
        <f t="shared" si="213"/>
        <v>0</v>
      </c>
      <c r="DI22" s="1111" t="str">
        <f>IFERROR(DH22/DH$13,"")</f>
        <v/>
      </c>
      <c r="DJ22" s="3"/>
      <c r="DK22" s="1142">
        <f t="shared" si="216"/>
        <v>0</v>
      </c>
      <c r="DL22" s="1111" t="str">
        <f>IFERROR(DK22/DK$13,"")</f>
        <v/>
      </c>
      <c r="DM22" s="3"/>
      <c r="DN22" s="1142">
        <f t="shared" si="219"/>
        <v>0</v>
      </c>
      <c r="DO22" s="1111">
        <f>IFERROR(DN22/DN$13,"")</f>
        <v>0</v>
      </c>
      <c r="DP22" s="3"/>
      <c r="DQ22" s="1143">
        <f t="shared" si="73"/>
        <v>0</v>
      </c>
      <c r="DR22" s="1112" t="str">
        <f t="shared" si="74"/>
        <v/>
      </c>
      <c r="DS22" s="1143">
        <f t="shared" si="75"/>
        <v>0</v>
      </c>
      <c r="DT22" s="1112" t="str">
        <f t="shared" si="76"/>
        <v/>
      </c>
      <c r="DU22" s="1110">
        <f>SUM(DU23:DU30)</f>
        <v>0</v>
      </c>
      <c r="DV22" s="1111" t="str">
        <f>IFERROR(DU22/DU$13,"")</f>
        <v/>
      </c>
      <c r="DW22" s="3"/>
      <c r="DX22" s="1142">
        <f>SUM(DX23:DX30)</f>
        <v>0</v>
      </c>
      <c r="DY22" s="1111" t="str">
        <f>IFERROR(DX22/DX$13,"")</f>
        <v/>
      </c>
      <c r="DZ22" s="3"/>
      <c r="EA22" s="1142">
        <f>SUM(EA23:EA30)</f>
        <v>0</v>
      </c>
      <c r="EB22" s="1111" t="str">
        <f>IFERROR(EA22/EA$13,"")</f>
        <v/>
      </c>
      <c r="EC22" s="3"/>
      <c r="ED22" s="1143">
        <f t="shared" si="80"/>
        <v>0</v>
      </c>
      <c r="EE22" s="1112" t="str">
        <f t="shared" si="81"/>
        <v/>
      </c>
      <c r="EF22" s="1143">
        <f t="shared" si="82"/>
        <v>0</v>
      </c>
      <c r="EG22" s="1112" t="str">
        <f t="shared" si="83"/>
        <v/>
      </c>
      <c r="EH22" s="1110">
        <f>SUM(EH23:EH30)</f>
        <v>0</v>
      </c>
      <c r="EI22" s="1111" t="str">
        <f>IFERROR(EH22/EH$13,"")</f>
        <v/>
      </c>
      <c r="EJ22" s="3"/>
      <c r="EK22" s="1142">
        <f>SUM(EK23:EK30)</f>
        <v>0</v>
      </c>
      <c r="EL22" s="1111" t="str">
        <f>IFERROR(EK22/EK$13,"")</f>
        <v/>
      </c>
      <c r="EM22" s="3"/>
      <c r="EN22" s="1142">
        <f>SUM(EN23:EN30)</f>
        <v>0</v>
      </c>
      <c r="EO22" s="1111" t="str">
        <f>IFERROR(EN22/EN$13,"")</f>
        <v/>
      </c>
      <c r="EP22" s="3"/>
      <c r="EQ22" s="1143">
        <f t="shared" si="87"/>
        <v>0</v>
      </c>
      <c r="ER22" s="1112" t="str">
        <f t="shared" si="88"/>
        <v/>
      </c>
      <c r="ES22" s="1143">
        <f t="shared" si="89"/>
        <v>0</v>
      </c>
      <c r="ET22" s="1112" t="str">
        <f t="shared" si="90"/>
        <v/>
      </c>
      <c r="EU22" s="1110">
        <f>SUM(EU23:EU30)</f>
        <v>0</v>
      </c>
      <c r="EV22" s="1111" t="str">
        <f>IFERROR(EU22/EU$13,"")</f>
        <v/>
      </c>
      <c r="EW22" s="3"/>
      <c r="EX22" s="1142">
        <f>SUM(EX23:EX30)</f>
        <v>0</v>
      </c>
      <c r="EY22" s="1111" t="str">
        <f>IFERROR(EX22/EX$13,"")</f>
        <v/>
      </c>
      <c r="EZ22" s="3"/>
      <c r="FA22" s="1142">
        <f>SUM(FA23:FA30)</f>
        <v>0</v>
      </c>
      <c r="FB22" s="1111" t="str">
        <f>IFERROR(FA22/FA$13,"")</f>
        <v/>
      </c>
      <c r="FC22" s="3"/>
      <c r="FD22" s="1143">
        <f t="shared" si="94"/>
        <v>0</v>
      </c>
      <c r="FE22" s="1112" t="str">
        <f t="shared" si="95"/>
        <v/>
      </c>
      <c r="FF22" s="1143">
        <f t="shared" si="96"/>
        <v>0</v>
      </c>
      <c r="FG22" s="1112" t="str">
        <f t="shared" si="97"/>
        <v/>
      </c>
      <c r="FH22" s="1110">
        <f t="shared" si="240"/>
        <v>0</v>
      </c>
      <c r="FI22" s="1111" t="str">
        <f>IFERROR(FH22/FH$13,"")</f>
        <v/>
      </c>
      <c r="FJ22" s="3"/>
      <c r="FK22" s="1142">
        <f t="shared" si="243"/>
        <v>0</v>
      </c>
      <c r="FL22" s="1111" t="str">
        <f>IFERROR(FK22/FK$13,"")</f>
        <v/>
      </c>
      <c r="FM22" s="3"/>
      <c r="FN22" s="1142">
        <f t="shared" si="246"/>
        <v>0</v>
      </c>
      <c r="FO22" s="1111" t="str">
        <f>IFERROR(FN22/FN$13,"")</f>
        <v/>
      </c>
      <c r="FP22" s="3"/>
      <c r="FQ22" s="1143">
        <f t="shared" si="104"/>
        <v>0</v>
      </c>
      <c r="FR22" s="1112" t="str">
        <f t="shared" si="105"/>
        <v/>
      </c>
      <c r="FS22" s="1143">
        <f t="shared" si="106"/>
        <v>0</v>
      </c>
      <c r="FT22" s="1112" t="str">
        <f t="shared" si="107"/>
        <v/>
      </c>
      <c r="FU22" s="1110">
        <f>SUM(FU23:FU30)</f>
        <v>0</v>
      </c>
      <c r="FV22" s="1111" t="str">
        <f>IFERROR(FU22/FU$13,"")</f>
        <v/>
      </c>
      <c r="FW22" s="3"/>
      <c r="FX22" s="1142">
        <f>SUM(FX23:FX30)</f>
        <v>0</v>
      </c>
      <c r="FY22" s="1111" t="str">
        <f>IFERROR(FX22/FX$13,"")</f>
        <v/>
      </c>
      <c r="FZ22" s="3"/>
      <c r="GA22" s="1142">
        <f>SUM(GA23:GA30)</f>
        <v>0</v>
      </c>
      <c r="GB22" s="1111" t="str">
        <f>IFERROR(GA22/GA$13,"")</f>
        <v/>
      </c>
      <c r="GC22" s="3"/>
      <c r="GD22" s="1143">
        <f t="shared" si="111"/>
        <v>0</v>
      </c>
      <c r="GE22" s="1112" t="str">
        <f t="shared" si="112"/>
        <v/>
      </c>
      <c r="GF22" s="1143">
        <f t="shared" si="113"/>
        <v>0</v>
      </c>
      <c r="GG22" s="1112" t="str">
        <f t="shared" si="114"/>
        <v/>
      </c>
      <c r="GH22" s="1110">
        <f>SUM(GH23:GH30)</f>
        <v>0</v>
      </c>
      <c r="GI22" s="1111" t="str">
        <f>IFERROR(GH22/GH$13,"")</f>
        <v/>
      </c>
      <c r="GJ22" s="3"/>
      <c r="GK22" s="1142">
        <f>SUM(GK23:GK30)</f>
        <v>0</v>
      </c>
      <c r="GL22" s="1111" t="str">
        <f>IFERROR(GK22/GK$13,"")</f>
        <v/>
      </c>
      <c r="GM22" s="3"/>
      <c r="GN22" s="1142">
        <f>SUM(GN23:GN30)</f>
        <v>0</v>
      </c>
      <c r="GO22" s="1111" t="str">
        <f>IFERROR(GN22/GN$13,"")</f>
        <v/>
      </c>
      <c r="GP22" s="3"/>
      <c r="GQ22" s="1143">
        <f t="shared" si="118"/>
        <v>0</v>
      </c>
      <c r="GR22" s="1112" t="str">
        <f t="shared" si="119"/>
        <v/>
      </c>
      <c r="GS22" s="1143">
        <f t="shared" si="120"/>
        <v>0</v>
      </c>
      <c r="GT22" s="1112" t="str">
        <f t="shared" si="121"/>
        <v/>
      </c>
      <c r="GU22" s="1110">
        <f>SUM(GU23:GU30)</f>
        <v>0</v>
      </c>
      <c r="GV22" s="1111" t="str">
        <f>IFERROR(GU22/GU$13,"")</f>
        <v/>
      </c>
      <c r="GW22" s="3"/>
      <c r="GX22" s="1142">
        <f>SUM(GX23:GX30)</f>
        <v>0</v>
      </c>
      <c r="GY22" s="1111" t="str">
        <f>IFERROR(GX22/GX$13,"")</f>
        <v/>
      </c>
      <c r="GZ22" s="3"/>
      <c r="HA22" s="1142">
        <f>SUM(HA23:HA30)</f>
        <v>0</v>
      </c>
      <c r="HB22" s="1111" t="str">
        <f>IFERROR(HA22/HA$13,"")</f>
        <v/>
      </c>
      <c r="HC22" s="3"/>
      <c r="HD22" s="1143">
        <f t="shared" si="125"/>
        <v>0</v>
      </c>
      <c r="HE22" s="1112" t="str">
        <f t="shared" si="126"/>
        <v/>
      </c>
      <c r="HF22" s="1143">
        <f t="shared" si="127"/>
        <v>0</v>
      </c>
      <c r="HG22" s="1112" t="str">
        <f t="shared" si="128"/>
        <v/>
      </c>
      <c r="HH22" s="1110">
        <f t="shared" si="267"/>
        <v>0</v>
      </c>
      <c r="HI22" s="1111" t="str">
        <f>IFERROR(HH22/HH$13,"")</f>
        <v/>
      </c>
      <c r="HJ22" s="3"/>
      <c r="HK22" s="1142">
        <f t="shared" si="270"/>
        <v>0</v>
      </c>
      <c r="HL22" s="1111" t="str">
        <f>IFERROR(HK22/HK$13,"")</f>
        <v/>
      </c>
      <c r="HM22" s="3"/>
      <c r="HN22" s="1142">
        <f t="shared" si="273"/>
        <v>0</v>
      </c>
      <c r="HO22" s="1111" t="str">
        <f>IFERROR(HN22/HN$13,"")</f>
        <v/>
      </c>
      <c r="HP22" s="3"/>
      <c r="HQ22" s="1143">
        <f t="shared" si="135"/>
        <v>0</v>
      </c>
      <c r="HR22" s="1112" t="str">
        <f t="shared" si="136"/>
        <v/>
      </c>
      <c r="HS22" s="1143">
        <f t="shared" si="137"/>
        <v>0</v>
      </c>
      <c r="HT22" s="1112" t="str">
        <f t="shared" si="138"/>
        <v/>
      </c>
      <c r="HU22" s="1110">
        <f t="shared" si="276"/>
        <v>0</v>
      </c>
      <c r="HV22" s="1111" t="str">
        <f>IFERROR(HU22/HU$13,"")</f>
        <v/>
      </c>
      <c r="HW22" s="3"/>
      <c r="HX22" s="1142">
        <f t="shared" si="279"/>
        <v>0</v>
      </c>
      <c r="HY22" s="1111" t="str">
        <f>IFERROR(HX22/HX$13,"")</f>
        <v/>
      </c>
      <c r="HZ22" s="3"/>
      <c r="IA22" s="1142">
        <f t="shared" si="282"/>
        <v>0</v>
      </c>
      <c r="IB22" s="1111" t="str">
        <f>IFERROR(IA22/IA$13,"")</f>
        <v/>
      </c>
      <c r="IC22" s="3"/>
      <c r="ID22" s="1143">
        <f t="shared" si="145"/>
        <v>0</v>
      </c>
      <c r="IE22" s="1112" t="str">
        <f t="shared" si="146"/>
        <v/>
      </c>
      <c r="IF22" s="1143">
        <f t="shared" si="147"/>
        <v>0</v>
      </c>
      <c r="IG22" s="1112" t="str">
        <f t="shared" si="148"/>
        <v/>
      </c>
      <c r="IH22" s="1110">
        <f t="shared" si="285"/>
        <v>0</v>
      </c>
      <c r="II22" s="1111" t="str">
        <f>IFERROR(IH22/IH$13,"")</f>
        <v/>
      </c>
      <c r="IJ22" s="3"/>
      <c r="IK22" s="1142">
        <f t="shared" si="288"/>
        <v>0</v>
      </c>
      <c r="IL22" s="1111" t="str">
        <f>IFERROR(IK22/IK$13,"")</f>
        <v/>
      </c>
      <c r="IM22" s="3"/>
      <c r="IN22" s="1142">
        <f t="shared" si="291"/>
        <v>0</v>
      </c>
      <c r="IO22" s="1111">
        <f>IFERROR(IN22/IN$13,"")</f>
        <v>0</v>
      </c>
      <c r="IP22" s="3"/>
      <c r="IQ22" s="1143">
        <f t="shared" si="155"/>
        <v>0</v>
      </c>
      <c r="IR22" s="1112" t="str">
        <f t="shared" si="1"/>
        <v/>
      </c>
      <c r="IS22" s="1143">
        <f t="shared" si="156"/>
        <v>0</v>
      </c>
      <c r="IT22" s="1112" t="str">
        <f t="shared" si="2"/>
        <v/>
      </c>
    </row>
    <row r="23" outlineLevel="1">
      <c r="A23" s="1086">
        <f t="shared" ref="A23:A30" si="294">IF(C23="","",COUNTA(C$23:C23))</f>
        <v>1</v>
      </c>
      <c r="B23" s="1087"/>
      <c r="C23" s="1087" t="s">
        <v>208</v>
      </c>
      <c r="D23" s="1087" t="str">
        <f t="shared" ref="D23:D29" si="295">C23</f>
        <v>THU</v>
      </c>
      <c r="E23" s="1087" t="s">
        <v>2239</v>
      </c>
      <c r="F23" s="1087"/>
      <c r="G23" s="1086">
        <v>2.0</v>
      </c>
      <c r="H23" s="1088">
        <f>SUMIFS(BP_SOTIEN,BP_DOI,$C23,BP_THANG,H$2,BP_KM,$E23)/1000</f>
        <v>0</v>
      </c>
      <c r="I23" s="1091" t="str">
        <f t="shared" ref="I23:I30" si="296">IFERROR(H23/SUMIF($C$14:$C$21,$C23,H$14:H$21),"")</f>
        <v/>
      </c>
      <c r="J23" s="1089" t="str">
        <f t="shared" ref="J23:J30" si="297">IFERROR(H23/H$22,"")</f>
        <v/>
      </c>
      <c r="K23" s="1090">
        <f>IF(NOW()&gt;=DATE(YEAR(H$2),MONTH(H$2)+1,DAY(H$2)),SUMIFS(TF_SOTIEN,TF_DOI,$C23,TF_THANG,H$2,TF_KM,$E23)/1000, N23)</f>
        <v>0</v>
      </c>
      <c r="L23" s="1091" t="str">
        <f t="shared" ref="L23:L30" si="298">IFERROR(K23/SUMIF($C$14:$C$21,$C23,K$14:K$21),"")</f>
        <v/>
      </c>
      <c r="M23" s="1089" t="str">
        <f t="shared" ref="M23:M30" si="299">IFERROR(K23/K$22,"")</f>
        <v/>
      </c>
      <c r="N23" s="1090">
        <f>IF(NOW()&gt;=DATE(YEAR(H$2),MONTH(H$2)+1,DAY(H$2)),SUMIFS(AC_SOTIEN,AC_DOI,$C23,AC_THANG,H$2,AC_KM,$E23),SUMIFS(TF_SOTIEN,TF_DOI,$C23,TF_THANG,H$2,TF_KM,$E23))/ 1000</f>
        <v>0</v>
      </c>
      <c r="O23" s="1091">
        <f t="shared" ref="O23:O30" si="300">IFERROR(N23/SUMIF($C$14:$C$21,$C23,N$14:N$21),"")</f>
        <v>0</v>
      </c>
      <c r="P23" s="1089" t="str">
        <f t="shared" ref="P23:P30" si="301">IFERROR(N23/N$22,"")</f>
        <v/>
      </c>
      <c r="Q23" s="1090">
        <f t="shared" si="8"/>
        <v>0</v>
      </c>
      <c r="R23" s="1091" t="str">
        <f t="shared" si="9"/>
        <v/>
      </c>
      <c r="S23" s="1090">
        <f t="shared" si="10"/>
        <v>0</v>
      </c>
      <c r="T23" s="1091" t="str">
        <f t="shared" si="11"/>
        <v/>
      </c>
      <c r="U23" s="1088">
        <f>SUMIFS(BP_SOTIEN,BP_DA,$C23,BP_THANG,U$2,BP_KM,$E23)/1000</f>
        <v>0</v>
      </c>
      <c r="V23" s="1091" t="str">
        <f t="shared" ref="V23:V30" si="302">IFERROR(U23/SUMIF($C$14:$C$21,$C23,U$14:U$21),"")</f>
        <v/>
      </c>
      <c r="W23" s="1089" t="str">
        <f t="shared" ref="W23:W30" si="303">IFERROR(U23/U$22,"")</f>
        <v/>
      </c>
      <c r="X23" s="1090">
        <f>IF(NOW()&gt;=DATE(YEAR(U$2),MONTH(U$2)+1,DAY(U$2)),SUMIFS(TF_SOTIEN,TF_DA,$C23,TF_THANG,U$2,TF_KM,$E23)/1000, AA23)</f>
        <v>0</v>
      </c>
      <c r="Y23" s="1091" t="str">
        <f t="shared" ref="Y23:Y30" si="304">IFERROR(X23/SUMIF($C$14:$C$21,$C23,X$14:X$21),"")</f>
        <v/>
      </c>
      <c r="Z23" s="1089" t="str">
        <f t="shared" ref="Z23:Z30" si="305">IFERROR(X23/X$22,"")</f>
        <v/>
      </c>
      <c r="AA23" s="1090">
        <f>IF(NOW()&gt;=DATE(YEAR(U$2),MONTH(U$2)+1,DAY(U$2)),SUMIFS(AC_SOTIEN,AC_DA,$C23,AC_THANG,U$2,AC_KM,$E23),SUMIFS(TF_SOTIEN,TF_DA,$C23,TF_THANG,U$2,TF_KM,$E23))/ 1000</f>
        <v>0</v>
      </c>
      <c r="AB23" s="1091" t="str">
        <f t="shared" ref="AB23:AB30" si="306">IFERROR(AA23/SUMIF($C$14:$C$21,$C23,AA$14:AA$21),"")</f>
        <v/>
      </c>
      <c r="AC23" s="1089" t="str">
        <f t="shared" ref="AC23:AC30" si="307">IFERROR(AA23/AA$22,"")</f>
        <v/>
      </c>
      <c r="AD23" s="1090">
        <f t="shared" si="15"/>
        <v>0</v>
      </c>
      <c r="AE23" s="1091" t="str">
        <f t="shared" si="16"/>
        <v/>
      </c>
      <c r="AF23" s="1090">
        <f t="shared" si="17"/>
        <v>0</v>
      </c>
      <c r="AG23" s="1091" t="str">
        <f t="shared" si="18"/>
        <v/>
      </c>
      <c r="AH23" s="1088">
        <f>SUMIFS(BP_SOTIEN,BP_DA,$C23,BP_THANG,AH$2,BP_KM,$E23)/1000</f>
        <v>0</v>
      </c>
      <c r="AI23" s="1091" t="str">
        <f t="shared" ref="AI23:AI30" si="308">IFERROR(AH23/SUMIF($C$14:$C$21,$C23,AH$14:AH$21),"")</f>
        <v/>
      </c>
      <c r="AJ23" s="1089" t="str">
        <f t="shared" ref="AJ23:AJ30" si="309">IFERROR(AH23/AH$22,"")</f>
        <v/>
      </c>
      <c r="AK23" s="1090">
        <f>IF(NOW()&gt;=DATE(YEAR(AH$2),MONTH(AH$2)+1,DAY(AH$2)),SUMIFS(TF_SOTIEN,TF_DA,$C23,TF_THANG,AH$2,TF_KM,$E23)/1000, AN23)</f>
        <v>0</v>
      </c>
      <c r="AL23" s="1091" t="str">
        <f t="shared" ref="AL23:AL30" si="310">IFERROR(AK23/SUMIF($C$14:$C$21,$C23,AK$14:AK$21),"")</f>
        <v/>
      </c>
      <c r="AM23" s="1089" t="str">
        <f t="shared" ref="AM23:AM30" si="311">IFERROR(AK23/AK$22,"")</f>
        <v/>
      </c>
      <c r="AN23" s="1090">
        <f>IF(NOW()&gt;=DATE(YEAR(AH$2),MONTH(AH$2)+1,DAY(AH$2)),SUMIFS(AC_SOTIEN,AC_DA,$C23,AC_THANG,AH$2,AC_KM,$E23),SUMIFS(TF_SOTIEN,TF_DA,$C23,TF_THANG,AH$2,TF_KM,$E23))/ 1000</f>
        <v>0</v>
      </c>
      <c r="AO23" s="1091" t="str">
        <f t="shared" ref="AO23:AO30" si="312">IFERROR(AN23/SUMIF($C$14:$C$21,$C23,AN$14:AN$21),"")</f>
        <v/>
      </c>
      <c r="AP23" s="1089" t="str">
        <f t="shared" ref="AP23:AP30" si="313">IFERROR(AN23/AN$22,"")</f>
        <v/>
      </c>
      <c r="AQ23" s="1090">
        <f t="shared" si="22"/>
        <v>0</v>
      </c>
      <c r="AR23" s="1091" t="str">
        <f t="shared" si="23"/>
        <v/>
      </c>
      <c r="AS23" s="1090">
        <f t="shared" si="24"/>
        <v>0</v>
      </c>
      <c r="AT23" s="1091" t="str">
        <f t="shared" si="25"/>
        <v/>
      </c>
      <c r="AU23" s="1088">
        <f t="shared" si="177"/>
        <v>0</v>
      </c>
      <c r="AV23" s="1091" t="str">
        <f t="shared" ref="AV23:AV30" si="314">IFERROR(AU23/SUMIF($C$14:$C$21,$C23,AU$14:AU$21),"")</f>
        <v/>
      </c>
      <c r="AW23" s="1089" t="str">
        <f t="shared" ref="AW23:AW30" si="315">IFERROR(AU23/AU$22,"")</f>
        <v/>
      </c>
      <c r="AX23" s="1090">
        <f t="shared" si="180"/>
        <v>0</v>
      </c>
      <c r="AY23" s="1091" t="str">
        <f t="shared" ref="AY23:AY30" si="316">IFERROR(AX23/SUMIF($C$14:$C$21,$C23,AX$14:AX$21),"")</f>
        <v/>
      </c>
      <c r="AZ23" s="1089" t="str">
        <f t="shared" ref="AZ23:AZ30" si="317">IFERROR(AX23/AX$22,"")</f>
        <v/>
      </c>
      <c r="BA23" s="1090">
        <f t="shared" ref="BA23:BA30" si="318">SUMIF(H$3:AT$3,"AC",H23:AT23)+SUMIF(H$3:AT$3,"TF",H23:AT23)</f>
        <v>0</v>
      </c>
      <c r="BB23" s="1091">
        <f t="shared" ref="BB23:BB30" si="319">IFERROR(BA23/SUMIF($C$14:$C$21,$C23,BA$14:BA$21),"")</f>
        <v>0</v>
      </c>
      <c r="BC23" s="1089" t="str">
        <f t="shared" ref="BC23:BC30" si="320">IFERROR(BA23/BA$22,"")</f>
        <v/>
      </c>
      <c r="BD23" s="1090">
        <f t="shared" si="32"/>
        <v>0</v>
      </c>
      <c r="BE23" s="1091" t="str">
        <f t="shared" si="33"/>
        <v/>
      </c>
      <c r="BF23" s="1090">
        <f t="shared" si="34"/>
        <v>0</v>
      </c>
      <c r="BG23" s="1091" t="str">
        <f t="shared" si="35"/>
        <v/>
      </c>
      <c r="BH23" s="1088">
        <f>SUMIFS(BP_SOTIEN,BP_DA,$C23,BP_THANG,BH$2,BP_KM,$E23)/1000</f>
        <v>0</v>
      </c>
      <c r="BI23" s="1091" t="str">
        <f t="shared" ref="BI23:BI30" si="321">IFERROR(BH23/SUMIF($C$14:$C$21,$C23,BH$14:BH$21),"")</f>
        <v/>
      </c>
      <c r="BJ23" s="1089" t="str">
        <f t="shared" ref="BJ23:BJ30" si="322">IFERROR(BH23/BH$22,"")</f>
        <v/>
      </c>
      <c r="BK23" s="1090">
        <f>IF(NOW()&gt;=DATE(YEAR(BH$2),MONTH(BH$2)+1,DAY(BH$2)),SUMIFS(TF_SOTIEN,TF_DA,$C23,TF_THANG,BH$2,TF_KM,$E23)/1000, BN23)</f>
        <v>0</v>
      </c>
      <c r="BL23" s="1091" t="str">
        <f t="shared" ref="BL23:BL30" si="323">IFERROR(BK23/SUMIF($C$14:$C$21,$C23,BK$14:BK$21),"")</f>
        <v/>
      </c>
      <c r="BM23" s="1089" t="str">
        <f t="shared" ref="BM23:BM30" si="324">IFERROR(BK23/BK$22,"")</f>
        <v/>
      </c>
      <c r="BN23" s="1090">
        <f>IF(NOW()&gt;=DATE(YEAR(BH$2),MONTH(BH$2)+1,DAY(BH$2)),SUMIFS(AC_SOTIEN,AC_DA,$C23,AC_THANG,BH$2,AC_KM,$E23),SUMIFS(TF_SOTIEN,TF_DA,$C23,TF_THANG,BH$2,TF_KM,$E23))/ 1000</f>
        <v>0</v>
      </c>
      <c r="BO23" s="1091" t="str">
        <f t="shared" ref="BO23:BO30" si="325">IFERROR(BN23/SUMIF($C$14:$C$21,$C23,BN$14:BN$21),"")</f>
        <v/>
      </c>
      <c r="BP23" s="1089" t="str">
        <f t="shared" ref="BP23:BP30" si="326">IFERROR(BN23/BN$22,"")</f>
        <v/>
      </c>
      <c r="BQ23" s="1090">
        <f t="shared" si="39"/>
        <v>0</v>
      </c>
      <c r="BR23" s="1091" t="str">
        <f t="shared" si="40"/>
        <v/>
      </c>
      <c r="BS23" s="1090">
        <f t="shared" si="41"/>
        <v>0</v>
      </c>
      <c r="BT23" s="1091" t="str">
        <f t="shared" si="42"/>
        <v/>
      </c>
      <c r="BU23" s="1088">
        <f>SUMIFS(BP_SOTIEN,BP_DA,$C23,BP_THANG,BU$2,BP_KM,$E23)/1000</f>
        <v>0</v>
      </c>
      <c r="BV23" s="1091" t="str">
        <f t="shared" ref="BV23:BV30" si="327">IFERROR(BU23/SUMIF($C$14:$C$21,$C23,BU$14:BU$21),"")</f>
        <v/>
      </c>
      <c r="BW23" s="1089" t="str">
        <f t="shared" ref="BW23:BW30" si="328">IFERROR(BU23/BU$22,"")</f>
        <v/>
      </c>
      <c r="BX23" s="1090">
        <f>IF(NOW()&gt;=DATE(YEAR(BU$2),MONTH(BU$2)+1,DAY(BU$2)),SUMIFS(TF_SOTIEN,TF_DA,$C23,TF_THANG,BU$2,TF_KM,$E23)/1000, CA23)</f>
        <v>0</v>
      </c>
      <c r="BY23" s="1091" t="str">
        <f t="shared" ref="BY23:BY30" si="329">IFERROR(BX23/SUMIF($C$14:$C$21,$C23,BX$14:BX$21),"")</f>
        <v/>
      </c>
      <c r="BZ23" s="1089" t="str">
        <f t="shared" ref="BZ23:BZ30" si="330">IFERROR(BX23/BX$22,"")</f>
        <v/>
      </c>
      <c r="CA23" s="1090">
        <f>IF(NOW()&gt;=DATE(YEAR(BU$2),MONTH(BU$2)+1,DAY(BU$2)),SUMIFS(AC_SOTIEN,AC_DA,$C23,AC_THANG,BU$2,AC_KM,$E23),SUMIFS(TF_SOTIEN,TF_DA,$C23,TF_THANG,BU$2,TF_KM,$E23))/ 1000</f>
        <v>0</v>
      </c>
      <c r="CB23" s="1091" t="str">
        <f t="shared" ref="CB23:CB30" si="331">IFERROR(CA23/SUMIF($C$14:$C$21,$C23,CA$14:CA$21),"")</f>
        <v/>
      </c>
      <c r="CC23" s="1089" t="str">
        <f t="shared" ref="CC23:CC30" si="332">IFERROR(CA23/CA$22,"")</f>
        <v/>
      </c>
      <c r="CD23" s="1090">
        <f t="shared" si="46"/>
        <v>0</v>
      </c>
      <c r="CE23" s="1091" t="str">
        <f t="shared" si="47"/>
        <v/>
      </c>
      <c r="CF23" s="1090">
        <f t="shared" si="48"/>
        <v>0</v>
      </c>
      <c r="CG23" s="1091" t="str">
        <f t="shared" si="49"/>
        <v/>
      </c>
      <c r="CH23" s="1088">
        <f>SUMIFS(BP_SOTIEN,BP_DA,$C23,BP_THANG,CH$2,BP_KM,$E23)/1000</f>
        <v>0</v>
      </c>
      <c r="CI23" s="1091" t="str">
        <f t="shared" ref="CI23:CI30" si="333">IFERROR(CH23/SUMIF($C$14:$C$21,$C23,CH$14:CH$21),"")</f>
        <v/>
      </c>
      <c r="CJ23" s="1089" t="str">
        <f t="shared" ref="CJ23:CJ30" si="334">IFERROR(CH23/CH$22,"")</f>
        <v/>
      </c>
      <c r="CK23" s="1090">
        <f>IF(NOW()&gt;=DATE(YEAR(CH$2),MONTH(CH$2)+1,DAY(CH$2)),SUMIFS(TF_SOTIEN,TF_DA,$C23,TF_THANG,CH$2,TF_KM,$E23)/1000, CN23)</f>
        <v>0</v>
      </c>
      <c r="CL23" s="1091" t="str">
        <f t="shared" ref="CL23:CL30" si="335">IFERROR(CK23/SUMIF($C$14:$C$21,$C23,CK$14:CK$21),"")</f>
        <v/>
      </c>
      <c r="CM23" s="1089" t="str">
        <f t="shared" ref="CM23:CM30" si="336">IFERROR(CK23/CK$22,"")</f>
        <v/>
      </c>
      <c r="CN23" s="1090">
        <f>IF(NOW()&gt;=DATE(YEAR(CH$2),MONTH(CH$2)+1,DAY(CH$2)),SUMIFS(AC_SOTIEN,AC_DA,$C23,AC_THANG,CH$2,AC_KM,$E23),SUMIFS(TF_SOTIEN,TF_DA,$C23,TF_THANG,CH$2,TF_KM,$E23))/ 1000</f>
        <v>0</v>
      </c>
      <c r="CO23" s="1091" t="str">
        <f t="shared" ref="CO23:CO30" si="337">IFERROR(CN23/SUMIF($C$14:$C$21,$C23,CN$14:CN$21),"")</f>
        <v/>
      </c>
      <c r="CP23" s="1089" t="str">
        <f t="shared" ref="CP23:CP30" si="338">IFERROR(CN23/CN$22,"")</f>
        <v/>
      </c>
      <c r="CQ23" s="1090">
        <f t="shared" si="53"/>
        <v>0</v>
      </c>
      <c r="CR23" s="1091" t="str">
        <f t="shared" si="54"/>
        <v/>
      </c>
      <c r="CS23" s="1090">
        <f t="shared" si="55"/>
        <v>0</v>
      </c>
      <c r="CT23" s="1091" t="str">
        <f t="shared" si="56"/>
        <v/>
      </c>
      <c r="CU23" s="1088">
        <f t="shared" si="204"/>
        <v>0</v>
      </c>
      <c r="CV23" s="1091" t="str">
        <f t="shared" ref="CV23:CV30" si="339">IFERROR(CU23/SUMIF($C$14:$C$21,$C23,CU$14:CU$21),"")</f>
        <v/>
      </c>
      <c r="CW23" s="1089" t="str">
        <f t="shared" ref="CW23:CW30" si="340">IFERROR(CU23/CU$22,"")</f>
        <v/>
      </c>
      <c r="CX23" s="1090">
        <f t="shared" si="207"/>
        <v>0</v>
      </c>
      <c r="CY23" s="1091" t="str">
        <f t="shared" ref="CY23:CY30" si="341">IFERROR(CX23/SUMIF($C$14:$C$21,$C23,CX$14:CX$21),"")</f>
        <v/>
      </c>
      <c r="CZ23" s="1089" t="str">
        <f t="shared" ref="CZ23:CZ30" si="342">IFERROR(CX23/CX$22,"")</f>
        <v/>
      </c>
      <c r="DA23" s="1090">
        <f t="shared" si="210"/>
        <v>0</v>
      </c>
      <c r="DB23" s="1091" t="str">
        <f t="shared" ref="DB23:DB30" si="343">IFERROR(DA23/SUMIF($C$14:$C$21,$C23,DA$14:DA$21),"")</f>
        <v/>
      </c>
      <c r="DC23" s="1089" t="str">
        <f t="shared" ref="DC23:DC30" si="344">IFERROR(DA23/DA$22,"")</f>
        <v/>
      </c>
      <c r="DD23" s="1090">
        <f t="shared" si="63"/>
        <v>0</v>
      </c>
      <c r="DE23" s="1091" t="str">
        <f t="shared" si="64"/>
        <v/>
      </c>
      <c r="DF23" s="1090">
        <f t="shared" si="65"/>
        <v>0</v>
      </c>
      <c r="DG23" s="1091" t="str">
        <f t="shared" si="66"/>
        <v/>
      </c>
      <c r="DH23" s="1088">
        <f t="shared" si="213"/>
        <v>0</v>
      </c>
      <c r="DI23" s="1091" t="str">
        <f t="shared" ref="DI23:DI30" si="345">IFERROR(DH23/SUMIF($C$14:$C$21,$C23,DH$14:DH$21),"")</f>
        <v/>
      </c>
      <c r="DJ23" s="1089" t="str">
        <f t="shared" ref="DJ23:DJ30" si="346">IFERROR(DH23/DH$22,"")</f>
        <v/>
      </c>
      <c r="DK23" s="1090">
        <f t="shared" si="216"/>
        <v>0</v>
      </c>
      <c r="DL23" s="1091" t="str">
        <f t="shared" ref="DL23:DL30" si="347">IFERROR(DK23/SUMIF($C$14:$C$21,$C23,DK$14:DK$21),"")</f>
        <v/>
      </c>
      <c r="DM23" s="1089" t="str">
        <f t="shared" ref="DM23:DM30" si="348">IFERROR(DK23/DK$22,"")</f>
        <v/>
      </c>
      <c r="DN23" s="1090">
        <f t="shared" si="219"/>
        <v>0</v>
      </c>
      <c r="DO23" s="1091">
        <f t="shared" ref="DO23:DO30" si="349">IFERROR(DN23/SUMIF($C$14:$C$21,$C23,DN$14:DN$21),"")</f>
        <v>0</v>
      </c>
      <c r="DP23" s="1089" t="str">
        <f t="shared" ref="DP23:DP30" si="350">IFERROR(DN23/DN$22,"")</f>
        <v/>
      </c>
      <c r="DQ23" s="1090">
        <f t="shared" si="73"/>
        <v>0</v>
      </c>
      <c r="DR23" s="1091" t="str">
        <f t="shared" si="74"/>
        <v/>
      </c>
      <c r="DS23" s="1090">
        <f t="shared" si="75"/>
        <v>0</v>
      </c>
      <c r="DT23" s="1091" t="str">
        <f t="shared" si="76"/>
        <v/>
      </c>
      <c r="DU23" s="1088">
        <f>SUMIFS(BP_SOTIEN,BP_DA,$C23,BP_THANG,DU$2,BP_KM,$E23)/1000</f>
        <v>0</v>
      </c>
      <c r="DV23" s="1091" t="str">
        <f t="shared" ref="DV23:DV30" si="351">IFERROR(DU23/SUMIF($C$14:$C$21,$C23,DU$14:DU$21),"")</f>
        <v/>
      </c>
      <c r="DW23" s="1089" t="str">
        <f t="shared" ref="DW23:DW30" si="352">IFERROR(DU23/DU$22,"")</f>
        <v/>
      </c>
      <c r="DX23" s="1090">
        <f>IF(NOW()&gt;=DATE(YEAR(DU$2),MONTH(DU$2)+1,DAY(DU$2)),SUMIFS(TF_SOTIEN,TF_DA,$C23,TF_THANG,DU$2,TF_KM,$E23)/1000, EA23)</f>
        <v>0</v>
      </c>
      <c r="DY23" s="1091" t="str">
        <f t="shared" ref="DY23:DY30" si="353">IFERROR(DX23/SUMIF($C$14:$C$21,$C23,DX$14:DX$21),"")</f>
        <v/>
      </c>
      <c r="DZ23" s="1089" t="str">
        <f t="shared" ref="DZ23:DZ30" si="354">IFERROR(DX23/DX$22,"")</f>
        <v/>
      </c>
      <c r="EA23" s="1090">
        <f>IF(NOW()&gt;=DATE(YEAR(DU$2),MONTH(DU$2)+1,DAY(DU$2)),SUMIFS(AC_SOTIEN,AC_DA,$C23,AC_THANG,DU$2,AC_KM,$E23),SUMIFS(TF_SOTIEN,TF_DA,$C23,TF_THANG,DU$2,TF_KM,$E23))/ 1000</f>
        <v>0</v>
      </c>
      <c r="EB23" s="1091" t="str">
        <f t="shared" ref="EB23:EB30" si="355">IFERROR(EA23/SUMIF($C$14:$C$21,$C23,EA$14:EA$21),"")</f>
        <v/>
      </c>
      <c r="EC23" s="1089" t="str">
        <f t="shared" ref="EC23:EC30" si="356">IFERROR(EA23/EA$22,"")</f>
        <v/>
      </c>
      <c r="ED23" s="1090">
        <f t="shared" si="80"/>
        <v>0</v>
      </c>
      <c r="EE23" s="1091" t="str">
        <f t="shared" si="81"/>
        <v/>
      </c>
      <c r="EF23" s="1090">
        <f t="shared" si="82"/>
        <v>0</v>
      </c>
      <c r="EG23" s="1091" t="str">
        <f t="shared" si="83"/>
        <v/>
      </c>
      <c r="EH23" s="1088">
        <f>SUMIFS(BP_SOTIEN,BP_DA,$C23,BP_THANG,EH$2,BP_KM,$E23)/1000</f>
        <v>0</v>
      </c>
      <c r="EI23" s="1091" t="str">
        <f t="shared" ref="EI23:EI30" si="357">IFERROR(EH23/SUMIF($C$14:$C$21,$C23,EH$14:EH$21),"")</f>
        <v/>
      </c>
      <c r="EJ23" s="1089" t="str">
        <f t="shared" ref="EJ23:EJ30" si="358">IFERROR(EH23/EH$22,"")</f>
        <v/>
      </c>
      <c r="EK23" s="1090">
        <f>IF(NOW()&gt;=DATE(YEAR(EH$2),MONTH(EH$2)+1,DAY(EH$2)),SUMIFS(TF_SOTIEN,TF_DA,$C23,TF_THANG,EH$2,TF_KM,$E23)/1000, EN23)</f>
        <v>0</v>
      </c>
      <c r="EL23" s="1091" t="str">
        <f t="shared" ref="EL23:EL30" si="359">IFERROR(EK23/SUMIF($C$14:$C$21,$C23,EK$14:EK$21),"")</f>
        <v/>
      </c>
      <c r="EM23" s="1089" t="str">
        <f t="shared" ref="EM23:EM30" si="360">IFERROR(EK23/EK$22,"")</f>
        <v/>
      </c>
      <c r="EN23" s="1090">
        <f>IF(NOW()&gt;=DATE(YEAR(EH$2),MONTH(EH$2)+1,DAY(EH$2)),SUMIFS(AC_SOTIEN,AC_DA,$C23,AC_THANG,EH$2,AC_KM,$E23),SUMIFS(TF_SOTIEN,TF_DA,$C23,TF_THANG,EH$2,TF_KM,$E23))/ 1000</f>
        <v>0</v>
      </c>
      <c r="EO23" s="1091" t="str">
        <f t="shared" ref="EO23:EO30" si="361">IFERROR(EN23/SUMIF($C$14:$C$21,$C23,EN$14:EN$21),"")</f>
        <v/>
      </c>
      <c r="EP23" s="1089" t="str">
        <f t="shared" ref="EP23:EP30" si="362">IFERROR(EN23/EN$22,"")</f>
        <v/>
      </c>
      <c r="EQ23" s="1090">
        <f t="shared" si="87"/>
        <v>0</v>
      </c>
      <c r="ER23" s="1091" t="str">
        <f t="shared" si="88"/>
        <v/>
      </c>
      <c r="ES23" s="1090">
        <f t="shared" si="89"/>
        <v>0</v>
      </c>
      <c r="ET23" s="1091" t="str">
        <f t="shared" si="90"/>
        <v/>
      </c>
      <c r="EU23" s="1088">
        <f>SUMIFS(BP_SOTIEN,BP_DA,$C23,BP_THANG,EU$2,BP_KM,$E23)/1000</f>
        <v>0</v>
      </c>
      <c r="EV23" s="1091" t="str">
        <f t="shared" ref="EV23:EV30" si="363">IFERROR(EU23/SUMIF($C$14:$C$21,$C23,EU$14:EU$21),"")</f>
        <v/>
      </c>
      <c r="EW23" s="1089" t="str">
        <f t="shared" ref="EW23:EW30" si="364">IFERROR(EU23/EU$22,"")</f>
        <v/>
      </c>
      <c r="EX23" s="1090">
        <f>IF(NOW()&gt;=DATE(YEAR(EU$2),MONTH(EU$2)+1,DAY(EU$2)),SUMIFS(TF_SOTIEN,TF_DA,$C23,TF_THANG,EU$2,TF_KM,$E23)/1000, FA23)</f>
        <v>0</v>
      </c>
      <c r="EY23" s="1091" t="str">
        <f t="shared" ref="EY23:EY30" si="365">IFERROR(EX23/SUMIF($C$14:$C$21,$C23,EX$14:EX$21),"")</f>
        <v/>
      </c>
      <c r="EZ23" s="1089" t="str">
        <f t="shared" ref="EZ23:EZ30" si="366">IFERROR(EX23/EX$22,"")</f>
        <v/>
      </c>
      <c r="FA23" s="1090">
        <f>IF(NOW()&gt;=DATE(YEAR(EU$2),MONTH(EU$2)+1,DAY(EU$2)),SUMIFS(AC_SOTIEN,AC_DA,$C23,AC_THANG,EU$2,AC_KM,$E23),SUMIFS(TF_SOTIEN,TF_DA,$C23,TF_THANG,EU$2,TF_KM,$E23))/ 1000</f>
        <v>0</v>
      </c>
      <c r="FB23" s="1091" t="str">
        <f t="shared" ref="FB23:FB30" si="367">IFERROR(FA23/SUMIF($C$14:$C$21,$C23,FA$14:FA$21),"")</f>
        <v/>
      </c>
      <c r="FC23" s="1089" t="str">
        <f t="shared" ref="FC23:FC30" si="368">IFERROR(FA23/FA$22,"")</f>
        <v/>
      </c>
      <c r="FD23" s="1090">
        <f t="shared" si="94"/>
        <v>0</v>
      </c>
      <c r="FE23" s="1091" t="str">
        <f t="shared" si="95"/>
        <v/>
      </c>
      <c r="FF23" s="1090">
        <f t="shared" si="96"/>
        <v>0</v>
      </c>
      <c r="FG23" s="1091" t="str">
        <f t="shared" si="97"/>
        <v/>
      </c>
      <c r="FH23" s="1088">
        <f t="shared" si="240"/>
        <v>0</v>
      </c>
      <c r="FI23" s="1091" t="str">
        <f t="shared" ref="FI23:FI30" si="369">IFERROR(FH23/SUMIF($C$14:$C$21,$C23,FH$14:FH$21),"")</f>
        <v/>
      </c>
      <c r="FJ23" s="1089" t="str">
        <f t="shared" ref="FJ23:FJ30" si="370">IFERROR(FH23/FH$22,"")</f>
        <v/>
      </c>
      <c r="FK23" s="1090">
        <f t="shared" si="243"/>
        <v>0</v>
      </c>
      <c r="FL23" s="1091" t="str">
        <f t="shared" ref="FL23:FL30" si="371">IFERROR(FK23/SUMIF($C$14:$C$21,$C23,FK$14:FK$21),"")</f>
        <v/>
      </c>
      <c r="FM23" s="1089" t="str">
        <f t="shared" ref="FM23:FM30" si="372">IFERROR(FK23/FK$22,"")</f>
        <v/>
      </c>
      <c r="FN23" s="1090">
        <f t="shared" si="246"/>
        <v>0</v>
      </c>
      <c r="FO23" s="1091" t="str">
        <f t="shared" ref="FO23:FO30" si="373">IFERROR(FN23/SUMIF($C$14:$C$21,$C23,FN$14:FN$21),"")</f>
        <v/>
      </c>
      <c r="FP23" s="1089" t="str">
        <f t="shared" ref="FP23:FP30" si="374">IFERROR(FN23/FN$22,"")</f>
        <v/>
      </c>
      <c r="FQ23" s="1090">
        <f t="shared" si="104"/>
        <v>0</v>
      </c>
      <c r="FR23" s="1091" t="str">
        <f t="shared" si="105"/>
        <v/>
      </c>
      <c r="FS23" s="1090">
        <f t="shared" si="106"/>
        <v>0</v>
      </c>
      <c r="FT23" s="1091" t="str">
        <f t="shared" si="107"/>
        <v/>
      </c>
      <c r="FU23" s="1088">
        <f>SUMIFS(BP_SOTIEN,BP_DA,$C23,BP_THANG,FU$2,BP_KM,$E23)/1000</f>
        <v>0</v>
      </c>
      <c r="FV23" s="1091" t="str">
        <f t="shared" ref="FV23:FV30" si="375">IFERROR(FU23/SUMIF($C$14:$C$21,$C23,FU$14:FU$21),"")</f>
        <v/>
      </c>
      <c r="FW23" s="1089" t="str">
        <f t="shared" ref="FW23:FW30" si="376">IFERROR(FU23/FU$22,"")</f>
        <v/>
      </c>
      <c r="FX23" s="1090">
        <f>IF(NOW()&gt;=DATE(YEAR(FU$2),MONTH(FU$2)+1,DAY(FU$2)),SUMIFS(TF_SOTIEN,TF_DA,$C23,TF_THANG,FU$2,TF_KM,$E23)/1000, GA23)</f>
        <v>0</v>
      </c>
      <c r="FY23" s="1091" t="str">
        <f t="shared" ref="FY23:FY30" si="377">IFERROR(FX23/SUMIF($C$14:$C$21,$C23,FX$14:FX$21),"")</f>
        <v/>
      </c>
      <c r="FZ23" s="1089" t="str">
        <f t="shared" ref="FZ23:FZ30" si="378">IFERROR(FX23/FX$22,"")</f>
        <v/>
      </c>
      <c r="GA23" s="1090">
        <f>IF(NOW()&gt;=DATE(YEAR(FU$2),MONTH(FU$2)+1,DAY(FU$2)),SUMIFS(AC_SOTIEN,AC_DA,$C23,AC_THANG,FU$2,AC_KM,$E23),SUMIFS(TF_SOTIEN,TF_DA,$C23,TF_THANG,FU$2,TF_KM,$E23))/ 1000</f>
        <v>0</v>
      </c>
      <c r="GB23" s="1091" t="str">
        <f t="shared" ref="GB23:GB30" si="379">IFERROR(GA23/SUMIF($C$14:$C$21,$C23,GA$14:GA$21),"")</f>
        <v/>
      </c>
      <c r="GC23" s="1089" t="str">
        <f t="shared" ref="GC23:GC30" si="380">IFERROR(GA23/GA$22,"")</f>
        <v/>
      </c>
      <c r="GD23" s="1090">
        <f t="shared" si="111"/>
        <v>0</v>
      </c>
      <c r="GE23" s="1091" t="str">
        <f t="shared" si="112"/>
        <v/>
      </c>
      <c r="GF23" s="1090">
        <f t="shared" si="113"/>
        <v>0</v>
      </c>
      <c r="GG23" s="1091" t="str">
        <f t="shared" si="114"/>
        <v/>
      </c>
      <c r="GH23" s="1088">
        <f>SUMIFS(BP_SOTIEN,BP_DA,$C23,BP_THANG,GH$2,BP_KM,$E23)/1000</f>
        <v>0</v>
      </c>
      <c r="GI23" s="1091" t="str">
        <f t="shared" ref="GI23:GI30" si="381">IFERROR(GH23/SUMIF($C$14:$C$21,$C23,GH$14:GH$21),"")</f>
        <v/>
      </c>
      <c r="GJ23" s="1089" t="str">
        <f t="shared" ref="GJ23:GJ30" si="382">IFERROR(GH23/GH$22,"")</f>
        <v/>
      </c>
      <c r="GK23" s="1090">
        <f>IF(NOW()&gt;=DATE(YEAR(GH$2),MONTH(GH$2)+1,DAY(GH$2)),SUMIFS(TF_SOTIEN,TF_DA,$C23,TF_THANG,GH$2,TF_KM,$E23)/1000, GN23)</f>
        <v>0</v>
      </c>
      <c r="GL23" s="1091" t="str">
        <f t="shared" ref="GL23:GL30" si="383">IFERROR(GK23/SUMIF($C$14:$C$21,$C23,GK$14:GK$21),"")</f>
        <v/>
      </c>
      <c r="GM23" s="1089" t="str">
        <f t="shared" ref="GM23:GM30" si="384">IFERROR(GK23/GK$22,"")</f>
        <v/>
      </c>
      <c r="GN23" s="1090">
        <f>IF(NOW()&gt;=DATE(YEAR(GH$2),MONTH(GH$2)+1,DAY(GH$2)),SUMIFS(AC_SOTIEN,AC_DA,$C23,AC_THANG,GH$2,AC_KM,$E23),SUMIFS(TF_SOTIEN,TF_DA,$C23,TF_THANG,GH$2,TF_KM,$E23))/ 1000</f>
        <v>0</v>
      </c>
      <c r="GO23" s="1091" t="str">
        <f t="shared" ref="GO23:GO30" si="385">IFERROR(GN23/SUMIF($C$14:$C$21,$C23,GN$14:GN$21),"")</f>
        <v/>
      </c>
      <c r="GP23" s="1089" t="str">
        <f t="shared" ref="GP23:GP30" si="386">IFERROR(GN23/GN$22,"")</f>
        <v/>
      </c>
      <c r="GQ23" s="1090">
        <f t="shared" si="118"/>
        <v>0</v>
      </c>
      <c r="GR23" s="1091" t="str">
        <f t="shared" si="119"/>
        <v/>
      </c>
      <c r="GS23" s="1090">
        <f t="shared" si="120"/>
        <v>0</v>
      </c>
      <c r="GT23" s="1091" t="str">
        <f t="shared" si="121"/>
        <v/>
      </c>
      <c r="GU23" s="1088">
        <f>SUMIFS(BP_SOTIEN,BP_DA,$C23,BP_THANG,GU$2,BP_KM,$E23)/1000</f>
        <v>0</v>
      </c>
      <c r="GV23" s="1091" t="str">
        <f t="shared" ref="GV23:GV30" si="387">IFERROR(GU23/SUMIF($C$14:$C$21,$C23,GU$14:GU$21),"")</f>
        <v/>
      </c>
      <c r="GW23" s="1089" t="str">
        <f t="shared" ref="GW23:GW30" si="388">IFERROR(GU23/GU$22,"")</f>
        <v/>
      </c>
      <c r="GX23" s="1090">
        <f>IF(NOW()&gt;=DATE(YEAR(GU$2),MONTH(GU$2)+1,DAY(GU$2)),SUMIFS(TF_SOTIEN,TF_DA,$C23,TF_THANG,GU$2,TF_KM,$E23)/1000, HA23)</f>
        <v>0</v>
      </c>
      <c r="GY23" s="1091" t="str">
        <f t="shared" ref="GY23:GY30" si="389">IFERROR(GX23/SUMIF($C$14:$C$21,$C23,GX$14:GX$21),"")</f>
        <v/>
      </c>
      <c r="GZ23" s="1089" t="str">
        <f t="shared" ref="GZ23:GZ30" si="390">IFERROR(GX23/GX$22,"")</f>
        <v/>
      </c>
      <c r="HA23" s="1090">
        <f>IF(NOW()&gt;=DATE(YEAR(GU$2),MONTH(GU$2)+1,DAY(GU$2)),SUMIFS(AC_SOTIEN,AC_DA,$C23,AC_THANG,GU$2,AC_KM,$E23),SUMIFS(TF_SOTIEN,TF_DA,$C23,TF_THANG,GU$2,TF_KM,$E23))/ 1000</f>
        <v>0</v>
      </c>
      <c r="HB23" s="1091" t="str">
        <f t="shared" ref="HB23:HB30" si="391">IFERROR(HA23/SUMIF($C$14:$C$21,$C23,HA$14:HA$21),"")</f>
        <v/>
      </c>
      <c r="HC23" s="1089" t="str">
        <f t="shared" ref="HC23:HC30" si="392">IFERROR(HA23/HA$22,"")</f>
        <v/>
      </c>
      <c r="HD23" s="1090">
        <f t="shared" si="125"/>
        <v>0</v>
      </c>
      <c r="HE23" s="1091" t="str">
        <f t="shared" si="126"/>
        <v/>
      </c>
      <c r="HF23" s="1090">
        <f t="shared" si="127"/>
        <v>0</v>
      </c>
      <c r="HG23" s="1091" t="str">
        <f t="shared" si="128"/>
        <v/>
      </c>
      <c r="HH23" s="1088">
        <f t="shared" si="267"/>
        <v>0</v>
      </c>
      <c r="HI23" s="1091" t="str">
        <f t="shared" ref="HI23:HI30" si="393">IFERROR(HH23/SUMIF($C$14:$C$21,$C23,HH$14:HH$21),"")</f>
        <v/>
      </c>
      <c r="HJ23" s="1089" t="str">
        <f t="shared" ref="HJ23:HJ30" si="394">IFERROR(HH23/HH$22,"")</f>
        <v/>
      </c>
      <c r="HK23" s="1090">
        <f t="shared" si="270"/>
        <v>0</v>
      </c>
      <c r="HL23" s="1091" t="str">
        <f t="shared" ref="HL23:HL30" si="395">IFERROR(HK23/SUMIF($C$14:$C$21,$C23,HK$14:HK$21),"")</f>
        <v/>
      </c>
      <c r="HM23" s="1089" t="str">
        <f t="shared" ref="HM23:HM30" si="396">IFERROR(HK23/HK$22,"")</f>
        <v/>
      </c>
      <c r="HN23" s="1090">
        <f t="shared" si="273"/>
        <v>0</v>
      </c>
      <c r="HO23" s="1091" t="str">
        <f t="shared" ref="HO23:HO30" si="397">IFERROR(HN23/SUMIF($C$14:$C$21,$C23,HN$14:HN$21),"")</f>
        <v/>
      </c>
      <c r="HP23" s="1089" t="str">
        <f t="shared" ref="HP23:HP30" si="398">IFERROR(HN23/HN$22,"")</f>
        <v/>
      </c>
      <c r="HQ23" s="1090">
        <f t="shared" si="135"/>
        <v>0</v>
      </c>
      <c r="HR23" s="1091" t="str">
        <f t="shared" si="136"/>
        <v/>
      </c>
      <c r="HS23" s="1090">
        <f t="shared" si="137"/>
        <v>0</v>
      </c>
      <c r="HT23" s="1091" t="str">
        <f t="shared" si="138"/>
        <v/>
      </c>
      <c r="HU23" s="1088">
        <f t="shared" si="276"/>
        <v>0</v>
      </c>
      <c r="HV23" s="1091" t="str">
        <f t="shared" ref="HV23:HV30" si="399">IFERROR(HU23/SUMIF($C$14:$C$21,$C23,HU$14:HU$21),"")</f>
        <v/>
      </c>
      <c r="HW23" s="1089" t="str">
        <f t="shared" ref="HW23:HW30" si="400">IFERROR(HU23/HU$22,"")</f>
        <v/>
      </c>
      <c r="HX23" s="1090">
        <f t="shared" si="279"/>
        <v>0</v>
      </c>
      <c r="HY23" s="1091" t="str">
        <f t="shared" ref="HY23:HY30" si="401">IFERROR(HX23/SUMIF($C$14:$C$21,$C23,HX$14:HX$21),"")</f>
        <v/>
      </c>
      <c r="HZ23" s="1089" t="str">
        <f t="shared" ref="HZ23:HZ30" si="402">IFERROR(HX23/HX$22,"")</f>
        <v/>
      </c>
      <c r="IA23" s="1090">
        <f t="shared" si="282"/>
        <v>0</v>
      </c>
      <c r="IB23" s="1091" t="str">
        <f t="shared" ref="IB23:IB30" si="403">IFERROR(IA23/SUMIF($C$14:$C$21,$C23,IA$14:IA$21),"")</f>
        <v/>
      </c>
      <c r="IC23" s="1089" t="str">
        <f t="shared" ref="IC23:IC30" si="404">IFERROR(IA23/IA$22,"")</f>
        <v/>
      </c>
      <c r="ID23" s="1090">
        <f t="shared" si="145"/>
        <v>0</v>
      </c>
      <c r="IE23" s="1091" t="str">
        <f t="shared" si="146"/>
        <v/>
      </c>
      <c r="IF23" s="1090">
        <f t="shared" si="147"/>
        <v>0</v>
      </c>
      <c r="IG23" s="1091" t="str">
        <f t="shared" si="148"/>
        <v/>
      </c>
      <c r="IH23" s="1088">
        <f t="shared" si="285"/>
        <v>0</v>
      </c>
      <c r="II23" s="1091" t="str">
        <f t="shared" ref="II23:II30" si="405">IFERROR(IH23/SUMIF($C$14:$C$21,$C23,IH$14:IH$21),"")</f>
        <v/>
      </c>
      <c r="IJ23" s="1089" t="str">
        <f t="shared" ref="IJ23:IJ30" si="406">IFERROR(IH23/IH$22,"")</f>
        <v/>
      </c>
      <c r="IK23" s="1090">
        <f t="shared" si="288"/>
        <v>0</v>
      </c>
      <c r="IL23" s="1091" t="str">
        <f t="shared" ref="IL23:IL30" si="407">IFERROR(IK23/SUMIF($C$14:$C$21,$C23,IK$14:IK$21),"")</f>
        <v/>
      </c>
      <c r="IM23" s="1089" t="str">
        <f t="shared" ref="IM23:IM30" si="408">IFERROR(IK23/IK$22,"")</f>
        <v/>
      </c>
      <c r="IN23" s="1090">
        <f t="shared" si="291"/>
        <v>0</v>
      </c>
      <c r="IO23" s="1091">
        <f t="shared" ref="IO23:IO30" si="409">IFERROR(IN23/SUMIF($C$14:$C$21,$C23,IN$14:IN$21),"")</f>
        <v>0</v>
      </c>
      <c r="IP23" s="1089" t="str">
        <f t="shared" ref="IP23:IP30" si="410">IFERROR(IN23/IN$22,"")</f>
        <v/>
      </c>
      <c r="IQ23" s="1090">
        <f t="shared" si="155"/>
        <v>0</v>
      </c>
      <c r="IR23" s="1091" t="str">
        <f t="shared" si="1"/>
        <v/>
      </c>
      <c r="IS23" s="1090">
        <f t="shared" si="156"/>
        <v>0</v>
      </c>
      <c r="IT23" s="1091" t="str">
        <f t="shared" si="2"/>
        <v/>
      </c>
    </row>
    <row r="24" outlineLevel="1">
      <c r="A24" s="1086">
        <f t="shared" si="294"/>
        <v>2</v>
      </c>
      <c r="B24" s="1087"/>
      <c r="C24" s="656" t="s">
        <v>210</v>
      </c>
      <c r="D24" s="1087" t="str">
        <f t="shared" si="295"/>
        <v>NAM</v>
      </c>
      <c r="E24" s="1087" t="s">
        <v>2239</v>
      </c>
      <c r="F24" s="1087"/>
      <c r="G24" s="1086">
        <v>2.0</v>
      </c>
      <c r="H24" s="1088">
        <f>SUMIFS(BP_SOTIEN,BP_DOI,$C24,BP_THANG,H$2,BP_KM,$E24)/1000</f>
        <v>0</v>
      </c>
      <c r="I24" s="1091" t="str">
        <f t="shared" si="296"/>
        <v/>
      </c>
      <c r="J24" s="1089" t="str">
        <f t="shared" si="297"/>
        <v/>
      </c>
      <c r="K24" s="1090">
        <f>IF(NOW()&gt;=DATE(YEAR(H$2),MONTH(H$2)+1,DAY(H$2)),SUMIFS(TF_SOTIEN,TF_DOI,$C24,TF_THANG,H$2,TF_KM,$E24)/1000, N24)</f>
        <v>0</v>
      </c>
      <c r="L24" s="1091" t="str">
        <f t="shared" si="298"/>
        <v/>
      </c>
      <c r="M24" s="1089" t="str">
        <f t="shared" si="299"/>
        <v/>
      </c>
      <c r="N24" s="1090">
        <f>IF(NOW()&gt;=DATE(YEAR(H$2),MONTH(H$2)+1,DAY(H$2)),SUMIFS(AC_SOTIEN,AC_DOI,$C24,AC_THANG,H$2,AC_KM,$E24),SUMIFS(TF_SOTIEN,TF_DOI,$C24,TF_THANG,H$2,TF_KM,$E24))/ 1000</f>
        <v>0</v>
      </c>
      <c r="O24" s="1091" t="str">
        <f t="shared" si="300"/>
        <v/>
      </c>
      <c r="P24" s="1089" t="str">
        <f t="shared" si="301"/>
        <v/>
      </c>
      <c r="Q24" s="1090">
        <f t="shared" si="8"/>
        <v>0</v>
      </c>
      <c r="R24" s="1091" t="str">
        <f t="shared" si="9"/>
        <v/>
      </c>
      <c r="S24" s="1090">
        <f t="shared" si="10"/>
        <v>0</v>
      </c>
      <c r="T24" s="1091" t="str">
        <f t="shared" si="11"/>
        <v/>
      </c>
      <c r="U24" s="1088">
        <f>SUMIFS(BP_SOTIEN,BP_DA,$C24,BP_THANG,U$2,BP_KM,$E24)/1000</f>
        <v>0</v>
      </c>
      <c r="V24" s="1091" t="str">
        <f t="shared" si="302"/>
        <v/>
      </c>
      <c r="W24" s="1089" t="str">
        <f t="shared" si="303"/>
        <v/>
      </c>
      <c r="X24" s="1090">
        <f>IF(NOW()&gt;=DATE(YEAR(U$2),MONTH(U$2)+1,DAY(U$2)),SUMIFS(TF_SOTIEN,TF_DA,$C24,TF_THANG,U$2,TF_KM,$E24)/1000, AA24)</f>
        <v>0</v>
      </c>
      <c r="Y24" s="1091" t="str">
        <f t="shared" si="304"/>
        <v/>
      </c>
      <c r="Z24" s="1089" t="str">
        <f t="shared" si="305"/>
        <v/>
      </c>
      <c r="AA24" s="1090">
        <f>IF(NOW()&gt;=DATE(YEAR(U$2),MONTH(U$2)+1,DAY(U$2)),SUMIFS(AC_SOTIEN,AC_DA,$C24,AC_THANG,U$2,AC_KM,$E24),SUMIFS(TF_SOTIEN,TF_DA,$C24,TF_THANG,U$2,TF_KM,$E24))/ 1000</f>
        <v>0</v>
      </c>
      <c r="AB24" s="1091" t="str">
        <f t="shared" si="306"/>
        <v/>
      </c>
      <c r="AC24" s="1089" t="str">
        <f t="shared" si="307"/>
        <v/>
      </c>
      <c r="AD24" s="1090">
        <f t="shared" si="15"/>
        <v>0</v>
      </c>
      <c r="AE24" s="1091" t="str">
        <f t="shared" si="16"/>
        <v/>
      </c>
      <c r="AF24" s="1090">
        <f t="shared" si="17"/>
        <v>0</v>
      </c>
      <c r="AG24" s="1091" t="str">
        <f t="shared" si="18"/>
        <v/>
      </c>
      <c r="AH24" s="1088">
        <f>SUMIFS(BP_SOTIEN,BP_DA,$C24,BP_THANG,AH$2,BP_KM,$E24)/1000</f>
        <v>0</v>
      </c>
      <c r="AI24" s="1091" t="str">
        <f t="shared" si="308"/>
        <v/>
      </c>
      <c r="AJ24" s="1089" t="str">
        <f t="shared" si="309"/>
        <v/>
      </c>
      <c r="AK24" s="1090">
        <f>IF(NOW()&gt;=DATE(YEAR(AH$2),MONTH(AH$2)+1,DAY(AH$2)),SUMIFS(TF_SOTIEN,TF_DA,$C24,TF_THANG,AH$2,TF_KM,$E24)/1000, AN24)</f>
        <v>0</v>
      </c>
      <c r="AL24" s="1091" t="str">
        <f t="shared" si="310"/>
        <v/>
      </c>
      <c r="AM24" s="1089" t="str">
        <f t="shared" si="311"/>
        <v/>
      </c>
      <c r="AN24" s="1090">
        <f>IF(NOW()&gt;=DATE(YEAR(AH$2),MONTH(AH$2)+1,DAY(AH$2)),SUMIFS(AC_SOTIEN,AC_DA,$C24,AC_THANG,AH$2,AC_KM,$E24),SUMIFS(TF_SOTIEN,TF_DA,$C24,TF_THANG,AH$2,TF_KM,$E24))/ 1000</f>
        <v>0</v>
      </c>
      <c r="AO24" s="1091" t="str">
        <f t="shared" si="312"/>
        <v/>
      </c>
      <c r="AP24" s="1089" t="str">
        <f t="shared" si="313"/>
        <v/>
      </c>
      <c r="AQ24" s="1090">
        <f t="shared" si="22"/>
        <v>0</v>
      </c>
      <c r="AR24" s="1091" t="str">
        <f t="shared" si="23"/>
        <v/>
      </c>
      <c r="AS24" s="1090">
        <f t="shared" si="24"/>
        <v>0</v>
      </c>
      <c r="AT24" s="1091" t="str">
        <f t="shared" si="25"/>
        <v/>
      </c>
      <c r="AU24" s="1088">
        <f t="shared" si="177"/>
        <v>0</v>
      </c>
      <c r="AV24" s="1091" t="str">
        <f t="shared" si="314"/>
        <v/>
      </c>
      <c r="AW24" s="1089" t="str">
        <f t="shared" si="315"/>
        <v/>
      </c>
      <c r="AX24" s="1090">
        <f t="shared" si="180"/>
        <v>0</v>
      </c>
      <c r="AY24" s="1091" t="str">
        <f t="shared" si="316"/>
        <v/>
      </c>
      <c r="AZ24" s="1089" t="str">
        <f t="shared" si="317"/>
        <v/>
      </c>
      <c r="BA24" s="1090">
        <f t="shared" si="318"/>
        <v>0</v>
      </c>
      <c r="BB24" s="1091" t="str">
        <f t="shared" si="319"/>
        <v/>
      </c>
      <c r="BC24" s="1089" t="str">
        <f t="shared" si="320"/>
        <v/>
      </c>
      <c r="BD24" s="1090">
        <f t="shared" si="32"/>
        <v>0</v>
      </c>
      <c r="BE24" s="1091" t="str">
        <f t="shared" si="33"/>
        <v/>
      </c>
      <c r="BF24" s="1090">
        <f t="shared" si="34"/>
        <v>0</v>
      </c>
      <c r="BG24" s="1091" t="str">
        <f t="shared" si="35"/>
        <v/>
      </c>
      <c r="BH24" s="1088">
        <f>SUMIFS(BP_SOTIEN,BP_DA,$C24,BP_THANG,BH$2,BP_KM,$E24)/1000</f>
        <v>0</v>
      </c>
      <c r="BI24" s="1091" t="str">
        <f t="shared" si="321"/>
        <v/>
      </c>
      <c r="BJ24" s="1089" t="str">
        <f t="shared" si="322"/>
        <v/>
      </c>
      <c r="BK24" s="1090">
        <f>IF(NOW()&gt;=DATE(YEAR(BH$2),MONTH(BH$2)+1,DAY(BH$2)),SUMIFS(TF_SOTIEN,TF_DA,$C24,TF_THANG,BH$2,TF_KM,$E24)/1000, BN24)</f>
        <v>0</v>
      </c>
      <c r="BL24" s="1091" t="str">
        <f t="shared" si="323"/>
        <v/>
      </c>
      <c r="BM24" s="1089" t="str">
        <f t="shared" si="324"/>
        <v/>
      </c>
      <c r="BN24" s="1090">
        <f>IF(NOW()&gt;=DATE(YEAR(BH$2),MONTH(BH$2)+1,DAY(BH$2)),SUMIFS(AC_SOTIEN,AC_DA,$C24,AC_THANG,BH$2,AC_KM,$E24),SUMIFS(TF_SOTIEN,TF_DA,$C24,TF_THANG,BH$2,TF_KM,$E24))/ 1000</f>
        <v>0</v>
      </c>
      <c r="BO24" s="1091" t="str">
        <f t="shared" si="325"/>
        <v/>
      </c>
      <c r="BP24" s="1089" t="str">
        <f t="shared" si="326"/>
        <v/>
      </c>
      <c r="BQ24" s="1090">
        <f t="shared" si="39"/>
        <v>0</v>
      </c>
      <c r="BR24" s="1091" t="str">
        <f t="shared" si="40"/>
        <v/>
      </c>
      <c r="BS24" s="1090">
        <f t="shared" si="41"/>
        <v>0</v>
      </c>
      <c r="BT24" s="1091" t="str">
        <f t="shared" si="42"/>
        <v/>
      </c>
      <c r="BU24" s="1088">
        <f>SUMIFS(BP_SOTIEN,BP_DA,$C24,BP_THANG,BU$2,BP_KM,$E24)/1000</f>
        <v>0</v>
      </c>
      <c r="BV24" s="1091" t="str">
        <f t="shared" si="327"/>
        <v/>
      </c>
      <c r="BW24" s="1089" t="str">
        <f t="shared" si="328"/>
        <v/>
      </c>
      <c r="BX24" s="1090">
        <f>IF(NOW()&gt;=DATE(YEAR(BU$2),MONTH(BU$2)+1,DAY(BU$2)),SUMIFS(TF_SOTIEN,TF_DA,$C24,TF_THANG,BU$2,TF_KM,$E24)/1000, CA24)</f>
        <v>0</v>
      </c>
      <c r="BY24" s="1091" t="str">
        <f t="shared" si="329"/>
        <v/>
      </c>
      <c r="BZ24" s="1089" t="str">
        <f t="shared" si="330"/>
        <v/>
      </c>
      <c r="CA24" s="1090">
        <f>IF(NOW()&gt;=DATE(YEAR(BU$2),MONTH(BU$2)+1,DAY(BU$2)),SUMIFS(AC_SOTIEN,AC_DA,$C24,AC_THANG,BU$2,AC_KM,$E24),SUMIFS(TF_SOTIEN,TF_DA,$C24,TF_THANG,BU$2,TF_KM,$E24))/ 1000</f>
        <v>0</v>
      </c>
      <c r="CB24" s="1091" t="str">
        <f t="shared" si="331"/>
        <v/>
      </c>
      <c r="CC24" s="1089" t="str">
        <f t="shared" si="332"/>
        <v/>
      </c>
      <c r="CD24" s="1090">
        <f t="shared" si="46"/>
        <v>0</v>
      </c>
      <c r="CE24" s="1091" t="str">
        <f t="shared" si="47"/>
        <v/>
      </c>
      <c r="CF24" s="1090">
        <f t="shared" si="48"/>
        <v>0</v>
      </c>
      <c r="CG24" s="1091" t="str">
        <f t="shared" si="49"/>
        <v/>
      </c>
      <c r="CH24" s="1088">
        <f>SUMIFS(BP_SOTIEN,BP_DA,$C24,BP_THANG,CH$2,BP_KM,$E24)/1000</f>
        <v>0</v>
      </c>
      <c r="CI24" s="1091" t="str">
        <f t="shared" si="333"/>
        <v/>
      </c>
      <c r="CJ24" s="1089" t="str">
        <f t="shared" si="334"/>
        <v/>
      </c>
      <c r="CK24" s="1090">
        <f>IF(NOW()&gt;=DATE(YEAR(CH$2),MONTH(CH$2)+1,DAY(CH$2)),SUMIFS(TF_SOTIEN,TF_DA,$C24,TF_THANG,CH$2,TF_KM,$E24)/1000, CN24)</f>
        <v>0</v>
      </c>
      <c r="CL24" s="1091" t="str">
        <f t="shared" si="335"/>
        <v/>
      </c>
      <c r="CM24" s="1089" t="str">
        <f t="shared" si="336"/>
        <v/>
      </c>
      <c r="CN24" s="1090">
        <f>IF(NOW()&gt;=DATE(YEAR(CH$2),MONTH(CH$2)+1,DAY(CH$2)),SUMIFS(AC_SOTIEN,AC_DA,$C24,AC_THANG,CH$2,AC_KM,$E24),SUMIFS(TF_SOTIEN,TF_DA,$C24,TF_THANG,CH$2,TF_KM,$E24))/ 1000</f>
        <v>0</v>
      </c>
      <c r="CO24" s="1091" t="str">
        <f t="shared" si="337"/>
        <v/>
      </c>
      <c r="CP24" s="1089" t="str">
        <f t="shared" si="338"/>
        <v/>
      </c>
      <c r="CQ24" s="1090">
        <f t="shared" si="53"/>
        <v>0</v>
      </c>
      <c r="CR24" s="1091" t="str">
        <f t="shared" si="54"/>
        <v/>
      </c>
      <c r="CS24" s="1090">
        <f t="shared" si="55"/>
        <v>0</v>
      </c>
      <c r="CT24" s="1091" t="str">
        <f t="shared" si="56"/>
        <v/>
      </c>
      <c r="CU24" s="1088">
        <f t="shared" si="204"/>
        <v>0</v>
      </c>
      <c r="CV24" s="1091" t="str">
        <f t="shared" si="339"/>
        <v/>
      </c>
      <c r="CW24" s="1089" t="str">
        <f t="shared" si="340"/>
        <v/>
      </c>
      <c r="CX24" s="1090">
        <f t="shared" si="207"/>
        <v>0</v>
      </c>
      <c r="CY24" s="1091" t="str">
        <f t="shared" si="341"/>
        <v/>
      </c>
      <c r="CZ24" s="1089" t="str">
        <f t="shared" si="342"/>
        <v/>
      </c>
      <c r="DA24" s="1090">
        <f t="shared" si="210"/>
        <v>0</v>
      </c>
      <c r="DB24" s="1091" t="str">
        <f t="shared" si="343"/>
        <v/>
      </c>
      <c r="DC24" s="1089" t="str">
        <f t="shared" si="344"/>
        <v/>
      </c>
      <c r="DD24" s="1090">
        <f t="shared" si="63"/>
        <v>0</v>
      </c>
      <c r="DE24" s="1091" t="str">
        <f t="shared" si="64"/>
        <v/>
      </c>
      <c r="DF24" s="1090">
        <f t="shared" si="65"/>
        <v>0</v>
      </c>
      <c r="DG24" s="1091" t="str">
        <f t="shared" si="66"/>
        <v/>
      </c>
      <c r="DH24" s="1088">
        <f t="shared" si="213"/>
        <v>0</v>
      </c>
      <c r="DI24" s="1091" t="str">
        <f t="shared" si="345"/>
        <v/>
      </c>
      <c r="DJ24" s="1089" t="str">
        <f t="shared" si="346"/>
        <v/>
      </c>
      <c r="DK24" s="1090">
        <f t="shared" si="216"/>
        <v>0</v>
      </c>
      <c r="DL24" s="1091" t="str">
        <f t="shared" si="347"/>
        <v/>
      </c>
      <c r="DM24" s="1089" t="str">
        <f t="shared" si="348"/>
        <v/>
      </c>
      <c r="DN24" s="1090">
        <f t="shared" si="219"/>
        <v>0</v>
      </c>
      <c r="DO24" s="1091" t="str">
        <f t="shared" si="349"/>
        <v/>
      </c>
      <c r="DP24" s="1089" t="str">
        <f t="shared" si="350"/>
        <v/>
      </c>
      <c r="DQ24" s="1090">
        <f t="shared" si="73"/>
        <v>0</v>
      </c>
      <c r="DR24" s="1091" t="str">
        <f t="shared" si="74"/>
        <v/>
      </c>
      <c r="DS24" s="1090">
        <f t="shared" si="75"/>
        <v>0</v>
      </c>
      <c r="DT24" s="1091" t="str">
        <f t="shared" si="76"/>
        <v/>
      </c>
      <c r="DU24" s="1088">
        <f>SUMIFS(BP_SOTIEN,BP_DA,$C24,BP_THANG,DU$2,BP_KM,$E24)/1000</f>
        <v>0</v>
      </c>
      <c r="DV24" s="1091" t="str">
        <f t="shared" si="351"/>
        <v/>
      </c>
      <c r="DW24" s="1089" t="str">
        <f t="shared" si="352"/>
        <v/>
      </c>
      <c r="DX24" s="1090">
        <f>IF(NOW()&gt;=DATE(YEAR(DU$2),MONTH(DU$2)+1,DAY(DU$2)),SUMIFS(TF_SOTIEN,TF_DA,$C24,TF_THANG,DU$2,TF_KM,$E24)/1000, EA24)</f>
        <v>0</v>
      </c>
      <c r="DY24" s="1091" t="str">
        <f t="shared" si="353"/>
        <v/>
      </c>
      <c r="DZ24" s="1089" t="str">
        <f t="shared" si="354"/>
        <v/>
      </c>
      <c r="EA24" s="1090">
        <f>IF(NOW()&gt;=DATE(YEAR(DU$2),MONTH(DU$2)+1,DAY(DU$2)),SUMIFS(AC_SOTIEN,AC_DA,$C24,AC_THANG,DU$2,AC_KM,$E24),SUMIFS(TF_SOTIEN,TF_DA,$C24,TF_THANG,DU$2,TF_KM,$E24))/ 1000</f>
        <v>0</v>
      </c>
      <c r="EB24" s="1091" t="str">
        <f t="shared" si="355"/>
        <v/>
      </c>
      <c r="EC24" s="1089" t="str">
        <f t="shared" si="356"/>
        <v/>
      </c>
      <c r="ED24" s="1090">
        <f t="shared" si="80"/>
        <v>0</v>
      </c>
      <c r="EE24" s="1091" t="str">
        <f t="shared" si="81"/>
        <v/>
      </c>
      <c r="EF24" s="1090">
        <f t="shared" si="82"/>
        <v>0</v>
      </c>
      <c r="EG24" s="1091" t="str">
        <f t="shared" si="83"/>
        <v/>
      </c>
      <c r="EH24" s="1088">
        <f>SUMIFS(BP_SOTIEN,BP_DA,$C24,BP_THANG,EH$2,BP_KM,$E24)/1000</f>
        <v>0</v>
      </c>
      <c r="EI24" s="1091" t="str">
        <f t="shared" si="357"/>
        <v/>
      </c>
      <c r="EJ24" s="1089" t="str">
        <f t="shared" si="358"/>
        <v/>
      </c>
      <c r="EK24" s="1090">
        <f>IF(NOW()&gt;=DATE(YEAR(EH$2),MONTH(EH$2)+1,DAY(EH$2)),SUMIFS(TF_SOTIEN,TF_DA,$C24,TF_THANG,EH$2,TF_KM,$E24)/1000, EN24)</f>
        <v>0</v>
      </c>
      <c r="EL24" s="1091" t="str">
        <f t="shared" si="359"/>
        <v/>
      </c>
      <c r="EM24" s="1089" t="str">
        <f t="shared" si="360"/>
        <v/>
      </c>
      <c r="EN24" s="1090">
        <f>IF(NOW()&gt;=DATE(YEAR(EH$2),MONTH(EH$2)+1,DAY(EH$2)),SUMIFS(AC_SOTIEN,AC_DA,$C24,AC_THANG,EH$2,AC_KM,$E24),SUMIFS(TF_SOTIEN,TF_DA,$C24,TF_THANG,EH$2,TF_KM,$E24))/ 1000</f>
        <v>0</v>
      </c>
      <c r="EO24" s="1091" t="str">
        <f t="shared" si="361"/>
        <v/>
      </c>
      <c r="EP24" s="1089" t="str">
        <f t="shared" si="362"/>
        <v/>
      </c>
      <c r="EQ24" s="1090">
        <f t="shared" si="87"/>
        <v>0</v>
      </c>
      <c r="ER24" s="1091" t="str">
        <f t="shared" si="88"/>
        <v/>
      </c>
      <c r="ES24" s="1090">
        <f t="shared" si="89"/>
        <v>0</v>
      </c>
      <c r="ET24" s="1091" t="str">
        <f t="shared" si="90"/>
        <v/>
      </c>
      <c r="EU24" s="1088">
        <f>SUMIFS(BP_SOTIEN,BP_DA,$C24,BP_THANG,EU$2,BP_KM,$E24)/1000</f>
        <v>0</v>
      </c>
      <c r="EV24" s="1091" t="str">
        <f t="shared" si="363"/>
        <v/>
      </c>
      <c r="EW24" s="1089" t="str">
        <f t="shared" si="364"/>
        <v/>
      </c>
      <c r="EX24" s="1090">
        <f>IF(NOW()&gt;=DATE(YEAR(EU$2),MONTH(EU$2)+1,DAY(EU$2)),SUMIFS(TF_SOTIEN,TF_DA,$C24,TF_THANG,EU$2,TF_KM,$E24)/1000, FA24)</f>
        <v>0</v>
      </c>
      <c r="EY24" s="1091" t="str">
        <f t="shared" si="365"/>
        <v/>
      </c>
      <c r="EZ24" s="1089" t="str">
        <f t="shared" si="366"/>
        <v/>
      </c>
      <c r="FA24" s="1090">
        <f>IF(NOW()&gt;=DATE(YEAR(EU$2),MONTH(EU$2)+1,DAY(EU$2)),SUMIFS(AC_SOTIEN,AC_DA,$C24,AC_THANG,EU$2,AC_KM,$E24),SUMIFS(TF_SOTIEN,TF_DA,$C24,TF_THANG,EU$2,TF_KM,$E24))/ 1000</f>
        <v>0</v>
      </c>
      <c r="FB24" s="1091" t="str">
        <f t="shared" si="367"/>
        <v/>
      </c>
      <c r="FC24" s="1089" t="str">
        <f t="shared" si="368"/>
        <v/>
      </c>
      <c r="FD24" s="1090">
        <f t="shared" si="94"/>
        <v>0</v>
      </c>
      <c r="FE24" s="1091" t="str">
        <f t="shared" si="95"/>
        <v/>
      </c>
      <c r="FF24" s="1090">
        <f t="shared" si="96"/>
        <v>0</v>
      </c>
      <c r="FG24" s="1091" t="str">
        <f t="shared" si="97"/>
        <v/>
      </c>
      <c r="FH24" s="1088">
        <f t="shared" si="240"/>
        <v>0</v>
      </c>
      <c r="FI24" s="1091" t="str">
        <f t="shared" si="369"/>
        <v/>
      </c>
      <c r="FJ24" s="1089" t="str">
        <f t="shared" si="370"/>
        <v/>
      </c>
      <c r="FK24" s="1090">
        <f t="shared" si="243"/>
        <v>0</v>
      </c>
      <c r="FL24" s="1091" t="str">
        <f t="shared" si="371"/>
        <v/>
      </c>
      <c r="FM24" s="1089" t="str">
        <f t="shared" si="372"/>
        <v/>
      </c>
      <c r="FN24" s="1090">
        <f t="shared" si="246"/>
        <v>0</v>
      </c>
      <c r="FO24" s="1091" t="str">
        <f t="shared" si="373"/>
        <v/>
      </c>
      <c r="FP24" s="1089" t="str">
        <f t="shared" si="374"/>
        <v/>
      </c>
      <c r="FQ24" s="1090">
        <f t="shared" si="104"/>
        <v>0</v>
      </c>
      <c r="FR24" s="1091" t="str">
        <f t="shared" si="105"/>
        <v/>
      </c>
      <c r="FS24" s="1090">
        <f t="shared" si="106"/>
        <v>0</v>
      </c>
      <c r="FT24" s="1091" t="str">
        <f t="shared" si="107"/>
        <v/>
      </c>
      <c r="FU24" s="1088">
        <f>SUMIFS(BP_SOTIEN,BP_DA,$C24,BP_THANG,FU$2,BP_KM,$E24)/1000</f>
        <v>0</v>
      </c>
      <c r="FV24" s="1091" t="str">
        <f t="shared" si="375"/>
        <v/>
      </c>
      <c r="FW24" s="1089" t="str">
        <f t="shared" si="376"/>
        <v/>
      </c>
      <c r="FX24" s="1090">
        <f>IF(NOW()&gt;=DATE(YEAR(FU$2),MONTH(FU$2)+1,DAY(FU$2)),SUMIFS(TF_SOTIEN,TF_DA,$C24,TF_THANG,FU$2,TF_KM,$E24)/1000, GA24)</f>
        <v>0</v>
      </c>
      <c r="FY24" s="1091" t="str">
        <f t="shared" si="377"/>
        <v/>
      </c>
      <c r="FZ24" s="1089" t="str">
        <f t="shared" si="378"/>
        <v/>
      </c>
      <c r="GA24" s="1090">
        <f>IF(NOW()&gt;=DATE(YEAR(FU$2),MONTH(FU$2)+1,DAY(FU$2)),SUMIFS(AC_SOTIEN,AC_DA,$C24,AC_THANG,FU$2,AC_KM,$E24),SUMIFS(TF_SOTIEN,TF_DA,$C24,TF_THANG,FU$2,TF_KM,$E24))/ 1000</f>
        <v>0</v>
      </c>
      <c r="GB24" s="1091" t="str">
        <f t="shared" si="379"/>
        <v/>
      </c>
      <c r="GC24" s="1089" t="str">
        <f t="shared" si="380"/>
        <v/>
      </c>
      <c r="GD24" s="1090">
        <f t="shared" si="111"/>
        <v>0</v>
      </c>
      <c r="GE24" s="1091" t="str">
        <f t="shared" si="112"/>
        <v/>
      </c>
      <c r="GF24" s="1090">
        <f t="shared" si="113"/>
        <v>0</v>
      </c>
      <c r="GG24" s="1091" t="str">
        <f t="shared" si="114"/>
        <v/>
      </c>
      <c r="GH24" s="1088">
        <f>SUMIFS(BP_SOTIEN,BP_DA,$C24,BP_THANG,GH$2,BP_KM,$E24)/1000</f>
        <v>0</v>
      </c>
      <c r="GI24" s="1091" t="str">
        <f t="shared" si="381"/>
        <v/>
      </c>
      <c r="GJ24" s="1089" t="str">
        <f t="shared" si="382"/>
        <v/>
      </c>
      <c r="GK24" s="1090">
        <f>IF(NOW()&gt;=DATE(YEAR(GH$2),MONTH(GH$2)+1,DAY(GH$2)),SUMIFS(TF_SOTIEN,TF_DA,$C24,TF_THANG,GH$2,TF_KM,$E24)/1000, GN24)</f>
        <v>0</v>
      </c>
      <c r="GL24" s="1091" t="str">
        <f t="shared" si="383"/>
        <v/>
      </c>
      <c r="GM24" s="1089" t="str">
        <f t="shared" si="384"/>
        <v/>
      </c>
      <c r="GN24" s="1090">
        <f>IF(NOW()&gt;=DATE(YEAR(GH$2),MONTH(GH$2)+1,DAY(GH$2)),SUMIFS(AC_SOTIEN,AC_DA,$C24,AC_THANG,GH$2,AC_KM,$E24),SUMIFS(TF_SOTIEN,TF_DA,$C24,TF_THANG,GH$2,TF_KM,$E24))/ 1000</f>
        <v>0</v>
      </c>
      <c r="GO24" s="1091" t="str">
        <f t="shared" si="385"/>
        <v/>
      </c>
      <c r="GP24" s="1089" t="str">
        <f t="shared" si="386"/>
        <v/>
      </c>
      <c r="GQ24" s="1090">
        <f t="shared" si="118"/>
        <v>0</v>
      </c>
      <c r="GR24" s="1091" t="str">
        <f t="shared" si="119"/>
        <v/>
      </c>
      <c r="GS24" s="1090">
        <f t="shared" si="120"/>
        <v>0</v>
      </c>
      <c r="GT24" s="1091" t="str">
        <f t="shared" si="121"/>
        <v/>
      </c>
      <c r="GU24" s="1088">
        <f>SUMIFS(BP_SOTIEN,BP_DA,$C24,BP_THANG,GU$2,BP_KM,$E24)/1000</f>
        <v>0</v>
      </c>
      <c r="GV24" s="1091" t="str">
        <f t="shared" si="387"/>
        <v/>
      </c>
      <c r="GW24" s="1089" t="str">
        <f t="shared" si="388"/>
        <v/>
      </c>
      <c r="GX24" s="1090">
        <f>IF(NOW()&gt;=DATE(YEAR(GU$2),MONTH(GU$2)+1,DAY(GU$2)),SUMIFS(TF_SOTIEN,TF_DA,$C24,TF_THANG,GU$2,TF_KM,$E24)/1000, HA24)</f>
        <v>0</v>
      </c>
      <c r="GY24" s="1091" t="str">
        <f t="shared" si="389"/>
        <v/>
      </c>
      <c r="GZ24" s="1089" t="str">
        <f t="shared" si="390"/>
        <v/>
      </c>
      <c r="HA24" s="1090">
        <f>IF(NOW()&gt;=DATE(YEAR(GU$2),MONTH(GU$2)+1,DAY(GU$2)),SUMIFS(AC_SOTIEN,AC_DA,$C24,AC_THANG,GU$2,AC_KM,$E24),SUMIFS(TF_SOTIEN,TF_DA,$C24,TF_THANG,GU$2,TF_KM,$E24))/ 1000</f>
        <v>0</v>
      </c>
      <c r="HB24" s="1091" t="str">
        <f t="shared" si="391"/>
        <v/>
      </c>
      <c r="HC24" s="1089" t="str">
        <f t="shared" si="392"/>
        <v/>
      </c>
      <c r="HD24" s="1090">
        <f t="shared" si="125"/>
        <v>0</v>
      </c>
      <c r="HE24" s="1091" t="str">
        <f t="shared" si="126"/>
        <v/>
      </c>
      <c r="HF24" s="1090">
        <f t="shared" si="127"/>
        <v>0</v>
      </c>
      <c r="HG24" s="1091" t="str">
        <f t="shared" si="128"/>
        <v/>
      </c>
      <c r="HH24" s="1088">
        <f t="shared" si="267"/>
        <v>0</v>
      </c>
      <c r="HI24" s="1091" t="str">
        <f t="shared" si="393"/>
        <v/>
      </c>
      <c r="HJ24" s="1089" t="str">
        <f t="shared" si="394"/>
        <v/>
      </c>
      <c r="HK24" s="1090">
        <f t="shared" si="270"/>
        <v>0</v>
      </c>
      <c r="HL24" s="1091" t="str">
        <f t="shared" si="395"/>
        <v/>
      </c>
      <c r="HM24" s="1089" t="str">
        <f t="shared" si="396"/>
        <v/>
      </c>
      <c r="HN24" s="1090">
        <f t="shared" si="273"/>
        <v>0</v>
      </c>
      <c r="HO24" s="1091" t="str">
        <f t="shared" si="397"/>
        <v/>
      </c>
      <c r="HP24" s="1089" t="str">
        <f t="shared" si="398"/>
        <v/>
      </c>
      <c r="HQ24" s="1090">
        <f t="shared" si="135"/>
        <v>0</v>
      </c>
      <c r="HR24" s="1091" t="str">
        <f t="shared" si="136"/>
        <v/>
      </c>
      <c r="HS24" s="1090">
        <f t="shared" si="137"/>
        <v>0</v>
      </c>
      <c r="HT24" s="1091" t="str">
        <f t="shared" si="138"/>
        <v/>
      </c>
      <c r="HU24" s="1088">
        <f t="shared" si="276"/>
        <v>0</v>
      </c>
      <c r="HV24" s="1091" t="str">
        <f t="shared" si="399"/>
        <v/>
      </c>
      <c r="HW24" s="1089" t="str">
        <f t="shared" si="400"/>
        <v/>
      </c>
      <c r="HX24" s="1090">
        <f t="shared" si="279"/>
        <v>0</v>
      </c>
      <c r="HY24" s="1091" t="str">
        <f t="shared" si="401"/>
        <v/>
      </c>
      <c r="HZ24" s="1089" t="str">
        <f t="shared" si="402"/>
        <v/>
      </c>
      <c r="IA24" s="1090">
        <f t="shared" si="282"/>
        <v>0</v>
      </c>
      <c r="IB24" s="1091" t="str">
        <f t="shared" si="403"/>
        <v/>
      </c>
      <c r="IC24" s="1089" t="str">
        <f t="shared" si="404"/>
        <v/>
      </c>
      <c r="ID24" s="1090">
        <f t="shared" si="145"/>
        <v>0</v>
      </c>
      <c r="IE24" s="1091" t="str">
        <f t="shared" si="146"/>
        <v/>
      </c>
      <c r="IF24" s="1090">
        <f t="shared" si="147"/>
        <v>0</v>
      </c>
      <c r="IG24" s="1091" t="str">
        <f t="shared" si="148"/>
        <v/>
      </c>
      <c r="IH24" s="1088">
        <f t="shared" si="285"/>
        <v>0</v>
      </c>
      <c r="II24" s="1091" t="str">
        <f t="shared" si="405"/>
        <v/>
      </c>
      <c r="IJ24" s="1089" t="str">
        <f t="shared" si="406"/>
        <v/>
      </c>
      <c r="IK24" s="1090">
        <f t="shared" si="288"/>
        <v>0</v>
      </c>
      <c r="IL24" s="1091" t="str">
        <f t="shared" si="407"/>
        <v/>
      </c>
      <c r="IM24" s="1089" t="str">
        <f t="shared" si="408"/>
        <v/>
      </c>
      <c r="IN24" s="1090">
        <f t="shared" si="291"/>
        <v>0</v>
      </c>
      <c r="IO24" s="1091" t="str">
        <f t="shared" si="409"/>
        <v/>
      </c>
      <c r="IP24" s="1089" t="str">
        <f t="shared" si="410"/>
        <v/>
      </c>
      <c r="IQ24" s="1090">
        <f t="shared" si="155"/>
        <v>0</v>
      </c>
      <c r="IR24" s="1091" t="str">
        <f t="shared" si="1"/>
        <v/>
      </c>
      <c r="IS24" s="1090">
        <f t="shared" si="156"/>
        <v>0</v>
      </c>
      <c r="IT24" s="1091" t="str">
        <f t="shared" si="2"/>
        <v/>
      </c>
    </row>
    <row r="25" outlineLevel="1">
      <c r="A25" s="1086">
        <f t="shared" si="294"/>
        <v>3</v>
      </c>
      <c r="B25" s="1087"/>
      <c r="C25" s="656" t="s">
        <v>183</v>
      </c>
      <c r="D25" s="1087" t="str">
        <f t="shared" si="295"/>
        <v>VY</v>
      </c>
      <c r="E25" s="1087" t="s">
        <v>2239</v>
      </c>
      <c r="F25" s="1087"/>
      <c r="G25" s="1086">
        <v>2.0</v>
      </c>
      <c r="H25" s="1088">
        <f>SUMIFS(BP_SOTIEN,BP_DOI,$C25,BP_THANG,H$2,BP_KM,$E25)/1000</f>
        <v>0</v>
      </c>
      <c r="I25" s="1091" t="str">
        <f t="shared" si="296"/>
        <v/>
      </c>
      <c r="J25" s="1089" t="str">
        <f t="shared" si="297"/>
        <v/>
      </c>
      <c r="K25" s="1090">
        <f>IF(NOW()&gt;=DATE(YEAR(H$2),MONTH(H$2)+1,DAY(H$2)),SUMIFS(TF_SOTIEN,TF_DOI,$C25,TF_THANG,H$2,TF_KM,$E25)/1000, N25)</f>
        <v>0</v>
      </c>
      <c r="L25" s="1091" t="str">
        <f t="shared" si="298"/>
        <v/>
      </c>
      <c r="M25" s="1089" t="str">
        <f t="shared" si="299"/>
        <v/>
      </c>
      <c r="N25" s="1090">
        <f>IF(NOW()&gt;=DATE(YEAR(H$2),MONTH(H$2)+1,DAY(H$2)),SUMIFS(AC_SOTIEN,AC_DOI,$C25,AC_THANG,H$2,AC_KM,$E25),SUMIFS(TF_SOTIEN,TF_DOI,$C25,TF_THANG,H$2,TF_KM,$E25))/ 1000</f>
        <v>0</v>
      </c>
      <c r="O25" s="1091">
        <f t="shared" si="300"/>
        <v>0</v>
      </c>
      <c r="P25" s="1089" t="str">
        <f t="shared" si="301"/>
        <v/>
      </c>
      <c r="Q25" s="1090">
        <f t="shared" si="8"/>
        <v>0</v>
      </c>
      <c r="R25" s="1091" t="str">
        <f t="shared" si="9"/>
        <v/>
      </c>
      <c r="S25" s="1090">
        <f t="shared" si="10"/>
        <v>0</v>
      </c>
      <c r="T25" s="1091" t="str">
        <f t="shared" si="11"/>
        <v/>
      </c>
      <c r="U25" s="1088">
        <f>SUMIFS(BP_SOTIEN,BP_DA,$C25,BP_THANG,U$2,BP_KM,$E25)/1000</f>
        <v>0</v>
      </c>
      <c r="V25" s="1091" t="str">
        <f t="shared" si="302"/>
        <v/>
      </c>
      <c r="W25" s="1089" t="str">
        <f t="shared" si="303"/>
        <v/>
      </c>
      <c r="X25" s="1090">
        <f>IF(NOW()&gt;=DATE(YEAR(U$2),MONTH(U$2)+1,DAY(U$2)),SUMIFS(TF_SOTIEN,TF_DA,$C25,TF_THANG,U$2,TF_KM,$E25)/1000, AA25)</f>
        <v>0</v>
      </c>
      <c r="Y25" s="1091" t="str">
        <f t="shared" si="304"/>
        <v/>
      </c>
      <c r="Z25" s="1089" t="str">
        <f t="shared" si="305"/>
        <v/>
      </c>
      <c r="AA25" s="1090">
        <f>IF(NOW()&gt;=DATE(YEAR(U$2),MONTH(U$2)+1,DAY(U$2)),SUMIFS(AC_SOTIEN,AC_DA,$C25,AC_THANG,U$2,AC_KM,$E25),SUMIFS(TF_SOTIEN,TF_DA,$C25,TF_THANG,U$2,TF_KM,$E25))/ 1000</f>
        <v>0</v>
      </c>
      <c r="AB25" s="1091" t="str">
        <f t="shared" si="306"/>
        <v/>
      </c>
      <c r="AC25" s="1089" t="str">
        <f t="shared" si="307"/>
        <v/>
      </c>
      <c r="AD25" s="1090">
        <f t="shared" si="15"/>
        <v>0</v>
      </c>
      <c r="AE25" s="1091" t="str">
        <f t="shared" si="16"/>
        <v/>
      </c>
      <c r="AF25" s="1090">
        <f t="shared" si="17"/>
        <v>0</v>
      </c>
      <c r="AG25" s="1091" t="str">
        <f t="shared" si="18"/>
        <v/>
      </c>
      <c r="AH25" s="1088">
        <f>SUMIFS(BP_SOTIEN,BP_DA,$C25,BP_THANG,AH$2,BP_KM,$E25)/1000</f>
        <v>0</v>
      </c>
      <c r="AI25" s="1091" t="str">
        <f t="shared" si="308"/>
        <v/>
      </c>
      <c r="AJ25" s="1089" t="str">
        <f t="shared" si="309"/>
        <v/>
      </c>
      <c r="AK25" s="1090">
        <f>IF(NOW()&gt;=DATE(YEAR(AH$2),MONTH(AH$2)+1,DAY(AH$2)),SUMIFS(TF_SOTIEN,TF_DA,$C25,TF_THANG,AH$2,TF_KM,$E25)/1000, AN25)</f>
        <v>0</v>
      </c>
      <c r="AL25" s="1091" t="str">
        <f t="shared" si="310"/>
        <v/>
      </c>
      <c r="AM25" s="1089" t="str">
        <f t="shared" si="311"/>
        <v/>
      </c>
      <c r="AN25" s="1090">
        <f>IF(NOW()&gt;=DATE(YEAR(AH$2),MONTH(AH$2)+1,DAY(AH$2)),SUMIFS(AC_SOTIEN,AC_DA,$C25,AC_THANG,AH$2,AC_KM,$E25),SUMIFS(TF_SOTIEN,TF_DA,$C25,TF_THANG,AH$2,TF_KM,$E25))/ 1000</f>
        <v>0</v>
      </c>
      <c r="AO25" s="1091" t="str">
        <f t="shared" si="312"/>
        <v/>
      </c>
      <c r="AP25" s="1089" t="str">
        <f t="shared" si="313"/>
        <v/>
      </c>
      <c r="AQ25" s="1090">
        <f t="shared" si="22"/>
        <v>0</v>
      </c>
      <c r="AR25" s="1091" t="str">
        <f t="shared" si="23"/>
        <v/>
      </c>
      <c r="AS25" s="1090">
        <f t="shared" si="24"/>
        <v>0</v>
      </c>
      <c r="AT25" s="1091" t="str">
        <f t="shared" si="25"/>
        <v/>
      </c>
      <c r="AU25" s="1088">
        <f t="shared" si="177"/>
        <v>0</v>
      </c>
      <c r="AV25" s="1091" t="str">
        <f t="shared" si="314"/>
        <v/>
      </c>
      <c r="AW25" s="1089" t="str">
        <f t="shared" si="315"/>
        <v/>
      </c>
      <c r="AX25" s="1090">
        <f t="shared" si="180"/>
        <v>0</v>
      </c>
      <c r="AY25" s="1091" t="str">
        <f t="shared" si="316"/>
        <v/>
      </c>
      <c r="AZ25" s="1089" t="str">
        <f t="shared" si="317"/>
        <v/>
      </c>
      <c r="BA25" s="1090">
        <f t="shared" si="318"/>
        <v>0</v>
      </c>
      <c r="BB25" s="1091">
        <f t="shared" si="319"/>
        <v>0</v>
      </c>
      <c r="BC25" s="1089" t="str">
        <f t="shared" si="320"/>
        <v/>
      </c>
      <c r="BD25" s="1090">
        <f t="shared" si="32"/>
        <v>0</v>
      </c>
      <c r="BE25" s="1091" t="str">
        <f t="shared" si="33"/>
        <v/>
      </c>
      <c r="BF25" s="1090">
        <f t="shared" si="34"/>
        <v>0</v>
      </c>
      <c r="BG25" s="1091" t="str">
        <f t="shared" si="35"/>
        <v/>
      </c>
      <c r="BH25" s="1088">
        <f>SUMIFS(BP_SOTIEN,BP_DA,$C25,BP_THANG,BH$2,BP_KM,$E25)/1000</f>
        <v>0</v>
      </c>
      <c r="BI25" s="1091" t="str">
        <f t="shared" si="321"/>
        <v/>
      </c>
      <c r="BJ25" s="1089" t="str">
        <f t="shared" si="322"/>
        <v/>
      </c>
      <c r="BK25" s="1090">
        <f>IF(NOW()&gt;=DATE(YEAR(BH$2),MONTH(BH$2)+1,DAY(BH$2)),SUMIFS(TF_SOTIEN,TF_DA,$C25,TF_THANG,BH$2,TF_KM,$E25)/1000, BN25)</f>
        <v>0</v>
      </c>
      <c r="BL25" s="1091" t="str">
        <f t="shared" si="323"/>
        <v/>
      </c>
      <c r="BM25" s="1089" t="str">
        <f t="shared" si="324"/>
        <v/>
      </c>
      <c r="BN25" s="1090">
        <f>IF(NOW()&gt;=DATE(YEAR(BH$2),MONTH(BH$2)+1,DAY(BH$2)),SUMIFS(AC_SOTIEN,AC_DA,$C25,AC_THANG,BH$2,AC_KM,$E25),SUMIFS(TF_SOTIEN,TF_DA,$C25,TF_THANG,BH$2,TF_KM,$E25))/ 1000</f>
        <v>0</v>
      </c>
      <c r="BO25" s="1091" t="str">
        <f t="shared" si="325"/>
        <v/>
      </c>
      <c r="BP25" s="1089" t="str">
        <f t="shared" si="326"/>
        <v/>
      </c>
      <c r="BQ25" s="1090">
        <f t="shared" si="39"/>
        <v>0</v>
      </c>
      <c r="BR25" s="1091" t="str">
        <f t="shared" si="40"/>
        <v/>
      </c>
      <c r="BS25" s="1090">
        <f t="shared" si="41"/>
        <v>0</v>
      </c>
      <c r="BT25" s="1091" t="str">
        <f t="shared" si="42"/>
        <v/>
      </c>
      <c r="BU25" s="1088">
        <f>SUMIFS(BP_SOTIEN,BP_DA,$C25,BP_THANG,BU$2,BP_KM,$E25)/1000</f>
        <v>0</v>
      </c>
      <c r="BV25" s="1091" t="str">
        <f t="shared" si="327"/>
        <v/>
      </c>
      <c r="BW25" s="1089" t="str">
        <f t="shared" si="328"/>
        <v/>
      </c>
      <c r="BX25" s="1090">
        <f>IF(NOW()&gt;=DATE(YEAR(BU$2),MONTH(BU$2)+1,DAY(BU$2)),SUMIFS(TF_SOTIEN,TF_DA,$C25,TF_THANG,BU$2,TF_KM,$E25)/1000, CA25)</f>
        <v>0</v>
      </c>
      <c r="BY25" s="1091" t="str">
        <f t="shared" si="329"/>
        <v/>
      </c>
      <c r="BZ25" s="1089" t="str">
        <f t="shared" si="330"/>
        <v/>
      </c>
      <c r="CA25" s="1090">
        <f>IF(NOW()&gt;=DATE(YEAR(BU$2),MONTH(BU$2)+1,DAY(BU$2)),SUMIFS(AC_SOTIEN,AC_DA,$C25,AC_THANG,BU$2,AC_KM,$E25),SUMIFS(TF_SOTIEN,TF_DA,$C25,TF_THANG,BU$2,TF_KM,$E25))/ 1000</f>
        <v>0</v>
      </c>
      <c r="CB25" s="1091" t="str">
        <f t="shared" si="331"/>
        <v/>
      </c>
      <c r="CC25" s="1089" t="str">
        <f t="shared" si="332"/>
        <v/>
      </c>
      <c r="CD25" s="1090">
        <f t="shared" si="46"/>
        <v>0</v>
      </c>
      <c r="CE25" s="1091" t="str">
        <f t="shared" si="47"/>
        <v/>
      </c>
      <c r="CF25" s="1090">
        <f t="shared" si="48"/>
        <v>0</v>
      </c>
      <c r="CG25" s="1091" t="str">
        <f t="shared" si="49"/>
        <v/>
      </c>
      <c r="CH25" s="1088">
        <f>SUMIFS(BP_SOTIEN,BP_DA,$C25,BP_THANG,CH$2,BP_KM,$E25)/1000</f>
        <v>0</v>
      </c>
      <c r="CI25" s="1091" t="str">
        <f t="shared" si="333"/>
        <v/>
      </c>
      <c r="CJ25" s="1089" t="str">
        <f t="shared" si="334"/>
        <v/>
      </c>
      <c r="CK25" s="1090">
        <f>IF(NOW()&gt;=DATE(YEAR(CH$2),MONTH(CH$2)+1,DAY(CH$2)),SUMIFS(TF_SOTIEN,TF_DA,$C25,TF_THANG,CH$2,TF_KM,$E25)/1000, CN25)</f>
        <v>0</v>
      </c>
      <c r="CL25" s="1091" t="str">
        <f t="shared" si="335"/>
        <v/>
      </c>
      <c r="CM25" s="1089" t="str">
        <f t="shared" si="336"/>
        <v/>
      </c>
      <c r="CN25" s="1090">
        <f>IF(NOW()&gt;=DATE(YEAR(CH$2),MONTH(CH$2)+1,DAY(CH$2)),SUMIFS(AC_SOTIEN,AC_DA,$C25,AC_THANG,CH$2,AC_KM,$E25),SUMIFS(TF_SOTIEN,TF_DA,$C25,TF_THANG,CH$2,TF_KM,$E25))/ 1000</f>
        <v>0</v>
      </c>
      <c r="CO25" s="1091" t="str">
        <f t="shared" si="337"/>
        <v/>
      </c>
      <c r="CP25" s="1089" t="str">
        <f t="shared" si="338"/>
        <v/>
      </c>
      <c r="CQ25" s="1090">
        <f t="shared" si="53"/>
        <v>0</v>
      </c>
      <c r="CR25" s="1091" t="str">
        <f t="shared" si="54"/>
        <v/>
      </c>
      <c r="CS25" s="1090">
        <f t="shared" si="55"/>
        <v>0</v>
      </c>
      <c r="CT25" s="1091" t="str">
        <f t="shared" si="56"/>
        <v/>
      </c>
      <c r="CU25" s="1088">
        <f t="shared" si="204"/>
        <v>0</v>
      </c>
      <c r="CV25" s="1091" t="str">
        <f t="shared" si="339"/>
        <v/>
      </c>
      <c r="CW25" s="1089" t="str">
        <f t="shared" si="340"/>
        <v/>
      </c>
      <c r="CX25" s="1090">
        <f t="shared" si="207"/>
        <v>0</v>
      </c>
      <c r="CY25" s="1091" t="str">
        <f t="shared" si="341"/>
        <v/>
      </c>
      <c r="CZ25" s="1089" t="str">
        <f t="shared" si="342"/>
        <v/>
      </c>
      <c r="DA25" s="1090">
        <f t="shared" si="210"/>
        <v>0</v>
      </c>
      <c r="DB25" s="1091" t="str">
        <f t="shared" si="343"/>
        <v/>
      </c>
      <c r="DC25" s="1089" t="str">
        <f t="shared" si="344"/>
        <v/>
      </c>
      <c r="DD25" s="1090">
        <f t="shared" si="63"/>
        <v>0</v>
      </c>
      <c r="DE25" s="1091" t="str">
        <f t="shared" si="64"/>
        <v/>
      </c>
      <c r="DF25" s="1090">
        <f t="shared" si="65"/>
        <v>0</v>
      </c>
      <c r="DG25" s="1091" t="str">
        <f t="shared" si="66"/>
        <v/>
      </c>
      <c r="DH25" s="1088">
        <f t="shared" si="213"/>
        <v>0</v>
      </c>
      <c r="DI25" s="1091" t="str">
        <f t="shared" si="345"/>
        <v/>
      </c>
      <c r="DJ25" s="1089" t="str">
        <f t="shared" si="346"/>
        <v/>
      </c>
      <c r="DK25" s="1090">
        <f t="shared" si="216"/>
        <v>0</v>
      </c>
      <c r="DL25" s="1091" t="str">
        <f t="shared" si="347"/>
        <v/>
      </c>
      <c r="DM25" s="1089" t="str">
        <f t="shared" si="348"/>
        <v/>
      </c>
      <c r="DN25" s="1090">
        <f t="shared" si="219"/>
        <v>0</v>
      </c>
      <c r="DO25" s="1091">
        <f t="shared" si="349"/>
        <v>0</v>
      </c>
      <c r="DP25" s="1089" t="str">
        <f t="shared" si="350"/>
        <v/>
      </c>
      <c r="DQ25" s="1090">
        <f t="shared" si="73"/>
        <v>0</v>
      </c>
      <c r="DR25" s="1091" t="str">
        <f t="shared" si="74"/>
        <v/>
      </c>
      <c r="DS25" s="1090">
        <f t="shared" si="75"/>
        <v>0</v>
      </c>
      <c r="DT25" s="1091" t="str">
        <f t="shared" si="76"/>
        <v/>
      </c>
      <c r="DU25" s="1088">
        <f>SUMIFS(BP_SOTIEN,BP_DA,$C25,BP_THANG,DU$2,BP_KM,$E25)/1000</f>
        <v>0</v>
      </c>
      <c r="DV25" s="1091" t="str">
        <f t="shared" si="351"/>
        <v/>
      </c>
      <c r="DW25" s="1089" t="str">
        <f t="shared" si="352"/>
        <v/>
      </c>
      <c r="DX25" s="1090">
        <f>IF(NOW()&gt;=DATE(YEAR(DU$2),MONTH(DU$2)+1,DAY(DU$2)),SUMIFS(TF_SOTIEN,TF_DA,$C25,TF_THANG,DU$2,TF_KM,$E25)/1000, EA25)</f>
        <v>0</v>
      </c>
      <c r="DY25" s="1091" t="str">
        <f t="shared" si="353"/>
        <v/>
      </c>
      <c r="DZ25" s="1089" t="str">
        <f t="shared" si="354"/>
        <v/>
      </c>
      <c r="EA25" s="1090">
        <f>IF(NOW()&gt;=DATE(YEAR(DU$2),MONTH(DU$2)+1,DAY(DU$2)),SUMIFS(AC_SOTIEN,AC_DA,$C25,AC_THANG,DU$2,AC_KM,$E25),SUMIFS(TF_SOTIEN,TF_DA,$C25,TF_THANG,DU$2,TF_KM,$E25))/ 1000</f>
        <v>0</v>
      </c>
      <c r="EB25" s="1091" t="str">
        <f t="shared" si="355"/>
        <v/>
      </c>
      <c r="EC25" s="1089" t="str">
        <f t="shared" si="356"/>
        <v/>
      </c>
      <c r="ED25" s="1090">
        <f t="shared" si="80"/>
        <v>0</v>
      </c>
      <c r="EE25" s="1091" t="str">
        <f t="shared" si="81"/>
        <v/>
      </c>
      <c r="EF25" s="1090">
        <f t="shared" si="82"/>
        <v>0</v>
      </c>
      <c r="EG25" s="1091" t="str">
        <f t="shared" si="83"/>
        <v/>
      </c>
      <c r="EH25" s="1088">
        <f>SUMIFS(BP_SOTIEN,BP_DA,$C25,BP_THANG,EH$2,BP_KM,$E25)/1000</f>
        <v>0</v>
      </c>
      <c r="EI25" s="1091" t="str">
        <f t="shared" si="357"/>
        <v/>
      </c>
      <c r="EJ25" s="1089" t="str">
        <f t="shared" si="358"/>
        <v/>
      </c>
      <c r="EK25" s="1090">
        <f>IF(NOW()&gt;=DATE(YEAR(EH$2),MONTH(EH$2)+1,DAY(EH$2)),SUMIFS(TF_SOTIEN,TF_DA,$C25,TF_THANG,EH$2,TF_KM,$E25)/1000, EN25)</f>
        <v>0</v>
      </c>
      <c r="EL25" s="1091" t="str">
        <f t="shared" si="359"/>
        <v/>
      </c>
      <c r="EM25" s="1089" t="str">
        <f t="shared" si="360"/>
        <v/>
      </c>
      <c r="EN25" s="1090">
        <f>IF(NOW()&gt;=DATE(YEAR(EH$2),MONTH(EH$2)+1,DAY(EH$2)),SUMIFS(AC_SOTIEN,AC_DA,$C25,AC_THANG,EH$2,AC_KM,$E25),SUMIFS(TF_SOTIEN,TF_DA,$C25,TF_THANG,EH$2,TF_KM,$E25))/ 1000</f>
        <v>0</v>
      </c>
      <c r="EO25" s="1091" t="str">
        <f t="shared" si="361"/>
        <v/>
      </c>
      <c r="EP25" s="1089" t="str">
        <f t="shared" si="362"/>
        <v/>
      </c>
      <c r="EQ25" s="1090">
        <f t="shared" si="87"/>
        <v>0</v>
      </c>
      <c r="ER25" s="1091" t="str">
        <f t="shared" si="88"/>
        <v/>
      </c>
      <c r="ES25" s="1090">
        <f t="shared" si="89"/>
        <v>0</v>
      </c>
      <c r="ET25" s="1091" t="str">
        <f t="shared" si="90"/>
        <v/>
      </c>
      <c r="EU25" s="1088">
        <f>SUMIFS(BP_SOTIEN,BP_DA,$C25,BP_THANG,EU$2,BP_KM,$E25)/1000</f>
        <v>0</v>
      </c>
      <c r="EV25" s="1091" t="str">
        <f t="shared" si="363"/>
        <v/>
      </c>
      <c r="EW25" s="1089" t="str">
        <f t="shared" si="364"/>
        <v/>
      </c>
      <c r="EX25" s="1090">
        <f>IF(NOW()&gt;=DATE(YEAR(EU$2),MONTH(EU$2)+1,DAY(EU$2)),SUMIFS(TF_SOTIEN,TF_DA,$C25,TF_THANG,EU$2,TF_KM,$E25)/1000, FA25)</f>
        <v>0</v>
      </c>
      <c r="EY25" s="1091" t="str">
        <f t="shared" si="365"/>
        <v/>
      </c>
      <c r="EZ25" s="1089" t="str">
        <f t="shared" si="366"/>
        <v/>
      </c>
      <c r="FA25" s="1090">
        <f>IF(NOW()&gt;=DATE(YEAR(EU$2),MONTH(EU$2)+1,DAY(EU$2)),SUMIFS(AC_SOTIEN,AC_DA,$C25,AC_THANG,EU$2,AC_KM,$E25),SUMIFS(TF_SOTIEN,TF_DA,$C25,TF_THANG,EU$2,TF_KM,$E25))/ 1000</f>
        <v>0</v>
      </c>
      <c r="FB25" s="1091" t="str">
        <f t="shared" si="367"/>
        <v/>
      </c>
      <c r="FC25" s="1089" t="str">
        <f t="shared" si="368"/>
        <v/>
      </c>
      <c r="FD25" s="1090">
        <f t="shared" si="94"/>
        <v>0</v>
      </c>
      <c r="FE25" s="1091" t="str">
        <f t="shared" si="95"/>
        <v/>
      </c>
      <c r="FF25" s="1090">
        <f t="shared" si="96"/>
        <v>0</v>
      </c>
      <c r="FG25" s="1091" t="str">
        <f t="shared" si="97"/>
        <v/>
      </c>
      <c r="FH25" s="1088">
        <f t="shared" si="240"/>
        <v>0</v>
      </c>
      <c r="FI25" s="1091" t="str">
        <f t="shared" si="369"/>
        <v/>
      </c>
      <c r="FJ25" s="1089" t="str">
        <f t="shared" si="370"/>
        <v/>
      </c>
      <c r="FK25" s="1090">
        <f t="shared" si="243"/>
        <v>0</v>
      </c>
      <c r="FL25" s="1091" t="str">
        <f t="shared" si="371"/>
        <v/>
      </c>
      <c r="FM25" s="1089" t="str">
        <f t="shared" si="372"/>
        <v/>
      </c>
      <c r="FN25" s="1090">
        <f t="shared" si="246"/>
        <v>0</v>
      </c>
      <c r="FO25" s="1091" t="str">
        <f t="shared" si="373"/>
        <v/>
      </c>
      <c r="FP25" s="1089" t="str">
        <f t="shared" si="374"/>
        <v/>
      </c>
      <c r="FQ25" s="1090">
        <f t="shared" si="104"/>
        <v>0</v>
      </c>
      <c r="FR25" s="1091" t="str">
        <f t="shared" si="105"/>
        <v/>
      </c>
      <c r="FS25" s="1090">
        <f t="shared" si="106"/>
        <v>0</v>
      </c>
      <c r="FT25" s="1091" t="str">
        <f t="shared" si="107"/>
        <v/>
      </c>
      <c r="FU25" s="1088">
        <f>SUMIFS(BP_SOTIEN,BP_DA,$C25,BP_THANG,FU$2,BP_KM,$E25)/1000</f>
        <v>0</v>
      </c>
      <c r="FV25" s="1091" t="str">
        <f t="shared" si="375"/>
        <v/>
      </c>
      <c r="FW25" s="1089" t="str">
        <f t="shared" si="376"/>
        <v/>
      </c>
      <c r="FX25" s="1090">
        <f>IF(NOW()&gt;=DATE(YEAR(FU$2),MONTH(FU$2)+1,DAY(FU$2)),SUMIFS(TF_SOTIEN,TF_DA,$C25,TF_THANG,FU$2,TF_KM,$E25)/1000, GA25)</f>
        <v>0</v>
      </c>
      <c r="FY25" s="1091" t="str">
        <f t="shared" si="377"/>
        <v/>
      </c>
      <c r="FZ25" s="1089" t="str">
        <f t="shared" si="378"/>
        <v/>
      </c>
      <c r="GA25" s="1090">
        <f>IF(NOW()&gt;=DATE(YEAR(FU$2),MONTH(FU$2)+1,DAY(FU$2)),SUMIFS(AC_SOTIEN,AC_DA,$C25,AC_THANG,FU$2,AC_KM,$E25),SUMIFS(TF_SOTIEN,TF_DA,$C25,TF_THANG,FU$2,TF_KM,$E25))/ 1000</f>
        <v>0</v>
      </c>
      <c r="GB25" s="1091" t="str">
        <f t="shared" si="379"/>
        <v/>
      </c>
      <c r="GC25" s="1089" t="str">
        <f t="shared" si="380"/>
        <v/>
      </c>
      <c r="GD25" s="1090">
        <f t="shared" si="111"/>
        <v>0</v>
      </c>
      <c r="GE25" s="1091" t="str">
        <f t="shared" si="112"/>
        <v/>
      </c>
      <c r="GF25" s="1090">
        <f t="shared" si="113"/>
        <v>0</v>
      </c>
      <c r="GG25" s="1091" t="str">
        <f t="shared" si="114"/>
        <v/>
      </c>
      <c r="GH25" s="1088">
        <f>SUMIFS(BP_SOTIEN,BP_DA,$C25,BP_THANG,GH$2,BP_KM,$E25)/1000</f>
        <v>0</v>
      </c>
      <c r="GI25" s="1091" t="str">
        <f t="shared" si="381"/>
        <v/>
      </c>
      <c r="GJ25" s="1089" t="str">
        <f t="shared" si="382"/>
        <v/>
      </c>
      <c r="GK25" s="1090">
        <f>IF(NOW()&gt;=DATE(YEAR(GH$2),MONTH(GH$2)+1,DAY(GH$2)),SUMIFS(TF_SOTIEN,TF_DA,$C25,TF_THANG,GH$2,TF_KM,$E25)/1000, GN25)</f>
        <v>0</v>
      </c>
      <c r="GL25" s="1091" t="str">
        <f t="shared" si="383"/>
        <v/>
      </c>
      <c r="GM25" s="1089" t="str">
        <f t="shared" si="384"/>
        <v/>
      </c>
      <c r="GN25" s="1090">
        <f>IF(NOW()&gt;=DATE(YEAR(GH$2),MONTH(GH$2)+1,DAY(GH$2)),SUMIFS(AC_SOTIEN,AC_DA,$C25,AC_THANG,GH$2,AC_KM,$E25),SUMIFS(TF_SOTIEN,TF_DA,$C25,TF_THANG,GH$2,TF_KM,$E25))/ 1000</f>
        <v>0</v>
      </c>
      <c r="GO25" s="1091" t="str">
        <f t="shared" si="385"/>
        <v/>
      </c>
      <c r="GP25" s="1089" t="str">
        <f t="shared" si="386"/>
        <v/>
      </c>
      <c r="GQ25" s="1090">
        <f t="shared" si="118"/>
        <v>0</v>
      </c>
      <c r="GR25" s="1091" t="str">
        <f t="shared" si="119"/>
        <v/>
      </c>
      <c r="GS25" s="1090">
        <f t="shared" si="120"/>
        <v>0</v>
      </c>
      <c r="GT25" s="1091" t="str">
        <f t="shared" si="121"/>
        <v/>
      </c>
      <c r="GU25" s="1088">
        <f>SUMIFS(BP_SOTIEN,BP_DA,$C25,BP_THANG,GU$2,BP_KM,$E25)/1000</f>
        <v>0</v>
      </c>
      <c r="GV25" s="1091" t="str">
        <f t="shared" si="387"/>
        <v/>
      </c>
      <c r="GW25" s="1089" t="str">
        <f t="shared" si="388"/>
        <v/>
      </c>
      <c r="GX25" s="1090">
        <f>IF(NOW()&gt;=DATE(YEAR(GU$2),MONTH(GU$2)+1,DAY(GU$2)),SUMIFS(TF_SOTIEN,TF_DA,$C25,TF_THANG,GU$2,TF_KM,$E25)/1000, HA25)</f>
        <v>0</v>
      </c>
      <c r="GY25" s="1091" t="str">
        <f t="shared" si="389"/>
        <v/>
      </c>
      <c r="GZ25" s="1089" t="str">
        <f t="shared" si="390"/>
        <v/>
      </c>
      <c r="HA25" s="1090">
        <f>IF(NOW()&gt;=DATE(YEAR(GU$2),MONTH(GU$2)+1,DAY(GU$2)),SUMIFS(AC_SOTIEN,AC_DA,$C25,AC_THANG,GU$2,AC_KM,$E25),SUMIFS(TF_SOTIEN,TF_DA,$C25,TF_THANG,GU$2,TF_KM,$E25))/ 1000</f>
        <v>0</v>
      </c>
      <c r="HB25" s="1091" t="str">
        <f t="shared" si="391"/>
        <v/>
      </c>
      <c r="HC25" s="1089" t="str">
        <f t="shared" si="392"/>
        <v/>
      </c>
      <c r="HD25" s="1090">
        <f t="shared" si="125"/>
        <v>0</v>
      </c>
      <c r="HE25" s="1091" t="str">
        <f t="shared" si="126"/>
        <v/>
      </c>
      <c r="HF25" s="1090">
        <f t="shared" si="127"/>
        <v>0</v>
      </c>
      <c r="HG25" s="1091" t="str">
        <f t="shared" si="128"/>
        <v/>
      </c>
      <c r="HH25" s="1088">
        <f t="shared" si="267"/>
        <v>0</v>
      </c>
      <c r="HI25" s="1091" t="str">
        <f t="shared" si="393"/>
        <v/>
      </c>
      <c r="HJ25" s="1089" t="str">
        <f t="shared" si="394"/>
        <v/>
      </c>
      <c r="HK25" s="1090">
        <f t="shared" si="270"/>
        <v>0</v>
      </c>
      <c r="HL25" s="1091" t="str">
        <f t="shared" si="395"/>
        <v/>
      </c>
      <c r="HM25" s="1089" t="str">
        <f t="shared" si="396"/>
        <v/>
      </c>
      <c r="HN25" s="1090">
        <f t="shared" si="273"/>
        <v>0</v>
      </c>
      <c r="HO25" s="1091" t="str">
        <f t="shared" si="397"/>
        <v/>
      </c>
      <c r="HP25" s="1089" t="str">
        <f t="shared" si="398"/>
        <v/>
      </c>
      <c r="HQ25" s="1090">
        <f t="shared" si="135"/>
        <v>0</v>
      </c>
      <c r="HR25" s="1091" t="str">
        <f t="shared" si="136"/>
        <v/>
      </c>
      <c r="HS25" s="1090">
        <f t="shared" si="137"/>
        <v>0</v>
      </c>
      <c r="HT25" s="1091" t="str">
        <f t="shared" si="138"/>
        <v/>
      </c>
      <c r="HU25" s="1088">
        <f t="shared" si="276"/>
        <v>0</v>
      </c>
      <c r="HV25" s="1091" t="str">
        <f t="shared" si="399"/>
        <v/>
      </c>
      <c r="HW25" s="1089" t="str">
        <f t="shared" si="400"/>
        <v/>
      </c>
      <c r="HX25" s="1090">
        <f t="shared" si="279"/>
        <v>0</v>
      </c>
      <c r="HY25" s="1091" t="str">
        <f t="shared" si="401"/>
        <v/>
      </c>
      <c r="HZ25" s="1089" t="str">
        <f t="shared" si="402"/>
        <v/>
      </c>
      <c r="IA25" s="1090">
        <f t="shared" si="282"/>
        <v>0</v>
      </c>
      <c r="IB25" s="1091" t="str">
        <f t="shared" si="403"/>
        <v/>
      </c>
      <c r="IC25" s="1089" t="str">
        <f t="shared" si="404"/>
        <v/>
      </c>
      <c r="ID25" s="1090">
        <f t="shared" si="145"/>
        <v>0</v>
      </c>
      <c r="IE25" s="1091" t="str">
        <f t="shared" si="146"/>
        <v/>
      </c>
      <c r="IF25" s="1090">
        <f t="shared" si="147"/>
        <v>0</v>
      </c>
      <c r="IG25" s="1091" t="str">
        <f t="shared" si="148"/>
        <v/>
      </c>
      <c r="IH25" s="1088">
        <f t="shared" si="285"/>
        <v>0</v>
      </c>
      <c r="II25" s="1091" t="str">
        <f t="shared" si="405"/>
        <v/>
      </c>
      <c r="IJ25" s="1089" t="str">
        <f t="shared" si="406"/>
        <v/>
      </c>
      <c r="IK25" s="1090">
        <f t="shared" si="288"/>
        <v>0</v>
      </c>
      <c r="IL25" s="1091" t="str">
        <f t="shared" si="407"/>
        <v/>
      </c>
      <c r="IM25" s="1089" t="str">
        <f t="shared" si="408"/>
        <v/>
      </c>
      <c r="IN25" s="1090">
        <f t="shared" si="291"/>
        <v>0</v>
      </c>
      <c r="IO25" s="1091">
        <f t="shared" si="409"/>
        <v>0</v>
      </c>
      <c r="IP25" s="1089" t="str">
        <f t="shared" si="410"/>
        <v/>
      </c>
      <c r="IQ25" s="1090">
        <f t="shared" si="155"/>
        <v>0</v>
      </c>
      <c r="IR25" s="1091" t="str">
        <f t="shared" si="1"/>
        <v/>
      </c>
      <c r="IS25" s="1090">
        <f t="shared" si="156"/>
        <v>0</v>
      </c>
      <c r="IT25" s="1091" t="str">
        <f t="shared" si="2"/>
        <v/>
      </c>
    </row>
    <row r="26" outlineLevel="1">
      <c r="A26" s="1086">
        <f t="shared" si="294"/>
        <v>4</v>
      </c>
      <c r="B26" s="1087"/>
      <c r="C26" s="656" t="s">
        <v>177</v>
      </c>
      <c r="D26" s="1087" t="str">
        <f t="shared" si="295"/>
        <v>QUAN</v>
      </c>
      <c r="E26" s="1087" t="s">
        <v>2239</v>
      </c>
      <c r="F26" s="1087"/>
      <c r="G26" s="1086">
        <v>2.0</v>
      </c>
      <c r="H26" s="1088">
        <f>SUMIFS(BP_SOTIEN,BP_DOI,$C26,BP_THANG,H$2,BP_KM,$E26)/1000</f>
        <v>0</v>
      </c>
      <c r="I26" s="1091" t="str">
        <f t="shared" si="296"/>
        <v/>
      </c>
      <c r="J26" s="1089" t="str">
        <f t="shared" si="297"/>
        <v/>
      </c>
      <c r="K26" s="1090">
        <f>IF(NOW()&gt;=DATE(YEAR(H$2),MONTH(H$2)+1,DAY(H$2)),SUMIFS(TF_SOTIEN,TF_DOI,$C26,TF_THANG,H$2,TF_KM,$E26)/1000, N26)</f>
        <v>0</v>
      </c>
      <c r="L26" s="1091" t="str">
        <f t="shared" si="298"/>
        <v/>
      </c>
      <c r="M26" s="1089" t="str">
        <f t="shared" si="299"/>
        <v/>
      </c>
      <c r="N26" s="1090">
        <f>IF(NOW()&gt;=DATE(YEAR(H$2),MONTH(H$2)+1,DAY(H$2)),SUMIFS(AC_SOTIEN,AC_DOI,$C26,AC_THANG,H$2,AC_KM,$E26),SUMIFS(TF_SOTIEN,TF_DOI,$C26,TF_THANG,H$2,TF_KM,$E26))/ 1000</f>
        <v>0</v>
      </c>
      <c r="O26" s="1091" t="str">
        <f t="shared" si="300"/>
        <v/>
      </c>
      <c r="P26" s="1089" t="str">
        <f t="shared" si="301"/>
        <v/>
      </c>
      <c r="Q26" s="1090">
        <f t="shared" si="8"/>
        <v>0</v>
      </c>
      <c r="R26" s="1091" t="str">
        <f t="shared" si="9"/>
        <v/>
      </c>
      <c r="S26" s="1090">
        <f t="shared" si="10"/>
        <v>0</v>
      </c>
      <c r="T26" s="1091" t="str">
        <f t="shared" si="11"/>
        <v/>
      </c>
      <c r="U26" s="1088">
        <f>SUMIFS(BP_SOTIEN,BP_DA,$C26,BP_THANG,U$2,BP_KM,$E26)/1000</f>
        <v>0</v>
      </c>
      <c r="V26" s="1091" t="str">
        <f t="shared" si="302"/>
        <v/>
      </c>
      <c r="W26" s="1089" t="str">
        <f t="shared" si="303"/>
        <v/>
      </c>
      <c r="X26" s="1090">
        <f>IF(NOW()&gt;=DATE(YEAR(U$2),MONTH(U$2)+1,DAY(U$2)),SUMIFS(TF_SOTIEN,TF_DA,$C26,TF_THANG,U$2,TF_KM,$E26)/1000, AA26)</f>
        <v>0</v>
      </c>
      <c r="Y26" s="1091" t="str">
        <f t="shared" si="304"/>
        <v/>
      </c>
      <c r="Z26" s="1089" t="str">
        <f t="shared" si="305"/>
        <v/>
      </c>
      <c r="AA26" s="1090">
        <f>IF(NOW()&gt;=DATE(YEAR(U$2),MONTH(U$2)+1,DAY(U$2)),SUMIFS(AC_SOTIEN,AC_DA,$C26,AC_THANG,U$2,AC_KM,$E26),SUMIFS(TF_SOTIEN,TF_DA,$C26,TF_THANG,U$2,TF_KM,$E26))/ 1000</f>
        <v>0</v>
      </c>
      <c r="AB26" s="1091" t="str">
        <f t="shared" si="306"/>
        <v/>
      </c>
      <c r="AC26" s="1089" t="str">
        <f t="shared" si="307"/>
        <v/>
      </c>
      <c r="AD26" s="1090">
        <f t="shared" si="15"/>
        <v>0</v>
      </c>
      <c r="AE26" s="1091" t="str">
        <f t="shared" si="16"/>
        <v/>
      </c>
      <c r="AF26" s="1090">
        <f t="shared" si="17"/>
        <v>0</v>
      </c>
      <c r="AG26" s="1091" t="str">
        <f t="shared" si="18"/>
        <v/>
      </c>
      <c r="AH26" s="1088">
        <f>SUMIFS(BP_SOTIEN,BP_DA,$C26,BP_THANG,AH$2,BP_KM,$E26)/1000</f>
        <v>0</v>
      </c>
      <c r="AI26" s="1091" t="str">
        <f t="shared" si="308"/>
        <v/>
      </c>
      <c r="AJ26" s="1089" t="str">
        <f t="shared" si="309"/>
        <v/>
      </c>
      <c r="AK26" s="1090">
        <f>IF(NOW()&gt;=DATE(YEAR(AH$2),MONTH(AH$2)+1,DAY(AH$2)),SUMIFS(TF_SOTIEN,TF_DA,$C26,TF_THANG,AH$2,TF_KM,$E26)/1000, AN26)</f>
        <v>0</v>
      </c>
      <c r="AL26" s="1091" t="str">
        <f t="shared" si="310"/>
        <v/>
      </c>
      <c r="AM26" s="1089" t="str">
        <f t="shared" si="311"/>
        <v/>
      </c>
      <c r="AN26" s="1090">
        <f>IF(NOW()&gt;=DATE(YEAR(AH$2),MONTH(AH$2)+1,DAY(AH$2)),SUMIFS(AC_SOTIEN,AC_DA,$C26,AC_THANG,AH$2,AC_KM,$E26),SUMIFS(TF_SOTIEN,TF_DA,$C26,TF_THANG,AH$2,TF_KM,$E26))/ 1000</f>
        <v>0</v>
      </c>
      <c r="AO26" s="1091" t="str">
        <f t="shared" si="312"/>
        <v/>
      </c>
      <c r="AP26" s="1089" t="str">
        <f t="shared" si="313"/>
        <v/>
      </c>
      <c r="AQ26" s="1090">
        <f t="shared" si="22"/>
        <v>0</v>
      </c>
      <c r="AR26" s="1091" t="str">
        <f t="shared" si="23"/>
        <v/>
      </c>
      <c r="AS26" s="1090">
        <f t="shared" si="24"/>
        <v>0</v>
      </c>
      <c r="AT26" s="1091" t="str">
        <f t="shared" si="25"/>
        <v/>
      </c>
      <c r="AU26" s="1088">
        <f t="shared" si="177"/>
        <v>0</v>
      </c>
      <c r="AV26" s="1091" t="str">
        <f t="shared" si="314"/>
        <v/>
      </c>
      <c r="AW26" s="1089" t="str">
        <f t="shared" si="315"/>
        <v/>
      </c>
      <c r="AX26" s="1090">
        <f t="shared" si="180"/>
        <v>0</v>
      </c>
      <c r="AY26" s="1091" t="str">
        <f t="shared" si="316"/>
        <v/>
      </c>
      <c r="AZ26" s="1089" t="str">
        <f t="shared" si="317"/>
        <v/>
      </c>
      <c r="BA26" s="1090">
        <f t="shared" si="318"/>
        <v>0</v>
      </c>
      <c r="BB26" s="1091" t="str">
        <f t="shared" si="319"/>
        <v/>
      </c>
      <c r="BC26" s="1089" t="str">
        <f t="shared" si="320"/>
        <v/>
      </c>
      <c r="BD26" s="1090">
        <f t="shared" si="32"/>
        <v>0</v>
      </c>
      <c r="BE26" s="1091" t="str">
        <f t="shared" si="33"/>
        <v/>
      </c>
      <c r="BF26" s="1090">
        <f t="shared" si="34"/>
        <v>0</v>
      </c>
      <c r="BG26" s="1091" t="str">
        <f t="shared" si="35"/>
        <v/>
      </c>
      <c r="BH26" s="1088">
        <f>SUMIFS(BP_SOTIEN,BP_DA,$C26,BP_THANG,BH$2,BP_KM,$E26)/1000</f>
        <v>0</v>
      </c>
      <c r="BI26" s="1091" t="str">
        <f t="shared" si="321"/>
        <v/>
      </c>
      <c r="BJ26" s="1089" t="str">
        <f t="shared" si="322"/>
        <v/>
      </c>
      <c r="BK26" s="1090">
        <f>IF(NOW()&gt;=DATE(YEAR(BH$2),MONTH(BH$2)+1,DAY(BH$2)),SUMIFS(TF_SOTIEN,TF_DA,$C26,TF_THANG,BH$2,TF_KM,$E26)/1000, BN26)</f>
        <v>0</v>
      </c>
      <c r="BL26" s="1091" t="str">
        <f t="shared" si="323"/>
        <v/>
      </c>
      <c r="BM26" s="1089" t="str">
        <f t="shared" si="324"/>
        <v/>
      </c>
      <c r="BN26" s="1090">
        <f>IF(NOW()&gt;=DATE(YEAR(BH$2),MONTH(BH$2)+1,DAY(BH$2)),SUMIFS(AC_SOTIEN,AC_DA,$C26,AC_THANG,BH$2,AC_KM,$E26),SUMIFS(TF_SOTIEN,TF_DA,$C26,TF_THANG,BH$2,TF_KM,$E26))/ 1000</f>
        <v>0</v>
      </c>
      <c r="BO26" s="1091" t="str">
        <f t="shared" si="325"/>
        <v/>
      </c>
      <c r="BP26" s="1089" t="str">
        <f t="shared" si="326"/>
        <v/>
      </c>
      <c r="BQ26" s="1090">
        <f t="shared" si="39"/>
        <v>0</v>
      </c>
      <c r="BR26" s="1091" t="str">
        <f t="shared" si="40"/>
        <v/>
      </c>
      <c r="BS26" s="1090">
        <f t="shared" si="41"/>
        <v>0</v>
      </c>
      <c r="BT26" s="1091" t="str">
        <f t="shared" si="42"/>
        <v/>
      </c>
      <c r="BU26" s="1088">
        <f>SUMIFS(BP_SOTIEN,BP_DA,$C26,BP_THANG,BU$2,BP_KM,$E26)/1000</f>
        <v>0</v>
      </c>
      <c r="BV26" s="1091" t="str">
        <f t="shared" si="327"/>
        <v/>
      </c>
      <c r="BW26" s="1089" t="str">
        <f t="shared" si="328"/>
        <v/>
      </c>
      <c r="BX26" s="1090">
        <f>IF(NOW()&gt;=DATE(YEAR(BU$2),MONTH(BU$2)+1,DAY(BU$2)),SUMIFS(TF_SOTIEN,TF_DA,$C26,TF_THANG,BU$2,TF_KM,$E26)/1000, CA26)</f>
        <v>0</v>
      </c>
      <c r="BY26" s="1091" t="str">
        <f t="shared" si="329"/>
        <v/>
      </c>
      <c r="BZ26" s="1089" t="str">
        <f t="shared" si="330"/>
        <v/>
      </c>
      <c r="CA26" s="1090">
        <f>IF(NOW()&gt;=DATE(YEAR(BU$2),MONTH(BU$2)+1,DAY(BU$2)),SUMIFS(AC_SOTIEN,AC_DA,$C26,AC_THANG,BU$2,AC_KM,$E26),SUMIFS(TF_SOTIEN,TF_DA,$C26,TF_THANG,BU$2,TF_KM,$E26))/ 1000</f>
        <v>0</v>
      </c>
      <c r="CB26" s="1091" t="str">
        <f t="shared" si="331"/>
        <v/>
      </c>
      <c r="CC26" s="1089" t="str">
        <f t="shared" si="332"/>
        <v/>
      </c>
      <c r="CD26" s="1090">
        <f t="shared" si="46"/>
        <v>0</v>
      </c>
      <c r="CE26" s="1091" t="str">
        <f t="shared" si="47"/>
        <v/>
      </c>
      <c r="CF26" s="1090">
        <f t="shared" si="48"/>
        <v>0</v>
      </c>
      <c r="CG26" s="1091" t="str">
        <f t="shared" si="49"/>
        <v/>
      </c>
      <c r="CH26" s="1088">
        <f>SUMIFS(BP_SOTIEN,BP_DA,$C26,BP_THANG,CH$2,BP_KM,$E26)/1000</f>
        <v>0</v>
      </c>
      <c r="CI26" s="1091" t="str">
        <f t="shared" si="333"/>
        <v/>
      </c>
      <c r="CJ26" s="1089" t="str">
        <f t="shared" si="334"/>
        <v/>
      </c>
      <c r="CK26" s="1090">
        <f>IF(NOW()&gt;=DATE(YEAR(CH$2),MONTH(CH$2)+1,DAY(CH$2)),SUMIFS(TF_SOTIEN,TF_DA,$C26,TF_THANG,CH$2,TF_KM,$E26)/1000, CN26)</f>
        <v>0</v>
      </c>
      <c r="CL26" s="1091" t="str">
        <f t="shared" si="335"/>
        <v/>
      </c>
      <c r="CM26" s="1089" t="str">
        <f t="shared" si="336"/>
        <v/>
      </c>
      <c r="CN26" s="1090">
        <f>IF(NOW()&gt;=DATE(YEAR(CH$2),MONTH(CH$2)+1,DAY(CH$2)),SUMIFS(AC_SOTIEN,AC_DA,$C26,AC_THANG,CH$2,AC_KM,$E26),SUMIFS(TF_SOTIEN,TF_DA,$C26,TF_THANG,CH$2,TF_KM,$E26))/ 1000</f>
        <v>0</v>
      </c>
      <c r="CO26" s="1091" t="str">
        <f t="shared" si="337"/>
        <v/>
      </c>
      <c r="CP26" s="1089" t="str">
        <f t="shared" si="338"/>
        <v/>
      </c>
      <c r="CQ26" s="1090">
        <f t="shared" si="53"/>
        <v>0</v>
      </c>
      <c r="CR26" s="1091" t="str">
        <f t="shared" si="54"/>
        <v/>
      </c>
      <c r="CS26" s="1090">
        <f t="shared" si="55"/>
        <v>0</v>
      </c>
      <c r="CT26" s="1091" t="str">
        <f t="shared" si="56"/>
        <v/>
      </c>
      <c r="CU26" s="1088">
        <f t="shared" si="204"/>
        <v>0</v>
      </c>
      <c r="CV26" s="1091" t="str">
        <f t="shared" si="339"/>
        <v/>
      </c>
      <c r="CW26" s="1089" t="str">
        <f t="shared" si="340"/>
        <v/>
      </c>
      <c r="CX26" s="1090">
        <f t="shared" si="207"/>
        <v>0</v>
      </c>
      <c r="CY26" s="1091" t="str">
        <f t="shared" si="341"/>
        <v/>
      </c>
      <c r="CZ26" s="1089" t="str">
        <f t="shared" si="342"/>
        <v/>
      </c>
      <c r="DA26" s="1090">
        <f t="shared" si="210"/>
        <v>0</v>
      </c>
      <c r="DB26" s="1091" t="str">
        <f t="shared" si="343"/>
        <v/>
      </c>
      <c r="DC26" s="1089" t="str">
        <f t="shared" si="344"/>
        <v/>
      </c>
      <c r="DD26" s="1090">
        <f t="shared" si="63"/>
        <v>0</v>
      </c>
      <c r="DE26" s="1091" t="str">
        <f t="shared" si="64"/>
        <v/>
      </c>
      <c r="DF26" s="1090">
        <f t="shared" si="65"/>
        <v>0</v>
      </c>
      <c r="DG26" s="1091" t="str">
        <f t="shared" si="66"/>
        <v/>
      </c>
      <c r="DH26" s="1088">
        <f t="shared" si="213"/>
        <v>0</v>
      </c>
      <c r="DI26" s="1091" t="str">
        <f t="shared" si="345"/>
        <v/>
      </c>
      <c r="DJ26" s="1089" t="str">
        <f t="shared" si="346"/>
        <v/>
      </c>
      <c r="DK26" s="1090">
        <f t="shared" si="216"/>
        <v>0</v>
      </c>
      <c r="DL26" s="1091" t="str">
        <f t="shared" si="347"/>
        <v/>
      </c>
      <c r="DM26" s="1089" t="str">
        <f t="shared" si="348"/>
        <v/>
      </c>
      <c r="DN26" s="1090">
        <f t="shared" si="219"/>
        <v>0</v>
      </c>
      <c r="DO26" s="1091" t="str">
        <f t="shared" si="349"/>
        <v/>
      </c>
      <c r="DP26" s="1089" t="str">
        <f t="shared" si="350"/>
        <v/>
      </c>
      <c r="DQ26" s="1090">
        <f t="shared" si="73"/>
        <v>0</v>
      </c>
      <c r="DR26" s="1091" t="str">
        <f t="shared" si="74"/>
        <v/>
      </c>
      <c r="DS26" s="1090">
        <f t="shared" si="75"/>
        <v>0</v>
      </c>
      <c r="DT26" s="1091" t="str">
        <f t="shared" si="76"/>
        <v/>
      </c>
      <c r="DU26" s="1088">
        <f>SUMIFS(BP_SOTIEN,BP_DA,$C26,BP_THANG,DU$2,BP_KM,$E26)/1000</f>
        <v>0</v>
      </c>
      <c r="DV26" s="1091" t="str">
        <f t="shared" si="351"/>
        <v/>
      </c>
      <c r="DW26" s="1089" t="str">
        <f t="shared" si="352"/>
        <v/>
      </c>
      <c r="DX26" s="1090">
        <f>IF(NOW()&gt;=DATE(YEAR(DU$2),MONTH(DU$2)+1,DAY(DU$2)),SUMIFS(TF_SOTIEN,TF_DA,$C26,TF_THANG,DU$2,TF_KM,$E26)/1000, EA26)</f>
        <v>0</v>
      </c>
      <c r="DY26" s="1091" t="str">
        <f t="shared" si="353"/>
        <v/>
      </c>
      <c r="DZ26" s="1089" t="str">
        <f t="shared" si="354"/>
        <v/>
      </c>
      <c r="EA26" s="1090">
        <f>IF(NOW()&gt;=DATE(YEAR(DU$2),MONTH(DU$2)+1,DAY(DU$2)),SUMIFS(AC_SOTIEN,AC_DA,$C26,AC_THANG,DU$2,AC_KM,$E26),SUMIFS(TF_SOTIEN,TF_DA,$C26,TF_THANG,DU$2,TF_KM,$E26))/ 1000</f>
        <v>0</v>
      </c>
      <c r="EB26" s="1091" t="str">
        <f t="shared" si="355"/>
        <v/>
      </c>
      <c r="EC26" s="1089" t="str">
        <f t="shared" si="356"/>
        <v/>
      </c>
      <c r="ED26" s="1090">
        <f t="shared" si="80"/>
        <v>0</v>
      </c>
      <c r="EE26" s="1091" t="str">
        <f t="shared" si="81"/>
        <v/>
      </c>
      <c r="EF26" s="1090">
        <f t="shared" si="82"/>
        <v>0</v>
      </c>
      <c r="EG26" s="1091" t="str">
        <f t="shared" si="83"/>
        <v/>
      </c>
      <c r="EH26" s="1088">
        <f>SUMIFS(BP_SOTIEN,BP_DA,$C26,BP_THANG,EH$2,BP_KM,$E26)/1000</f>
        <v>0</v>
      </c>
      <c r="EI26" s="1091" t="str">
        <f t="shared" si="357"/>
        <v/>
      </c>
      <c r="EJ26" s="1089" t="str">
        <f t="shared" si="358"/>
        <v/>
      </c>
      <c r="EK26" s="1090">
        <f>IF(NOW()&gt;=DATE(YEAR(EH$2),MONTH(EH$2)+1,DAY(EH$2)),SUMIFS(TF_SOTIEN,TF_DA,$C26,TF_THANG,EH$2,TF_KM,$E26)/1000, EN26)</f>
        <v>0</v>
      </c>
      <c r="EL26" s="1091" t="str">
        <f t="shared" si="359"/>
        <v/>
      </c>
      <c r="EM26" s="1089" t="str">
        <f t="shared" si="360"/>
        <v/>
      </c>
      <c r="EN26" s="1090">
        <f>IF(NOW()&gt;=DATE(YEAR(EH$2),MONTH(EH$2)+1,DAY(EH$2)),SUMIFS(AC_SOTIEN,AC_DA,$C26,AC_THANG,EH$2,AC_KM,$E26),SUMIFS(TF_SOTIEN,TF_DA,$C26,TF_THANG,EH$2,TF_KM,$E26))/ 1000</f>
        <v>0</v>
      </c>
      <c r="EO26" s="1091" t="str">
        <f t="shared" si="361"/>
        <v/>
      </c>
      <c r="EP26" s="1089" t="str">
        <f t="shared" si="362"/>
        <v/>
      </c>
      <c r="EQ26" s="1090">
        <f t="shared" si="87"/>
        <v>0</v>
      </c>
      <c r="ER26" s="1091" t="str">
        <f t="shared" si="88"/>
        <v/>
      </c>
      <c r="ES26" s="1090">
        <f t="shared" si="89"/>
        <v>0</v>
      </c>
      <c r="ET26" s="1091" t="str">
        <f t="shared" si="90"/>
        <v/>
      </c>
      <c r="EU26" s="1088">
        <f>SUMIFS(BP_SOTIEN,BP_DA,$C26,BP_THANG,EU$2,BP_KM,$E26)/1000</f>
        <v>0</v>
      </c>
      <c r="EV26" s="1091" t="str">
        <f t="shared" si="363"/>
        <v/>
      </c>
      <c r="EW26" s="1089" t="str">
        <f t="shared" si="364"/>
        <v/>
      </c>
      <c r="EX26" s="1090">
        <f>IF(NOW()&gt;=DATE(YEAR(EU$2),MONTH(EU$2)+1,DAY(EU$2)),SUMIFS(TF_SOTIEN,TF_DA,$C26,TF_THANG,EU$2,TF_KM,$E26)/1000, FA26)</f>
        <v>0</v>
      </c>
      <c r="EY26" s="1091" t="str">
        <f t="shared" si="365"/>
        <v/>
      </c>
      <c r="EZ26" s="1089" t="str">
        <f t="shared" si="366"/>
        <v/>
      </c>
      <c r="FA26" s="1090">
        <f>IF(NOW()&gt;=DATE(YEAR(EU$2),MONTH(EU$2)+1,DAY(EU$2)),SUMIFS(AC_SOTIEN,AC_DA,$C26,AC_THANG,EU$2,AC_KM,$E26),SUMIFS(TF_SOTIEN,TF_DA,$C26,TF_THANG,EU$2,TF_KM,$E26))/ 1000</f>
        <v>0</v>
      </c>
      <c r="FB26" s="1091" t="str">
        <f t="shared" si="367"/>
        <v/>
      </c>
      <c r="FC26" s="1089" t="str">
        <f t="shared" si="368"/>
        <v/>
      </c>
      <c r="FD26" s="1090">
        <f t="shared" si="94"/>
        <v>0</v>
      </c>
      <c r="FE26" s="1091" t="str">
        <f t="shared" si="95"/>
        <v/>
      </c>
      <c r="FF26" s="1090">
        <f t="shared" si="96"/>
        <v>0</v>
      </c>
      <c r="FG26" s="1091" t="str">
        <f t="shared" si="97"/>
        <v/>
      </c>
      <c r="FH26" s="1088">
        <f t="shared" si="240"/>
        <v>0</v>
      </c>
      <c r="FI26" s="1091" t="str">
        <f t="shared" si="369"/>
        <v/>
      </c>
      <c r="FJ26" s="1089" t="str">
        <f t="shared" si="370"/>
        <v/>
      </c>
      <c r="FK26" s="1090">
        <f t="shared" si="243"/>
        <v>0</v>
      </c>
      <c r="FL26" s="1091" t="str">
        <f t="shared" si="371"/>
        <v/>
      </c>
      <c r="FM26" s="1089" t="str">
        <f t="shared" si="372"/>
        <v/>
      </c>
      <c r="FN26" s="1090">
        <f t="shared" si="246"/>
        <v>0</v>
      </c>
      <c r="FO26" s="1091" t="str">
        <f t="shared" si="373"/>
        <v/>
      </c>
      <c r="FP26" s="1089" t="str">
        <f t="shared" si="374"/>
        <v/>
      </c>
      <c r="FQ26" s="1090">
        <f t="shared" si="104"/>
        <v>0</v>
      </c>
      <c r="FR26" s="1091" t="str">
        <f t="shared" si="105"/>
        <v/>
      </c>
      <c r="FS26" s="1090">
        <f t="shared" si="106"/>
        <v>0</v>
      </c>
      <c r="FT26" s="1091" t="str">
        <f t="shared" si="107"/>
        <v/>
      </c>
      <c r="FU26" s="1088">
        <f>SUMIFS(BP_SOTIEN,BP_DA,$C26,BP_THANG,FU$2,BP_KM,$E26)/1000</f>
        <v>0</v>
      </c>
      <c r="FV26" s="1091" t="str">
        <f t="shared" si="375"/>
        <v/>
      </c>
      <c r="FW26" s="1089" t="str">
        <f t="shared" si="376"/>
        <v/>
      </c>
      <c r="FX26" s="1090">
        <f>IF(NOW()&gt;=DATE(YEAR(FU$2),MONTH(FU$2)+1,DAY(FU$2)),SUMIFS(TF_SOTIEN,TF_DA,$C26,TF_THANG,FU$2,TF_KM,$E26)/1000, GA26)</f>
        <v>0</v>
      </c>
      <c r="FY26" s="1091" t="str">
        <f t="shared" si="377"/>
        <v/>
      </c>
      <c r="FZ26" s="1089" t="str">
        <f t="shared" si="378"/>
        <v/>
      </c>
      <c r="GA26" s="1090">
        <f>IF(NOW()&gt;=DATE(YEAR(FU$2),MONTH(FU$2)+1,DAY(FU$2)),SUMIFS(AC_SOTIEN,AC_DA,$C26,AC_THANG,FU$2,AC_KM,$E26),SUMIFS(TF_SOTIEN,TF_DA,$C26,TF_THANG,FU$2,TF_KM,$E26))/ 1000</f>
        <v>0</v>
      </c>
      <c r="GB26" s="1091" t="str">
        <f t="shared" si="379"/>
        <v/>
      </c>
      <c r="GC26" s="1089" t="str">
        <f t="shared" si="380"/>
        <v/>
      </c>
      <c r="GD26" s="1090">
        <f t="shared" si="111"/>
        <v>0</v>
      </c>
      <c r="GE26" s="1091" t="str">
        <f t="shared" si="112"/>
        <v/>
      </c>
      <c r="GF26" s="1090">
        <f t="shared" si="113"/>
        <v>0</v>
      </c>
      <c r="GG26" s="1091" t="str">
        <f t="shared" si="114"/>
        <v/>
      </c>
      <c r="GH26" s="1088">
        <f>SUMIFS(BP_SOTIEN,BP_DA,$C26,BP_THANG,GH$2,BP_KM,$E26)/1000</f>
        <v>0</v>
      </c>
      <c r="GI26" s="1091" t="str">
        <f t="shared" si="381"/>
        <v/>
      </c>
      <c r="GJ26" s="1089" t="str">
        <f t="shared" si="382"/>
        <v/>
      </c>
      <c r="GK26" s="1090">
        <f>IF(NOW()&gt;=DATE(YEAR(GH$2),MONTH(GH$2)+1,DAY(GH$2)),SUMIFS(TF_SOTIEN,TF_DA,$C26,TF_THANG,GH$2,TF_KM,$E26)/1000, GN26)</f>
        <v>0</v>
      </c>
      <c r="GL26" s="1091" t="str">
        <f t="shared" si="383"/>
        <v/>
      </c>
      <c r="GM26" s="1089" t="str">
        <f t="shared" si="384"/>
        <v/>
      </c>
      <c r="GN26" s="1090">
        <f>IF(NOW()&gt;=DATE(YEAR(GH$2),MONTH(GH$2)+1,DAY(GH$2)),SUMIFS(AC_SOTIEN,AC_DA,$C26,AC_THANG,GH$2,AC_KM,$E26),SUMIFS(TF_SOTIEN,TF_DA,$C26,TF_THANG,GH$2,TF_KM,$E26))/ 1000</f>
        <v>0</v>
      </c>
      <c r="GO26" s="1091" t="str">
        <f t="shared" si="385"/>
        <v/>
      </c>
      <c r="GP26" s="1089" t="str">
        <f t="shared" si="386"/>
        <v/>
      </c>
      <c r="GQ26" s="1090">
        <f t="shared" si="118"/>
        <v>0</v>
      </c>
      <c r="GR26" s="1091" t="str">
        <f t="shared" si="119"/>
        <v/>
      </c>
      <c r="GS26" s="1090">
        <f t="shared" si="120"/>
        <v>0</v>
      </c>
      <c r="GT26" s="1091" t="str">
        <f t="shared" si="121"/>
        <v/>
      </c>
      <c r="GU26" s="1088">
        <f>SUMIFS(BP_SOTIEN,BP_DA,$C26,BP_THANG,GU$2,BP_KM,$E26)/1000</f>
        <v>0</v>
      </c>
      <c r="GV26" s="1091" t="str">
        <f t="shared" si="387"/>
        <v/>
      </c>
      <c r="GW26" s="1089" t="str">
        <f t="shared" si="388"/>
        <v/>
      </c>
      <c r="GX26" s="1090">
        <f>IF(NOW()&gt;=DATE(YEAR(GU$2),MONTH(GU$2)+1,DAY(GU$2)),SUMIFS(TF_SOTIEN,TF_DA,$C26,TF_THANG,GU$2,TF_KM,$E26)/1000, HA26)</f>
        <v>0</v>
      </c>
      <c r="GY26" s="1091" t="str">
        <f t="shared" si="389"/>
        <v/>
      </c>
      <c r="GZ26" s="1089" t="str">
        <f t="shared" si="390"/>
        <v/>
      </c>
      <c r="HA26" s="1090">
        <f>IF(NOW()&gt;=DATE(YEAR(GU$2),MONTH(GU$2)+1,DAY(GU$2)),SUMIFS(AC_SOTIEN,AC_DA,$C26,AC_THANG,GU$2,AC_KM,$E26),SUMIFS(TF_SOTIEN,TF_DA,$C26,TF_THANG,GU$2,TF_KM,$E26))/ 1000</f>
        <v>0</v>
      </c>
      <c r="HB26" s="1091" t="str">
        <f t="shared" si="391"/>
        <v/>
      </c>
      <c r="HC26" s="1089" t="str">
        <f t="shared" si="392"/>
        <v/>
      </c>
      <c r="HD26" s="1090">
        <f t="shared" si="125"/>
        <v>0</v>
      </c>
      <c r="HE26" s="1091" t="str">
        <f t="shared" si="126"/>
        <v/>
      </c>
      <c r="HF26" s="1090">
        <f t="shared" si="127"/>
        <v>0</v>
      </c>
      <c r="HG26" s="1091" t="str">
        <f t="shared" si="128"/>
        <v/>
      </c>
      <c r="HH26" s="1088">
        <f t="shared" si="267"/>
        <v>0</v>
      </c>
      <c r="HI26" s="1091" t="str">
        <f t="shared" si="393"/>
        <v/>
      </c>
      <c r="HJ26" s="1089" t="str">
        <f t="shared" si="394"/>
        <v/>
      </c>
      <c r="HK26" s="1090">
        <f t="shared" si="270"/>
        <v>0</v>
      </c>
      <c r="HL26" s="1091" t="str">
        <f t="shared" si="395"/>
        <v/>
      </c>
      <c r="HM26" s="1089" t="str">
        <f t="shared" si="396"/>
        <v/>
      </c>
      <c r="HN26" s="1090">
        <f t="shared" si="273"/>
        <v>0</v>
      </c>
      <c r="HO26" s="1091" t="str">
        <f t="shared" si="397"/>
        <v/>
      </c>
      <c r="HP26" s="1089" t="str">
        <f t="shared" si="398"/>
        <v/>
      </c>
      <c r="HQ26" s="1090">
        <f t="shared" si="135"/>
        <v>0</v>
      </c>
      <c r="HR26" s="1091" t="str">
        <f t="shared" si="136"/>
        <v/>
      </c>
      <c r="HS26" s="1090">
        <f t="shared" si="137"/>
        <v>0</v>
      </c>
      <c r="HT26" s="1091" t="str">
        <f t="shared" si="138"/>
        <v/>
      </c>
      <c r="HU26" s="1088">
        <f t="shared" si="276"/>
        <v>0</v>
      </c>
      <c r="HV26" s="1091" t="str">
        <f t="shared" si="399"/>
        <v/>
      </c>
      <c r="HW26" s="1089" t="str">
        <f t="shared" si="400"/>
        <v/>
      </c>
      <c r="HX26" s="1090">
        <f t="shared" si="279"/>
        <v>0</v>
      </c>
      <c r="HY26" s="1091" t="str">
        <f t="shared" si="401"/>
        <v/>
      </c>
      <c r="HZ26" s="1089" t="str">
        <f t="shared" si="402"/>
        <v/>
      </c>
      <c r="IA26" s="1090">
        <f t="shared" si="282"/>
        <v>0</v>
      </c>
      <c r="IB26" s="1091" t="str">
        <f t="shared" si="403"/>
        <v/>
      </c>
      <c r="IC26" s="1089" t="str">
        <f t="shared" si="404"/>
        <v/>
      </c>
      <c r="ID26" s="1090">
        <f t="shared" si="145"/>
        <v>0</v>
      </c>
      <c r="IE26" s="1091" t="str">
        <f t="shared" si="146"/>
        <v/>
      </c>
      <c r="IF26" s="1090">
        <f t="shared" si="147"/>
        <v>0</v>
      </c>
      <c r="IG26" s="1091" t="str">
        <f t="shared" si="148"/>
        <v/>
      </c>
      <c r="IH26" s="1088">
        <f t="shared" si="285"/>
        <v>0</v>
      </c>
      <c r="II26" s="1091" t="str">
        <f t="shared" si="405"/>
        <v/>
      </c>
      <c r="IJ26" s="1089" t="str">
        <f t="shared" si="406"/>
        <v/>
      </c>
      <c r="IK26" s="1090">
        <f t="shared" si="288"/>
        <v>0</v>
      </c>
      <c r="IL26" s="1091" t="str">
        <f t="shared" si="407"/>
        <v/>
      </c>
      <c r="IM26" s="1089" t="str">
        <f t="shared" si="408"/>
        <v/>
      </c>
      <c r="IN26" s="1090">
        <f t="shared" si="291"/>
        <v>0</v>
      </c>
      <c r="IO26" s="1091" t="str">
        <f t="shared" si="409"/>
        <v/>
      </c>
      <c r="IP26" s="1089" t="str">
        <f t="shared" si="410"/>
        <v/>
      </c>
      <c r="IQ26" s="1090">
        <f t="shared" si="155"/>
        <v>0</v>
      </c>
      <c r="IR26" s="1091" t="str">
        <f t="shared" si="1"/>
        <v/>
      </c>
      <c r="IS26" s="1090">
        <f t="shared" si="156"/>
        <v>0</v>
      </c>
      <c r="IT26" s="1091" t="str">
        <f t="shared" si="2"/>
        <v/>
      </c>
    </row>
    <row r="27" outlineLevel="1">
      <c r="A27" s="1086">
        <f t="shared" si="294"/>
        <v>5</v>
      </c>
      <c r="B27" s="1087"/>
      <c r="C27" s="656" t="s">
        <v>514</v>
      </c>
      <c r="D27" s="1087" t="str">
        <f t="shared" si="295"/>
        <v>KHANH</v>
      </c>
      <c r="E27" s="1087" t="s">
        <v>2239</v>
      </c>
      <c r="F27" s="1087"/>
      <c r="G27" s="1086">
        <v>2.0</v>
      </c>
      <c r="H27" s="1088">
        <f>SUMIFS(BP_SOTIEN,BP_DOI,$C27,BP_THANG,H$2,BP_KM,$E27)/1000</f>
        <v>0</v>
      </c>
      <c r="I27" s="1091" t="str">
        <f t="shared" si="296"/>
        <v/>
      </c>
      <c r="J27" s="1089" t="str">
        <f t="shared" si="297"/>
        <v/>
      </c>
      <c r="K27" s="1090">
        <f>IF(NOW()&gt;=DATE(YEAR(H$2),MONTH(H$2)+1,DAY(H$2)),SUMIFS(TF_SOTIEN,TF_DOI,$C27,TF_THANG,H$2,TF_KM,$E27)/1000, N27)</f>
        <v>0</v>
      </c>
      <c r="L27" s="1091" t="str">
        <f t="shared" si="298"/>
        <v/>
      </c>
      <c r="M27" s="1089" t="str">
        <f t="shared" si="299"/>
        <v/>
      </c>
      <c r="N27" s="1090">
        <f>IF(NOW()&gt;=DATE(YEAR(H$2),MONTH(H$2)+1,DAY(H$2)),SUMIFS(AC_SOTIEN,AC_DOI,$C27,AC_THANG,H$2,AC_KM,$E27),SUMIFS(TF_SOTIEN,TF_DOI,$C27,TF_THANG,H$2,TF_KM,$E27))/ 1000</f>
        <v>0</v>
      </c>
      <c r="O27" s="1091" t="str">
        <f t="shared" si="300"/>
        <v/>
      </c>
      <c r="P27" s="1089" t="str">
        <f t="shared" si="301"/>
        <v/>
      </c>
      <c r="Q27" s="1090">
        <f t="shared" si="8"/>
        <v>0</v>
      </c>
      <c r="R27" s="1091" t="str">
        <f t="shared" si="9"/>
        <v/>
      </c>
      <c r="S27" s="1090">
        <f t="shared" si="10"/>
        <v>0</v>
      </c>
      <c r="T27" s="1091" t="str">
        <f t="shared" si="11"/>
        <v/>
      </c>
      <c r="U27" s="1088">
        <f>SUMIFS(BP_SOTIEN,BP_DA,$C27,BP_THANG,U$2,BP_KM,$E27)/1000</f>
        <v>0</v>
      </c>
      <c r="V27" s="1091" t="str">
        <f t="shared" si="302"/>
        <v/>
      </c>
      <c r="W27" s="1089" t="str">
        <f t="shared" si="303"/>
        <v/>
      </c>
      <c r="X27" s="1090">
        <f>IF(NOW()&gt;=DATE(YEAR(U$2),MONTH(U$2)+1,DAY(U$2)),SUMIFS(TF_SOTIEN,TF_DA,$C27,TF_THANG,U$2,TF_KM,$E27)/1000, AA27)</f>
        <v>0</v>
      </c>
      <c r="Y27" s="1091" t="str">
        <f t="shared" si="304"/>
        <v/>
      </c>
      <c r="Z27" s="1089" t="str">
        <f t="shared" si="305"/>
        <v/>
      </c>
      <c r="AA27" s="1090">
        <f>IF(NOW()&gt;=DATE(YEAR(U$2),MONTH(U$2)+1,DAY(U$2)),SUMIFS(AC_SOTIEN,AC_DA,$C27,AC_THANG,U$2,AC_KM,$E27),SUMIFS(TF_SOTIEN,TF_DA,$C27,TF_THANG,U$2,TF_KM,$E27))/ 1000</f>
        <v>0</v>
      </c>
      <c r="AB27" s="1091" t="str">
        <f t="shared" si="306"/>
        <v/>
      </c>
      <c r="AC27" s="1089" t="str">
        <f t="shared" si="307"/>
        <v/>
      </c>
      <c r="AD27" s="1090">
        <f t="shared" si="15"/>
        <v>0</v>
      </c>
      <c r="AE27" s="1091" t="str">
        <f t="shared" si="16"/>
        <v/>
      </c>
      <c r="AF27" s="1090">
        <f t="shared" si="17"/>
        <v>0</v>
      </c>
      <c r="AG27" s="1091" t="str">
        <f t="shared" si="18"/>
        <v/>
      </c>
      <c r="AH27" s="1088">
        <f>SUMIFS(BP_SOTIEN,BP_DA,$C27,BP_THANG,AH$2,BP_KM,$E27)/1000</f>
        <v>0</v>
      </c>
      <c r="AI27" s="1091" t="str">
        <f t="shared" si="308"/>
        <v/>
      </c>
      <c r="AJ27" s="1089" t="str">
        <f t="shared" si="309"/>
        <v/>
      </c>
      <c r="AK27" s="1090">
        <f>IF(NOW()&gt;=DATE(YEAR(AH$2),MONTH(AH$2)+1,DAY(AH$2)),SUMIFS(TF_SOTIEN,TF_DA,$C27,TF_THANG,AH$2,TF_KM,$E27)/1000, AN27)</f>
        <v>0</v>
      </c>
      <c r="AL27" s="1091" t="str">
        <f t="shared" si="310"/>
        <v/>
      </c>
      <c r="AM27" s="1089" t="str">
        <f t="shared" si="311"/>
        <v/>
      </c>
      <c r="AN27" s="1090">
        <f>IF(NOW()&gt;=DATE(YEAR(AH$2),MONTH(AH$2)+1,DAY(AH$2)),SUMIFS(AC_SOTIEN,AC_DA,$C27,AC_THANG,AH$2,AC_KM,$E27),SUMIFS(TF_SOTIEN,TF_DA,$C27,TF_THANG,AH$2,TF_KM,$E27))/ 1000</f>
        <v>0</v>
      </c>
      <c r="AO27" s="1091" t="str">
        <f t="shared" si="312"/>
        <v/>
      </c>
      <c r="AP27" s="1089" t="str">
        <f t="shared" si="313"/>
        <v/>
      </c>
      <c r="AQ27" s="1090">
        <f t="shared" si="22"/>
        <v>0</v>
      </c>
      <c r="AR27" s="1091" t="str">
        <f t="shared" si="23"/>
        <v/>
      </c>
      <c r="AS27" s="1090">
        <f t="shared" si="24"/>
        <v>0</v>
      </c>
      <c r="AT27" s="1091" t="str">
        <f t="shared" si="25"/>
        <v/>
      </c>
      <c r="AU27" s="1088">
        <f t="shared" si="177"/>
        <v>0</v>
      </c>
      <c r="AV27" s="1091" t="str">
        <f t="shared" si="314"/>
        <v/>
      </c>
      <c r="AW27" s="1089" t="str">
        <f t="shared" si="315"/>
        <v/>
      </c>
      <c r="AX27" s="1090">
        <f t="shared" si="180"/>
        <v>0</v>
      </c>
      <c r="AY27" s="1091" t="str">
        <f t="shared" si="316"/>
        <v/>
      </c>
      <c r="AZ27" s="1089" t="str">
        <f t="shared" si="317"/>
        <v/>
      </c>
      <c r="BA27" s="1090">
        <f t="shared" si="318"/>
        <v>0</v>
      </c>
      <c r="BB27" s="1091" t="str">
        <f t="shared" si="319"/>
        <v/>
      </c>
      <c r="BC27" s="1089" t="str">
        <f t="shared" si="320"/>
        <v/>
      </c>
      <c r="BD27" s="1090">
        <f t="shared" si="32"/>
        <v>0</v>
      </c>
      <c r="BE27" s="1091" t="str">
        <f t="shared" si="33"/>
        <v/>
      </c>
      <c r="BF27" s="1090">
        <f t="shared" si="34"/>
        <v>0</v>
      </c>
      <c r="BG27" s="1091" t="str">
        <f t="shared" si="35"/>
        <v/>
      </c>
      <c r="BH27" s="1088">
        <f>SUMIFS(BP_SOTIEN,BP_DA,$C27,BP_THANG,BH$2,BP_KM,$E27)/1000</f>
        <v>0</v>
      </c>
      <c r="BI27" s="1091" t="str">
        <f t="shared" si="321"/>
        <v/>
      </c>
      <c r="BJ27" s="1089" t="str">
        <f t="shared" si="322"/>
        <v/>
      </c>
      <c r="BK27" s="1090">
        <f>IF(NOW()&gt;=DATE(YEAR(BH$2),MONTH(BH$2)+1,DAY(BH$2)),SUMIFS(TF_SOTIEN,TF_DA,$C27,TF_THANG,BH$2,TF_KM,$E27)/1000, BN27)</f>
        <v>0</v>
      </c>
      <c r="BL27" s="1091" t="str">
        <f t="shared" si="323"/>
        <v/>
      </c>
      <c r="BM27" s="1089" t="str">
        <f t="shared" si="324"/>
        <v/>
      </c>
      <c r="BN27" s="1090">
        <f>IF(NOW()&gt;=DATE(YEAR(BH$2),MONTH(BH$2)+1,DAY(BH$2)),SUMIFS(AC_SOTIEN,AC_DA,$C27,AC_THANG,BH$2,AC_KM,$E27),SUMIFS(TF_SOTIEN,TF_DA,$C27,TF_THANG,BH$2,TF_KM,$E27))/ 1000</f>
        <v>0</v>
      </c>
      <c r="BO27" s="1091" t="str">
        <f t="shared" si="325"/>
        <v/>
      </c>
      <c r="BP27" s="1089" t="str">
        <f t="shared" si="326"/>
        <v/>
      </c>
      <c r="BQ27" s="1090">
        <f t="shared" si="39"/>
        <v>0</v>
      </c>
      <c r="BR27" s="1091" t="str">
        <f t="shared" si="40"/>
        <v/>
      </c>
      <c r="BS27" s="1090">
        <f t="shared" si="41"/>
        <v>0</v>
      </c>
      <c r="BT27" s="1091" t="str">
        <f t="shared" si="42"/>
        <v/>
      </c>
      <c r="BU27" s="1088">
        <f>SUMIFS(BP_SOTIEN,BP_DA,$C27,BP_THANG,BU$2,BP_KM,$E27)/1000</f>
        <v>0</v>
      </c>
      <c r="BV27" s="1091" t="str">
        <f t="shared" si="327"/>
        <v/>
      </c>
      <c r="BW27" s="1089" t="str">
        <f t="shared" si="328"/>
        <v/>
      </c>
      <c r="BX27" s="1090">
        <f>IF(NOW()&gt;=DATE(YEAR(BU$2),MONTH(BU$2)+1,DAY(BU$2)),SUMIFS(TF_SOTIEN,TF_DA,$C27,TF_THANG,BU$2,TF_KM,$E27)/1000, CA27)</f>
        <v>0</v>
      </c>
      <c r="BY27" s="1091" t="str">
        <f t="shared" si="329"/>
        <v/>
      </c>
      <c r="BZ27" s="1089" t="str">
        <f t="shared" si="330"/>
        <v/>
      </c>
      <c r="CA27" s="1090">
        <f>IF(NOW()&gt;=DATE(YEAR(BU$2),MONTH(BU$2)+1,DAY(BU$2)),SUMIFS(AC_SOTIEN,AC_DA,$C27,AC_THANG,BU$2,AC_KM,$E27),SUMIFS(TF_SOTIEN,TF_DA,$C27,TF_THANG,BU$2,TF_KM,$E27))/ 1000</f>
        <v>0</v>
      </c>
      <c r="CB27" s="1091" t="str">
        <f t="shared" si="331"/>
        <v/>
      </c>
      <c r="CC27" s="1089" t="str">
        <f t="shared" si="332"/>
        <v/>
      </c>
      <c r="CD27" s="1090">
        <f t="shared" si="46"/>
        <v>0</v>
      </c>
      <c r="CE27" s="1091" t="str">
        <f t="shared" si="47"/>
        <v/>
      </c>
      <c r="CF27" s="1090">
        <f t="shared" si="48"/>
        <v>0</v>
      </c>
      <c r="CG27" s="1091" t="str">
        <f t="shared" si="49"/>
        <v/>
      </c>
      <c r="CH27" s="1088">
        <f>SUMIFS(BP_SOTIEN,BP_DA,$C27,BP_THANG,CH$2,BP_KM,$E27)/1000</f>
        <v>0</v>
      </c>
      <c r="CI27" s="1091" t="str">
        <f t="shared" si="333"/>
        <v/>
      </c>
      <c r="CJ27" s="1089" t="str">
        <f t="shared" si="334"/>
        <v/>
      </c>
      <c r="CK27" s="1090">
        <f>IF(NOW()&gt;=DATE(YEAR(CH$2),MONTH(CH$2)+1,DAY(CH$2)),SUMIFS(TF_SOTIEN,TF_DA,$C27,TF_THANG,CH$2,TF_KM,$E27)/1000, CN27)</f>
        <v>0</v>
      </c>
      <c r="CL27" s="1091" t="str">
        <f t="shared" si="335"/>
        <v/>
      </c>
      <c r="CM27" s="1089" t="str">
        <f t="shared" si="336"/>
        <v/>
      </c>
      <c r="CN27" s="1090">
        <f>IF(NOW()&gt;=DATE(YEAR(CH$2),MONTH(CH$2)+1,DAY(CH$2)),SUMIFS(AC_SOTIEN,AC_DA,$C27,AC_THANG,CH$2,AC_KM,$E27),SUMIFS(TF_SOTIEN,TF_DA,$C27,TF_THANG,CH$2,TF_KM,$E27))/ 1000</f>
        <v>0</v>
      </c>
      <c r="CO27" s="1091" t="str">
        <f t="shared" si="337"/>
        <v/>
      </c>
      <c r="CP27" s="1089" t="str">
        <f t="shared" si="338"/>
        <v/>
      </c>
      <c r="CQ27" s="1090">
        <f t="shared" si="53"/>
        <v>0</v>
      </c>
      <c r="CR27" s="1091" t="str">
        <f t="shared" si="54"/>
        <v/>
      </c>
      <c r="CS27" s="1090">
        <f t="shared" si="55"/>
        <v>0</v>
      </c>
      <c r="CT27" s="1091" t="str">
        <f t="shared" si="56"/>
        <v/>
      </c>
      <c r="CU27" s="1088">
        <f t="shared" si="204"/>
        <v>0</v>
      </c>
      <c r="CV27" s="1091" t="str">
        <f t="shared" si="339"/>
        <v/>
      </c>
      <c r="CW27" s="1089" t="str">
        <f t="shared" si="340"/>
        <v/>
      </c>
      <c r="CX27" s="1090">
        <f t="shared" si="207"/>
        <v>0</v>
      </c>
      <c r="CY27" s="1091" t="str">
        <f t="shared" si="341"/>
        <v/>
      </c>
      <c r="CZ27" s="1089" t="str">
        <f t="shared" si="342"/>
        <v/>
      </c>
      <c r="DA27" s="1090">
        <f t="shared" si="210"/>
        <v>0</v>
      </c>
      <c r="DB27" s="1091" t="str">
        <f t="shared" si="343"/>
        <v/>
      </c>
      <c r="DC27" s="1089" t="str">
        <f t="shared" si="344"/>
        <v/>
      </c>
      <c r="DD27" s="1090">
        <f t="shared" si="63"/>
        <v>0</v>
      </c>
      <c r="DE27" s="1091" t="str">
        <f t="shared" si="64"/>
        <v/>
      </c>
      <c r="DF27" s="1090">
        <f t="shared" si="65"/>
        <v>0</v>
      </c>
      <c r="DG27" s="1091" t="str">
        <f t="shared" si="66"/>
        <v/>
      </c>
      <c r="DH27" s="1088">
        <f t="shared" si="213"/>
        <v>0</v>
      </c>
      <c r="DI27" s="1091" t="str">
        <f t="shared" si="345"/>
        <v/>
      </c>
      <c r="DJ27" s="1089" t="str">
        <f t="shared" si="346"/>
        <v/>
      </c>
      <c r="DK27" s="1090">
        <f t="shared" si="216"/>
        <v>0</v>
      </c>
      <c r="DL27" s="1091" t="str">
        <f t="shared" si="347"/>
        <v/>
      </c>
      <c r="DM27" s="1089" t="str">
        <f t="shared" si="348"/>
        <v/>
      </c>
      <c r="DN27" s="1090">
        <f t="shared" si="219"/>
        <v>0</v>
      </c>
      <c r="DO27" s="1091" t="str">
        <f t="shared" si="349"/>
        <v/>
      </c>
      <c r="DP27" s="1089" t="str">
        <f t="shared" si="350"/>
        <v/>
      </c>
      <c r="DQ27" s="1090">
        <f t="shared" si="73"/>
        <v>0</v>
      </c>
      <c r="DR27" s="1091" t="str">
        <f t="shared" si="74"/>
        <v/>
      </c>
      <c r="DS27" s="1090">
        <f t="shared" si="75"/>
        <v>0</v>
      </c>
      <c r="DT27" s="1091" t="str">
        <f t="shared" si="76"/>
        <v/>
      </c>
      <c r="DU27" s="1088">
        <f>SUMIFS(BP_SOTIEN,BP_DA,$C27,BP_THANG,DU$2,BP_KM,$E27)/1000</f>
        <v>0</v>
      </c>
      <c r="DV27" s="1091" t="str">
        <f t="shared" si="351"/>
        <v/>
      </c>
      <c r="DW27" s="1089" t="str">
        <f t="shared" si="352"/>
        <v/>
      </c>
      <c r="DX27" s="1090">
        <f>IF(NOW()&gt;=DATE(YEAR(DU$2),MONTH(DU$2)+1,DAY(DU$2)),SUMIFS(TF_SOTIEN,TF_DA,$C27,TF_THANG,DU$2,TF_KM,$E27)/1000, EA27)</f>
        <v>0</v>
      </c>
      <c r="DY27" s="1091" t="str">
        <f t="shared" si="353"/>
        <v/>
      </c>
      <c r="DZ27" s="1089" t="str">
        <f t="shared" si="354"/>
        <v/>
      </c>
      <c r="EA27" s="1090">
        <f>IF(NOW()&gt;=DATE(YEAR(DU$2),MONTH(DU$2)+1,DAY(DU$2)),SUMIFS(AC_SOTIEN,AC_DA,$C27,AC_THANG,DU$2,AC_KM,$E27),SUMIFS(TF_SOTIEN,TF_DA,$C27,TF_THANG,DU$2,TF_KM,$E27))/ 1000</f>
        <v>0</v>
      </c>
      <c r="EB27" s="1091" t="str">
        <f t="shared" si="355"/>
        <v/>
      </c>
      <c r="EC27" s="1089" t="str">
        <f t="shared" si="356"/>
        <v/>
      </c>
      <c r="ED27" s="1090">
        <f t="shared" si="80"/>
        <v>0</v>
      </c>
      <c r="EE27" s="1091" t="str">
        <f t="shared" si="81"/>
        <v/>
      </c>
      <c r="EF27" s="1090">
        <f t="shared" si="82"/>
        <v>0</v>
      </c>
      <c r="EG27" s="1091" t="str">
        <f t="shared" si="83"/>
        <v/>
      </c>
      <c r="EH27" s="1088">
        <f>SUMIFS(BP_SOTIEN,BP_DA,$C27,BP_THANG,EH$2,BP_KM,$E27)/1000</f>
        <v>0</v>
      </c>
      <c r="EI27" s="1091" t="str">
        <f t="shared" si="357"/>
        <v/>
      </c>
      <c r="EJ27" s="1089" t="str">
        <f t="shared" si="358"/>
        <v/>
      </c>
      <c r="EK27" s="1090">
        <f>IF(NOW()&gt;=DATE(YEAR(EH$2),MONTH(EH$2)+1,DAY(EH$2)),SUMIFS(TF_SOTIEN,TF_DA,$C27,TF_THANG,EH$2,TF_KM,$E27)/1000, EN27)</f>
        <v>0</v>
      </c>
      <c r="EL27" s="1091" t="str">
        <f t="shared" si="359"/>
        <v/>
      </c>
      <c r="EM27" s="1089" t="str">
        <f t="shared" si="360"/>
        <v/>
      </c>
      <c r="EN27" s="1090">
        <f>IF(NOW()&gt;=DATE(YEAR(EH$2),MONTH(EH$2)+1,DAY(EH$2)),SUMIFS(AC_SOTIEN,AC_DA,$C27,AC_THANG,EH$2,AC_KM,$E27),SUMIFS(TF_SOTIEN,TF_DA,$C27,TF_THANG,EH$2,TF_KM,$E27))/ 1000</f>
        <v>0</v>
      </c>
      <c r="EO27" s="1091" t="str">
        <f t="shared" si="361"/>
        <v/>
      </c>
      <c r="EP27" s="1089" t="str">
        <f t="shared" si="362"/>
        <v/>
      </c>
      <c r="EQ27" s="1090">
        <f t="shared" si="87"/>
        <v>0</v>
      </c>
      <c r="ER27" s="1091" t="str">
        <f t="shared" si="88"/>
        <v/>
      </c>
      <c r="ES27" s="1090">
        <f t="shared" si="89"/>
        <v>0</v>
      </c>
      <c r="ET27" s="1091" t="str">
        <f t="shared" si="90"/>
        <v/>
      </c>
      <c r="EU27" s="1088">
        <f>SUMIFS(BP_SOTIEN,BP_DA,$C27,BP_THANG,EU$2,BP_KM,$E27)/1000</f>
        <v>0</v>
      </c>
      <c r="EV27" s="1091" t="str">
        <f t="shared" si="363"/>
        <v/>
      </c>
      <c r="EW27" s="1089" t="str">
        <f t="shared" si="364"/>
        <v/>
      </c>
      <c r="EX27" s="1090">
        <f>IF(NOW()&gt;=DATE(YEAR(EU$2),MONTH(EU$2)+1,DAY(EU$2)),SUMIFS(TF_SOTIEN,TF_DA,$C27,TF_THANG,EU$2,TF_KM,$E27)/1000, FA27)</f>
        <v>0</v>
      </c>
      <c r="EY27" s="1091" t="str">
        <f t="shared" si="365"/>
        <v/>
      </c>
      <c r="EZ27" s="1089" t="str">
        <f t="shared" si="366"/>
        <v/>
      </c>
      <c r="FA27" s="1090">
        <f>IF(NOW()&gt;=DATE(YEAR(EU$2),MONTH(EU$2)+1,DAY(EU$2)),SUMIFS(AC_SOTIEN,AC_DA,$C27,AC_THANG,EU$2,AC_KM,$E27),SUMIFS(TF_SOTIEN,TF_DA,$C27,TF_THANG,EU$2,TF_KM,$E27))/ 1000</f>
        <v>0</v>
      </c>
      <c r="FB27" s="1091" t="str">
        <f t="shared" si="367"/>
        <v/>
      </c>
      <c r="FC27" s="1089" t="str">
        <f t="shared" si="368"/>
        <v/>
      </c>
      <c r="FD27" s="1090">
        <f t="shared" si="94"/>
        <v>0</v>
      </c>
      <c r="FE27" s="1091" t="str">
        <f t="shared" si="95"/>
        <v/>
      </c>
      <c r="FF27" s="1090">
        <f t="shared" si="96"/>
        <v>0</v>
      </c>
      <c r="FG27" s="1091" t="str">
        <f t="shared" si="97"/>
        <v/>
      </c>
      <c r="FH27" s="1088">
        <f t="shared" si="240"/>
        <v>0</v>
      </c>
      <c r="FI27" s="1091" t="str">
        <f t="shared" si="369"/>
        <v/>
      </c>
      <c r="FJ27" s="1089" t="str">
        <f t="shared" si="370"/>
        <v/>
      </c>
      <c r="FK27" s="1090">
        <f t="shared" si="243"/>
        <v>0</v>
      </c>
      <c r="FL27" s="1091" t="str">
        <f t="shared" si="371"/>
        <v/>
      </c>
      <c r="FM27" s="1089" t="str">
        <f t="shared" si="372"/>
        <v/>
      </c>
      <c r="FN27" s="1090">
        <f t="shared" si="246"/>
        <v>0</v>
      </c>
      <c r="FO27" s="1091" t="str">
        <f t="shared" si="373"/>
        <v/>
      </c>
      <c r="FP27" s="1089" t="str">
        <f t="shared" si="374"/>
        <v/>
      </c>
      <c r="FQ27" s="1090">
        <f t="shared" si="104"/>
        <v>0</v>
      </c>
      <c r="FR27" s="1091" t="str">
        <f t="shared" si="105"/>
        <v/>
      </c>
      <c r="FS27" s="1090">
        <f t="shared" si="106"/>
        <v>0</v>
      </c>
      <c r="FT27" s="1091" t="str">
        <f t="shared" si="107"/>
        <v/>
      </c>
      <c r="FU27" s="1088">
        <f>SUMIFS(BP_SOTIEN,BP_DA,$C27,BP_THANG,FU$2,BP_KM,$E27)/1000</f>
        <v>0</v>
      </c>
      <c r="FV27" s="1091" t="str">
        <f t="shared" si="375"/>
        <v/>
      </c>
      <c r="FW27" s="1089" t="str">
        <f t="shared" si="376"/>
        <v/>
      </c>
      <c r="FX27" s="1090">
        <f>IF(NOW()&gt;=DATE(YEAR(FU$2),MONTH(FU$2)+1,DAY(FU$2)),SUMIFS(TF_SOTIEN,TF_DA,$C27,TF_THANG,FU$2,TF_KM,$E27)/1000, GA27)</f>
        <v>0</v>
      </c>
      <c r="FY27" s="1091" t="str">
        <f t="shared" si="377"/>
        <v/>
      </c>
      <c r="FZ27" s="1089" t="str">
        <f t="shared" si="378"/>
        <v/>
      </c>
      <c r="GA27" s="1090">
        <f>IF(NOW()&gt;=DATE(YEAR(FU$2),MONTH(FU$2)+1,DAY(FU$2)),SUMIFS(AC_SOTIEN,AC_DA,$C27,AC_THANG,FU$2,AC_KM,$E27),SUMIFS(TF_SOTIEN,TF_DA,$C27,TF_THANG,FU$2,TF_KM,$E27))/ 1000</f>
        <v>0</v>
      </c>
      <c r="GB27" s="1091" t="str">
        <f t="shared" si="379"/>
        <v/>
      </c>
      <c r="GC27" s="1089" t="str">
        <f t="shared" si="380"/>
        <v/>
      </c>
      <c r="GD27" s="1090">
        <f t="shared" si="111"/>
        <v>0</v>
      </c>
      <c r="GE27" s="1091" t="str">
        <f t="shared" si="112"/>
        <v/>
      </c>
      <c r="GF27" s="1090">
        <f t="shared" si="113"/>
        <v>0</v>
      </c>
      <c r="GG27" s="1091" t="str">
        <f t="shared" si="114"/>
        <v/>
      </c>
      <c r="GH27" s="1088">
        <f>SUMIFS(BP_SOTIEN,BP_DA,$C27,BP_THANG,GH$2,BP_KM,$E27)/1000</f>
        <v>0</v>
      </c>
      <c r="GI27" s="1091" t="str">
        <f t="shared" si="381"/>
        <v/>
      </c>
      <c r="GJ27" s="1089" t="str">
        <f t="shared" si="382"/>
        <v/>
      </c>
      <c r="GK27" s="1090">
        <f>IF(NOW()&gt;=DATE(YEAR(GH$2),MONTH(GH$2)+1,DAY(GH$2)),SUMIFS(TF_SOTIEN,TF_DA,$C27,TF_THANG,GH$2,TF_KM,$E27)/1000, GN27)</f>
        <v>0</v>
      </c>
      <c r="GL27" s="1091" t="str">
        <f t="shared" si="383"/>
        <v/>
      </c>
      <c r="GM27" s="1089" t="str">
        <f t="shared" si="384"/>
        <v/>
      </c>
      <c r="GN27" s="1090">
        <f>IF(NOW()&gt;=DATE(YEAR(GH$2),MONTH(GH$2)+1,DAY(GH$2)),SUMIFS(AC_SOTIEN,AC_DA,$C27,AC_THANG,GH$2,AC_KM,$E27),SUMIFS(TF_SOTIEN,TF_DA,$C27,TF_THANG,GH$2,TF_KM,$E27))/ 1000</f>
        <v>0</v>
      </c>
      <c r="GO27" s="1091" t="str">
        <f t="shared" si="385"/>
        <v/>
      </c>
      <c r="GP27" s="1089" t="str">
        <f t="shared" si="386"/>
        <v/>
      </c>
      <c r="GQ27" s="1090">
        <f t="shared" si="118"/>
        <v>0</v>
      </c>
      <c r="GR27" s="1091" t="str">
        <f t="shared" si="119"/>
        <v/>
      </c>
      <c r="GS27" s="1090">
        <f t="shared" si="120"/>
        <v>0</v>
      </c>
      <c r="GT27" s="1091" t="str">
        <f t="shared" si="121"/>
        <v/>
      </c>
      <c r="GU27" s="1088">
        <f>SUMIFS(BP_SOTIEN,BP_DA,$C27,BP_THANG,GU$2,BP_KM,$E27)/1000</f>
        <v>0</v>
      </c>
      <c r="GV27" s="1091" t="str">
        <f t="shared" si="387"/>
        <v/>
      </c>
      <c r="GW27" s="1089" t="str">
        <f t="shared" si="388"/>
        <v/>
      </c>
      <c r="GX27" s="1090">
        <f>IF(NOW()&gt;=DATE(YEAR(GU$2),MONTH(GU$2)+1,DAY(GU$2)),SUMIFS(TF_SOTIEN,TF_DA,$C27,TF_THANG,GU$2,TF_KM,$E27)/1000, HA27)</f>
        <v>0</v>
      </c>
      <c r="GY27" s="1091" t="str">
        <f t="shared" si="389"/>
        <v/>
      </c>
      <c r="GZ27" s="1089" t="str">
        <f t="shared" si="390"/>
        <v/>
      </c>
      <c r="HA27" s="1090">
        <f>IF(NOW()&gt;=DATE(YEAR(GU$2),MONTH(GU$2)+1,DAY(GU$2)),SUMIFS(AC_SOTIEN,AC_DA,$C27,AC_THANG,GU$2,AC_KM,$E27),SUMIFS(TF_SOTIEN,TF_DA,$C27,TF_THANG,GU$2,TF_KM,$E27))/ 1000</f>
        <v>0</v>
      </c>
      <c r="HB27" s="1091" t="str">
        <f t="shared" si="391"/>
        <v/>
      </c>
      <c r="HC27" s="1089" t="str">
        <f t="shared" si="392"/>
        <v/>
      </c>
      <c r="HD27" s="1090">
        <f t="shared" si="125"/>
        <v>0</v>
      </c>
      <c r="HE27" s="1091" t="str">
        <f t="shared" si="126"/>
        <v/>
      </c>
      <c r="HF27" s="1090">
        <f t="shared" si="127"/>
        <v>0</v>
      </c>
      <c r="HG27" s="1091" t="str">
        <f t="shared" si="128"/>
        <v/>
      </c>
      <c r="HH27" s="1088">
        <f t="shared" si="267"/>
        <v>0</v>
      </c>
      <c r="HI27" s="1091" t="str">
        <f t="shared" si="393"/>
        <v/>
      </c>
      <c r="HJ27" s="1089" t="str">
        <f t="shared" si="394"/>
        <v/>
      </c>
      <c r="HK27" s="1090">
        <f t="shared" si="270"/>
        <v>0</v>
      </c>
      <c r="HL27" s="1091" t="str">
        <f t="shared" si="395"/>
        <v/>
      </c>
      <c r="HM27" s="1089" t="str">
        <f t="shared" si="396"/>
        <v/>
      </c>
      <c r="HN27" s="1090">
        <f t="shared" si="273"/>
        <v>0</v>
      </c>
      <c r="HO27" s="1091" t="str">
        <f t="shared" si="397"/>
        <v/>
      </c>
      <c r="HP27" s="1089" t="str">
        <f t="shared" si="398"/>
        <v/>
      </c>
      <c r="HQ27" s="1090">
        <f t="shared" si="135"/>
        <v>0</v>
      </c>
      <c r="HR27" s="1091" t="str">
        <f t="shared" si="136"/>
        <v/>
      </c>
      <c r="HS27" s="1090">
        <f t="shared" si="137"/>
        <v>0</v>
      </c>
      <c r="HT27" s="1091" t="str">
        <f t="shared" si="138"/>
        <v/>
      </c>
      <c r="HU27" s="1088">
        <f t="shared" si="276"/>
        <v>0</v>
      </c>
      <c r="HV27" s="1091" t="str">
        <f t="shared" si="399"/>
        <v/>
      </c>
      <c r="HW27" s="1089" t="str">
        <f t="shared" si="400"/>
        <v/>
      </c>
      <c r="HX27" s="1090">
        <f t="shared" si="279"/>
        <v>0</v>
      </c>
      <c r="HY27" s="1091" t="str">
        <f t="shared" si="401"/>
        <v/>
      </c>
      <c r="HZ27" s="1089" t="str">
        <f t="shared" si="402"/>
        <v/>
      </c>
      <c r="IA27" s="1090">
        <f t="shared" si="282"/>
        <v>0</v>
      </c>
      <c r="IB27" s="1091" t="str">
        <f t="shared" si="403"/>
        <v/>
      </c>
      <c r="IC27" s="1089" t="str">
        <f t="shared" si="404"/>
        <v/>
      </c>
      <c r="ID27" s="1090">
        <f t="shared" si="145"/>
        <v>0</v>
      </c>
      <c r="IE27" s="1091" t="str">
        <f t="shared" si="146"/>
        <v/>
      </c>
      <c r="IF27" s="1090">
        <f t="shared" si="147"/>
        <v>0</v>
      </c>
      <c r="IG27" s="1091" t="str">
        <f t="shared" si="148"/>
        <v/>
      </c>
      <c r="IH27" s="1088">
        <f t="shared" si="285"/>
        <v>0</v>
      </c>
      <c r="II27" s="1091" t="str">
        <f t="shared" si="405"/>
        <v/>
      </c>
      <c r="IJ27" s="1089" t="str">
        <f t="shared" si="406"/>
        <v/>
      </c>
      <c r="IK27" s="1090">
        <f t="shared" si="288"/>
        <v>0</v>
      </c>
      <c r="IL27" s="1091" t="str">
        <f t="shared" si="407"/>
        <v/>
      </c>
      <c r="IM27" s="1089" t="str">
        <f t="shared" si="408"/>
        <v/>
      </c>
      <c r="IN27" s="1090">
        <f t="shared" si="291"/>
        <v>0</v>
      </c>
      <c r="IO27" s="1091" t="str">
        <f t="shared" si="409"/>
        <v/>
      </c>
      <c r="IP27" s="1089" t="str">
        <f t="shared" si="410"/>
        <v/>
      </c>
      <c r="IQ27" s="1090">
        <f t="shared" si="155"/>
        <v>0</v>
      </c>
      <c r="IR27" s="1091" t="str">
        <f t="shared" si="1"/>
        <v/>
      </c>
      <c r="IS27" s="1090">
        <f t="shared" si="156"/>
        <v>0</v>
      </c>
      <c r="IT27" s="1091" t="str">
        <f t="shared" si="2"/>
        <v/>
      </c>
    </row>
    <row r="28" outlineLevel="1">
      <c r="A28" s="1086">
        <f t="shared" si="294"/>
        <v>6</v>
      </c>
      <c r="B28" s="1087"/>
      <c r="C28" s="656" t="s">
        <v>705</v>
      </c>
      <c r="D28" s="1087" t="str">
        <f t="shared" si="295"/>
        <v>DAT</v>
      </c>
      <c r="E28" s="1087" t="s">
        <v>2239</v>
      </c>
      <c r="F28" s="1087"/>
      <c r="G28" s="1086">
        <v>2.0</v>
      </c>
      <c r="H28" s="1088">
        <f>SUMIFS(BP_SOTIEN,BP_DOI,$C28,BP_THANG,H$2,BP_KM,$E28)/1000</f>
        <v>0</v>
      </c>
      <c r="I28" s="1091" t="str">
        <f t="shared" si="296"/>
        <v/>
      </c>
      <c r="J28" s="1089" t="str">
        <f t="shared" si="297"/>
        <v/>
      </c>
      <c r="K28" s="1090">
        <f>IF(NOW()&gt;=DATE(YEAR(H$2),MONTH(H$2)+1,DAY(H$2)),SUMIFS(TF_SOTIEN,TF_DOI,$C28,TF_THANG,H$2,TF_KM,$E28)/1000, N28)</f>
        <v>0</v>
      </c>
      <c r="L28" s="1091" t="str">
        <f t="shared" si="298"/>
        <v/>
      </c>
      <c r="M28" s="1089" t="str">
        <f t="shared" si="299"/>
        <v/>
      </c>
      <c r="N28" s="1090">
        <f>IF(NOW()&gt;=DATE(YEAR(H$2),MONTH(H$2)+1,DAY(H$2)),SUMIFS(AC_SOTIEN,AC_DOI,$C28,AC_THANG,H$2,AC_KM,$E28),SUMIFS(TF_SOTIEN,TF_DOI,$C28,TF_THANG,H$2,TF_KM,$E28))/ 1000</f>
        <v>0</v>
      </c>
      <c r="O28" s="1091" t="str">
        <f t="shared" si="300"/>
        <v/>
      </c>
      <c r="P28" s="1089" t="str">
        <f t="shared" si="301"/>
        <v/>
      </c>
      <c r="Q28" s="1090">
        <f t="shared" si="8"/>
        <v>0</v>
      </c>
      <c r="R28" s="1091" t="str">
        <f t="shared" si="9"/>
        <v/>
      </c>
      <c r="S28" s="1090">
        <f t="shared" si="10"/>
        <v>0</v>
      </c>
      <c r="T28" s="1091" t="str">
        <f t="shared" si="11"/>
        <v/>
      </c>
      <c r="U28" s="1088">
        <f>SUMIFS(BP_SOTIEN,BP_DA,$C28,BP_THANG,U$2,BP_KM,$E28)/1000</f>
        <v>0</v>
      </c>
      <c r="V28" s="1091" t="str">
        <f t="shared" si="302"/>
        <v/>
      </c>
      <c r="W28" s="1089" t="str">
        <f t="shared" si="303"/>
        <v/>
      </c>
      <c r="X28" s="1090">
        <f>IF(NOW()&gt;=DATE(YEAR(U$2),MONTH(U$2)+1,DAY(U$2)),SUMIFS(TF_SOTIEN,TF_DA,$C28,TF_THANG,U$2,TF_KM,$E28)/1000, AA28)</f>
        <v>0</v>
      </c>
      <c r="Y28" s="1091" t="str">
        <f t="shared" si="304"/>
        <v/>
      </c>
      <c r="Z28" s="1089" t="str">
        <f t="shared" si="305"/>
        <v/>
      </c>
      <c r="AA28" s="1090">
        <f>IF(NOW()&gt;=DATE(YEAR(U$2),MONTH(U$2)+1,DAY(U$2)),SUMIFS(AC_SOTIEN,AC_DA,$C28,AC_THANG,U$2,AC_KM,$E28),SUMIFS(TF_SOTIEN,TF_DA,$C28,TF_THANG,U$2,TF_KM,$E28))/ 1000</f>
        <v>0</v>
      </c>
      <c r="AB28" s="1091" t="str">
        <f t="shared" si="306"/>
        <v/>
      </c>
      <c r="AC28" s="1089" t="str">
        <f t="shared" si="307"/>
        <v/>
      </c>
      <c r="AD28" s="1090">
        <f t="shared" si="15"/>
        <v>0</v>
      </c>
      <c r="AE28" s="1091" t="str">
        <f t="shared" si="16"/>
        <v/>
      </c>
      <c r="AF28" s="1090">
        <f t="shared" si="17"/>
        <v>0</v>
      </c>
      <c r="AG28" s="1091" t="str">
        <f t="shared" si="18"/>
        <v/>
      </c>
      <c r="AH28" s="1088">
        <f>SUMIFS(BP_SOTIEN,BP_DA,$C28,BP_THANG,AH$2,BP_KM,$E28)/1000</f>
        <v>0</v>
      </c>
      <c r="AI28" s="1091" t="str">
        <f t="shared" si="308"/>
        <v/>
      </c>
      <c r="AJ28" s="1089" t="str">
        <f t="shared" si="309"/>
        <v/>
      </c>
      <c r="AK28" s="1090">
        <f>IF(NOW()&gt;=DATE(YEAR(AH$2),MONTH(AH$2)+1,DAY(AH$2)),SUMIFS(TF_SOTIEN,TF_DA,$C28,TF_THANG,AH$2,TF_KM,$E28)/1000, AN28)</f>
        <v>0</v>
      </c>
      <c r="AL28" s="1091" t="str">
        <f t="shared" si="310"/>
        <v/>
      </c>
      <c r="AM28" s="1089" t="str">
        <f t="shared" si="311"/>
        <v/>
      </c>
      <c r="AN28" s="1090">
        <f>IF(NOW()&gt;=DATE(YEAR(AH$2),MONTH(AH$2)+1,DAY(AH$2)),SUMIFS(AC_SOTIEN,AC_DA,$C28,AC_THANG,AH$2,AC_KM,$E28),SUMIFS(TF_SOTIEN,TF_DA,$C28,TF_THANG,AH$2,TF_KM,$E28))/ 1000</f>
        <v>0</v>
      </c>
      <c r="AO28" s="1091" t="str">
        <f t="shared" si="312"/>
        <v/>
      </c>
      <c r="AP28" s="1089" t="str">
        <f t="shared" si="313"/>
        <v/>
      </c>
      <c r="AQ28" s="1090">
        <f t="shared" si="22"/>
        <v>0</v>
      </c>
      <c r="AR28" s="1091" t="str">
        <f t="shared" si="23"/>
        <v/>
      </c>
      <c r="AS28" s="1090">
        <f t="shared" si="24"/>
        <v>0</v>
      </c>
      <c r="AT28" s="1091" t="str">
        <f t="shared" si="25"/>
        <v/>
      </c>
      <c r="AU28" s="1088">
        <f t="shared" si="177"/>
        <v>0</v>
      </c>
      <c r="AV28" s="1091" t="str">
        <f t="shared" si="314"/>
        <v/>
      </c>
      <c r="AW28" s="1089" t="str">
        <f t="shared" si="315"/>
        <v/>
      </c>
      <c r="AX28" s="1090">
        <f t="shared" si="180"/>
        <v>0</v>
      </c>
      <c r="AY28" s="1091" t="str">
        <f t="shared" si="316"/>
        <v/>
      </c>
      <c r="AZ28" s="1089" t="str">
        <f t="shared" si="317"/>
        <v/>
      </c>
      <c r="BA28" s="1090">
        <f t="shared" si="318"/>
        <v>0</v>
      </c>
      <c r="BB28" s="1091" t="str">
        <f t="shared" si="319"/>
        <v/>
      </c>
      <c r="BC28" s="1089" t="str">
        <f t="shared" si="320"/>
        <v/>
      </c>
      <c r="BD28" s="1090">
        <f t="shared" si="32"/>
        <v>0</v>
      </c>
      <c r="BE28" s="1091" t="str">
        <f t="shared" si="33"/>
        <v/>
      </c>
      <c r="BF28" s="1090">
        <f t="shared" si="34"/>
        <v>0</v>
      </c>
      <c r="BG28" s="1091" t="str">
        <f t="shared" si="35"/>
        <v/>
      </c>
      <c r="BH28" s="1088">
        <f>SUMIFS(BP_SOTIEN,BP_DA,$C28,BP_THANG,BH$2,BP_KM,$E28)/1000</f>
        <v>0</v>
      </c>
      <c r="BI28" s="1091" t="str">
        <f t="shared" si="321"/>
        <v/>
      </c>
      <c r="BJ28" s="1089" t="str">
        <f t="shared" si="322"/>
        <v/>
      </c>
      <c r="BK28" s="1090">
        <f>IF(NOW()&gt;=DATE(YEAR(BH$2),MONTH(BH$2)+1,DAY(BH$2)),SUMIFS(TF_SOTIEN,TF_DA,$C28,TF_THANG,BH$2,TF_KM,$E28)/1000, BN28)</f>
        <v>0</v>
      </c>
      <c r="BL28" s="1091" t="str">
        <f t="shared" si="323"/>
        <v/>
      </c>
      <c r="BM28" s="1089" t="str">
        <f t="shared" si="324"/>
        <v/>
      </c>
      <c r="BN28" s="1090">
        <f>IF(NOW()&gt;=DATE(YEAR(BH$2),MONTH(BH$2)+1,DAY(BH$2)),SUMIFS(AC_SOTIEN,AC_DA,$C28,AC_THANG,BH$2,AC_KM,$E28),SUMIFS(TF_SOTIEN,TF_DA,$C28,TF_THANG,BH$2,TF_KM,$E28))/ 1000</f>
        <v>0</v>
      </c>
      <c r="BO28" s="1091" t="str">
        <f t="shared" si="325"/>
        <v/>
      </c>
      <c r="BP28" s="1089" t="str">
        <f t="shared" si="326"/>
        <v/>
      </c>
      <c r="BQ28" s="1090">
        <f t="shared" si="39"/>
        <v>0</v>
      </c>
      <c r="BR28" s="1091" t="str">
        <f t="shared" si="40"/>
        <v/>
      </c>
      <c r="BS28" s="1090">
        <f t="shared" si="41"/>
        <v>0</v>
      </c>
      <c r="BT28" s="1091" t="str">
        <f t="shared" si="42"/>
        <v/>
      </c>
      <c r="BU28" s="1088">
        <f>SUMIFS(BP_SOTIEN,BP_DA,$C28,BP_THANG,BU$2,BP_KM,$E28)/1000</f>
        <v>0</v>
      </c>
      <c r="BV28" s="1091" t="str">
        <f t="shared" si="327"/>
        <v/>
      </c>
      <c r="BW28" s="1089" t="str">
        <f t="shared" si="328"/>
        <v/>
      </c>
      <c r="BX28" s="1090">
        <f>IF(NOW()&gt;=DATE(YEAR(BU$2),MONTH(BU$2)+1,DAY(BU$2)),SUMIFS(TF_SOTIEN,TF_DA,$C28,TF_THANG,BU$2,TF_KM,$E28)/1000, CA28)</f>
        <v>0</v>
      </c>
      <c r="BY28" s="1091" t="str">
        <f t="shared" si="329"/>
        <v/>
      </c>
      <c r="BZ28" s="1089" t="str">
        <f t="shared" si="330"/>
        <v/>
      </c>
      <c r="CA28" s="1090">
        <f>IF(NOW()&gt;=DATE(YEAR(BU$2),MONTH(BU$2)+1,DAY(BU$2)),SUMIFS(AC_SOTIEN,AC_DA,$C28,AC_THANG,BU$2,AC_KM,$E28),SUMIFS(TF_SOTIEN,TF_DA,$C28,TF_THANG,BU$2,TF_KM,$E28))/ 1000</f>
        <v>0</v>
      </c>
      <c r="CB28" s="1091" t="str">
        <f t="shared" si="331"/>
        <v/>
      </c>
      <c r="CC28" s="1089" t="str">
        <f t="shared" si="332"/>
        <v/>
      </c>
      <c r="CD28" s="1090">
        <f t="shared" si="46"/>
        <v>0</v>
      </c>
      <c r="CE28" s="1091" t="str">
        <f t="shared" si="47"/>
        <v/>
      </c>
      <c r="CF28" s="1090">
        <f t="shared" si="48"/>
        <v>0</v>
      </c>
      <c r="CG28" s="1091" t="str">
        <f t="shared" si="49"/>
        <v/>
      </c>
      <c r="CH28" s="1088">
        <f>SUMIFS(BP_SOTIEN,BP_DA,$C28,BP_THANG,CH$2,BP_KM,$E28)/1000</f>
        <v>0</v>
      </c>
      <c r="CI28" s="1091" t="str">
        <f t="shared" si="333"/>
        <v/>
      </c>
      <c r="CJ28" s="1089" t="str">
        <f t="shared" si="334"/>
        <v/>
      </c>
      <c r="CK28" s="1090">
        <f>IF(NOW()&gt;=DATE(YEAR(CH$2),MONTH(CH$2)+1,DAY(CH$2)),SUMIFS(TF_SOTIEN,TF_DA,$C28,TF_THANG,CH$2,TF_KM,$E28)/1000, CN28)</f>
        <v>0</v>
      </c>
      <c r="CL28" s="1091" t="str">
        <f t="shared" si="335"/>
        <v/>
      </c>
      <c r="CM28" s="1089" t="str">
        <f t="shared" si="336"/>
        <v/>
      </c>
      <c r="CN28" s="1090">
        <f>IF(NOW()&gt;=DATE(YEAR(CH$2),MONTH(CH$2)+1,DAY(CH$2)),SUMIFS(AC_SOTIEN,AC_DA,$C28,AC_THANG,CH$2,AC_KM,$E28),SUMIFS(TF_SOTIEN,TF_DA,$C28,TF_THANG,CH$2,TF_KM,$E28))/ 1000</f>
        <v>0</v>
      </c>
      <c r="CO28" s="1091" t="str">
        <f t="shared" si="337"/>
        <v/>
      </c>
      <c r="CP28" s="1089" t="str">
        <f t="shared" si="338"/>
        <v/>
      </c>
      <c r="CQ28" s="1090">
        <f t="shared" si="53"/>
        <v>0</v>
      </c>
      <c r="CR28" s="1091" t="str">
        <f t="shared" si="54"/>
        <v/>
      </c>
      <c r="CS28" s="1090">
        <f t="shared" si="55"/>
        <v>0</v>
      </c>
      <c r="CT28" s="1091" t="str">
        <f t="shared" si="56"/>
        <v/>
      </c>
      <c r="CU28" s="1088">
        <f t="shared" si="204"/>
        <v>0</v>
      </c>
      <c r="CV28" s="1091" t="str">
        <f t="shared" si="339"/>
        <v/>
      </c>
      <c r="CW28" s="1089" t="str">
        <f t="shared" si="340"/>
        <v/>
      </c>
      <c r="CX28" s="1090">
        <f t="shared" si="207"/>
        <v>0</v>
      </c>
      <c r="CY28" s="1091" t="str">
        <f t="shared" si="341"/>
        <v/>
      </c>
      <c r="CZ28" s="1089" t="str">
        <f t="shared" si="342"/>
        <v/>
      </c>
      <c r="DA28" s="1090">
        <f t="shared" si="210"/>
        <v>0</v>
      </c>
      <c r="DB28" s="1091" t="str">
        <f t="shared" si="343"/>
        <v/>
      </c>
      <c r="DC28" s="1089" t="str">
        <f t="shared" si="344"/>
        <v/>
      </c>
      <c r="DD28" s="1090">
        <f t="shared" si="63"/>
        <v>0</v>
      </c>
      <c r="DE28" s="1091" t="str">
        <f t="shared" si="64"/>
        <v/>
      </c>
      <c r="DF28" s="1090">
        <f t="shared" si="65"/>
        <v>0</v>
      </c>
      <c r="DG28" s="1091" t="str">
        <f t="shared" si="66"/>
        <v/>
      </c>
      <c r="DH28" s="1088">
        <f t="shared" si="213"/>
        <v>0</v>
      </c>
      <c r="DI28" s="1091" t="str">
        <f t="shared" si="345"/>
        <v/>
      </c>
      <c r="DJ28" s="1089" t="str">
        <f t="shared" si="346"/>
        <v/>
      </c>
      <c r="DK28" s="1090">
        <f t="shared" si="216"/>
        <v>0</v>
      </c>
      <c r="DL28" s="1091" t="str">
        <f t="shared" si="347"/>
        <v/>
      </c>
      <c r="DM28" s="1089" t="str">
        <f t="shared" si="348"/>
        <v/>
      </c>
      <c r="DN28" s="1090">
        <f t="shared" si="219"/>
        <v>0</v>
      </c>
      <c r="DO28" s="1091" t="str">
        <f t="shared" si="349"/>
        <v/>
      </c>
      <c r="DP28" s="1089" t="str">
        <f t="shared" si="350"/>
        <v/>
      </c>
      <c r="DQ28" s="1090">
        <f t="shared" si="73"/>
        <v>0</v>
      </c>
      <c r="DR28" s="1091" t="str">
        <f t="shared" si="74"/>
        <v/>
      </c>
      <c r="DS28" s="1090">
        <f t="shared" si="75"/>
        <v>0</v>
      </c>
      <c r="DT28" s="1091" t="str">
        <f t="shared" si="76"/>
        <v/>
      </c>
      <c r="DU28" s="1088">
        <f>SUMIFS(BP_SOTIEN,BP_DA,$C28,BP_THANG,DU$2,BP_KM,$E28)/1000</f>
        <v>0</v>
      </c>
      <c r="DV28" s="1091" t="str">
        <f t="shared" si="351"/>
        <v/>
      </c>
      <c r="DW28" s="1089" t="str">
        <f t="shared" si="352"/>
        <v/>
      </c>
      <c r="DX28" s="1090">
        <f>IF(NOW()&gt;=DATE(YEAR(DU$2),MONTH(DU$2)+1,DAY(DU$2)),SUMIFS(TF_SOTIEN,TF_DA,$C28,TF_THANG,DU$2,TF_KM,$E28)/1000, EA28)</f>
        <v>0</v>
      </c>
      <c r="DY28" s="1091" t="str">
        <f t="shared" si="353"/>
        <v/>
      </c>
      <c r="DZ28" s="1089" t="str">
        <f t="shared" si="354"/>
        <v/>
      </c>
      <c r="EA28" s="1090">
        <f>IF(NOW()&gt;=DATE(YEAR(DU$2),MONTH(DU$2)+1,DAY(DU$2)),SUMIFS(AC_SOTIEN,AC_DA,$C28,AC_THANG,DU$2,AC_KM,$E28),SUMIFS(TF_SOTIEN,TF_DA,$C28,TF_THANG,DU$2,TF_KM,$E28))/ 1000</f>
        <v>0</v>
      </c>
      <c r="EB28" s="1091" t="str">
        <f t="shared" si="355"/>
        <v/>
      </c>
      <c r="EC28" s="1089" t="str">
        <f t="shared" si="356"/>
        <v/>
      </c>
      <c r="ED28" s="1090">
        <f t="shared" si="80"/>
        <v>0</v>
      </c>
      <c r="EE28" s="1091" t="str">
        <f t="shared" si="81"/>
        <v/>
      </c>
      <c r="EF28" s="1090">
        <f t="shared" si="82"/>
        <v>0</v>
      </c>
      <c r="EG28" s="1091" t="str">
        <f t="shared" si="83"/>
        <v/>
      </c>
      <c r="EH28" s="1088">
        <f>SUMIFS(BP_SOTIEN,BP_DA,$C28,BP_THANG,EH$2,BP_KM,$E28)/1000</f>
        <v>0</v>
      </c>
      <c r="EI28" s="1091" t="str">
        <f t="shared" si="357"/>
        <v/>
      </c>
      <c r="EJ28" s="1089" t="str">
        <f t="shared" si="358"/>
        <v/>
      </c>
      <c r="EK28" s="1090">
        <f>IF(NOW()&gt;=DATE(YEAR(EH$2),MONTH(EH$2)+1,DAY(EH$2)),SUMIFS(TF_SOTIEN,TF_DA,$C28,TF_THANG,EH$2,TF_KM,$E28)/1000, EN28)</f>
        <v>0</v>
      </c>
      <c r="EL28" s="1091" t="str">
        <f t="shared" si="359"/>
        <v/>
      </c>
      <c r="EM28" s="1089" t="str">
        <f t="shared" si="360"/>
        <v/>
      </c>
      <c r="EN28" s="1090">
        <f>IF(NOW()&gt;=DATE(YEAR(EH$2),MONTH(EH$2)+1,DAY(EH$2)),SUMIFS(AC_SOTIEN,AC_DA,$C28,AC_THANG,EH$2,AC_KM,$E28),SUMIFS(TF_SOTIEN,TF_DA,$C28,TF_THANG,EH$2,TF_KM,$E28))/ 1000</f>
        <v>0</v>
      </c>
      <c r="EO28" s="1091" t="str">
        <f t="shared" si="361"/>
        <v/>
      </c>
      <c r="EP28" s="1089" t="str">
        <f t="shared" si="362"/>
        <v/>
      </c>
      <c r="EQ28" s="1090">
        <f t="shared" si="87"/>
        <v>0</v>
      </c>
      <c r="ER28" s="1091" t="str">
        <f t="shared" si="88"/>
        <v/>
      </c>
      <c r="ES28" s="1090">
        <f t="shared" si="89"/>
        <v>0</v>
      </c>
      <c r="ET28" s="1091" t="str">
        <f t="shared" si="90"/>
        <v/>
      </c>
      <c r="EU28" s="1088">
        <f>SUMIFS(BP_SOTIEN,BP_DA,$C28,BP_THANG,EU$2,BP_KM,$E28)/1000</f>
        <v>0</v>
      </c>
      <c r="EV28" s="1091" t="str">
        <f t="shared" si="363"/>
        <v/>
      </c>
      <c r="EW28" s="1089" t="str">
        <f t="shared" si="364"/>
        <v/>
      </c>
      <c r="EX28" s="1090">
        <f>IF(NOW()&gt;=DATE(YEAR(EU$2),MONTH(EU$2)+1,DAY(EU$2)),SUMIFS(TF_SOTIEN,TF_DA,$C28,TF_THANG,EU$2,TF_KM,$E28)/1000, FA28)</f>
        <v>0</v>
      </c>
      <c r="EY28" s="1091" t="str">
        <f t="shared" si="365"/>
        <v/>
      </c>
      <c r="EZ28" s="1089" t="str">
        <f t="shared" si="366"/>
        <v/>
      </c>
      <c r="FA28" s="1090">
        <f>IF(NOW()&gt;=DATE(YEAR(EU$2),MONTH(EU$2)+1,DAY(EU$2)),SUMIFS(AC_SOTIEN,AC_DA,$C28,AC_THANG,EU$2,AC_KM,$E28),SUMIFS(TF_SOTIEN,TF_DA,$C28,TF_THANG,EU$2,TF_KM,$E28))/ 1000</f>
        <v>0</v>
      </c>
      <c r="FB28" s="1091" t="str">
        <f t="shared" si="367"/>
        <v/>
      </c>
      <c r="FC28" s="1089" t="str">
        <f t="shared" si="368"/>
        <v/>
      </c>
      <c r="FD28" s="1090">
        <f t="shared" si="94"/>
        <v>0</v>
      </c>
      <c r="FE28" s="1091" t="str">
        <f t="shared" si="95"/>
        <v/>
      </c>
      <c r="FF28" s="1090">
        <f t="shared" si="96"/>
        <v>0</v>
      </c>
      <c r="FG28" s="1091" t="str">
        <f t="shared" si="97"/>
        <v/>
      </c>
      <c r="FH28" s="1088">
        <f t="shared" si="240"/>
        <v>0</v>
      </c>
      <c r="FI28" s="1091" t="str">
        <f t="shared" si="369"/>
        <v/>
      </c>
      <c r="FJ28" s="1089" t="str">
        <f t="shared" si="370"/>
        <v/>
      </c>
      <c r="FK28" s="1090">
        <f t="shared" si="243"/>
        <v>0</v>
      </c>
      <c r="FL28" s="1091" t="str">
        <f t="shared" si="371"/>
        <v/>
      </c>
      <c r="FM28" s="1089" t="str">
        <f t="shared" si="372"/>
        <v/>
      </c>
      <c r="FN28" s="1090">
        <f t="shared" si="246"/>
        <v>0</v>
      </c>
      <c r="FO28" s="1091" t="str">
        <f t="shared" si="373"/>
        <v/>
      </c>
      <c r="FP28" s="1089" t="str">
        <f t="shared" si="374"/>
        <v/>
      </c>
      <c r="FQ28" s="1090">
        <f t="shared" si="104"/>
        <v>0</v>
      </c>
      <c r="FR28" s="1091" t="str">
        <f t="shared" si="105"/>
        <v/>
      </c>
      <c r="FS28" s="1090">
        <f t="shared" si="106"/>
        <v>0</v>
      </c>
      <c r="FT28" s="1091" t="str">
        <f t="shared" si="107"/>
        <v/>
      </c>
      <c r="FU28" s="1088">
        <f>SUMIFS(BP_SOTIEN,BP_DA,$C28,BP_THANG,FU$2,BP_KM,$E28)/1000</f>
        <v>0</v>
      </c>
      <c r="FV28" s="1091" t="str">
        <f t="shared" si="375"/>
        <v/>
      </c>
      <c r="FW28" s="1089" t="str">
        <f t="shared" si="376"/>
        <v/>
      </c>
      <c r="FX28" s="1090">
        <f>IF(NOW()&gt;=DATE(YEAR(FU$2),MONTH(FU$2)+1,DAY(FU$2)),SUMIFS(TF_SOTIEN,TF_DA,$C28,TF_THANG,FU$2,TF_KM,$E28)/1000, GA28)</f>
        <v>0</v>
      </c>
      <c r="FY28" s="1091" t="str">
        <f t="shared" si="377"/>
        <v/>
      </c>
      <c r="FZ28" s="1089" t="str">
        <f t="shared" si="378"/>
        <v/>
      </c>
      <c r="GA28" s="1090">
        <f>IF(NOW()&gt;=DATE(YEAR(FU$2),MONTH(FU$2)+1,DAY(FU$2)),SUMIFS(AC_SOTIEN,AC_DA,$C28,AC_THANG,FU$2,AC_KM,$E28),SUMIFS(TF_SOTIEN,TF_DA,$C28,TF_THANG,FU$2,TF_KM,$E28))/ 1000</f>
        <v>0</v>
      </c>
      <c r="GB28" s="1091" t="str">
        <f t="shared" si="379"/>
        <v/>
      </c>
      <c r="GC28" s="1089" t="str">
        <f t="shared" si="380"/>
        <v/>
      </c>
      <c r="GD28" s="1090">
        <f t="shared" si="111"/>
        <v>0</v>
      </c>
      <c r="GE28" s="1091" t="str">
        <f t="shared" si="112"/>
        <v/>
      </c>
      <c r="GF28" s="1090">
        <f t="shared" si="113"/>
        <v>0</v>
      </c>
      <c r="GG28" s="1091" t="str">
        <f t="shared" si="114"/>
        <v/>
      </c>
      <c r="GH28" s="1088">
        <f>SUMIFS(BP_SOTIEN,BP_DA,$C28,BP_THANG,GH$2,BP_KM,$E28)/1000</f>
        <v>0</v>
      </c>
      <c r="GI28" s="1091" t="str">
        <f t="shared" si="381"/>
        <v/>
      </c>
      <c r="GJ28" s="1089" t="str">
        <f t="shared" si="382"/>
        <v/>
      </c>
      <c r="GK28" s="1090">
        <f>IF(NOW()&gt;=DATE(YEAR(GH$2),MONTH(GH$2)+1,DAY(GH$2)),SUMIFS(TF_SOTIEN,TF_DA,$C28,TF_THANG,GH$2,TF_KM,$E28)/1000, GN28)</f>
        <v>0</v>
      </c>
      <c r="GL28" s="1091" t="str">
        <f t="shared" si="383"/>
        <v/>
      </c>
      <c r="GM28" s="1089" t="str">
        <f t="shared" si="384"/>
        <v/>
      </c>
      <c r="GN28" s="1090">
        <f>IF(NOW()&gt;=DATE(YEAR(GH$2),MONTH(GH$2)+1,DAY(GH$2)),SUMIFS(AC_SOTIEN,AC_DA,$C28,AC_THANG,GH$2,AC_KM,$E28),SUMIFS(TF_SOTIEN,TF_DA,$C28,TF_THANG,GH$2,TF_KM,$E28))/ 1000</f>
        <v>0</v>
      </c>
      <c r="GO28" s="1091" t="str">
        <f t="shared" si="385"/>
        <v/>
      </c>
      <c r="GP28" s="1089" t="str">
        <f t="shared" si="386"/>
        <v/>
      </c>
      <c r="GQ28" s="1090">
        <f t="shared" si="118"/>
        <v>0</v>
      </c>
      <c r="GR28" s="1091" t="str">
        <f t="shared" si="119"/>
        <v/>
      </c>
      <c r="GS28" s="1090">
        <f t="shared" si="120"/>
        <v>0</v>
      </c>
      <c r="GT28" s="1091" t="str">
        <f t="shared" si="121"/>
        <v/>
      </c>
      <c r="GU28" s="1088">
        <f>SUMIFS(BP_SOTIEN,BP_DA,$C28,BP_THANG,GU$2,BP_KM,$E28)/1000</f>
        <v>0</v>
      </c>
      <c r="GV28" s="1091" t="str">
        <f t="shared" si="387"/>
        <v/>
      </c>
      <c r="GW28" s="1089" t="str">
        <f t="shared" si="388"/>
        <v/>
      </c>
      <c r="GX28" s="1090">
        <f>IF(NOW()&gt;=DATE(YEAR(GU$2),MONTH(GU$2)+1,DAY(GU$2)),SUMIFS(TF_SOTIEN,TF_DA,$C28,TF_THANG,GU$2,TF_KM,$E28)/1000, HA28)</f>
        <v>0</v>
      </c>
      <c r="GY28" s="1091" t="str">
        <f t="shared" si="389"/>
        <v/>
      </c>
      <c r="GZ28" s="1089" t="str">
        <f t="shared" si="390"/>
        <v/>
      </c>
      <c r="HA28" s="1090">
        <f>IF(NOW()&gt;=DATE(YEAR(GU$2),MONTH(GU$2)+1,DAY(GU$2)),SUMIFS(AC_SOTIEN,AC_DA,$C28,AC_THANG,GU$2,AC_KM,$E28),SUMIFS(TF_SOTIEN,TF_DA,$C28,TF_THANG,GU$2,TF_KM,$E28))/ 1000</f>
        <v>0</v>
      </c>
      <c r="HB28" s="1091" t="str">
        <f t="shared" si="391"/>
        <v/>
      </c>
      <c r="HC28" s="1089" t="str">
        <f t="shared" si="392"/>
        <v/>
      </c>
      <c r="HD28" s="1090">
        <f t="shared" si="125"/>
        <v>0</v>
      </c>
      <c r="HE28" s="1091" t="str">
        <f t="shared" si="126"/>
        <v/>
      </c>
      <c r="HF28" s="1090">
        <f t="shared" si="127"/>
        <v>0</v>
      </c>
      <c r="HG28" s="1091" t="str">
        <f t="shared" si="128"/>
        <v/>
      </c>
      <c r="HH28" s="1088">
        <f t="shared" si="267"/>
        <v>0</v>
      </c>
      <c r="HI28" s="1091" t="str">
        <f t="shared" si="393"/>
        <v/>
      </c>
      <c r="HJ28" s="1089" t="str">
        <f t="shared" si="394"/>
        <v/>
      </c>
      <c r="HK28" s="1090">
        <f t="shared" si="270"/>
        <v>0</v>
      </c>
      <c r="HL28" s="1091" t="str">
        <f t="shared" si="395"/>
        <v/>
      </c>
      <c r="HM28" s="1089" t="str">
        <f t="shared" si="396"/>
        <v/>
      </c>
      <c r="HN28" s="1090">
        <f t="shared" si="273"/>
        <v>0</v>
      </c>
      <c r="HO28" s="1091" t="str">
        <f t="shared" si="397"/>
        <v/>
      </c>
      <c r="HP28" s="1089" t="str">
        <f t="shared" si="398"/>
        <v/>
      </c>
      <c r="HQ28" s="1090">
        <f t="shared" si="135"/>
        <v>0</v>
      </c>
      <c r="HR28" s="1091" t="str">
        <f t="shared" si="136"/>
        <v/>
      </c>
      <c r="HS28" s="1090">
        <f t="shared" si="137"/>
        <v>0</v>
      </c>
      <c r="HT28" s="1091" t="str">
        <f t="shared" si="138"/>
        <v/>
      </c>
      <c r="HU28" s="1088">
        <f t="shared" si="276"/>
        <v>0</v>
      </c>
      <c r="HV28" s="1091" t="str">
        <f t="shared" si="399"/>
        <v/>
      </c>
      <c r="HW28" s="1089" t="str">
        <f t="shared" si="400"/>
        <v/>
      </c>
      <c r="HX28" s="1090">
        <f t="shared" si="279"/>
        <v>0</v>
      </c>
      <c r="HY28" s="1091" t="str">
        <f t="shared" si="401"/>
        <v/>
      </c>
      <c r="HZ28" s="1089" t="str">
        <f t="shared" si="402"/>
        <v/>
      </c>
      <c r="IA28" s="1090">
        <f t="shared" si="282"/>
        <v>0</v>
      </c>
      <c r="IB28" s="1091" t="str">
        <f t="shared" si="403"/>
        <v/>
      </c>
      <c r="IC28" s="1089" t="str">
        <f t="shared" si="404"/>
        <v/>
      </c>
      <c r="ID28" s="1090">
        <f t="shared" si="145"/>
        <v>0</v>
      </c>
      <c r="IE28" s="1091" t="str">
        <f t="shared" si="146"/>
        <v/>
      </c>
      <c r="IF28" s="1090">
        <f t="shared" si="147"/>
        <v>0</v>
      </c>
      <c r="IG28" s="1091" t="str">
        <f t="shared" si="148"/>
        <v/>
      </c>
      <c r="IH28" s="1088">
        <f t="shared" si="285"/>
        <v>0</v>
      </c>
      <c r="II28" s="1091" t="str">
        <f t="shared" si="405"/>
        <v/>
      </c>
      <c r="IJ28" s="1089" t="str">
        <f t="shared" si="406"/>
        <v/>
      </c>
      <c r="IK28" s="1090">
        <f t="shared" si="288"/>
        <v>0</v>
      </c>
      <c r="IL28" s="1091" t="str">
        <f t="shared" si="407"/>
        <v/>
      </c>
      <c r="IM28" s="1089" t="str">
        <f t="shared" si="408"/>
        <v/>
      </c>
      <c r="IN28" s="1090">
        <f t="shared" si="291"/>
        <v>0</v>
      </c>
      <c r="IO28" s="1091" t="str">
        <f t="shared" si="409"/>
        <v/>
      </c>
      <c r="IP28" s="1089" t="str">
        <f t="shared" si="410"/>
        <v/>
      </c>
      <c r="IQ28" s="1090">
        <f t="shared" si="155"/>
        <v>0</v>
      </c>
      <c r="IR28" s="1091" t="str">
        <f t="shared" si="1"/>
        <v/>
      </c>
      <c r="IS28" s="1090">
        <f t="shared" si="156"/>
        <v>0</v>
      </c>
      <c r="IT28" s="1091" t="str">
        <f t="shared" si="2"/>
        <v/>
      </c>
    </row>
    <row r="29" outlineLevel="1">
      <c r="A29" s="1086">
        <f t="shared" si="294"/>
        <v>7</v>
      </c>
      <c r="B29" s="1087"/>
      <c r="C29" s="656" t="s">
        <v>810</v>
      </c>
      <c r="D29" s="1087" t="str">
        <f t="shared" si="295"/>
        <v>QUY</v>
      </c>
      <c r="E29" s="1087" t="s">
        <v>2239</v>
      </c>
      <c r="F29" s="1087"/>
      <c r="G29" s="1086">
        <v>2.0</v>
      </c>
      <c r="H29" s="1088">
        <f>SUMIFS(BP_SOTIEN,BP_DOI,$C29,BP_THANG,H$2,BP_KM,$E29)/1000</f>
        <v>0</v>
      </c>
      <c r="I29" s="1091" t="str">
        <f t="shared" si="296"/>
        <v/>
      </c>
      <c r="J29" s="1089" t="str">
        <f t="shared" si="297"/>
        <v/>
      </c>
      <c r="K29" s="1090">
        <f>IF(NOW()&gt;=DATE(YEAR(H$2),MONTH(H$2)+1,DAY(H$2)),SUMIFS(TF_SOTIEN,TF_DOI,$C29,TF_THANG,H$2,TF_KM,$E29)/1000, N29)</f>
        <v>0</v>
      </c>
      <c r="L29" s="1091" t="str">
        <f t="shared" si="298"/>
        <v/>
      </c>
      <c r="M29" s="1089" t="str">
        <f t="shared" si="299"/>
        <v/>
      </c>
      <c r="N29" s="1090">
        <f>IF(NOW()&gt;=DATE(YEAR(H$2),MONTH(H$2)+1,DAY(H$2)),SUMIFS(AC_SOTIEN,AC_DOI,$C29,AC_THANG,H$2,AC_KM,$E29),SUMIFS(TF_SOTIEN,TF_DOI,$C29,TF_THANG,H$2,TF_KM,$E29))/ 1000</f>
        <v>0</v>
      </c>
      <c r="O29" s="1091" t="str">
        <f t="shared" si="300"/>
        <v/>
      </c>
      <c r="P29" s="1089" t="str">
        <f t="shared" si="301"/>
        <v/>
      </c>
      <c r="Q29" s="1090">
        <f t="shared" si="8"/>
        <v>0</v>
      </c>
      <c r="R29" s="1091" t="str">
        <f t="shared" si="9"/>
        <v/>
      </c>
      <c r="S29" s="1090">
        <f t="shared" si="10"/>
        <v>0</v>
      </c>
      <c r="T29" s="1091" t="str">
        <f t="shared" si="11"/>
        <v/>
      </c>
      <c r="U29" s="1088">
        <f>SUMIFS(BP_SOTIEN,BP_DA,$C29,BP_THANG,U$2,BP_KM,$E29)/1000</f>
        <v>0</v>
      </c>
      <c r="V29" s="1091" t="str">
        <f t="shared" si="302"/>
        <v/>
      </c>
      <c r="W29" s="1089" t="str">
        <f t="shared" si="303"/>
        <v/>
      </c>
      <c r="X29" s="1090">
        <f>IF(NOW()&gt;=DATE(YEAR(U$2),MONTH(U$2)+1,DAY(U$2)),SUMIFS(TF_SOTIEN,TF_DA,$C29,TF_THANG,U$2,TF_KM,$E29)/1000, AA29)</f>
        <v>0</v>
      </c>
      <c r="Y29" s="1091" t="str">
        <f t="shared" si="304"/>
        <v/>
      </c>
      <c r="Z29" s="1089" t="str">
        <f t="shared" si="305"/>
        <v/>
      </c>
      <c r="AA29" s="1090">
        <f>IF(NOW()&gt;=DATE(YEAR(U$2),MONTH(U$2)+1,DAY(U$2)),SUMIFS(AC_SOTIEN,AC_DA,$C29,AC_THANG,U$2,AC_KM,$E29),SUMIFS(TF_SOTIEN,TF_DA,$C29,TF_THANG,U$2,TF_KM,$E29))/ 1000</f>
        <v>0</v>
      </c>
      <c r="AB29" s="1091" t="str">
        <f t="shared" si="306"/>
        <v/>
      </c>
      <c r="AC29" s="1089" t="str">
        <f t="shared" si="307"/>
        <v/>
      </c>
      <c r="AD29" s="1090">
        <f t="shared" si="15"/>
        <v>0</v>
      </c>
      <c r="AE29" s="1091" t="str">
        <f t="shared" si="16"/>
        <v/>
      </c>
      <c r="AF29" s="1090">
        <f t="shared" si="17"/>
        <v>0</v>
      </c>
      <c r="AG29" s="1091" t="str">
        <f t="shared" si="18"/>
        <v/>
      </c>
      <c r="AH29" s="1088">
        <f>SUMIFS(BP_SOTIEN,BP_DA,$C29,BP_THANG,AH$2,BP_KM,$E29)/1000</f>
        <v>0</v>
      </c>
      <c r="AI29" s="1091" t="str">
        <f t="shared" si="308"/>
        <v/>
      </c>
      <c r="AJ29" s="1089" t="str">
        <f t="shared" si="309"/>
        <v/>
      </c>
      <c r="AK29" s="1090">
        <f>IF(NOW()&gt;=DATE(YEAR(AH$2),MONTH(AH$2)+1,DAY(AH$2)),SUMIFS(TF_SOTIEN,TF_DA,$C29,TF_THANG,AH$2,TF_KM,$E29)/1000, AN29)</f>
        <v>0</v>
      </c>
      <c r="AL29" s="1091" t="str">
        <f t="shared" si="310"/>
        <v/>
      </c>
      <c r="AM29" s="1089" t="str">
        <f t="shared" si="311"/>
        <v/>
      </c>
      <c r="AN29" s="1090">
        <f>IF(NOW()&gt;=DATE(YEAR(AH$2),MONTH(AH$2)+1,DAY(AH$2)),SUMIFS(AC_SOTIEN,AC_DA,$C29,AC_THANG,AH$2,AC_KM,$E29),SUMIFS(TF_SOTIEN,TF_DA,$C29,TF_THANG,AH$2,TF_KM,$E29))/ 1000</f>
        <v>0</v>
      </c>
      <c r="AO29" s="1091" t="str">
        <f t="shared" si="312"/>
        <v/>
      </c>
      <c r="AP29" s="1089" t="str">
        <f t="shared" si="313"/>
        <v/>
      </c>
      <c r="AQ29" s="1090">
        <f t="shared" si="22"/>
        <v>0</v>
      </c>
      <c r="AR29" s="1091" t="str">
        <f t="shared" si="23"/>
        <v/>
      </c>
      <c r="AS29" s="1090">
        <f t="shared" si="24"/>
        <v>0</v>
      </c>
      <c r="AT29" s="1091" t="str">
        <f t="shared" si="25"/>
        <v/>
      </c>
      <c r="AU29" s="1088">
        <f t="shared" si="177"/>
        <v>0</v>
      </c>
      <c r="AV29" s="1091" t="str">
        <f t="shared" si="314"/>
        <v/>
      </c>
      <c r="AW29" s="1089" t="str">
        <f t="shared" si="315"/>
        <v/>
      </c>
      <c r="AX29" s="1090">
        <f t="shared" si="180"/>
        <v>0</v>
      </c>
      <c r="AY29" s="1091" t="str">
        <f t="shared" si="316"/>
        <v/>
      </c>
      <c r="AZ29" s="1089" t="str">
        <f t="shared" si="317"/>
        <v/>
      </c>
      <c r="BA29" s="1090">
        <f t="shared" si="318"/>
        <v>0</v>
      </c>
      <c r="BB29" s="1091" t="str">
        <f t="shared" si="319"/>
        <v/>
      </c>
      <c r="BC29" s="1089" t="str">
        <f t="shared" si="320"/>
        <v/>
      </c>
      <c r="BD29" s="1090">
        <f t="shared" si="32"/>
        <v>0</v>
      </c>
      <c r="BE29" s="1091" t="str">
        <f t="shared" si="33"/>
        <v/>
      </c>
      <c r="BF29" s="1090">
        <f t="shared" si="34"/>
        <v>0</v>
      </c>
      <c r="BG29" s="1091" t="str">
        <f t="shared" si="35"/>
        <v/>
      </c>
      <c r="BH29" s="1088">
        <f>SUMIFS(BP_SOTIEN,BP_DA,$C29,BP_THANG,BH$2,BP_KM,$E29)/1000</f>
        <v>0</v>
      </c>
      <c r="BI29" s="1091" t="str">
        <f t="shared" si="321"/>
        <v/>
      </c>
      <c r="BJ29" s="1089" t="str">
        <f t="shared" si="322"/>
        <v/>
      </c>
      <c r="BK29" s="1090">
        <f>IF(NOW()&gt;=DATE(YEAR(BH$2),MONTH(BH$2)+1,DAY(BH$2)),SUMIFS(TF_SOTIEN,TF_DA,$C29,TF_THANG,BH$2,TF_KM,$E29)/1000, BN29)</f>
        <v>0</v>
      </c>
      <c r="BL29" s="1091" t="str">
        <f t="shared" si="323"/>
        <v/>
      </c>
      <c r="BM29" s="1089" t="str">
        <f t="shared" si="324"/>
        <v/>
      </c>
      <c r="BN29" s="1090">
        <f>IF(NOW()&gt;=DATE(YEAR(BH$2),MONTH(BH$2)+1,DAY(BH$2)),SUMIFS(AC_SOTIEN,AC_DA,$C29,AC_THANG,BH$2,AC_KM,$E29),SUMIFS(TF_SOTIEN,TF_DA,$C29,TF_THANG,BH$2,TF_KM,$E29))/ 1000</f>
        <v>0</v>
      </c>
      <c r="BO29" s="1091" t="str">
        <f t="shared" si="325"/>
        <v/>
      </c>
      <c r="BP29" s="1089" t="str">
        <f t="shared" si="326"/>
        <v/>
      </c>
      <c r="BQ29" s="1090">
        <f t="shared" si="39"/>
        <v>0</v>
      </c>
      <c r="BR29" s="1091" t="str">
        <f t="shared" si="40"/>
        <v/>
      </c>
      <c r="BS29" s="1090">
        <f t="shared" si="41"/>
        <v>0</v>
      </c>
      <c r="BT29" s="1091" t="str">
        <f t="shared" si="42"/>
        <v/>
      </c>
      <c r="BU29" s="1088">
        <f>SUMIFS(BP_SOTIEN,BP_DA,$C29,BP_THANG,BU$2,BP_KM,$E29)/1000</f>
        <v>0</v>
      </c>
      <c r="BV29" s="1091" t="str">
        <f t="shared" si="327"/>
        <v/>
      </c>
      <c r="BW29" s="1089" t="str">
        <f t="shared" si="328"/>
        <v/>
      </c>
      <c r="BX29" s="1090">
        <f>IF(NOW()&gt;=DATE(YEAR(BU$2),MONTH(BU$2)+1,DAY(BU$2)),SUMIFS(TF_SOTIEN,TF_DA,$C29,TF_THANG,BU$2,TF_KM,$E29)/1000, CA29)</f>
        <v>0</v>
      </c>
      <c r="BY29" s="1091" t="str">
        <f t="shared" si="329"/>
        <v/>
      </c>
      <c r="BZ29" s="1089" t="str">
        <f t="shared" si="330"/>
        <v/>
      </c>
      <c r="CA29" s="1090">
        <f>IF(NOW()&gt;=DATE(YEAR(BU$2),MONTH(BU$2)+1,DAY(BU$2)),SUMIFS(AC_SOTIEN,AC_DA,$C29,AC_THANG,BU$2,AC_KM,$E29),SUMIFS(TF_SOTIEN,TF_DA,$C29,TF_THANG,BU$2,TF_KM,$E29))/ 1000</f>
        <v>0</v>
      </c>
      <c r="CB29" s="1091" t="str">
        <f t="shared" si="331"/>
        <v/>
      </c>
      <c r="CC29" s="1089" t="str">
        <f t="shared" si="332"/>
        <v/>
      </c>
      <c r="CD29" s="1090">
        <f t="shared" si="46"/>
        <v>0</v>
      </c>
      <c r="CE29" s="1091" t="str">
        <f t="shared" si="47"/>
        <v/>
      </c>
      <c r="CF29" s="1090">
        <f t="shared" si="48"/>
        <v>0</v>
      </c>
      <c r="CG29" s="1091" t="str">
        <f t="shared" si="49"/>
        <v/>
      </c>
      <c r="CH29" s="1088">
        <f>SUMIFS(BP_SOTIEN,BP_DA,$C29,BP_THANG,CH$2,BP_KM,$E29)/1000</f>
        <v>0</v>
      </c>
      <c r="CI29" s="1091" t="str">
        <f t="shared" si="333"/>
        <v/>
      </c>
      <c r="CJ29" s="1089" t="str">
        <f t="shared" si="334"/>
        <v/>
      </c>
      <c r="CK29" s="1090">
        <f>IF(NOW()&gt;=DATE(YEAR(CH$2),MONTH(CH$2)+1,DAY(CH$2)),SUMIFS(TF_SOTIEN,TF_DA,$C29,TF_THANG,CH$2,TF_KM,$E29)/1000, CN29)</f>
        <v>0</v>
      </c>
      <c r="CL29" s="1091" t="str">
        <f t="shared" si="335"/>
        <v/>
      </c>
      <c r="CM29" s="1089" t="str">
        <f t="shared" si="336"/>
        <v/>
      </c>
      <c r="CN29" s="1090">
        <f>IF(NOW()&gt;=DATE(YEAR(CH$2),MONTH(CH$2)+1,DAY(CH$2)),SUMIFS(AC_SOTIEN,AC_DA,$C29,AC_THANG,CH$2,AC_KM,$E29),SUMIFS(TF_SOTIEN,TF_DA,$C29,TF_THANG,CH$2,TF_KM,$E29))/ 1000</f>
        <v>0</v>
      </c>
      <c r="CO29" s="1091" t="str">
        <f t="shared" si="337"/>
        <v/>
      </c>
      <c r="CP29" s="1089" t="str">
        <f t="shared" si="338"/>
        <v/>
      </c>
      <c r="CQ29" s="1090">
        <f t="shared" si="53"/>
        <v>0</v>
      </c>
      <c r="CR29" s="1091" t="str">
        <f t="shared" si="54"/>
        <v/>
      </c>
      <c r="CS29" s="1090">
        <f t="shared" si="55"/>
        <v>0</v>
      </c>
      <c r="CT29" s="1091" t="str">
        <f t="shared" si="56"/>
        <v/>
      </c>
      <c r="CU29" s="1088">
        <f t="shared" si="204"/>
        <v>0</v>
      </c>
      <c r="CV29" s="1091" t="str">
        <f t="shared" si="339"/>
        <v/>
      </c>
      <c r="CW29" s="1089" t="str">
        <f t="shared" si="340"/>
        <v/>
      </c>
      <c r="CX29" s="1090">
        <f t="shared" si="207"/>
        <v>0</v>
      </c>
      <c r="CY29" s="1091" t="str">
        <f t="shared" si="341"/>
        <v/>
      </c>
      <c r="CZ29" s="1089" t="str">
        <f t="shared" si="342"/>
        <v/>
      </c>
      <c r="DA29" s="1090">
        <f t="shared" si="210"/>
        <v>0</v>
      </c>
      <c r="DB29" s="1091" t="str">
        <f t="shared" si="343"/>
        <v/>
      </c>
      <c r="DC29" s="1089" t="str">
        <f t="shared" si="344"/>
        <v/>
      </c>
      <c r="DD29" s="1090">
        <f t="shared" si="63"/>
        <v>0</v>
      </c>
      <c r="DE29" s="1091" t="str">
        <f t="shared" si="64"/>
        <v/>
      </c>
      <c r="DF29" s="1090">
        <f t="shared" si="65"/>
        <v>0</v>
      </c>
      <c r="DG29" s="1091" t="str">
        <f t="shared" si="66"/>
        <v/>
      </c>
      <c r="DH29" s="1088">
        <f t="shared" si="213"/>
        <v>0</v>
      </c>
      <c r="DI29" s="1091" t="str">
        <f t="shared" si="345"/>
        <v/>
      </c>
      <c r="DJ29" s="1089" t="str">
        <f t="shared" si="346"/>
        <v/>
      </c>
      <c r="DK29" s="1090">
        <f t="shared" si="216"/>
        <v>0</v>
      </c>
      <c r="DL29" s="1091" t="str">
        <f t="shared" si="347"/>
        <v/>
      </c>
      <c r="DM29" s="1089" t="str">
        <f t="shared" si="348"/>
        <v/>
      </c>
      <c r="DN29" s="1090">
        <f t="shared" si="219"/>
        <v>0</v>
      </c>
      <c r="DO29" s="1091" t="str">
        <f t="shared" si="349"/>
        <v/>
      </c>
      <c r="DP29" s="1089" t="str">
        <f t="shared" si="350"/>
        <v/>
      </c>
      <c r="DQ29" s="1090">
        <f t="shared" si="73"/>
        <v>0</v>
      </c>
      <c r="DR29" s="1091" t="str">
        <f t="shared" si="74"/>
        <v/>
      </c>
      <c r="DS29" s="1090">
        <f t="shared" si="75"/>
        <v>0</v>
      </c>
      <c r="DT29" s="1091" t="str">
        <f t="shared" si="76"/>
        <v/>
      </c>
      <c r="DU29" s="1088">
        <f>SUMIFS(BP_SOTIEN,BP_DA,$C29,BP_THANG,DU$2,BP_KM,$E29)/1000</f>
        <v>0</v>
      </c>
      <c r="DV29" s="1091" t="str">
        <f t="shared" si="351"/>
        <v/>
      </c>
      <c r="DW29" s="1089" t="str">
        <f t="shared" si="352"/>
        <v/>
      </c>
      <c r="DX29" s="1090">
        <f>IF(NOW()&gt;=DATE(YEAR(DU$2),MONTH(DU$2)+1,DAY(DU$2)),SUMIFS(TF_SOTIEN,TF_DA,$C29,TF_THANG,DU$2,TF_KM,$E29)/1000, EA29)</f>
        <v>0</v>
      </c>
      <c r="DY29" s="1091" t="str">
        <f t="shared" si="353"/>
        <v/>
      </c>
      <c r="DZ29" s="1089" t="str">
        <f t="shared" si="354"/>
        <v/>
      </c>
      <c r="EA29" s="1090">
        <f>IF(NOW()&gt;=DATE(YEAR(DU$2),MONTH(DU$2)+1,DAY(DU$2)),SUMIFS(AC_SOTIEN,AC_DA,$C29,AC_THANG,DU$2,AC_KM,$E29),SUMIFS(TF_SOTIEN,TF_DA,$C29,TF_THANG,DU$2,TF_KM,$E29))/ 1000</f>
        <v>0</v>
      </c>
      <c r="EB29" s="1091" t="str">
        <f t="shared" si="355"/>
        <v/>
      </c>
      <c r="EC29" s="1089" t="str">
        <f t="shared" si="356"/>
        <v/>
      </c>
      <c r="ED29" s="1090">
        <f t="shared" si="80"/>
        <v>0</v>
      </c>
      <c r="EE29" s="1091" t="str">
        <f t="shared" si="81"/>
        <v/>
      </c>
      <c r="EF29" s="1090">
        <f t="shared" si="82"/>
        <v>0</v>
      </c>
      <c r="EG29" s="1091" t="str">
        <f t="shared" si="83"/>
        <v/>
      </c>
      <c r="EH29" s="1088">
        <f>SUMIFS(BP_SOTIEN,BP_DA,$C29,BP_THANG,EH$2,BP_KM,$E29)/1000</f>
        <v>0</v>
      </c>
      <c r="EI29" s="1091" t="str">
        <f t="shared" si="357"/>
        <v/>
      </c>
      <c r="EJ29" s="1089" t="str">
        <f t="shared" si="358"/>
        <v/>
      </c>
      <c r="EK29" s="1090">
        <f>IF(NOW()&gt;=DATE(YEAR(EH$2),MONTH(EH$2)+1,DAY(EH$2)),SUMIFS(TF_SOTIEN,TF_DA,$C29,TF_THANG,EH$2,TF_KM,$E29)/1000, EN29)</f>
        <v>0</v>
      </c>
      <c r="EL29" s="1091" t="str">
        <f t="shared" si="359"/>
        <v/>
      </c>
      <c r="EM29" s="1089" t="str">
        <f t="shared" si="360"/>
        <v/>
      </c>
      <c r="EN29" s="1090">
        <f>IF(NOW()&gt;=DATE(YEAR(EH$2),MONTH(EH$2)+1,DAY(EH$2)),SUMIFS(AC_SOTIEN,AC_DA,$C29,AC_THANG,EH$2,AC_KM,$E29),SUMIFS(TF_SOTIEN,TF_DA,$C29,TF_THANG,EH$2,TF_KM,$E29))/ 1000</f>
        <v>0</v>
      </c>
      <c r="EO29" s="1091" t="str">
        <f t="shared" si="361"/>
        <v/>
      </c>
      <c r="EP29" s="1089" t="str">
        <f t="shared" si="362"/>
        <v/>
      </c>
      <c r="EQ29" s="1090">
        <f t="shared" si="87"/>
        <v>0</v>
      </c>
      <c r="ER29" s="1091" t="str">
        <f t="shared" si="88"/>
        <v/>
      </c>
      <c r="ES29" s="1090">
        <f t="shared" si="89"/>
        <v>0</v>
      </c>
      <c r="ET29" s="1091" t="str">
        <f t="shared" si="90"/>
        <v/>
      </c>
      <c r="EU29" s="1088">
        <f>SUMIFS(BP_SOTIEN,BP_DA,$C29,BP_THANG,EU$2,BP_KM,$E29)/1000</f>
        <v>0</v>
      </c>
      <c r="EV29" s="1091" t="str">
        <f t="shared" si="363"/>
        <v/>
      </c>
      <c r="EW29" s="1089" t="str">
        <f t="shared" si="364"/>
        <v/>
      </c>
      <c r="EX29" s="1090">
        <f>IF(NOW()&gt;=DATE(YEAR(EU$2),MONTH(EU$2)+1,DAY(EU$2)),SUMIFS(TF_SOTIEN,TF_DA,$C29,TF_THANG,EU$2,TF_KM,$E29)/1000, FA29)</f>
        <v>0</v>
      </c>
      <c r="EY29" s="1091" t="str">
        <f t="shared" si="365"/>
        <v/>
      </c>
      <c r="EZ29" s="1089" t="str">
        <f t="shared" si="366"/>
        <v/>
      </c>
      <c r="FA29" s="1090">
        <f>IF(NOW()&gt;=DATE(YEAR(EU$2),MONTH(EU$2)+1,DAY(EU$2)),SUMIFS(AC_SOTIEN,AC_DA,$C29,AC_THANG,EU$2,AC_KM,$E29),SUMIFS(TF_SOTIEN,TF_DA,$C29,TF_THANG,EU$2,TF_KM,$E29))/ 1000</f>
        <v>0</v>
      </c>
      <c r="FB29" s="1091" t="str">
        <f t="shared" si="367"/>
        <v/>
      </c>
      <c r="FC29" s="1089" t="str">
        <f t="shared" si="368"/>
        <v/>
      </c>
      <c r="FD29" s="1090">
        <f t="shared" si="94"/>
        <v>0</v>
      </c>
      <c r="FE29" s="1091" t="str">
        <f t="shared" si="95"/>
        <v/>
      </c>
      <c r="FF29" s="1090">
        <f t="shared" si="96"/>
        <v>0</v>
      </c>
      <c r="FG29" s="1091" t="str">
        <f t="shared" si="97"/>
        <v/>
      </c>
      <c r="FH29" s="1088">
        <f t="shared" si="240"/>
        <v>0</v>
      </c>
      <c r="FI29" s="1091" t="str">
        <f t="shared" si="369"/>
        <v/>
      </c>
      <c r="FJ29" s="1089" t="str">
        <f t="shared" si="370"/>
        <v/>
      </c>
      <c r="FK29" s="1090">
        <f t="shared" si="243"/>
        <v>0</v>
      </c>
      <c r="FL29" s="1091" t="str">
        <f t="shared" si="371"/>
        <v/>
      </c>
      <c r="FM29" s="1089" t="str">
        <f t="shared" si="372"/>
        <v/>
      </c>
      <c r="FN29" s="1090">
        <f t="shared" si="246"/>
        <v>0</v>
      </c>
      <c r="FO29" s="1091" t="str">
        <f t="shared" si="373"/>
        <v/>
      </c>
      <c r="FP29" s="1089" t="str">
        <f t="shared" si="374"/>
        <v/>
      </c>
      <c r="FQ29" s="1090">
        <f t="shared" si="104"/>
        <v>0</v>
      </c>
      <c r="FR29" s="1091" t="str">
        <f t="shared" si="105"/>
        <v/>
      </c>
      <c r="FS29" s="1090">
        <f t="shared" si="106"/>
        <v>0</v>
      </c>
      <c r="FT29" s="1091" t="str">
        <f t="shared" si="107"/>
        <v/>
      </c>
      <c r="FU29" s="1088">
        <f>SUMIFS(BP_SOTIEN,BP_DA,$C29,BP_THANG,FU$2,BP_KM,$E29)/1000</f>
        <v>0</v>
      </c>
      <c r="FV29" s="1091" t="str">
        <f t="shared" si="375"/>
        <v/>
      </c>
      <c r="FW29" s="1089" t="str">
        <f t="shared" si="376"/>
        <v/>
      </c>
      <c r="FX29" s="1090">
        <f>IF(NOW()&gt;=DATE(YEAR(FU$2),MONTH(FU$2)+1,DAY(FU$2)),SUMIFS(TF_SOTIEN,TF_DA,$C29,TF_THANG,FU$2,TF_KM,$E29)/1000, GA29)</f>
        <v>0</v>
      </c>
      <c r="FY29" s="1091" t="str">
        <f t="shared" si="377"/>
        <v/>
      </c>
      <c r="FZ29" s="1089" t="str">
        <f t="shared" si="378"/>
        <v/>
      </c>
      <c r="GA29" s="1090">
        <f>IF(NOW()&gt;=DATE(YEAR(FU$2),MONTH(FU$2)+1,DAY(FU$2)),SUMIFS(AC_SOTIEN,AC_DA,$C29,AC_THANG,FU$2,AC_KM,$E29),SUMIFS(TF_SOTIEN,TF_DA,$C29,TF_THANG,FU$2,TF_KM,$E29))/ 1000</f>
        <v>0</v>
      </c>
      <c r="GB29" s="1091" t="str">
        <f t="shared" si="379"/>
        <v/>
      </c>
      <c r="GC29" s="1089" t="str">
        <f t="shared" si="380"/>
        <v/>
      </c>
      <c r="GD29" s="1090">
        <f t="shared" si="111"/>
        <v>0</v>
      </c>
      <c r="GE29" s="1091" t="str">
        <f t="shared" si="112"/>
        <v/>
      </c>
      <c r="GF29" s="1090">
        <f t="shared" si="113"/>
        <v>0</v>
      </c>
      <c r="GG29" s="1091" t="str">
        <f t="shared" si="114"/>
        <v/>
      </c>
      <c r="GH29" s="1088">
        <f>SUMIFS(BP_SOTIEN,BP_DA,$C29,BP_THANG,GH$2,BP_KM,$E29)/1000</f>
        <v>0</v>
      </c>
      <c r="GI29" s="1091" t="str">
        <f t="shared" si="381"/>
        <v/>
      </c>
      <c r="GJ29" s="1089" t="str">
        <f t="shared" si="382"/>
        <v/>
      </c>
      <c r="GK29" s="1090">
        <f>IF(NOW()&gt;=DATE(YEAR(GH$2),MONTH(GH$2)+1,DAY(GH$2)),SUMIFS(TF_SOTIEN,TF_DA,$C29,TF_THANG,GH$2,TF_KM,$E29)/1000, GN29)</f>
        <v>0</v>
      </c>
      <c r="GL29" s="1091" t="str">
        <f t="shared" si="383"/>
        <v/>
      </c>
      <c r="GM29" s="1089" t="str">
        <f t="shared" si="384"/>
        <v/>
      </c>
      <c r="GN29" s="1090">
        <f>IF(NOW()&gt;=DATE(YEAR(GH$2),MONTH(GH$2)+1,DAY(GH$2)),SUMIFS(AC_SOTIEN,AC_DA,$C29,AC_THANG,GH$2,AC_KM,$E29),SUMIFS(TF_SOTIEN,TF_DA,$C29,TF_THANG,GH$2,TF_KM,$E29))/ 1000</f>
        <v>0</v>
      </c>
      <c r="GO29" s="1091" t="str">
        <f t="shared" si="385"/>
        <v/>
      </c>
      <c r="GP29" s="1089" t="str">
        <f t="shared" si="386"/>
        <v/>
      </c>
      <c r="GQ29" s="1090">
        <f t="shared" si="118"/>
        <v>0</v>
      </c>
      <c r="GR29" s="1091" t="str">
        <f t="shared" si="119"/>
        <v/>
      </c>
      <c r="GS29" s="1090">
        <f t="shared" si="120"/>
        <v>0</v>
      </c>
      <c r="GT29" s="1091" t="str">
        <f t="shared" si="121"/>
        <v/>
      </c>
      <c r="GU29" s="1088">
        <f>SUMIFS(BP_SOTIEN,BP_DA,$C29,BP_THANG,GU$2,BP_KM,$E29)/1000</f>
        <v>0</v>
      </c>
      <c r="GV29" s="1091" t="str">
        <f t="shared" si="387"/>
        <v/>
      </c>
      <c r="GW29" s="1089" t="str">
        <f t="shared" si="388"/>
        <v/>
      </c>
      <c r="GX29" s="1090">
        <f>IF(NOW()&gt;=DATE(YEAR(GU$2),MONTH(GU$2)+1,DAY(GU$2)),SUMIFS(TF_SOTIEN,TF_DA,$C29,TF_THANG,GU$2,TF_KM,$E29)/1000, HA29)</f>
        <v>0</v>
      </c>
      <c r="GY29" s="1091" t="str">
        <f t="shared" si="389"/>
        <v/>
      </c>
      <c r="GZ29" s="1089" t="str">
        <f t="shared" si="390"/>
        <v/>
      </c>
      <c r="HA29" s="1090">
        <f>IF(NOW()&gt;=DATE(YEAR(GU$2),MONTH(GU$2)+1,DAY(GU$2)),SUMIFS(AC_SOTIEN,AC_DA,$C29,AC_THANG,GU$2,AC_KM,$E29),SUMIFS(TF_SOTIEN,TF_DA,$C29,TF_THANG,GU$2,TF_KM,$E29))/ 1000</f>
        <v>0</v>
      </c>
      <c r="HB29" s="1091" t="str">
        <f t="shared" si="391"/>
        <v/>
      </c>
      <c r="HC29" s="1089" t="str">
        <f t="shared" si="392"/>
        <v/>
      </c>
      <c r="HD29" s="1090">
        <f t="shared" si="125"/>
        <v>0</v>
      </c>
      <c r="HE29" s="1091" t="str">
        <f t="shared" si="126"/>
        <v/>
      </c>
      <c r="HF29" s="1090">
        <f t="shared" si="127"/>
        <v>0</v>
      </c>
      <c r="HG29" s="1091" t="str">
        <f t="shared" si="128"/>
        <v/>
      </c>
      <c r="HH29" s="1088">
        <f t="shared" si="267"/>
        <v>0</v>
      </c>
      <c r="HI29" s="1091" t="str">
        <f t="shared" si="393"/>
        <v/>
      </c>
      <c r="HJ29" s="1089" t="str">
        <f t="shared" si="394"/>
        <v/>
      </c>
      <c r="HK29" s="1090">
        <f t="shared" si="270"/>
        <v>0</v>
      </c>
      <c r="HL29" s="1091" t="str">
        <f t="shared" si="395"/>
        <v/>
      </c>
      <c r="HM29" s="1089" t="str">
        <f t="shared" si="396"/>
        <v/>
      </c>
      <c r="HN29" s="1090">
        <f t="shared" si="273"/>
        <v>0</v>
      </c>
      <c r="HO29" s="1091" t="str">
        <f t="shared" si="397"/>
        <v/>
      </c>
      <c r="HP29" s="1089" t="str">
        <f t="shared" si="398"/>
        <v/>
      </c>
      <c r="HQ29" s="1090">
        <f t="shared" si="135"/>
        <v>0</v>
      </c>
      <c r="HR29" s="1091" t="str">
        <f t="shared" si="136"/>
        <v/>
      </c>
      <c r="HS29" s="1090">
        <f t="shared" si="137"/>
        <v>0</v>
      </c>
      <c r="HT29" s="1091" t="str">
        <f t="shared" si="138"/>
        <v/>
      </c>
      <c r="HU29" s="1088">
        <f t="shared" si="276"/>
        <v>0</v>
      </c>
      <c r="HV29" s="1091" t="str">
        <f t="shared" si="399"/>
        <v/>
      </c>
      <c r="HW29" s="1089" t="str">
        <f t="shared" si="400"/>
        <v/>
      </c>
      <c r="HX29" s="1090">
        <f t="shared" si="279"/>
        <v>0</v>
      </c>
      <c r="HY29" s="1091" t="str">
        <f t="shared" si="401"/>
        <v/>
      </c>
      <c r="HZ29" s="1089" t="str">
        <f t="shared" si="402"/>
        <v/>
      </c>
      <c r="IA29" s="1090">
        <f t="shared" si="282"/>
        <v>0</v>
      </c>
      <c r="IB29" s="1091" t="str">
        <f t="shared" si="403"/>
        <v/>
      </c>
      <c r="IC29" s="1089" t="str">
        <f t="shared" si="404"/>
        <v/>
      </c>
      <c r="ID29" s="1090">
        <f t="shared" si="145"/>
        <v>0</v>
      </c>
      <c r="IE29" s="1091" t="str">
        <f t="shared" si="146"/>
        <v/>
      </c>
      <c r="IF29" s="1090">
        <f t="shared" si="147"/>
        <v>0</v>
      </c>
      <c r="IG29" s="1091" t="str">
        <f t="shared" si="148"/>
        <v/>
      </c>
      <c r="IH29" s="1088">
        <f t="shared" si="285"/>
        <v>0</v>
      </c>
      <c r="II29" s="1091" t="str">
        <f t="shared" si="405"/>
        <v/>
      </c>
      <c r="IJ29" s="1089" t="str">
        <f t="shared" si="406"/>
        <v/>
      </c>
      <c r="IK29" s="1090">
        <f t="shared" si="288"/>
        <v>0</v>
      </c>
      <c r="IL29" s="1091" t="str">
        <f t="shared" si="407"/>
        <v/>
      </c>
      <c r="IM29" s="1089" t="str">
        <f t="shared" si="408"/>
        <v/>
      </c>
      <c r="IN29" s="1090">
        <f t="shared" si="291"/>
        <v>0</v>
      </c>
      <c r="IO29" s="1091" t="str">
        <f t="shared" si="409"/>
        <v/>
      </c>
      <c r="IP29" s="1089" t="str">
        <f t="shared" si="410"/>
        <v/>
      </c>
      <c r="IQ29" s="1090">
        <f t="shared" si="155"/>
        <v>0</v>
      </c>
      <c r="IR29" s="1091" t="str">
        <f t="shared" si="1"/>
        <v/>
      </c>
      <c r="IS29" s="1090">
        <f t="shared" si="156"/>
        <v>0</v>
      </c>
      <c r="IT29" s="1091" t="str">
        <f t="shared" si="2"/>
        <v/>
      </c>
    </row>
    <row r="30" outlineLevel="1">
      <c r="A30" s="1086" t="str">
        <f t="shared" si="294"/>
        <v/>
      </c>
      <c r="B30" s="1087"/>
      <c r="C30" s="656"/>
      <c r="D30" s="1087" t="str">
        <f>IF(C30="","",VLOOKUP(C30,DM_DUAN,2,0))</f>
        <v/>
      </c>
      <c r="E30" s="1087" t="s">
        <v>2239</v>
      </c>
      <c r="F30" s="1087"/>
      <c r="G30" s="1086">
        <v>2.0</v>
      </c>
      <c r="H30" s="1088">
        <f>SUMIFS(BP_SOTIEN,BP_DOI,$C30,BP_THANG,H$2,BP_KM,$E30)/1000</f>
        <v>0</v>
      </c>
      <c r="I30" s="1091" t="str">
        <f t="shared" si="296"/>
        <v/>
      </c>
      <c r="J30" s="1089" t="str">
        <f t="shared" si="297"/>
        <v/>
      </c>
      <c r="K30" s="1090">
        <f>IF(NOW()&gt;=DATE(YEAR(H$2),MONTH(H$2)+1,DAY(H$2)),SUMIFS(TF_SOTIEN,TF_DOI,$C30,TF_THANG,H$2,TF_KM,$E30)/1000, N30)</f>
        <v>0</v>
      </c>
      <c r="L30" s="1091" t="str">
        <f t="shared" si="298"/>
        <v/>
      </c>
      <c r="M30" s="1089" t="str">
        <f t="shared" si="299"/>
        <v/>
      </c>
      <c r="N30" s="1090">
        <f>IF(NOW()&gt;=DATE(YEAR(H$2),MONTH(H$2)+1,DAY(H$2)),SUMIFS(AC_SOTIEN,AC_DOI,$C30,AC_THANG,H$2,AC_KM,$E30),SUMIFS(TF_SOTIEN,TF_DOI,$C30,TF_THANG,H$2,TF_KM,$E30))/ 1000</f>
        <v>0</v>
      </c>
      <c r="O30" s="1091" t="str">
        <f t="shared" si="300"/>
        <v/>
      </c>
      <c r="P30" s="1089" t="str">
        <f t="shared" si="301"/>
        <v/>
      </c>
      <c r="Q30" s="1090">
        <f t="shared" si="8"/>
        <v>0</v>
      </c>
      <c r="R30" s="1091" t="str">
        <f t="shared" si="9"/>
        <v/>
      </c>
      <c r="S30" s="1090">
        <f t="shared" si="10"/>
        <v>0</v>
      </c>
      <c r="T30" s="1091" t="str">
        <f t="shared" si="11"/>
        <v/>
      </c>
      <c r="U30" s="1088">
        <f>SUMIFS(BP_SOTIEN,BP_DA,$C30,BP_THANG,U$2,BP_KM,$E30)/1000</f>
        <v>0</v>
      </c>
      <c r="V30" s="1091" t="str">
        <f t="shared" si="302"/>
        <v/>
      </c>
      <c r="W30" s="1089" t="str">
        <f t="shared" si="303"/>
        <v/>
      </c>
      <c r="X30" s="1090">
        <f>IF(NOW()&gt;=DATE(YEAR(U$2),MONTH(U$2)+1,DAY(U$2)),SUMIFS(TF_SOTIEN,TF_DA,$C30,TF_THANG,U$2,TF_KM,$E30)/1000, AA30)</f>
        <v>0</v>
      </c>
      <c r="Y30" s="1091" t="str">
        <f t="shared" si="304"/>
        <v/>
      </c>
      <c r="Z30" s="1089" t="str">
        <f t="shared" si="305"/>
        <v/>
      </c>
      <c r="AA30" s="1090">
        <f>IF(NOW()&gt;=DATE(YEAR(U$2),MONTH(U$2)+1,DAY(U$2)),SUMIFS(AC_SOTIEN,AC_DA,$C30,AC_THANG,U$2,AC_KM,$E30),SUMIFS(TF_SOTIEN,TF_DA,$C30,TF_THANG,U$2,TF_KM,$E30))/ 1000</f>
        <v>0</v>
      </c>
      <c r="AB30" s="1091" t="str">
        <f t="shared" si="306"/>
        <v/>
      </c>
      <c r="AC30" s="1089" t="str">
        <f t="shared" si="307"/>
        <v/>
      </c>
      <c r="AD30" s="1090">
        <f t="shared" si="15"/>
        <v>0</v>
      </c>
      <c r="AE30" s="1091" t="str">
        <f t="shared" si="16"/>
        <v/>
      </c>
      <c r="AF30" s="1090">
        <f t="shared" si="17"/>
        <v>0</v>
      </c>
      <c r="AG30" s="1091" t="str">
        <f t="shared" si="18"/>
        <v/>
      </c>
      <c r="AH30" s="1088">
        <f>SUMIFS(BP_SOTIEN,BP_DA,$C30,BP_THANG,AH$2,BP_KM,$E30)/1000</f>
        <v>0</v>
      </c>
      <c r="AI30" s="1091" t="str">
        <f t="shared" si="308"/>
        <v/>
      </c>
      <c r="AJ30" s="1089" t="str">
        <f t="shared" si="309"/>
        <v/>
      </c>
      <c r="AK30" s="1090">
        <f>IF(NOW()&gt;=DATE(YEAR(AH$2),MONTH(AH$2)+1,DAY(AH$2)),SUMIFS(TF_SOTIEN,TF_DA,$C30,TF_THANG,AH$2,TF_KM,$E30)/1000, AN30)</f>
        <v>0</v>
      </c>
      <c r="AL30" s="1091" t="str">
        <f t="shared" si="310"/>
        <v/>
      </c>
      <c r="AM30" s="1089" t="str">
        <f t="shared" si="311"/>
        <v/>
      </c>
      <c r="AN30" s="1090">
        <f>IF(NOW()&gt;=DATE(YEAR(AH$2),MONTH(AH$2)+1,DAY(AH$2)),SUMIFS(AC_SOTIEN,AC_DA,$C30,AC_THANG,AH$2,AC_KM,$E30),SUMIFS(TF_SOTIEN,TF_DA,$C30,TF_THANG,AH$2,TF_KM,$E30))/ 1000</f>
        <v>0</v>
      </c>
      <c r="AO30" s="1091" t="str">
        <f t="shared" si="312"/>
        <v/>
      </c>
      <c r="AP30" s="1089" t="str">
        <f t="shared" si="313"/>
        <v/>
      </c>
      <c r="AQ30" s="1090">
        <f t="shared" si="22"/>
        <v>0</v>
      </c>
      <c r="AR30" s="1091" t="str">
        <f t="shared" si="23"/>
        <v/>
      </c>
      <c r="AS30" s="1090">
        <f t="shared" si="24"/>
        <v>0</v>
      </c>
      <c r="AT30" s="1091" t="str">
        <f t="shared" si="25"/>
        <v/>
      </c>
      <c r="AU30" s="1088">
        <f t="shared" si="177"/>
        <v>0</v>
      </c>
      <c r="AV30" s="1091" t="str">
        <f t="shared" si="314"/>
        <v/>
      </c>
      <c r="AW30" s="1089" t="str">
        <f t="shared" si="315"/>
        <v/>
      </c>
      <c r="AX30" s="1090">
        <f t="shared" si="180"/>
        <v>0</v>
      </c>
      <c r="AY30" s="1091" t="str">
        <f t="shared" si="316"/>
        <v/>
      </c>
      <c r="AZ30" s="1089" t="str">
        <f t="shared" si="317"/>
        <v/>
      </c>
      <c r="BA30" s="1090">
        <f t="shared" si="318"/>
        <v>0</v>
      </c>
      <c r="BB30" s="1091" t="str">
        <f t="shared" si="319"/>
        <v/>
      </c>
      <c r="BC30" s="1089" t="str">
        <f t="shared" si="320"/>
        <v/>
      </c>
      <c r="BD30" s="1090">
        <f t="shared" si="32"/>
        <v>0</v>
      </c>
      <c r="BE30" s="1091" t="str">
        <f t="shared" si="33"/>
        <v/>
      </c>
      <c r="BF30" s="1090">
        <f t="shared" si="34"/>
        <v>0</v>
      </c>
      <c r="BG30" s="1091" t="str">
        <f t="shared" si="35"/>
        <v/>
      </c>
      <c r="BH30" s="1088">
        <f>SUMIFS(BP_SOTIEN,BP_DA,$C30,BP_THANG,BH$2,BP_KM,$E30)/1000</f>
        <v>0</v>
      </c>
      <c r="BI30" s="1091" t="str">
        <f t="shared" si="321"/>
        <v/>
      </c>
      <c r="BJ30" s="1089" t="str">
        <f t="shared" si="322"/>
        <v/>
      </c>
      <c r="BK30" s="1090">
        <f>IF(NOW()&gt;=DATE(YEAR(BH$2),MONTH(BH$2)+1,DAY(BH$2)),SUMIFS(TF_SOTIEN,TF_DA,$C30,TF_THANG,BH$2,TF_KM,$E30)/1000, BN30)</f>
        <v>0</v>
      </c>
      <c r="BL30" s="1091" t="str">
        <f t="shared" si="323"/>
        <v/>
      </c>
      <c r="BM30" s="1089" t="str">
        <f t="shared" si="324"/>
        <v/>
      </c>
      <c r="BN30" s="1090">
        <f>IF(NOW()&gt;=DATE(YEAR(BH$2),MONTH(BH$2)+1,DAY(BH$2)),SUMIFS(AC_SOTIEN,AC_DA,$C30,AC_THANG,BH$2,AC_KM,$E30),SUMIFS(TF_SOTIEN,TF_DA,$C30,TF_THANG,BH$2,TF_KM,$E30))/ 1000</f>
        <v>0</v>
      </c>
      <c r="BO30" s="1091" t="str">
        <f t="shared" si="325"/>
        <v/>
      </c>
      <c r="BP30" s="1089" t="str">
        <f t="shared" si="326"/>
        <v/>
      </c>
      <c r="BQ30" s="1090">
        <f t="shared" si="39"/>
        <v>0</v>
      </c>
      <c r="BR30" s="1091" t="str">
        <f t="shared" si="40"/>
        <v/>
      </c>
      <c r="BS30" s="1090">
        <f t="shared" si="41"/>
        <v>0</v>
      </c>
      <c r="BT30" s="1091" t="str">
        <f t="shared" si="42"/>
        <v/>
      </c>
      <c r="BU30" s="1088">
        <f>SUMIFS(BP_SOTIEN,BP_DA,$C30,BP_THANG,BU$2,BP_KM,$E30)/1000</f>
        <v>0</v>
      </c>
      <c r="BV30" s="1091" t="str">
        <f t="shared" si="327"/>
        <v/>
      </c>
      <c r="BW30" s="1089" t="str">
        <f t="shared" si="328"/>
        <v/>
      </c>
      <c r="BX30" s="1090">
        <f>IF(NOW()&gt;=DATE(YEAR(BU$2),MONTH(BU$2)+1,DAY(BU$2)),SUMIFS(TF_SOTIEN,TF_DA,$C30,TF_THANG,BU$2,TF_KM,$E30)/1000, CA30)</f>
        <v>0</v>
      </c>
      <c r="BY30" s="1091" t="str">
        <f t="shared" si="329"/>
        <v/>
      </c>
      <c r="BZ30" s="1089" t="str">
        <f t="shared" si="330"/>
        <v/>
      </c>
      <c r="CA30" s="1090">
        <f>IF(NOW()&gt;=DATE(YEAR(BU$2),MONTH(BU$2)+1,DAY(BU$2)),SUMIFS(AC_SOTIEN,AC_DA,$C30,AC_THANG,BU$2,AC_KM,$E30),SUMIFS(TF_SOTIEN,TF_DA,$C30,TF_THANG,BU$2,TF_KM,$E30))/ 1000</f>
        <v>0</v>
      </c>
      <c r="CB30" s="1091" t="str">
        <f t="shared" si="331"/>
        <v/>
      </c>
      <c r="CC30" s="1089" t="str">
        <f t="shared" si="332"/>
        <v/>
      </c>
      <c r="CD30" s="1090">
        <f t="shared" si="46"/>
        <v>0</v>
      </c>
      <c r="CE30" s="1091" t="str">
        <f t="shared" si="47"/>
        <v/>
      </c>
      <c r="CF30" s="1090">
        <f t="shared" si="48"/>
        <v>0</v>
      </c>
      <c r="CG30" s="1091" t="str">
        <f t="shared" si="49"/>
        <v/>
      </c>
      <c r="CH30" s="1088">
        <f>SUMIFS(BP_SOTIEN,BP_DA,$C30,BP_THANG,CH$2,BP_KM,$E30)/1000</f>
        <v>0</v>
      </c>
      <c r="CI30" s="1091" t="str">
        <f t="shared" si="333"/>
        <v/>
      </c>
      <c r="CJ30" s="1089" t="str">
        <f t="shared" si="334"/>
        <v/>
      </c>
      <c r="CK30" s="1090">
        <f>IF(NOW()&gt;=DATE(YEAR(CH$2),MONTH(CH$2)+1,DAY(CH$2)),SUMIFS(TF_SOTIEN,TF_DA,$C30,TF_THANG,CH$2,TF_KM,$E30)/1000, CN30)</f>
        <v>0</v>
      </c>
      <c r="CL30" s="1091" t="str">
        <f t="shared" si="335"/>
        <v/>
      </c>
      <c r="CM30" s="1089" t="str">
        <f t="shared" si="336"/>
        <v/>
      </c>
      <c r="CN30" s="1090">
        <f>IF(NOW()&gt;=DATE(YEAR(CH$2),MONTH(CH$2)+1,DAY(CH$2)),SUMIFS(AC_SOTIEN,AC_DA,$C30,AC_THANG,CH$2,AC_KM,$E30),SUMIFS(TF_SOTIEN,TF_DA,$C30,TF_THANG,CH$2,TF_KM,$E30))/ 1000</f>
        <v>0</v>
      </c>
      <c r="CO30" s="1091" t="str">
        <f t="shared" si="337"/>
        <v/>
      </c>
      <c r="CP30" s="1089" t="str">
        <f t="shared" si="338"/>
        <v/>
      </c>
      <c r="CQ30" s="1090">
        <f t="shared" si="53"/>
        <v>0</v>
      </c>
      <c r="CR30" s="1091" t="str">
        <f t="shared" si="54"/>
        <v/>
      </c>
      <c r="CS30" s="1090">
        <f t="shared" si="55"/>
        <v>0</v>
      </c>
      <c r="CT30" s="1091" t="str">
        <f t="shared" si="56"/>
        <v/>
      </c>
      <c r="CU30" s="1088">
        <f t="shared" si="204"/>
        <v>0</v>
      </c>
      <c r="CV30" s="1091" t="str">
        <f t="shared" si="339"/>
        <v/>
      </c>
      <c r="CW30" s="1089" t="str">
        <f t="shared" si="340"/>
        <v/>
      </c>
      <c r="CX30" s="1090">
        <f t="shared" si="207"/>
        <v>0</v>
      </c>
      <c r="CY30" s="1091" t="str">
        <f t="shared" si="341"/>
        <v/>
      </c>
      <c r="CZ30" s="1089" t="str">
        <f t="shared" si="342"/>
        <v/>
      </c>
      <c r="DA30" s="1090">
        <f t="shared" si="210"/>
        <v>0</v>
      </c>
      <c r="DB30" s="1091" t="str">
        <f t="shared" si="343"/>
        <v/>
      </c>
      <c r="DC30" s="1089" t="str">
        <f t="shared" si="344"/>
        <v/>
      </c>
      <c r="DD30" s="1090">
        <f t="shared" si="63"/>
        <v>0</v>
      </c>
      <c r="DE30" s="1091" t="str">
        <f t="shared" si="64"/>
        <v/>
      </c>
      <c r="DF30" s="1090">
        <f t="shared" si="65"/>
        <v>0</v>
      </c>
      <c r="DG30" s="1091" t="str">
        <f t="shared" si="66"/>
        <v/>
      </c>
      <c r="DH30" s="1088">
        <f t="shared" si="213"/>
        <v>0</v>
      </c>
      <c r="DI30" s="1091" t="str">
        <f t="shared" si="345"/>
        <v/>
      </c>
      <c r="DJ30" s="1089" t="str">
        <f t="shared" si="346"/>
        <v/>
      </c>
      <c r="DK30" s="1090">
        <f t="shared" si="216"/>
        <v>0</v>
      </c>
      <c r="DL30" s="1091" t="str">
        <f t="shared" si="347"/>
        <v/>
      </c>
      <c r="DM30" s="1089" t="str">
        <f t="shared" si="348"/>
        <v/>
      </c>
      <c r="DN30" s="1090">
        <f t="shared" si="219"/>
        <v>0</v>
      </c>
      <c r="DO30" s="1091" t="str">
        <f t="shared" si="349"/>
        <v/>
      </c>
      <c r="DP30" s="1089" t="str">
        <f t="shared" si="350"/>
        <v/>
      </c>
      <c r="DQ30" s="1090">
        <f t="shared" si="73"/>
        <v>0</v>
      </c>
      <c r="DR30" s="1091" t="str">
        <f t="shared" si="74"/>
        <v/>
      </c>
      <c r="DS30" s="1090">
        <f t="shared" si="75"/>
        <v>0</v>
      </c>
      <c r="DT30" s="1091" t="str">
        <f t="shared" si="76"/>
        <v/>
      </c>
      <c r="DU30" s="1088">
        <f>SUMIFS(BP_SOTIEN,BP_DA,$C30,BP_THANG,DU$2,BP_KM,$E30)/1000</f>
        <v>0</v>
      </c>
      <c r="DV30" s="1091" t="str">
        <f t="shared" si="351"/>
        <v/>
      </c>
      <c r="DW30" s="1089" t="str">
        <f t="shared" si="352"/>
        <v/>
      </c>
      <c r="DX30" s="1090">
        <f>IF(NOW()&gt;=DATE(YEAR(DU$2),MONTH(DU$2)+1,DAY(DU$2)),SUMIFS(TF_SOTIEN,TF_DA,$C30,TF_THANG,DU$2,TF_KM,$E30)/1000, EA30)</f>
        <v>0</v>
      </c>
      <c r="DY30" s="1091" t="str">
        <f t="shared" si="353"/>
        <v/>
      </c>
      <c r="DZ30" s="1089" t="str">
        <f t="shared" si="354"/>
        <v/>
      </c>
      <c r="EA30" s="1090">
        <f>IF(NOW()&gt;=DATE(YEAR(DU$2),MONTH(DU$2)+1,DAY(DU$2)),SUMIFS(AC_SOTIEN,AC_DA,$C30,AC_THANG,DU$2,AC_KM,$E30),SUMIFS(TF_SOTIEN,TF_DA,$C30,TF_THANG,DU$2,TF_KM,$E30))/ 1000</f>
        <v>0</v>
      </c>
      <c r="EB30" s="1091" t="str">
        <f t="shared" si="355"/>
        <v/>
      </c>
      <c r="EC30" s="1089" t="str">
        <f t="shared" si="356"/>
        <v/>
      </c>
      <c r="ED30" s="1090">
        <f t="shared" si="80"/>
        <v>0</v>
      </c>
      <c r="EE30" s="1091" t="str">
        <f t="shared" si="81"/>
        <v/>
      </c>
      <c r="EF30" s="1090">
        <f t="shared" si="82"/>
        <v>0</v>
      </c>
      <c r="EG30" s="1091" t="str">
        <f t="shared" si="83"/>
        <v/>
      </c>
      <c r="EH30" s="1088">
        <f>SUMIFS(BP_SOTIEN,BP_DA,$C30,BP_THANG,EH$2,BP_KM,$E30)/1000</f>
        <v>0</v>
      </c>
      <c r="EI30" s="1091" t="str">
        <f t="shared" si="357"/>
        <v/>
      </c>
      <c r="EJ30" s="1089" t="str">
        <f t="shared" si="358"/>
        <v/>
      </c>
      <c r="EK30" s="1090">
        <f>IF(NOW()&gt;=DATE(YEAR(EH$2),MONTH(EH$2)+1,DAY(EH$2)),SUMIFS(TF_SOTIEN,TF_DA,$C30,TF_THANG,EH$2,TF_KM,$E30)/1000, EN30)</f>
        <v>0</v>
      </c>
      <c r="EL30" s="1091" t="str">
        <f t="shared" si="359"/>
        <v/>
      </c>
      <c r="EM30" s="1089" t="str">
        <f t="shared" si="360"/>
        <v/>
      </c>
      <c r="EN30" s="1090">
        <f>IF(NOW()&gt;=DATE(YEAR(EH$2),MONTH(EH$2)+1,DAY(EH$2)),SUMIFS(AC_SOTIEN,AC_DA,$C30,AC_THANG,EH$2,AC_KM,$E30),SUMIFS(TF_SOTIEN,TF_DA,$C30,TF_THANG,EH$2,TF_KM,$E30))/ 1000</f>
        <v>0</v>
      </c>
      <c r="EO30" s="1091" t="str">
        <f t="shared" si="361"/>
        <v/>
      </c>
      <c r="EP30" s="1089" t="str">
        <f t="shared" si="362"/>
        <v/>
      </c>
      <c r="EQ30" s="1090">
        <f t="shared" si="87"/>
        <v>0</v>
      </c>
      <c r="ER30" s="1091" t="str">
        <f t="shared" si="88"/>
        <v/>
      </c>
      <c r="ES30" s="1090">
        <f t="shared" si="89"/>
        <v>0</v>
      </c>
      <c r="ET30" s="1091" t="str">
        <f t="shared" si="90"/>
        <v/>
      </c>
      <c r="EU30" s="1088">
        <f>SUMIFS(BP_SOTIEN,BP_DA,$C30,BP_THANG,EU$2,BP_KM,$E30)/1000</f>
        <v>0</v>
      </c>
      <c r="EV30" s="1091" t="str">
        <f t="shared" si="363"/>
        <v/>
      </c>
      <c r="EW30" s="1089" t="str">
        <f t="shared" si="364"/>
        <v/>
      </c>
      <c r="EX30" s="1090">
        <f>IF(NOW()&gt;=DATE(YEAR(EU$2),MONTH(EU$2)+1,DAY(EU$2)),SUMIFS(TF_SOTIEN,TF_DA,$C30,TF_THANG,EU$2,TF_KM,$E30)/1000, FA30)</f>
        <v>0</v>
      </c>
      <c r="EY30" s="1091" t="str">
        <f t="shared" si="365"/>
        <v/>
      </c>
      <c r="EZ30" s="1089" t="str">
        <f t="shared" si="366"/>
        <v/>
      </c>
      <c r="FA30" s="1090">
        <f>IF(NOW()&gt;=DATE(YEAR(EU$2),MONTH(EU$2)+1,DAY(EU$2)),SUMIFS(AC_SOTIEN,AC_DA,$C30,AC_THANG,EU$2,AC_KM,$E30),SUMIFS(TF_SOTIEN,TF_DA,$C30,TF_THANG,EU$2,TF_KM,$E30))/ 1000</f>
        <v>0</v>
      </c>
      <c r="FB30" s="1091" t="str">
        <f t="shared" si="367"/>
        <v/>
      </c>
      <c r="FC30" s="1089" t="str">
        <f t="shared" si="368"/>
        <v/>
      </c>
      <c r="FD30" s="1090">
        <f t="shared" si="94"/>
        <v>0</v>
      </c>
      <c r="FE30" s="1091" t="str">
        <f t="shared" si="95"/>
        <v/>
      </c>
      <c r="FF30" s="1090">
        <f t="shared" si="96"/>
        <v>0</v>
      </c>
      <c r="FG30" s="1091" t="str">
        <f t="shared" si="97"/>
        <v/>
      </c>
      <c r="FH30" s="1088">
        <f t="shared" si="240"/>
        <v>0</v>
      </c>
      <c r="FI30" s="1091" t="str">
        <f t="shared" si="369"/>
        <v/>
      </c>
      <c r="FJ30" s="1089" t="str">
        <f t="shared" si="370"/>
        <v/>
      </c>
      <c r="FK30" s="1090">
        <f t="shared" si="243"/>
        <v>0</v>
      </c>
      <c r="FL30" s="1091" t="str">
        <f t="shared" si="371"/>
        <v/>
      </c>
      <c r="FM30" s="1089" t="str">
        <f t="shared" si="372"/>
        <v/>
      </c>
      <c r="FN30" s="1090">
        <f t="shared" si="246"/>
        <v>0</v>
      </c>
      <c r="FO30" s="1091" t="str">
        <f t="shared" si="373"/>
        <v/>
      </c>
      <c r="FP30" s="1089" t="str">
        <f t="shared" si="374"/>
        <v/>
      </c>
      <c r="FQ30" s="1090">
        <f t="shared" si="104"/>
        <v>0</v>
      </c>
      <c r="FR30" s="1091" t="str">
        <f t="shared" si="105"/>
        <v/>
      </c>
      <c r="FS30" s="1090">
        <f t="shared" si="106"/>
        <v>0</v>
      </c>
      <c r="FT30" s="1091" t="str">
        <f t="shared" si="107"/>
        <v/>
      </c>
      <c r="FU30" s="1088">
        <f>SUMIFS(BP_SOTIEN,BP_DA,$C30,BP_THANG,FU$2,BP_KM,$E30)/1000</f>
        <v>0</v>
      </c>
      <c r="FV30" s="1091" t="str">
        <f t="shared" si="375"/>
        <v/>
      </c>
      <c r="FW30" s="1089" t="str">
        <f t="shared" si="376"/>
        <v/>
      </c>
      <c r="FX30" s="1090">
        <f>IF(NOW()&gt;=DATE(YEAR(FU$2),MONTH(FU$2)+1,DAY(FU$2)),SUMIFS(TF_SOTIEN,TF_DA,$C30,TF_THANG,FU$2,TF_KM,$E30)/1000, GA30)</f>
        <v>0</v>
      </c>
      <c r="FY30" s="1091" t="str">
        <f t="shared" si="377"/>
        <v/>
      </c>
      <c r="FZ30" s="1089" t="str">
        <f t="shared" si="378"/>
        <v/>
      </c>
      <c r="GA30" s="1090">
        <f>IF(NOW()&gt;=DATE(YEAR(FU$2),MONTH(FU$2)+1,DAY(FU$2)),SUMIFS(AC_SOTIEN,AC_DA,$C30,AC_THANG,FU$2,AC_KM,$E30),SUMIFS(TF_SOTIEN,TF_DA,$C30,TF_THANG,FU$2,TF_KM,$E30))/ 1000</f>
        <v>0</v>
      </c>
      <c r="GB30" s="1091" t="str">
        <f t="shared" si="379"/>
        <v/>
      </c>
      <c r="GC30" s="1089" t="str">
        <f t="shared" si="380"/>
        <v/>
      </c>
      <c r="GD30" s="1090">
        <f t="shared" si="111"/>
        <v>0</v>
      </c>
      <c r="GE30" s="1091" t="str">
        <f t="shared" si="112"/>
        <v/>
      </c>
      <c r="GF30" s="1090">
        <f t="shared" si="113"/>
        <v>0</v>
      </c>
      <c r="GG30" s="1091" t="str">
        <f t="shared" si="114"/>
        <v/>
      </c>
      <c r="GH30" s="1088">
        <f>SUMIFS(BP_SOTIEN,BP_DA,$C30,BP_THANG,GH$2,BP_KM,$E30)/1000</f>
        <v>0</v>
      </c>
      <c r="GI30" s="1091" t="str">
        <f t="shared" si="381"/>
        <v/>
      </c>
      <c r="GJ30" s="1089" t="str">
        <f t="shared" si="382"/>
        <v/>
      </c>
      <c r="GK30" s="1090">
        <f>IF(NOW()&gt;=DATE(YEAR(GH$2),MONTH(GH$2)+1,DAY(GH$2)),SUMIFS(TF_SOTIEN,TF_DA,$C30,TF_THANG,GH$2,TF_KM,$E30)/1000, GN30)</f>
        <v>0</v>
      </c>
      <c r="GL30" s="1091" t="str">
        <f t="shared" si="383"/>
        <v/>
      </c>
      <c r="GM30" s="1089" t="str">
        <f t="shared" si="384"/>
        <v/>
      </c>
      <c r="GN30" s="1090">
        <f>IF(NOW()&gt;=DATE(YEAR(GH$2),MONTH(GH$2)+1,DAY(GH$2)),SUMIFS(AC_SOTIEN,AC_DA,$C30,AC_THANG,GH$2,AC_KM,$E30),SUMIFS(TF_SOTIEN,TF_DA,$C30,TF_THANG,GH$2,TF_KM,$E30))/ 1000</f>
        <v>0</v>
      </c>
      <c r="GO30" s="1091" t="str">
        <f t="shared" si="385"/>
        <v/>
      </c>
      <c r="GP30" s="1089" t="str">
        <f t="shared" si="386"/>
        <v/>
      </c>
      <c r="GQ30" s="1090">
        <f t="shared" si="118"/>
        <v>0</v>
      </c>
      <c r="GR30" s="1091" t="str">
        <f t="shared" si="119"/>
        <v/>
      </c>
      <c r="GS30" s="1090">
        <f t="shared" si="120"/>
        <v>0</v>
      </c>
      <c r="GT30" s="1091" t="str">
        <f t="shared" si="121"/>
        <v/>
      </c>
      <c r="GU30" s="1088">
        <f>SUMIFS(BP_SOTIEN,BP_DA,$C30,BP_THANG,GU$2,BP_KM,$E30)/1000</f>
        <v>0</v>
      </c>
      <c r="GV30" s="1091" t="str">
        <f t="shared" si="387"/>
        <v/>
      </c>
      <c r="GW30" s="1089" t="str">
        <f t="shared" si="388"/>
        <v/>
      </c>
      <c r="GX30" s="1090">
        <f>IF(NOW()&gt;=DATE(YEAR(GU$2),MONTH(GU$2)+1,DAY(GU$2)),SUMIFS(TF_SOTIEN,TF_DA,$C30,TF_THANG,GU$2,TF_KM,$E30)/1000, HA30)</f>
        <v>0</v>
      </c>
      <c r="GY30" s="1091" t="str">
        <f t="shared" si="389"/>
        <v/>
      </c>
      <c r="GZ30" s="1089" t="str">
        <f t="shared" si="390"/>
        <v/>
      </c>
      <c r="HA30" s="1090">
        <f>IF(NOW()&gt;=DATE(YEAR(GU$2),MONTH(GU$2)+1,DAY(GU$2)),SUMIFS(AC_SOTIEN,AC_DA,$C30,AC_THANG,GU$2,AC_KM,$E30),SUMIFS(TF_SOTIEN,TF_DA,$C30,TF_THANG,GU$2,TF_KM,$E30))/ 1000</f>
        <v>0</v>
      </c>
      <c r="HB30" s="1091" t="str">
        <f t="shared" si="391"/>
        <v/>
      </c>
      <c r="HC30" s="1089" t="str">
        <f t="shared" si="392"/>
        <v/>
      </c>
      <c r="HD30" s="1090">
        <f t="shared" si="125"/>
        <v>0</v>
      </c>
      <c r="HE30" s="1091" t="str">
        <f t="shared" si="126"/>
        <v/>
      </c>
      <c r="HF30" s="1090">
        <f t="shared" si="127"/>
        <v>0</v>
      </c>
      <c r="HG30" s="1091" t="str">
        <f t="shared" si="128"/>
        <v/>
      </c>
      <c r="HH30" s="1088">
        <f t="shared" si="267"/>
        <v>0</v>
      </c>
      <c r="HI30" s="1091" t="str">
        <f t="shared" si="393"/>
        <v/>
      </c>
      <c r="HJ30" s="1089" t="str">
        <f t="shared" si="394"/>
        <v/>
      </c>
      <c r="HK30" s="1090">
        <f t="shared" si="270"/>
        <v>0</v>
      </c>
      <c r="HL30" s="1091" t="str">
        <f t="shared" si="395"/>
        <v/>
      </c>
      <c r="HM30" s="1089" t="str">
        <f t="shared" si="396"/>
        <v/>
      </c>
      <c r="HN30" s="1090">
        <f t="shared" si="273"/>
        <v>0</v>
      </c>
      <c r="HO30" s="1091" t="str">
        <f t="shared" si="397"/>
        <v/>
      </c>
      <c r="HP30" s="1089" t="str">
        <f t="shared" si="398"/>
        <v/>
      </c>
      <c r="HQ30" s="1090">
        <f t="shared" si="135"/>
        <v>0</v>
      </c>
      <c r="HR30" s="1091" t="str">
        <f t="shared" si="136"/>
        <v/>
      </c>
      <c r="HS30" s="1090">
        <f t="shared" si="137"/>
        <v>0</v>
      </c>
      <c r="HT30" s="1091" t="str">
        <f t="shared" si="138"/>
        <v/>
      </c>
      <c r="HU30" s="1088">
        <f t="shared" si="276"/>
        <v>0</v>
      </c>
      <c r="HV30" s="1091" t="str">
        <f t="shared" si="399"/>
        <v/>
      </c>
      <c r="HW30" s="1089" t="str">
        <f t="shared" si="400"/>
        <v/>
      </c>
      <c r="HX30" s="1090">
        <f t="shared" si="279"/>
        <v>0</v>
      </c>
      <c r="HY30" s="1091" t="str">
        <f t="shared" si="401"/>
        <v/>
      </c>
      <c r="HZ30" s="1089" t="str">
        <f t="shared" si="402"/>
        <v/>
      </c>
      <c r="IA30" s="1090">
        <f t="shared" si="282"/>
        <v>0</v>
      </c>
      <c r="IB30" s="1091" t="str">
        <f t="shared" si="403"/>
        <v/>
      </c>
      <c r="IC30" s="1089" t="str">
        <f t="shared" si="404"/>
        <v/>
      </c>
      <c r="ID30" s="1090">
        <f t="shared" si="145"/>
        <v>0</v>
      </c>
      <c r="IE30" s="1091" t="str">
        <f t="shared" si="146"/>
        <v/>
      </c>
      <c r="IF30" s="1090">
        <f t="shared" si="147"/>
        <v>0</v>
      </c>
      <c r="IG30" s="1091" t="str">
        <f t="shared" si="148"/>
        <v/>
      </c>
      <c r="IH30" s="1088">
        <f t="shared" si="285"/>
        <v>0</v>
      </c>
      <c r="II30" s="1091" t="str">
        <f t="shared" si="405"/>
        <v/>
      </c>
      <c r="IJ30" s="1089" t="str">
        <f t="shared" si="406"/>
        <v/>
      </c>
      <c r="IK30" s="1090">
        <f t="shared" si="288"/>
        <v>0</v>
      </c>
      <c r="IL30" s="1091" t="str">
        <f t="shared" si="407"/>
        <v/>
      </c>
      <c r="IM30" s="1089" t="str">
        <f t="shared" si="408"/>
        <v/>
      </c>
      <c r="IN30" s="1090">
        <f t="shared" si="291"/>
        <v>0</v>
      </c>
      <c r="IO30" s="1091" t="str">
        <f t="shared" si="409"/>
        <v/>
      </c>
      <c r="IP30" s="1089" t="str">
        <f t="shared" si="410"/>
        <v/>
      </c>
      <c r="IQ30" s="1090">
        <f t="shared" si="155"/>
        <v>0</v>
      </c>
      <c r="IR30" s="1091" t="str">
        <f t="shared" si="1"/>
        <v/>
      </c>
      <c r="IS30" s="1090">
        <f t="shared" si="156"/>
        <v>0</v>
      </c>
      <c r="IT30" s="1091" t="str">
        <f t="shared" si="2"/>
        <v/>
      </c>
    </row>
    <row r="31">
      <c r="A31" s="1121" t="s">
        <v>2824</v>
      </c>
      <c r="B31" s="1122"/>
      <c r="C31" s="1122"/>
      <c r="D31" s="1122"/>
      <c r="E31" s="1122"/>
      <c r="F31" s="1122"/>
      <c r="G31" s="1122"/>
      <c r="H31" s="1124">
        <f>SUM(H32:H39)</f>
        <v>0</v>
      </c>
      <c r="I31" s="1125" t="str">
        <f>IFERROR(H31/H$13,"")</f>
        <v/>
      </c>
      <c r="J31" s="3"/>
      <c r="K31" s="1200">
        <f>SUM(K32:K39)</f>
        <v>0</v>
      </c>
      <c r="L31" s="1125" t="str">
        <f>IFERROR(K31/K$13,"")</f>
        <v/>
      </c>
      <c r="M31" s="3"/>
      <c r="N31" s="1200">
        <f>SUM(N32:N39)</f>
        <v>340000</v>
      </c>
      <c r="O31" s="1125">
        <f>IFERROR(N31/N$13,"")</f>
        <v>1</v>
      </c>
      <c r="P31" s="3"/>
      <c r="Q31" s="1201">
        <f t="shared" si="8"/>
        <v>340000</v>
      </c>
      <c r="R31" s="1126" t="str">
        <f t="shared" si="9"/>
        <v/>
      </c>
      <c r="S31" s="1201">
        <f t="shared" si="10"/>
        <v>340000</v>
      </c>
      <c r="T31" s="1127" t="str">
        <f t="shared" si="11"/>
        <v/>
      </c>
      <c r="U31" s="1124">
        <f>SUM(U32:U39)</f>
        <v>0</v>
      </c>
      <c r="V31" s="1125" t="str">
        <f>IFERROR(U31/U$13,"")</f>
        <v/>
      </c>
      <c r="W31" s="3"/>
      <c r="X31" s="1200">
        <f>SUM(X32:X39)</f>
        <v>0</v>
      </c>
      <c r="Y31" s="1125" t="str">
        <f>IFERROR(X31/X$13,"")</f>
        <v/>
      </c>
      <c r="Z31" s="3"/>
      <c r="AA31" s="1200">
        <f>SUM(AA32:AA39)</f>
        <v>0</v>
      </c>
      <c r="AB31" s="1125" t="str">
        <f>IFERROR(AA31/AA$13,"")</f>
        <v/>
      </c>
      <c r="AC31" s="3"/>
      <c r="AD31" s="1201">
        <f t="shared" si="15"/>
        <v>0</v>
      </c>
      <c r="AE31" s="1126" t="str">
        <f t="shared" si="16"/>
        <v/>
      </c>
      <c r="AF31" s="1201">
        <f t="shared" si="17"/>
        <v>0</v>
      </c>
      <c r="AG31" s="1127" t="str">
        <f t="shared" si="18"/>
        <v/>
      </c>
      <c r="AH31" s="1124">
        <f>SUM(AH32:AH39)</f>
        <v>0</v>
      </c>
      <c r="AI31" s="1125" t="str">
        <f>IFERROR(AH31/AH$13,"")</f>
        <v/>
      </c>
      <c r="AJ31" s="3"/>
      <c r="AK31" s="1200">
        <f>SUM(AK32:AK39)</f>
        <v>0</v>
      </c>
      <c r="AL31" s="1125" t="str">
        <f>IFERROR(AK31/AK$13,"")</f>
        <v/>
      </c>
      <c r="AM31" s="3"/>
      <c r="AN31" s="1200">
        <f>SUM(AN32:AN39)</f>
        <v>0</v>
      </c>
      <c r="AO31" s="1125" t="str">
        <f>IFERROR(AN31/AN$13,"")</f>
        <v/>
      </c>
      <c r="AP31" s="3"/>
      <c r="AQ31" s="1201">
        <f t="shared" si="22"/>
        <v>0</v>
      </c>
      <c r="AR31" s="1126" t="str">
        <f t="shared" si="23"/>
        <v/>
      </c>
      <c r="AS31" s="1201">
        <f t="shared" si="24"/>
        <v>0</v>
      </c>
      <c r="AT31" s="1127" t="str">
        <f t="shared" si="25"/>
        <v/>
      </c>
      <c r="AU31" s="1124">
        <f t="shared" si="177"/>
        <v>0</v>
      </c>
      <c r="AV31" s="1125" t="str">
        <f>IFERROR(AU31/AU$13,"")</f>
        <v/>
      </c>
      <c r="AW31" s="3"/>
      <c r="AX31" s="1200">
        <f t="shared" si="180"/>
        <v>0</v>
      </c>
      <c r="AY31" s="1125" t="str">
        <f>IFERROR(AX31/AX$13,"")</f>
        <v/>
      </c>
      <c r="AZ31" s="3"/>
      <c r="BA31" s="1201">
        <f>SUMIF(H$3:AT$3,BA$3,H31:AT31)</f>
        <v>340000</v>
      </c>
      <c r="BB31" s="1125">
        <f>IFERROR(BA31/BA$13,"")</f>
        <v>1</v>
      </c>
      <c r="BC31" s="3"/>
      <c r="BD31" s="1201">
        <f t="shared" si="32"/>
        <v>340000</v>
      </c>
      <c r="BE31" s="1126" t="str">
        <f t="shared" si="33"/>
        <v/>
      </c>
      <c r="BF31" s="1201">
        <f t="shared" si="34"/>
        <v>340000</v>
      </c>
      <c r="BG31" s="1127" t="str">
        <f t="shared" si="35"/>
        <v/>
      </c>
      <c r="BH31" s="1124">
        <f>SUM(BH32:BH39)</f>
        <v>0</v>
      </c>
      <c r="BI31" s="1125" t="str">
        <f>IFERROR(BH31/BH$13,"")</f>
        <v/>
      </c>
      <c r="BJ31" s="3"/>
      <c r="BK31" s="1200">
        <f>SUM(BK32:BK39)</f>
        <v>0</v>
      </c>
      <c r="BL31" s="1125" t="str">
        <f>IFERROR(BK31/BK$13,"")</f>
        <v/>
      </c>
      <c r="BM31" s="3"/>
      <c r="BN31" s="1200">
        <f>SUM(BN32:BN39)</f>
        <v>0</v>
      </c>
      <c r="BO31" s="1125" t="str">
        <f>IFERROR(BN31/BN$13,"")</f>
        <v/>
      </c>
      <c r="BP31" s="3"/>
      <c r="BQ31" s="1201">
        <f t="shared" si="39"/>
        <v>0</v>
      </c>
      <c r="BR31" s="1126" t="str">
        <f t="shared" si="40"/>
        <v/>
      </c>
      <c r="BS31" s="1201">
        <f t="shared" si="41"/>
        <v>0</v>
      </c>
      <c r="BT31" s="1127" t="str">
        <f t="shared" si="42"/>
        <v/>
      </c>
      <c r="BU31" s="1124">
        <f>SUM(BU32:BU39)</f>
        <v>0</v>
      </c>
      <c r="BV31" s="1125" t="str">
        <f>IFERROR(BU31/BU$13,"")</f>
        <v/>
      </c>
      <c r="BW31" s="3"/>
      <c r="BX31" s="1200">
        <f>SUM(BX32:BX39)</f>
        <v>0</v>
      </c>
      <c r="BY31" s="1125" t="str">
        <f>IFERROR(BX31/BX$13,"")</f>
        <v/>
      </c>
      <c r="BZ31" s="3"/>
      <c r="CA31" s="1200">
        <f>SUM(CA32:CA39)</f>
        <v>0</v>
      </c>
      <c r="CB31" s="1125" t="str">
        <f>IFERROR(CA31/CA$13,"")</f>
        <v/>
      </c>
      <c r="CC31" s="3"/>
      <c r="CD31" s="1201">
        <f t="shared" si="46"/>
        <v>0</v>
      </c>
      <c r="CE31" s="1126" t="str">
        <f t="shared" si="47"/>
        <v/>
      </c>
      <c r="CF31" s="1201">
        <f t="shared" si="48"/>
        <v>0</v>
      </c>
      <c r="CG31" s="1127" t="str">
        <f t="shared" si="49"/>
        <v/>
      </c>
      <c r="CH31" s="1124">
        <f>SUM(CH32:CH39)</f>
        <v>0</v>
      </c>
      <c r="CI31" s="1125" t="str">
        <f>IFERROR(CH31/CH$13,"")</f>
        <v/>
      </c>
      <c r="CJ31" s="3"/>
      <c r="CK31" s="1200">
        <f>SUM(CK32:CK39)</f>
        <v>0</v>
      </c>
      <c r="CL31" s="1125" t="str">
        <f>IFERROR(CK31/CK$13,"")</f>
        <v/>
      </c>
      <c r="CM31" s="3"/>
      <c r="CN31" s="1200">
        <f>SUM(CN32:CN39)</f>
        <v>0</v>
      </c>
      <c r="CO31" s="1125" t="str">
        <f>IFERROR(CN31/CN$13,"")</f>
        <v/>
      </c>
      <c r="CP31" s="3"/>
      <c r="CQ31" s="1201">
        <f t="shared" si="53"/>
        <v>0</v>
      </c>
      <c r="CR31" s="1126" t="str">
        <f t="shared" si="54"/>
        <v/>
      </c>
      <c r="CS31" s="1201">
        <f t="shared" si="55"/>
        <v>0</v>
      </c>
      <c r="CT31" s="1127" t="str">
        <f t="shared" si="56"/>
        <v/>
      </c>
      <c r="CU31" s="1124">
        <f t="shared" si="204"/>
        <v>0</v>
      </c>
      <c r="CV31" s="1125" t="str">
        <f>IFERROR(CU31/CU$13,"")</f>
        <v/>
      </c>
      <c r="CW31" s="3"/>
      <c r="CX31" s="1200">
        <f t="shared" si="207"/>
        <v>0</v>
      </c>
      <c r="CY31" s="1125" t="str">
        <f>IFERROR(CX31/CX$13,"")</f>
        <v/>
      </c>
      <c r="CZ31" s="3"/>
      <c r="DA31" s="1200">
        <f t="shared" si="210"/>
        <v>0</v>
      </c>
      <c r="DB31" s="1125" t="str">
        <f>IFERROR(DA31/DA$13,"")</f>
        <v/>
      </c>
      <c r="DC31" s="3"/>
      <c r="DD31" s="1201">
        <f t="shared" si="63"/>
        <v>0</v>
      </c>
      <c r="DE31" s="1126" t="str">
        <f t="shared" si="64"/>
        <v/>
      </c>
      <c r="DF31" s="1201">
        <f t="shared" si="65"/>
        <v>0</v>
      </c>
      <c r="DG31" s="1127" t="str">
        <f t="shared" si="66"/>
        <v/>
      </c>
      <c r="DH31" s="1124">
        <f t="shared" si="213"/>
        <v>0</v>
      </c>
      <c r="DI31" s="1125" t="str">
        <f>IFERROR(DH31/DH$13,"")</f>
        <v/>
      </c>
      <c r="DJ31" s="3"/>
      <c r="DK31" s="1200">
        <f t="shared" si="216"/>
        <v>0</v>
      </c>
      <c r="DL31" s="1125" t="str">
        <f>IFERROR(DK31/DK$13,"")</f>
        <v/>
      </c>
      <c r="DM31" s="3"/>
      <c r="DN31" s="1200">
        <f t="shared" si="219"/>
        <v>340000</v>
      </c>
      <c r="DO31" s="1125">
        <f>IFERROR(DN31/DN$13,"")</f>
        <v>1</v>
      </c>
      <c r="DP31" s="3"/>
      <c r="DQ31" s="1201">
        <f t="shared" si="73"/>
        <v>340000</v>
      </c>
      <c r="DR31" s="1126" t="str">
        <f t="shared" si="74"/>
        <v/>
      </c>
      <c r="DS31" s="1201">
        <f t="shared" si="75"/>
        <v>340000</v>
      </c>
      <c r="DT31" s="1127" t="str">
        <f t="shared" si="76"/>
        <v/>
      </c>
      <c r="DU31" s="1124">
        <f>SUM(DU32:DU39)</f>
        <v>0</v>
      </c>
      <c r="DV31" s="1125" t="str">
        <f>IFERROR(DU31/DU$13,"")</f>
        <v/>
      </c>
      <c r="DW31" s="3"/>
      <c r="DX31" s="1200">
        <f>SUM(DX32:DX39)</f>
        <v>0</v>
      </c>
      <c r="DY31" s="1125" t="str">
        <f>IFERROR(DX31/DX$13,"")</f>
        <v/>
      </c>
      <c r="DZ31" s="3"/>
      <c r="EA31" s="1200">
        <f>SUM(EA32:EA39)</f>
        <v>0</v>
      </c>
      <c r="EB31" s="1125" t="str">
        <f>IFERROR(EA31/EA$13,"")</f>
        <v/>
      </c>
      <c r="EC31" s="3"/>
      <c r="ED31" s="1201">
        <f t="shared" si="80"/>
        <v>0</v>
      </c>
      <c r="EE31" s="1126" t="str">
        <f t="shared" si="81"/>
        <v/>
      </c>
      <c r="EF31" s="1201">
        <f t="shared" si="82"/>
        <v>0</v>
      </c>
      <c r="EG31" s="1127" t="str">
        <f t="shared" si="83"/>
        <v/>
      </c>
      <c r="EH31" s="1124">
        <f>SUM(EH32:EH39)</f>
        <v>0</v>
      </c>
      <c r="EI31" s="1125" t="str">
        <f>IFERROR(EH31/EH$13,"")</f>
        <v/>
      </c>
      <c r="EJ31" s="3"/>
      <c r="EK31" s="1200">
        <f>SUM(EK32:EK39)</f>
        <v>0</v>
      </c>
      <c r="EL31" s="1125" t="str">
        <f>IFERROR(EK31/EK$13,"")</f>
        <v/>
      </c>
      <c r="EM31" s="3"/>
      <c r="EN31" s="1200">
        <f>SUM(EN32:EN39)</f>
        <v>0</v>
      </c>
      <c r="EO31" s="1125" t="str">
        <f>IFERROR(EN31/EN$13,"")</f>
        <v/>
      </c>
      <c r="EP31" s="3"/>
      <c r="EQ31" s="1201">
        <f t="shared" si="87"/>
        <v>0</v>
      </c>
      <c r="ER31" s="1126" t="str">
        <f t="shared" si="88"/>
        <v/>
      </c>
      <c r="ES31" s="1201">
        <f t="shared" si="89"/>
        <v>0</v>
      </c>
      <c r="ET31" s="1127" t="str">
        <f t="shared" si="90"/>
        <v/>
      </c>
      <c r="EU31" s="1124">
        <f>SUM(EU32:EU39)</f>
        <v>0</v>
      </c>
      <c r="EV31" s="1125" t="str">
        <f>IFERROR(EU31/EU$13,"")</f>
        <v/>
      </c>
      <c r="EW31" s="3"/>
      <c r="EX31" s="1200">
        <f>SUM(EX32:EX39)</f>
        <v>0</v>
      </c>
      <c r="EY31" s="1125" t="str">
        <f>IFERROR(EX31/EX$13,"")</f>
        <v/>
      </c>
      <c r="EZ31" s="3"/>
      <c r="FA31" s="1200">
        <f>SUM(FA32:FA39)</f>
        <v>0</v>
      </c>
      <c r="FB31" s="1125" t="str">
        <f>IFERROR(FA31/FA$13,"")</f>
        <v/>
      </c>
      <c r="FC31" s="3"/>
      <c r="FD31" s="1201">
        <f t="shared" si="94"/>
        <v>0</v>
      </c>
      <c r="FE31" s="1126" t="str">
        <f t="shared" si="95"/>
        <v/>
      </c>
      <c r="FF31" s="1201">
        <f t="shared" si="96"/>
        <v>0</v>
      </c>
      <c r="FG31" s="1127" t="str">
        <f t="shared" si="97"/>
        <v/>
      </c>
      <c r="FH31" s="1124">
        <f t="shared" si="240"/>
        <v>0</v>
      </c>
      <c r="FI31" s="1125" t="str">
        <f>IFERROR(FH31/FH$13,"")</f>
        <v/>
      </c>
      <c r="FJ31" s="3"/>
      <c r="FK31" s="1200">
        <f t="shared" si="243"/>
        <v>0</v>
      </c>
      <c r="FL31" s="1125" t="str">
        <f>IFERROR(FK31/FK$13,"")</f>
        <v/>
      </c>
      <c r="FM31" s="3"/>
      <c r="FN31" s="1200">
        <f t="shared" si="246"/>
        <v>0</v>
      </c>
      <c r="FO31" s="1125" t="str">
        <f>IFERROR(FN31/FN$13,"")</f>
        <v/>
      </c>
      <c r="FP31" s="3"/>
      <c r="FQ31" s="1201">
        <f t="shared" si="104"/>
        <v>0</v>
      </c>
      <c r="FR31" s="1126" t="str">
        <f t="shared" si="105"/>
        <v/>
      </c>
      <c r="FS31" s="1201">
        <f t="shared" si="106"/>
        <v>0</v>
      </c>
      <c r="FT31" s="1127" t="str">
        <f t="shared" si="107"/>
        <v/>
      </c>
      <c r="FU31" s="1124">
        <f>SUM(FU32:FU39)</f>
        <v>0</v>
      </c>
      <c r="FV31" s="1125" t="str">
        <f>IFERROR(FU31/FU$13,"")</f>
        <v/>
      </c>
      <c r="FW31" s="3"/>
      <c r="FX31" s="1200">
        <f>SUM(FX32:FX39)</f>
        <v>0</v>
      </c>
      <c r="FY31" s="1125" t="str">
        <f>IFERROR(FX31/FX$13,"")</f>
        <v/>
      </c>
      <c r="FZ31" s="3"/>
      <c r="GA31" s="1200">
        <f>SUM(GA32:GA39)</f>
        <v>0</v>
      </c>
      <c r="GB31" s="1125" t="str">
        <f>IFERROR(GA31/GA$13,"")</f>
        <v/>
      </c>
      <c r="GC31" s="3"/>
      <c r="GD31" s="1201">
        <f t="shared" si="111"/>
        <v>0</v>
      </c>
      <c r="GE31" s="1126" t="str">
        <f t="shared" si="112"/>
        <v/>
      </c>
      <c r="GF31" s="1201">
        <f t="shared" si="113"/>
        <v>0</v>
      </c>
      <c r="GG31" s="1127" t="str">
        <f t="shared" si="114"/>
        <v/>
      </c>
      <c r="GH31" s="1124">
        <f>SUM(GH32:GH39)</f>
        <v>0</v>
      </c>
      <c r="GI31" s="1125" t="str">
        <f>IFERROR(GH31/GH$13,"")</f>
        <v/>
      </c>
      <c r="GJ31" s="3"/>
      <c r="GK31" s="1200">
        <f>SUM(GK32:GK39)</f>
        <v>0</v>
      </c>
      <c r="GL31" s="1125" t="str">
        <f>IFERROR(GK31/GK$13,"")</f>
        <v/>
      </c>
      <c r="GM31" s="3"/>
      <c r="GN31" s="1200">
        <f>SUM(GN32:GN39)</f>
        <v>0</v>
      </c>
      <c r="GO31" s="1125" t="str">
        <f>IFERROR(GN31/GN$13,"")</f>
        <v/>
      </c>
      <c r="GP31" s="3"/>
      <c r="GQ31" s="1201">
        <f t="shared" si="118"/>
        <v>0</v>
      </c>
      <c r="GR31" s="1126" t="str">
        <f t="shared" si="119"/>
        <v/>
      </c>
      <c r="GS31" s="1201">
        <f t="shared" si="120"/>
        <v>0</v>
      </c>
      <c r="GT31" s="1127" t="str">
        <f t="shared" si="121"/>
        <v/>
      </c>
      <c r="GU31" s="1124">
        <f>SUM(GU32:GU39)</f>
        <v>0</v>
      </c>
      <c r="GV31" s="1125" t="str">
        <f>IFERROR(GU31/GU$13,"")</f>
        <v/>
      </c>
      <c r="GW31" s="3"/>
      <c r="GX31" s="1200">
        <f>SUM(GX32:GX39)</f>
        <v>0</v>
      </c>
      <c r="GY31" s="1125" t="str">
        <f>IFERROR(GX31/GX$13,"")</f>
        <v/>
      </c>
      <c r="GZ31" s="3"/>
      <c r="HA31" s="1200">
        <f>SUM(HA32:HA39)</f>
        <v>0</v>
      </c>
      <c r="HB31" s="1125" t="str">
        <f>IFERROR(HA31/HA$13,"")</f>
        <v/>
      </c>
      <c r="HC31" s="3"/>
      <c r="HD31" s="1201">
        <f t="shared" si="125"/>
        <v>0</v>
      </c>
      <c r="HE31" s="1126" t="str">
        <f t="shared" si="126"/>
        <v/>
      </c>
      <c r="HF31" s="1201">
        <f t="shared" si="127"/>
        <v>0</v>
      </c>
      <c r="HG31" s="1127" t="str">
        <f t="shared" si="128"/>
        <v/>
      </c>
      <c r="HH31" s="1124">
        <f t="shared" si="267"/>
        <v>0</v>
      </c>
      <c r="HI31" s="1125" t="str">
        <f>IFERROR(HH31/HH$13,"")</f>
        <v/>
      </c>
      <c r="HJ31" s="3"/>
      <c r="HK31" s="1200">
        <f t="shared" si="270"/>
        <v>0</v>
      </c>
      <c r="HL31" s="1125" t="str">
        <f>IFERROR(HK31/HK$13,"")</f>
        <v/>
      </c>
      <c r="HM31" s="3"/>
      <c r="HN31" s="1200">
        <f t="shared" si="273"/>
        <v>0</v>
      </c>
      <c r="HO31" s="1125" t="str">
        <f>IFERROR(HN31/HN$13,"")</f>
        <v/>
      </c>
      <c r="HP31" s="3"/>
      <c r="HQ31" s="1201">
        <f t="shared" si="135"/>
        <v>0</v>
      </c>
      <c r="HR31" s="1126" t="str">
        <f t="shared" si="136"/>
        <v/>
      </c>
      <c r="HS31" s="1201">
        <f t="shared" si="137"/>
        <v>0</v>
      </c>
      <c r="HT31" s="1127" t="str">
        <f t="shared" si="138"/>
        <v/>
      </c>
      <c r="HU31" s="1124">
        <f t="shared" si="276"/>
        <v>0</v>
      </c>
      <c r="HV31" s="1125" t="str">
        <f>IFERROR(HU31/HU$13,"")</f>
        <v/>
      </c>
      <c r="HW31" s="3"/>
      <c r="HX31" s="1200">
        <f t="shared" si="279"/>
        <v>0</v>
      </c>
      <c r="HY31" s="1125" t="str">
        <f>IFERROR(HX31/HX$13,"")</f>
        <v/>
      </c>
      <c r="HZ31" s="3"/>
      <c r="IA31" s="1200">
        <f t="shared" si="282"/>
        <v>0</v>
      </c>
      <c r="IB31" s="1125" t="str">
        <f>IFERROR(IA31/IA$13,"")</f>
        <v/>
      </c>
      <c r="IC31" s="3"/>
      <c r="ID31" s="1201">
        <f t="shared" si="145"/>
        <v>0</v>
      </c>
      <c r="IE31" s="1126" t="str">
        <f t="shared" si="146"/>
        <v/>
      </c>
      <c r="IF31" s="1201">
        <f t="shared" si="147"/>
        <v>0</v>
      </c>
      <c r="IG31" s="1127" t="str">
        <f t="shared" si="148"/>
        <v/>
      </c>
      <c r="IH31" s="1124">
        <f t="shared" si="285"/>
        <v>0</v>
      </c>
      <c r="II31" s="1125" t="str">
        <f>IFERROR(IH31/IH$13,"")</f>
        <v/>
      </c>
      <c r="IJ31" s="3"/>
      <c r="IK31" s="1200">
        <f t="shared" si="288"/>
        <v>0</v>
      </c>
      <c r="IL31" s="1125" t="str">
        <f>IFERROR(IK31/IK$13,"")</f>
        <v/>
      </c>
      <c r="IM31" s="3"/>
      <c r="IN31" s="1200">
        <f t="shared" si="291"/>
        <v>340000</v>
      </c>
      <c r="IO31" s="1125">
        <f>IFERROR(IN31/IN$13,"")</f>
        <v>1</v>
      </c>
      <c r="IP31" s="3"/>
      <c r="IQ31" s="1201">
        <f t="shared" si="155"/>
        <v>340000</v>
      </c>
      <c r="IR31" s="1126" t="str">
        <f t="shared" si="1"/>
        <v/>
      </c>
      <c r="IS31" s="1201">
        <f t="shared" si="156"/>
        <v>340000</v>
      </c>
      <c r="IT31" s="1127" t="str">
        <f t="shared" si="2"/>
        <v/>
      </c>
    </row>
    <row r="32" outlineLevel="1">
      <c r="A32" s="1086">
        <f t="shared" ref="A32:A39" si="411">IF(C32="","",COUNTA(C$32:C32))</f>
        <v>1</v>
      </c>
      <c r="B32" s="1087"/>
      <c r="C32" s="1087" t="s">
        <v>208</v>
      </c>
      <c r="D32" s="1087" t="str">
        <f t="shared" ref="D32:D38" si="412">C32</f>
        <v>THU</v>
      </c>
      <c r="E32" s="1087"/>
      <c r="F32" s="1087"/>
      <c r="G32" s="1086">
        <v>2.0</v>
      </c>
      <c r="H32" s="1088">
        <f t="shared" ref="H32:H39" si="413">SUMIF($C$13:$C$21,$C32,H$13:H$21)-SUMIF($C$23:$C$30,$C32,H$23:H$30)</f>
        <v>0</v>
      </c>
      <c r="I32" s="1091" t="str">
        <f t="shared" ref="I32:I39" si="414">IFERROR(H32/SUMIF($C$14:$C$21,$C32,H$14:H$21),"")</f>
        <v/>
      </c>
      <c r="J32" s="1091" t="str">
        <f t="shared" ref="J32:J39" si="415">IFERROR(H32/H$31,"")</f>
        <v/>
      </c>
      <c r="K32" s="1090">
        <f t="shared" ref="K32:K39" si="416">SUMIF($C$14:$C$21,$C32,K$14:K$21)-SUMIF($C$23:$C$30,$C32,K$23:K$30)</f>
        <v>0</v>
      </c>
      <c r="L32" s="1091" t="str">
        <f t="shared" ref="L32:L39" si="417">IFERROR(K32/SUMIF($C$14:$C$21,$C32,K$14:K$21),"")</f>
        <v/>
      </c>
      <c r="M32" s="1091" t="str">
        <f t="shared" ref="M32:M39" si="418">IFERROR(K32/K$31,"")</f>
        <v/>
      </c>
      <c r="N32" s="1090">
        <f t="shared" ref="N32:N39" si="419">SUMIF($C$14:$C$21,$C32,N$14:N$21)-SUMIF($C$23:$C$30,$C32,N$23:N$30)</f>
        <v>180000</v>
      </c>
      <c r="O32" s="1091">
        <f t="shared" ref="O32:O39" si="420">IFERROR(N32/SUMIF($C$14:$C$21,$C32,N$14:N$21),"")</f>
        <v>1</v>
      </c>
      <c r="P32" s="1091">
        <f t="shared" ref="P32:P39" si="421">IFERROR(N32/N$31,"")</f>
        <v>0.5294117647</v>
      </c>
      <c r="Q32" s="1130">
        <f t="shared" si="8"/>
        <v>180000</v>
      </c>
      <c r="R32" s="1091" t="str">
        <f t="shared" si="9"/>
        <v/>
      </c>
      <c r="S32" s="1130">
        <f t="shared" si="10"/>
        <v>180000</v>
      </c>
      <c r="T32" s="1091" t="str">
        <f t="shared" si="11"/>
        <v/>
      </c>
      <c r="U32" s="1088">
        <f t="shared" ref="U32:U39" si="422">SUMIF($C$13:$C$21,$C32,U$13:U$21)-SUMIF($C$23:$C$30,$C32,U$23:U$30)</f>
        <v>0</v>
      </c>
      <c r="V32" s="1091" t="str">
        <f t="shared" ref="V32:V39" si="423">IFERROR(U32/SUMIF($C$14:$C$21,$C32,U$14:U$21),"")</f>
        <v/>
      </c>
      <c r="W32" s="1091" t="str">
        <f t="shared" ref="W32:W39" si="424">IFERROR(U32/U$31,"")</f>
        <v/>
      </c>
      <c r="X32" s="1090">
        <f t="shared" ref="X32:X39" si="425">SUMIF($C$14:$C$21,$C32,X$14:X$21)-SUMIF($C$23:$C$30,$C32,X$23:X$30)</f>
        <v>0</v>
      </c>
      <c r="Y32" s="1091" t="str">
        <f t="shared" ref="Y32:Y39" si="426">IFERROR(X32/SUMIF($C$14:$C$21,$C32,X$14:X$21),"")</f>
        <v/>
      </c>
      <c r="Z32" s="1091" t="str">
        <f t="shared" ref="Z32:Z39" si="427">IFERROR(X32/X$31,"")</f>
        <v/>
      </c>
      <c r="AA32" s="1090">
        <f t="shared" ref="AA32:AA39" si="428">SUMIF($C$14:$C$21,$C32,AA$14:AA$21)-SUMIF($C$23:$C$30,$C32,AA$23:AA$30)</f>
        <v>0</v>
      </c>
      <c r="AB32" s="1091" t="str">
        <f t="shared" ref="AB32:AB39" si="429">IFERROR(AA32/SUMIF($C$14:$C$21,$C32,AA$14:AA$21),"")</f>
        <v/>
      </c>
      <c r="AC32" s="1091" t="str">
        <f t="shared" ref="AC32:AC39" si="430">IFERROR(AA32/AA$31,"")</f>
        <v/>
      </c>
      <c r="AD32" s="1130">
        <f t="shared" si="15"/>
        <v>0</v>
      </c>
      <c r="AE32" s="1091" t="str">
        <f t="shared" si="16"/>
        <v/>
      </c>
      <c r="AF32" s="1130">
        <f t="shared" si="17"/>
        <v>0</v>
      </c>
      <c r="AG32" s="1091" t="str">
        <f t="shared" si="18"/>
        <v/>
      </c>
      <c r="AH32" s="1088">
        <f t="shared" ref="AH32:AH39" si="431">SUMIF($C$13:$C$21,$C32,AH$13:AH$21)-SUMIF($C$23:$C$30,$C32,AH$23:AH$30)</f>
        <v>0</v>
      </c>
      <c r="AI32" s="1091" t="str">
        <f t="shared" ref="AI32:AI39" si="432">IFERROR(AH32/SUMIF($C$14:$C$21,$C32,AH$14:AH$21),"")</f>
        <v/>
      </c>
      <c r="AJ32" s="1091" t="str">
        <f t="shared" ref="AJ32:AJ39" si="433">IFERROR(AH32/AH$31,"")</f>
        <v/>
      </c>
      <c r="AK32" s="1090">
        <f t="shared" ref="AK32:AK39" si="434">SUMIF($C$14:$C$21,$C32,AK$14:AK$21)-SUMIF($C$23:$C$30,$C32,AK$23:AK$30)</f>
        <v>0</v>
      </c>
      <c r="AL32" s="1091" t="str">
        <f t="shared" ref="AL32:AL39" si="435">IFERROR(AK32/SUMIF($C$14:$C$21,$C32,AK$14:AK$21),"")</f>
        <v/>
      </c>
      <c r="AM32" s="1091" t="str">
        <f t="shared" ref="AM32:AM39" si="436">IFERROR(AK32/AK$31,"")</f>
        <v/>
      </c>
      <c r="AN32" s="1090">
        <f t="shared" ref="AN32:AN39" si="437">SUMIF($C$14:$C$21,$C32,AN$14:AN$21)-SUMIF($C$23:$C$30,$C32,AN$23:AN$30)</f>
        <v>0</v>
      </c>
      <c r="AO32" s="1091" t="str">
        <f t="shared" ref="AO32:AO39" si="438">IFERROR(AN32/SUMIF($C$14:$C$21,$C32,AN$14:AN$21),"")</f>
        <v/>
      </c>
      <c r="AP32" s="1091" t="str">
        <f t="shared" ref="AP32:AP39" si="439">IFERROR(AN32/AN$31,"")</f>
        <v/>
      </c>
      <c r="AQ32" s="1130">
        <f t="shared" si="22"/>
        <v>0</v>
      </c>
      <c r="AR32" s="1091" t="str">
        <f t="shared" si="23"/>
        <v/>
      </c>
      <c r="AS32" s="1130">
        <f t="shared" si="24"/>
        <v>0</v>
      </c>
      <c r="AT32" s="1091" t="str">
        <f t="shared" si="25"/>
        <v/>
      </c>
      <c r="AU32" s="1088">
        <f t="shared" si="177"/>
        <v>0</v>
      </c>
      <c r="AV32" s="1091" t="str">
        <f t="shared" ref="AV32:AV39" si="440">IFERROR(AU32/SUMIF($C$14:$C$21,$C32,AU$14:AU$21),"")</f>
        <v/>
      </c>
      <c r="AW32" s="1091" t="str">
        <f t="shared" ref="AW32:AW39" si="441">IFERROR(AU32/AU$31,"")</f>
        <v/>
      </c>
      <c r="AX32" s="1090">
        <f t="shared" si="180"/>
        <v>0</v>
      </c>
      <c r="AY32" s="1091" t="str">
        <f t="shared" ref="AY32:AY39" si="442">IFERROR(AX32/SUMIF($C$14:$C$21,$C32,AX$14:AX$21),"")</f>
        <v/>
      </c>
      <c r="AZ32" s="1091" t="str">
        <f t="shared" ref="AZ32:AZ39" si="443">IFERROR(AX32/AX$31,"")</f>
        <v/>
      </c>
      <c r="BA32" s="1090">
        <f t="shared" ref="BA32:BA50" si="444">SUMIF(H$3:AT$3,"AC",H32:AT32)+SUMIF(H$3:AT$3,"TF",H32:AT32)</f>
        <v>180000</v>
      </c>
      <c r="BB32" s="1091">
        <f t="shared" ref="BB32:BB39" si="445">IFERROR(BA32/SUMIF($C$14:$C$21,$C32,BA$14:BA$21),"")</f>
        <v>1</v>
      </c>
      <c r="BC32" s="1091">
        <f t="shared" ref="BC32:BC39" si="446">IFERROR(BA32/BA$31,"")</f>
        <v>0.5294117647</v>
      </c>
      <c r="BD32" s="1130">
        <f t="shared" si="32"/>
        <v>180000</v>
      </c>
      <c r="BE32" s="1091" t="str">
        <f t="shared" si="33"/>
        <v/>
      </c>
      <c r="BF32" s="1130">
        <f t="shared" si="34"/>
        <v>180000</v>
      </c>
      <c r="BG32" s="1091" t="str">
        <f t="shared" si="35"/>
        <v/>
      </c>
      <c r="BH32" s="1088">
        <f t="shared" ref="BH32:BH39" si="447">SUMIF($C$14:$C$21,$C32,BH$14:BH$21)-SUMIF($C$23:$C$30,$C32,BH$23:BH$30)</f>
        <v>0</v>
      </c>
      <c r="BI32" s="1091" t="str">
        <f t="shared" ref="BI32:BI39" si="448">IFERROR(BH32/SUMIF($C$14:$C$21,$C32,BH$14:BH$21),"")</f>
        <v/>
      </c>
      <c r="BJ32" s="1091" t="str">
        <f t="shared" ref="BJ32:BJ39" si="449">IFERROR(BH32/BH$31,"")</f>
        <v/>
      </c>
      <c r="BK32" s="1090">
        <f t="shared" ref="BK32:BK39" si="450">SUMIF($C$14:$C$21,$C32,BK$14:BK$21)-SUMIF($C$23:$C$30,$C32,BK$23:BK$30)</f>
        <v>0</v>
      </c>
      <c r="BL32" s="1091" t="str">
        <f t="shared" ref="BL32:BL39" si="451">IFERROR(BK32/SUMIF($C$14:$C$21,$C32,BK$14:BK$21),"")</f>
        <v/>
      </c>
      <c r="BM32" s="1091" t="str">
        <f t="shared" ref="BM32:BM39" si="452">IFERROR(BK32/BK$31,"")</f>
        <v/>
      </c>
      <c r="BN32" s="1090">
        <f t="shared" ref="BN32:BN39" si="453">SUMIF($C$14:$C$21,$C32,BN$14:BN$21)-SUMIF($C$23:$C$30,$C32,BN$23:BN$30)</f>
        <v>0</v>
      </c>
      <c r="BO32" s="1091" t="str">
        <f t="shared" ref="BO32:BO39" si="454">IFERROR(BN32/SUMIF($C$14:$C$21,$C32,BN$14:BN$21),"")</f>
        <v/>
      </c>
      <c r="BP32" s="1091" t="str">
        <f t="shared" ref="BP32:BP39" si="455">IFERROR(BN32/BN$31,"")</f>
        <v/>
      </c>
      <c r="BQ32" s="1130">
        <f t="shared" si="39"/>
        <v>0</v>
      </c>
      <c r="BR32" s="1091" t="str">
        <f t="shared" si="40"/>
        <v/>
      </c>
      <c r="BS32" s="1130">
        <f t="shared" si="41"/>
        <v>0</v>
      </c>
      <c r="BT32" s="1091" t="str">
        <f t="shared" si="42"/>
        <v/>
      </c>
      <c r="BU32" s="1088">
        <f t="shared" ref="BU32:BU39" si="456">SUMIF($C$13:$C$21,$C32,BU$13:BU$21)-SUMIF($C$23:$C$30,$C32,BU$23:BU$30)</f>
        <v>0</v>
      </c>
      <c r="BV32" s="1091" t="str">
        <f t="shared" ref="BV32:BV39" si="457">IFERROR(BU32/SUMIF($C$14:$C$21,$C32,BU$14:BU$21),"")</f>
        <v/>
      </c>
      <c r="BW32" s="1091" t="str">
        <f t="shared" ref="BW32:BW39" si="458">IFERROR(BU32/BU$31,"")</f>
        <v/>
      </c>
      <c r="BX32" s="1202">
        <f t="shared" ref="BX32:BX39" si="459">SUMIF($C$14:$C$21,$C32,BX$14:BX$21)-SUMIF($C$23:$C$30,$C32,BX$23:BX$30)</f>
        <v>0</v>
      </c>
      <c r="BY32" s="1091" t="str">
        <f t="shared" ref="BY32:BY39" si="460">IFERROR(BX32/SUMIF($C$14:$C$21,$C32,BX$14:BX$21),"")</f>
        <v/>
      </c>
      <c r="BZ32" s="1091" t="str">
        <f t="shared" ref="BZ32:BZ39" si="461">IFERROR(BX32/BX$31,"")</f>
        <v/>
      </c>
      <c r="CA32" s="1202">
        <f t="shared" ref="CA32:CA39" si="462">SUMIF($C$14:$C$21,$C32,CA$14:CA$21)-SUMIF($C$23:$C$30,$C32,CA$23:CA$30)</f>
        <v>0</v>
      </c>
      <c r="CB32" s="1091" t="str">
        <f t="shared" ref="CB32:CB39" si="463">IFERROR(CA32/SUMIF($C$14:$C$21,$C32,CA$14:CA$21),"")</f>
        <v/>
      </c>
      <c r="CC32" s="1091" t="str">
        <f t="shared" ref="CC32:CC39" si="464">IFERROR(CA32/CA$31,"")</f>
        <v/>
      </c>
      <c r="CD32" s="1130">
        <f t="shared" si="46"/>
        <v>0</v>
      </c>
      <c r="CE32" s="1091" t="str">
        <f t="shared" si="47"/>
        <v/>
      </c>
      <c r="CF32" s="1130">
        <f t="shared" si="48"/>
        <v>0</v>
      </c>
      <c r="CG32" s="1091" t="str">
        <f t="shared" si="49"/>
        <v/>
      </c>
      <c r="CH32" s="1088">
        <f t="shared" ref="CH32:CH39" si="465">SUMIF($C$13:$C$21,$C32,CH$13:CH$21)-SUMIF($C$23:$C$30,$C32,CH$23:CH$30)</f>
        <v>0</v>
      </c>
      <c r="CI32" s="1091" t="str">
        <f t="shared" ref="CI32:CI39" si="466">IFERROR(CH32/SUMIF($C$14:$C$21,$C32,CH$14:CH$21),"")</f>
        <v/>
      </c>
      <c r="CJ32" s="1091" t="str">
        <f t="shared" ref="CJ32:CJ39" si="467">IFERROR(CH32/CH$31,"")</f>
        <v/>
      </c>
      <c r="CK32" s="1202">
        <f t="shared" ref="CK32:CK39" si="468">SUMIF($C$14:$C$21,$C32,CK$14:CK$21)-SUMIF($C$23:$C$30,$C32,CK$23:CK$30)</f>
        <v>0</v>
      </c>
      <c r="CL32" s="1091" t="str">
        <f t="shared" ref="CL32:CL39" si="469">IFERROR(CK32/SUMIF($C$14:$C$21,$C32,CK$14:CK$21),"")</f>
        <v/>
      </c>
      <c r="CM32" s="1091" t="str">
        <f t="shared" ref="CM32:CM39" si="470">IFERROR(CK32/CK$31,"")</f>
        <v/>
      </c>
      <c r="CN32" s="1202">
        <f t="shared" ref="CN32:CN39" si="471">SUMIF($C$14:$C$21,$C32,CN$14:CN$21)-SUMIF($C$23:$C$30,$C32,CN$23:CN$30)</f>
        <v>0</v>
      </c>
      <c r="CO32" s="1091" t="str">
        <f t="shared" ref="CO32:CO39" si="472">IFERROR(CN32/SUMIF($C$14:$C$21,$C32,CN$14:CN$21),"")</f>
        <v/>
      </c>
      <c r="CP32" s="1091" t="str">
        <f t="shared" ref="CP32:CP39" si="473">IFERROR(CN32/CN$31,"")</f>
        <v/>
      </c>
      <c r="CQ32" s="1130">
        <f t="shared" si="53"/>
        <v>0</v>
      </c>
      <c r="CR32" s="1091" t="str">
        <f t="shared" si="54"/>
        <v/>
      </c>
      <c r="CS32" s="1130">
        <f t="shared" si="55"/>
        <v>0</v>
      </c>
      <c r="CT32" s="1091" t="str">
        <f t="shared" si="56"/>
        <v/>
      </c>
      <c r="CU32" s="1088">
        <f t="shared" si="204"/>
        <v>0</v>
      </c>
      <c r="CV32" s="1091" t="str">
        <f t="shared" ref="CV32:CV39" si="474">IFERROR(CU32/SUMIF($C$14:$C$21,$C32,CU$14:CU$21),"")</f>
        <v/>
      </c>
      <c r="CW32" s="1091" t="str">
        <f t="shared" ref="CW32:CW39" si="475">IFERROR(CU32/CU$31,"")</f>
        <v/>
      </c>
      <c r="CX32" s="1202">
        <f t="shared" ref="CX32:CX39" si="476">SUMIF($C$14:$C$21,$C32,CX$14:CX$21)-SUMIF($C$23:$C$30,$C32,CX$23:CX$30)</f>
        <v>0</v>
      </c>
      <c r="CY32" s="1091" t="str">
        <f t="shared" ref="CY32:CY39" si="477">IFERROR(CX32/SUMIF($C$14:$C$21,$C32,CX$14:CX$21),"")</f>
        <v/>
      </c>
      <c r="CZ32" s="1091" t="str">
        <f t="shared" ref="CZ32:CZ39" si="478">IFERROR(CX32/CX$31,"")</f>
        <v/>
      </c>
      <c r="DA32" s="1202">
        <f t="shared" ref="DA32:DA39" si="479">SUMIF($C$14:$C$21,$C32,DA$14:DA$21)-SUMIF($C$23:$C$30,$C32,DA$23:DA$30)</f>
        <v>0</v>
      </c>
      <c r="DB32" s="1091" t="str">
        <f t="shared" ref="DB32:DB39" si="480">IFERROR(DA32/SUMIF($C$14:$C$21,$C32,DA$14:DA$21),"")</f>
        <v/>
      </c>
      <c r="DC32" s="1091" t="str">
        <f t="shared" ref="DC32:DC39" si="481">IFERROR(DA32/DA$31,"")</f>
        <v/>
      </c>
      <c r="DD32" s="1130">
        <f t="shared" si="63"/>
        <v>0</v>
      </c>
      <c r="DE32" s="1091" t="str">
        <f t="shared" si="64"/>
        <v/>
      </c>
      <c r="DF32" s="1130">
        <f t="shared" si="65"/>
        <v>0</v>
      </c>
      <c r="DG32" s="1091" t="str">
        <f t="shared" si="66"/>
        <v/>
      </c>
      <c r="DH32" s="1088">
        <f t="shared" si="213"/>
        <v>0</v>
      </c>
      <c r="DI32" s="1091" t="str">
        <f t="shared" ref="DI32:DI39" si="482">IFERROR(DH32/SUMIF($C$14:$C$21,$C32,DH$14:DH$21),"")</f>
        <v/>
      </c>
      <c r="DJ32" s="1091" t="str">
        <f t="shared" ref="DJ32:DJ39" si="483">IFERROR(DH32/DH$31,"")</f>
        <v/>
      </c>
      <c r="DK32" s="1090">
        <f t="shared" si="216"/>
        <v>0</v>
      </c>
      <c r="DL32" s="1091" t="str">
        <f t="shared" ref="DL32:DL39" si="484">IFERROR(DK32/SUMIF($C$14:$C$21,$C32,DK$14:DK$21),"")</f>
        <v/>
      </c>
      <c r="DM32" s="1091" t="str">
        <f t="shared" ref="DM32:DM39" si="485">IFERROR(DK32/DK$31,"")</f>
        <v/>
      </c>
      <c r="DN32" s="1090">
        <f t="shared" si="219"/>
        <v>180000</v>
      </c>
      <c r="DO32" s="1091">
        <f t="shared" ref="DO32:DO39" si="486">IFERROR(DN32/SUMIF($C$14:$C$21,$C32,DN$14:DN$21),"")</f>
        <v>1</v>
      </c>
      <c r="DP32" s="1091">
        <f t="shared" ref="DP32:DP39" si="487">IFERROR(DN32/DN$31,"")</f>
        <v>0.5294117647</v>
      </c>
      <c r="DQ32" s="1130">
        <f t="shared" si="73"/>
        <v>180000</v>
      </c>
      <c r="DR32" s="1091" t="str">
        <f t="shared" si="74"/>
        <v/>
      </c>
      <c r="DS32" s="1130">
        <f t="shared" si="75"/>
        <v>180000</v>
      </c>
      <c r="DT32" s="1091" t="str">
        <f t="shared" si="76"/>
        <v/>
      </c>
      <c r="DU32" s="1088">
        <f t="shared" ref="DU32:DU39" si="488">SUMIF($C$13:$C$21,$C32,DU$13:DU$21)-SUMIF($C$23:$C$30,$C32,DU$23:DU$30)</f>
        <v>0</v>
      </c>
      <c r="DV32" s="1091" t="str">
        <f t="shared" ref="DV32:DV39" si="489">IFERROR(DU32/SUMIF($C$14:$C$21,$C32,DU$14:DU$21),"")</f>
        <v/>
      </c>
      <c r="DW32" s="1091" t="str">
        <f t="shared" ref="DW32:DW39" si="490">IFERROR(DU32/DU$31,"")</f>
        <v/>
      </c>
      <c r="DX32" s="1202">
        <f t="shared" ref="DX32:DX39" si="491">SUMIF($C$14:$C$21,$C32,DX$14:DX$21)-SUMIF($C$23:$C$30,$C32,DX$23:DX$30)</f>
        <v>0</v>
      </c>
      <c r="DY32" s="1091" t="str">
        <f t="shared" ref="DY32:DY39" si="492">IFERROR(DX32/SUMIF($C$14:$C$21,$C32,DX$14:DX$21),"")</f>
        <v/>
      </c>
      <c r="DZ32" s="1091" t="str">
        <f t="shared" ref="DZ32:DZ39" si="493">IFERROR(DX32/DX$31,"")</f>
        <v/>
      </c>
      <c r="EA32" s="1202">
        <f t="shared" ref="EA32:EA39" si="494">SUMIF($C$14:$C$21,$C32,EA$14:EA$21)-SUMIF($C$23:$C$30,$C32,EA$23:EA$30)</f>
        <v>0</v>
      </c>
      <c r="EB32" s="1091" t="str">
        <f t="shared" ref="EB32:EB39" si="495">IFERROR(EA32/SUMIF($C$14:$C$21,$C32,EA$14:EA$21),"")</f>
        <v/>
      </c>
      <c r="EC32" s="1091" t="str">
        <f t="shared" ref="EC32:EC39" si="496">IFERROR(EA32/EA$31,"")</f>
        <v/>
      </c>
      <c r="ED32" s="1130">
        <f t="shared" si="80"/>
        <v>0</v>
      </c>
      <c r="EE32" s="1091" t="str">
        <f t="shared" si="81"/>
        <v/>
      </c>
      <c r="EF32" s="1130">
        <f t="shared" si="82"/>
        <v>0</v>
      </c>
      <c r="EG32" s="1091" t="str">
        <f t="shared" si="83"/>
        <v/>
      </c>
      <c r="EH32" s="1088">
        <f t="shared" ref="EH32:EH39" si="497">SUMIF($C$13:$C$21,$C32,EH$13:EH$21)-SUMIF($C$23:$C$30,$C32,EH$23:EH$30)</f>
        <v>0</v>
      </c>
      <c r="EI32" s="1091" t="str">
        <f t="shared" ref="EI32:EI39" si="498">IFERROR(EH32/SUMIF($C$14:$C$21,$C32,EH$14:EH$21),"")</f>
        <v/>
      </c>
      <c r="EJ32" s="1091" t="str">
        <f t="shared" ref="EJ32:EJ39" si="499">IFERROR(EH32/EH$31,"")</f>
        <v/>
      </c>
      <c r="EK32" s="1202">
        <f t="shared" ref="EK32:EK39" si="500">SUMIF($C$14:$C$21,$C32,EK$14:EK$21)-SUMIF($C$23:$C$30,$C32,EK$23:EK$30)</f>
        <v>0</v>
      </c>
      <c r="EL32" s="1091" t="str">
        <f t="shared" ref="EL32:EL39" si="501">IFERROR(EK32/SUMIF($C$14:$C$21,$C32,EK$14:EK$21),"")</f>
        <v/>
      </c>
      <c r="EM32" s="1091" t="str">
        <f t="shared" ref="EM32:EM39" si="502">IFERROR(EK32/EK$31,"")</f>
        <v/>
      </c>
      <c r="EN32" s="1202">
        <f t="shared" ref="EN32:EN39" si="503">SUMIF($C$14:$C$21,$C32,EN$14:EN$21)-SUMIF($C$23:$C$30,$C32,EN$23:EN$30)</f>
        <v>0</v>
      </c>
      <c r="EO32" s="1091" t="str">
        <f t="shared" ref="EO32:EO39" si="504">IFERROR(EN32/SUMIF($C$14:$C$21,$C32,EN$14:EN$21),"")</f>
        <v/>
      </c>
      <c r="EP32" s="1091" t="str">
        <f t="shared" ref="EP32:EP39" si="505">IFERROR(EN32/EN$31,"")</f>
        <v/>
      </c>
      <c r="EQ32" s="1130">
        <f t="shared" si="87"/>
        <v>0</v>
      </c>
      <c r="ER32" s="1091" t="str">
        <f t="shared" si="88"/>
        <v/>
      </c>
      <c r="ES32" s="1130">
        <f t="shared" si="89"/>
        <v>0</v>
      </c>
      <c r="ET32" s="1091" t="str">
        <f t="shared" si="90"/>
        <v/>
      </c>
      <c r="EU32" s="1088">
        <f t="shared" ref="EU32:EU39" si="506">SUMIF($C$13:$C$21,$C32,EU$13:EU$21)-SUMIF($C$23:$C$30,$C32,EU$23:EU$30)</f>
        <v>0</v>
      </c>
      <c r="EV32" s="1091" t="str">
        <f t="shared" ref="EV32:EV39" si="507">IFERROR(EU32/SUMIF($C$14:$C$21,$C32,EU$14:EU$21),"")</f>
        <v/>
      </c>
      <c r="EW32" s="1091" t="str">
        <f t="shared" ref="EW32:EW39" si="508">IFERROR(EU32/EU$31,"")</f>
        <v/>
      </c>
      <c r="EX32" s="1202">
        <f t="shared" ref="EX32:EX39" si="509">SUMIF($C$14:$C$21,$C32,EX$14:EX$21)-SUMIF($C$23:$C$30,$C32,EX$23:EX$30)</f>
        <v>0</v>
      </c>
      <c r="EY32" s="1091" t="str">
        <f t="shared" ref="EY32:EY39" si="510">IFERROR(EX32/SUMIF($C$14:$C$21,$C32,EX$14:EX$21),"")</f>
        <v/>
      </c>
      <c r="EZ32" s="1091" t="str">
        <f t="shared" ref="EZ32:EZ39" si="511">IFERROR(EX32/EX$31,"")</f>
        <v/>
      </c>
      <c r="FA32" s="1202">
        <f t="shared" ref="FA32:FA39" si="512">SUMIF($C$14:$C$21,$C32,FA$14:FA$21)-SUMIF($C$23:$C$30,$C32,FA$23:FA$30)</f>
        <v>0</v>
      </c>
      <c r="FB32" s="1091" t="str">
        <f t="shared" ref="FB32:FB39" si="513">IFERROR(FA32/SUMIF($C$14:$C$21,$C32,FA$14:FA$21),"")</f>
        <v/>
      </c>
      <c r="FC32" s="1091" t="str">
        <f t="shared" ref="FC32:FC39" si="514">IFERROR(FA32/FA$31,"")</f>
        <v/>
      </c>
      <c r="FD32" s="1130">
        <f t="shared" si="94"/>
        <v>0</v>
      </c>
      <c r="FE32" s="1091" t="str">
        <f t="shared" si="95"/>
        <v/>
      </c>
      <c r="FF32" s="1130">
        <f t="shared" si="96"/>
        <v>0</v>
      </c>
      <c r="FG32" s="1091" t="str">
        <f t="shared" si="97"/>
        <v/>
      </c>
      <c r="FH32" s="1088">
        <f t="shared" si="240"/>
        <v>0</v>
      </c>
      <c r="FI32" s="1091" t="str">
        <f t="shared" ref="FI32:FI39" si="515">IFERROR(FH32/SUMIF($C$14:$C$21,$C32,FH$14:FH$21),"")</f>
        <v/>
      </c>
      <c r="FJ32" s="1091" t="str">
        <f t="shared" ref="FJ32:FJ39" si="516">IFERROR(FH32/FH$31,"")</f>
        <v/>
      </c>
      <c r="FK32" s="1090">
        <f t="shared" si="243"/>
        <v>0</v>
      </c>
      <c r="FL32" s="1091" t="str">
        <f t="shared" ref="FL32:FL39" si="517">IFERROR(FK32/SUMIF($C$14:$C$21,$C32,FK$14:FK$21),"")</f>
        <v/>
      </c>
      <c r="FM32" s="1091" t="str">
        <f t="shared" ref="FM32:FM39" si="518">IFERROR(FK32/FK$31,"")</f>
        <v/>
      </c>
      <c r="FN32" s="1090">
        <f t="shared" si="246"/>
        <v>0</v>
      </c>
      <c r="FO32" s="1091" t="str">
        <f t="shared" ref="FO32:FO39" si="519">IFERROR(FN32/SUMIF($C$14:$C$21,$C32,FN$14:FN$21),"")</f>
        <v/>
      </c>
      <c r="FP32" s="1091" t="str">
        <f t="shared" ref="FP32:FP39" si="520">IFERROR(FN32/FN$31,"")</f>
        <v/>
      </c>
      <c r="FQ32" s="1130">
        <f t="shared" si="104"/>
        <v>0</v>
      </c>
      <c r="FR32" s="1091" t="str">
        <f t="shared" si="105"/>
        <v/>
      </c>
      <c r="FS32" s="1130">
        <f t="shared" si="106"/>
        <v>0</v>
      </c>
      <c r="FT32" s="1091" t="str">
        <f t="shared" si="107"/>
        <v/>
      </c>
      <c r="FU32" s="1088">
        <f t="shared" ref="FU32:FU39" si="521">SUMIF($C$13:$C$21,$C32,FU$13:FU$21)-SUMIF($C$23:$C$30,$C32,FU$23:FU$30)</f>
        <v>0</v>
      </c>
      <c r="FV32" s="1091" t="str">
        <f t="shared" ref="FV32:FV39" si="522">IFERROR(FU32/SUMIF($C$14:$C$21,$C32,FU$14:FU$21),"")</f>
        <v/>
      </c>
      <c r="FW32" s="1091" t="str">
        <f t="shared" ref="FW32:FW39" si="523">IFERROR(FU32/FU$31,"")</f>
        <v/>
      </c>
      <c r="FX32" s="1202">
        <f t="shared" ref="FX32:FX39" si="524">SUMIF($C$14:$C$21,$C32,FX$14:FX$21)-SUMIF($C$23:$C$30,$C32,FX$23:FX$30)</f>
        <v>0</v>
      </c>
      <c r="FY32" s="1091" t="str">
        <f t="shared" ref="FY32:FY39" si="525">IFERROR(FX32/SUMIF($C$14:$C$21,$C32,FX$14:FX$21),"")</f>
        <v/>
      </c>
      <c r="FZ32" s="1091" t="str">
        <f t="shared" ref="FZ32:FZ39" si="526">IFERROR(FX32/FX$31,"")</f>
        <v/>
      </c>
      <c r="GA32" s="1202">
        <f t="shared" ref="GA32:GA39" si="527">SUMIF($C$14:$C$21,$C32,GA$14:GA$21)-SUMIF($C$23:$C$30,$C32,GA$23:GA$30)</f>
        <v>0</v>
      </c>
      <c r="GB32" s="1091" t="str">
        <f t="shared" ref="GB32:GB39" si="528">IFERROR(GA32/SUMIF($C$14:$C$21,$C32,GA$14:GA$21),"")</f>
        <v/>
      </c>
      <c r="GC32" s="1091" t="str">
        <f t="shared" ref="GC32:GC39" si="529">IFERROR(GA32/GA$31,"")</f>
        <v/>
      </c>
      <c r="GD32" s="1130">
        <f t="shared" si="111"/>
        <v>0</v>
      </c>
      <c r="GE32" s="1091" t="str">
        <f t="shared" si="112"/>
        <v/>
      </c>
      <c r="GF32" s="1130">
        <f t="shared" si="113"/>
        <v>0</v>
      </c>
      <c r="GG32" s="1091" t="str">
        <f t="shared" si="114"/>
        <v/>
      </c>
      <c r="GH32" s="1088">
        <f t="shared" ref="GH32:GH39" si="530">SUMIF($C$13:$C$21,$C32,GH$13:GH$21)-SUMIF($C$23:$C$30,$C32,GH$23:GH$30)</f>
        <v>0</v>
      </c>
      <c r="GI32" s="1091" t="str">
        <f t="shared" ref="GI32:GI39" si="531">IFERROR(GH32/SUMIF($C$14:$C$21,$C32,GH$14:GH$21),"")</f>
        <v/>
      </c>
      <c r="GJ32" s="1091" t="str">
        <f t="shared" ref="GJ32:GJ39" si="532">IFERROR(GH32/GH$31,"")</f>
        <v/>
      </c>
      <c r="GK32" s="1202">
        <f t="shared" ref="GK32:GK39" si="533">SUMIF($C$14:$C$21,$C32,GK$14:GK$21)-SUMIF($C$23:$C$30,$C32,GK$23:GK$30)</f>
        <v>0</v>
      </c>
      <c r="GL32" s="1091" t="str">
        <f t="shared" ref="GL32:GL39" si="534">IFERROR(GK32/SUMIF($C$14:$C$21,$C32,GK$14:GK$21),"")</f>
        <v/>
      </c>
      <c r="GM32" s="1091" t="str">
        <f t="shared" ref="GM32:GM39" si="535">IFERROR(GK32/GK$31,"")</f>
        <v/>
      </c>
      <c r="GN32" s="1202">
        <f t="shared" ref="GN32:GN39" si="536">SUMIF($C$14:$C$21,$C32,GN$14:GN$21)-SUMIF($C$23:$C$30,$C32,GN$23:GN$30)</f>
        <v>0</v>
      </c>
      <c r="GO32" s="1091" t="str">
        <f t="shared" ref="GO32:GO39" si="537">IFERROR(GN32/SUMIF($C$14:$C$21,$C32,GN$14:GN$21),"")</f>
        <v/>
      </c>
      <c r="GP32" s="1091" t="str">
        <f t="shared" ref="GP32:GP39" si="538">IFERROR(GN32/GN$31,"")</f>
        <v/>
      </c>
      <c r="GQ32" s="1130">
        <f t="shared" si="118"/>
        <v>0</v>
      </c>
      <c r="GR32" s="1091" t="str">
        <f t="shared" si="119"/>
        <v/>
      </c>
      <c r="GS32" s="1130">
        <f t="shared" si="120"/>
        <v>0</v>
      </c>
      <c r="GT32" s="1091" t="str">
        <f t="shared" si="121"/>
        <v/>
      </c>
      <c r="GU32" s="1088">
        <f t="shared" ref="GU32:GU39" si="539">SUMIF($C$13:$C$21,$C32,GU$13:GU$21)-SUMIF($C$23:$C$30,$C32,GU$23:GU$30)</f>
        <v>0</v>
      </c>
      <c r="GV32" s="1091" t="str">
        <f t="shared" ref="GV32:GV39" si="540">IFERROR(GU32/SUMIF($C$14:$C$21,$C32,GU$14:GU$21),"")</f>
        <v/>
      </c>
      <c r="GW32" s="1091" t="str">
        <f t="shared" ref="GW32:GW39" si="541">IFERROR(GU32/GU$31,"")</f>
        <v/>
      </c>
      <c r="GX32" s="1202">
        <f t="shared" ref="GX32:GX39" si="542">SUMIF($C$14:$C$21,$C32,GX$14:GX$21)-SUMIF($C$23:$C$30,$C32,GX$23:GX$30)</f>
        <v>0</v>
      </c>
      <c r="GY32" s="1091" t="str">
        <f t="shared" ref="GY32:GY39" si="543">IFERROR(GX32/SUMIF($C$14:$C$21,$C32,GX$14:GX$21),"")</f>
        <v/>
      </c>
      <c r="GZ32" s="1091" t="str">
        <f t="shared" ref="GZ32:GZ39" si="544">IFERROR(GX32/GX$31,"")</f>
        <v/>
      </c>
      <c r="HA32" s="1202">
        <f t="shared" ref="HA32:HA39" si="545">SUMIF($C$14:$C$21,$C32,HA$14:HA$21)-SUMIF($C$23:$C$30,$C32,HA$23:HA$30)</f>
        <v>0</v>
      </c>
      <c r="HB32" s="1091" t="str">
        <f t="shared" ref="HB32:HB39" si="546">IFERROR(HA32/SUMIF($C$14:$C$21,$C32,HA$14:HA$21),"")</f>
        <v/>
      </c>
      <c r="HC32" s="1091" t="str">
        <f t="shared" ref="HC32:HC39" si="547">IFERROR(HA32/HA$31,"")</f>
        <v/>
      </c>
      <c r="HD32" s="1130">
        <f t="shared" si="125"/>
        <v>0</v>
      </c>
      <c r="HE32" s="1091" t="str">
        <f t="shared" si="126"/>
        <v/>
      </c>
      <c r="HF32" s="1130">
        <f t="shared" si="127"/>
        <v>0</v>
      </c>
      <c r="HG32" s="1091" t="str">
        <f t="shared" si="128"/>
        <v/>
      </c>
      <c r="HH32" s="1088">
        <f t="shared" si="267"/>
        <v>0</v>
      </c>
      <c r="HI32" s="1091" t="str">
        <f t="shared" ref="HI32:HI39" si="548">IFERROR(HH32/SUMIF($C$14:$C$21,$C32,HH$14:HH$21),"")</f>
        <v/>
      </c>
      <c r="HJ32" s="1091" t="str">
        <f t="shared" ref="HJ32:HJ39" si="549">IFERROR(HH32/HH$31,"")</f>
        <v/>
      </c>
      <c r="HK32" s="1090">
        <f t="shared" si="270"/>
        <v>0</v>
      </c>
      <c r="HL32" s="1091" t="str">
        <f t="shared" ref="HL32:HL39" si="550">IFERROR(HK32/SUMIF($C$14:$C$21,$C32,HK$14:HK$21),"")</f>
        <v/>
      </c>
      <c r="HM32" s="1091" t="str">
        <f t="shared" ref="HM32:HM39" si="551">IFERROR(HK32/HK$31,"")</f>
        <v/>
      </c>
      <c r="HN32" s="1090">
        <f t="shared" si="273"/>
        <v>0</v>
      </c>
      <c r="HO32" s="1091" t="str">
        <f t="shared" ref="HO32:HO39" si="552">IFERROR(HN32/SUMIF($C$14:$C$21,$C32,HN$14:HN$21),"")</f>
        <v/>
      </c>
      <c r="HP32" s="1091" t="str">
        <f t="shared" ref="HP32:HP39" si="553">IFERROR(HN32/HN$31,"")</f>
        <v/>
      </c>
      <c r="HQ32" s="1130">
        <f t="shared" si="135"/>
        <v>0</v>
      </c>
      <c r="HR32" s="1091" t="str">
        <f t="shared" si="136"/>
        <v/>
      </c>
      <c r="HS32" s="1130">
        <f t="shared" si="137"/>
        <v>0</v>
      </c>
      <c r="HT32" s="1091" t="str">
        <f t="shared" si="138"/>
        <v/>
      </c>
      <c r="HU32" s="1088">
        <f t="shared" si="276"/>
        <v>0</v>
      </c>
      <c r="HV32" s="1091" t="str">
        <f t="shared" ref="HV32:HV39" si="554">IFERROR(HU32/SUMIF($C$14:$C$21,$C32,HU$14:HU$21),"")</f>
        <v/>
      </c>
      <c r="HW32" s="1091" t="str">
        <f t="shared" ref="HW32:HW39" si="555">IFERROR(HU32/HU$31,"")</f>
        <v/>
      </c>
      <c r="HX32" s="1090">
        <f t="shared" si="279"/>
        <v>0</v>
      </c>
      <c r="HY32" s="1091" t="str">
        <f t="shared" ref="HY32:HY39" si="556">IFERROR(HX32/SUMIF($C$14:$C$21,$C32,HX$14:HX$21),"")</f>
        <v/>
      </c>
      <c r="HZ32" s="1091" t="str">
        <f t="shared" ref="HZ32:HZ39" si="557">IFERROR(HX32/HX$31,"")</f>
        <v/>
      </c>
      <c r="IA32" s="1090">
        <f t="shared" si="282"/>
        <v>0</v>
      </c>
      <c r="IB32" s="1091" t="str">
        <f t="shared" ref="IB32:IB39" si="558">IFERROR(IA32/SUMIF($C$14:$C$21,$C32,IA$14:IA$21),"")</f>
        <v/>
      </c>
      <c r="IC32" s="1091" t="str">
        <f t="shared" ref="IC32:IC39" si="559">IFERROR(IA32/IA$31,"")</f>
        <v/>
      </c>
      <c r="ID32" s="1130">
        <f t="shared" si="145"/>
        <v>0</v>
      </c>
      <c r="IE32" s="1091" t="str">
        <f t="shared" si="146"/>
        <v/>
      </c>
      <c r="IF32" s="1130">
        <f t="shared" si="147"/>
        <v>0</v>
      </c>
      <c r="IG32" s="1091" t="str">
        <f t="shared" si="148"/>
        <v/>
      </c>
      <c r="IH32" s="1088">
        <f t="shared" si="285"/>
        <v>0</v>
      </c>
      <c r="II32" s="1091" t="str">
        <f t="shared" ref="II32:II39" si="560">IFERROR(IH32/SUMIF($C$14:$C$21,$C32,IH$14:IH$21),"")</f>
        <v/>
      </c>
      <c r="IJ32" s="1091" t="str">
        <f t="shared" ref="IJ32:IJ39" si="561">IFERROR(IH32/IH$31,"")</f>
        <v/>
      </c>
      <c r="IK32" s="1090">
        <f t="shared" si="288"/>
        <v>0</v>
      </c>
      <c r="IL32" s="1091" t="str">
        <f t="shared" ref="IL32:IL39" si="562">IFERROR(IK32/SUMIF($C$14:$C$21,$C32,IK$14:IK$21),"")</f>
        <v/>
      </c>
      <c r="IM32" s="1091" t="str">
        <f t="shared" ref="IM32:IM39" si="563">IFERROR(IK32/IK$31,"")</f>
        <v/>
      </c>
      <c r="IN32" s="1090">
        <f t="shared" si="291"/>
        <v>180000</v>
      </c>
      <c r="IO32" s="1091">
        <f t="shared" ref="IO32:IO39" si="564">IFERROR(IN32/SUMIF($C$14:$C$21,$C32,IN$14:IN$21),"")</f>
        <v>1</v>
      </c>
      <c r="IP32" s="1091">
        <f t="shared" ref="IP32:IP39" si="565">IFERROR(IN32/IN$31,"")</f>
        <v>0.5294117647</v>
      </c>
      <c r="IQ32" s="1130">
        <f t="shared" si="155"/>
        <v>180000</v>
      </c>
      <c r="IR32" s="1091" t="str">
        <f t="shared" si="1"/>
        <v/>
      </c>
      <c r="IS32" s="1130">
        <f t="shared" si="156"/>
        <v>180000</v>
      </c>
      <c r="IT32" s="1091" t="str">
        <f t="shared" si="2"/>
        <v/>
      </c>
    </row>
    <row r="33" outlineLevel="1">
      <c r="A33" s="1086">
        <f t="shared" si="411"/>
        <v>2</v>
      </c>
      <c r="B33" s="1087"/>
      <c r="C33" s="656" t="s">
        <v>210</v>
      </c>
      <c r="D33" s="1087" t="str">
        <f t="shared" si="412"/>
        <v>NAM</v>
      </c>
      <c r="E33" s="1087"/>
      <c r="F33" s="1087"/>
      <c r="G33" s="1086">
        <v>2.0</v>
      </c>
      <c r="H33" s="1088">
        <f t="shared" si="413"/>
        <v>0</v>
      </c>
      <c r="I33" s="1091" t="str">
        <f t="shared" si="414"/>
        <v/>
      </c>
      <c r="J33" s="1091" t="str">
        <f t="shared" si="415"/>
        <v/>
      </c>
      <c r="K33" s="1090">
        <f t="shared" si="416"/>
        <v>0</v>
      </c>
      <c r="L33" s="1091" t="str">
        <f t="shared" si="417"/>
        <v/>
      </c>
      <c r="M33" s="1091" t="str">
        <f t="shared" si="418"/>
        <v/>
      </c>
      <c r="N33" s="1090">
        <f t="shared" si="419"/>
        <v>0</v>
      </c>
      <c r="O33" s="1091" t="str">
        <f t="shared" si="420"/>
        <v/>
      </c>
      <c r="P33" s="1091">
        <f t="shared" si="421"/>
        <v>0</v>
      </c>
      <c r="Q33" s="1130">
        <f t="shared" si="8"/>
        <v>0</v>
      </c>
      <c r="R33" s="1091" t="str">
        <f t="shared" si="9"/>
        <v/>
      </c>
      <c r="S33" s="1130">
        <f t="shared" si="10"/>
        <v>0</v>
      </c>
      <c r="T33" s="1091" t="str">
        <f t="shared" si="11"/>
        <v/>
      </c>
      <c r="U33" s="1088">
        <f t="shared" si="422"/>
        <v>0</v>
      </c>
      <c r="V33" s="1091" t="str">
        <f t="shared" si="423"/>
        <v/>
      </c>
      <c r="W33" s="1091" t="str">
        <f t="shared" si="424"/>
        <v/>
      </c>
      <c r="X33" s="1090">
        <f t="shared" si="425"/>
        <v>0</v>
      </c>
      <c r="Y33" s="1091" t="str">
        <f t="shared" si="426"/>
        <v/>
      </c>
      <c r="Z33" s="1091" t="str">
        <f t="shared" si="427"/>
        <v/>
      </c>
      <c r="AA33" s="1090">
        <f t="shared" si="428"/>
        <v>0</v>
      </c>
      <c r="AB33" s="1091" t="str">
        <f t="shared" si="429"/>
        <v/>
      </c>
      <c r="AC33" s="1091" t="str">
        <f t="shared" si="430"/>
        <v/>
      </c>
      <c r="AD33" s="1130">
        <f t="shared" si="15"/>
        <v>0</v>
      </c>
      <c r="AE33" s="1091" t="str">
        <f t="shared" si="16"/>
        <v/>
      </c>
      <c r="AF33" s="1130">
        <f t="shared" si="17"/>
        <v>0</v>
      </c>
      <c r="AG33" s="1091" t="str">
        <f t="shared" si="18"/>
        <v/>
      </c>
      <c r="AH33" s="1088">
        <f t="shared" si="431"/>
        <v>0</v>
      </c>
      <c r="AI33" s="1091" t="str">
        <f t="shared" si="432"/>
        <v/>
      </c>
      <c r="AJ33" s="1091" t="str">
        <f t="shared" si="433"/>
        <v/>
      </c>
      <c r="AK33" s="1090">
        <f t="shared" si="434"/>
        <v>0</v>
      </c>
      <c r="AL33" s="1091" t="str">
        <f t="shared" si="435"/>
        <v/>
      </c>
      <c r="AM33" s="1091" t="str">
        <f t="shared" si="436"/>
        <v/>
      </c>
      <c r="AN33" s="1090">
        <f t="shared" si="437"/>
        <v>0</v>
      </c>
      <c r="AO33" s="1091" t="str">
        <f t="shared" si="438"/>
        <v/>
      </c>
      <c r="AP33" s="1091" t="str">
        <f t="shared" si="439"/>
        <v/>
      </c>
      <c r="AQ33" s="1130">
        <f t="shared" si="22"/>
        <v>0</v>
      </c>
      <c r="AR33" s="1091" t="str">
        <f t="shared" si="23"/>
        <v/>
      </c>
      <c r="AS33" s="1130">
        <f t="shared" si="24"/>
        <v>0</v>
      </c>
      <c r="AT33" s="1091" t="str">
        <f t="shared" si="25"/>
        <v/>
      </c>
      <c r="AU33" s="1088">
        <f t="shared" si="177"/>
        <v>0</v>
      </c>
      <c r="AV33" s="1091" t="str">
        <f t="shared" si="440"/>
        <v/>
      </c>
      <c r="AW33" s="1091" t="str">
        <f t="shared" si="441"/>
        <v/>
      </c>
      <c r="AX33" s="1090">
        <f t="shared" si="180"/>
        <v>0</v>
      </c>
      <c r="AY33" s="1091" t="str">
        <f t="shared" si="442"/>
        <v/>
      </c>
      <c r="AZ33" s="1091" t="str">
        <f t="shared" si="443"/>
        <v/>
      </c>
      <c r="BA33" s="1090">
        <f t="shared" si="444"/>
        <v>0</v>
      </c>
      <c r="BB33" s="1091" t="str">
        <f t="shared" si="445"/>
        <v/>
      </c>
      <c r="BC33" s="1091">
        <f t="shared" si="446"/>
        <v>0</v>
      </c>
      <c r="BD33" s="1130">
        <f t="shared" si="32"/>
        <v>0</v>
      </c>
      <c r="BE33" s="1091" t="str">
        <f t="shared" si="33"/>
        <v/>
      </c>
      <c r="BF33" s="1130">
        <f t="shared" si="34"/>
        <v>0</v>
      </c>
      <c r="BG33" s="1091" t="str">
        <f t="shared" si="35"/>
        <v/>
      </c>
      <c r="BH33" s="1088">
        <f t="shared" si="447"/>
        <v>0</v>
      </c>
      <c r="BI33" s="1091" t="str">
        <f t="shared" si="448"/>
        <v/>
      </c>
      <c r="BJ33" s="1091" t="str">
        <f t="shared" si="449"/>
        <v/>
      </c>
      <c r="BK33" s="1090">
        <f t="shared" si="450"/>
        <v>0</v>
      </c>
      <c r="BL33" s="1091" t="str">
        <f t="shared" si="451"/>
        <v/>
      </c>
      <c r="BM33" s="1091" t="str">
        <f t="shared" si="452"/>
        <v/>
      </c>
      <c r="BN33" s="1090">
        <f t="shared" si="453"/>
        <v>0</v>
      </c>
      <c r="BO33" s="1091" t="str">
        <f t="shared" si="454"/>
        <v/>
      </c>
      <c r="BP33" s="1091" t="str">
        <f t="shared" si="455"/>
        <v/>
      </c>
      <c r="BQ33" s="1130">
        <f t="shared" si="39"/>
        <v>0</v>
      </c>
      <c r="BR33" s="1091" t="str">
        <f t="shared" si="40"/>
        <v/>
      </c>
      <c r="BS33" s="1130">
        <f t="shared" si="41"/>
        <v>0</v>
      </c>
      <c r="BT33" s="1091" t="str">
        <f t="shared" si="42"/>
        <v/>
      </c>
      <c r="BU33" s="1088">
        <f t="shared" si="456"/>
        <v>0</v>
      </c>
      <c r="BV33" s="1091" t="str">
        <f t="shared" si="457"/>
        <v/>
      </c>
      <c r="BW33" s="1091" t="str">
        <f t="shared" si="458"/>
        <v/>
      </c>
      <c r="BX33" s="1131">
        <f t="shared" si="459"/>
        <v>0</v>
      </c>
      <c r="BY33" s="1091" t="str">
        <f t="shared" si="460"/>
        <v/>
      </c>
      <c r="BZ33" s="1091" t="str">
        <f t="shared" si="461"/>
        <v/>
      </c>
      <c r="CA33" s="1131">
        <f t="shared" si="462"/>
        <v>0</v>
      </c>
      <c r="CB33" s="1091" t="str">
        <f t="shared" si="463"/>
        <v/>
      </c>
      <c r="CC33" s="1091" t="str">
        <f t="shared" si="464"/>
        <v/>
      </c>
      <c r="CD33" s="1130">
        <f t="shared" si="46"/>
        <v>0</v>
      </c>
      <c r="CE33" s="1091" t="str">
        <f t="shared" si="47"/>
        <v/>
      </c>
      <c r="CF33" s="1130">
        <f t="shared" si="48"/>
        <v>0</v>
      </c>
      <c r="CG33" s="1091" t="str">
        <f t="shared" si="49"/>
        <v/>
      </c>
      <c r="CH33" s="1088">
        <f t="shared" si="465"/>
        <v>0</v>
      </c>
      <c r="CI33" s="1091" t="str">
        <f t="shared" si="466"/>
        <v/>
      </c>
      <c r="CJ33" s="1091" t="str">
        <f t="shared" si="467"/>
        <v/>
      </c>
      <c r="CK33" s="1131">
        <f t="shared" si="468"/>
        <v>0</v>
      </c>
      <c r="CL33" s="1091" t="str">
        <f t="shared" si="469"/>
        <v/>
      </c>
      <c r="CM33" s="1091" t="str">
        <f t="shared" si="470"/>
        <v/>
      </c>
      <c r="CN33" s="1131">
        <f t="shared" si="471"/>
        <v>0</v>
      </c>
      <c r="CO33" s="1091" t="str">
        <f t="shared" si="472"/>
        <v/>
      </c>
      <c r="CP33" s="1091" t="str">
        <f t="shared" si="473"/>
        <v/>
      </c>
      <c r="CQ33" s="1130">
        <f t="shared" si="53"/>
        <v>0</v>
      </c>
      <c r="CR33" s="1091" t="str">
        <f t="shared" si="54"/>
        <v/>
      </c>
      <c r="CS33" s="1130">
        <f t="shared" si="55"/>
        <v>0</v>
      </c>
      <c r="CT33" s="1091" t="str">
        <f t="shared" si="56"/>
        <v/>
      </c>
      <c r="CU33" s="1088">
        <f t="shared" si="204"/>
        <v>0</v>
      </c>
      <c r="CV33" s="1091" t="str">
        <f t="shared" si="474"/>
        <v/>
      </c>
      <c r="CW33" s="1091" t="str">
        <f t="shared" si="475"/>
        <v/>
      </c>
      <c r="CX33" s="1131">
        <f t="shared" si="476"/>
        <v>0</v>
      </c>
      <c r="CY33" s="1091" t="str">
        <f t="shared" si="477"/>
        <v/>
      </c>
      <c r="CZ33" s="1091" t="str">
        <f t="shared" si="478"/>
        <v/>
      </c>
      <c r="DA33" s="1131">
        <f t="shared" si="479"/>
        <v>0</v>
      </c>
      <c r="DB33" s="1091" t="str">
        <f t="shared" si="480"/>
        <v/>
      </c>
      <c r="DC33" s="1091" t="str">
        <f t="shared" si="481"/>
        <v/>
      </c>
      <c r="DD33" s="1130">
        <f t="shared" si="63"/>
        <v>0</v>
      </c>
      <c r="DE33" s="1091" t="str">
        <f t="shared" si="64"/>
        <v/>
      </c>
      <c r="DF33" s="1130">
        <f t="shared" si="65"/>
        <v>0</v>
      </c>
      <c r="DG33" s="1091" t="str">
        <f t="shared" si="66"/>
        <v/>
      </c>
      <c r="DH33" s="1088">
        <f t="shared" si="213"/>
        <v>0</v>
      </c>
      <c r="DI33" s="1091" t="str">
        <f t="shared" si="482"/>
        <v/>
      </c>
      <c r="DJ33" s="1091" t="str">
        <f t="shared" si="483"/>
        <v/>
      </c>
      <c r="DK33" s="1090">
        <f t="shared" si="216"/>
        <v>0</v>
      </c>
      <c r="DL33" s="1091" t="str">
        <f t="shared" si="484"/>
        <v/>
      </c>
      <c r="DM33" s="1091" t="str">
        <f t="shared" si="485"/>
        <v/>
      </c>
      <c r="DN33" s="1090">
        <f t="shared" si="219"/>
        <v>0</v>
      </c>
      <c r="DO33" s="1091" t="str">
        <f t="shared" si="486"/>
        <v/>
      </c>
      <c r="DP33" s="1091">
        <f t="shared" si="487"/>
        <v>0</v>
      </c>
      <c r="DQ33" s="1130">
        <f t="shared" si="73"/>
        <v>0</v>
      </c>
      <c r="DR33" s="1091" t="str">
        <f t="shared" si="74"/>
        <v/>
      </c>
      <c r="DS33" s="1130">
        <f t="shared" si="75"/>
        <v>0</v>
      </c>
      <c r="DT33" s="1091" t="str">
        <f t="shared" si="76"/>
        <v/>
      </c>
      <c r="DU33" s="1088">
        <f t="shared" si="488"/>
        <v>0</v>
      </c>
      <c r="DV33" s="1091" t="str">
        <f t="shared" si="489"/>
        <v/>
      </c>
      <c r="DW33" s="1091" t="str">
        <f t="shared" si="490"/>
        <v/>
      </c>
      <c r="DX33" s="1131">
        <f t="shared" si="491"/>
        <v>0</v>
      </c>
      <c r="DY33" s="1091" t="str">
        <f t="shared" si="492"/>
        <v/>
      </c>
      <c r="DZ33" s="1091" t="str">
        <f t="shared" si="493"/>
        <v/>
      </c>
      <c r="EA33" s="1131">
        <f t="shared" si="494"/>
        <v>0</v>
      </c>
      <c r="EB33" s="1091" t="str">
        <f t="shared" si="495"/>
        <v/>
      </c>
      <c r="EC33" s="1091" t="str">
        <f t="shared" si="496"/>
        <v/>
      </c>
      <c r="ED33" s="1130">
        <f t="shared" si="80"/>
        <v>0</v>
      </c>
      <c r="EE33" s="1091" t="str">
        <f t="shared" si="81"/>
        <v/>
      </c>
      <c r="EF33" s="1130">
        <f t="shared" si="82"/>
        <v>0</v>
      </c>
      <c r="EG33" s="1091" t="str">
        <f t="shared" si="83"/>
        <v/>
      </c>
      <c r="EH33" s="1088">
        <f t="shared" si="497"/>
        <v>0</v>
      </c>
      <c r="EI33" s="1091" t="str">
        <f t="shared" si="498"/>
        <v/>
      </c>
      <c r="EJ33" s="1091" t="str">
        <f t="shared" si="499"/>
        <v/>
      </c>
      <c r="EK33" s="1131">
        <f t="shared" si="500"/>
        <v>0</v>
      </c>
      <c r="EL33" s="1091" t="str">
        <f t="shared" si="501"/>
        <v/>
      </c>
      <c r="EM33" s="1091" t="str">
        <f t="shared" si="502"/>
        <v/>
      </c>
      <c r="EN33" s="1131">
        <f t="shared" si="503"/>
        <v>0</v>
      </c>
      <c r="EO33" s="1091" t="str">
        <f t="shared" si="504"/>
        <v/>
      </c>
      <c r="EP33" s="1091" t="str">
        <f t="shared" si="505"/>
        <v/>
      </c>
      <c r="EQ33" s="1130">
        <f t="shared" si="87"/>
        <v>0</v>
      </c>
      <c r="ER33" s="1091" t="str">
        <f t="shared" si="88"/>
        <v/>
      </c>
      <c r="ES33" s="1130">
        <f t="shared" si="89"/>
        <v>0</v>
      </c>
      <c r="ET33" s="1091" t="str">
        <f t="shared" si="90"/>
        <v/>
      </c>
      <c r="EU33" s="1088">
        <f t="shared" si="506"/>
        <v>0</v>
      </c>
      <c r="EV33" s="1091" t="str">
        <f t="shared" si="507"/>
        <v/>
      </c>
      <c r="EW33" s="1091" t="str">
        <f t="shared" si="508"/>
        <v/>
      </c>
      <c r="EX33" s="1131">
        <f t="shared" si="509"/>
        <v>0</v>
      </c>
      <c r="EY33" s="1091" t="str">
        <f t="shared" si="510"/>
        <v/>
      </c>
      <c r="EZ33" s="1091" t="str">
        <f t="shared" si="511"/>
        <v/>
      </c>
      <c r="FA33" s="1131">
        <f t="shared" si="512"/>
        <v>0</v>
      </c>
      <c r="FB33" s="1091" t="str">
        <f t="shared" si="513"/>
        <v/>
      </c>
      <c r="FC33" s="1091" t="str">
        <f t="shared" si="514"/>
        <v/>
      </c>
      <c r="FD33" s="1130">
        <f t="shared" si="94"/>
        <v>0</v>
      </c>
      <c r="FE33" s="1091" t="str">
        <f t="shared" si="95"/>
        <v/>
      </c>
      <c r="FF33" s="1130">
        <f t="shared" si="96"/>
        <v>0</v>
      </c>
      <c r="FG33" s="1091" t="str">
        <f t="shared" si="97"/>
        <v/>
      </c>
      <c r="FH33" s="1088">
        <f t="shared" si="240"/>
        <v>0</v>
      </c>
      <c r="FI33" s="1091" t="str">
        <f t="shared" si="515"/>
        <v/>
      </c>
      <c r="FJ33" s="1091" t="str">
        <f t="shared" si="516"/>
        <v/>
      </c>
      <c r="FK33" s="1090">
        <f t="shared" si="243"/>
        <v>0</v>
      </c>
      <c r="FL33" s="1091" t="str">
        <f t="shared" si="517"/>
        <v/>
      </c>
      <c r="FM33" s="1091" t="str">
        <f t="shared" si="518"/>
        <v/>
      </c>
      <c r="FN33" s="1090">
        <f t="shared" si="246"/>
        <v>0</v>
      </c>
      <c r="FO33" s="1091" t="str">
        <f t="shared" si="519"/>
        <v/>
      </c>
      <c r="FP33" s="1091" t="str">
        <f t="shared" si="520"/>
        <v/>
      </c>
      <c r="FQ33" s="1130">
        <f t="shared" si="104"/>
        <v>0</v>
      </c>
      <c r="FR33" s="1091" t="str">
        <f t="shared" si="105"/>
        <v/>
      </c>
      <c r="FS33" s="1130">
        <f t="shared" si="106"/>
        <v>0</v>
      </c>
      <c r="FT33" s="1091" t="str">
        <f t="shared" si="107"/>
        <v/>
      </c>
      <c r="FU33" s="1088">
        <f t="shared" si="521"/>
        <v>0</v>
      </c>
      <c r="FV33" s="1091" t="str">
        <f t="shared" si="522"/>
        <v/>
      </c>
      <c r="FW33" s="1091" t="str">
        <f t="shared" si="523"/>
        <v/>
      </c>
      <c r="FX33" s="1131">
        <f t="shared" si="524"/>
        <v>0</v>
      </c>
      <c r="FY33" s="1091" t="str">
        <f t="shared" si="525"/>
        <v/>
      </c>
      <c r="FZ33" s="1091" t="str">
        <f t="shared" si="526"/>
        <v/>
      </c>
      <c r="GA33" s="1131">
        <f t="shared" si="527"/>
        <v>0</v>
      </c>
      <c r="GB33" s="1091" t="str">
        <f t="shared" si="528"/>
        <v/>
      </c>
      <c r="GC33" s="1091" t="str">
        <f t="shared" si="529"/>
        <v/>
      </c>
      <c r="GD33" s="1130">
        <f t="shared" si="111"/>
        <v>0</v>
      </c>
      <c r="GE33" s="1091" t="str">
        <f t="shared" si="112"/>
        <v/>
      </c>
      <c r="GF33" s="1130">
        <f t="shared" si="113"/>
        <v>0</v>
      </c>
      <c r="GG33" s="1091" t="str">
        <f t="shared" si="114"/>
        <v/>
      </c>
      <c r="GH33" s="1088">
        <f t="shared" si="530"/>
        <v>0</v>
      </c>
      <c r="GI33" s="1091" t="str">
        <f t="shared" si="531"/>
        <v/>
      </c>
      <c r="GJ33" s="1091" t="str">
        <f t="shared" si="532"/>
        <v/>
      </c>
      <c r="GK33" s="1131">
        <f t="shared" si="533"/>
        <v>0</v>
      </c>
      <c r="GL33" s="1091" t="str">
        <f t="shared" si="534"/>
        <v/>
      </c>
      <c r="GM33" s="1091" t="str">
        <f t="shared" si="535"/>
        <v/>
      </c>
      <c r="GN33" s="1131">
        <f t="shared" si="536"/>
        <v>0</v>
      </c>
      <c r="GO33" s="1091" t="str">
        <f t="shared" si="537"/>
        <v/>
      </c>
      <c r="GP33" s="1091" t="str">
        <f t="shared" si="538"/>
        <v/>
      </c>
      <c r="GQ33" s="1130">
        <f t="shared" si="118"/>
        <v>0</v>
      </c>
      <c r="GR33" s="1091" t="str">
        <f t="shared" si="119"/>
        <v/>
      </c>
      <c r="GS33" s="1130">
        <f t="shared" si="120"/>
        <v>0</v>
      </c>
      <c r="GT33" s="1091" t="str">
        <f t="shared" si="121"/>
        <v/>
      </c>
      <c r="GU33" s="1088">
        <f t="shared" si="539"/>
        <v>0</v>
      </c>
      <c r="GV33" s="1091" t="str">
        <f t="shared" si="540"/>
        <v/>
      </c>
      <c r="GW33" s="1091" t="str">
        <f t="shared" si="541"/>
        <v/>
      </c>
      <c r="GX33" s="1131">
        <f t="shared" si="542"/>
        <v>0</v>
      </c>
      <c r="GY33" s="1091" t="str">
        <f t="shared" si="543"/>
        <v/>
      </c>
      <c r="GZ33" s="1091" t="str">
        <f t="shared" si="544"/>
        <v/>
      </c>
      <c r="HA33" s="1131">
        <f t="shared" si="545"/>
        <v>0</v>
      </c>
      <c r="HB33" s="1091" t="str">
        <f t="shared" si="546"/>
        <v/>
      </c>
      <c r="HC33" s="1091" t="str">
        <f t="shared" si="547"/>
        <v/>
      </c>
      <c r="HD33" s="1130">
        <f t="shared" si="125"/>
        <v>0</v>
      </c>
      <c r="HE33" s="1091" t="str">
        <f t="shared" si="126"/>
        <v/>
      </c>
      <c r="HF33" s="1130">
        <f t="shared" si="127"/>
        <v>0</v>
      </c>
      <c r="HG33" s="1091" t="str">
        <f t="shared" si="128"/>
        <v/>
      </c>
      <c r="HH33" s="1088">
        <f t="shared" si="267"/>
        <v>0</v>
      </c>
      <c r="HI33" s="1091" t="str">
        <f t="shared" si="548"/>
        <v/>
      </c>
      <c r="HJ33" s="1091" t="str">
        <f t="shared" si="549"/>
        <v/>
      </c>
      <c r="HK33" s="1090">
        <f t="shared" si="270"/>
        <v>0</v>
      </c>
      <c r="HL33" s="1091" t="str">
        <f t="shared" si="550"/>
        <v/>
      </c>
      <c r="HM33" s="1091" t="str">
        <f t="shared" si="551"/>
        <v/>
      </c>
      <c r="HN33" s="1090">
        <f t="shared" si="273"/>
        <v>0</v>
      </c>
      <c r="HO33" s="1091" t="str">
        <f t="shared" si="552"/>
        <v/>
      </c>
      <c r="HP33" s="1091" t="str">
        <f t="shared" si="553"/>
        <v/>
      </c>
      <c r="HQ33" s="1130">
        <f t="shared" si="135"/>
        <v>0</v>
      </c>
      <c r="HR33" s="1091" t="str">
        <f t="shared" si="136"/>
        <v/>
      </c>
      <c r="HS33" s="1130">
        <f t="shared" si="137"/>
        <v>0</v>
      </c>
      <c r="HT33" s="1091" t="str">
        <f t="shared" si="138"/>
        <v/>
      </c>
      <c r="HU33" s="1088">
        <f t="shared" si="276"/>
        <v>0</v>
      </c>
      <c r="HV33" s="1091" t="str">
        <f t="shared" si="554"/>
        <v/>
      </c>
      <c r="HW33" s="1091" t="str">
        <f t="shared" si="555"/>
        <v/>
      </c>
      <c r="HX33" s="1090">
        <f t="shared" si="279"/>
        <v>0</v>
      </c>
      <c r="HY33" s="1091" t="str">
        <f t="shared" si="556"/>
        <v/>
      </c>
      <c r="HZ33" s="1091" t="str">
        <f t="shared" si="557"/>
        <v/>
      </c>
      <c r="IA33" s="1090">
        <f t="shared" si="282"/>
        <v>0</v>
      </c>
      <c r="IB33" s="1091" t="str">
        <f t="shared" si="558"/>
        <v/>
      </c>
      <c r="IC33" s="1091" t="str">
        <f t="shared" si="559"/>
        <v/>
      </c>
      <c r="ID33" s="1130">
        <f t="shared" si="145"/>
        <v>0</v>
      </c>
      <c r="IE33" s="1091" t="str">
        <f t="shared" si="146"/>
        <v/>
      </c>
      <c r="IF33" s="1130">
        <f t="shared" si="147"/>
        <v>0</v>
      </c>
      <c r="IG33" s="1091" t="str">
        <f t="shared" si="148"/>
        <v/>
      </c>
      <c r="IH33" s="1088">
        <f t="shared" si="285"/>
        <v>0</v>
      </c>
      <c r="II33" s="1091" t="str">
        <f t="shared" si="560"/>
        <v/>
      </c>
      <c r="IJ33" s="1091" t="str">
        <f t="shared" si="561"/>
        <v/>
      </c>
      <c r="IK33" s="1090">
        <f t="shared" si="288"/>
        <v>0</v>
      </c>
      <c r="IL33" s="1091" t="str">
        <f t="shared" si="562"/>
        <v/>
      </c>
      <c r="IM33" s="1091" t="str">
        <f t="shared" si="563"/>
        <v/>
      </c>
      <c r="IN33" s="1090">
        <f t="shared" si="291"/>
        <v>0</v>
      </c>
      <c r="IO33" s="1091" t="str">
        <f t="shared" si="564"/>
        <v/>
      </c>
      <c r="IP33" s="1091">
        <f t="shared" si="565"/>
        <v>0</v>
      </c>
      <c r="IQ33" s="1130">
        <f t="shared" si="155"/>
        <v>0</v>
      </c>
      <c r="IR33" s="1091" t="str">
        <f t="shared" si="1"/>
        <v/>
      </c>
      <c r="IS33" s="1130">
        <f t="shared" si="156"/>
        <v>0</v>
      </c>
      <c r="IT33" s="1091" t="str">
        <f t="shared" si="2"/>
        <v/>
      </c>
    </row>
    <row r="34" outlineLevel="1">
      <c r="A34" s="1086">
        <f t="shared" si="411"/>
        <v>3</v>
      </c>
      <c r="B34" s="1087"/>
      <c r="C34" s="656" t="s">
        <v>183</v>
      </c>
      <c r="D34" s="1087" t="str">
        <f t="shared" si="412"/>
        <v>VY</v>
      </c>
      <c r="E34" s="1087"/>
      <c r="F34" s="1087"/>
      <c r="G34" s="1086">
        <v>2.0</v>
      </c>
      <c r="H34" s="1088">
        <f t="shared" si="413"/>
        <v>0</v>
      </c>
      <c r="I34" s="1091" t="str">
        <f t="shared" si="414"/>
        <v/>
      </c>
      <c r="J34" s="1091" t="str">
        <f t="shared" si="415"/>
        <v/>
      </c>
      <c r="K34" s="1090">
        <f t="shared" si="416"/>
        <v>0</v>
      </c>
      <c r="L34" s="1091" t="str">
        <f t="shared" si="417"/>
        <v/>
      </c>
      <c r="M34" s="1091" t="str">
        <f t="shared" si="418"/>
        <v/>
      </c>
      <c r="N34" s="1090">
        <f t="shared" si="419"/>
        <v>160000</v>
      </c>
      <c r="O34" s="1091">
        <f t="shared" si="420"/>
        <v>1</v>
      </c>
      <c r="P34" s="1091">
        <f t="shared" si="421"/>
        <v>0.4705882353</v>
      </c>
      <c r="Q34" s="1130">
        <f t="shared" si="8"/>
        <v>160000</v>
      </c>
      <c r="R34" s="1091" t="str">
        <f t="shared" si="9"/>
        <v/>
      </c>
      <c r="S34" s="1130">
        <f t="shared" si="10"/>
        <v>160000</v>
      </c>
      <c r="T34" s="1091" t="str">
        <f t="shared" si="11"/>
        <v/>
      </c>
      <c r="U34" s="1088">
        <f t="shared" si="422"/>
        <v>0</v>
      </c>
      <c r="V34" s="1091" t="str">
        <f t="shared" si="423"/>
        <v/>
      </c>
      <c r="W34" s="1091" t="str">
        <f t="shared" si="424"/>
        <v/>
      </c>
      <c r="X34" s="1090">
        <f t="shared" si="425"/>
        <v>0</v>
      </c>
      <c r="Y34" s="1091" t="str">
        <f t="shared" si="426"/>
        <v/>
      </c>
      <c r="Z34" s="1091" t="str">
        <f t="shared" si="427"/>
        <v/>
      </c>
      <c r="AA34" s="1090">
        <f t="shared" si="428"/>
        <v>0</v>
      </c>
      <c r="AB34" s="1091" t="str">
        <f t="shared" si="429"/>
        <v/>
      </c>
      <c r="AC34" s="1091" t="str">
        <f t="shared" si="430"/>
        <v/>
      </c>
      <c r="AD34" s="1130">
        <f t="shared" si="15"/>
        <v>0</v>
      </c>
      <c r="AE34" s="1091" t="str">
        <f t="shared" si="16"/>
        <v/>
      </c>
      <c r="AF34" s="1130">
        <f t="shared" si="17"/>
        <v>0</v>
      </c>
      <c r="AG34" s="1091" t="str">
        <f t="shared" si="18"/>
        <v/>
      </c>
      <c r="AH34" s="1088">
        <f t="shared" si="431"/>
        <v>0</v>
      </c>
      <c r="AI34" s="1091" t="str">
        <f t="shared" si="432"/>
        <v/>
      </c>
      <c r="AJ34" s="1091" t="str">
        <f t="shared" si="433"/>
        <v/>
      </c>
      <c r="AK34" s="1090">
        <f t="shared" si="434"/>
        <v>0</v>
      </c>
      <c r="AL34" s="1091" t="str">
        <f t="shared" si="435"/>
        <v/>
      </c>
      <c r="AM34" s="1091" t="str">
        <f t="shared" si="436"/>
        <v/>
      </c>
      <c r="AN34" s="1090">
        <f t="shared" si="437"/>
        <v>0</v>
      </c>
      <c r="AO34" s="1091" t="str">
        <f t="shared" si="438"/>
        <v/>
      </c>
      <c r="AP34" s="1091" t="str">
        <f t="shared" si="439"/>
        <v/>
      </c>
      <c r="AQ34" s="1130">
        <f t="shared" si="22"/>
        <v>0</v>
      </c>
      <c r="AR34" s="1091" t="str">
        <f t="shared" si="23"/>
        <v/>
      </c>
      <c r="AS34" s="1130">
        <f t="shared" si="24"/>
        <v>0</v>
      </c>
      <c r="AT34" s="1091" t="str">
        <f t="shared" si="25"/>
        <v/>
      </c>
      <c r="AU34" s="1088">
        <f t="shared" si="177"/>
        <v>0</v>
      </c>
      <c r="AV34" s="1091" t="str">
        <f t="shared" si="440"/>
        <v/>
      </c>
      <c r="AW34" s="1091" t="str">
        <f t="shared" si="441"/>
        <v/>
      </c>
      <c r="AX34" s="1090">
        <f t="shared" si="180"/>
        <v>0</v>
      </c>
      <c r="AY34" s="1091" t="str">
        <f t="shared" si="442"/>
        <v/>
      </c>
      <c r="AZ34" s="1091" t="str">
        <f t="shared" si="443"/>
        <v/>
      </c>
      <c r="BA34" s="1090">
        <f t="shared" si="444"/>
        <v>160000</v>
      </c>
      <c r="BB34" s="1091">
        <f t="shared" si="445"/>
        <v>1</v>
      </c>
      <c r="BC34" s="1091">
        <f t="shared" si="446"/>
        <v>0.4705882353</v>
      </c>
      <c r="BD34" s="1130">
        <f t="shared" si="32"/>
        <v>160000</v>
      </c>
      <c r="BE34" s="1091" t="str">
        <f t="shared" si="33"/>
        <v/>
      </c>
      <c r="BF34" s="1130">
        <f t="shared" si="34"/>
        <v>160000</v>
      </c>
      <c r="BG34" s="1091" t="str">
        <f t="shared" si="35"/>
        <v/>
      </c>
      <c r="BH34" s="1088">
        <f t="shared" si="447"/>
        <v>0</v>
      </c>
      <c r="BI34" s="1091" t="str">
        <f t="shared" si="448"/>
        <v/>
      </c>
      <c r="BJ34" s="1091" t="str">
        <f t="shared" si="449"/>
        <v/>
      </c>
      <c r="BK34" s="1090">
        <f t="shared" si="450"/>
        <v>0</v>
      </c>
      <c r="BL34" s="1091" t="str">
        <f t="shared" si="451"/>
        <v/>
      </c>
      <c r="BM34" s="1091" t="str">
        <f t="shared" si="452"/>
        <v/>
      </c>
      <c r="BN34" s="1090">
        <f t="shared" si="453"/>
        <v>0</v>
      </c>
      <c r="BO34" s="1091" t="str">
        <f t="shared" si="454"/>
        <v/>
      </c>
      <c r="BP34" s="1091" t="str">
        <f t="shared" si="455"/>
        <v/>
      </c>
      <c r="BQ34" s="1130">
        <f t="shared" si="39"/>
        <v>0</v>
      </c>
      <c r="BR34" s="1091" t="str">
        <f t="shared" si="40"/>
        <v/>
      </c>
      <c r="BS34" s="1130">
        <f t="shared" si="41"/>
        <v>0</v>
      </c>
      <c r="BT34" s="1091" t="str">
        <f t="shared" si="42"/>
        <v/>
      </c>
      <c r="BU34" s="1088">
        <f t="shared" si="456"/>
        <v>0</v>
      </c>
      <c r="BV34" s="1091" t="str">
        <f t="shared" si="457"/>
        <v/>
      </c>
      <c r="BW34" s="1091" t="str">
        <f t="shared" si="458"/>
        <v/>
      </c>
      <c r="BX34" s="1131">
        <f t="shared" si="459"/>
        <v>0</v>
      </c>
      <c r="BY34" s="1091" t="str">
        <f t="shared" si="460"/>
        <v/>
      </c>
      <c r="BZ34" s="1091" t="str">
        <f t="shared" si="461"/>
        <v/>
      </c>
      <c r="CA34" s="1131">
        <f t="shared" si="462"/>
        <v>0</v>
      </c>
      <c r="CB34" s="1091" t="str">
        <f t="shared" si="463"/>
        <v/>
      </c>
      <c r="CC34" s="1091" t="str">
        <f t="shared" si="464"/>
        <v/>
      </c>
      <c r="CD34" s="1130">
        <f t="shared" si="46"/>
        <v>0</v>
      </c>
      <c r="CE34" s="1091" t="str">
        <f t="shared" si="47"/>
        <v/>
      </c>
      <c r="CF34" s="1130">
        <f t="shared" si="48"/>
        <v>0</v>
      </c>
      <c r="CG34" s="1091" t="str">
        <f t="shared" si="49"/>
        <v/>
      </c>
      <c r="CH34" s="1088">
        <f t="shared" si="465"/>
        <v>0</v>
      </c>
      <c r="CI34" s="1091" t="str">
        <f t="shared" si="466"/>
        <v/>
      </c>
      <c r="CJ34" s="1091" t="str">
        <f t="shared" si="467"/>
        <v/>
      </c>
      <c r="CK34" s="1131">
        <f t="shared" si="468"/>
        <v>0</v>
      </c>
      <c r="CL34" s="1091" t="str">
        <f t="shared" si="469"/>
        <v/>
      </c>
      <c r="CM34" s="1091" t="str">
        <f t="shared" si="470"/>
        <v/>
      </c>
      <c r="CN34" s="1131">
        <f t="shared" si="471"/>
        <v>0</v>
      </c>
      <c r="CO34" s="1091" t="str">
        <f t="shared" si="472"/>
        <v/>
      </c>
      <c r="CP34" s="1091" t="str">
        <f t="shared" si="473"/>
        <v/>
      </c>
      <c r="CQ34" s="1130">
        <f t="shared" si="53"/>
        <v>0</v>
      </c>
      <c r="CR34" s="1091" t="str">
        <f t="shared" si="54"/>
        <v/>
      </c>
      <c r="CS34" s="1130">
        <f t="shared" si="55"/>
        <v>0</v>
      </c>
      <c r="CT34" s="1091" t="str">
        <f t="shared" si="56"/>
        <v/>
      </c>
      <c r="CU34" s="1088">
        <f t="shared" si="204"/>
        <v>0</v>
      </c>
      <c r="CV34" s="1091" t="str">
        <f t="shared" si="474"/>
        <v/>
      </c>
      <c r="CW34" s="1091" t="str">
        <f t="shared" si="475"/>
        <v/>
      </c>
      <c r="CX34" s="1131">
        <f t="shared" si="476"/>
        <v>0</v>
      </c>
      <c r="CY34" s="1091" t="str">
        <f t="shared" si="477"/>
        <v/>
      </c>
      <c r="CZ34" s="1091" t="str">
        <f t="shared" si="478"/>
        <v/>
      </c>
      <c r="DA34" s="1131">
        <f t="shared" si="479"/>
        <v>0</v>
      </c>
      <c r="DB34" s="1091" t="str">
        <f t="shared" si="480"/>
        <v/>
      </c>
      <c r="DC34" s="1091" t="str">
        <f t="shared" si="481"/>
        <v/>
      </c>
      <c r="DD34" s="1130">
        <f t="shared" si="63"/>
        <v>0</v>
      </c>
      <c r="DE34" s="1091" t="str">
        <f t="shared" si="64"/>
        <v/>
      </c>
      <c r="DF34" s="1130">
        <f t="shared" si="65"/>
        <v>0</v>
      </c>
      <c r="DG34" s="1091" t="str">
        <f t="shared" si="66"/>
        <v/>
      </c>
      <c r="DH34" s="1088">
        <f t="shared" si="213"/>
        <v>0</v>
      </c>
      <c r="DI34" s="1091" t="str">
        <f t="shared" si="482"/>
        <v/>
      </c>
      <c r="DJ34" s="1091" t="str">
        <f t="shared" si="483"/>
        <v/>
      </c>
      <c r="DK34" s="1090">
        <f t="shared" si="216"/>
        <v>0</v>
      </c>
      <c r="DL34" s="1091" t="str">
        <f t="shared" si="484"/>
        <v/>
      </c>
      <c r="DM34" s="1091" t="str">
        <f t="shared" si="485"/>
        <v/>
      </c>
      <c r="DN34" s="1090">
        <f t="shared" si="219"/>
        <v>160000</v>
      </c>
      <c r="DO34" s="1091">
        <f t="shared" si="486"/>
        <v>1</v>
      </c>
      <c r="DP34" s="1091">
        <f t="shared" si="487"/>
        <v>0.4705882353</v>
      </c>
      <c r="DQ34" s="1130">
        <f t="shared" si="73"/>
        <v>160000</v>
      </c>
      <c r="DR34" s="1091" t="str">
        <f t="shared" si="74"/>
        <v/>
      </c>
      <c r="DS34" s="1130">
        <f t="shared" si="75"/>
        <v>160000</v>
      </c>
      <c r="DT34" s="1091" t="str">
        <f t="shared" si="76"/>
        <v/>
      </c>
      <c r="DU34" s="1088">
        <f t="shared" si="488"/>
        <v>0</v>
      </c>
      <c r="DV34" s="1091" t="str">
        <f t="shared" si="489"/>
        <v/>
      </c>
      <c r="DW34" s="1091" t="str">
        <f t="shared" si="490"/>
        <v/>
      </c>
      <c r="DX34" s="1131">
        <f t="shared" si="491"/>
        <v>0</v>
      </c>
      <c r="DY34" s="1091" t="str">
        <f t="shared" si="492"/>
        <v/>
      </c>
      <c r="DZ34" s="1091" t="str">
        <f t="shared" si="493"/>
        <v/>
      </c>
      <c r="EA34" s="1131">
        <f t="shared" si="494"/>
        <v>0</v>
      </c>
      <c r="EB34" s="1091" t="str">
        <f t="shared" si="495"/>
        <v/>
      </c>
      <c r="EC34" s="1091" t="str">
        <f t="shared" si="496"/>
        <v/>
      </c>
      <c r="ED34" s="1130">
        <f t="shared" si="80"/>
        <v>0</v>
      </c>
      <c r="EE34" s="1091" t="str">
        <f t="shared" si="81"/>
        <v/>
      </c>
      <c r="EF34" s="1130">
        <f t="shared" si="82"/>
        <v>0</v>
      </c>
      <c r="EG34" s="1091" t="str">
        <f t="shared" si="83"/>
        <v/>
      </c>
      <c r="EH34" s="1088">
        <f t="shared" si="497"/>
        <v>0</v>
      </c>
      <c r="EI34" s="1091" t="str">
        <f t="shared" si="498"/>
        <v/>
      </c>
      <c r="EJ34" s="1091" t="str">
        <f t="shared" si="499"/>
        <v/>
      </c>
      <c r="EK34" s="1131">
        <f t="shared" si="500"/>
        <v>0</v>
      </c>
      <c r="EL34" s="1091" t="str">
        <f t="shared" si="501"/>
        <v/>
      </c>
      <c r="EM34" s="1091" t="str">
        <f t="shared" si="502"/>
        <v/>
      </c>
      <c r="EN34" s="1131">
        <f t="shared" si="503"/>
        <v>0</v>
      </c>
      <c r="EO34" s="1091" t="str">
        <f t="shared" si="504"/>
        <v/>
      </c>
      <c r="EP34" s="1091" t="str">
        <f t="shared" si="505"/>
        <v/>
      </c>
      <c r="EQ34" s="1130">
        <f t="shared" si="87"/>
        <v>0</v>
      </c>
      <c r="ER34" s="1091" t="str">
        <f t="shared" si="88"/>
        <v/>
      </c>
      <c r="ES34" s="1130">
        <f t="shared" si="89"/>
        <v>0</v>
      </c>
      <c r="ET34" s="1091" t="str">
        <f t="shared" si="90"/>
        <v/>
      </c>
      <c r="EU34" s="1088">
        <f t="shared" si="506"/>
        <v>0</v>
      </c>
      <c r="EV34" s="1091" t="str">
        <f t="shared" si="507"/>
        <v/>
      </c>
      <c r="EW34" s="1091" t="str">
        <f t="shared" si="508"/>
        <v/>
      </c>
      <c r="EX34" s="1131">
        <f t="shared" si="509"/>
        <v>0</v>
      </c>
      <c r="EY34" s="1091" t="str">
        <f t="shared" si="510"/>
        <v/>
      </c>
      <c r="EZ34" s="1091" t="str">
        <f t="shared" si="511"/>
        <v/>
      </c>
      <c r="FA34" s="1131">
        <f t="shared" si="512"/>
        <v>0</v>
      </c>
      <c r="FB34" s="1091" t="str">
        <f t="shared" si="513"/>
        <v/>
      </c>
      <c r="FC34" s="1091" t="str">
        <f t="shared" si="514"/>
        <v/>
      </c>
      <c r="FD34" s="1130">
        <f t="shared" si="94"/>
        <v>0</v>
      </c>
      <c r="FE34" s="1091" t="str">
        <f t="shared" si="95"/>
        <v/>
      </c>
      <c r="FF34" s="1130">
        <f t="shared" si="96"/>
        <v>0</v>
      </c>
      <c r="FG34" s="1091" t="str">
        <f t="shared" si="97"/>
        <v/>
      </c>
      <c r="FH34" s="1088">
        <f t="shared" si="240"/>
        <v>0</v>
      </c>
      <c r="FI34" s="1091" t="str">
        <f t="shared" si="515"/>
        <v/>
      </c>
      <c r="FJ34" s="1091" t="str">
        <f t="shared" si="516"/>
        <v/>
      </c>
      <c r="FK34" s="1090">
        <f t="shared" si="243"/>
        <v>0</v>
      </c>
      <c r="FL34" s="1091" t="str">
        <f t="shared" si="517"/>
        <v/>
      </c>
      <c r="FM34" s="1091" t="str">
        <f t="shared" si="518"/>
        <v/>
      </c>
      <c r="FN34" s="1090">
        <f t="shared" si="246"/>
        <v>0</v>
      </c>
      <c r="FO34" s="1091" t="str">
        <f t="shared" si="519"/>
        <v/>
      </c>
      <c r="FP34" s="1091" t="str">
        <f t="shared" si="520"/>
        <v/>
      </c>
      <c r="FQ34" s="1130">
        <f t="shared" si="104"/>
        <v>0</v>
      </c>
      <c r="FR34" s="1091" t="str">
        <f t="shared" si="105"/>
        <v/>
      </c>
      <c r="FS34" s="1130">
        <f t="shared" si="106"/>
        <v>0</v>
      </c>
      <c r="FT34" s="1091" t="str">
        <f t="shared" si="107"/>
        <v/>
      </c>
      <c r="FU34" s="1088">
        <f t="shared" si="521"/>
        <v>0</v>
      </c>
      <c r="FV34" s="1091" t="str">
        <f t="shared" si="522"/>
        <v/>
      </c>
      <c r="FW34" s="1091" t="str">
        <f t="shared" si="523"/>
        <v/>
      </c>
      <c r="FX34" s="1131">
        <f t="shared" si="524"/>
        <v>0</v>
      </c>
      <c r="FY34" s="1091" t="str">
        <f t="shared" si="525"/>
        <v/>
      </c>
      <c r="FZ34" s="1091" t="str">
        <f t="shared" si="526"/>
        <v/>
      </c>
      <c r="GA34" s="1131">
        <f t="shared" si="527"/>
        <v>0</v>
      </c>
      <c r="GB34" s="1091" t="str">
        <f t="shared" si="528"/>
        <v/>
      </c>
      <c r="GC34" s="1091" t="str">
        <f t="shared" si="529"/>
        <v/>
      </c>
      <c r="GD34" s="1130">
        <f t="shared" si="111"/>
        <v>0</v>
      </c>
      <c r="GE34" s="1091" t="str">
        <f t="shared" si="112"/>
        <v/>
      </c>
      <c r="GF34" s="1130">
        <f t="shared" si="113"/>
        <v>0</v>
      </c>
      <c r="GG34" s="1091" t="str">
        <f t="shared" si="114"/>
        <v/>
      </c>
      <c r="GH34" s="1088">
        <f t="shared" si="530"/>
        <v>0</v>
      </c>
      <c r="GI34" s="1091" t="str">
        <f t="shared" si="531"/>
        <v/>
      </c>
      <c r="GJ34" s="1091" t="str">
        <f t="shared" si="532"/>
        <v/>
      </c>
      <c r="GK34" s="1131">
        <f t="shared" si="533"/>
        <v>0</v>
      </c>
      <c r="GL34" s="1091" t="str">
        <f t="shared" si="534"/>
        <v/>
      </c>
      <c r="GM34" s="1091" t="str">
        <f t="shared" si="535"/>
        <v/>
      </c>
      <c r="GN34" s="1131">
        <f t="shared" si="536"/>
        <v>0</v>
      </c>
      <c r="GO34" s="1091" t="str">
        <f t="shared" si="537"/>
        <v/>
      </c>
      <c r="GP34" s="1091" t="str">
        <f t="shared" si="538"/>
        <v/>
      </c>
      <c r="GQ34" s="1130">
        <f t="shared" si="118"/>
        <v>0</v>
      </c>
      <c r="GR34" s="1091" t="str">
        <f t="shared" si="119"/>
        <v/>
      </c>
      <c r="GS34" s="1130">
        <f t="shared" si="120"/>
        <v>0</v>
      </c>
      <c r="GT34" s="1091" t="str">
        <f t="shared" si="121"/>
        <v/>
      </c>
      <c r="GU34" s="1088">
        <f t="shared" si="539"/>
        <v>0</v>
      </c>
      <c r="GV34" s="1091" t="str">
        <f t="shared" si="540"/>
        <v/>
      </c>
      <c r="GW34" s="1091" t="str">
        <f t="shared" si="541"/>
        <v/>
      </c>
      <c r="GX34" s="1131">
        <f t="shared" si="542"/>
        <v>0</v>
      </c>
      <c r="GY34" s="1091" t="str">
        <f t="shared" si="543"/>
        <v/>
      </c>
      <c r="GZ34" s="1091" t="str">
        <f t="shared" si="544"/>
        <v/>
      </c>
      <c r="HA34" s="1131">
        <f t="shared" si="545"/>
        <v>0</v>
      </c>
      <c r="HB34" s="1091" t="str">
        <f t="shared" si="546"/>
        <v/>
      </c>
      <c r="HC34" s="1091" t="str">
        <f t="shared" si="547"/>
        <v/>
      </c>
      <c r="HD34" s="1130">
        <f t="shared" si="125"/>
        <v>0</v>
      </c>
      <c r="HE34" s="1091" t="str">
        <f t="shared" si="126"/>
        <v/>
      </c>
      <c r="HF34" s="1130">
        <f t="shared" si="127"/>
        <v>0</v>
      </c>
      <c r="HG34" s="1091" t="str">
        <f t="shared" si="128"/>
        <v/>
      </c>
      <c r="HH34" s="1088">
        <f t="shared" si="267"/>
        <v>0</v>
      </c>
      <c r="HI34" s="1091" t="str">
        <f t="shared" si="548"/>
        <v/>
      </c>
      <c r="HJ34" s="1091" t="str">
        <f t="shared" si="549"/>
        <v/>
      </c>
      <c r="HK34" s="1090">
        <f t="shared" si="270"/>
        <v>0</v>
      </c>
      <c r="HL34" s="1091" t="str">
        <f t="shared" si="550"/>
        <v/>
      </c>
      <c r="HM34" s="1091" t="str">
        <f t="shared" si="551"/>
        <v/>
      </c>
      <c r="HN34" s="1090">
        <f t="shared" si="273"/>
        <v>0</v>
      </c>
      <c r="HO34" s="1091" t="str">
        <f t="shared" si="552"/>
        <v/>
      </c>
      <c r="HP34" s="1091" t="str">
        <f t="shared" si="553"/>
        <v/>
      </c>
      <c r="HQ34" s="1130">
        <f t="shared" si="135"/>
        <v>0</v>
      </c>
      <c r="HR34" s="1091" t="str">
        <f t="shared" si="136"/>
        <v/>
      </c>
      <c r="HS34" s="1130">
        <f t="shared" si="137"/>
        <v>0</v>
      </c>
      <c r="HT34" s="1091" t="str">
        <f t="shared" si="138"/>
        <v/>
      </c>
      <c r="HU34" s="1088">
        <f t="shared" si="276"/>
        <v>0</v>
      </c>
      <c r="HV34" s="1091" t="str">
        <f t="shared" si="554"/>
        <v/>
      </c>
      <c r="HW34" s="1091" t="str">
        <f t="shared" si="555"/>
        <v/>
      </c>
      <c r="HX34" s="1090">
        <f t="shared" si="279"/>
        <v>0</v>
      </c>
      <c r="HY34" s="1091" t="str">
        <f t="shared" si="556"/>
        <v/>
      </c>
      <c r="HZ34" s="1091" t="str">
        <f t="shared" si="557"/>
        <v/>
      </c>
      <c r="IA34" s="1090">
        <f t="shared" si="282"/>
        <v>0</v>
      </c>
      <c r="IB34" s="1091" t="str">
        <f t="shared" si="558"/>
        <v/>
      </c>
      <c r="IC34" s="1091" t="str">
        <f t="shared" si="559"/>
        <v/>
      </c>
      <c r="ID34" s="1130">
        <f t="shared" si="145"/>
        <v>0</v>
      </c>
      <c r="IE34" s="1091" t="str">
        <f t="shared" si="146"/>
        <v/>
      </c>
      <c r="IF34" s="1130">
        <f t="shared" si="147"/>
        <v>0</v>
      </c>
      <c r="IG34" s="1091" t="str">
        <f t="shared" si="148"/>
        <v/>
      </c>
      <c r="IH34" s="1088">
        <f t="shared" si="285"/>
        <v>0</v>
      </c>
      <c r="II34" s="1091" t="str">
        <f t="shared" si="560"/>
        <v/>
      </c>
      <c r="IJ34" s="1091" t="str">
        <f t="shared" si="561"/>
        <v/>
      </c>
      <c r="IK34" s="1090">
        <f t="shared" si="288"/>
        <v>0</v>
      </c>
      <c r="IL34" s="1091" t="str">
        <f t="shared" si="562"/>
        <v/>
      </c>
      <c r="IM34" s="1091" t="str">
        <f t="shared" si="563"/>
        <v/>
      </c>
      <c r="IN34" s="1090">
        <f t="shared" si="291"/>
        <v>160000</v>
      </c>
      <c r="IO34" s="1091">
        <f t="shared" si="564"/>
        <v>1</v>
      </c>
      <c r="IP34" s="1091">
        <f t="shared" si="565"/>
        <v>0.4705882353</v>
      </c>
      <c r="IQ34" s="1130">
        <f t="shared" si="155"/>
        <v>160000</v>
      </c>
      <c r="IR34" s="1091" t="str">
        <f t="shared" si="1"/>
        <v/>
      </c>
      <c r="IS34" s="1130">
        <f t="shared" si="156"/>
        <v>160000</v>
      </c>
      <c r="IT34" s="1091" t="str">
        <f t="shared" si="2"/>
        <v/>
      </c>
    </row>
    <row r="35" outlineLevel="1">
      <c r="A35" s="1086">
        <f t="shared" si="411"/>
        <v>4</v>
      </c>
      <c r="B35" s="1087"/>
      <c r="C35" s="656" t="s">
        <v>177</v>
      </c>
      <c r="D35" s="1087" t="str">
        <f t="shared" si="412"/>
        <v>QUAN</v>
      </c>
      <c r="E35" s="1087"/>
      <c r="F35" s="1087"/>
      <c r="G35" s="1086">
        <v>2.0</v>
      </c>
      <c r="H35" s="1088">
        <f t="shared" si="413"/>
        <v>0</v>
      </c>
      <c r="I35" s="1091" t="str">
        <f t="shared" si="414"/>
        <v/>
      </c>
      <c r="J35" s="1091" t="str">
        <f t="shared" si="415"/>
        <v/>
      </c>
      <c r="K35" s="1090">
        <f t="shared" si="416"/>
        <v>0</v>
      </c>
      <c r="L35" s="1091" t="str">
        <f t="shared" si="417"/>
        <v/>
      </c>
      <c r="M35" s="1091" t="str">
        <f t="shared" si="418"/>
        <v/>
      </c>
      <c r="N35" s="1090">
        <f t="shared" si="419"/>
        <v>0</v>
      </c>
      <c r="O35" s="1091" t="str">
        <f t="shared" si="420"/>
        <v/>
      </c>
      <c r="P35" s="1091">
        <f t="shared" si="421"/>
        <v>0</v>
      </c>
      <c r="Q35" s="1130">
        <f t="shared" si="8"/>
        <v>0</v>
      </c>
      <c r="R35" s="1132" t="str">
        <f t="shared" si="9"/>
        <v/>
      </c>
      <c r="S35" s="1130">
        <f t="shared" si="10"/>
        <v>0</v>
      </c>
      <c r="T35" s="1091" t="str">
        <f t="shared" si="11"/>
        <v/>
      </c>
      <c r="U35" s="1088">
        <f t="shared" si="422"/>
        <v>0</v>
      </c>
      <c r="V35" s="1091" t="str">
        <f t="shared" si="423"/>
        <v/>
      </c>
      <c r="W35" s="1091" t="str">
        <f t="shared" si="424"/>
        <v/>
      </c>
      <c r="X35" s="1090">
        <f t="shared" si="425"/>
        <v>0</v>
      </c>
      <c r="Y35" s="1091" t="str">
        <f t="shared" si="426"/>
        <v/>
      </c>
      <c r="Z35" s="1091" t="str">
        <f t="shared" si="427"/>
        <v/>
      </c>
      <c r="AA35" s="1090">
        <f t="shared" si="428"/>
        <v>0</v>
      </c>
      <c r="AB35" s="1091" t="str">
        <f t="shared" si="429"/>
        <v/>
      </c>
      <c r="AC35" s="1091" t="str">
        <f t="shared" si="430"/>
        <v/>
      </c>
      <c r="AD35" s="1130">
        <f t="shared" si="15"/>
        <v>0</v>
      </c>
      <c r="AE35" s="1132" t="str">
        <f t="shared" si="16"/>
        <v/>
      </c>
      <c r="AF35" s="1130">
        <f t="shared" si="17"/>
        <v>0</v>
      </c>
      <c r="AG35" s="1091" t="str">
        <f t="shared" si="18"/>
        <v/>
      </c>
      <c r="AH35" s="1088">
        <f t="shared" si="431"/>
        <v>0</v>
      </c>
      <c r="AI35" s="1091" t="str">
        <f t="shared" si="432"/>
        <v/>
      </c>
      <c r="AJ35" s="1091" t="str">
        <f t="shared" si="433"/>
        <v/>
      </c>
      <c r="AK35" s="1090">
        <f t="shared" si="434"/>
        <v>0</v>
      </c>
      <c r="AL35" s="1091" t="str">
        <f t="shared" si="435"/>
        <v/>
      </c>
      <c r="AM35" s="1091" t="str">
        <f t="shared" si="436"/>
        <v/>
      </c>
      <c r="AN35" s="1090">
        <f t="shared" si="437"/>
        <v>0</v>
      </c>
      <c r="AO35" s="1091" t="str">
        <f t="shared" si="438"/>
        <v/>
      </c>
      <c r="AP35" s="1091" t="str">
        <f t="shared" si="439"/>
        <v/>
      </c>
      <c r="AQ35" s="1130">
        <f t="shared" si="22"/>
        <v>0</v>
      </c>
      <c r="AR35" s="1132" t="str">
        <f t="shared" si="23"/>
        <v/>
      </c>
      <c r="AS35" s="1130">
        <f t="shared" si="24"/>
        <v>0</v>
      </c>
      <c r="AT35" s="1091" t="str">
        <f t="shared" si="25"/>
        <v/>
      </c>
      <c r="AU35" s="1088">
        <f t="shared" si="177"/>
        <v>0</v>
      </c>
      <c r="AV35" s="1091" t="str">
        <f t="shared" si="440"/>
        <v/>
      </c>
      <c r="AW35" s="1091" t="str">
        <f t="shared" si="441"/>
        <v/>
      </c>
      <c r="AX35" s="1090">
        <f t="shared" si="180"/>
        <v>0</v>
      </c>
      <c r="AY35" s="1091" t="str">
        <f t="shared" si="442"/>
        <v/>
      </c>
      <c r="AZ35" s="1091" t="str">
        <f t="shared" si="443"/>
        <v/>
      </c>
      <c r="BA35" s="1090">
        <f t="shared" si="444"/>
        <v>0</v>
      </c>
      <c r="BB35" s="1091" t="str">
        <f t="shared" si="445"/>
        <v/>
      </c>
      <c r="BC35" s="1091">
        <f t="shared" si="446"/>
        <v>0</v>
      </c>
      <c r="BD35" s="1130">
        <f t="shared" si="32"/>
        <v>0</v>
      </c>
      <c r="BE35" s="1132" t="str">
        <f t="shared" si="33"/>
        <v/>
      </c>
      <c r="BF35" s="1130">
        <f t="shared" si="34"/>
        <v>0</v>
      </c>
      <c r="BG35" s="1091" t="str">
        <f t="shared" si="35"/>
        <v/>
      </c>
      <c r="BH35" s="1088">
        <f t="shared" si="447"/>
        <v>0</v>
      </c>
      <c r="BI35" s="1091" t="str">
        <f t="shared" si="448"/>
        <v/>
      </c>
      <c r="BJ35" s="1091" t="str">
        <f t="shared" si="449"/>
        <v/>
      </c>
      <c r="BK35" s="1090">
        <f t="shared" si="450"/>
        <v>0</v>
      </c>
      <c r="BL35" s="1091" t="str">
        <f t="shared" si="451"/>
        <v/>
      </c>
      <c r="BM35" s="1091" t="str">
        <f t="shared" si="452"/>
        <v/>
      </c>
      <c r="BN35" s="1090">
        <f t="shared" si="453"/>
        <v>0</v>
      </c>
      <c r="BO35" s="1091" t="str">
        <f t="shared" si="454"/>
        <v/>
      </c>
      <c r="BP35" s="1091" t="str">
        <f t="shared" si="455"/>
        <v/>
      </c>
      <c r="BQ35" s="1130">
        <f t="shared" si="39"/>
        <v>0</v>
      </c>
      <c r="BR35" s="1132" t="str">
        <f t="shared" si="40"/>
        <v/>
      </c>
      <c r="BS35" s="1130">
        <f t="shared" si="41"/>
        <v>0</v>
      </c>
      <c r="BT35" s="1091" t="str">
        <f t="shared" si="42"/>
        <v/>
      </c>
      <c r="BU35" s="1088">
        <f t="shared" si="456"/>
        <v>0</v>
      </c>
      <c r="BV35" s="1091" t="str">
        <f t="shared" si="457"/>
        <v/>
      </c>
      <c r="BW35" s="1091" t="str">
        <f t="shared" si="458"/>
        <v/>
      </c>
      <c r="BX35" s="1131">
        <f t="shared" si="459"/>
        <v>0</v>
      </c>
      <c r="BY35" s="1091" t="str">
        <f t="shared" si="460"/>
        <v/>
      </c>
      <c r="BZ35" s="1091" t="str">
        <f t="shared" si="461"/>
        <v/>
      </c>
      <c r="CA35" s="1131">
        <f t="shared" si="462"/>
        <v>0</v>
      </c>
      <c r="CB35" s="1091" t="str">
        <f t="shared" si="463"/>
        <v/>
      </c>
      <c r="CC35" s="1091" t="str">
        <f t="shared" si="464"/>
        <v/>
      </c>
      <c r="CD35" s="1130">
        <f t="shared" si="46"/>
        <v>0</v>
      </c>
      <c r="CE35" s="1132" t="str">
        <f t="shared" si="47"/>
        <v/>
      </c>
      <c r="CF35" s="1130">
        <f t="shared" si="48"/>
        <v>0</v>
      </c>
      <c r="CG35" s="1091" t="str">
        <f t="shared" si="49"/>
        <v/>
      </c>
      <c r="CH35" s="1088">
        <f t="shared" si="465"/>
        <v>0</v>
      </c>
      <c r="CI35" s="1091" t="str">
        <f t="shared" si="466"/>
        <v/>
      </c>
      <c r="CJ35" s="1091" t="str">
        <f t="shared" si="467"/>
        <v/>
      </c>
      <c r="CK35" s="1131">
        <f t="shared" si="468"/>
        <v>0</v>
      </c>
      <c r="CL35" s="1091" t="str">
        <f t="shared" si="469"/>
        <v/>
      </c>
      <c r="CM35" s="1091" t="str">
        <f t="shared" si="470"/>
        <v/>
      </c>
      <c r="CN35" s="1131">
        <f t="shared" si="471"/>
        <v>0</v>
      </c>
      <c r="CO35" s="1091" t="str">
        <f t="shared" si="472"/>
        <v/>
      </c>
      <c r="CP35" s="1091" t="str">
        <f t="shared" si="473"/>
        <v/>
      </c>
      <c r="CQ35" s="1130">
        <f t="shared" si="53"/>
        <v>0</v>
      </c>
      <c r="CR35" s="1132" t="str">
        <f t="shared" si="54"/>
        <v/>
      </c>
      <c r="CS35" s="1130">
        <f t="shared" si="55"/>
        <v>0</v>
      </c>
      <c r="CT35" s="1091" t="str">
        <f t="shared" si="56"/>
        <v/>
      </c>
      <c r="CU35" s="1088">
        <f t="shared" si="204"/>
        <v>0</v>
      </c>
      <c r="CV35" s="1091" t="str">
        <f t="shared" si="474"/>
        <v/>
      </c>
      <c r="CW35" s="1091" t="str">
        <f t="shared" si="475"/>
        <v/>
      </c>
      <c r="CX35" s="1131">
        <f t="shared" si="476"/>
        <v>0</v>
      </c>
      <c r="CY35" s="1091" t="str">
        <f t="shared" si="477"/>
        <v/>
      </c>
      <c r="CZ35" s="1091" t="str">
        <f t="shared" si="478"/>
        <v/>
      </c>
      <c r="DA35" s="1131">
        <f t="shared" si="479"/>
        <v>0</v>
      </c>
      <c r="DB35" s="1091" t="str">
        <f t="shared" si="480"/>
        <v/>
      </c>
      <c r="DC35" s="1091" t="str">
        <f t="shared" si="481"/>
        <v/>
      </c>
      <c r="DD35" s="1130">
        <f t="shared" si="63"/>
        <v>0</v>
      </c>
      <c r="DE35" s="1132" t="str">
        <f t="shared" si="64"/>
        <v/>
      </c>
      <c r="DF35" s="1130">
        <f t="shared" si="65"/>
        <v>0</v>
      </c>
      <c r="DG35" s="1091" t="str">
        <f t="shared" si="66"/>
        <v/>
      </c>
      <c r="DH35" s="1088">
        <f t="shared" si="213"/>
        <v>0</v>
      </c>
      <c r="DI35" s="1091" t="str">
        <f t="shared" si="482"/>
        <v/>
      </c>
      <c r="DJ35" s="1091" t="str">
        <f t="shared" si="483"/>
        <v/>
      </c>
      <c r="DK35" s="1090">
        <f t="shared" si="216"/>
        <v>0</v>
      </c>
      <c r="DL35" s="1091" t="str">
        <f t="shared" si="484"/>
        <v/>
      </c>
      <c r="DM35" s="1091" t="str">
        <f t="shared" si="485"/>
        <v/>
      </c>
      <c r="DN35" s="1090">
        <f t="shared" si="219"/>
        <v>0</v>
      </c>
      <c r="DO35" s="1091" t="str">
        <f t="shared" si="486"/>
        <v/>
      </c>
      <c r="DP35" s="1091">
        <f t="shared" si="487"/>
        <v>0</v>
      </c>
      <c r="DQ35" s="1130">
        <f t="shared" si="73"/>
        <v>0</v>
      </c>
      <c r="DR35" s="1132" t="str">
        <f t="shared" si="74"/>
        <v/>
      </c>
      <c r="DS35" s="1130">
        <f t="shared" si="75"/>
        <v>0</v>
      </c>
      <c r="DT35" s="1091" t="str">
        <f t="shared" si="76"/>
        <v/>
      </c>
      <c r="DU35" s="1088">
        <f t="shared" si="488"/>
        <v>0</v>
      </c>
      <c r="DV35" s="1091" t="str">
        <f t="shared" si="489"/>
        <v/>
      </c>
      <c r="DW35" s="1091" t="str">
        <f t="shared" si="490"/>
        <v/>
      </c>
      <c r="DX35" s="1131">
        <f t="shared" si="491"/>
        <v>0</v>
      </c>
      <c r="DY35" s="1091" t="str">
        <f t="shared" si="492"/>
        <v/>
      </c>
      <c r="DZ35" s="1091" t="str">
        <f t="shared" si="493"/>
        <v/>
      </c>
      <c r="EA35" s="1131">
        <f t="shared" si="494"/>
        <v>0</v>
      </c>
      <c r="EB35" s="1091" t="str">
        <f t="shared" si="495"/>
        <v/>
      </c>
      <c r="EC35" s="1091" t="str">
        <f t="shared" si="496"/>
        <v/>
      </c>
      <c r="ED35" s="1130">
        <f t="shared" si="80"/>
        <v>0</v>
      </c>
      <c r="EE35" s="1132" t="str">
        <f t="shared" si="81"/>
        <v/>
      </c>
      <c r="EF35" s="1130">
        <f t="shared" si="82"/>
        <v>0</v>
      </c>
      <c r="EG35" s="1091" t="str">
        <f t="shared" si="83"/>
        <v/>
      </c>
      <c r="EH35" s="1088">
        <f t="shared" si="497"/>
        <v>0</v>
      </c>
      <c r="EI35" s="1091" t="str">
        <f t="shared" si="498"/>
        <v/>
      </c>
      <c r="EJ35" s="1091" t="str">
        <f t="shared" si="499"/>
        <v/>
      </c>
      <c r="EK35" s="1131">
        <f t="shared" si="500"/>
        <v>0</v>
      </c>
      <c r="EL35" s="1091" t="str">
        <f t="shared" si="501"/>
        <v/>
      </c>
      <c r="EM35" s="1091" t="str">
        <f t="shared" si="502"/>
        <v/>
      </c>
      <c r="EN35" s="1131">
        <f t="shared" si="503"/>
        <v>0</v>
      </c>
      <c r="EO35" s="1091" t="str">
        <f t="shared" si="504"/>
        <v/>
      </c>
      <c r="EP35" s="1091" t="str">
        <f t="shared" si="505"/>
        <v/>
      </c>
      <c r="EQ35" s="1130">
        <f t="shared" si="87"/>
        <v>0</v>
      </c>
      <c r="ER35" s="1132" t="str">
        <f t="shared" si="88"/>
        <v/>
      </c>
      <c r="ES35" s="1130">
        <f t="shared" si="89"/>
        <v>0</v>
      </c>
      <c r="ET35" s="1091" t="str">
        <f t="shared" si="90"/>
        <v/>
      </c>
      <c r="EU35" s="1088">
        <f t="shared" si="506"/>
        <v>0</v>
      </c>
      <c r="EV35" s="1091" t="str">
        <f t="shared" si="507"/>
        <v/>
      </c>
      <c r="EW35" s="1091" t="str">
        <f t="shared" si="508"/>
        <v/>
      </c>
      <c r="EX35" s="1131">
        <f t="shared" si="509"/>
        <v>0</v>
      </c>
      <c r="EY35" s="1091" t="str">
        <f t="shared" si="510"/>
        <v/>
      </c>
      <c r="EZ35" s="1091" t="str">
        <f t="shared" si="511"/>
        <v/>
      </c>
      <c r="FA35" s="1131">
        <f t="shared" si="512"/>
        <v>0</v>
      </c>
      <c r="FB35" s="1091" t="str">
        <f t="shared" si="513"/>
        <v/>
      </c>
      <c r="FC35" s="1091" t="str">
        <f t="shared" si="514"/>
        <v/>
      </c>
      <c r="FD35" s="1130">
        <f t="shared" si="94"/>
        <v>0</v>
      </c>
      <c r="FE35" s="1132" t="str">
        <f t="shared" si="95"/>
        <v/>
      </c>
      <c r="FF35" s="1130">
        <f t="shared" si="96"/>
        <v>0</v>
      </c>
      <c r="FG35" s="1091" t="str">
        <f t="shared" si="97"/>
        <v/>
      </c>
      <c r="FH35" s="1088">
        <f t="shared" si="240"/>
        <v>0</v>
      </c>
      <c r="FI35" s="1091" t="str">
        <f t="shared" si="515"/>
        <v/>
      </c>
      <c r="FJ35" s="1091" t="str">
        <f t="shared" si="516"/>
        <v/>
      </c>
      <c r="FK35" s="1090">
        <f t="shared" si="243"/>
        <v>0</v>
      </c>
      <c r="FL35" s="1091" t="str">
        <f t="shared" si="517"/>
        <v/>
      </c>
      <c r="FM35" s="1091" t="str">
        <f t="shared" si="518"/>
        <v/>
      </c>
      <c r="FN35" s="1090">
        <f t="shared" si="246"/>
        <v>0</v>
      </c>
      <c r="FO35" s="1091" t="str">
        <f t="shared" si="519"/>
        <v/>
      </c>
      <c r="FP35" s="1091" t="str">
        <f t="shared" si="520"/>
        <v/>
      </c>
      <c r="FQ35" s="1130">
        <f t="shared" si="104"/>
        <v>0</v>
      </c>
      <c r="FR35" s="1132" t="str">
        <f t="shared" si="105"/>
        <v/>
      </c>
      <c r="FS35" s="1130">
        <f t="shared" si="106"/>
        <v>0</v>
      </c>
      <c r="FT35" s="1091" t="str">
        <f t="shared" si="107"/>
        <v/>
      </c>
      <c r="FU35" s="1088">
        <f t="shared" si="521"/>
        <v>0</v>
      </c>
      <c r="FV35" s="1091" t="str">
        <f t="shared" si="522"/>
        <v/>
      </c>
      <c r="FW35" s="1091" t="str">
        <f t="shared" si="523"/>
        <v/>
      </c>
      <c r="FX35" s="1131">
        <f t="shared" si="524"/>
        <v>0</v>
      </c>
      <c r="FY35" s="1091" t="str">
        <f t="shared" si="525"/>
        <v/>
      </c>
      <c r="FZ35" s="1091" t="str">
        <f t="shared" si="526"/>
        <v/>
      </c>
      <c r="GA35" s="1131">
        <f t="shared" si="527"/>
        <v>0</v>
      </c>
      <c r="GB35" s="1091" t="str">
        <f t="shared" si="528"/>
        <v/>
      </c>
      <c r="GC35" s="1091" t="str">
        <f t="shared" si="529"/>
        <v/>
      </c>
      <c r="GD35" s="1130">
        <f t="shared" si="111"/>
        <v>0</v>
      </c>
      <c r="GE35" s="1132" t="str">
        <f t="shared" si="112"/>
        <v/>
      </c>
      <c r="GF35" s="1130">
        <f t="shared" si="113"/>
        <v>0</v>
      </c>
      <c r="GG35" s="1091" t="str">
        <f t="shared" si="114"/>
        <v/>
      </c>
      <c r="GH35" s="1088">
        <f t="shared" si="530"/>
        <v>0</v>
      </c>
      <c r="GI35" s="1091" t="str">
        <f t="shared" si="531"/>
        <v/>
      </c>
      <c r="GJ35" s="1091" t="str">
        <f t="shared" si="532"/>
        <v/>
      </c>
      <c r="GK35" s="1131">
        <f t="shared" si="533"/>
        <v>0</v>
      </c>
      <c r="GL35" s="1091" t="str">
        <f t="shared" si="534"/>
        <v/>
      </c>
      <c r="GM35" s="1091" t="str">
        <f t="shared" si="535"/>
        <v/>
      </c>
      <c r="GN35" s="1131">
        <f t="shared" si="536"/>
        <v>0</v>
      </c>
      <c r="GO35" s="1091" t="str">
        <f t="shared" si="537"/>
        <v/>
      </c>
      <c r="GP35" s="1091" t="str">
        <f t="shared" si="538"/>
        <v/>
      </c>
      <c r="GQ35" s="1130">
        <f t="shared" si="118"/>
        <v>0</v>
      </c>
      <c r="GR35" s="1132" t="str">
        <f t="shared" si="119"/>
        <v/>
      </c>
      <c r="GS35" s="1130">
        <f t="shared" si="120"/>
        <v>0</v>
      </c>
      <c r="GT35" s="1091" t="str">
        <f t="shared" si="121"/>
        <v/>
      </c>
      <c r="GU35" s="1088">
        <f t="shared" si="539"/>
        <v>0</v>
      </c>
      <c r="GV35" s="1091" t="str">
        <f t="shared" si="540"/>
        <v/>
      </c>
      <c r="GW35" s="1091" t="str">
        <f t="shared" si="541"/>
        <v/>
      </c>
      <c r="GX35" s="1131">
        <f t="shared" si="542"/>
        <v>0</v>
      </c>
      <c r="GY35" s="1091" t="str">
        <f t="shared" si="543"/>
        <v/>
      </c>
      <c r="GZ35" s="1091" t="str">
        <f t="shared" si="544"/>
        <v/>
      </c>
      <c r="HA35" s="1131">
        <f t="shared" si="545"/>
        <v>0</v>
      </c>
      <c r="HB35" s="1091" t="str">
        <f t="shared" si="546"/>
        <v/>
      </c>
      <c r="HC35" s="1091" t="str">
        <f t="shared" si="547"/>
        <v/>
      </c>
      <c r="HD35" s="1130">
        <f t="shared" si="125"/>
        <v>0</v>
      </c>
      <c r="HE35" s="1132" t="str">
        <f t="shared" si="126"/>
        <v/>
      </c>
      <c r="HF35" s="1130">
        <f t="shared" si="127"/>
        <v>0</v>
      </c>
      <c r="HG35" s="1091" t="str">
        <f t="shared" si="128"/>
        <v/>
      </c>
      <c r="HH35" s="1088">
        <f t="shared" si="267"/>
        <v>0</v>
      </c>
      <c r="HI35" s="1091" t="str">
        <f t="shared" si="548"/>
        <v/>
      </c>
      <c r="HJ35" s="1091" t="str">
        <f t="shared" si="549"/>
        <v/>
      </c>
      <c r="HK35" s="1090">
        <f t="shared" si="270"/>
        <v>0</v>
      </c>
      <c r="HL35" s="1091" t="str">
        <f t="shared" si="550"/>
        <v/>
      </c>
      <c r="HM35" s="1091" t="str">
        <f t="shared" si="551"/>
        <v/>
      </c>
      <c r="HN35" s="1090">
        <f t="shared" si="273"/>
        <v>0</v>
      </c>
      <c r="HO35" s="1091" t="str">
        <f t="shared" si="552"/>
        <v/>
      </c>
      <c r="HP35" s="1091" t="str">
        <f t="shared" si="553"/>
        <v/>
      </c>
      <c r="HQ35" s="1130">
        <f t="shared" si="135"/>
        <v>0</v>
      </c>
      <c r="HR35" s="1132" t="str">
        <f t="shared" si="136"/>
        <v/>
      </c>
      <c r="HS35" s="1130">
        <f t="shared" si="137"/>
        <v>0</v>
      </c>
      <c r="HT35" s="1091" t="str">
        <f t="shared" si="138"/>
        <v/>
      </c>
      <c r="HU35" s="1088">
        <f t="shared" si="276"/>
        <v>0</v>
      </c>
      <c r="HV35" s="1091" t="str">
        <f t="shared" si="554"/>
        <v/>
      </c>
      <c r="HW35" s="1091" t="str">
        <f t="shared" si="555"/>
        <v/>
      </c>
      <c r="HX35" s="1090">
        <f t="shared" si="279"/>
        <v>0</v>
      </c>
      <c r="HY35" s="1091" t="str">
        <f t="shared" si="556"/>
        <v/>
      </c>
      <c r="HZ35" s="1091" t="str">
        <f t="shared" si="557"/>
        <v/>
      </c>
      <c r="IA35" s="1090">
        <f t="shared" si="282"/>
        <v>0</v>
      </c>
      <c r="IB35" s="1091" t="str">
        <f t="shared" si="558"/>
        <v/>
      </c>
      <c r="IC35" s="1091" t="str">
        <f t="shared" si="559"/>
        <v/>
      </c>
      <c r="ID35" s="1130">
        <f t="shared" si="145"/>
        <v>0</v>
      </c>
      <c r="IE35" s="1132" t="str">
        <f t="shared" si="146"/>
        <v/>
      </c>
      <c r="IF35" s="1130">
        <f t="shared" si="147"/>
        <v>0</v>
      </c>
      <c r="IG35" s="1091" t="str">
        <f t="shared" si="148"/>
        <v/>
      </c>
      <c r="IH35" s="1088">
        <f t="shared" si="285"/>
        <v>0</v>
      </c>
      <c r="II35" s="1091" t="str">
        <f t="shared" si="560"/>
        <v/>
      </c>
      <c r="IJ35" s="1091" t="str">
        <f t="shared" si="561"/>
        <v/>
      </c>
      <c r="IK35" s="1090">
        <f t="shared" si="288"/>
        <v>0</v>
      </c>
      <c r="IL35" s="1091" t="str">
        <f t="shared" si="562"/>
        <v/>
      </c>
      <c r="IM35" s="1091" t="str">
        <f t="shared" si="563"/>
        <v/>
      </c>
      <c r="IN35" s="1090">
        <f t="shared" si="291"/>
        <v>0</v>
      </c>
      <c r="IO35" s="1091" t="str">
        <f t="shared" si="564"/>
        <v/>
      </c>
      <c r="IP35" s="1091">
        <f t="shared" si="565"/>
        <v>0</v>
      </c>
      <c r="IQ35" s="1130">
        <f t="shared" si="155"/>
        <v>0</v>
      </c>
      <c r="IR35" s="1132" t="str">
        <f t="shared" si="1"/>
        <v/>
      </c>
      <c r="IS35" s="1130">
        <f t="shared" si="156"/>
        <v>0</v>
      </c>
      <c r="IT35" s="1091" t="str">
        <f t="shared" si="2"/>
        <v/>
      </c>
    </row>
    <row r="36" outlineLevel="1">
      <c r="A36" s="1086">
        <f t="shared" si="411"/>
        <v>5</v>
      </c>
      <c r="B36" s="1087"/>
      <c r="C36" s="656" t="s">
        <v>514</v>
      </c>
      <c r="D36" s="1087" t="str">
        <f t="shared" si="412"/>
        <v>KHANH</v>
      </c>
      <c r="E36" s="1087"/>
      <c r="F36" s="1087"/>
      <c r="G36" s="1086">
        <v>2.0</v>
      </c>
      <c r="H36" s="1088">
        <f t="shared" si="413"/>
        <v>0</v>
      </c>
      <c r="I36" s="1091" t="str">
        <f t="shared" si="414"/>
        <v/>
      </c>
      <c r="J36" s="1091" t="str">
        <f t="shared" si="415"/>
        <v/>
      </c>
      <c r="K36" s="1090">
        <f t="shared" si="416"/>
        <v>0</v>
      </c>
      <c r="L36" s="1091" t="str">
        <f t="shared" si="417"/>
        <v/>
      </c>
      <c r="M36" s="1091" t="str">
        <f t="shared" si="418"/>
        <v/>
      </c>
      <c r="N36" s="1090">
        <f t="shared" si="419"/>
        <v>0</v>
      </c>
      <c r="O36" s="1091" t="str">
        <f t="shared" si="420"/>
        <v/>
      </c>
      <c r="P36" s="1091">
        <f t="shared" si="421"/>
        <v>0</v>
      </c>
      <c r="Q36" s="1130">
        <f t="shared" si="8"/>
        <v>0</v>
      </c>
      <c r="R36" s="1091" t="str">
        <f t="shared" si="9"/>
        <v/>
      </c>
      <c r="S36" s="1130">
        <f t="shared" si="10"/>
        <v>0</v>
      </c>
      <c r="T36" s="1091" t="str">
        <f t="shared" si="11"/>
        <v/>
      </c>
      <c r="U36" s="1088">
        <f t="shared" si="422"/>
        <v>0</v>
      </c>
      <c r="V36" s="1091" t="str">
        <f t="shared" si="423"/>
        <v/>
      </c>
      <c r="W36" s="1091" t="str">
        <f t="shared" si="424"/>
        <v/>
      </c>
      <c r="X36" s="1090">
        <f t="shared" si="425"/>
        <v>0</v>
      </c>
      <c r="Y36" s="1091" t="str">
        <f t="shared" si="426"/>
        <v/>
      </c>
      <c r="Z36" s="1091" t="str">
        <f t="shared" si="427"/>
        <v/>
      </c>
      <c r="AA36" s="1090">
        <f t="shared" si="428"/>
        <v>0</v>
      </c>
      <c r="AB36" s="1091" t="str">
        <f t="shared" si="429"/>
        <v/>
      </c>
      <c r="AC36" s="1091" t="str">
        <f t="shared" si="430"/>
        <v/>
      </c>
      <c r="AD36" s="1130">
        <f t="shared" si="15"/>
        <v>0</v>
      </c>
      <c r="AE36" s="1091" t="str">
        <f t="shared" si="16"/>
        <v/>
      </c>
      <c r="AF36" s="1130">
        <f t="shared" si="17"/>
        <v>0</v>
      </c>
      <c r="AG36" s="1091" t="str">
        <f t="shared" si="18"/>
        <v/>
      </c>
      <c r="AH36" s="1088">
        <f t="shared" si="431"/>
        <v>0</v>
      </c>
      <c r="AI36" s="1091" t="str">
        <f t="shared" si="432"/>
        <v/>
      </c>
      <c r="AJ36" s="1091" t="str">
        <f t="shared" si="433"/>
        <v/>
      </c>
      <c r="AK36" s="1090">
        <f t="shared" si="434"/>
        <v>0</v>
      </c>
      <c r="AL36" s="1091" t="str">
        <f t="shared" si="435"/>
        <v/>
      </c>
      <c r="AM36" s="1091" t="str">
        <f t="shared" si="436"/>
        <v/>
      </c>
      <c r="AN36" s="1090">
        <f t="shared" si="437"/>
        <v>0</v>
      </c>
      <c r="AO36" s="1091" t="str">
        <f t="shared" si="438"/>
        <v/>
      </c>
      <c r="AP36" s="1091" t="str">
        <f t="shared" si="439"/>
        <v/>
      </c>
      <c r="AQ36" s="1130">
        <f t="shared" si="22"/>
        <v>0</v>
      </c>
      <c r="AR36" s="1091" t="str">
        <f t="shared" si="23"/>
        <v/>
      </c>
      <c r="AS36" s="1130">
        <f t="shared" si="24"/>
        <v>0</v>
      </c>
      <c r="AT36" s="1091" t="str">
        <f t="shared" si="25"/>
        <v/>
      </c>
      <c r="AU36" s="1088">
        <f t="shared" si="177"/>
        <v>0</v>
      </c>
      <c r="AV36" s="1091" t="str">
        <f t="shared" si="440"/>
        <v/>
      </c>
      <c r="AW36" s="1091" t="str">
        <f t="shared" si="441"/>
        <v/>
      </c>
      <c r="AX36" s="1090">
        <f t="shared" si="180"/>
        <v>0</v>
      </c>
      <c r="AY36" s="1091" t="str">
        <f t="shared" si="442"/>
        <v/>
      </c>
      <c r="AZ36" s="1091" t="str">
        <f t="shared" si="443"/>
        <v/>
      </c>
      <c r="BA36" s="1090">
        <f t="shared" si="444"/>
        <v>0</v>
      </c>
      <c r="BB36" s="1091" t="str">
        <f t="shared" si="445"/>
        <v/>
      </c>
      <c r="BC36" s="1091">
        <f t="shared" si="446"/>
        <v>0</v>
      </c>
      <c r="BD36" s="1130">
        <f t="shared" si="32"/>
        <v>0</v>
      </c>
      <c r="BE36" s="1091" t="str">
        <f t="shared" si="33"/>
        <v/>
      </c>
      <c r="BF36" s="1130">
        <f t="shared" si="34"/>
        <v>0</v>
      </c>
      <c r="BG36" s="1091" t="str">
        <f t="shared" si="35"/>
        <v/>
      </c>
      <c r="BH36" s="1088">
        <f t="shared" si="447"/>
        <v>0</v>
      </c>
      <c r="BI36" s="1091" t="str">
        <f t="shared" si="448"/>
        <v/>
      </c>
      <c r="BJ36" s="1091" t="str">
        <f t="shared" si="449"/>
        <v/>
      </c>
      <c r="BK36" s="1090">
        <f t="shared" si="450"/>
        <v>0</v>
      </c>
      <c r="BL36" s="1091" t="str">
        <f t="shared" si="451"/>
        <v/>
      </c>
      <c r="BM36" s="1091" t="str">
        <f t="shared" si="452"/>
        <v/>
      </c>
      <c r="BN36" s="1090">
        <f t="shared" si="453"/>
        <v>0</v>
      </c>
      <c r="BO36" s="1091" t="str">
        <f t="shared" si="454"/>
        <v/>
      </c>
      <c r="BP36" s="1091" t="str">
        <f t="shared" si="455"/>
        <v/>
      </c>
      <c r="BQ36" s="1130">
        <f t="shared" si="39"/>
        <v>0</v>
      </c>
      <c r="BR36" s="1091" t="str">
        <f t="shared" si="40"/>
        <v/>
      </c>
      <c r="BS36" s="1130">
        <f t="shared" si="41"/>
        <v>0</v>
      </c>
      <c r="BT36" s="1091" t="str">
        <f t="shared" si="42"/>
        <v/>
      </c>
      <c r="BU36" s="1088">
        <f t="shared" si="456"/>
        <v>0</v>
      </c>
      <c r="BV36" s="1091" t="str">
        <f t="shared" si="457"/>
        <v/>
      </c>
      <c r="BW36" s="1091" t="str">
        <f t="shared" si="458"/>
        <v/>
      </c>
      <c r="BX36" s="1131">
        <f t="shared" si="459"/>
        <v>0</v>
      </c>
      <c r="BY36" s="1091" t="str">
        <f t="shared" si="460"/>
        <v/>
      </c>
      <c r="BZ36" s="1091" t="str">
        <f t="shared" si="461"/>
        <v/>
      </c>
      <c r="CA36" s="1131">
        <f t="shared" si="462"/>
        <v>0</v>
      </c>
      <c r="CB36" s="1091" t="str">
        <f t="shared" si="463"/>
        <v/>
      </c>
      <c r="CC36" s="1091" t="str">
        <f t="shared" si="464"/>
        <v/>
      </c>
      <c r="CD36" s="1130">
        <f t="shared" si="46"/>
        <v>0</v>
      </c>
      <c r="CE36" s="1091" t="str">
        <f t="shared" si="47"/>
        <v/>
      </c>
      <c r="CF36" s="1130">
        <f t="shared" si="48"/>
        <v>0</v>
      </c>
      <c r="CG36" s="1091" t="str">
        <f t="shared" si="49"/>
        <v/>
      </c>
      <c r="CH36" s="1088">
        <f t="shared" si="465"/>
        <v>0</v>
      </c>
      <c r="CI36" s="1091" t="str">
        <f t="shared" si="466"/>
        <v/>
      </c>
      <c r="CJ36" s="1091" t="str">
        <f t="shared" si="467"/>
        <v/>
      </c>
      <c r="CK36" s="1131">
        <f t="shared" si="468"/>
        <v>0</v>
      </c>
      <c r="CL36" s="1091" t="str">
        <f t="shared" si="469"/>
        <v/>
      </c>
      <c r="CM36" s="1091" t="str">
        <f t="shared" si="470"/>
        <v/>
      </c>
      <c r="CN36" s="1131">
        <f t="shared" si="471"/>
        <v>0</v>
      </c>
      <c r="CO36" s="1091" t="str">
        <f t="shared" si="472"/>
        <v/>
      </c>
      <c r="CP36" s="1091" t="str">
        <f t="shared" si="473"/>
        <v/>
      </c>
      <c r="CQ36" s="1130">
        <f t="shared" si="53"/>
        <v>0</v>
      </c>
      <c r="CR36" s="1091" t="str">
        <f t="shared" si="54"/>
        <v/>
      </c>
      <c r="CS36" s="1130">
        <f t="shared" si="55"/>
        <v>0</v>
      </c>
      <c r="CT36" s="1091" t="str">
        <f t="shared" si="56"/>
        <v/>
      </c>
      <c r="CU36" s="1088">
        <f t="shared" si="204"/>
        <v>0</v>
      </c>
      <c r="CV36" s="1091" t="str">
        <f t="shared" si="474"/>
        <v/>
      </c>
      <c r="CW36" s="1091" t="str">
        <f t="shared" si="475"/>
        <v/>
      </c>
      <c r="CX36" s="1131">
        <f t="shared" si="476"/>
        <v>0</v>
      </c>
      <c r="CY36" s="1091" t="str">
        <f t="shared" si="477"/>
        <v/>
      </c>
      <c r="CZ36" s="1091" t="str">
        <f t="shared" si="478"/>
        <v/>
      </c>
      <c r="DA36" s="1131">
        <f t="shared" si="479"/>
        <v>0</v>
      </c>
      <c r="DB36" s="1091" t="str">
        <f t="shared" si="480"/>
        <v/>
      </c>
      <c r="DC36" s="1091" t="str">
        <f t="shared" si="481"/>
        <v/>
      </c>
      <c r="DD36" s="1130">
        <f t="shared" si="63"/>
        <v>0</v>
      </c>
      <c r="DE36" s="1091" t="str">
        <f t="shared" si="64"/>
        <v/>
      </c>
      <c r="DF36" s="1130">
        <f t="shared" si="65"/>
        <v>0</v>
      </c>
      <c r="DG36" s="1091" t="str">
        <f t="shared" si="66"/>
        <v/>
      </c>
      <c r="DH36" s="1088">
        <f t="shared" si="213"/>
        <v>0</v>
      </c>
      <c r="DI36" s="1091" t="str">
        <f t="shared" si="482"/>
        <v/>
      </c>
      <c r="DJ36" s="1091" t="str">
        <f t="shared" si="483"/>
        <v/>
      </c>
      <c r="DK36" s="1090">
        <f t="shared" si="216"/>
        <v>0</v>
      </c>
      <c r="DL36" s="1091" t="str">
        <f t="shared" si="484"/>
        <v/>
      </c>
      <c r="DM36" s="1091" t="str">
        <f t="shared" si="485"/>
        <v/>
      </c>
      <c r="DN36" s="1090">
        <f t="shared" si="219"/>
        <v>0</v>
      </c>
      <c r="DO36" s="1091" t="str">
        <f t="shared" si="486"/>
        <v/>
      </c>
      <c r="DP36" s="1091">
        <f t="shared" si="487"/>
        <v>0</v>
      </c>
      <c r="DQ36" s="1130">
        <f t="shared" si="73"/>
        <v>0</v>
      </c>
      <c r="DR36" s="1091" t="str">
        <f t="shared" si="74"/>
        <v/>
      </c>
      <c r="DS36" s="1130">
        <f t="shared" si="75"/>
        <v>0</v>
      </c>
      <c r="DT36" s="1091" t="str">
        <f t="shared" si="76"/>
        <v/>
      </c>
      <c r="DU36" s="1088">
        <f t="shared" si="488"/>
        <v>0</v>
      </c>
      <c r="DV36" s="1091" t="str">
        <f t="shared" si="489"/>
        <v/>
      </c>
      <c r="DW36" s="1091" t="str">
        <f t="shared" si="490"/>
        <v/>
      </c>
      <c r="DX36" s="1131">
        <f t="shared" si="491"/>
        <v>0</v>
      </c>
      <c r="DY36" s="1091" t="str">
        <f t="shared" si="492"/>
        <v/>
      </c>
      <c r="DZ36" s="1091" t="str">
        <f t="shared" si="493"/>
        <v/>
      </c>
      <c r="EA36" s="1131">
        <f t="shared" si="494"/>
        <v>0</v>
      </c>
      <c r="EB36" s="1091" t="str">
        <f t="shared" si="495"/>
        <v/>
      </c>
      <c r="EC36" s="1091" t="str">
        <f t="shared" si="496"/>
        <v/>
      </c>
      <c r="ED36" s="1130">
        <f t="shared" si="80"/>
        <v>0</v>
      </c>
      <c r="EE36" s="1091" t="str">
        <f t="shared" si="81"/>
        <v/>
      </c>
      <c r="EF36" s="1130">
        <f t="shared" si="82"/>
        <v>0</v>
      </c>
      <c r="EG36" s="1091" t="str">
        <f t="shared" si="83"/>
        <v/>
      </c>
      <c r="EH36" s="1088">
        <f t="shared" si="497"/>
        <v>0</v>
      </c>
      <c r="EI36" s="1091" t="str">
        <f t="shared" si="498"/>
        <v/>
      </c>
      <c r="EJ36" s="1091" t="str">
        <f t="shared" si="499"/>
        <v/>
      </c>
      <c r="EK36" s="1131">
        <f t="shared" si="500"/>
        <v>0</v>
      </c>
      <c r="EL36" s="1091" t="str">
        <f t="shared" si="501"/>
        <v/>
      </c>
      <c r="EM36" s="1091" t="str">
        <f t="shared" si="502"/>
        <v/>
      </c>
      <c r="EN36" s="1131">
        <f t="shared" si="503"/>
        <v>0</v>
      </c>
      <c r="EO36" s="1091" t="str">
        <f t="shared" si="504"/>
        <v/>
      </c>
      <c r="EP36" s="1091" t="str">
        <f t="shared" si="505"/>
        <v/>
      </c>
      <c r="EQ36" s="1130">
        <f t="shared" si="87"/>
        <v>0</v>
      </c>
      <c r="ER36" s="1091" t="str">
        <f t="shared" si="88"/>
        <v/>
      </c>
      <c r="ES36" s="1130">
        <f t="shared" si="89"/>
        <v>0</v>
      </c>
      <c r="ET36" s="1091" t="str">
        <f t="shared" si="90"/>
        <v/>
      </c>
      <c r="EU36" s="1088">
        <f t="shared" si="506"/>
        <v>0</v>
      </c>
      <c r="EV36" s="1091" t="str">
        <f t="shared" si="507"/>
        <v/>
      </c>
      <c r="EW36" s="1091" t="str">
        <f t="shared" si="508"/>
        <v/>
      </c>
      <c r="EX36" s="1131">
        <f t="shared" si="509"/>
        <v>0</v>
      </c>
      <c r="EY36" s="1091" t="str">
        <f t="shared" si="510"/>
        <v/>
      </c>
      <c r="EZ36" s="1091" t="str">
        <f t="shared" si="511"/>
        <v/>
      </c>
      <c r="FA36" s="1131">
        <f t="shared" si="512"/>
        <v>0</v>
      </c>
      <c r="FB36" s="1091" t="str">
        <f t="shared" si="513"/>
        <v/>
      </c>
      <c r="FC36" s="1091" t="str">
        <f t="shared" si="514"/>
        <v/>
      </c>
      <c r="FD36" s="1130">
        <f t="shared" si="94"/>
        <v>0</v>
      </c>
      <c r="FE36" s="1091" t="str">
        <f t="shared" si="95"/>
        <v/>
      </c>
      <c r="FF36" s="1130">
        <f t="shared" si="96"/>
        <v>0</v>
      </c>
      <c r="FG36" s="1091" t="str">
        <f t="shared" si="97"/>
        <v/>
      </c>
      <c r="FH36" s="1088">
        <f t="shared" si="240"/>
        <v>0</v>
      </c>
      <c r="FI36" s="1091" t="str">
        <f t="shared" si="515"/>
        <v/>
      </c>
      <c r="FJ36" s="1091" t="str">
        <f t="shared" si="516"/>
        <v/>
      </c>
      <c r="FK36" s="1090">
        <f t="shared" si="243"/>
        <v>0</v>
      </c>
      <c r="FL36" s="1091" t="str">
        <f t="shared" si="517"/>
        <v/>
      </c>
      <c r="FM36" s="1091" t="str">
        <f t="shared" si="518"/>
        <v/>
      </c>
      <c r="FN36" s="1090">
        <f t="shared" si="246"/>
        <v>0</v>
      </c>
      <c r="FO36" s="1091" t="str">
        <f t="shared" si="519"/>
        <v/>
      </c>
      <c r="FP36" s="1091" t="str">
        <f t="shared" si="520"/>
        <v/>
      </c>
      <c r="FQ36" s="1130">
        <f t="shared" si="104"/>
        <v>0</v>
      </c>
      <c r="FR36" s="1091" t="str">
        <f t="shared" si="105"/>
        <v/>
      </c>
      <c r="FS36" s="1130">
        <f t="shared" si="106"/>
        <v>0</v>
      </c>
      <c r="FT36" s="1091" t="str">
        <f t="shared" si="107"/>
        <v/>
      </c>
      <c r="FU36" s="1088">
        <f t="shared" si="521"/>
        <v>0</v>
      </c>
      <c r="FV36" s="1091" t="str">
        <f t="shared" si="522"/>
        <v/>
      </c>
      <c r="FW36" s="1091" t="str">
        <f t="shared" si="523"/>
        <v/>
      </c>
      <c r="FX36" s="1131">
        <f t="shared" si="524"/>
        <v>0</v>
      </c>
      <c r="FY36" s="1091" t="str">
        <f t="shared" si="525"/>
        <v/>
      </c>
      <c r="FZ36" s="1091" t="str">
        <f t="shared" si="526"/>
        <v/>
      </c>
      <c r="GA36" s="1131">
        <f t="shared" si="527"/>
        <v>0</v>
      </c>
      <c r="GB36" s="1091" t="str">
        <f t="shared" si="528"/>
        <v/>
      </c>
      <c r="GC36" s="1091" t="str">
        <f t="shared" si="529"/>
        <v/>
      </c>
      <c r="GD36" s="1130">
        <f t="shared" si="111"/>
        <v>0</v>
      </c>
      <c r="GE36" s="1091" t="str">
        <f t="shared" si="112"/>
        <v/>
      </c>
      <c r="GF36" s="1130">
        <f t="shared" si="113"/>
        <v>0</v>
      </c>
      <c r="GG36" s="1091" t="str">
        <f t="shared" si="114"/>
        <v/>
      </c>
      <c r="GH36" s="1088">
        <f t="shared" si="530"/>
        <v>0</v>
      </c>
      <c r="GI36" s="1091" t="str">
        <f t="shared" si="531"/>
        <v/>
      </c>
      <c r="GJ36" s="1091" t="str">
        <f t="shared" si="532"/>
        <v/>
      </c>
      <c r="GK36" s="1131">
        <f t="shared" si="533"/>
        <v>0</v>
      </c>
      <c r="GL36" s="1091" t="str">
        <f t="shared" si="534"/>
        <v/>
      </c>
      <c r="GM36" s="1091" t="str">
        <f t="shared" si="535"/>
        <v/>
      </c>
      <c r="GN36" s="1131">
        <f t="shared" si="536"/>
        <v>0</v>
      </c>
      <c r="GO36" s="1091" t="str">
        <f t="shared" si="537"/>
        <v/>
      </c>
      <c r="GP36" s="1091" t="str">
        <f t="shared" si="538"/>
        <v/>
      </c>
      <c r="GQ36" s="1130">
        <f t="shared" si="118"/>
        <v>0</v>
      </c>
      <c r="GR36" s="1091" t="str">
        <f t="shared" si="119"/>
        <v/>
      </c>
      <c r="GS36" s="1130">
        <f t="shared" si="120"/>
        <v>0</v>
      </c>
      <c r="GT36" s="1091" t="str">
        <f t="shared" si="121"/>
        <v/>
      </c>
      <c r="GU36" s="1088">
        <f t="shared" si="539"/>
        <v>0</v>
      </c>
      <c r="GV36" s="1091" t="str">
        <f t="shared" si="540"/>
        <v/>
      </c>
      <c r="GW36" s="1091" t="str">
        <f t="shared" si="541"/>
        <v/>
      </c>
      <c r="GX36" s="1131">
        <f t="shared" si="542"/>
        <v>0</v>
      </c>
      <c r="GY36" s="1091" t="str">
        <f t="shared" si="543"/>
        <v/>
      </c>
      <c r="GZ36" s="1091" t="str">
        <f t="shared" si="544"/>
        <v/>
      </c>
      <c r="HA36" s="1131">
        <f t="shared" si="545"/>
        <v>0</v>
      </c>
      <c r="HB36" s="1091" t="str">
        <f t="shared" si="546"/>
        <v/>
      </c>
      <c r="HC36" s="1091" t="str">
        <f t="shared" si="547"/>
        <v/>
      </c>
      <c r="HD36" s="1130">
        <f t="shared" si="125"/>
        <v>0</v>
      </c>
      <c r="HE36" s="1091" t="str">
        <f t="shared" si="126"/>
        <v/>
      </c>
      <c r="HF36" s="1130">
        <f t="shared" si="127"/>
        <v>0</v>
      </c>
      <c r="HG36" s="1091" t="str">
        <f t="shared" si="128"/>
        <v/>
      </c>
      <c r="HH36" s="1088">
        <f t="shared" si="267"/>
        <v>0</v>
      </c>
      <c r="HI36" s="1091" t="str">
        <f t="shared" si="548"/>
        <v/>
      </c>
      <c r="HJ36" s="1091" t="str">
        <f t="shared" si="549"/>
        <v/>
      </c>
      <c r="HK36" s="1090">
        <f t="shared" si="270"/>
        <v>0</v>
      </c>
      <c r="HL36" s="1091" t="str">
        <f t="shared" si="550"/>
        <v/>
      </c>
      <c r="HM36" s="1091" t="str">
        <f t="shared" si="551"/>
        <v/>
      </c>
      <c r="HN36" s="1090">
        <f t="shared" si="273"/>
        <v>0</v>
      </c>
      <c r="HO36" s="1091" t="str">
        <f t="shared" si="552"/>
        <v/>
      </c>
      <c r="HP36" s="1091" t="str">
        <f t="shared" si="553"/>
        <v/>
      </c>
      <c r="HQ36" s="1130">
        <f t="shared" si="135"/>
        <v>0</v>
      </c>
      <c r="HR36" s="1091" t="str">
        <f t="shared" si="136"/>
        <v/>
      </c>
      <c r="HS36" s="1130">
        <f t="shared" si="137"/>
        <v>0</v>
      </c>
      <c r="HT36" s="1091" t="str">
        <f t="shared" si="138"/>
        <v/>
      </c>
      <c r="HU36" s="1088">
        <f t="shared" si="276"/>
        <v>0</v>
      </c>
      <c r="HV36" s="1091" t="str">
        <f t="shared" si="554"/>
        <v/>
      </c>
      <c r="HW36" s="1091" t="str">
        <f t="shared" si="555"/>
        <v/>
      </c>
      <c r="HX36" s="1090">
        <f t="shared" si="279"/>
        <v>0</v>
      </c>
      <c r="HY36" s="1091" t="str">
        <f t="shared" si="556"/>
        <v/>
      </c>
      <c r="HZ36" s="1091" t="str">
        <f t="shared" si="557"/>
        <v/>
      </c>
      <c r="IA36" s="1090">
        <f t="shared" si="282"/>
        <v>0</v>
      </c>
      <c r="IB36" s="1091" t="str">
        <f t="shared" si="558"/>
        <v/>
      </c>
      <c r="IC36" s="1091" t="str">
        <f t="shared" si="559"/>
        <v/>
      </c>
      <c r="ID36" s="1130">
        <f t="shared" si="145"/>
        <v>0</v>
      </c>
      <c r="IE36" s="1091" t="str">
        <f t="shared" si="146"/>
        <v/>
      </c>
      <c r="IF36" s="1130">
        <f t="shared" si="147"/>
        <v>0</v>
      </c>
      <c r="IG36" s="1091" t="str">
        <f t="shared" si="148"/>
        <v/>
      </c>
      <c r="IH36" s="1088">
        <f t="shared" si="285"/>
        <v>0</v>
      </c>
      <c r="II36" s="1091" t="str">
        <f t="shared" si="560"/>
        <v/>
      </c>
      <c r="IJ36" s="1091" t="str">
        <f t="shared" si="561"/>
        <v/>
      </c>
      <c r="IK36" s="1090">
        <f t="shared" si="288"/>
        <v>0</v>
      </c>
      <c r="IL36" s="1091" t="str">
        <f t="shared" si="562"/>
        <v/>
      </c>
      <c r="IM36" s="1091" t="str">
        <f t="shared" si="563"/>
        <v/>
      </c>
      <c r="IN36" s="1090">
        <f t="shared" si="291"/>
        <v>0</v>
      </c>
      <c r="IO36" s="1091" t="str">
        <f t="shared" si="564"/>
        <v/>
      </c>
      <c r="IP36" s="1091">
        <f t="shared" si="565"/>
        <v>0</v>
      </c>
      <c r="IQ36" s="1130">
        <f t="shared" si="155"/>
        <v>0</v>
      </c>
      <c r="IR36" s="1091" t="str">
        <f t="shared" si="1"/>
        <v/>
      </c>
      <c r="IS36" s="1130">
        <f t="shared" si="156"/>
        <v>0</v>
      </c>
      <c r="IT36" s="1091" t="str">
        <f t="shared" si="2"/>
        <v/>
      </c>
    </row>
    <row r="37" outlineLevel="1">
      <c r="A37" s="1086">
        <f t="shared" si="411"/>
        <v>6</v>
      </c>
      <c r="B37" s="1087"/>
      <c r="C37" s="656" t="s">
        <v>705</v>
      </c>
      <c r="D37" s="1087" t="str">
        <f t="shared" si="412"/>
        <v>DAT</v>
      </c>
      <c r="E37" s="1087"/>
      <c r="F37" s="1087"/>
      <c r="G37" s="1086">
        <v>2.0</v>
      </c>
      <c r="H37" s="1088">
        <f t="shared" si="413"/>
        <v>0</v>
      </c>
      <c r="I37" s="1091" t="str">
        <f t="shared" si="414"/>
        <v/>
      </c>
      <c r="J37" s="1091" t="str">
        <f t="shared" si="415"/>
        <v/>
      </c>
      <c r="K37" s="1090">
        <f t="shared" si="416"/>
        <v>0</v>
      </c>
      <c r="L37" s="1091" t="str">
        <f t="shared" si="417"/>
        <v/>
      </c>
      <c r="M37" s="1091" t="str">
        <f t="shared" si="418"/>
        <v/>
      </c>
      <c r="N37" s="1090">
        <f t="shared" si="419"/>
        <v>0</v>
      </c>
      <c r="O37" s="1091" t="str">
        <f t="shared" si="420"/>
        <v/>
      </c>
      <c r="P37" s="1091">
        <f t="shared" si="421"/>
        <v>0</v>
      </c>
      <c r="Q37" s="1130">
        <f t="shared" si="8"/>
        <v>0</v>
      </c>
      <c r="R37" s="1091" t="str">
        <f t="shared" si="9"/>
        <v/>
      </c>
      <c r="S37" s="1130">
        <f t="shared" si="10"/>
        <v>0</v>
      </c>
      <c r="T37" s="1091" t="str">
        <f t="shared" si="11"/>
        <v/>
      </c>
      <c r="U37" s="1088">
        <f t="shared" si="422"/>
        <v>0</v>
      </c>
      <c r="V37" s="1091" t="str">
        <f t="shared" si="423"/>
        <v/>
      </c>
      <c r="W37" s="1091" t="str">
        <f t="shared" si="424"/>
        <v/>
      </c>
      <c r="X37" s="1090">
        <f t="shared" si="425"/>
        <v>0</v>
      </c>
      <c r="Y37" s="1091" t="str">
        <f t="shared" si="426"/>
        <v/>
      </c>
      <c r="Z37" s="1091" t="str">
        <f t="shared" si="427"/>
        <v/>
      </c>
      <c r="AA37" s="1090">
        <f t="shared" si="428"/>
        <v>0</v>
      </c>
      <c r="AB37" s="1091" t="str">
        <f t="shared" si="429"/>
        <v/>
      </c>
      <c r="AC37" s="1091" t="str">
        <f t="shared" si="430"/>
        <v/>
      </c>
      <c r="AD37" s="1130">
        <f t="shared" si="15"/>
        <v>0</v>
      </c>
      <c r="AE37" s="1091" t="str">
        <f t="shared" si="16"/>
        <v/>
      </c>
      <c r="AF37" s="1130">
        <f t="shared" si="17"/>
        <v>0</v>
      </c>
      <c r="AG37" s="1091" t="str">
        <f t="shared" si="18"/>
        <v/>
      </c>
      <c r="AH37" s="1088">
        <f t="shared" si="431"/>
        <v>0</v>
      </c>
      <c r="AI37" s="1091" t="str">
        <f t="shared" si="432"/>
        <v/>
      </c>
      <c r="AJ37" s="1091" t="str">
        <f t="shared" si="433"/>
        <v/>
      </c>
      <c r="AK37" s="1090">
        <f t="shared" si="434"/>
        <v>0</v>
      </c>
      <c r="AL37" s="1091" t="str">
        <f t="shared" si="435"/>
        <v/>
      </c>
      <c r="AM37" s="1091" t="str">
        <f t="shared" si="436"/>
        <v/>
      </c>
      <c r="AN37" s="1090">
        <f t="shared" si="437"/>
        <v>0</v>
      </c>
      <c r="AO37" s="1091" t="str">
        <f t="shared" si="438"/>
        <v/>
      </c>
      <c r="AP37" s="1091" t="str">
        <f t="shared" si="439"/>
        <v/>
      </c>
      <c r="AQ37" s="1130">
        <f t="shared" si="22"/>
        <v>0</v>
      </c>
      <c r="AR37" s="1091" t="str">
        <f t="shared" si="23"/>
        <v/>
      </c>
      <c r="AS37" s="1130">
        <f t="shared" si="24"/>
        <v>0</v>
      </c>
      <c r="AT37" s="1091" t="str">
        <f t="shared" si="25"/>
        <v/>
      </c>
      <c r="AU37" s="1088">
        <f t="shared" si="177"/>
        <v>0</v>
      </c>
      <c r="AV37" s="1091" t="str">
        <f t="shared" si="440"/>
        <v/>
      </c>
      <c r="AW37" s="1091" t="str">
        <f t="shared" si="441"/>
        <v/>
      </c>
      <c r="AX37" s="1090">
        <f t="shared" si="180"/>
        <v>0</v>
      </c>
      <c r="AY37" s="1091" t="str">
        <f t="shared" si="442"/>
        <v/>
      </c>
      <c r="AZ37" s="1091" t="str">
        <f t="shared" si="443"/>
        <v/>
      </c>
      <c r="BA37" s="1090">
        <f t="shared" si="444"/>
        <v>0</v>
      </c>
      <c r="BB37" s="1091" t="str">
        <f t="shared" si="445"/>
        <v/>
      </c>
      <c r="BC37" s="1091">
        <f t="shared" si="446"/>
        <v>0</v>
      </c>
      <c r="BD37" s="1130">
        <f t="shared" si="32"/>
        <v>0</v>
      </c>
      <c r="BE37" s="1091" t="str">
        <f t="shared" si="33"/>
        <v/>
      </c>
      <c r="BF37" s="1130">
        <f t="shared" si="34"/>
        <v>0</v>
      </c>
      <c r="BG37" s="1091" t="str">
        <f t="shared" si="35"/>
        <v/>
      </c>
      <c r="BH37" s="1088">
        <f t="shared" si="447"/>
        <v>0</v>
      </c>
      <c r="BI37" s="1091" t="str">
        <f t="shared" si="448"/>
        <v/>
      </c>
      <c r="BJ37" s="1091" t="str">
        <f t="shared" si="449"/>
        <v/>
      </c>
      <c r="BK37" s="1090">
        <f t="shared" si="450"/>
        <v>0</v>
      </c>
      <c r="BL37" s="1091" t="str">
        <f t="shared" si="451"/>
        <v/>
      </c>
      <c r="BM37" s="1091" t="str">
        <f t="shared" si="452"/>
        <v/>
      </c>
      <c r="BN37" s="1090">
        <f t="shared" si="453"/>
        <v>0</v>
      </c>
      <c r="BO37" s="1091" t="str">
        <f t="shared" si="454"/>
        <v/>
      </c>
      <c r="BP37" s="1091" t="str">
        <f t="shared" si="455"/>
        <v/>
      </c>
      <c r="BQ37" s="1130">
        <f t="shared" si="39"/>
        <v>0</v>
      </c>
      <c r="BR37" s="1091" t="str">
        <f t="shared" si="40"/>
        <v/>
      </c>
      <c r="BS37" s="1130">
        <f t="shared" si="41"/>
        <v>0</v>
      </c>
      <c r="BT37" s="1091" t="str">
        <f t="shared" si="42"/>
        <v/>
      </c>
      <c r="BU37" s="1088">
        <f t="shared" si="456"/>
        <v>0</v>
      </c>
      <c r="BV37" s="1091" t="str">
        <f t="shared" si="457"/>
        <v/>
      </c>
      <c r="BW37" s="1091" t="str">
        <f t="shared" si="458"/>
        <v/>
      </c>
      <c r="BX37" s="1131">
        <f t="shared" si="459"/>
        <v>0</v>
      </c>
      <c r="BY37" s="1091" t="str">
        <f t="shared" si="460"/>
        <v/>
      </c>
      <c r="BZ37" s="1091" t="str">
        <f t="shared" si="461"/>
        <v/>
      </c>
      <c r="CA37" s="1131">
        <f t="shared" si="462"/>
        <v>0</v>
      </c>
      <c r="CB37" s="1091" t="str">
        <f t="shared" si="463"/>
        <v/>
      </c>
      <c r="CC37" s="1091" t="str">
        <f t="shared" si="464"/>
        <v/>
      </c>
      <c r="CD37" s="1130">
        <f t="shared" si="46"/>
        <v>0</v>
      </c>
      <c r="CE37" s="1091" t="str">
        <f t="shared" si="47"/>
        <v/>
      </c>
      <c r="CF37" s="1130">
        <f t="shared" si="48"/>
        <v>0</v>
      </c>
      <c r="CG37" s="1091" t="str">
        <f t="shared" si="49"/>
        <v/>
      </c>
      <c r="CH37" s="1088">
        <f t="shared" si="465"/>
        <v>0</v>
      </c>
      <c r="CI37" s="1091" t="str">
        <f t="shared" si="466"/>
        <v/>
      </c>
      <c r="CJ37" s="1091" t="str">
        <f t="shared" si="467"/>
        <v/>
      </c>
      <c r="CK37" s="1131">
        <f t="shared" si="468"/>
        <v>0</v>
      </c>
      <c r="CL37" s="1091" t="str">
        <f t="shared" si="469"/>
        <v/>
      </c>
      <c r="CM37" s="1091" t="str">
        <f t="shared" si="470"/>
        <v/>
      </c>
      <c r="CN37" s="1131">
        <f t="shared" si="471"/>
        <v>0</v>
      </c>
      <c r="CO37" s="1091" t="str">
        <f t="shared" si="472"/>
        <v/>
      </c>
      <c r="CP37" s="1091" t="str">
        <f t="shared" si="473"/>
        <v/>
      </c>
      <c r="CQ37" s="1130">
        <f t="shared" si="53"/>
        <v>0</v>
      </c>
      <c r="CR37" s="1091" t="str">
        <f t="shared" si="54"/>
        <v/>
      </c>
      <c r="CS37" s="1130">
        <f t="shared" si="55"/>
        <v>0</v>
      </c>
      <c r="CT37" s="1091" t="str">
        <f t="shared" si="56"/>
        <v/>
      </c>
      <c r="CU37" s="1088">
        <f t="shared" si="204"/>
        <v>0</v>
      </c>
      <c r="CV37" s="1091" t="str">
        <f t="shared" si="474"/>
        <v/>
      </c>
      <c r="CW37" s="1091" t="str">
        <f t="shared" si="475"/>
        <v/>
      </c>
      <c r="CX37" s="1131">
        <f t="shared" si="476"/>
        <v>0</v>
      </c>
      <c r="CY37" s="1091" t="str">
        <f t="shared" si="477"/>
        <v/>
      </c>
      <c r="CZ37" s="1091" t="str">
        <f t="shared" si="478"/>
        <v/>
      </c>
      <c r="DA37" s="1131">
        <f t="shared" si="479"/>
        <v>0</v>
      </c>
      <c r="DB37" s="1091" t="str">
        <f t="shared" si="480"/>
        <v/>
      </c>
      <c r="DC37" s="1091" t="str">
        <f t="shared" si="481"/>
        <v/>
      </c>
      <c r="DD37" s="1130">
        <f t="shared" si="63"/>
        <v>0</v>
      </c>
      <c r="DE37" s="1091" t="str">
        <f t="shared" si="64"/>
        <v/>
      </c>
      <c r="DF37" s="1130">
        <f t="shared" si="65"/>
        <v>0</v>
      </c>
      <c r="DG37" s="1091" t="str">
        <f t="shared" si="66"/>
        <v/>
      </c>
      <c r="DH37" s="1088">
        <f t="shared" si="213"/>
        <v>0</v>
      </c>
      <c r="DI37" s="1091" t="str">
        <f t="shared" si="482"/>
        <v/>
      </c>
      <c r="DJ37" s="1091" t="str">
        <f t="shared" si="483"/>
        <v/>
      </c>
      <c r="DK37" s="1090">
        <f t="shared" si="216"/>
        <v>0</v>
      </c>
      <c r="DL37" s="1091" t="str">
        <f t="shared" si="484"/>
        <v/>
      </c>
      <c r="DM37" s="1091" t="str">
        <f t="shared" si="485"/>
        <v/>
      </c>
      <c r="DN37" s="1090">
        <f t="shared" si="219"/>
        <v>0</v>
      </c>
      <c r="DO37" s="1091" t="str">
        <f t="shared" si="486"/>
        <v/>
      </c>
      <c r="DP37" s="1091">
        <f t="shared" si="487"/>
        <v>0</v>
      </c>
      <c r="DQ37" s="1130">
        <f t="shared" si="73"/>
        <v>0</v>
      </c>
      <c r="DR37" s="1091" t="str">
        <f t="shared" si="74"/>
        <v/>
      </c>
      <c r="DS37" s="1130">
        <f t="shared" si="75"/>
        <v>0</v>
      </c>
      <c r="DT37" s="1091" t="str">
        <f t="shared" si="76"/>
        <v/>
      </c>
      <c r="DU37" s="1088">
        <f t="shared" si="488"/>
        <v>0</v>
      </c>
      <c r="DV37" s="1091" t="str">
        <f t="shared" si="489"/>
        <v/>
      </c>
      <c r="DW37" s="1091" t="str">
        <f t="shared" si="490"/>
        <v/>
      </c>
      <c r="DX37" s="1131">
        <f t="shared" si="491"/>
        <v>0</v>
      </c>
      <c r="DY37" s="1091" t="str">
        <f t="shared" si="492"/>
        <v/>
      </c>
      <c r="DZ37" s="1091" t="str">
        <f t="shared" si="493"/>
        <v/>
      </c>
      <c r="EA37" s="1131">
        <f t="shared" si="494"/>
        <v>0</v>
      </c>
      <c r="EB37" s="1091" t="str">
        <f t="shared" si="495"/>
        <v/>
      </c>
      <c r="EC37" s="1091" t="str">
        <f t="shared" si="496"/>
        <v/>
      </c>
      <c r="ED37" s="1130">
        <f t="shared" si="80"/>
        <v>0</v>
      </c>
      <c r="EE37" s="1091" t="str">
        <f t="shared" si="81"/>
        <v/>
      </c>
      <c r="EF37" s="1130">
        <f t="shared" si="82"/>
        <v>0</v>
      </c>
      <c r="EG37" s="1091" t="str">
        <f t="shared" si="83"/>
        <v/>
      </c>
      <c r="EH37" s="1088">
        <f t="shared" si="497"/>
        <v>0</v>
      </c>
      <c r="EI37" s="1091" t="str">
        <f t="shared" si="498"/>
        <v/>
      </c>
      <c r="EJ37" s="1091" t="str">
        <f t="shared" si="499"/>
        <v/>
      </c>
      <c r="EK37" s="1131">
        <f t="shared" si="500"/>
        <v>0</v>
      </c>
      <c r="EL37" s="1091" t="str">
        <f t="shared" si="501"/>
        <v/>
      </c>
      <c r="EM37" s="1091" t="str">
        <f t="shared" si="502"/>
        <v/>
      </c>
      <c r="EN37" s="1131">
        <f t="shared" si="503"/>
        <v>0</v>
      </c>
      <c r="EO37" s="1091" t="str">
        <f t="shared" si="504"/>
        <v/>
      </c>
      <c r="EP37" s="1091" t="str">
        <f t="shared" si="505"/>
        <v/>
      </c>
      <c r="EQ37" s="1130">
        <f t="shared" si="87"/>
        <v>0</v>
      </c>
      <c r="ER37" s="1091" t="str">
        <f t="shared" si="88"/>
        <v/>
      </c>
      <c r="ES37" s="1130">
        <f t="shared" si="89"/>
        <v>0</v>
      </c>
      <c r="ET37" s="1091" t="str">
        <f t="shared" si="90"/>
        <v/>
      </c>
      <c r="EU37" s="1088">
        <f t="shared" si="506"/>
        <v>0</v>
      </c>
      <c r="EV37" s="1091" t="str">
        <f t="shared" si="507"/>
        <v/>
      </c>
      <c r="EW37" s="1091" t="str">
        <f t="shared" si="508"/>
        <v/>
      </c>
      <c r="EX37" s="1131">
        <f t="shared" si="509"/>
        <v>0</v>
      </c>
      <c r="EY37" s="1091" t="str">
        <f t="shared" si="510"/>
        <v/>
      </c>
      <c r="EZ37" s="1091" t="str">
        <f t="shared" si="511"/>
        <v/>
      </c>
      <c r="FA37" s="1131">
        <f t="shared" si="512"/>
        <v>0</v>
      </c>
      <c r="FB37" s="1091" t="str">
        <f t="shared" si="513"/>
        <v/>
      </c>
      <c r="FC37" s="1091" t="str">
        <f t="shared" si="514"/>
        <v/>
      </c>
      <c r="FD37" s="1130">
        <f t="shared" si="94"/>
        <v>0</v>
      </c>
      <c r="FE37" s="1091" t="str">
        <f t="shared" si="95"/>
        <v/>
      </c>
      <c r="FF37" s="1130">
        <f t="shared" si="96"/>
        <v>0</v>
      </c>
      <c r="FG37" s="1091" t="str">
        <f t="shared" si="97"/>
        <v/>
      </c>
      <c r="FH37" s="1088">
        <f t="shared" si="240"/>
        <v>0</v>
      </c>
      <c r="FI37" s="1091" t="str">
        <f t="shared" si="515"/>
        <v/>
      </c>
      <c r="FJ37" s="1091" t="str">
        <f t="shared" si="516"/>
        <v/>
      </c>
      <c r="FK37" s="1090">
        <f t="shared" si="243"/>
        <v>0</v>
      </c>
      <c r="FL37" s="1091" t="str">
        <f t="shared" si="517"/>
        <v/>
      </c>
      <c r="FM37" s="1091" t="str">
        <f t="shared" si="518"/>
        <v/>
      </c>
      <c r="FN37" s="1090">
        <f t="shared" si="246"/>
        <v>0</v>
      </c>
      <c r="FO37" s="1091" t="str">
        <f t="shared" si="519"/>
        <v/>
      </c>
      <c r="FP37" s="1091" t="str">
        <f t="shared" si="520"/>
        <v/>
      </c>
      <c r="FQ37" s="1130">
        <f t="shared" si="104"/>
        <v>0</v>
      </c>
      <c r="FR37" s="1091" t="str">
        <f t="shared" si="105"/>
        <v/>
      </c>
      <c r="FS37" s="1130">
        <f t="shared" si="106"/>
        <v>0</v>
      </c>
      <c r="FT37" s="1091" t="str">
        <f t="shared" si="107"/>
        <v/>
      </c>
      <c r="FU37" s="1088">
        <f t="shared" si="521"/>
        <v>0</v>
      </c>
      <c r="FV37" s="1091" t="str">
        <f t="shared" si="522"/>
        <v/>
      </c>
      <c r="FW37" s="1091" t="str">
        <f t="shared" si="523"/>
        <v/>
      </c>
      <c r="FX37" s="1131">
        <f t="shared" si="524"/>
        <v>0</v>
      </c>
      <c r="FY37" s="1091" t="str">
        <f t="shared" si="525"/>
        <v/>
      </c>
      <c r="FZ37" s="1091" t="str">
        <f t="shared" si="526"/>
        <v/>
      </c>
      <c r="GA37" s="1131">
        <f t="shared" si="527"/>
        <v>0</v>
      </c>
      <c r="GB37" s="1091" t="str">
        <f t="shared" si="528"/>
        <v/>
      </c>
      <c r="GC37" s="1091" t="str">
        <f t="shared" si="529"/>
        <v/>
      </c>
      <c r="GD37" s="1130">
        <f t="shared" si="111"/>
        <v>0</v>
      </c>
      <c r="GE37" s="1091" t="str">
        <f t="shared" si="112"/>
        <v/>
      </c>
      <c r="GF37" s="1130">
        <f t="shared" si="113"/>
        <v>0</v>
      </c>
      <c r="GG37" s="1091" t="str">
        <f t="shared" si="114"/>
        <v/>
      </c>
      <c r="GH37" s="1088">
        <f t="shared" si="530"/>
        <v>0</v>
      </c>
      <c r="GI37" s="1091" t="str">
        <f t="shared" si="531"/>
        <v/>
      </c>
      <c r="GJ37" s="1091" t="str">
        <f t="shared" si="532"/>
        <v/>
      </c>
      <c r="GK37" s="1131">
        <f t="shared" si="533"/>
        <v>0</v>
      </c>
      <c r="GL37" s="1091" t="str">
        <f t="shared" si="534"/>
        <v/>
      </c>
      <c r="GM37" s="1091" t="str">
        <f t="shared" si="535"/>
        <v/>
      </c>
      <c r="GN37" s="1131">
        <f t="shared" si="536"/>
        <v>0</v>
      </c>
      <c r="GO37" s="1091" t="str">
        <f t="shared" si="537"/>
        <v/>
      </c>
      <c r="GP37" s="1091" t="str">
        <f t="shared" si="538"/>
        <v/>
      </c>
      <c r="GQ37" s="1130">
        <f t="shared" si="118"/>
        <v>0</v>
      </c>
      <c r="GR37" s="1091" t="str">
        <f t="shared" si="119"/>
        <v/>
      </c>
      <c r="GS37" s="1130">
        <f t="shared" si="120"/>
        <v>0</v>
      </c>
      <c r="GT37" s="1091" t="str">
        <f t="shared" si="121"/>
        <v/>
      </c>
      <c r="GU37" s="1088">
        <f t="shared" si="539"/>
        <v>0</v>
      </c>
      <c r="GV37" s="1091" t="str">
        <f t="shared" si="540"/>
        <v/>
      </c>
      <c r="GW37" s="1091" t="str">
        <f t="shared" si="541"/>
        <v/>
      </c>
      <c r="GX37" s="1131">
        <f t="shared" si="542"/>
        <v>0</v>
      </c>
      <c r="GY37" s="1091" t="str">
        <f t="shared" si="543"/>
        <v/>
      </c>
      <c r="GZ37" s="1091" t="str">
        <f t="shared" si="544"/>
        <v/>
      </c>
      <c r="HA37" s="1131">
        <f t="shared" si="545"/>
        <v>0</v>
      </c>
      <c r="HB37" s="1091" t="str">
        <f t="shared" si="546"/>
        <v/>
      </c>
      <c r="HC37" s="1091" t="str">
        <f t="shared" si="547"/>
        <v/>
      </c>
      <c r="HD37" s="1130">
        <f t="shared" si="125"/>
        <v>0</v>
      </c>
      <c r="HE37" s="1091" t="str">
        <f t="shared" si="126"/>
        <v/>
      </c>
      <c r="HF37" s="1130">
        <f t="shared" si="127"/>
        <v>0</v>
      </c>
      <c r="HG37" s="1091" t="str">
        <f t="shared" si="128"/>
        <v/>
      </c>
      <c r="HH37" s="1088">
        <f t="shared" si="267"/>
        <v>0</v>
      </c>
      <c r="HI37" s="1091" t="str">
        <f t="shared" si="548"/>
        <v/>
      </c>
      <c r="HJ37" s="1091" t="str">
        <f t="shared" si="549"/>
        <v/>
      </c>
      <c r="HK37" s="1090">
        <f t="shared" si="270"/>
        <v>0</v>
      </c>
      <c r="HL37" s="1091" t="str">
        <f t="shared" si="550"/>
        <v/>
      </c>
      <c r="HM37" s="1091" t="str">
        <f t="shared" si="551"/>
        <v/>
      </c>
      <c r="HN37" s="1090">
        <f t="shared" si="273"/>
        <v>0</v>
      </c>
      <c r="HO37" s="1091" t="str">
        <f t="shared" si="552"/>
        <v/>
      </c>
      <c r="HP37" s="1091" t="str">
        <f t="shared" si="553"/>
        <v/>
      </c>
      <c r="HQ37" s="1130">
        <f t="shared" si="135"/>
        <v>0</v>
      </c>
      <c r="HR37" s="1091" t="str">
        <f t="shared" si="136"/>
        <v/>
      </c>
      <c r="HS37" s="1130">
        <f t="shared" si="137"/>
        <v>0</v>
      </c>
      <c r="HT37" s="1091" t="str">
        <f t="shared" si="138"/>
        <v/>
      </c>
      <c r="HU37" s="1088">
        <f t="shared" si="276"/>
        <v>0</v>
      </c>
      <c r="HV37" s="1091" t="str">
        <f t="shared" si="554"/>
        <v/>
      </c>
      <c r="HW37" s="1091" t="str">
        <f t="shared" si="555"/>
        <v/>
      </c>
      <c r="HX37" s="1090">
        <f t="shared" si="279"/>
        <v>0</v>
      </c>
      <c r="HY37" s="1091" t="str">
        <f t="shared" si="556"/>
        <v/>
      </c>
      <c r="HZ37" s="1091" t="str">
        <f t="shared" si="557"/>
        <v/>
      </c>
      <c r="IA37" s="1090">
        <f t="shared" si="282"/>
        <v>0</v>
      </c>
      <c r="IB37" s="1091" t="str">
        <f t="shared" si="558"/>
        <v/>
      </c>
      <c r="IC37" s="1091" t="str">
        <f t="shared" si="559"/>
        <v/>
      </c>
      <c r="ID37" s="1130">
        <f t="shared" si="145"/>
        <v>0</v>
      </c>
      <c r="IE37" s="1091" t="str">
        <f t="shared" si="146"/>
        <v/>
      </c>
      <c r="IF37" s="1130">
        <f t="shared" si="147"/>
        <v>0</v>
      </c>
      <c r="IG37" s="1091" t="str">
        <f t="shared" si="148"/>
        <v/>
      </c>
      <c r="IH37" s="1088">
        <f t="shared" si="285"/>
        <v>0</v>
      </c>
      <c r="II37" s="1091" t="str">
        <f t="shared" si="560"/>
        <v/>
      </c>
      <c r="IJ37" s="1091" t="str">
        <f t="shared" si="561"/>
        <v/>
      </c>
      <c r="IK37" s="1090">
        <f t="shared" si="288"/>
        <v>0</v>
      </c>
      <c r="IL37" s="1091" t="str">
        <f t="shared" si="562"/>
        <v/>
      </c>
      <c r="IM37" s="1091" t="str">
        <f t="shared" si="563"/>
        <v/>
      </c>
      <c r="IN37" s="1090">
        <f t="shared" si="291"/>
        <v>0</v>
      </c>
      <c r="IO37" s="1091" t="str">
        <f t="shared" si="564"/>
        <v/>
      </c>
      <c r="IP37" s="1091">
        <f t="shared" si="565"/>
        <v>0</v>
      </c>
      <c r="IQ37" s="1130">
        <f t="shared" si="155"/>
        <v>0</v>
      </c>
      <c r="IR37" s="1091" t="str">
        <f t="shared" si="1"/>
        <v/>
      </c>
      <c r="IS37" s="1130">
        <f t="shared" si="156"/>
        <v>0</v>
      </c>
      <c r="IT37" s="1091" t="str">
        <f t="shared" si="2"/>
        <v/>
      </c>
    </row>
    <row r="38" outlineLevel="1">
      <c r="A38" s="1086">
        <f t="shared" si="411"/>
        <v>7</v>
      </c>
      <c r="B38" s="1087"/>
      <c r="C38" s="656" t="s">
        <v>810</v>
      </c>
      <c r="D38" s="1087" t="str">
        <f t="shared" si="412"/>
        <v>QUY</v>
      </c>
      <c r="E38" s="1087"/>
      <c r="F38" s="1087"/>
      <c r="G38" s="1086">
        <v>2.0</v>
      </c>
      <c r="H38" s="1088">
        <f t="shared" si="413"/>
        <v>0</v>
      </c>
      <c r="I38" s="1091" t="str">
        <f t="shared" si="414"/>
        <v/>
      </c>
      <c r="J38" s="1091" t="str">
        <f t="shared" si="415"/>
        <v/>
      </c>
      <c r="K38" s="1090">
        <f t="shared" si="416"/>
        <v>0</v>
      </c>
      <c r="L38" s="1091" t="str">
        <f t="shared" si="417"/>
        <v/>
      </c>
      <c r="M38" s="1091" t="str">
        <f t="shared" si="418"/>
        <v/>
      </c>
      <c r="N38" s="1090">
        <f t="shared" si="419"/>
        <v>0</v>
      </c>
      <c r="O38" s="1091" t="str">
        <f t="shared" si="420"/>
        <v/>
      </c>
      <c r="P38" s="1091">
        <f t="shared" si="421"/>
        <v>0</v>
      </c>
      <c r="Q38" s="1130">
        <f t="shared" si="8"/>
        <v>0</v>
      </c>
      <c r="R38" s="1091" t="str">
        <f t="shared" si="9"/>
        <v/>
      </c>
      <c r="S38" s="1130">
        <f t="shared" si="10"/>
        <v>0</v>
      </c>
      <c r="T38" s="1091" t="str">
        <f t="shared" si="11"/>
        <v/>
      </c>
      <c r="U38" s="1088">
        <f t="shared" si="422"/>
        <v>0</v>
      </c>
      <c r="V38" s="1091" t="str">
        <f t="shared" si="423"/>
        <v/>
      </c>
      <c r="W38" s="1091" t="str">
        <f t="shared" si="424"/>
        <v/>
      </c>
      <c r="X38" s="1090">
        <f t="shared" si="425"/>
        <v>0</v>
      </c>
      <c r="Y38" s="1091" t="str">
        <f t="shared" si="426"/>
        <v/>
      </c>
      <c r="Z38" s="1091" t="str">
        <f t="shared" si="427"/>
        <v/>
      </c>
      <c r="AA38" s="1090">
        <f t="shared" si="428"/>
        <v>0</v>
      </c>
      <c r="AB38" s="1091" t="str">
        <f t="shared" si="429"/>
        <v/>
      </c>
      <c r="AC38" s="1091" t="str">
        <f t="shared" si="430"/>
        <v/>
      </c>
      <c r="AD38" s="1130">
        <f t="shared" si="15"/>
        <v>0</v>
      </c>
      <c r="AE38" s="1091" t="str">
        <f t="shared" si="16"/>
        <v/>
      </c>
      <c r="AF38" s="1130">
        <f t="shared" si="17"/>
        <v>0</v>
      </c>
      <c r="AG38" s="1091" t="str">
        <f t="shared" si="18"/>
        <v/>
      </c>
      <c r="AH38" s="1088">
        <f t="shared" si="431"/>
        <v>0</v>
      </c>
      <c r="AI38" s="1091" t="str">
        <f t="shared" si="432"/>
        <v/>
      </c>
      <c r="AJ38" s="1091" t="str">
        <f t="shared" si="433"/>
        <v/>
      </c>
      <c r="AK38" s="1090">
        <f t="shared" si="434"/>
        <v>0</v>
      </c>
      <c r="AL38" s="1091" t="str">
        <f t="shared" si="435"/>
        <v/>
      </c>
      <c r="AM38" s="1091" t="str">
        <f t="shared" si="436"/>
        <v/>
      </c>
      <c r="AN38" s="1090">
        <f t="shared" si="437"/>
        <v>0</v>
      </c>
      <c r="AO38" s="1091" t="str">
        <f t="shared" si="438"/>
        <v/>
      </c>
      <c r="AP38" s="1091" t="str">
        <f t="shared" si="439"/>
        <v/>
      </c>
      <c r="AQ38" s="1130">
        <f t="shared" si="22"/>
        <v>0</v>
      </c>
      <c r="AR38" s="1091" t="str">
        <f t="shared" si="23"/>
        <v/>
      </c>
      <c r="AS38" s="1130">
        <f t="shared" si="24"/>
        <v>0</v>
      </c>
      <c r="AT38" s="1091" t="str">
        <f t="shared" si="25"/>
        <v/>
      </c>
      <c r="AU38" s="1088">
        <f t="shared" si="177"/>
        <v>0</v>
      </c>
      <c r="AV38" s="1091" t="str">
        <f t="shared" si="440"/>
        <v/>
      </c>
      <c r="AW38" s="1091" t="str">
        <f t="shared" si="441"/>
        <v/>
      </c>
      <c r="AX38" s="1090">
        <f t="shared" si="180"/>
        <v>0</v>
      </c>
      <c r="AY38" s="1091" t="str">
        <f t="shared" si="442"/>
        <v/>
      </c>
      <c r="AZ38" s="1091" t="str">
        <f t="shared" si="443"/>
        <v/>
      </c>
      <c r="BA38" s="1090">
        <f t="shared" si="444"/>
        <v>0</v>
      </c>
      <c r="BB38" s="1091" t="str">
        <f t="shared" si="445"/>
        <v/>
      </c>
      <c r="BC38" s="1091">
        <f t="shared" si="446"/>
        <v>0</v>
      </c>
      <c r="BD38" s="1130">
        <f t="shared" si="32"/>
        <v>0</v>
      </c>
      <c r="BE38" s="1091" t="str">
        <f t="shared" si="33"/>
        <v/>
      </c>
      <c r="BF38" s="1130">
        <f t="shared" si="34"/>
        <v>0</v>
      </c>
      <c r="BG38" s="1091" t="str">
        <f t="shared" si="35"/>
        <v/>
      </c>
      <c r="BH38" s="1088">
        <f t="shared" si="447"/>
        <v>0</v>
      </c>
      <c r="BI38" s="1091" t="str">
        <f t="shared" si="448"/>
        <v/>
      </c>
      <c r="BJ38" s="1091" t="str">
        <f t="shared" si="449"/>
        <v/>
      </c>
      <c r="BK38" s="1090">
        <f t="shared" si="450"/>
        <v>0</v>
      </c>
      <c r="BL38" s="1091" t="str">
        <f t="shared" si="451"/>
        <v/>
      </c>
      <c r="BM38" s="1091" t="str">
        <f t="shared" si="452"/>
        <v/>
      </c>
      <c r="BN38" s="1090">
        <f t="shared" si="453"/>
        <v>0</v>
      </c>
      <c r="BO38" s="1091" t="str">
        <f t="shared" si="454"/>
        <v/>
      </c>
      <c r="BP38" s="1091" t="str">
        <f t="shared" si="455"/>
        <v/>
      </c>
      <c r="BQ38" s="1130">
        <f t="shared" si="39"/>
        <v>0</v>
      </c>
      <c r="BR38" s="1091" t="str">
        <f t="shared" si="40"/>
        <v/>
      </c>
      <c r="BS38" s="1130">
        <f t="shared" si="41"/>
        <v>0</v>
      </c>
      <c r="BT38" s="1091" t="str">
        <f t="shared" si="42"/>
        <v/>
      </c>
      <c r="BU38" s="1088">
        <f t="shared" si="456"/>
        <v>0</v>
      </c>
      <c r="BV38" s="1091" t="str">
        <f t="shared" si="457"/>
        <v/>
      </c>
      <c r="BW38" s="1091" t="str">
        <f t="shared" si="458"/>
        <v/>
      </c>
      <c r="BX38" s="1131">
        <f t="shared" si="459"/>
        <v>0</v>
      </c>
      <c r="BY38" s="1091" t="str">
        <f t="shared" si="460"/>
        <v/>
      </c>
      <c r="BZ38" s="1091" t="str">
        <f t="shared" si="461"/>
        <v/>
      </c>
      <c r="CA38" s="1131">
        <f t="shared" si="462"/>
        <v>0</v>
      </c>
      <c r="CB38" s="1091" t="str">
        <f t="shared" si="463"/>
        <v/>
      </c>
      <c r="CC38" s="1091" t="str">
        <f t="shared" si="464"/>
        <v/>
      </c>
      <c r="CD38" s="1130">
        <f t="shared" si="46"/>
        <v>0</v>
      </c>
      <c r="CE38" s="1091" t="str">
        <f t="shared" si="47"/>
        <v/>
      </c>
      <c r="CF38" s="1130">
        <f t="shared" si="48"/>
        <v>0</v>
      </c>
      <c r="CG38" s="1091" t="str">
        <f t="shared" si="49"/>
        <v/>
      </c>
      <c r="CH38" s="1088">
        <f t="shared" si="465"/>
        <v>0</v>
      </c>
      <c r="CI38" s="1091" t="str">
        <f t="shared" si="466"/>
        <v/>
      </c>
      <c r="CJ38" s="1091" t="str">
        <f t="shared" si="467"/>
        <v/>
      </c>
      <c r="CK38" s="1131">
        <f t="shared" si="468"/>
        <v>0</v>
      </c>
      <c r="CL38" s="1091" t="str">
        <f t="shared" si="469"/>
        <v/>
      </c>
      <c r="CM38" s="1091" t="str">
        <f t="shared" si="470"/>
        <v/>
      </c>
      <c r="CN38" s="1131">
        <f t="shared" si="471"/>
        <v>0</v>
      </c>
      <c r="CO38" s="1091" t="str">
        <f t="shared" si="472"/>
        <v/>
      </c>
      <c r="CP38" s="1091" t="str">
        <f t="shared" si="473"/>
        <v/>
      </c>
      <c r="CQ38" s="1130">
        <f t="shared" si="53"/>
        <v>0</v>
      </c>
      <c r="CR38" s="1091" t="str">
        <f t="shared" si="54"/>
        <v/>
      </c>
      <c r="CS38" s="1130">
        <f t="shared" si="55"/>
        <v>0</v>
      </c>
      <c r="CT38" s="1091" t="str">
        <f t="shared" si="56"/>
        <v/>
      </c>
      <c r="CU38" s="1088">
        <f t="shared" si="204"/>
        <v>0</v>
      </c>
      <c r="CV38" s="1091" t="str">
        <f t="shared" si="474"/>
        <v/>
      </c>
      <c r="CW38" s="1091" t="str">
        <f t="shared" si="475"/>
        <v/>
      </c>
      <c r="CX38" s="1131">
        <f t="shared" si="476"/>
        <v>0</v>
      </c>
      <c r="CY38" s="1091" t="str">
        <f t="shared" si="477"/>
        <v/>
      </c>
      <c r="CZ38" s="1091" t="str">
        <f t="shared" si="478"/>
        <v/>
      </c>
      <c r="DA38" s="1131">
        <f t="shared" si="479"/>
        <v>0</v>
      </c>
      <c r="DB38" s="1091" t="str">
        <f t="shared" si="480"/>
        <v/>
      </c>
      <c r="DC38" s="1091" t="str">
        <f t="shared" si="481"/>
        <v/>
      </c>
      <c r="DD38" s="1130">
        <f t="shared" si="63"/>
        <v>0</v>
      </c>
      <c r="DE38" s="1091" t="str">
        <f t="shared" si="64"/>
        <v/>
      </c>
      <c r="DF38" s="1130">
        <f t="shared" si="65"/>
        <v>0</v>
      </c>
      <c r="DG38" s="1091" t="str">
        <f t="shared" si="66"/>
        <v/>
      </c>
      <c r="DH38" s="1088">
        <f t="shared" si="213"/>
        <v>0</v>
      </c>
      <c r="DI38" s="1091" t="str">
        <f t="shared" si="482"/>
        <v/>
      </c>
      <c r="DJ38" s="1091" t="str">
        <f t="shared" si="483"/>
        <v/>
      </c>
      <c r="DK38" s="1090">
        <f t="shared" si="216"/>
        <v>0</v>
      </c>
      <c r="DL38" s="1091" t="str">
        <f t="shared" si="484"/>
        <v/>
      </c>
      <c r="DM38" s="1091" t="str">
        <f t="shared" si="485"/>
        <v/>
      </c>
      <c r="DN38" s="1090">
        <f t="shared" si="219"/>
        <v>0</v>
      </c>
      <c r="DO38" s="1091" t="str">
        <f t="shared" si="486"/>
        <v/>
      </c>
      <c r="DP38" s="1091">
        <f t="shared" si="487"/>
        <v>0</v>
      </c>
      <c r="DQ38" s="1130">
        <f t="shared" si="73"/>
        <v>0</v>
      </c>
      <c r="DR38" s="1091" t="str">
        <f t="shared" si="74"/>
        <v/>
      </c>
      <c r="DS38" s="1130">
        <f t="shared" si="75"/>
        <v>0</v>
      </c>
      <c r="DT38" s="1091" t="str">
        <f t="shared" si="76"/>
        <v/>
      </c>
      <c r="DU38" s="1088">
        <f t="shared" si="488"/>
        <v>0</v>
      </c>
      <c r="DV38" s="1091" t="str">
        <f t="shared" si="489"/>
        <v/>
      </c>
      <c r="DW38" s="1091" t="str">
        <f t="shared" si="490"/>
        <v/>
      </c>
      <c r="DX38" s="1131">
        <f t="shared" si="491"/>
        <v>0</v>
      </c>
      <c r="DY38" s="1091" t="str">
        <f t="shared" si="492"/>
        <v/>
      </c>
      <c r="DZ38" s="1091" t="str">
        <f t="shared" si="493"/>
        <v/>
      </c>
      <c r="EA38" s="1131">
        <f t="shared" si="494"/>
        <v>0</v>
      </c>
      <c r="EB38" s="1091" t="str">
        <f t="shared" si="495"/>
        <v/>
      </c>
      <c r="EC38" s="1091" t="str">
        <f t="shared" si="496"/>
        <v/>
      </c>
      <c r="ED38" s="1130">
        <f t="shared" si="80"/>
        <v>0</v>
      </c>
      <c r="EE38" s="1091" t="str">
        <f t="shared" si="81"/>
        <v/>
      </c>
      <c r="EF38" s="1130">
        <f t="shared" si="82"/>
        <v>0</v>
      </c>
      <c r="EG38" s="1091" t="str">
        <f t="shared" si="83"/>
        <v/>
      </c>
      <c r="EH38" s="1088">
        <f t="shared" si="497"/>
        <v>0</v>
      </c>
      <c r="EI38" s="1091" t="str">
        <f t="shared" si="498"/>
        <v/>
      </c>
      <c r="EJ38" s="1091" t="str">
        <f t="shared" si="499"/>
        <v/>
      </c>
      <c r="EK38" s="1131">
        <f t="shared" si="500"/>
        <v>0</v>
      </c>
      <c r="EL38" s="1091" t="str">
        <f t="shared" si="501"/>
        <v/>
      </c>
      <c r="EM38" s="1091" t="str">
        <f t="shared" si="502"/>
        <v/>
      </c>
      <c r="EN38" s="1131">
        <f t="shared" si="503"/>
        <v>0</v>
      </c>
      <c r="EO38" s="1091" t="str">
        <f t="shared" si="504"/>
        <v/>
      </c>
      <c r="EP38" s="1091" t="str">
        <f t="shared" si="505"/>
        <v/>
      </c>
      <c r="EQ38" s="1130">
        <f t="shared" si="87"/>
        <v>0</v>
      </c>
      <c r="ER38" s="1091" t="str">
        <f t="shared" si="88"/>
        <v/>
      </c>
      <c r="ES38" s="1130">
        <f t="shared" si="89"/>
        <v>0</v>
      </c>
      <c r="ET38" s="1091" t="str">
        <f t="shared" si="90"/>
        <v/>
      </c>
      <c r="EU38" s="1088">
        <f t="shared" si="506"/>
        <v>0</v>
      </c>
      <c r="EV38" s="1091" t="str">
        <f t="shared" si="507"/>
        <v/>
      </c>
      <c r="EW38" s="1091" t="str">
        <f t="shared" si="508"/>
        <v/>
      </c>
      <c r="EX38" s="1131">
        <f t="shared" si="509"/>
        <v>0</v>
      </c>
      <c r="EY38" s="1091" t="str">
        <f t="shared" si="510"/>
        <v/>
      </c>
      <c r="EZ38" s="1091" t="str">
        <f t="shared" si="511"/>
        <v/>
      </c>
      <c r="FA38" s="1131">
        <f t="shared" si="512"/>
        <v>0</v>
      </c>
      <c r="FB38" s="1091" t="str">
        <f t="shared" si="513"/>
        <v/>
      </c>
      <c r="FC38" s="1091" t="str">
        <f t="shared" si="514"/>
        <v/>
      </c>
      <c r="FD38" s="1130">
        <f t="shared" si="94"/>
        <v>0</v>
      </c>
      <c r="FE38" s="1091" t="str">
        <f t="shared" si="95"/>
        <v/>
      </c>
      <c r="FF38" s="1130">
        <f t="shared" si="96"/>
        <v>0</v>
      </c>
      <c r="FG38" s="1091" t="str">
        <f t="shared" si="97"/>
        <v/>
      </c>
      <c r="FH38" s="1088">
        <f t="shared" si="240"/>
        <v>0</v>
      </c>
      <c r="FI38" s="1091" t="str">
        <f t="shared" si="515"/>
        <v/>
      </c>
      <c r="FJ38" s="1091" t="str">
        <f t="shared" si="516"/>
        <v/>
      </c>
      <c r="FK38" s="1090">
        <f t="shared" si="243"/>
        <v>0</v>
      </c>
      <c r="FL38" s="1091" t="str">
        <f t="shared" si="517"/>
        <v/>
      </c>
      <c r="FM38" s="1091" t="str">
        <f t="shared" si="518"/>
        <v/>
      </c>
      <c r="FN38" s="1090">
        <f t="shared" si="246"/>
        <v>0</v>
      </c>
      <c r="FO38" s="1091" t="str">
        <f t="shared" si="519"/>
        <v/>
      </c>
      <c r="FP38" s="1091" t="str">
        <f t="shared" si="520"/>
        <v/>
      </c>
      <c r="FQ38" s="1130">
        <f t="shared" si="104"/>
        <v>0</v>
      </c>
      <c r="FR38" s="1091" t="str">
        <f t="shared" si="105"/>
        <v/>
      </c>
      <c r="FS38" s="1130">
        <f t="shared" si="106"/>
        <v>0</v>
      </c>
      <c r="FT38" s="1091" t="str">
        <f t="shared" si="107"/>
        <v/>
      </c>
      <c r="FU38" s="1088">
        <f t="shared" si="521"/>
        <v>0</v>
      </c>
      <c r="FV38" s="1091" t="str">
        <f t="shared" si="522"/>
        <v/>
      </c>
      <c r="FW38" s="1091" t="str">
        <f t="shared" si="523"/>
        <v/>
      </c>
      <c r="FX38" s="1131">
        <f t="shared" si="524"/>
        <v>0</v>
      </c>
      <c r="FY38" s="1091" t="str">
        <f t="shared" si="525"/>
        <v/>
      </c>
      <c r="FZ38" s="1091" t="str">
        <f t="shared" si="526"/>
        <v/>
      </c>
      <c r="GA38" s="1131">
        <f t="shared" si="527"/>
        <v>0</v>
      </c>
      <c r="GB38" s="1091" t="str">
        <f t="shared" si="528"/>
        <v/>
      </c>
      <c r="GC38" s="1091" t="str">
        <f t="shared" si="529"/>
        <v/>
      </c>
      <c r="GD38" s="1130">
        <f t="shared" si="111"/>
        <v>0</v>
      </c>
      <c r="GE38" s="1091" t="str">
        <f t="shared" si="112"/>
        <v/>
      </c>
      <c r="GF38" s="1130">
        <f t="shared" si="113"/>
        <v>0</v>
      </c>
      <c r="GG38" s="1091" t="str">
        <f t="shared" si="114"/>
        <v/>
      </c>
      <c r="GH38" s="1088">
        <f t="shared" si="530"/>
        <v>0</v>
      </c>
      <c r="GI38" s="1091" t="str">
        <f t="shared" si="531"/>
        <v/>
      </c>
      <c r="GJ38" s="1091" t="str">
        <f t="shared" si="532"/>
        <v/>
      </c>
      <c r="GK38" s="1131">
        <f t="shared" si="533"/>
        <v>0</v>
      </c>
      <c r="GL38" s="1091" t="str">
        <f t="shared" si="534"/>
        <v/>
      </c>
      <c r="GM38" s="1091" t="str">
        <f t="shared" si="535"/>
        <v/>
      </c>
      <c r="GN38" s="1131">
        <f t="shared" si="536"/>
        <v>0</v>
      </c>
      <c r="GO38" s="1091" t="str">
        <f t="shared" si="537"/>
        <v/>
      </c>
      <c r="GP38" s="1091" t="str">
        <f t="shared" si="538"/>
        <v/>
      </c>
      <c r="GQ38" s="1130">
        <f t="shared" si="118"/>
        <v>0</v>
      </c>
      <c r="GR38" s="1091" t="str">
        <f t="shared" si="119"/>
        <v/>
      </c>
      <c r="GS38" s="1130">
        <f t="shared" si="120"/>
        <v>0</v>
      </c>
      <c r="GT38" s="1091" t="str">
        <f t="shared" si="121"/>
        <v/>
      </c>
      <c r="GU38" s="1088">
        <f t="shared" si="539"/>
        <v>0</v>
      </c>
      <c r="GV38" s="1091" t="str">
        <f t="shared" si="540"/>
        <v/>
      </c>
      <c r="GW38" s="1091" t="str">
        <f t="shared" si="541"/>
        <v/>
      </c>
      <c r="GX38" s="1131">
        <f t="shared" si="542"/>
        <v>0</v>
      </c>
      <c r="GY38" s="1091" t="str">
        <f t="shared" si="543"/>
        <v/>
      </c>
      <c r="GZ38" s="1091" t="str">
        <f t="shared" si="544"/>
        <v/>
      </c>
      <c r="HA38" s="1131">
        <f t="shared" si="545"/>
        <v>0</v>
      </c>
      <c r="HB38" s="1091" t="str">
        <f t="shared" si="546"/>
        <v/>
      </c>
      <c r="HC38" s="1091" t="str">
        <f t="shared" si="547"/>
        <v/>
      </c>
      <c r="HD38" s="1130">
        <f t="shared" si="125"/>
        <v>0</v>
      </c>
      <c r="HE38" s="1091" t="str">
        <f t="shared" si="126"/>
        <v/>
      </c>
      <c r="HF38" s="1130">
        <f t="shared" si="127"/>
        <v>0</v>
      </c>
      <c r="HG38" s="1091" t="str">
        <f t="shared" si="128"/>
        <v/>
      </c>
      <c r="HH38" s="1088">
        <f t="shared" si="267"/>
        <v>0</v>
      </c>
      <c r="HI38" s="1091" t="str">
        <f t="shared" si="548"/>
        <v/>
      </c>
      <c r="HJ38" s="1091" t="str">
        <f t="shared" si="549"/>
        <v/>
      </c>
      <c r="HK38" s="1090">
        <f t="shared" si="270"/>
        <v>0</v>
      </c>
      <c r="HL38" s="1091" t="str">
        <f t="shared" si="550"/>
        <v/>
      </c>
      <c r="HM38" s="1091" t="str">
        <f t="shared" si="551"/>
        <v/>
      </c>
      <c r="HN38" s="1090">
        <f t="shared" si="273"/>
        <v>0</v>
      </c>
      <c r="HO38" s="1091" t="str">
        <f t="shared" si="552"/>
        <v/>
      </c>
      <c r="HP38" s="1091" t="str">
        <f t="shared" si="553"/>
        <v/>
      </c>
      <c r="HQ38" s="1130">
        <f t="shared" si="135"/>
        <v>0</v>
      </c>
      <c r="HR38" s="1091" t="str">
        <f t="shared" si="136"/>
        <v/>
      </c>
      <c r="HS38" s="1130">
        <f t="shared" si="137"/>
        <v>0</v>
      </c>
      <c r="HT38" s="1091" t="str">
        <f t="shared" si="138"/>
        <v/>
      </c>
      <c r="HU38" s="1088">
        <f t="shared" si="276"/>
        <v>0</v>
      </c>
      <c r="HV38" s="1091" t="str">
        <f t="shared" si="554"/>
        <v/>
      </c>
      <c r="HW38" s="1091" t="str">
        <f t="shared" si="555"/>
        <v/>
      </c>
      <c r="HX38" s="1090">
        <f t="shared" si="279"/>
        <v>0</v>
      </c>
      <c r="HY38" s="1091" t="str">
        <f t="shared" si="556"/>
        <v/>
      </c>
      <c r="HZ38" s="1091" t="str">
        <f t="shared" si="557"/>
        <v/>
      </c>
      <c r="IA38" s="1090">
        <f t="shared" si="282"/>
        <v>0</v>
      </c>
      <c r="IB38" s="1091" t="str">
        <f t="shared" si="558"/>
        <v/>
      </c>
      <c r="IC38" s="1091" t="str">
        <f t="shared" si="559"/>
        <v/>
      </c>
      <c r="ID38" s="1130">
        <f t="shared" si="145"/>
        <v>0</v>
      </c>
      <c r="IE38" s="1091" t="str">
        <f t="shared" si="146"/>
        <v/>
      </c>
      <c r="IF38" s="1130">
        <f t="shared" si="147"/>
        <v>0</v>
      </c>
      <c r="IG38" s="1091" t="str">
        <f t="shared" si="148"/>
        <v/>
      </c>
      <c r="IH38" s="1088">
        <f t="shared" si="285"/>
        <v>0</v>
      </c>
      <c r="II38" s="1091" t="str">
        <f t="shared" si="560"/>
        <v/>
      </c>
      <c r="IJ38" s="1091" t="str">
        <f t="shared" si="561"/>
        <v/>
      </c>
      <c r="IK38" s="1090">
        <f t="shared" si="288"/>
        <v>0</v>
      </c>
      <c r="IL38" s="1091" t="str">
        <f t="shared" si="562"/>
        <v/>
      </c>
      <c r="IM38" s="1091" t="str">
        <f t="shared" si="563"/>
        <v/>
      </c>
      <c r="IN38" s="1090">
        <f t="shared" si="291"/>
        <v>0</v>
      </c>
      <c r="IO38" s="1091" t="str">
        <f t="shared" si="564"/>
        <v/>
      </c>
      <c r="IP38" s="1091">
        <f t="shared" si="565"/>
        <v>0</v>
      </c>
      <c r="IQ38" s="1130">
        <f t="shared" si="155"/>
        <v>0</v>
      </c>
      <c r="IR38" s="1091" t="str">
        <f t="shared" si="1"/>
        <v/>
      </c>
      <c r="IS38" s="1130">
        <f t="shared" si="156"/>
        <v>0</v>
      </c>
      <c r="IT38" s="1091" t="str">
        <f t="shared" si="2"/>
        <v/>
      </c>
    </row>
    <row r="39" outlineLevel="1">
      <c r="A39" s="1086" t="str">
        <f t="shared" si="411"/>
        <v/>
      </c>
      <c r="B39" s="1087"/>
      <c r="C39" s="656"/>
      <c r="D39" s="1087" t="str">
        <f>IF(C39="","",VLOOKUP(C39,DM_DUAN,2,0))</f>
        <v/>
      </c>
      <c r="E39" s="1087"/>
      <c r="F39" s="1087"/>
      <c r="G39" s="1086">
        <v>2.0</v>
      </c>
      <c r="H39" s="1088">
        <f t="shared" si="413"/>
        <v>0</v>
      </c>
      <c r="I39" s="1091" t="str">
        <f t="shared" si="414"/>
        <v/>
      </c>
      <c r="J39" s="1091" t="str">
        <f t="shared" si="415"/>
        <v/>
      </c>
      <c r="K39" s="1090">
        <f t="shared" si="416"/>
        <v>0</v>
      </c>
      <c r="L39" s="1091" t="str">
        <f t="shared" si="417"/>
        <v/>
      </c>
      <c r="M39" s="1091" t="str">
        <f t="shared" si="418"/>
        <v/>
      </c>
      <c r="N39" s="1090">
        <f t="shared" si="419"/>
        <v>0</v>
      </c>
      <c r="O39" s="1091" t="str">
        <f t="shared" si="420"/>
        <v/>
      </c>
      <c r="P39" s="1091">
        <f t="shared" si="421"/>
        <v>0</v>
      </c>
      <c r="Q39" s="1130">
        <f t="shared" si="8"/>
        <v>0</v>
      </c>
      <c r="R39" s="1091" t="str">
        <f t="shared" si="9"/>
        <v/>
      </c>
      <c r="S39" s="1130">
        <f t="shared" si="10"/>
        <v>0</v>
      </c>
      <c r="T39" s="1091" t="str">
        <f t="shared" si="11"/>
        <v/>
      </c>
      <c r="U39" s="1088">
        <f t="shared" si="422"/>
        <v>0</v>
      </c>
      <c r="V39" s="1091" t="str">
        <f t="shared" si="423"/>
        <v/>
      </c>
      <c r="W39" s="1091" t="str">
        <f t="shared" si="424"/>
        <v/>
      </c>
      <c r="X39" s="1090">
        <f t="shared" si="425"/>
        <v>0</v>
      </c>
      <c r="Y39" s="1091" t="str">
        <f t="shared" si="426"/>
        <v/>
      </c>
      <c r="Z39" s="1091" t="str">
        <f t="shared" si="427"/>
        <v/>
      </c>
      <c r="AA39" s="1090">
        <f t="shared" si="428"/>
        <v>0</v>
      </c>
      <c r="AB39" s="1091" t="str">
        <f t="shared" si="429"/>
        <v/>
      </c>
      <c r="AC39" s="1091" t="str">
        <f t="shared" si="430"/>
        <v/>
      </c>
      <c r="AD39" s="1130">
        <f t="shared" si="15"/>
        <v>0</v>
      </c>
      <c r="AE39" s="1091" t="str">
        <f t="shared" si="16"/>
        <v/>
      </c>
      <c r="AF39" s="1130">
        <f t="shared" si="17"/>
        <v>0</v>
      </c>
      <c r="AG39" s="1091" t="str">
        <f t="shared" si="18"/>
        <v/>
      </c>
      <c r="AH39" s="1088">
        <f t="shared" si="431"/>
        <v>0</v>
      </c>
      <c r="AI39" s="1091" t="str">
        <f t="shared" si="432"/>
        <v/>
      </c>
      <c r="AJ39" s="1091" t="str">
        <f t="shared" si="433"/>
        <v/>
      </c>
      <c r="AK39" s="1090">
        <f t="shared" si="434"/>
        <v>0</v>
      </c>
      <c r="AL39" s="1091" t="str">
        <f t="shared" si="435"/>
        <v/>
      </c>
      <c r="AM39" s="1091" t="str">
        <f t="shared" si="436"/>
        <v/>
      </c>
      <c r="AN39" s="1090">
        <f t="shared" si="437"/>
        <v>0</v>
      </c>
      <c r="AO39" s="1091" t="str">
        <f t="shared" si="438"/>
        <v/>
      </c>
      <c r="AP39" s="1091" t="str">
        <f t="shared" si="439"/>
        <v/>
      </c>
      <c r="AQ39" s="1130">
        <f t="shared" si="22"/>
        <v>0</v>
      </c>
      <c r="AR39" s="1091" t="str">
        <f t="shared" si="23"/>
        <v/>
      </c>
      <c r="AS39" s="1130">
        <f t="shared" si="24"/>
        <v>0</v>
      </c>
      <c r="AT39" s="1091" t="str">
        <f t="shared" si="25"/>
        <v/>
      </c>
      <c r="AU39" s="1088">
        <f t="shared" si="177"/>
        <v>0</v>
      </c>
      <c r="AV39" s="1091" t="str">
        <f t="shared" si="440"/>
        <v/>
      </c>
      <c r="AW39" s="1091" t="str">
        <f t="shared" si="441"/>
        <v/>
      </c>
      <c r="AX39" s="1090">
        <f t="shared" si="180"/>
        <v>0</v>
      </c>
      <c r="AY39" s="1091" t="str">
        <f t="shared" si="442"/>
        <v/>
      </c>
      <c r="AZ39" s="1091" t="str">
        <f t="shared" si="443"/>
        <v/>
      </c>
      <c r="BA39" s="1090">
        <f t="shared" si="444"/>
        <v>0</v>
      </c>
      <c r="BB39" s="1091" t="str">
        <f t="shared" si="445"/>
        <v/>
      </c>
      <c r="BC39" s="1091">
        <f t="shared" si="446"/>
        <v>0</v>
      </c>
      <c r="BD39" s="1130">
        <f t="shared" si="32"/>
        <v>0</v>
      </c>
      <c r="BE39" s="1091" t="str">
        <f t="shared" si="33"/>
        <v/>
      </c>
      <c r="BF39" s="1130">
        <f t="shared" si="34"/>
        <v>0</v>
      </c>
      <c r="BG39" s="1091" t="str">
        <f t="shared" si="35"/>
        <v/>
      </c>
      <c r="BH39" s="1088">
        <f t="shared" si="447"/>
        <v>0</v>
      </c>
      <c r="BI39" s="1091" t="str">
        <f t="shared" si="448"/>
        <v/>
      </c>
      <c r="BJ39" s="1091" t="str">
        <f t="shared" si="449"/>
        <v/>
      </c>
      <c r="BK39" s="1090">
        <f t="shared" si="450"/>
        <v>0</v>
      </c>
      <c r="BL39" s="1091" t="str">
        <f t="shared" si="451"/>
        <v/>
      </c>
      <c r="BM39" s="1091" t="str">
        <f t="shared" si="452"/>
        <v/>
      </c>
      <c r="BN39" s="1090">
        <f t="shared" si="453"/>
        <v>0</v>
      </c>
      <c r="BO39" s="1091" t="str">
        <f t="shared" si="454"/>
        <v/>
      </c>
      <c r="BP39" s="1091" t="str">
        <f t="shared" si="455"/>
        <v/>
      </c>
      <c r="BQ39" s="1130">
        <f t="shared" si="39"/>
        <v>0</v>
      </c>
      <c r="BR39" s="1091" t="str">
        <f t="shared" si="40"/>
        <v/>
      </c>
      <c r="BS39" s="1130">
        <f t="shared" si="41"/>
        <v>0</v>
      </c>
      <c r="BT39" s="1091" t="str">
        <f t="shared" si="42"/>
        <v/>
      </c>
      <c r="BU39" s="1088">
        <f t="shared" si="456"/>
        <v>0</v>
      </c>
      <c r="BV39" s="1091" t="str">
        <f t="shared" si="457"/>
        <v/>
      </c>
      <c r="BW39" s="1091" t="str">
        <f t="shared" si="458"/>
        <v/>
      </c>
      <c r="BX39" s="1131">
        <f t="shared" si="459"/>
        <v>0</v>
      </c>
      <c r="BY39" s="1091" t="str">
        <f t="shared" si="460"/>
        <v/>
      </c>
      <c r="BZ39" s="1091" t="str">
        <f t="shared" si="461"/>
        <v/>
      </c>
      <c r="CA39" s="1131">
        <f t="shared" si="462"/>
        <v>0</v>
      </c>
      <c r="CB39" s="1091" t="str">
        <f t="shared" si="463"/>
        <v/>
      </c>
      <c r="CC39" s="1091" t="str">
        <f t="shared" si="464"/>
        <v/>
      </c>
      <c r="CD39" s="1130">
        <f t="shared" si="46"/>
        <v>0</v>
      </c>
      <c r="CE39" s="1091" t="str">
        <f t="shared" si="47"/>
        <v/>
      </c>
      <c r="CF39" s="1130">
        <f t="shared" si="48"/>
        <v>0</v>
      </c>
      <c r="CG39" s="1091" t="str">
        <f t="shared" si="49"/>
        <v/>
      </c>
      <c r="CH39" s="1088">
        <f t="shared" si="465"/>
        <v>0</v>
      </c>
      <c r="CI39" s="1091" t="str">
        <f t="shared" si="466"/>
        <v/>
      </c>
      <c r="CJ39" s="1091" t="str">
        <f t="shared" si="467"/>
        <v/>
      </c>
      <c r="CK39" s="1131">
        <f t="shared" si="468"/>
        <v>0</v>
      </c>
      <c r="CL39" s="1091" t="str">
        <f t="shared" si="469"/>
        <v/>
      </c>
      <c r="CM39" s="1091" t="str">
        <f t="shared" si="470"/>
        <v/>
      </c>
      <c r="CN39" s="1131">
        <f t="shared" si="471"/>
        <v>0</v>
      </c>
      <c r="CO39" s="1091" t="str">
        <f t="shared" si="472"/>
        <v/>
      </c>
      <c r="CP39" s="1091" t="str">
        <f t="shared" si="473"/>
        <v/>
      </c>
      <c r="CQ39" s="1130">
        <f t="shared" si="53"/>
        <v>0</v>
      </c>
      <c r="CR39" s="1091" t="str">
        <f t="shared" si="54"/>
        <v/>
      </c>
      <c r="CS39" s="1130">
        <f t="shared" si="55"/>
        <v>0</v>
      </c>
      <c r="CT39" s="1091" t="str">
        <f t="shared" si="56"/>
        <v/>
      </c>
      <c r="CU39" s="1088">
        <f t="shared" si="204"/>
        <v>0</v>
      </c>
      <c r="CV39" s="1091" t="str">
        <f t="shared" si="474"/>
        <v/>
      </c>
      <c r="CW39" s="1091" t="str">
        <f t="shared" si="475"/>
        <v/>
      </c>
      <c r="CX39" s="1131">
        <f t="shared" si="476"/>
        <v>0</v>
      </c>
      <c r="CY39" s="1091" t="str">
        <f t="shared" si="477"/>
        <v/>
      </c>
      <c r="CZ39" s="1091" t="str">
        <f t="shared" si="478"/>
        <v/>
      </c>
      <c r="DA39" s="1131">
        <f t="shared" si="479"/>
        <v>0</v>
      </c>
      <c r="DB39" s="1091" t="str">
        <f t="shared" si="480"/>
        <v/>
      </c>
      <c r="DC39" s="1091" t="str">
        <f t="shared" si="481"/>
        <v/>
      </c>
      <c r="DD39" s="1130">
        <f t="shared" si="63"/>
        <v>0</v>
      </c>
      <c r="DE39" s="1091" t="str">
        <f t="shared" si="64"/>
        <v/>
      </c>
      <c r="DF39" s="1130">
        <f t="shared" si="65"/>
        <v>0</v>
      </c>
      <c r="DG39" s="1091" t="str">
        <f t="shared" si="66"/>
        <v/>
      </c>
      <c r="DH39" s="1088">
        <f t="shared" si="213"/>
        <v>0</v>
      </c>
      <c r="DI39" s="1091" t="str">
        <f t="shared" si="482"/>
        <v/>
      </c>
      <c r="DJ39" s="1091" t="str">
        <f t="shared" si="483"/>
        <v/>
      </c>
      <c r="DK39" s="1090">
        <f t="shared" si="216"/>
        <v>0</v>
      </c>
      <c r="DL39" s="1091" t="str">
        <f t="shared" si="484"/>
        <v/>
      </c>
      <c r="DM39" s="1091" t="str">
        <f t="shared" si="485"/>
        <v/>
      </c>
      <c r="DN39" s="1090">
        <f t="shared" si="219"/>
        <v>0</v>
      </c>
      <c r="DO39" s="1091" t="str">
        <f t="shared" si="486"/>
        <v/>
      </c>
      <c r="DP39" s="1091">
        <f t="shared" si="487"/>
        <v>0</v>
      </c>
      <c r="DQ39" s="1130">
        <f t="shared" si="73"/>
        <v>0</v>
      </c>
      <c r="DR39" s="1091" t="str">
        <f t="shared" si="74"/>
        <v/>
      </c>
      <c r="DS39" s="1130">
        <f t="shared" si="75"/>
        <v>0</v>
      </c>
      <c r="DT39" s="1091" t="str">
        <f t="shared" si="76"/>
        <v/>
      </c>
      <c r="DU39" s="1088">
        <f t="shared" si="488"/>
        <v>0</v>
      </c>
      <c r="DV39" s="1091" t="str">
        <f t="shared" si="489"/>
        <v/>
      </c>
      <c r="DW39" s="1091" t="str">
        <f t="shared" si="490"/>
        <v/>
      </c>
      <c r="DX39" s="1131">
        <f t="shared" si="491"/>
        <v>0</v>
      </c>
      <c r="DY39" s="1091" t="str">
        <f t="shared" si="492"/>
        <v/>
      </c>
      <c r="DZ39" s="1091" t="str">
        <f t="shared" si="493"/>
        <v/>
      </c>
      <c r="EA39" s="1131">
        <f t="shared" si="494"/>
        <v>0</v>
      </c>
      <c r="EB39" s="1091" t="str">
        <f t="shared" si="495"/>
        <v/>
      </c>
      <c r="EC39" s="1091" t="str">
        <f t="shared" si="496"/>
        <v/>
      </c>
      <c r="ED39" s="1130">
        <f t="shared" si="80"/>
        <v>0</v>
      </c>
      <c r="EE39" s="1091" t="str">
        <f t="shared" si="81"/>
        <v/>
      </c>
      <c r="EF39" s="1130">
        <f t="shared" si="82"/>
        <v>0</v>
      </c>
      <c r="EG39" s="1091" t="str">
        <f t="shared" si="83"/>
        <v/>
      </c>
      <c r="EH39" s="1088">
        <f t="shared" si="497"/>
        <v>0</v>
      </c>
      <c r="EI39" s="1091" t="str">
        <f t="shared" si="498"/>
        <v/>
      </c>
      <c r="EJ39" s="1091" t="str">
        <f t="shared" si="499"/>
        <v/>
      </c>
      <c r="EK39" s="1131">
        <f t="shared" si="500"/>
        <v>0</v>
      </c>
      <c r="EL39" s="1091" t="str">
        <f t="shared" si="501"/>
        <v/>
      </c>
      <c r="EM39" s="1091" t="str">
        <f t="shared" si="502"/>
        <v/>
      </c>
      <c r="EN39" s="1131">
        <f t="shared" si="503"/>
        <v>0</v>
      </c>
      <c r="EO39" s="1091" t="str">
        <f t="shared" si="504"/>
        <v/>
      </c>
      <c r="EP39" s="1091" t="str">
        <f t="shared" si="505"/>
        <v/>
      </c>
      <c r="EQ39" s="1130">
        <f t="shared" si="87"/>
        <v>0</v>
      </c>
      <c r="ER39" s="1091" t="str">
        <f t="shared" si="88"/>
        <v/>
      </c>
      <c r="ES39" s="1130">
        <f t="shared" si="89"/>
        <v>0</v>
      </c>
      <c r="ET39" s="1091" t="str">
        <f t="shared" si="90"/>
        <v/>
      </c>
      <c r="EU39" s="1088">
        <f t="shared" si="506"/>
        <v>0</v>
      </c>
      <c r="EV39" s="1091" t="str">
        <f t="shared" si="507"/>
        <v/>
      </c>
      <c r="EW39" s="1091" t="str">
        <f t="shared" si="508"/>
        <v/>
      </c>
      <c r="EX39" s="1131">
        <f t="shared" si="509"/>
        <v>0</v>
      </c>
      <c r="EY39" s="1091" t="str">
        <f t="shared" si="510"/>
        <v/>
      </c>
      <c r="EZ39" s="1091" t="str">
        <f t="shared" si="511"/>
        <v/>
      </c>
      <c r="FA39" s="1131">
        <f t="shared" si="512"/>
        <v>0</v>
      </c>
      <c r="FB39" s="1091" t="str">
        <f t="shared" si="513"/>
        <v/>
      </c>
      <c r="FC39" s="1091" t="str">
        <f t="shared" si="514"/>
        <v/>
      </c>
      <c r="FD39" s="1130">
        <f t="shared" si="94"/>
        <v>0</v>
      </c>
      <c r="FE39" s="1091" t="str">
        <f t="shared" si="95"/>
        <v/>
      </c>
      <c r="FF39" s="1130">
        <f t="shared" si="96"/>
        <v>0</v>
      </c>
      <c r="FG39" s="1091" t="str">
        <f t="shared" si="97"/>
        <v/>
      </c>
      <c r="FH39" s="1088">
        <f t="shared" si="240"/>
        <v>0</v>
      </c>
      <c r="FI39" s="1091" t="str">
        <f t="shared" si="515"/>
        <v/>
      </c>
      <c r="FJ39" s="1091" t="str">
        <f t="shared" si="516"/>
        <v/>
      </c>
      <c r="FK39" s="1090">
        <f t="shared" si="243"/>
        <v>0</v>
      </c>
      <c r="FL39" s="1091" t="str">
        <f t="shared" si="517"/>
        <v/>
      </c>
      <c r="FM39" s="1091" t="str">
        <f t="shared" si="518"/>
        <v/>
      </c>
      <c r="FN39" s="1090">
        <f t="shared" si="246"/>
        <v>0</v>
      </c>
      <c r="FO39" s="1091" t="str">
        <f t="shared" si="519"/>
        <v/>
      </c>
      <c r="FP39" s="1091" t="str">
        <f t="shared" si="520"/>
        <v/>
      </c>
      <c r="FQ39" s="1130">
        <f t="shared" si="104"/>
        <v>0</v>
      </c>
      <c r="FR39" s="1091" t="str">
        <f t="shared" si="105"/>
        <v/>
      </c>
      <c r="FS39" s="1130">
        <f t="shared" si="106"/>
        <v>0</v>
      </c>
      <c r="FT39" s="1091" t="str">
        <f t="shared" si="107"/>
        <v/>
      </c>
      <c r="FU39" s="1088">
        <f t="shared" si="521"/>
        <v>0</v>
      </c>
      <c r="FV39" s="1091" t="str">
        <f t="shared" si="522"/>
        <v/>
      </c>
      <c r="FW39" s="1091" t="str">
        <f t="shared" si="523"/>
        <v/>
      </c>
      <c r="FX39" s="1131">
        <f t="shared" si="524"/>
        <v>0</v>
      </c>
      <c r="FY39" s="1091" t="str">
        <f t="shared" si="525"/>
        <v/>
      </c>
      <c r="FZ39" s="1091" t="str">
        <f t="shared" si="526"/>
        <v/>
      </c>
      <c r="GA39" s="1131">
        <f t="shared" si="527"/>
        <v>0</v>
      </c>
      <c r="GB39" s="1091" t="str">
        <f t="shared" si="528"/>
        <v/>
      </c>
      <c r="GC39" s="1091" t="str">
        <f t="shared" si="529"/>
        <v/>
      </c>
      <c r="GD39" s="1130">
        <f t="shared" si="111"/>
        <v>0</v>
      </c>
      <c r="GE39" s="1091" t="str">
        <f t="shared" si="112"/>
        <v/>
      </c>
      <c r="GF39" s="1130">
        <f t="shared" si="113"/>
        <v>0</v>
      </c>
      <c r="GG39" s="1091" t="str">
        <f t="shared" si="114"/>
        <v/>
      </c>
      <c r="GH39" s="1088">
        <f t="shared" si="530"/>
        <v>0</v>
      </c>
      <c r="GI39" s="1091" t="str">
        <f t="shared" si="531"/>
        <v/>
      </c>
      <c r="GJ39" s="1091" t="str">
        <f t="shared" si="532"/>
        <v/>
      </c>
      <c r="GK39" s="1131">
        <f t="shared" si="533"/>
        <v>0</v>
      </c>
      <c r="GL39" s="1091" t="str">
        <f t="shared" si="534"/>
        <v/>
      </c>
      <c r="GM39" s="1091" t="str">
        <f t="shared" si="535"/>
        <v/>
      </c>
      <c r="GN39" s="1131">
        <f t="shared" si="536"/>
        <v>0</v>
      </c>
      <c r="GO39" s="1091" t="str">
        <f t="shared" si="537"/>
        <v/>
      </c>
      <c r="GP39" s="1091" t="str">
        <f t="shared" si="538"/>
        <v/>
      </c>
      <c r="GQ39" s="1130">
        <f t="shared" si="118"/>
        <v>0</v>
      </c>
      <c r="GR39" s="1091" t="str">
        <f t="shared" si="119"/>
        <v/>
      </c>
      <c r="GS39" s="1130">
        <f t="shared" si="120"/>
        <v>0</v>
      </c>
      <c r="GT39" s="1091" t="str">
        <f t="shared" si="121"/>
        <v/>
      </c>
      <c r="GU39" s="1088">
        <f t="shared" si="539"/>
        <v>0</v>
      </c>
      <c r="GV39" s="1091" t="str">
        <f t="shared" si="540"/>
        <v/>
      </c>
      <c r="GW39" s="1091" t="str">
        <f t="shared" si="541"/>
        <v/>
      </c>
      <c r="GX39" s="1131">
        <f t="shared" si="542"/>
        <v>0</v>
      </c>
      <c r="GY39" s="1091" t="str">
        <f t="shared" si="543"/>
        <v/>
      </c>
      <c r="GZ39" s="1091" t="str">
        <f t="shared" si="544"/>
        <v/>
      </c>
      <c r="HA39" s="1131">
        <f t="shared" si="545"/>
        <v>0</v>
      </c>
      <c r="HB39" s="1091" t="str">
        <f t="shared" si="546"/>
        <v/>
      </c>
      <c r="HC39" s="1091" t="str">
        <f t="shared" si="547"/>
        <v/>
      </c>
      <c r="HD39" s="1130">
        <f t="shared" si="125"/>
        <v>0</v>
      </c>
      <c r="HE39" s="1091" t="str">
        <f t="shared" si="126"/>
        <v/>
      </c>
      <c r="HF39" s="1130">
        <f t="shared" si="127"/>
        <v>0</v>
      </c>
      <c r="HG39" s="1091" t="str">
        <f t="shared" si="128"/>
        <v/>
      </c>
      <c r="HH39" s="1088">
        <f t="shared" si="267"/>
        <v>0</v>
      </c>
      <c r="HI39" s="1091" t="str">
        <f t="shared" si="548"/>
        <v/>
      </c>
      <c r="HJ39" s="1091" t="str">
        <f t="shared" si="549"/>
        <v/>
      </c>
      <c r="HK39" s="1090">
        <f t="shared" si="270"/>
        <v>0</v>
      </c>
      <c r="HL39" s="1091" t="str">
        <f t="shared" si="550"/>
        <v/>
      </c>
      <c r="HM39" s="1091" t="str">
        <f t="shared" si="551"/>
        <v/>
      </c>
      <c r="HN39" s="1090">
        <f t="shared" si="273"/>
        <v>0</v>
      </c>
      <c r="HO39" s="1091" t="str">
        <f t="shared" si="552"/>
        <v/>
      </c>
      <c r="HP39" s="1091" t="str">
        <f t="shared" si="553"/>
        <v/>
      </c>
      <c r="HQ39" s="1130">
        <f t="shared" si="135"/>
        <v>0</v>
      </c>
      <c r="HR39" s="1091" t="str">
        <f t="shared" si="136"/>
        <v/>
      </c>
      <c r="HS39" s="1130">
        <f t="shared" si="137"/>
        <v>0</v>
      </c>
      <c r="HT39" s="1091" t="str">
        <f t="shared" si="138"/>
        <v/>
      </c>
      <c r="HU39" s="1088">
        <f t="shared" si="276"/>
        <v>0</v>
      </c>
      <c r="HV39" s="1091" t="str">
        <f t="shared" si="554"/>
        <v/>
      </c>
      <c r="HW39" s="1091" t="str">
        <f t="shared" si="555"/>
        <v/>
      </c>
      <c r="HX39" s="1090">
        <f t="shared" si="279"/>
        <v>0</v>
      </c>
      <c r="HY39" s="1091" t="str">
        <f t="shared" si="556"/>
        <v/>
      </c>
      <c r="HZ39" s="1091" t="str">
        <f t="shared" si="557"/>
        <v/>
      </c>
      <c r="IA39" s="1090">
        <f t="shared" si="282"/>
        <v>0</v>
      </c>
      <c r="IB39" s="1091" t="str">
        <f t="shared" si="558"/>
        <v/>
      </c>
      <c r="IC39" s="1091" t="str">
        <f t="shared" si="559"/>
        <v/>
      </c>
      <c r="ID39" s="1130">
        <f t="shared" si="145"/>
        <v>0</v>
      </c>
      <c r="IE39" s="1091" t="str">
        <f t="shared" si="146"/>
        <v/>
      </c>
      <c r="IF39" s="1130">
        <f t="shared" si="147"/>
        <v>0</v>
      </c>
      <c r="IG39" s="1091" t="str">
        <f t="shared" si="148"/>
        <v/>
      </c>
      <c r="IH39" s="1088">
        <f t="shared" si="285"/>
        <v>0</v>
      </c>
      <c r="II39" s="1091" t="str">
        <f t="shared" si="560"/>
        <v/>
      </c>
      <c r="IJ39" s="1091" t="str">
        <f t="shared" si="561"/>
        <v/>
      </c>
      <c r="IK39" s="1090">
        <f t="shared" si="288"/>
        <v>0</v>
      </c>
      <c r="IL39" s="1091" t="str">
        <f t="shared" si="562"/>
        <v/>
      </c>
      <c r="IM39" s="1091" t="str">
        <f t="shared" si="563"/>
        <v/>
      </c>
      <c r="IN39" s="1090">
        <f t="shared" si="291"/>
        <v>0</v>
      </c>
      <c r="IO39" s="1091" t="str">
        <f t="shared" si="564"/>
        <v/>
      </c>
      <c r="IP39" s="1091">
        <f t="shared" si="565"/>
        <v>0</v>
      </c>
      <c r="IQ39" s="1130">
        <f t="shared" si="155"/>
        <v>0</v>
      </c>
      <c r="IR39" s="1091" t="str">
        <f t="shared" si="1"/>
        <v/>
      </c>
      <c r="IS39" s="1130">
        <f t="shared" si="156"/>
        <v>0</v>
      </c>
      <c r="IT39" s="1091" t="str">
        <f t="shared" si="2"/>
        <v/>
      </c>
    </row>
    <row r="40">
      <c r="A40" s="1134" t="s">
        <v>2825</v>
      </c>
      <c r="B40" s="1135"/>
      <c r="C40" s="1135"/>
      <c r="D40" s="1135"/>
      <c r="E40" s="1135" t="s">
        <v>2076</v>
      </c>
      <c r="F40" s="1135"/>
      <c r="G40" s="1136">
        <v>1.0</v>
      </c>
      <c r="H40" s="1137">
        <f>SUMIFS(BP_SOTIEN,BP_THANG,H$2,BP_KM,$E40)/1000</f>
        <v>0</v>
      </c>
      <c r="I40" s="1138" t="str">
        <f t="shared" ref="I40:I97" si="566">IFERROR(H40/H$13,"")</f>
        <v/>
      </c>
      <c r="J40" s="3"/>
      <c r="K40" s="1139">
        <f>IF(NOW()&gt;=DATE(YEAR(H$2),MONTH(H$2)+1,DAY(H$2)),SUMIFS(TF_SOTIEN,TF_THANG,H$2,TF_KM,$E40)/1000, N40)</f>
        <v>0</v>
      </c>
      <c r="L40" s="1138" t="str">
        <f t="shared" ref="L40:L97" si="567">IFERROR(K40/K$13,"")</f>
        <v/>
      </c>
      <c r="M40" s="3"/>
      <c r="N40" s="1139">
        <f>IF(NOW()&gt;=DATE(YEAR(H$2),MONTH(H$2)+1,DAY(H$2)),SUMIFS(AC_SOTIEN,AC_THANG,H$2,AC_KM,$E40),SUMIFS(TF_SOTIEN,TF_THANG,H$2,TF_KM,$E40))/ 1000</f>
        <v>0</v>
      </c>
      <c r="O40" s="1138">
        <f t="shared" ref="O40:O97" si="568">IFERROR(N40/N$13,"")</f>
        <v>0</v>
      </c>
      <c r="P40" s="3"/>
      <c r="Q40" s="1139">
        <f t="shared" si="8"/>
        <v>0</v>
      </c>
      <c r="R40" s="1140" t="str">
        <f t="shared" si="9"/>
        <v/>
      </c>
      <c r="S40" s="1139">
        <f t="shared" si="10"/>
        <v>0</v>
      </c>
      <c r="T40" s="1140" t="str">
        <f t="shared" si="11"/>
        <v/>
      </c>
      <c r="U40" s="1137">
        <f>SUMIFS(BP_SOTIEN,BP_THANG,U$2,BP_KM,$E40)/1000</f>
        <v>0</v>
      </c>
      <c r="V40" s="1138" t="str">
        <f t="shared" ref="V40:V97" si="569">IFERROR(U40/U$13,"")</f>
        <v/>
      </c>
      <c r="W40" s="3"/>
      <c r="X40" s="1139">
        <f>IF(NOW()&gt;=DATE(YEAR(U$2),MONTH(U$2)+1,DAY(U$2)),SUMIFS(TF_SOTIEN,TF_THANG,U$2,TF_KM,$E40)/1000, AA40)</f>
        <v>0</v>
      </c>
      <c r="Y40" s="1138" t="str">
        <f t="shared" ref="Y40:Y97" si="570">IFERROR(X40/X$13,"")</f>
        <v/>
      </c>
      <c r="Z40" s="3"/>
      <c r="AA40" s="1139">
        <f>IF(NOW()&gt;=DATE(YEAR(U$2),MONTH(U$2)+1,DAY(U$2)),SUMIFS(AC_SOTIEN,AC_THANG,U$2,AC_KM,$E40),SUMIFS(TF_SOTIEN,TF_THANG,U$2,TF_KM,$E40))/ 1000</f>
        <v>0</v>
      </c>
      <c r="AB40" s="1138" t="str">
        <f t="shared" ref="AB40:AB97" si="571">IFERROR(AA40/AA$13,"")</f>
        <v/>
      </c>
      <c r="AC40" s="3"/>
      <c r="AD40" s="1139">
        <f t="shared" si="15"/>
        <v>0</v>
      </c>
      <c r="AE40" s="1140" t="str">
        <f t="shared" si="16"/>
        <v/>
      </c>
      <c r="AF40" s="1139">
        <f t="shared" si="17"/>
        <v>0</v>
      </c>
      <c r="AG40" s="1140" t="str">
        <f t="shared" si="18"/>
        <v/>
      </c>
      <c r="AH40" s="1137">
        <f>SUMIFS(BP_SOTIEN,BP_THANG,AH$2,BP_KM,$E40)/1000</f>
        <v>0</v>
      </c>
      <c r="AI40" s="1138" t="str">
        <f t="shared" ref="AI40:AI97" si="572">IFERROR(AH40/AH$13,"")</f>
        <v/>
      </c>
      <c r="AJ40" s="3"/>
      <c r="AK40" s="1139">
        <f>IF(NOW()&gt;=DATE(YEAR(AH$2),MONTH(AH$2)+1,DAY(AH$2)),SUMIFS(TF_SOTIEN,TF_THANG,AH$2,TF_KM,$E40)/1000, AN40)</f>
        <v>0</v>
      </c>
      <c r="AL40" s="1138" t="str">
        <f t="shared" ref="AL40:AL97" si="573">IFERROR(AK40/AK$13,"")</f>
        <v/>
      </c>
      <c r="AM40" s="3"/>
      <c r="AN40" s="1139">
        <f>IF(NOW()&gt;=DATE(YEAR(AH$2),MONTH(AH$2)+1,DAY(AH$2)),SUMIFS(AC_SOTIEN,AC_THANG,AH$2,AC_KM,$E40),SUMIFS(TF_SOTIEN,TF_THANG,AH$2,TF_KM,$E40))/ 1000</f>
        <v>0</v>
      </c>
      <c r="AO40" s="1138" t="str">
        <f t="shared" ref="AO40:AO97" si="574">IFERROR(AN40/AN$13,"")</f>
        <v/>
      </c>
      <c r="AP40" s="3"/>
      <c r="AQ40" s="1139">
        <f t="shared" si="22"/>
        <v>0</v>
      </c>
      <c r="AR40" s="1140" t="str">
        <f t="shared" si="23"/>
        <v/>
      </c>
      <c r="AS40" s="1139">
        <f t="shared" si="24"/>
        <v>0</v>
      </c>
      <c r="AT40" s="1140" t="str">
        <f t="shared" si="25"/>
        <v/>
      </c>
      <c r="AU40" s="1137">
        <f t="shared" si="177"/>
        <v>0</v>
      </c>
      <c r="AV40" s="1138" t="str">
        <f t="shared" ref="AV40:AV97" si="575">IFERROR(AU40/AU$13,"")</f>
        <v/>
      </c>
      <c r="AW40" s="3"/>
      <c r="AX40" s="1139">
        <f t="shared" si="180"/>
        <v>0</v>
      </c>
      <c r="AY40" s="1138" t="str">
        <f t="shared" ref="AY40:AY97" si="576">IFERROR(AX40/AX$13,"")</f>
        <v/>
      </c>
      <c r="AZ40" s="3"/>
      <c r="BA40" s="1139">
        <f t="shared" si="444"/>
        <v>0</v>
      </c>
      <c r="BB40" s="1138">
        <f t="shared" ref="BB40:BB97" si="577">IFERROR(BA40/BA$13,"")</f>
        <v>0</v>
      </c>
      <c r="BC40" s="3"/>
      <c r="BD40" s="1139">
        <f t="shared" si="32"/>
        <v>0</v>
      </c>
      <c r="BE40" s="1140" t="str">
        <f t="shared" si="33"/>
        <v/>
      </c>
      <c r="BF40" s="1139">
        <f t="shared" si="34"/>
        <v>0</v>
      </c>
      <c r="BG40" s="1140" t="str">
        <f t="shared" si="35"/>
        <v/>
      </c>
      <c r="BH40" s="1137">
        <f>SUMIFS(BP_SOTIEN,BP_THANG,BH$2,BP_KM,$E40)/1000</f>
        <v>0</v>
      </c>
      <c r="BI40" s="1138" t="str">
        <f t="shared" ref="BI40:BI97" si="578">IFERROR(BH40/BH$13,"")</f>
        <v/>
      </c>
      <c r="BJ40" s="3"/>
      <c r="BK40" s="1139">
        <f>IF(NOW()&gt;=DATE(YEAR(BH$2),MONTH(BH$2)+1,DAY(BH$2)),SUMIFS(TF_SOTIEN,TF_THANG,BH$2,TF_KM,$E40)/1000, BN40)</f>
        <v>0</v>
      </c>
      <c r="BL40" s="1138" t="str">
        <f t="shared" ref="BL40:BL97" si="579">IFERROR(BK40/BK$13,"")</f>
        <v/>
      </c>
      <c r="BM40" s="3"/>
      <c r="BN40" s="1139">
        <f>IF(NOW()&gt;=DATE(YEAR(BH$2),MONTH(BH$2)+1,DAY(BH$2)),SUMIFS(AC_SOTIEN,AC_THANG,BH$2,AC_KM,$E40),SUMIFS(TF_SOTIEN,TF_THANG,BH$2,TF_KM,$E40))/ 1000</f>
        <v>0</v>
      </c>
      <c r="BO40" s="1138" t="str">
        <f t="shared" ref="BO40:BO97" si="580">IFERROR(BN40/BN$13,"")</f>
        <v/>
      </c>
      <c r="BP40" s="3"/>
      <c r="BQ40" s="1139">
        <f t="shared" si="39"/>
        <v>0</v>
      </c>
      <c r="BR40" s="1140" t="str">
        <f t="shared" si="40"/>
        <v/>
      </c>
      <c r="BS40" s="1139">
        <f t="shared" si="41"/>
        <v>0</v>
      </c>
      <c r="BT40" s="1140" t="str">
        <f t="shared" si="42"/>
        <v/>
      </c>
      <c r="BU40" s="1137">
        <f>SUMIFS(BP_SOTIEN,BP_THANG,BU$2,BP_KM,$E40)/1000</f>
        <v>0</v>
      </c>
      <c r="BV40" s="1138" t="str">
        <f t="shared" ref="BV40:BV97" si="581">IFERROR(BU40/BU$13,"")</f>
        <v/>
      </c>
      <c r="BW40" s="3"/>
      <c r="BX40" s="1139">
        <f>IF(NOW()&gt;=DATE(YEAR(BU$2),MONTH(BU$2)+1,DAY(BU$2)),SUMIFS(TF_SOTIEN,TF_THANG,BU$2,TF_KM,$E40)/1000, CA40)</f>
        <v>0</v>
      </c>
      <c r="BY40" s="1138" t="str">
        <f t="shared" ref="BY40:BY97" si="582">IFERROR(BX40/BX$13,"")</f>
        <v/>
      </c>
      <c r="BZ40" s="3"/>
      <c r="CA40" s="1139">
        <f>IF(NOW()&gt;=DATE(YEAR(BU$2),MONTH(BU$2)+1,DAY(BU$2)),SUMIFS(AC_SOTIEN,AC_THANG,BU$2,AC_KM,$E40),SUMIFS(TF_SOTIEN,TF_THANG,BU$2,TF_KM,$E40))/ 1000</f>
        <v>0</v>
      </c>
      <c r="CB40" s="1138" t="str">
        <f t="shared" ref="CB40:CB97" si="583">IFERROR(CA40/CA$13,"")</f>
        <v/>
      </c>
      <c r="CC40" s="3"/>
      <c r="CD40" s="1139">
        <f t="shared" si="46"/>
        <v>0</v>
      </c>
      <c r="CE40" s="1140" t="str">
        <f t="shared" si="47"/>
        <v/>
      </c>
      <c r="CF40" s="1139">
        <f t="shared" si="48"/>
        <v>0</v>
      </c>
      <c r="CG40" s="1140" t="str">
        <f t="shared" si="49"/>
        <v/>
      </c>
      <c r="CH40" s="1137">
        <f>SUMIFS(BP_SOTIEN,BP_THANG,CH$2,BP_KM,$E40)/1000</f>
        <v>0</v>
      </c>
      <c r="CI40" s="1138" t="str">
        <f t="shared" ref="CI40:CI97" si="584">IFERROR(CH40/CH$13,"")</f>
        <v/>
      </c>
      <c r="CJ40" s="3"/>
      <c r="CK40" s="1139">
        <f>IF(NOW()&gt;=DATE(YEAR(CH$2),MONTH(CH$2)+1,DAY(CH$2)),SUMIFS(TF_SOTIEN,TF_THANG,CH$2,TF_KM,$E40)/1000, CN40)</f>
        <v>0</v>
      </c>
      <c r="CL40" s="1138" t="str">
        <f t="shared" ref="CL40:CL97" si="585">IFERROR(CK40/CK$13,"")</f>
        <v/>
      </c>
      <c r="CM40" s="3"/>
      <c r="CN40" s="1139">
        <f>IF(NOW()&gt;=DATE(YEAR(CH$2),MONTH(CH$2)+1,DAY(CH$2)),SUMIFS(AC_SOTIEN,AC_THANG,CH$2,AC_KM,$E40),SUMIFS(TF_SOTIEN,TF_THANG,CH$2,TF_KM,$E40))/ 1000</f>
        <v>0</v>
      </c>
      <c r="CO40" s="1138" t="str">
        <f t="shared" ref="CO40:CO97" si="586">IFERROR(CN40/CN$13,"")</f>
        <v/>
      </c>
      <c r="CP40" s="3"/>
      <c r="CQ40" s="1139">
        <f t="shared" si="53"/>
        <v>0</v>
      </c>
      <c r="CR40" s="1140" t="str">
        <f t="shared" si="54"/>
        <v/>
      </c>
      <c r="CS40" s="1139">
        <f t="shared" si="55"/>
        <v>0</v>
      </c>
      <c r="CT40" s="1140" t="str">
        <f t="shared" si="56"/>
        <v/>
      </c>
      <c r="CU40" s="1137">
        <f t="shared" si="204"/>
        <v>0</v>
      </c>
      <c r="CV40" s="1138" t="str">
        <f t="shared" ref="CV40:CV97" si="587">IFERROR(CU40/CU$13,"")</f>
        <v/>
      </c>
      <c r="CW40" s="3"/>
      <c r="CX40" s="1139">
        <f t="shared" ref="CX40:CX50" si="588">SUMIF(BH$3:CT$3,CX$3,BH40:CT40)</f>
        <v>0</v>
      </c>
      <c r="CY40" s="1138" t="str">
        <f t="shared" ref="CY40:CY97" si="589">IFERROR(CX40/CX$13,"")</f>
        <v/>
      </c>
      <c r="CZ40" s="3"/>
      <c r="DA40" s="1139">
        <f t="shared" ref="DA40:DA50" si="590">SUMIF(BH$3:CT$3,"AC",BH40:CT40)+SUMIF(BH$3:CT$3,"TF",BH40:CT40)</f>
        <v>0</v>
      </c>
      <c r="DB40" s="1138" t="str">
        <f t="shared" ref="DB40:DB97" si="591">IFERROR(DA40/DA$13,"")</f>
        <v/>
      </c>
      <c r="DC40" s="3"/>
      <c r="DD40" s="1139">
        <f t="shared" si="63"/>
        <v>0</v>
      </c>
      <c r="DE40" s="1140" t="str">
        <f t="shared" si="64"/>
        <v/>
      </c>
      <c r="DF40" s="1139">
        <f t="shared" si="65"/>
        <v>0</v>
      </c>
      <c r="DG40" s="1140" t="str">
        <f t="shared" si="66"/>
        <v/>
      </c>
      <c r="DH40" s="1137">
        <f t="shared" si="213"/>
        <v>0</v>
      </c>
      <c r="DI40" s="1138" t="str">
        <f t="shared" ref="DI40:DI97" si="592">IFERROR(DH40/DH$13,"")</f>
        <v/>
      </c>
      <c r="DJ40" s="3"/>
      <c r="DK40" s="1139">
        <f t="shared" si="216"/>
        <v>0</v>
      </c>
      <c r="DL40" s="1138" t="str">
        <f t="shared" ref="DL40:DL97" si="593">IFERROR(DK40/DK$13,"")</f>
        <v/>
      </c>
      <c r="DM40" s="3"/>
      <c r="DN40" s="1139">
        <f t="shared" si="219"/>
        <v>0</v>
      </c>
      <c r="DO40" s="1138">
        <f t="shared" ref="DO40:DO97" si="594">IFERROR(DN40/DN$13,"")</f>
        <v>0</v>
      </c>
      <c r="DP40" s="3"/>
      <c r="DQ40" s="1139">
        <f t="shared" si="73"/>
        <v>0</v>
      </c>
      <c r="DR40" s="1140" t="str">
        <f t="shared" si="74"/>
        <v/>
      </c>
      <c r="DS40" s="1139">
        <f t="shared" si="75"/>
        <v>0</v>
      </c>
      <c r="DT40" s="1140" t="str">
        <f t="shared" si="76"/>
        <v/>
      </c>
      <c r="DU40" s="1137">
        <f>SUMIFS(BP_SOTIEN,BP_THANG,DU$2,BP_KM,$E40)/1000</f>
        <v>0</v>
      </c>
      <c r="DV40" s="1138" t="str">
        <f t="shared" ref="DV40:DV97" si="595">IFERROR(DU40/DU$13,"")</f>
        <v/>
      </c>
      <c r="DW40" s="3"/>
      <c r="DX40" s="1139">
        <f>IF(NOW()&gt;=DATE(YEAR(DU$2),MONTH(DU$2)+1,DAY(DU$2)),SUMIFS(TF_SOTIEN,TF_THANG,DU$2,TF_KM,$E40)/1000, EA40)</f>
        <v>0</v>
      </c>
      <c r="DY40" s="1138" t="str">
        <f t="shared" ref="DY40:DY97" si="596">IFERROR(DX40/DX$13,"")</f>
        <v/>
      </c>
      <c r="DZ40" s="3"/>
      <c r="EA40" s="1139">
        <f>IF(NOW()&gt;=DATE(YEAR(DU$2),MONTH(DU$2)+1,DAY(DU$2)),SUMIFS(AC_SOTIEN,AC_THANG,DU$2,AC_KM,$E40),SUMIFS(TF_SOTIEN,TF_THANG,DU$2,TF_KM,$E40))/ 1000</f>
        <v>0</v>
      </c>
      <c r="EB40" s="1138" t="str">
        <f t="shared" ref="EB40:EB97" si="597">IFERROR(EA40/EA$13,"")</f>
        <v/>
      </c>
      <c r="EC40" s="3"/>
      <c r="ED40" s="1139">
        <f t="shared" si="80"/>
        <v>0</v>
      </c>
      <c r="EE40" s="1140" t="str">
        <f t="shared" si="81"/>
        <v/>
      </c>
      <c r="EF40" s="1139">
        <f t="shared" si="82"/>
        <v>0</v>
      </c>
      <c r="EG40" s="1140" t="str">
        <f t="shared" si="83"/>
        <v/>
      </c>
      <c r="EH40" s="1137">
        <f>SUMIFS(BP_SOTIEN,BP_THANG,EH$2,BP_KM,$E40)/1000</f>
        <v>0</v>
      </c>
      <c r="EI40" s="1138" t="str">
        <f t="shared" ref="EI40:EI97" si="598">IFERROR(EH40/EH$13,"")</f>
        <v/>
      </c>
      <c r="EJ40" s="3"/>
      <c r="EK40" s="1139">
        <f>IF(NOW()&gt;=DATE(YEAR(EH$2),MONTH(EH$2)+1,DAY(EH$2)),SUMIFS(TF_SOTIEN,TF_THANG,EH$2,TF_KM,$E40)/1000, EN40)</f>
        <v>0</v>
      </c>
      <c r="EL40" s="1138" t="str">
        <f t="shared" ref="EL40:EL97" si="599">IFERROR(EK40/EK$13,"")</f>
        <v/>
      </c>
      <c r="EM40" s="3"/>
      <c r="EN40" s="1139">
        <f>IF(NOW()&gt;=DATE(YEAR(EH$2),MONTH(EH$2)+1,DAY(EH$2)),SUMIFS(AC_SOTIEN,AC_THANG,EH$2,AC_KM,$E40),SUMIFS(TF_SOTIEN,TF_THANG,EH$2,TF_KM,$E40))/ 1000</f>
        <v>0</v>
      </c>
      <c r="EO40" s="1138" t="str">
        <f t="shared" ref="EO40:EO97" si="600">IFERROR(EN40/EN$13,"")</f>
        <v/>
      </c>
      <c r="EP40" s="3"/>
      <c r="EQ40" s="1139">
        <f t="shared" si="87"/>
        <v>0</v>
      </c>
      <c r="ER40" s="1140" t="str">
        <f t="shared" si="88"/>
        <v/>
      </c>
      <c r="ES40" s="1139">
        <f t="shared" si="89"/>
        <v>0</v>
      </c>
      <c r="ET40" s="1140" t="str">
        <f t="shared" si="90"/>
        <v/>
      </c>
      <c r="EU40" s="1137">
        <f>SUMIFS(BP_SOTIEN,BP_THANG,EU$2,BP_KM,$E40)/1000</f>
        <v>0</v>
      </c>
      <c r="EV40" s="1138" t="str">
        <f t="shared" ref="EV40:EV97" si="601">IFERROR(EU40/EU$13,"")</f>
        <v/>
      </c>
      <c r="EW40" s="3"/>
      <c r="EX40" s="1139">
        <f>IF(NOW()&gt;=DATE(YEAR(EU$2),MONTH(EU$2)+1,DAY(EU$2)),SUMIFS(TF_SOTIEN,TF_THANG,EU$2,TF_KM,$E40)/1000, FA40)</f>
        <v>0</v>
      </c>
      <c r="EY40" s="1138" t="str">
        <f t="shared" ref="EY40:EY97" si="602">IFERROR(EX40/EX$13,"")</f>
        <v/>
      </c>
      <c r="EZ40" s="3"/>
      <c r="FA40" s="1139">
        <f>IF(NOW()&gt;=DATE(YEAR(EU$2),MONTH(EU$2)+1,DAY(EU$2)),SUMIFS(AC_SOTIEN,AC_THANG,EU$2,AC_KM,$E40),SUMIFS(TF_SOTIEN,TF_THANG,EU$2,TF_KM,$E40))/ 1000</f>
        <v>0</v>
      </c>
      <c r="FB40" s="1138" t="str">
        <f t="shared" ref="FB40:FB97" si="603">IFERROR(FA40/FA$13,"")</f>
        <v/>
      </c>
      <c r="FC40" s="3"/>
      <c r="FD40" s="1139">
        <f t="shared" si="94"/>
        <v>0</v>
      </c>
      <c r="FE40" s="1140" t="str">
        <f t="shared" si="95"/>
        <v/>
      </c>
      <c r="FF40" s="1139">
        <f t="shared" si="96"/>
        <v>0</v>
      </c>
      <c r="FG40" s="1140" t="str">
        <f t="shared" si="97"/>
        <v/>
      </c>
      <c r="FH40" s="1137">
        <f t="shared" si="240"/>
        <v>0</v>
      </c>
      <c r="FI40" s="1138" t="str">
        <f t="shared" ref="FI40:FI97" si="604">IFERROR(FH40/FH$13,"")</f>
        <v/>
      </c>
      <c r="FJ40" s="3"/>
      <c r="FK40" s="1139">
        <f t="shared" si="243"/>
        <v>0</v>
      </c>
      <c r="FL40" s="1138" t="str">
        <f t="shared" ref="FL40:FL97" si="605">IFERROR(FK40/FK$13,"")</f>
        <v/>
      </c>
      <c r="FM40" s="3"/>
      <c r="FN40" s="1139">
        <f t="shared" si="246"/>
        <v>0</v>
      </c>
      <c r="FO40" s="1138" t="str">
        <f t="shared" ref="FO40:FO97" si="606">IFERROR(FN40/FN$13,"")</f>
        <v/>
      </c>
      <c r="FP40" s="3"/>
      <c r="FQ40" s="1139">
        <f t="shared" si="104"/>
        <v>0</v>
      </c>
      <c r="FR40" s="1140" t="str">
        <f t="shared" si="105"/>
        <v/>
      </c>
      <c r="FS40" s="1139">
        <f t="shared" si="106"/>
        <v>0</v>
      </c>
      <c r="FT40" s="1140" t="str">
        <f t="shared" si="107"/>
        <v/>
      </c>
      <c r="FU40" s="1137">
        <f>SUMIFS(BP_SOTIEN,BP_THANG,FU$2,BP_KM,$E40)/1000</f>
        <v>0</v>
      </c>
      <c r="FV40" s="1138" t="str">
        <f t="shared" ref="FV40:FV97" si="607">IFERROR(FU40/FU$13,"")</f>
        <v/>
      </c>
      <c r="FW40" s="3"/>
      <c r="FX40" s="1139">
        <f>IF(NOW()&gt;=DATE(YEAR(FU$2),MONTH(FU$2)+1,DAY(FU$2)),SUMIFS(TF_SOTIEN,TF_THANG,FU$2,TF_KM,$E40)/1000, GA40)</f>
        <v>0</v>
      </c>
      <c r="FY40" s="1138" t="str">
        <f t="shared" ref="FY40:FY97" si="608">IFERROR(FX40/FX$13,"")</f>
        <v/>
      </c>
      <c r="FZ40" s="3"/>
      <c r="GA40" s="1139">
        <f>IF(NOW()&gt;=DATE(YEAR(FU$2),MONTH(FU$2)+1,DAY(FU$2)),SUMIFS(AC_SOTIEN,AC_THANG,FU$2,AC_KM,$E40),SUMIFS(TF_SOTIEN,TF_THANG,FU$2,TF_KM,$E40))/ 1000</f>
        <v>0</v>
      </c>
      <c r="GB40" s="1138" t="str">
        <f t="shared" ref="GB40:GB97" si="609">IFERROR(GA40/GA$13,"")</f>
        <v/>
      </c>
      <c r="GC40" s="3"/>
      <c r="GD40" s="1139">
        <f t="shared" si="111"/>
        <v>0</v>
      </c>
      <c r="GE40" s="1140" t="str">
        <f t="shared" si="112"/>
        <v/>
      </c>
      <c r="GF40" s="1139">
        <f t="shared" si="113"/>
        <v>0</v>
      </c>
      <c r="GG40" s="1140" t="str">
        <f t="shared" si="114"/>
        <v/>
      </c>
      <c r="GH40" s="1137">
        <f>SUMIFS(BP_SOTIEN,BP_THANG,GH$2,BP_KM,$E40)/1000</f>
        <v>0</v>
      </c>
      <c r="GI40" s="1138" t="str">
        <f t="shared" ref="GI40:GI97" si="610">IFERROR(GH40/GH$13,"")</f>
        <v/>
      </c>
      <c r="GJ40" s="3"/>
      <c r="GK40" s="1139">
        <f>IF(NOW()&gt;=DATE(YEAR(GH$2),MONTH(GH$2)+1,DAY(GH$2)),SUMIFS(TF_SOTIEN,TF_THANG,GH$2,TF_KM,$E40)/1000, GN40)</f>
        <v>0</v>
      </c>
      <c r="GL40" s="1138" t="str">
        <f t="shared" ref="GL40:GL97" si="611">IFERROR(GK40/GK$13,"")</f>
        <v/>
      </c>
      <c r="GM40" s="3"/>
      <c r="GN40" s="1139">
        <f>IF(NOW()&gt;=DATE(YEAR(GH$2),MONTH(GH$2)+1,DAY(GH$2)),SUMIFS(AC_SOTIEN,AC_THANG,GH$2,AC_KM,$E40),SUMIFS(TF_SOTIEN,TF_THANG,GH$2,TF_KM,$E40))/ 1000</f>
        <v>0</v>
      </c>
      <c r="GO40" s="1138" t="str">
        <f t="shared" ref="GO40:GO97" si="612">IFERROR(GN40/GN$13,"")</f>
        <v/>
      </c>
      <c r="GP40" s="3"/>
      <c r="GQ40" s="1139">
        <f t="shared" si="118"/>
        <v>0</v>
      </c>
      <c r="GR40" s="1140" t="str">
        <f t="shared" si="119"/>
        <v/>
      </c>
      <c r="GS40" s="1139">
        <f t="shared" si="120"/>
        <v>0</v>
      </c>
      <c r="GT40" s="1140" t="str">
        <f t="shared" si="121"/>
        <v/>
      </c>
      <c r="GU40" s="1137">
        <f>SUMIFS(BP_SOTIEN,BP_THANG,GU$2,BP_KM,$E40)/1000</f>
        <v>0</v>
      </c>
      <c r="GV40" s="1138" t="str">
        <f t="shared" ref="GV40:GV97" si="613">IFERROR(GU40/GU$13,"")</f>
        <v/>
      </c>
      <c r="GW40" s="3"/>
      <c r="GX40" s="1139">
        <f>IF(NOW()&gt;=DATE(YEAR(GU$2),MONTH(GU$2)+1,DAY(GU$2)),SUMIFS(TF_SOTIEN,TF_THANG,GU$2,TF_KM,$E40)/1000, HA40)</f>
        <v>0</v>
      </c>
      <c r="GY40" s="1138" t="str">
        <f t="shared" ref="GY40:GY97" si="614">IFERROR(GX40/GX$13,"")</f>
        <v/>
      </c>
      <c r="GZ40" s="3"/>
      <c r="HA40" s="1139">
        <f>IF(NOW()&gt;=DATE(YEAR(GU$2),MONTH(GU$2)+1,DAY(GU$2)),SUMIFS(AC_SOTIEN,AC_THANG,GU$2,AC_KM,$E40),SUMIFS(TF_SOTIEN,TF_THANG,GU$2,TF_KM,$E40))/ 1000</f>
        <v>0</v>
      </c>
      <c r="HB40" s="1138" t="str">
        <f t="shared" ref="HB40:HB97" si="615">IFERROR(HA40/HA$13,"")</f>
        <v/>
      </c>
      <c r="HC40" s="3"/>
      <c r="HD40" s="1139">
        <f t="shared" si="125"/>
        <v>0</v>
      </c>
      <c r="HE40" s="1140" t="str">
        <f t="shared" si="126"/>
        <v/>
      </c>
      <c r="HF40" s="1139">
        <f t="shared" si="127"/>
        <v>0</v>
      </c>
      <c r="HG40" s="1140" t="str">
        <f t="shared" si="128"/>
        <v/>
      </c>
      <c r="HH40" s="1137">
        <f t="shared" si="267"/>
        <v>0</v>
      </c>
      <c r="HI40" s="1138" t="str">
        <f t="shared" ref="HI40:HI97" si="616">IFERROR(HH40/HH$13,"")</f>
        <v/>
      </c>
      <c r="HJ40" s="3"/>
      <c r="HK40" s="1139">
        <f t="shared" si="270"/>
        <v>0</v>
      </c>
      <c r="HL40" s="1138" t="str">
        <f t="shared" ref="HL40:HL97" si="617">IFERROR(HK40/HK$13,"")</f>
        <v/>
      </c>
      <c r="HM40" s="3"/>
      <c r="HN40" s="1139">
        <f t="shared" si="273"/>
        <v>0</v>
      </c>
      <c r="HO40" s="1138" t="str">
        <f t="shared" ref="HO40:HO97" si="618">IFERROR(HN40/HN$13,"")</f>
        <v/>
      </c>
      <c r="HP40" s="3"/>
      <c r="HQ40" s="1139">
        <f t="shared" si="135"/>
        <v>0</v>
      </c>
      <c r="HR40" s="1140" t="str">
        <f t="shared" si="136"/>
        <v/>
      </c>
      <c r="HS40" s="1139">
        <f t="shared" si="137"/>
        <v>0</v>
      </c>
      <c r="HT40" s="1140" t="str">
        <f t="shared" si="138"/>
        <v/>
      </c>
      <c r="HU40" s="1137">
        <f t="shared" si="276"/>
        <v>0</v>
      </c>
      <c r="HV40" s="1138" t="str">
        <f t="shared" ref="HV40:HV97" si="619">IFERROR(HU40/HU$13,"")</f>
        <v/>
      </c>
      <c r="HW40" s="3"/>
      <c r="HX40" s="1139">
        <f t="shared" si="279"/>
        <v>0</v>
      </c>
      <c r="HY40" s="1138" t="str">
        <f t="shared" ref="HY40:HY97" si="620">IFERROR(HX40/HX$13,"")</f>
        <v/>
      </c>
      <c r="HZ40" s="3"/>
      <c r="IA40" s="1139">
        <f t="shared" si="282"/>
        <v>0</v>
      </c>
      <c r="IB40" s="1138" t="str">
        <f t="shared" ref="IB40:IB97" si="621">IFERROR(IA40/IA$13,"")</f>
        <v/>
      </c>
      <c r="IC40" s="3"/>
      <c r="ID40" s="1139">
        <f t="shared" si="145"/>
        <v>0</v>
      </c>
      <c r="IE40" s="1140" t="str">
        <f t="shared" si="146"/>
        <v/>
      </c>
      <c r="IF40" s="1139">
        <f t="shared" si="147"/>
        <v>0</v>
      </c>
      <c r="IG40" s="1140" t="str">
        <f t="shared" si="148"/>
        <v/>
      </c>
      <c r="IH40" s="1137">
        <f t="shared" si="285"/>
        <v>0</v>
      </c>
      <c r="II40" s="1138" t="str">
        <f t="shared" ref="II40:II97" si="622">IFERROR(IH40/IH$13,"")</f>
        <v/>
      </c>
      <c r="IJ40" s="3"/>
      <c r="IK40" s="1139">
        <f t="shared" si="288"/>
        <v>0</v>
      </c>
      <c r="IL40" s="1138" t="str">
        <f t="shared" ref="IL40:IL97" si="623">IFERROR(IK40/IK$13,"")</f>
        <v/>
      </c>
      <c r="IM40" s="3"/>
      <c r="IN40" s="1139">
        <f t="shared" si="291"/>
        <v>0</v>
      </c>
      <c r="IO40" s="1138">
        <f t="shared" ref="IO40:IO97" si="624">IFERROR(IN40/IN$13,"")</f>
        <v>0</v>
      </c>
      <c r="IP40" s="3"/>
      <c r="IQ40" s="1139">
        <f t="shared" si="155"/>
        <v>0</v>
      </c>
      <c r="IR40" s="1140" t="str">
        <f t="shared" si="1"/>
        <v/>
      </c>
      <c r="IS40" s="1139">
        <f t="shared" si="156"/>
        <v>0</v>
      </c>
      <c r="IT40" s="1140" t="str">
        <f t="shared" si="2"/>
        <v/>
      </c>
    </row>
    <row r="41">
      <c r="A41" s="1107" t="s">
        <v>2826</v>
      </c>
      <c r="B41" s="1108"/>
      <c r="C41" s="1108"/>
      <c r="D41" s="1108"/>
      <c r="E41" s="1108" t="s">
        <v>2083</v>
      </c>
      <c r="F41" s="1108"/>
      <c r="G41" s="1141">
        <v>1.0</v>
      </c>
      <c r="H41" s="1110">
        <f>SUMIFS(BP_SOTIEN,BP_THANG,H$2,BP_KM,$E41)/1000</f>
        <v>0</v>
      </c>
      <c r="I41" s="1112" t="str">
        <f t="shared" si="566"/>
        <v/>
      </c>
      <c r="J41" s="1112"/>
      <c r="K41" s="1142">
        <f>IF(NOW()&gt;=DATE(YEAR(H$2),MONTH(H$2)+1,DAY(H$2)),SUMIFS(TF_SOTIEN,TF_THANG,H$2,TF_KM,$E41)/1000, N41)</f>
        <v>0</v>
      </c>
      <c r="L41" s="1112" t="str">
        <f t="shared" si="567"/>
        <v/>
      </c>
      <c r="M41" s="1112"/>
      <c r="N41" s="1142">
        <f>IF(NOW()&gt;=DATE(YEAR(H$2),MONTH(H$2)+1,DAY(H$2)),SUMIFS(AC_SOTIEN,AC_THANG,H$2,AC_KM,$E41),SUMIFS(TF_SOTIEN,TF_THANG,H$2,TF_KM,$E41))/ 1000</f>
        <v>0</v>
      </c>
      <c r="O41" s="1112">
        <f t="shared" si="568"/>
        <v>0</v>
      </c>
      <c r="P41" s="1112">
        <f t="shared" ref="P41:P42" si="625">IFERROR(N41/N$89,"")</f>
        <v>0</v>
      </c>
      <c r="Q41" s="1142">
        <f t="shared" si="8"/>
        <v>0</v>
      </c>
      <c r="R41" s="1112" t="str">
        <f t="shared" si="9"/>
        <v/>
      </c>
      <c r="S41" s="1142">
        <f t="shared" si="10"/>
        <v>0</v>
      </c>
      <c r="T41" s="1112" t="str">
        <f t="shared" si="11"/>
        <v/>
      </c>
      <c r="U41" s="1110">
        <f>SUMIFS(BP_SOTIEN,BP_THANG,U$2,BP_KM,$E41)/1000</f>
        <v>0</v>
      </c>
      <c r="V41" s="1112" t="str">
        <f t="shared" si="569"/>
        <v/>
      </c>
      <c r="W41" s="1112"/>
      <c r="X41" s="1142">
        <f>IF(NOW()&gt;=DATE(YEAR(U$2),MONTH(U$2)+1,DAY(U$2)),SUMIFS(TF_SOTIEN,TF_THANG,U$2,TF_KM,$E41)/1000, AA41)</f>
        <v>0</v>
      </c>
      <c r="Y41" s="1112" t="str">
        <f t="shared" si="570"/>
        <v/>
      </c>
      <c r="Z41" s="1112"/>
      <c r="AA41" s="1142">
        <f>IF(NOW()&gt;=DATE(YEAR(U$2),MONTH(U$2)+1,DAY(U$2)),SUMIFS(AC_SOTIEN,AC_THANG,U$2,AC_KM,$E41),SUMIFS(TF_SOTIEN,TF_THANG,U$2,TF_KM,$E41))/ 1000</f>
        <v>0</v>
      </c>
      <c r="AB41" s="1112" t="str">
        <f t="shared" si="571"/>
        <v/>
      </c>
      <c r="AC41" s="1112">
        <f t="shared" ref="AC41:AC42" si="626">IFERROR(AA41/AA$89,"")</f>
        <v>0</v>
      </c>
      <c r="AD41" s="1142">
        <f t="shared" si="15"/>
        <v>0</v>
      </c>
      <c r="AE41" s="1112" t="str">
        <f t="shared" si="16"/>
        <v/>
      </c>
      <c r="AF41" s="1142">
        <f t="shared" si="17"/>
        <v>0</v>
      </c>
      <c r="AG41" s="1112" t="str">
        <f t="shared" si="18"/>
        <v/>
      </c>
      <c r="AH41" s="1110">
        <f>SUMIFS(BP_SOTIEN,BP_THANG,AH$2,BP_KM,$E41)/1000</f>
        <v>0</v>
      </c>
      <c r="AI41" s="1112" t="str">
        <f t="shared" si="572"/>
        <v/>
      </c>
      <c r="AJ41" s="1112"/>
      <c r="AK41" s="1142">
        <f>IF(NOW()&gt;=DATE(YEAR(AH$2),MONTH(AH$2)+1,DAY(AH$2)),SUMIFS(TF_SOTIEN,TF_THANG,AH$2,TF_KM,$E41)/1000, AN41)</f>
        <v>0</v>
      </c>
      <c r="AL41" s="1112" t="str">
        <f t="shared" si="573"/>
        <v/>
      </c>
      <c r="AM41" s="1112"/>
      <c r="AN41" s="1142">
        <f>IF(NOW()&gt;=DATE(YEAR(AH$2),MONTH(AH$2)+1,DAY(AH$2)),SUMIFS(AC_SOTIEN,AC_THANG,AH$2,AC_KM,$E41),SUMIFS(TF_SOTIEN,TF_THANG,AH$2,TF_KM,$E41))/ 1000</f>
        <v>0</v>
      </c>
      <c r="AO41" s="1112" t="str">
        <f t="shared" si="574"/>
        <v/>
      </c>
      <c r="AP41" s="1112">
        <f t="shared" ref="AP41:AP42" si="627">IFERROR(AN41/AN$89,"")</f>
        <v>0</v>
      </c>
      <c r="AQ41" s="1142">
        <f t="shared" si="22"/>
        <v>0</v>
      </c>
      <c r="AR41" s="1112" t="str">
        <f t="shared" si="23"/>
        <v/>
      </c>
      <c r="AS41" s="1142">
        <f t="shared" si="24"/>
        <v>0</v>
      </c>
      <c r="AT41" s="1112" t="str">
        <f t="shared" si="25"/>
        <v/>
      </c>
      <c r="AU41" s="1110">
        <f t="shared" si="177"/>
        <v>0</v>
      </c>
      <c r="AV41" s="1112" t="str">
        <f t="shared" si="575"/>
        <v/>
      </c>
      <c r="AW41" s="1112">
        <f t="shared" ref="AW41:AW42" si="628">IFERROR(AU41/AU$89,"")</f>
        <v>0</v>
      </c>
      <c r="AX41" s="1142">
        <f t="shared" si="180"/>
        <v>0</v>
      </c>
      <c r="AY41" s="1112" t="str">
        <f t="shared" si="576"/>
        <v/>
      </c>
      <c r="AZ41" s="1112">
        <f t="shared" ref="AZ41:AZ42" si="629">IFERROR(AX41/AX$89,"")</f>
        <v>0</v>
      </c>
      <c r="BA41" s="1142">
        <f t="shared" si="444"/>
        <v>0</v>
      </c>
      <c r="BB41" s="1112">
        <f t="shared" si="577"/>
        <v>0</v>
      </c>
      <c r="BC41" s="1112">
        <f t="shared" ref="BC41:BC42" si="630">IFERROR(BA41/BA$89,"")</f>
        <v>0</v>
      </c>
      <c r="BD41" s="1142">
        <f t="shared" si="32"/>
        <v>0</v>
      </c>
      <c r="BE41" s="1112" t="str">
        <f t="shared" si="33"/>
        <v/>
      </c>
      <c r="BF41" s="1142">
        <f t="shared" si="34"/>
        <v>0</v>
      </c>
      <c r="BG41" s="1112" t="str">
        <f t="shared" si="35"/>
        <v/>
      </c>
      <c r="BH41" s="1110">
        <f>SUMIFS(BP_SOTIEN,BP_THANG,BH$2,BP_KM,$E41)/1000</f>
        <v>0</v>
      </c>
      <c r="BI41" s="1112" t="str">
        <f t="shared" si="578"/>
        <v/>
      </c>
      <c r="BJ41" s="1112"/>
      <c r="BK41" s="1142">
        <f>IF(NOW()&gt;=DATE(YEAR(BH$2),MONTH(BH$2)+1,DAY(BH$2)),SUMIFS(TF_SOTIEN,TF_THANG,BH$2,TF_KM,$E41)/1000, BN41)</f>
        <v>0</v>
      </c>
      <c r="BL41" s="1112" t="str">
        <f t="shared" si="579"/>
        <v/>
      </c>
      <c r="BM41" s="1112"/>
      <c r="BN41" s="1142">
        <f>IF(NOW()&gt;=DATE(YEAR(BH$2),MONTH(BH$2)+1,DAY(BH$2)),SUMIFS(AC_SOTIEN,AC_THANG,BH$2,AC_KM,$E41),SUMIFS(TF_SOTIEN,TF_THANG,BH$2,TF_KM,$E41))/ 1000</f>
        <v>0</v>
      </c>
      <c r="BO41" s="1112" t="str">
        <f t="shared" si="580"/>
        <v/>
      </c>
      <c r="BP41" s="1112">
        <f t="shared" ref="BP41:BP42" si="631">IFERROR(BN41/BN$89,"")</f>
        <v>0</v>
      </c>
      <c r="BQ41" s="1142">
        <f t="shared" si="39"/>
        <v>0</v>
      </c>
      <c r="BR41" s="1112" t="str">
        <f t="shared" si="40"/>
        <v/>
      </c>
      <c r="BS41" s="1142">
        <f t="shared" si="41"/>
        <v>0</v>
      </c>
      <c r="BT41" s="1112" t="str">
        <f t="shared" si="42"/>
        <v/>
      </c>
      <c r="BU41" s="1110">
        <f>SUMIFS(BP_SOTIEN,BP_THANG,BU$2,BP_KM,$E41)/1000</f>
        <v>0</v>
      </c>
      <c r="BV41" s="1112" t="str">
        <f t="shared" si="581"/>
        <v/>
      </c>
      <c r="BW41" s="1112"/>
      <c r="BX41" s="1142">
        <f>IF(NOW()&gt;=DATE(YEAR(BU$2),MONTH(BU$2)+1,DAY(BU$2)),SUMIFS(TF_SOTIEN,TF_THANG,BU$2,TF_KM,$E41)/1000, CA41)</f>
        <v>0</v>
      </c>
      <c r="BY41" s="1112" t="str">
        <f t="shared" si="582"/>
        <v/>
      </c>
      <c r="BZ41" s="1112"/>
      <c r="CA41" s="1142">
        <f>IF(NOW()&gt;=DATE(YEAR(BU$2),MONTH(BU$2)+1,DAY(BU$2)),SUMIFS(AC_SOTIEN,AC_THANG,BU$2,AC_KM,$E41),SUMIFS(TF_SOTIEN,TF_THANG,BU$2,TF_KM,$E41))/ 1000</f>
        <v>0</v>
      </c>
      <c r="CB41" s="1112" t="str">
        <f t="shared" si="583"/>
        <v/>
      </c>
      <c r="CC41" s="1112">
        <f t="shared" ref="CC41:CC42" si="632">IFERROR(CA41/CA$89,"")</f>
        <v>0</v>
      </c>
      <c r="CD41" s="1142">
        <f t="shared" si="46"/>
        <v>0</v>
      </c>
      <c r="CE41" s="1112" t="str">
        <f t="shared" si="47"/>
        <v/>
      </c>
      <c r="CF41" s="1142">
        <f t="shared" si="48"/>
        <v>0</v>
      </c>
      <c r="CG41" s="1112" t="str">
        <f t="shared" si="49"/>
        <v/>
      </c>
      <c r="CH41" s="1110">
        <f>SUMIFS(BP_SOTIEN,BP_THANG,CH$2,BP_KM,$E41)/1000</f>
        <v>0</v>
      </c>
      <c r="CI41" s="1112" t="str">
        <f t="shared" si="584"/>
        <v/>
      </c>
      <c r="CJ41" s="1112"/>
      <c r="CK41" s="1142">
        <f>IF(NOW()&gt;=DATE(YEAR(CH$2),MONTH(CH$2)+1,DAY(CH$2)),SUMIFS(TF_SOTIEN,TF_THANG,CH$2,TF_KM,$E41)/1000, CN41)</f>
        <v>0</v>
      </c>
      <c r="CL41" s="1112" t="str">
        <f t="shared" si="585"/>
        <v/>
      </c>
      <c r="CM41" s="1112"/>
      <c r="CN41" s="1142">
        <f>IF(NOW()&gt;=DATE(YEAR(CH$2),MONTH(CH$2)+1,DAY(CH$2)),SUMIFS(AC_SOTIEN,AC_THANG,CH$2,AC_KM,$E41),SUMIFS(TF_SOTIEN,TF_THANG,CH$2,TF_KM,$E41))/ 1000</f>
        <v>0</v>
      </c>
      <c r="CO41" s="1112" t="str">
        <f t="shared" si="586"/>
        <v/>
      </c>
      <c r="CP41" s="1112" t="str">
        <f t="shared" ref="CP41:CP42" si="633">IFERROR(CN41/CN$89,"")</f>
        <v/>
      </c>
      <c r="CQ41" s="1142">
        <f t="shared" si="53"/>
        <v>0</v>
      </c>
      <c r="CR41" s="1112" t="str">
        <f t="shared" si="54"/>
        <v/>
      </c>
      <c r="CS41" s="1142">
        <f t="shared" si="55"/>
        <v>0</v>
      </c>
      <c r="CT41" s="1112" t="str">
        <f t="shared" si="56"/>
        <v/>
      </c>
      <c r="CU41" s="1110">
        <f t="shared" si="204"/>
        <v>0</v>
      </c>
      <c r="CV41" s="1112" t="str">
        <f t="shared" si="587"/>
        <v/>
      </c>
      <c r="CW41" s="1112">
        <f t="shared" ref="CW41:CW42" si="634">IFERROR(CU41/CU$89,"")</f>
        <v>0</v>
      </c>
      <c r="CX41" s="1142">
        <f t="shared" si="588"/>
        <v>0</v>
      </c>
      <c r="CY41" s="1112" t="str">
        <f t="shared" si="589"/>
        <v/>
      </c>
      <c r="CZ41" s="1112">
        <f t="shared" ref="CZ41:CZ42" si="635">IFERROR(CX41/CX$89,"")</f>
        <v>0</v>
      </c>
      <c r="DA41" s="1142">
        <f t="shared" si="590"/>
        <v>0</v>
      </c>
      <c r="DB41" s="1112" t="str">
        <f t="shared" si="591"/>
        <v/>
      </c>
      <c r="DC41" s="1112">
        <f t="shared" ref="DC41:DC42" si="636">IFERROR(DA41/DA$89,"")</f>
        <v>0</v>
      </c>
      <c r="DD41" s="1142">
        <f t="shared" si="63"/>
        <v>0</v>
      </c>
      <c r="DE41" s="1112" t="str">
        <f t="shared" si="64"/>
        <v/>
      </c>
      <c r="DF41" s="1142">
        <f t="shared" si="65"/>
        <v>0</v>
      </c>
      <c r="DG41" s="1112" t="str">
        <f t="shared" si="66"/>
        <v/>
      </c>
      <c r="DH41" s="1110">
        <f t="shared" si="213"/>
        <v>0</v>
      </c>
      <c r="DI41" s="1112" t="str">
        <f t="shared" si="592"/>
        <v/>
      </c>
      <c r="DJ41" s="1112">
        <f t="shared" ref="DJ41:DJ42" si="637">IFERROR(DH41/DH$89,"")</f>
        <v>0</v>
      </c>
      <c r="DK41" s="1142">
        <f t="shared" si="216"/>
        <v>0</v>
      </c>
      <c r="DL41" s="1112" t="str">
        <f t="shared" si="593"/>
        <v/>
      </c>
      <c r="DM41" s="1112">
        <f t="shared" ref="DM41:DM42" si="638">IFERROR(DK41/DK$89,"")</f>
        <v>0</v>
      </c>
      <c r="DN41" s="1142">
        <f t="shared" si="219"/>
        <v>0</v>
      </c>
      <c r="DO41" s="1112">
        <f t="shared" si="594"/>
        <v>0</v>
      </c>
      <c r="DP41" s="1112">
        <f t="shared" ref="DP41:DP42" si="639">IFERROR(DN41/DN$89,"")</f>
        <v>0</v>
      </c>
      <c r="DQ41" s="1142">
        <f t="shared" si="73"/>
        <v>0</v>
      </c>
      <c r="DR41" s="1112" t="str">
        <f t="shared" si="74"/>
        <v/>
      </c>
      <c r="DS41" s="1142">
        <f t="shared" si="75"/>
        <v>0</v>
      </c>
      <c r="DT41" s="1112" t="str">
        <f t="shared" si="76"/>
        <v/>
      </c>
      <c r="DU41" s="1110">
        <f>SUMIFS(BP_SOTIEN,BP_THANG,DU$2,BP_KM,$E41)/1000</f>
        <v>0</v>
      </c>
      <c r="DV41" s="1112" t="str">
        <f t="shared" si="595"/>
        <v/>
      </c>
      <c r="DW41" s="1112"/>
      <c r="DX41" s="1142">
        <f>IF(NOW()&gt;=DATE(YEAR(DU$2),MONTH(DU$2)+1,DAY(DU$2)),SUMIFS(TF_SOTIEN,TF_THANG,DU$2,TF_KM,$E41)/1000, EA41)</f>
        <v>0</v>
      </c>
      <c r="DY41" s="1112" t="str">
        <f t="shared" si="596"/>
        <v/>
      </c>
      <c r="DZ41" s="1112"/>
      <c r="EA41" s="1142">
        <f>IF(NOW()&gt;=DATE(YEAR(DU$2),MONTH(DU$2)+1,DAY(DU$2)),SUMIFS(AC_SOTIEN,AC_THANG,DU$2,AC_KM,$E41),SUMIFS(TF_SOTIEN,TF_THANG,DU$2,TF_KM,$E41))/ 1000</f>
        <v>0</v>
      </c>
      <c r="EB41" s="1112" t="str">
        <f t="shared" si="597"/>
        <v/>
      </c>
      <c r="EC41" s="1112" t="str">
        <f t="shared" ref="EC41:EC42" si="640">IFERROR(EA41/EA$89,"")</f>
        <v/>
      </c>
      <c r="ED41" s="1142">
        <f t="shared" si="80"/>
        <v>0</v>
      </c>
      <c r="EE41" s="1112" t="str">
        <f t="shared" si="81"/>
        <v/>
      </c>
      <c r="EF41" s="1142">
        <f t="shared" si="82"/>
        <v>0</v>
      </c>
      <c r="EG41" s="1112" t="str">
        <f t="shared" si="83"/>
        <v/>
      </c>
      <c r="EH41" s="1110">
        <f>SUMIFS(BP_SOTIEN,BP_THANG,EH$2,BP_KM,$E41)/1000</f>
        <v>0</v>
      </c>
      <c r="EI41" s="1112" t="str">
        <f t="shared" si="598"/>
        <v/>
      </c>
      <c r="EJ41" s="1112"/>
      <c r="EK41" s="1142">
        <f>IF(NOW()&gt;=DATE(YEAR(EH$2),MONTH(EH$2)+1,DAY(EH$2)),SUMIFS(TF_SOTIEN,TF_THANG,EH$2,TF_KM,$E41)/1000, EN41)</f>
        <v>0</v>
      </c>
      <c r="EL41" s="1112" t="str">
        <f t="shared" si="599"/>
        <v/>
      </c>
      <c r="EM41" s="1112"/>
      <c r="EN41" s="1142">
        <f>IF(NOW()&gt;=DATE(YEAR(EH$2),MONTH(EH$2)+1,DAY(EH$2)),SUMIFS(AC_SOTIEN,AC_THANG,EH$2,AC_KM,$E41),SUMIFS(TF_SOTIEN,TF_THANG,EH$2,TF_KM,$E41))/ 1000</f>
        <v>0</v>
      </c>
      <c r="EO41" s="1112" t="str">
        <f t="shared" si="600"/>
        <v/>
      </c>
      <c r="EP41" s="1112" t="str">
        <f t="shared" ref="EP41:EP42" si="641">IFERROR(EN41/EN$89,"")</f>
        <v/>
      </c>
      <c r="EQ41" s="1142">
        <f t="shared" si="87"/>
        <v>0</v>
      </c>
      <c r="ER41" s="1112" t="str">
        <f t="shared" si="88"/>
        <v/>
      </c>
      <c r="ES41" s="1142">
        <f t="shared" si="89"/>
        <v>0</v>
      </c>
      <c r="ET41" s="1112" t="str">
        <f t="shared" si="90"/>
        <v/>
      </c>
      <c r="EU41" s="1110">
        <f>SUMIFS(BP_SOTIEN,BP_THANG,EU$2,BP_KM,$E41)/1000</f>
        <v>0</v>
      </c>
      <c r="EV41" s="1112" t="str">
        <f t="shared" si="601"/>
        <v/>
      </c>
      <c r="EW41" s="1112"/>
      <c r="EX41" s="1142">
        <f>IF(NOW()&gt;=DATE(YEAR(EU$2),MONTH(EU$2)+1,DAY(EU$2)),SUMIFS(TF_SOTIEN,TF_THANG,EU$2,TF_KM,$E41)/1000, FA41)</f>
        <v>0</v>
      </c>
      <c r="EY41" s="1112" t="str">
        <f t="shared" si="602"/>
        <v/>
      </c>
      <c r="EZ41" s="1112"/>
      <c r="FA41" s="1142">
        <f>IF(NOW()&gt;=DATE(YEAR(EU$2),MONTH(EU$2)+1,DAY(EU$2)),SUMIFS(AC_SOTIEN,AC_THANG,EU$2,AC_KM,$E41),SUMIFS(TF_SOTIEN,TF_THANG,EU$2,TF_KM,$E41))/ 1000</f>
        <v>0</v>
      </c>
      <c r="FB41" s="1112" t="str">
        <f t="shared" si="603"/>
        <v/>
      </c>
      <c r="FC41" s="1112" t="str">
        <f t="shared" ref="FC41:FC42" si="642">IFERROR(FA41/FA$89,"")</f>
        <v/>
      </c>
      <c r="FD41" s="1142">
        <f t="shared" si="94"/>
        <v>0</v>
      </c>
      <c r="FE41" s="1112" t="str">
        <f t="shared" si="95"/>
        <v/>
      </c>
      <c r="FF41" s="1142">
        <f t="shared" si="96"/>
        <v>0</v>
      </c>
      <c r="FG41" s="1112" t="str">
        <f t="shared" si="97"/>
        <v/>
      </c>
      <c r="FH41" s="1110">
        <f t="shared" si="240"/>
        <v>0</v>
      </c>
      <c r="FI41" s="1112" t="str">
        <f t="shared" si="604"/>
        <v/>
      </c>
      <c r="FJ41" s="1112">
        <f t="shared" ref="FJ41:FJ42" si="643">IFERROR(FH41/FH$89,"")</f>
        <v>0</v>
      </c>
      <c r="FK41" s="1142">
        <f t="shared" si="243"/>
        <v>0</v>
      </c>
      <c r="FL41" s="1112" t="str">
        <f t="shared" si="605"/>
        <v/>
      </c>
      <c r="FM41" s="1112">
        <f t="shared" ref="FM41:FM42" si="644">IFERROR(FK41/FK$89,"")</f>
        <v>0</v>
      </c>
      <c r="FN41" s="1142">
        <f t="shared" si="246"/>
        <v>0</v>
      </c>
      <c r="FO41" s="1112" t="str">
        <f t="shared" si="606"/>
        <v/>
      </c>
      <c r="FP41" s="1112" t="str">
        <f t="shared" ref="FP41:FP42" si="645">IFERROR(FN41/FN$89,"")</f>
        <v/>
      </c>
      <c r="FQ41" s="1142">
        <f t="shared" si="104"/>
        <v>0</v>
      </c>
      <c r="FR41" s="1112" t="str">
        <f t="shared" si="105"/>
        <v/>
      </c>
      <c r="FS41" s="1142">
        <f t="shared" si="106"/>
        <v>0</v>
      </c>
      <c r="FT41" s="1112" t="str">
        <f t="shared" si="107"/>
        <v/>
      </c>
      <c r="FU41" s="1110">
        <f>SUMIFS(BP_SOTIEN,BP_THANG,FU$2,BP_KM,$E41)/1000</f>
        <v>0</v>
      </c>
      <c r="FV41" s="1112" t="str">
        <f t="shared" si="607"/>
        <v/>
      </c>
      <c r="FW41" s="1112"/>
      <c r="FX41" s="1142">
        <f>IF(NOW()&gt;=DATE(YEAR(FU$2),MONTH(FU$2)+1,DAY(FU$2)),SUMIFS(TF_SOTIEN,TF_THANG,FU$2,TF_KM,$E41)/1000, GA41)</f>
        <v>0</v>
      </c>
      <c r="FY41" s="1112" t="str">
        <f t="shared" si="608"/>
        <v/>
      </c>
      <c r="FZ41" s="1112"/>
      <c r="GA41" s="1142">
        <f>IF(NOW()&gt;=DATE(YEAR(FU$2),MONTH(FU$2)+1,DAY(FU$2)),SUMIFS(AC_SOTIEN,AC_THANG,FU$2,AC_KM,$E41),SUMIFS(TF_SOTIEN,TF_THANG,FU$2,TF_KM,$E41))/ 1000</f>
        <v>0</v>
      </c>
      <c r="GB41" s="1112" t="str">
        <f t="shared" si="609"/>
        <v/>
      </c>
      <c r="GC41" s="1112" t="str">
        <f t="shared" ref="GC41:GC42" si="646">IFERROR(GA41/GA$89,"")</f>
        <v/>
      </c>
      <c r="GD41" s="1142">
        <f t="shared" si="111"/>
        <v>0</v>
      </c>
      <c r="GE41" s="1112" t="str">
        <f t="shared" si="112"/>
        <v/>
      </c>
      <c r="GF41" s="1142">
        <f t="shared" si="113"/>
        <v>0</v>
      </c>
      <c r="GG41" s="1112" t="str">
        <f t="shared" si="114"/>
        <v/>
      </c>
      <c r="GH41" s="1110">
        <f>SUMIFS(BP_SOTIEN,BP_THANG,GH$2,BP_KM,$E41)/1000</f>
        <v>0</v>
      </c>
      <c r="GI41" s="1112" t="str">
        <f t="shared" si="610"/>
        <v/>
      </c>
      <c r="GJ41" s="1112"/>
      <c r="GK41" s="1142">
        <f>IF(NOW()&gt;=DATE(YEAR(GH$2),MONTH(GH$2)+1,DAY(GH$2)),SUMIFS(TF_SOTIEN,TF_THANG,GH$2,TF_KM,$E41)/1000, GN41)</f>
        <v>0</v>
      </c>
      <c r="GL41" s="1112" t="str">
        <f t="shared" si="611"/>
        <v/>
      </c>
      <c r="GM41" s="1112"/>
      <c r="GN41" s="1142">
        <f>IF(NOW()&gt;=DATE(YEAR(GH$2),MONTH(GH$2)+1,DAY(GH$2)),SUMIFS(AC_SOTIEN,AC_THANG,GH$2,AC_KM,$E41),SUMIFS(TF_SOTIEN,TF_THANG,GH$2,TF_KM,$E41))/ 1000</f>
        <v>0</v>
      </c>
      <c r="GO41" s="1112" t="str">
        <f t="shared" si="612"/>
        <v/>
      </c>
      <c r="GP41" s="1112" t="str">
        <f t="shared" ref="GP41:GP42" si="647">IFERROR(GN41/GN$89,"")</f>
        <v/>
      </c>
      <c r="GQ41" s="1142">
        <f t="shared" si="118"/>
        <v>0</v>
      </c>
      <c r="GR41" s="1112" t="str">
        <f t="shared" si="119"/>
        <v/>
      </c>
      <c r="GS41" s="1142">
        <f t="shared" si="120"/>
        <v>0</v>
      </c>
      <c r="GT41" s="1112" t="str">
        <f t="shared" si="121"/>
        <v/>
      </c>
      <c r="GU41" s="1110">
        <f>SUMIFS(BP_SOTIEN,BP_THANG,GU$2,BP_KM,$E41)/1000</f>
        <v>0</v>
      </c>
      <c r="GV41" s="1112" t="str">
        <f t="shared" si="613"/>
        <v/>
      </c>
      <c r="GW41" s="1112"/>
      <c r="GX41" s="1142">
        <f>IF(NOW()&gt;=DATE(YEAR(GU$2),MONTH(GU$2)+1,DAY(GU$2)),SUMIFS(TF_SOTIEN,TF_THANG,GU$2,TF_KM,$E41)/1000, HA41)</f>
        <v>0</v>
      </c>
      <c r="GY41" s="1112" t="str">
        <f t="shared" si="614"/>
        <v/>
      </c>
      <c r="GZ41" s="1112"/>
      <c r="HA41" s="1142">
        <f>IF(NOW()&gt;=DATE(YEAR(GU$2),MONTH(GU$2)+1,DAY(GU$2)),SUMIFS(AC_SOTIEN,AC_THANG,GU$2,AC_KM,$E41),SUMIFS(TF_SOTIEN,TF_THANG,GU$2,TF_KM,$E41))/ 1000</f>
        <v>0</v>
      </c>
      <c r="HB41" s="1112" t="str">
        <f t="shared" si="615"/>
        <v/>
      </c>
      <c r="HC41" s="1112" t="str">
        <f t="shared" ref="HC41:HC42" si="648">IFERROR(HA41/HA$89,"")</f>
        <v/>
      </c>
      <c r="HD41" s="1142">
        <f t="shared" si="125"/>
        <v>0</v>
      </c>
      <c r="HE41" s="1112" t="str">
        <f t="shared" si="126"/>
        <v/>
      </c>
      <c r="HF41" s="1142">
        <f t="shared" si="127"/>
        <v>0</v>
      </c>
      <c r="HG41" s="1112" t="str">
        <f t="shared" si="128"/>
        <v/>
      </c>
      <c r="HH41" s="1110">
        <f t="shared" si="267"/>
        <v>0</v>
      </c>
      <c r="HI41" s="1112" t="str">
        <f t="shared" si="616"/>
        <v/>
      </c>
      <c r="HJ41" s="1112">
        <f t="shared" ref="HJ41:HJ42" si="649">IFERROR(HH41/HH$89,"")</f>
        <v>0</v>
      </c>
      <c r="HK41" s="1142">
        <f t="shared" si="270"/>
        <v>0</v>
      </c>
      <c r="HL41" s="1112" t="str">
        <f t="shared" si="617"/>
        <v/>
      </c>
      <c r="HM41" s="1112">
        <f t="shared" ref="HM41:HM42" si="650">IFERROR(HK41/HK$89,"")</f>
        <v>0</v>
      </c>
      <c r="HN41" s="1142">
        <f t="shared" si="273"/>
        <v>0</v>
      </c>
      <c r="HO41" s="1112" t="str">
        <f t="shared" si="618"/>
        <v/>
      </c>
      <c r="HP41" s="1112" t="str">
        <f t="shared" ref="HP41:HP42" si="651">IFERROR(HN41/HN$89,"")</f>
        <v/>
      </c>
      <c r="HQ41" s="1142">
        <f t="shared" si="135"/>
        <v>0</v>
      </c>
      <c r="HR41" s="1112" t="str">
        <f t="shared" si="136"/>
        <v/>
      </c>
      <c r="HS41" s="1142">
        <f t="shared" si="137"/>
        <v>0</v>
      </c>
      <c r="HT41" s="1112" t="str">
        <f t="shared" si="138"/>
        <v/>
      </c>
      <c r="HU41" s="1110">
        <f t="shared" si="276"/>
        <v>0</v>
      </c>
      <c r="HV41" s="1112" t="str">
        <f t="shared" si="619"/>
        <v/>
      </c>
      <c r="HW41" s="1112">
        <f t="shared" ref="HW41:HW42" si="652">IFERROR(HU41/HU$89,"")</f>
        <v>0</v>
      </c>
      <c r="HX41" s="1142">
        <f t="shared" si="279"/>
        <v>0</v>
      </c>
      <c r="HY41" s="1112" t="str">
        <f t="shared" si="620"/>
        <v/>
      </c>
      <c r="HZ41" s="1112">
        <f t="shared" ref="HZ41:HZ42" si="653">IFERROR(HX41/HX$89,"")</f>
        <v>0</v>
      </c>
      <c r="IA41" s="1142">
        <f t="shared" si="282"/>
        <v>0</v>
      </c>
      <c r="IB41" s="1112" t="str">
        <f t="shared" si="621"/>
        <v/>
      </c>
      <c r="IC41" s="1112" t="str">
        <f t="shared" ref="IC41:IC42" si="654">IFERROR(IA41/IA$89,"")</f>
        <v/>
      </c>
      <c r="ID41" s="1142">
        <f t="shared" si="145"/>
        <v>0</v>
      </c>
      <c r="IE41" s="1112" t="str">
        <f t="shared" si="146"/>
        <v/>
      </c>
      <c r="IF41" s="1142">
        <f t="shared" si="147"/>
        <v>0</v>
      </c>
      <c r="IG41" s="1112" t="str">
        <f t="shared" si="148"/>
        <v/>
      </c>
      <c r="IH41" s="1110">
        <f t="shared" si="285"/>
        <v>0</v>
      </c>
      <c r="II41" s="1112" t="str">
        <f t="shared" si="622"/>
        <v/>
      </c>
      <c r="IJ41" s="1112">
        <f t="shared" ref="IJ41:IJ42" si="655">IFERROR(IH41/IH$89,"")</f>
        <v>0</v>
      </c>
      <c r="IK41" s="1142">
        <f t="shared" si="288"/>
        <v>0</v>
      </c>
      <c r="IL41" s="1112" t="str">
        <f t="shared" si="623"/>
        <v/>
      </c>
      <c r="IM41" s="1112">
        <f t="shared" ref="IM41:IM42" si="656">IFERROR(IK41/IK$89,"")</f>
        <v>0</v>
      </c>
      <c r="IN41" s="1142">
        <f t="shared" si="291"/>
        <v>0</v>
      </c>
      <c r="IO41" s="1112">
        <f t="shared" si="624"/>
        <v>0</v>
      </c>
      <c r="IP41" s="1112">
        <f t="shared" ref="IP41:IP42" si="657">IFERROR(IN41/IN$89,"")</f>
        <v>0</v>
      </c>
      <c r="IQ41" s="1142">
        <f t="shared" si="155"/>
        <v>0</v>
      </c>
      <c r="IR41" s="1112" t="str">
        <f t="shared" si="1"/>
        <v/>
      </c>
      <c r="IS41" s="1142">
        <f t="shared" si="156"/>
        <v>0</v>
      </c>
      <c r="IT41" s="1112" t="str">
        <f t="shared" si="2"/>
        <v/>
      </c>
    </row>
    <row r="42" collapsed="1">
      <c r="A42" s="1107" t="s">
        <v>2827</v>
      </c>
      <c r="B42" s="1108"/>
      <c r="C42" s="1108"/>
      <c r="D42" s="1108"/>
      <c r="E42" s="1108"/>
      <c r="F42" s="1108"/>
      <c r="G42" s="1141">
        <v>1.0</v>
      </c>
      <c r="H42" s="1110">
        <f>SUMIF($G$43:$G$59,2,H$43:H$59)</f>
        <v>53170</v>
      </c>
      <c r="I42" s="1112" t="str">
        <f t="shared" si="566"/>
        <v/>
      </c>
      <c r="J42" s="1112">
        <f>IFERROR(H42/H$89,"")</f>
        <v>0.1177984952</v>
      </c>
      <c r="K42" s="1142">
        <f>SUMIF($G$43:$G$59,2,K$43:K$59)</f>
        <v>53170</v>
      </c>
      <c r="L42" s="1112" t="str">
        <f t="shared" si="567"/>
        <v/>
      </c>
      <c r="M42" s="1112">
        <f>IFERROR(K42/K$89,"")</f>
        <v>0.1177984952</v>
      </c>
      <c r="N42" s="1142">
        <f>SUMIF($G$43:$G$59,2,N$43:N$59)</f>
        <v>716325.608</v>
      </c>
      <c r="O42" s="1112">
        <f t="shared" si="568"/>
        <v>2.106840024</v>
      </c>
      <c r="P42" s="1112">
        <f t="shared" si="625"/>
        <v>0.8639963472</v>
      </c>
      <c r="Q42" s="1143">
        <f t="shared" si="8"/>
        <v>663155.608</v>
      </c>
      <c r="R42" s="1144">
        <f t="shared" si="9"/>
        <v>12.47236427</v>
      </c>
      <c r="S42" s="1143">
        <f t="shared" si="10"/>
        <v>663155.608</v>
      </c>
      <c r="T42" s="1144">
        <f t="shared" si="11"/>
        <v>12.47236427</v>
      </c>
      <c r="U42" s="1110">
        <f>SUMIF($G$43:$G$59,2,U$43:U$59)</f>
        <v>53170</v>
      </c>
      <c r="V42" s="1112" t="str">
        <f t="shared" si="569"/>
        <v/>
      </c>
      <c r="W42" s="1112">
        <f>IFERROR(U42/U$89,"")</f>
        <v>0.118586684</v>
      </c>
      <c r="X42" s="1142">
        <f>SUMIF($G$43:$G$59,2,X$43:X$59)</f>
        <v>89732.467</v>
      </c>
      <c r="Y42" s="1112" t="str">
        <f t="shared" si="570"/>
        <v/>
      </c>
      <c r="Z42" s="1112">
        <f>IFERROR(X42/X$89,"")</f>
        <v>0.3727701187</v>
      </c>
      <c r="AA42" s="1142">
        <f>SUMIF($G$43:$G$59,2,AA$43:AA$59)</f>
        <v>167388.567</v>
      </c>
      <c r="AB42" s="1112" t="str">
        <f t="shared" si="571"/>
        <v/>
      </c>
      <c r="AC42" s="1112">
        <f t="shared" si="626"/>
        <v>0.5373933546</v>
      </c>
      <c r="AD42" s="1143">
        <f t="shared" si="15"/>
        <v>114218.567</v>
      </c>
      <c r="AE42" s="1144">
        <f t="shared" si="16"/>
        <v>2.148176923</v>
      </c>
      <c r="AF42" s="1143">
        <f t="shared" si="17"/>
        <v>77656.1</v>
      </c>
      <c r="AG42" s="1144">
        <f t="shared" si="18"/>
        <v>0.8654180877</v>
      </c>
      <c r="AH42" s="1110">
        <f>SUMIF($G$43:$G$59,2,AH$43:AH$59)</f>
        <v>53170</v>
      </c>
      <c r="AI42" s="1112" t="str">
        <f t="shared" si="572"/>
        <v/>
      </c>
      <c r="AJ42" s="1112">
        <f>IFERROR(AH42/AH$89,"")</f>
        <v>0.118586684</v>
      </c>
      <c r="AK42" s="1142">
        <f>SUMIF($G$43:$G$59,2,AK$43:AK$59)</f>
        <v>229092.467</v>
      </c>
      <c r="AL42" s="1112" t="str">
        <f t="shared" si="573"/>
        <v/>
      </c>
      <c r="AM42" s="1112">
        <f>IFERROR(AK42/AK$89,"")</f>
        <v>0.6027512349</v>
      </c>
      <c r="AN42" s="1142">
        <f>SUMIF($G$43:$G$59,2,AN$43:AN$59)</f>
        <v>609298.794</v>
      </c>
      <c r="AO42" s="1112" t="str">
        <f t="shared" si="574"/>
        <v/>
      </c>
      <c r="AP42" s="1112">
        <f t="shared" si="627"/>
        <v>0.7471396982</v>
      </c>
      <c r="AQ42" s="1143">
        <f t="shared" si="22"/>
        <v>556128.794</v>
      </c>
      <c r="AR42" s="1144">
        <f t="shared" si="23"/>
        <v>10.45944694</v>
      </c>
      <c r="AS42" s="1143">
        <f t="shared" si="24"/>
        <v>380206.327</v>
      </c>
      <c r="AT42" s="1144">
        <f t="shared" si="25"/>
        <v>1.659619506</v>
      </c>
      <c r="AU42" s="1110">
        <f t="shared" si="177"/>
        <v>159510</v>
      </c>
      <c r="AV42" s="1112" t="str">
        <f t="shared" si="575"/>
        <v/>
      </c>
      <c r="AW42" s="1112">
        <f t="shared" si="628"/>
        <v>0.1183227851</v>
      </c>
      <c r="AX42" s="1142">
        <f t="shared" si="180"/>
        <v>371994.934</v>
      </c>
      <c r="AY42" s="1112" t="str">
        <f t="shared" si="576"/>
        <v/>
      </c>
      <c r="AZ42" s="1112">
        <f t="shared" si="629"/>
        <v>0.3469584329</v>
      </c>
      <c r="BA42" s="1142">
        <f t="shared" si="444"/>
        <v>1493012.969</v>
      </c>
      <c r="BB42" s="1112">
        <f t="shared" si="577"/>
        <v>4.391214615</v>
      </c>
      <c r="BC42" s="1112">
        <f t="shared" si="630"/>
        <v>0.7632698025</v>
      </c>
      <c r="BD42" s="1143">
        <f t="shared" si="32"/>
        <v>1333502.969</v>
      </c>
      <c r="BE42" s="1144">
        <f t="shared" si="33"/>
        <v>8.359996044</v>
      </c>
      <c r="BF42" s="1143">
        <f t="shared" si="34"/>
        <v>1121018.035</v>
      </c>
      <c r="BG42" s="1144">
        <f t="shared" si="35"/>
        <v>3.01353038</v>
      </c>
      <c r="BH42" s="1110">
        <f>SUMIF($G$43:$G$59,2,BH$43:BH$59)</f>
        <v>7710170</v>
      </c>
      <c r="BI42" s="1112" t="str">
        <f t="shared" si="578"/>
        <v/>
      </c>
      <c r="BJ42" s="1112">
        <f>IFERROR(BH42/BH$89,"")</f>
        <v>0.9512429053</v>
      </c>
      <c r="BK42" s="1142">
        <f>SUMIF($G$43:$G$59,2,BK$43:BK$59)</f>
        <v>330930.667</v>
      </c>
      <c r="BL42" s="1112" t="str">
        <f t="shared" si="579"/>
        <v/>
      </c>
      <c r="BM42" s="1112">
        <f>IFERROR(BK42/BK$89,"")</f>
        <v>0.5609750189</v>
      </c>
      <c r="BN42" s="1142">
        <f>SUMIF($G$43:$G$59,2,BN$43:BN$59)</f>
        <v>1185113.083</v>
      </c>
      <c r="BO42" s="1112" t="str">
        <f t="shared" si="580"/>
        <v/>
      </c>
      <c r="BP42" s="1112">
        <f t="shared" si="631"/>
        <v>0.848265806</v>
      </c>
      <c r="BQ42" s="1143">
        <f t="shared" si="39"/>
        <v>-6525056.917</v>
      </c>
      <c r="BR42" s="1144">
        <f t="shared" si="40"/>
        <v>-0.846292224</v>
      </c>
      <c r="BS42" s="1143">
        <f t="shared" si="41"/>
        <v>854182.416</v>
      </c>
      <c r="BT42" s="1144">
        <f t="shared" si="42"/>
        <v>2.58115219</v>
      </c>
      <c r="BU42" s="1110">
        <f>SUMIF($G$43:$G$59,2,BU$43:BU$59)</f>
        <v>7710170</v>
      </c>
      <c r="BV42" s="1112" t="str">
        <f t="shared" si="581"/>
        <v/>
      </c>
      <c r="BW42" s="1112">
        <f>IFERROR(BU42/BU$89,"")</f>
        <v>0.9517319597</v>
      </c>
      <c r="BX42" s="1142">
        <f>SUMIF($G$43:$G$59,2,BX$43:BX$59)</f>
        <v>789356.936</v>
      </c>
      <c r="BY42" s="1112" t="str">
        <f t="shared" si="582"/>
        <v/>
      </c>
      <c r="BZ42" s="1112">
        <f>IFERROR(BX42/BX$89,"")</f>
        <v>0.7476030004</v>
      </c>
      <c r="CA42" s="1142">
        <f>SUMIF($G$43:$G$59,2,CA$43:CA$59)</f>
        <v>537626.524</v>
      </c>
      <c r="CB42" s="1112" t="str">
        <f t="shared" si="583"/>
        <v/>
      </c>
      <c r="CC42" s="1112">
        <f t="shared" si="632"/>
        <v>0.6819980701</v>
      </c>
      <c r="CD42" s="1143">
        <f t="shared" si="46"/>
        <v>-7172543.476</v>
      </c>
      <c r="CE42" s="1144">
        <f t="shared" si="47"/>
        <v>-0.9302704708</v>
      </c>
      <c r="CF42" s="1143">
        <f t="shared" si="48"/>
        <v>-251730.412</v>
      </c>
      <c r="CG42" s="1144">
        <f t="shared" si="49"/>
        <v>-0.318905682</v>
      </c>
      <c r="CH42" s="1110">
        <f>SUMIF($G$43:$G$59,2,CH$43:CH$59)</f>
        <v>7710170</v>
      </c>
      <c r="CI42" s="1112" t="str">
        <f t="shared" si="584"/>
        <v/>
      </c>
      <c r="CJ42" s="1112">
        <f>IFERROR(CH42/CH$89,"")</f>
        <v>0.9517319597</v>
      </c>
      <c r="CK42" s="1142">
        <f>SUMIF($G$43:$G$59,2,CK$43:CK$59)</f>
        <v>6462170</v>
      </c>
      <c r="CL42" s="1112" t="str">
        <f t="shared" si="585"/>
        <v/>
      </c>
      <c r="CM42" s="1112">
        <f>IFERROR(CK42/CK$89,"")</f>
        <v>0.9596212343</v>
      </c>
      <c r="CN42" s="1142">
        <f>SUMIF($G$43:$G$59,2,CN$43:CN$59)</f>
        <v>0</v>
      </c>
      <c r="CO42" s="1112" t="str">
        <f t="shared" si="586"/>
        <v/>
      </c>
      <c r="CP42" s="1112" t="str">
        <f t="shared" si="633"/>
        <v/>
      </c>
      <c r="CQ42" s="1143">
        <f t="shared" si="53"/>
        <v>-7710170</v>
      </c>
      <c r="CR42" s="1144">
        <f t="shared" si="54"/>
        <v>-1</v>
      </c>
      <c r="CS42" s="1143">
        <f t="shared" si="55"/>
        <v>-6462170</v>
      </c>
      <c r="CT42" s="1144">
        <f t="shared" si="56"/>
        <v>-1</v>
      </c>
      <c r="CU42" s="1110">
        <f t="shared" si="204"/>
        <v>23130510</v>
      </c>
      <c r="CV42" s="1112" t="str">
        <f t="shared" si="587"/>
        <v/>
      </c>
      <c r="CW42" s="1112">
        <f t="shared" si="634"/>
        <v>0.9515688857</v>
      </c>
      <c r="CX42" s="1142">
        <f t="shared" si="588"/>
        <v>7582457.603</v>
      </c>
      <c r="CY42" s="1112" t="str">
        <f t="shared" si="589"/>
        <v/>
      </c>
      <c r="CZ42" s="1112">
        <f t="shared" si="635"/>
        <v>0.9048435417</v>
      </c>
      <c r="DA42" s="1142">
        <f t="shared" si="590"/>
        <v>1722739.607</v>
      </c>
      <c r="DB42" s="1112" t="str">
        <f t="shared" si="591"/>
        <v/>
      </c>
      <c r="DC42" s="1112">
        <f t="shared" si="636"/>
        <v>0.7882905378</v>
      </c>
      <c r="DD42" s="1143">
        <f t="shared" si="63"/>
        <v>-21407770.39</v>
      </c>
      <c r="DE42" s="1144">
        <f t="shared" si="64"/>
        <v>-0.9255208983</v>
      </c>
      <c r="DF42" s="1143">
        <f t="shared" si="65"/>
        <v>-5859717.996</v>
      </c>
      <c r="DG42" s="1144">
        <f t="shared" si="66"/>
        <v>-0.772799309</v>
      </c>
      <c r="DH42" s="1110">
        <f t="shared" si="213"/>
        <v>23290020</v>
      </c>
      <c r="DI42" s="1112" t="str">
        <f t="shared" si="592"/>
        <v/>
      </c>
      <c r="DJ42" s="1112">
        <f t="shared" si="637"/>
        <v>0.907785802</v>
      </c>
      <c r="DK42" s="1142">
        <f t="shared" si="216"/>
        <v>7954452.537</v>
      </c>
      <c r="DL42" s="1112" t="str">
        <f t="shared" si="593"/>
        <v/>
      </c>
      <c r="DM42" s="1112">
        <f t="shared" si="638"/>
        <v>0.8415615774</v>
      </c>
      <c r="DN42" s="1142">
        <f t="shared" si="219"/>
        <v>3215752.576</v>
      </c>
      <c r="DO42" s="1112">
        <f t="shared" si="594"/>
        <v>9.458095812</v>
      </c>
      <c r="DP42" s="1112">
        <f t="shared" si="639"/>
        <v>0.7764729383</v>
      </c>
      <c r="DQ42" s="1143">
        <f t="shared" si="73"/>
        <v>-20074267.42</v>
      </c>
      <c r="DR42" s="1144">
        <f t="shared" si="74"/>
        <v>-0.8619257272</v>
      </c>
      <c r="DS42" s="1143">
        <f t="shared" si="75"/>
        <v>-4738699.961</v>
      </c>
      <c r="DT42" s="1144">
        <f t="shared" si="76"/>
        <v>-0.5957292396</v>
      </c>
      <c r="DU42" s="1110">
        <f>SUMIF($G$43:$G$59,2,DU$43:DU$59)</f>
        <v>7710170</v>
      </c>
      <c r="DV42" s="1112" t="str">
        <f t="shared" si="595"/>
        <v/>
      </c>
      <c r="DW42" s="1112">
        <f>IFERROR(DU42/DU$89,"")</f>
        <v>0.9517319597</v>
      </c>
      <c r="DX42" s="1142">
        <f>SUMIF($G$43:$G$59,2,DX$43:DX$59)</f>
        <v>7710170</v>
      </c>
      <c r="DY42" s="1112" t="str">
        <f t="shared" si="596"/>
        <v/>
      </c>
      <c r="DZ42" s="1112">
        <f>IFERROR(DX42/DX$89,"")</f>
        <v>0.9517319597</v>
      </c>
      <c r="EA42" s="1142">
        <f>SUMIF($G$43:$G$59,2,EA$43:EA$59)</f>
        <v>0</v>
      </c>
      <c r="EB42" s="1112" t="str">
        <f t="shared" si="597"/>
        <v/>
      </c>
      <c r="EC42" s="1112" t="str">
        <f t="shared" si="640"/>
        <v/>
      </c>
      <c r="ED42" s="1143">
        <f t="shared" si="80"/>
        <v>-7710170</v>
      </c>
      <c r="EE42" s="1144">
        <f t="shared" si="81"/>
        <v>-1</v>
      </c>
      <c r="EF42" s="1143">
        <f t="shared" si="82"/>
        <v>-7710170</v>
      </c>
      <c r="EG42" s="1144">
        <f t="shared" si="83"/>
        <v>-1</v>
      </c>
      <c r="EH42" s="1110">
        <f>SUMIF($G$43:$G$59,2,EH$43:EH$59)</f>
        <v>7710170</v>
      </c>
      <c r="EI42" s="1112" t="str">
        <f t="shared" si="598"/>
        <v/>
      </c>
      <c r="EJ42" s="1112">
        <f>IFERROR(EH42/EH$89,"")</f>
        <v>0.9517319597</v>
      </c>
      <c r="EK42" s="1142">
        <f>SUMIF($G$43:$G$59,2,EK$43:EK$59)</f>
        <v>7710170</v>
      </c>
      <c r="EL42" s="1112" t="str">
        <f t="shared" si="599"/>
        <v/>
      </c>
      <c r="EM42" s="1112">
        <f>IFERROR(EK42/EK$89,"")</f>
        <v>0.9517319597</v>
      </c>
      <c r="EN42" s="1142">
        <f>SUMIF($G$43:$G$59,2,EN$43:EN$59)</f>
        <v>0</v>
      </c>
      <c r="EO42" s="1112" t="str">
        <f t="shared" si="600"/>
        <v/>
      </c>
      <c r="EP42" s="1112" t="str">
        <f t="shared" si="641"/>
        <v/>
      </c>
      <c r="EQ42" s="1143">
        <f t="shared" si="87"/>
        <v>-7710170</v>
      </c>
      <c r="ER42" s="1144">
        <f t="shared" si="88"/>
        <v>-1</v>
      </c>
      <c r="ES42" s="1143">
        <f t="shared" si="89"/>
        <v>-7710170</v>
      </c>
      <c r="ET42" s="1144">
        <f t="shared" si="90"/>
        <v>-1</v>
      </c>
      <c r="EU42" s="1110">
        <f>SUMIF($G$43:$G$59,2,EU$43:EU$59)</f>
        <v>7710170</v>
      </c>
      <c r="EV42" s="1112" t="str">
        <f t="shared" si="601"/>
        <v/>
      </c>
      <c r="EW42" s="1112">
        <f>IFERROR(EU42/EU$89,"")</f>
        <v>0.9517319597</v>
      </c>
      <c r="EX42" s="1142">
        <f>SUMIF($G$43:$G$59,2,EX$43:EX$59)</f>
        <v>7710170</v>
      </c>
      <c r="EY42" s="1112" t="str">
        <f t="shared" si="602"/>
        <v/>
      </c>
      <c r="EZ42" s="1112">
        <f>IFERROR(EX42/EX$89,"")</f>
        <v>0.9517319597</v>
      </c>
      <c r="FA42" s="1142">
        <f>SUMIF($G$43:$G$59,2,FA$43:FA$59)</f>
        <v>0</v>
      </c>
      <c r="FB42" s="1112" t="str">
        <f t="shared" si="603"/>
        <v/>
      </c>
      <c r="FC42" s="1112" t="str">
        <f t="shared" si="642"/>
        <v/>
      </c>
      <c r="FD42" s="1143">
        <f t="shared" si="94"/>
        <v>-7710170</v>
      </c>
      <c r="FE42" s="1144">
        <f t="shared" si="95"/>
        <v>-1</v>
      </c>
      <c r="FF42" s="1143">
        <f t="shared" si="96"/>
        <v>-7710170</v>
      </c>
      <c r="FG42" s="1144">
        <f t="shared" si="97"/>
        <v>-1</v>
      </c>
      <c r="FH42" s="1110">
        <f t="shared" si="240"/>
        <v>23130510</v>
      </c>
      <c r="FI42" s="1112" t="str">
        <f t="shared" si="604"/>
        <v/>
      </c>
      <c r="FJ42" s="1112">
        <f t="shared" si="643"/>
        <v>0.9517319597</v>
      </c>
      <c r="FK42" s="1142">
        <f t="shared" si="243"/>
        <v>23130510</v>
      </c>
      <c r="FL42" s="1112" t="str">
        <f t="shared" si="605"/>
        <v/>
      </c>
      <c r="FM42" s="1112">
        <f t="shared" si="644"/>
        <v>0.9517319597</v>
      </c>
      <c r="FN42" s="1142">
        <f t="shared" si="246"/>
        <v>0</v>
      </c>
      <c r="FO42" s="1112" t="str">
        <f t="shared" si="606"/>
        <v/>
      </c>
      <c r="FP42" s="1112" t="str">
        <f t="shared" si="645"/>
        <v/>
      </c>
      <c r="FQ42" s="1143">
        <f t="shared" si="104"/>
        <v>-23130510</v>
      </c>
      <c r="FR42" s="1144">
        <f t="shared" si="105"/>
        <v>-1</v>
      </c>
      <c r="FS42" s="1143">
        <f t="shared" si="106"/>
        <v>-23130510</v>
      </c>
      <c r="FT42" s="1144">
        <f t="shared" si="107"/>
        <v>-1</v>
      </c>
      <c r="FU42" s="1110">
        <f>SUMIF($G$43:$G$59,2,FU$43:FU$59)</f>
        <v>7710170</v>
      </c>
      <c r="FV42" s="1112" t="str">
        <f t="shared" si="607"/>
        <v/>
      </c>
      <c r="FW42" s="1112">
        <f>IFERROR(FU42/FU$89,"")</f>
        <v>0.9517319597</v>
      </c>
      <c r="FX42" s="1142">
        <f>SUMIF($G$43:$G$59,2,FX$43:FX$59)</f>
        <v>7710170</v>
      </c>
      <c r="FY42" s="1112" t="str">
        <f t="shared" si="608"/>
        <v/>
      </c>
      <c r="FZ42" s="1112">
        <f>IFERROR(FX42/FX$89,"")</f>
        <v>0.9517319597</v>
      </c>
      <c r="GA42" s="1142">
        <f>SUMIF($G$43:$G$59,2,GA$43:GA$59)</f>
        <v>0</v>
      </c>
      <c r="GB42" s="1112" t="str">
        <f t="shared" si="609"/>
        <v/>
      </c>
      <c r="GC42" s="1112" t="str">
        <f t="shared" si="646"/>
        <v/>
      </c>
      <c r="GD42" s="1143">
        <f t="shared" si="111"/>
        <v>-7710170</v>
      </c>
      <c r="GE42" s="1144">
        <f t="shared" si="112"/>
        <v>-1</v>
      </c>
      <c r="GF42" s="1143">
        <f t="shared" si="113"/>
        <v>-7710170</v>
      </c>
      <c r="GG42" s="1144">
        <f t="shared" si="114"/>
        <v>-1</v>
      </c>
      <c r="GH42" s="1110">
        <f>SUMIF($G$43:$G$59,2,GH$43:GH$59)</f>
        <v>7710170</v>
      </c>
      <c r="GI42" s="1112" t="str">
        <f t="shared" si="610"/>
        <v/>
      </c>
      <c r="GJ42" s="1112">
        <f>IFERROR(GH42/GH$89,"")</f>
        <v>0.9517319597</v>
      </c>
      <c r="GK42" s="1142">
        <f>SUMIF($G$43:$G$59,2,GK$43:GK$59)</f>
        <v>7710170</v>
      </c>
      <c r="GL42" s="1112" t="str">
        <f t="shared" si="611"/>
        <v/>
      </c>
      <c r="GM42" s="1112">
        <f>IFERROR(GK42/GK$89,"")</f>
        <v>0.9517319597</v>
      </c>
      <c r="GN42" s="1142">
        <f>SUMIF($G$43:$G$59,2,GN$43:GN$59)</f>
        <v>0</v>
      </c>
      <c r="GO42" s="1112" t="str">
        <f t="shared" si="612"/>
        <v/>
      </c>
      <c r="GP42" s="1112" t="str">
        <f t="shared" si="647"/>
        <v/>
      </c>
      <c r="GQ42" s="1143">
        <f t="shared" si="118"/>
        <v>-7710170</v>
      </c>
      <c r="GR42" s="1144">
        <f t="shared" si="119"/>
        <v>-1</v>
      </c>
      <c r="GS42" s="1143">
        <f t="shared" si="120"/>
        <v>-7710170</v>
      </c>
      <c r="GT42" s="1144">
        <f t="shared" si="121"/>
        <v>-1</v>
      </c>
      <c r="GU42" s="1110">
        <f>SUMIF($G$43:$G$59,2,GU$43:GU$59)</f>
        <v>7710170</v>
      </c>
      <c r="GV42" s="1112" t="str">
        <f t="shared" si="613"/>
        <v/>
      </c>
      <c r="GW42" s="1112">
        <f>IFERROR(GU42/GU$89,"")</f>
        <v>0.9517319597</v>
      </c>
      <c r="GX42" s="1142">
        <f>SUMIF($G$43:$G$59,2,GX$43:GX$59)</f>
        <v>7710170</v>
      </c>
      <c r="GY42" s="1112" t="str">
        <f t="shared" si="614"/>
        <v/>
      </c>
      <c r="GZ42" s="1112">
        <f>IFERROR(GX42/GX$89,"")</f>
        <v>0.9517319597</v>
      </c>
      <c r="HA42" s="1142">
        <f>SUMIF($G$43:$G$59,2,HA$43:HA$59)</f>
        <v>0</v>
      </c>
      <c r="HB42" s="1112" t="str">
        <f t="shared" si="615"/>
        <v/>
      </c>
      <c r="HC42" s="1112" t="str">
        <f t="shared" si="648"/>
        <v/>
      </c>
      <c r="HD42" s="1143">
        <f t="shared" si="125"/>
        <v>-7710170</v>
      </c>
      <c r="HE42" s="1144">
        <f t="shared" si="126"/>
        <v>-1</v>
      </c>
      <c r="HF42" s="1143">
        <f t="shared" si="127"/>
        <v>-7710170</v>
      </c>
      <c r="HG42" s="1144">
        <f t="shared" si="128"/>
        <v>-1</v>
      </c>
      <c r="HH42" s="1110">
        <f t="shared" si="267"/>
        <v>23130510</v>
      </c>
      <c r="HI42" s="1112" t="str">
        <f t="shared" si="616"/>
        <v/>
      </c>
      <c r="HJ42" s="1112">
        <f t="shared" si="649"/>
        <v>0.9517319597</v>
      </c>
      <c r="HK42" s="1142">
        <f t="shared" si="270"/>
        <v>23130510</v>
      </c>
      <c r="HL42" s="1112" t="str">
        <f t="shared" si="617"/>
        <v/>
      </c>
      <c r="HM42" s="1112">
        <f t="shared" si="650"/>
        <v>0.9517319597</v>
      </c>
      <c r="HN42" s="1142">
        <f t="shared" si="273"/>
        <v>0</v>
      </c>
      <c r="HO42" s="1112" t="str">
        <f t="shared" si="618"/>
        <v/>
      </c>
      <c r="HP42" s="1112" t="str">
        <f t="shared" si="651"/>
        <v/>
      </c>
      <c r="HQ42" s="1143">
        <f t="shared" si="135"/>
        <v>-23130510</v>
      </c>
      <c r="HR42" s="1144">
        <f t="shared" si="136"/>
        <v>-1</v>
      </c>
      <c r="HS42" s="1143">
        <f t="shared" si="137"/>
        <v>-23130510</v>
      </c>
      <c r="HT42" s="1144">
        <f t="shared" si="138"/>
        <v>-1</v>
      </c>
      <c r="HU42" s="1110">
        <f t="shared" si="276"/>
        <v>46261020</v>
      </c>
      <c r="HV42" s="1112" t="str">
        <f t="shared" si="619"/>
        <v/>
      </c>
      <c r="HW42" s="1112">
        <f t="shared" si="652"/>
        <v>0.9517319597</v>
      </c>
      <c r="HX42" s="1142">
        <f t="shared" si="279"/>
        <v>46261020</v>
      </c>
      <c r="HY42" s="1112" t="str">
        <f t="shared" si="620"/>
        <v/>
      </c>
      <c r="HZ42" s="1112">
        <f t="shared" si="653"/>
        <v>0.9517319597</v>
      </c>
      <c r="IA42" s="1142">
        <f t="shared" si="282"/>
        <v>0</v>
      </c>
      <c r="IB42" s="1112" t="str">
        <f t="shared" si="621"/>
        <v/>
      </c>
      <c r="IC42" s="1112" t="str">
        <f t="shared" si="654"/>
        <v/>
      </c>
      <c r="ID42" s="1143">
        <f t="shared" si="145"/>
        <v>-46261020</v>
      </c>
      <c r="IE42" s="1144">
        <f t="shared" si="146"/>
        <v>-1</v>
      </c>
      <c r="IF42" s="1143">
        <f t="shared" si="147"/>
        <v>-46261020</v>
      </c>
      <c r="IG42" s="1144">
        <f t="shared" si="148"/>
        <v>-1</v>
      </c>
      <c r="IH42" s="1110">
        <f t="shared" si="285"/>
        <v>69551040</v>
      </c>
      <c r="II42" s="1112" t="str">
        <f t="shared" si="622"/>
        <v/>
      </c>
      <c r="IJ42" s="1112">
        <f t="shared" si="655"/>
        <v>0.9365497629</v>
      </c>
      <c r="IK42" s="1142">
        <f t="shared" si="288"/>
        <v>54215472.54</v>
      </c>
      <c r="IL42" s="1112" t="str">
        <f t="shared" si="623"/>
        <v/>
      </c>
      <c r="IM42" s="1112">
        <f t="shared" si="656"/>
        <v>0.9337962676</v>
      </c>
      <c r="IN42" s="1142">
        <f t="shared" si="291"/>
        <v>3215752.576</v>
      </c>
      <c r="IO42" s="1112">
        <f t="shared" si="624"/>
        <v>9.458095812</v>
      </c>
      <c r="IP42" s="1112">
        <f t="shared" si="657"/>
        <v>0.7764729383</v>
      </c>
      <c r="IQ42" s="1143">
        <f t="shared" si="155"/>
        <v>-66335287.42</v>
      </c>
      <c r="IR42" s="1144">
        <f t="shared" si="1"/>
        <v>-0.9537641339</v>
      </c>
      <c r="IS42" s="1143">
        <f t="shared" si="156"/>
        <v>-50999719.96</v>
      </c>
      <c r="IT42" s="1144">
        <f t="shared" si="2"/>
        <v>-0.9406857042</v>
      </c>
    </row>
    <row r="43" hidden="1" outlineLevel="1">
      <c r="A43" s="1087"/>
      <c r="B43" s="1087"/>
      <c r="C43" s="1087"/>
      <c r="D43" s="1087" t="s">
        <v>2828</v>
      </c>
      <c r="E43" s="1087"/>
      <c r="F43" s="1086">
        <v>641.0</v>
      </c>
      <c r="G43" s="1086">
        <v>2.0</v>
      </c>
      <c r="H43" s="1088">
        <f>SUM(H44:H47)</f>
        <v>1666</v>
      </c>
      <c r="I43" s="1145" t="str">
        <f t="shared" si="566"/>
        <v/>
      </c>
      <c r="J43" s="1145">
        <f>IFERROR(H43/H$42,"")</f>
        <v>0.03133345872</v>
      </c>
      <c r="K43" s="1090">
        <f>SUM(K44:K47)</f>
        <v>1666</v>
      </c>
      <c r="L43" s="1145" t="str">
        <f t="shared" si="567"/>
        <v/>
      </c>
      <c r="M43" s="1145">
        <f>IFERROR(K43/K$42,"")</f>
        <v>0.03133345872</v>
      </c>
      <c r="N43" s="1090">
        <f>SUM(N44:N47)</f>
        <v>159949.385</v>
      </c>
      <c r="O43" s="1145">
        <f t="shared" si="568"/>
        <v>0.4704393676</v>
      </c>
      <c r="P43" s="1145">
        <f>IFERROR(N43/N$42,"")</f>
        <v>0.2232914518</v>
      </c>
      <c r="Q43" s="1130">
        <f t="shared" si="8"/>
        <v>158283.385</v>
      </c>
      <c r="R43" s="1132">
        <f t="shared" si="9"/>
        <v>95.00803421</v>
      </c>
      <c r="S43" s="1130">
        <f t="shared" si="10"/>
        <v>158283.385</v>
      </c>
      <c r="T43" s="1132">
        <f t="shared" si="11"/>
        <v>95.00803421</v>
      </c>
      <c r="U43" s="1088">
        <f>SUM(U44:U47)</f>
        <v>1666</v>
      </c>
      <c r="V43" s="1145" t="str">
        <f t="shared" si="569"/>
        <v/>
      </c>
      <c r="W43" s="1145">
        <f>IFERROR(U43/U$42,"")</f>
        <v>0.03133345872</v>
      </c>
      <c r="X43" s="1090">
        <f>SUM(X44:X47)</f>
        <v>58570.667</v>
      </c>
      <c r="Y43" s="1145" t="str">
        <f t="shared" si="570"/>
        <v/>
      </c>
      <c r="Z43" s="1145">
        <f>IFERROR(X43/X$42,"")</f>
        <v>0.6527254734</v>
      </c>
      <c r="AA43" s="1090">
        <f>SUM(AA44:AA47)</f>
        <v>135280.667</v>
      </c>
      <c r="AB43" s="1145" t="str">
        <f t="shared" si="571"/>
        <v/>
      </c>
      <c r="AC43" s="1145">
        <f>IFERROR(AA43/AA$42,"")</f>
        <v>0.8081834347</v>
      </c>
      <c r="AD43" s="1130">
        <f t="shared" si="15"/>
        <v>133614.667</v>
      </c>
      <c r="AE43" s="1132">
        <f t="shared" si="16"/>
        <v>80.20088055</v>
      </c>
      <c r="AF43" s="1130">
        <f t="shared" si="17"/>
        <v>76710</v>
      </c>
      <c r="AG43" s="1132">
        <f t="shared" si="18"/>
        <v>1.309699956</v>
      </c>
      <c r="AH43" s="1088">
        <f>SUM(AH44:AH47)</f>
        <v>1666</v>
      </c>
      <c r="AI43" s="1145" t="str">
        <f t="shared" si="572"/>
        <v/>
      </c>
      <c r="AJ43" s="1145">
        <f>IFERROR(AH43/AH$42,"")</f>
        <v>0.03133345872</v>
      </c>
      <c r="AK43" s="1090">
        <f>SUM(AK44:AK47)</f>
        <v>104170.667</v>
      </c>
      <c r="AL43" s="1145" t="str">
        <f t="shared" si="573"/>
        <v/>
      </c>
      <c r="AM43" s="1145">
        <f>IFERROR(AK43/AK$42,"")</f>
        <v>0.4547101368</v>
      </c>
      <c r="AN43" s="1090">
        <f>SUM(AN44:AN47)</f>
        <v>338236.944</v>
      </c>
      <c r="AO43" s="1145" t="str">
        <f t="shared" si="574"/>
        <v/>
      </c>
      <c r="AP43" s="1145">
        <f>IFERROR(AN43/AN$42,"")</f>
        <v>0.5551249195</v>
      </c>
      <c r="AQ43" s="1130">
        <f t="shared" si="22"/>
        <v>336570.944</v>
      </c>
      <c r="AR43" s="1132">
        <f t="shared" si="23"/>
        <v>202.0233758</v>
      </c>
      <c r="AS43" s="1130">
        <f t="shared" si="24"/>
        <v>234066.277</v>
      </c>
      <c r="AT43" s="1132">
        <f t="shared" si="25"/>
        <v>2.246949969</v>
      </c>
      <c r="AU43" s="1088">
        <f t="shared" si="177"/>
        <v>4998</v>
      </c>
      <c r="AV43" s="1145" t="str">
        <f t="shared" si="575"/>
        <v/>
      </c>
      <c r="AW43" s="1145">
        <f>IFERROR(AU43/AU$42,"")</f>
        <v>0.03133345872</v>
      </c>
      <c r="AX43" s="1090">
        <f t="shared" si="180"/>
        <v>164407.334</v>
      </c>
      <c r="AY43" s="1145" t="str">
        <f t="shared" si="576"/>
        <v/>
      </c>
      <c r="AZ43" s="1145">
        <f>IFERROR(AX43/AX$42,"")</f>
        <v>0.4419612177</v>
      </c>
      <c r="BA43" s="1090">
        <f t="shared" si="444"/>
        <v>633466.996</v>
      </c>
      <c r="BB43" s="1145">
        <f t="shared" si="577"/>
        <v>1.863138224</v>
      </c>
      <c r="BC43" s="1145">
        <f>IFERROR(BA43/BA$42,"")</f>
        <v>0.4242876714</v>
      </c>
      <c r="BD43" s="1130">
        <f t="shared" si="32"/>
        <v>628468.996</v>
      </c>
      <c r="BE43" s="1132">
        <f t="shared" si="33"/>
        <v>125.7440968</v>
      </c>
      <c r="BF43" s="1130">
        <f t="shared" si="34"/>
        <v>469059.662</v>
      </c>
      <c r="BG43" s="1132">
        <f t="shared" si="35"/>
        <v>2.853033685</v>
      </c>
      <c r="BH43" s="1088">
        <f>SUM(BH44:BH47)</f>
        <v>4941666</v>
      </c>
      <c r="BI43" s="1145" t="str">
        <f t="shared" si="578"/>
        <v/>
      </c>
      <c r="BJ43" s="1145">
        <f>IFERROR(BH43/BH$42,"")</f>
        <v>0.6409282804</v>
      </c>
      <c r="BK43" s="1090">
        <f>SUM(BK44:BK47)</f>
        <v>104170.667</v>
      </c>
      <c r="BL43" s="1145" t="str">
        <f t="shared" si="579"/>
        <v/>
      </c>
      <c r="BM43" s="1145">
        <f>IFERROR(BK43/BK$42,"")</f>
        <v>0.3147809417</v>
      </c>
      <c r="BN43" s="1090">
        <f>SUM(BN44:BN47)</f>
        <v>865978.385</v>
      </c>
      <c r="BO43" s="1145" t="str">
        <f t="shared" si="580"/>
        <v/>
      </c>
      <c r="BP43" s="1145">
        <f>IFERROR(BN43/BN$42,"")</f>
        <v>0.7307137162</v>
      </c>
      <c r="BQ43" s="1130">
        <f t="shared" si="39"/>
        <v>-4075687.615</v>
      </c>
      <c r="BR43" s="1132">
        <f t="shared" si="40"/>
        <v>-0.824759831</v>
      </c>
      <c r="BS43" s="1130">
        <f t="shared" si="41"/>
        <v>761807.718</v>
      </c>
      <c r="BT43" s="1132">
        <f t="shared" si="42"/>
        <v>7.313073247</v>
      </c>
      <c r="BU43" s="1088">
        <f>SUM(BU44:BU47)</f>
        <v>4941666</v>
      </c>
      <c r="BV43" s="1145" t="str">
        <f t="shared" si="581"/>
        <v/>
      </c>
      <c r="BW43" s="1145">
        <f>IFERROR(BU43/BU$42,"")</f>
        <v>0.6409282804</v>
      </c>
      <c r="BX43" s="1090">
        <f>SUM(BX44:BX47)</f>
        <v>577596.936</v>
      </c>
      <c r="BY43" s="1145" t="str">
        <f t="shared" si="582"/>
        <v/>
      </c>
      <c r="BZ43" s="1145">
        <f>IFERROR(BX43/BX$42,"")</f>
        <v>0.7317309948</v>
      </c>
      <c r="CA43" s="1090">
        <f>SUM(CA44:CA47)</f>
        <v>375961.524</v>
      </c>
      <c r="CB43" s="1145" t="str">
        <f t="shared" si="583"/>
        <v/>
      </c>
      <c r="CC43" s="1145">
        <f>IFERROR(CA43/CA$42,"")</f>
        <v>0.6992986901</v>
      </c>
      <c r="CD43" s="1130">
        <f t="shared" si="46"/>
        <v>-4565704.476</v>
      </c>
      <c r="CE43" s="1132">
        <f t="shared" si="47"/>
        <v>-0.9239200861</v>
      </c>
      <c r="CF43" s="1130">
        <f t="shared" si="48"/>
        <v>-201635.412</v>
      </c>
      <c r="CG43" s="1132">
        <f t="shared" si="49"/>
        <v>-0.3490936316</v>
      </c>
      <c r="CH43" s="1088">
        <f>SUM(CH44:CH47)</f>
        <v>4941666</v>
      </c>
      <c r="CI43" s="1145" t="str">
        <f t="shared" si="584"/>
        <v/>
      </c>
      <c r="CJ43" s="1145">
        <f>IFERROR(CH43/CH$42,"")</f>
        <v>0.6409282804</v>
      </c>
      <c r="CK43" s="1090">
        <f>SUM(CK44:CK47)</f>
        <v>4941666</v>
      </c>
      <c r="CL43" s="1145" t="str">
        <f t="shared" si="585"/>
        <v/>
      </c>
      <c r="CM43" s="1145">
        <f>IFERROR(CK43/CK$42,"")</f>
        <v>0.7647069019</v>
      </c>
      <c r="CN43" s="1090">
        <f>SUM(CN44:CN47)</f>
        <v>0</v>
      </c>
      <c r="CO43" s="1145" t="str">
        <f t="shared" si="586"/>
        <v/>
      </c>
      <c r="CP43" s="1145" t="str">
        <f>IFERROR(CN43/CN$42,"")</f>
        <v/>
      </c>
      <c r="CQ43" s="1130">
        <f t="shared" si="53"/>
        <v>-4941666</v>
      </c>
      <c r="CR43" s="1132">
        <f t="shared" si="54"/>
        <v>-1</v>
      </c>
      <c r="CS43" s="1130">
        <f t="shared" si="55"/>
        <v>-4941666</v>
      </c>
      <c r="CT43" s="1132">
        <f t="shared" si="56"/>
        <v>-1</v>
      </c>
      <c r="CU43" s="1088">
        <f t="shared" si="204"/>
        <v>14824998</v>
      </c>
      <c r="CV43" s="1145" t="str">
        <f t="shared" si="587"/>
        <v/>
      </c>
      <c r="CW43" s="1145">
        <f>IFERROR(CU43/CU$42,"")</f>
        <v>0.6409282804</v>
      </c>
      <c r="CX43" s="1090">
        <f t="shared" si="588"/>
        <v>5623433.603</v>
      </c>
      <c r="CY43" s="1145" t="str">
        <f t="shared" si="589"/>
        <v/>
      </c>
      <c r="CZ43" s="1145">
        <f>IFERROR(CX43/CX$42,"")</f>
        <v>0.7416373289</v>
      </c>
      <c r="DA43" s="1090">
        <f t="shared" si="590"/>
        <v>1241939.909</v>
      </c>
      <c r="DB43" s="1145" t="str">
        <f t="shared" si="591"/>
        <v/>
      </c>
      <c r="DC43" s="1145">
        <f>IFERROR(DA43/DA$42,"")</f>
        <v>0.7209098252</v>
      </c>
      <c r="DD43" s="1130">
        <f t="shared" si="63"/>
        <v>-13583058.09</v>
      </c>
      <c r="DE43" s="1132">
        <f t="shared" si="64"/>
        <v>-0.916226639</v>
      </c>
      <c r="DF43" s="1130">
        <f t="shared" si="65"/>
        <v>-4381493.694</v>
      </c>
      <c r="DG43" s="1132">
        <f t="shared" si="66"/>
        <v>-0.7791491824</v>
      </c>
      <c r="DH43" s="1088">
        <f t="shared" si="213"/>
        <v>14829996</v>
      </c>
      <c r="DI43" s="1145" t="str">
        <f t="shared" si="592"/>
        <v/>
      </c>
      <c r="DJ43" s="1145">
        <f>IFERROR(DH43/DH$42,"")</f>
        <v>0.6367532531</v>
      </c>
      <c r="DK43" s="1090">
        <f t="shared" si="216"/>
        <v>5787840.937</v>
      </c>
      <c r="DL43" s="1145" t="str">
        <f t="shared" si="593"/>
        <v/>
      </c>
      <c r="DM43" s="1145">
        <f>IFERROR(DK43/DK$42,"")</f>
        <v>0.7276227886</v>
      </c>
      <c r="DN43" s="1090">
        <f t="shared" si="219"/>
        <v>1875406.905</v>
      </c>
      <c r="DO43" s="1145">
        <f t="shared" si="594"/>
        <v>5.515902662</v>
      </c>
      <c r="DP43" s="1145">
        <f>IFERROR(DN43/DN$42,"")</f>
        <v>0.5831937814</v>
      </c>
      <c r="DQ43" s="1130">
        <f t="shared" si="73"/>
        <v>-12954589.1</v>
      </c>
      <c r="DR43" s="1132">
        <f t="shared" si="74"/>
        <v>-0.8735396217</v>
      </c>
      <c r="DS43" s="1130">
        <f t="shared" si="75"/>
        <v>-3912434.032</v>
      </c>
      <c r="DT43" s="1132">
        <f t="shared" si="76"/>
        <v>-0.6759746984</v>
      </c>
      <c r="DU43" s="1088">
        <f>SUM(DU44:DU47)</f>
        <v>4941666</v>
      </c>
      <c r="DV43" s="1145" t="str">
        <f t="shared" si="595"/>
        <v/>
      </c>
      <c r="DW43" s="1145">
        <f>IFERROR(DU43/DU$42,"")</f>
        <v>0.6409282804</v>
      </c>
      <c r="DX43" s="1090">
        <f>SUM(DX44:DX47)</f>
        <v>4941666</v>
      </c>
      <c r="DY43" s="1145" t="str">
        <f t="shared" si="596"/>
        <v/>
      </c>
      <c r="DZ43" s="1145">
        <f>IFERROR(DX43/DX$42,"")</f>
        <v>0.6409282804</v>
      </c>
      <c r="EA43" s="1090">
        <f>SUM(EA44:EA47)</f>
        <v>0</v>
      </c>
      <c r="EB43" s="1145" t="str">
        <f t="shared" si="597"/>
        <v/>
      </c>
      <c r="EC43" s="1145" t="str">
        <f>IFERROR(EA43/EA$42,"")</f>
        <v/>
      </c>
      <c r="ED43" s="1130">
        <f t="shared" si="80"/>
        <v>-4941666</v>
      </c>
      <c r="EE43" s="1132">
        <f t="shared" si="81"/>
        <v>-1</v>
      </c>
      <c r="EF43" s="1130">
        <f t="shared" si="82"/>
        <v>-4941666</v>
      </c>
      <c r="EG43" s="1132">
        <f t="shared" si="83"/>
        <v>-1</v>
      </c>
      <c r="EH43" s="1088">
        <f>SUM(EH44:EH47)</f>
        <v>4941666</v>
      </c>
      <c r="EI43" s="1145" t="str">
        <f t="shared" si="598"/>
        <v/>
      </c>
      <c r="EJ43" s="1145">
        <f>IFERROR(EH43/EH$42,"")</f>
        <v>0.6409282804</v>
      </c>
      <c r="EK43" s="1090">
        <f>SUM(EK44:EK47)</f>
        <v>4941666</v>
      </c>
      <c r="EL43" s="1145" t="str">
        <f t="shared" si="599"/>
        <v/>
      </c>
      <c r="EM43" s="1145">
        <f>IFERROR(EK43/EK$42,"")</f>
        <v>0.6409282804</v>
      </c>
      <c r="EN43" s="1090">
        <f>SUM(EN44:EN47)</f>
        <v>0</v>
      </c>
      <c r="EO43" s="1145" t="str">
        <f t="shared" si="600"/>
        <v/>
      </c>
      <c r="EP43" s="1145" t="str">
        <f>IFERROR(EN43/EN$42,"")</f>
        <v/>
      </c>
      <c r="EQ43" s="1130">
        <f t="shared" si="87"/>
        <v>-4941666</v>
      </c>
      <c r="ER43" s="1132">
        <f t="shared" si="88"/>
        <v>-1</v>
      </c>
      <c r="ES43" s="1130">
        <f t="shared" si="89"/>
        <v>-4941666</v>
      </c>
      <c r="ET43" s="1132">
        <f t="shared" si="90"/>
        <v>-1</v>
      </c>
      <c r="EU43" s="1088">
        <f>SUM(EU44:EU47)</f>
        <v>4941666</v>
      </c>
      <c r="EV43" s="1145" t="str">
        <f t="shared" si="601"/>
        <v/>
      </c>
      <c r="EW43" s="1145">
        <f>IFERROR(EU43/EU$42,"")</f>
        <v>0.6409282804</v>
      </c>
      <c r="EX43" s="1090">
        <f>SUM(EX44:EX47)</f>
        <v>4941666</v>
      </c>
      <c r="EY43" s="1145" t="str">
        <f t="shared" si="602"/>
        <v/>
      </c>
      <c r="EZ43" s="1145">
        <f>IFERROR(EX43/EX$42,"")</f>
        <v>0.6409282804</v>
      </c>
      <c r="FA43" s="1090">
        <f>SUM(FA44:FA47)</f>
        <v>0</v>
      </c>
      <c r="FB43" s="1145" t="str">
        <f t="shared" si="603"/>
        <v/>
      </c>
      <c r="FC43" s="1145" t="str">
        <f>IFERROR(FA43/FA$42,"")</f>
        <v/>
      </c>
      <c r="FD43" s="1130">
        <f t="shared" si="94"/>
        <v>-4941666</v>
      </c>
      <c r="FE43" s="1132">
        <f t="shared" si="95"/>
        <v>-1</v>
      </c>
      <c r="FF43" s="1130">
        <f t="shared" si="96"/>
        <v>-4941666</v>
      </c>
      <c r="FG43" s="1132">
        <f t="shared" si="97"/>
        <v>-1</v>
      </c>
      <c r="FH43" s="1088">
        <f t="shared" si="240"/>
        <v>14824998</v>
      </c>
      <c r="FI43" s="1145" t="str">
        <f t="shared" si="604"/>
        <v/>
      </c>
      <c r="FJ43" s="1145">
        <f>IFERROR(FH43/FH$42,"")</f>
        <v>0.6409282804</v>
      </c>
      <c r="FK43" s="1090">
        <f t="shared" si="243"/>
        <v>14824998</v>
      </c>
      <c r="FL43" s="1145" t="str">
        <f t="shared" si="605"/>
        <v/>
      </c>
      <c r="FM43" s="1145">
        <f>IFERROR(FK43/FK$42,"")</f>
        <v>0.6409282804</v>
      </c>
      <c r="FN43" s="1090">
        <f t="shared" si="246"/>
        <v>0</v>
      </c>
      <c r="FO43" s="1145" t="str">
        <f t="shared" si="606"/>
        <v/>
      </c>
      <c r="FP43" s="1145" t="str">
        <f>IFERROR(FN43/FN$42,"")</f>
        <v/>
      </c>
      <c r="FQ43" s="1130">
        <f t="shared" si="104"/>
        <v>-14824998</v>
      </c>
      <c r="FR43" s="1132">
        <f t="shared" si="105"/>
        <v>-1</v>
      </c>
      <c r="FS43" s="1130">
        <f t="shared" si="106"/>
        <v>-14824998</v>
      </c>
      <c r="FT43" s="1132">
        <f t="shared" si="107"/>
        <v>-1</v>
      </c>
      <c r="FU43" s="1088">
        <f>SUM(FU44:FU47)</f>
        <v>4941666</v>
      </c>
      <c r="FV43" s="1145" t="str">
        <f t="shared" si="607"/>
        <v/>
      </c>
      <c r="FW43" s="1145">
        <f>IFERROR(FU43/FU$42,"")</f>
        <v>0.6409282804</v>
      </c>
      <c r="FX43" s="1090">
        <f>SUM(FX44:FX47)</f>
        <v>4941666</v>
      </c>
      <c r="FY43" s="1145" t="str">
        <f t="shared" si="608"/>
        <v/>
      </c>
      <c r="FZ43" s="1145">
        <f>IFERROR(FX43/FX$42,"")</f>
        <v>0.6409282804</v>
      </c>
      <c r="GA43" s="1090">
        <f>SUM(GA44:GA47)</f>
        <v>0</v>
      </c>
      <c r="GB43" s="1145" t="str">
        <f t="shared" si="609"/>
        <v/>
      </c>
      <c r="GC43" s="1145" t="str">
        <f>IFERROR(GA43/GA$42,"")</f>
        <v/>
      </c>
      <c r="GD43" s="1130">
        <f t="shared" si="111"/>
        <v>-4941666</v>
      </c>
      <c r="GE43" s="1132">
        <f t="shared" si="112"/>
        <v>-1</v>
      </c>
      <c r="GF43" s="1130">
        <f t="shared" si="113"/>
        <v>-4941666</v>
      </c>
      <c r="GG43" s="1132">
        <f t="shared" si="114"/>
        <v>-1</v>
      </c>
      <c r="GH43" s="1088">
        <f>SUM(GH44:GH47)</f>
        <v>4941666</v>
      </c>
      <c r="GI43" s="1145" t="str">
        <f t="shared" si="610"/>
        <v/>
      </c>
      <c r="GJ43" s="1145">
        <f>IFERROR(GH43/GH$42,"")</f>
        <v>0.6409282804</v>
      </c>
      <c r="GK43" s="1090">
        <f>SUM(GK44:GK47)</f>
        <v>4941666</v>
      </c>
      <c r="GL43" s="1145" t="str">
        <f t="shared" si="611"/>
        <v/>
      </c>
      <c r="GM43" s="1145">
        <f>IFERROR(GK43/GK$42,"")</f>
        <v>0.6409282804</v>
      </c>
      <c r="GN43" s="1090">
        <f>SUM(GN44:GN47)</f>
        <v>0</v>
      </c>
      <c r="GO43" s="1145" t="str">
        <f t="shared" si="612"/>
        <v/>
      </c>
      <c r="GP43" s="1145" t="str">
        <f>IFERROR(GN43/GN$42,"")</f>
        <v/>
      </c>
      <c r="GQ43" s="1130">
        <f t="shared" si="118"/>
        <v>-4941666</v>
      </c>
      <c r="GR43" s="1132">
        <f t="shared" si="119"/>
        <v>-1</v>
      </c>
      <c r="GS43" s="1130">
        <f t="shared" si="120"/>
        <v>-4941666</v>
      </c>
      <c r="GT43" s="1132">
        <f t="shared" si="121"/>
        <v>-1</v>
      </c>
      <c r="GU43" s="1088">
        <f>SUM(GU44:GU47)</f>
        <v>4941666</v>
      </c>
      <c r="GV43" s="1145" t="str">
        <f t="shared" si="613"/>
        <v/>
      </c>
      <c r="GW43" s="1145">
        <f>IFERROR(GU43/GU$42,"")</f>
        <v>0.6409282804</v>
      </c>
      <c r="GX43" s="1090">
        <f>SUM(GX44:GX47)</f>
        <v>4941666</v>
      </c>
      <c r="GY43" s="1145" t="str">
        <f t="shared" si="614"/>
        <v/>
      </c>
      <c r="GZ43" s="1145">
        <f>IFERROR(GX43/GX$42,"")</f>
        <v>0.6409282804</v>
      </c>
      <c r="HA43" s="1090">
        <f>SUM(HA44:HA47)</f>
        <v>0</v>
      </c>
      <c r="HB43" s="1145" t="str">
        <f t="shared" si="615"/>
        <v/>
      </c>
      <c r="HC43" s="1145" t="str">
        <f>IFERROR(HA43/HA$42,"")</f>
        <v/>
      </c>
      <c r="HD43" s="1130">
        <f t="shared" si="125"/>
        <v>-4941666</v>
      </c>
      <c r="HE43" s="1132">
        <f t="shared" si="126"/>
        <v>-1</v>
      </c>
      <c r="HF43" s="1130">
        <f t="shared" si="127"/>
        <v>-4941666</v>
      </c>
      <c r="HG43" s="1132">
        <f t="shared" si="128"/>
        <v>-1</v>
      </c>
      <c r="HH43" s="1088">
        <f t="shared" si="267"/>
        <v>14824998</v>
      </c>
      <c r="HI43" s="1145" t="str">
        <f t="shared" si="616"/>
        <v/>
      </c>
      <c r="HJ43" s="1145">
        <f>IFERROR(HH43/HH$42,"")</f>
        <v>0.6409282804</v>
      </c>
      <c r="HK43" s="1090">
        <f t="shared" si="270"/>
        <v>14824998</v>
      </c>
      <c r="HL43" s="1145" t="str">
        <f t="shared" si="617"/>
        <v/>
      </c>
      <c r="HM43" s="1145">
        <f>IFERROR(HK43/HK$42,"")</f>
        <v>0.6409282804</v>
      </c>
      <c r="HN43" s="1090">
        <f t="shared" si="273"/>
        <v>0</v>
      </c>
      <c r="HO43" s="1145" t="str">
        <f t="shared" si="618"/>
        <v/>
      </c>
      <c r="HP43" s="1145" t="str">
        <f>IFERROR(HN43/HN$42,"")</f>
        <v/>
      </c>
      <c r="HQ43" s="1130">
        <f t="shared" si="135"/>
        <v>-14824998</v>
      </c>
      <c r="HR43" s="1132">
        <f t="shared" si="136"/>
        <v>-1</v>
      </c>
      <c r="HS43" s="1130">
        <f t="shared" si="137"/>
        <v>-14824998</v>
      </c>
      <c r="HT43" s="1132">
        <f t="shared" si="138"/>
        <v>-1</v>
      </c>
      <c r="HU43" s="1088">
        <f t="shared" si="276"/>
        <v>29649996</v>
      </c>
      <c r="HV43" s="1145" t="str">
        <f t="shared" si="619"/>
        <v/>
      </c>
      <c r="HW43" s="1145">
        <f>IFERROR(HU43/HU$42,"")</f>
        <v>0.6409282804</v>
      </c>
      <c r="HX43" s="1090">
        <f t="shared" si="279"/>
        <v>29649996</v>
      </c>
      <c r="HY43" s="1145" t="str">
        <f t="shared" si="620"/>
        <v/>
      </c>
      <c r="HZ43" s="1145">
        <f>IFERROR(HX43/HX$42,"")</f>
        <v>0.6409282804</v>
      </c>
      <c r="IA43" s="1090">
        <f t="shared" si="282"/>
        <v>0</v>
      </c>
      <c r="IB43" s="1145" t="str">
        <f t="shared" si="621"/>
        <v/>
      </c>
      <c r="IC43" s="1145" t="str">
        <f>IFERROR(IA43/IA$42,"")</f>
        <v/>
      </c>
      <c r="ID43" s="1130">
        <f t="shared" si="145"/>
        <v>-29649996</v>
      </c>
      <c r="IE43" s="1132">
        <f t="shared" si="146"/>
        <v>-1</v>
      </c>
      <c r="IF43" s="1130">
        <f t="shared" si="147"/>
        <v>-29649996</v>
      </c>
      <c r="IG43" s="1132">
        <f t="shared" si="148"/>
        <v>-1</v>
      </c>
      <c r="IH43" s="1088">
        <f t="shared" si="285"/>
        <v>44479992</v>
      </c>
      <c r="II43" s="1145" t="str">
        <f t="shared" si="622"/>
        <v/>
      </c>
      <c r="IJ43" s="1145">
        <f>IFERROR(IH43/IH$42,"")</f>
        <v>0.6395302213</v>
      </c>
      <c r="IK43" s="1090">
        <f t="shared" si="288"/>
        <v>35437836.94</v>
      </c>
      <c r="IL43" s="1145" t="str">
        <f t="shared" si="623"/>
        <v/>
      </c>
      <c r="IM43" s="1145">
        <f>IFERROR(IK43/IK$42,"")</f>
        <v>0.6536480322</v>
      </c>
      <c r="IN43" s="1090">
        <f t="shared" si="291"/>
        <v>1875406.905</v>
      </c>
      <c r="IO43" s="1145">
        <f t="shared" si="624"/>
        <v>5.515902662</v>
      </c>
      <c r="IP43" s="1145">
        <f>IFERROR(IN43/IN$42,"")</f>
        <v>0.5831937814</v>
      </c>
      <c r="IQ43" s="1130">
        <f t="shared" si="155"/>
        <v>-42604585.1</v>
      </c>
      <c r="IR43" s="1132">
        <f t="shared" si="1"/>
        <v>-0.9578370674</v>
      </c>
      <c r="IS43" s="1130">
        <f t="shared" si="156"/>
        <v>-33562430.03</v>
      </c>
      <c r="IT43" s="1132">
        <f t="shared" si="2"/>
        <v>-0.9470789679</v>
      </c>
    </row>
    <row r="44" hidden="1" outlineLevel="1">
      <c r="A44" s="737"/>
      <c r="B44" s="737"/>
      <c r="C44" s="737"/>
      <c r="D44" s="737" t="s">
        <v>2829</v>
      </c>
      <c r="E44" s="737" t="s">
        <v>255</v>
      </c>
      <c r="F44" s="737"/>
      <c r="G44" s="748">
        <v>3.0</v>
      </c>
      <c r="H44" s="1146">
        <f>SUMIFS(BP_SOTIEN,BP_THANG,H$2,BP_KM,$E44)/1000</f>
        <v>0</v>
      </c>
      <c r="I44" s="1091" t="str">
        <f t="shared" si="566"/>
        <v/>
      </c>
      <c r="J44" s="1091"/>
      <c r="K44" s="1147">
        <f>IF(NOW()&gt;=DATE(YEAR(H$2),MONTH(H$2)+1,DAY(H$2)),SUMIFS(TF_SOTIEN,TF_THANG,H$2,TF_KM,$E44)/1000, N44)</f>
        <v>0</v>
      </c>
      <c r="L44" s="1091" t="str">
        <f t="shared" si="567"/>
        <v/>
      </c>
      <c r="M44" s="1091"/>
      <c r="N44" s="1147">
        <f>IF(NOW()&gt;=DATE(YEAR(H$2),MONTH(H$2)+1,DAY(H$2)),SUMIFS(AC_SOTIEN,AC_THANG,H$2,AC_KM,$E44),SUMIFS(TF_SOTIEN,TF_THANG,H$2,TF_KM,$E44))/ 1000</f>
        <v>47889.385</v>
      </c>
      <c r="O44" s="1091">
        <f t="shared" si="568"/>
        <v>0.1408511324</v>
      </c>
      <c r="P44" s="1091"/>
      <c r="Q44" s="1147">
        <f t="shared" si="8"/>
        <v>47889.385</v>
      </c>
      <c r="R44" s="1091" t="str">
        <f t="shared" si="9"/>
        <v/>
      </c>
      <c r="S44" s="1147">
        <f t="shared" si="10"/>
        <v>47889.385</v>
      </c>
      <c r="T44" s="1091" t="str">
        <f t="shared" si="11"/>
        <v/>
      </c>
      <c r="U44" s="1146">
        <f>SUMIFS(BP_SOTIEN,BP_THANG,U$2,BP_KM,$E44)/1000</f>
        <v>0</v>
      </c>
      <c r="V44" s="1091" t="str">
        <f t="shared" si="569"/>
        <v/>
      </c>
      <c r="W44" s="1091"/>
      <c r="X44" s="1147">
        <f>IF(NOW()&gt;=DATE(YEAR(U$2),MONTH(U$2)+1,DAY(U$2)),SUMIFS(TF_SOTIEN,TF_THANG,U$2,TF_KM,$E44)/1000, AA44)</f>
        <v>58570.667</v>
      </c>
      <c r="Y44" s="1091" t="str">
        <f t="shared" si="570"/>
        <v/>
      </c>
      <c r="Z44" s="1091"/>
      <c r="AA44" s="1147">
        <f>IF(NOW()&gt;=DATE(YEAR(U$2),MONTH(U$2)+1,DAY(U$2)),SUMIFS(AC_SOTIEN,AC_THANG,U$2,AC_KM,$E44),SUMIFS(TF_SOTIEN,TF_THANG,U$2,TF_KM,$E44))/ 1000</f>
        <v>67320.667</v>
      </c>
      <c r="AB44" s="1091" t="str">
        <f t="shared" si="571"/>
        <v/>
      </c>
      <c r="AC44" s="1091"/>
      <c r="AD44" s="1147">
        <f t="shared" si="15"/>
        <v>67320.667</v>
      </c>
      <c r="AE44" s="1091" t="str">
        <f t="shared" si="16"/>
        <v/>
      </c>
      <c r="AF44" s="1147">
        <f t="shared" si="17"/>
        <v>8750</v>
      </c>
      <c r="AG44" s="1091">
        <f t="shared" si="18"/>
        <v>0.1493921864</v>
      </c>
      <c r="AH44" s="1146">
        <f>SUMIFS(BP_SOTIEN,BP_THANG,AH$2,BP_KM,$E44)/1000</f>
        <v>0</v>
      </c>
      <c r="AI44" s="1091" t="str">
        <f t="shared" si="572"/>
        <v/>
      </c>
      <c r="AJ44" s="1091"/>
      <c r="AK44" s="1147">
        <f>IF(NOW()&gt;=DATE(YEAR(AH$2),MONTH(AH$2)+1,DAY(AH$2)),SUMIFS(TF_SOTIEN,TF_THANG,AH$2,TF_KM,$E44)/1000, AN44)</f>
        <v>58570.667</v>
      </c>
      <c r="AL44" s="1091" t="str">
        <f t="shared" si="573"/>
        <v/>
      </c>
      <c r="AM44" s="1091"/>
      <c r="AN44" s="1147">
        <f>IF(NOW()&gt;=DATE(YEAR(AH$2),MONTH(AH$2)+1,DAY(AH$2)),SUMIFS(AC_SOTIEN,AC_THANG,AH$2,AC_KM,$E44),SUMIFS(TF_SOTIEN,TF_THANG,AH$2,TF_KM,$E44))/ 1000</f>
        <v>112944.444</v>
      </c>
      <c r="AO44" s="1091" t="str">
        <f t="shared" si="574"/>
        <v/>
      </c>
      <c r="AP44" s="1091"/>
      <c r="AQ44" s="1147">
        <f t="shared" si="22"/>
        <v>112944.444</v>
      </c>
      <c r="AR44" s="1091" t="str">
        <f t="shared" si="23"/>
        <v/>
      </c>
      <c r="AS44" s="1147">
        <f t="shared" si="24"/>
        <v>54373.777</v>
      </c>
      <c r="AT44" s="1091">
        <f t="shared" si="25"/>
        <v>0.9283448488</v>
      </c>
      <c r="AU44" s="1146">
        <f t="shared" si="177"/>
        <v>0</v>
      </c>
      <c r="AV44" s="1091" t="str">
        <f t="shared" si="575"/>
        <v/>
      </c>
      <c r="AW44" s="1091"/>
      <c r="AX44" s="1147">
        <f t="shared" si="180"/>
        <v>117141.334</v>
      </c>
      <c r="AY44" s="1091" t="str">
        <f t="shared" si="576"/>
        <v/>
      </c>
      <c r="AZ44" s="1091"/>
      <c r="BA44" s="1147">
        <f t="shared" si="444"/>
        <v>228154.496</v>
      </c>
      <c r="BB44" s="1091">
        <f t="shared" si="577"/>
        <v>0.6710426353</v>
      </c>
      <c r="BC44" s="1091"/>
      <c r="BD44" s="1147">
        <f t="shared" si="32"/>
        <v>228154.496</v>
      </c>
      <c r="BE44" s="1091" t="str">
        <f t="shared" si="33"/>
        <v/>
      </c>
      <c r="BF44" s="1147">
        <f t="shared" si="34"/>
        <v>111013.162</v>
      </c>
      <c r="BG44" s="1091">
        <f t="shared" si="35"/>
        <v>0.9476856564</v>
      </c>
      <c r="BH44" s="1146">
        <f>SUMIFS(BP_SOTIEN,BP_THANG,BH$2,BP_KM,$E44)/1000</f>
        <v>0</v>
      </c>
      <c r="BI44" s="1091" t="str">
        <f t="shared" si="578"/>
        <v/>
      </c>
      <c r="BJ44" s="1091"/>
      <c r="BK44" s="1147">
        <f>IF(NOW()&gt;=DATE(YEAR(BH$2),MONTH(BH$2)+1,DAY(BH$2)),SUMIFS(TF_SOTIEN,TF_THANG,BH$2,TF_KM,$E44)/1000, BN44)</f>
        <v>58570.667</v>
      </c>
      <c r="BL44" s="1091" t="str">
        <f t="shared" si="579"/>
        <v/>
      </c>
      <c r="BM44" s="1091"/>
      <c r="BN44" s="1147">
        <f>IF(NOW()&gt;=DATE(YEAR(BH$2),MONTH(BH$2)+1,DAY(BH$2)),SUMIFS(AC_SOTIEN,AC_THANG,BH$2,AC_KM,$E44),SUMIFS(TF_SOTIEN,TF_THANG,BH$2,TF_KM,$E44))/ 1000</f>
        <v>210235.385</v>
      </c>
      <c r="BO44" s="1091" t="str">
        <f t="shared" si="580"/>
        <v/>
      </c>
      <c r="BP44" s="1091"/>
      <c r="BQ44" s="1147">
        <f t="shared" si="39"/>
        <v>210235.385</v>
      </c>
      <c r="BR44" s="1091" t="str">
        <f t="shared" si="40"/>
        <v/>
      </c>
      <c r="BS44" s="1147">
        <f t="shared" si="41"/>
        <v>151664.718</v>
      </c>
      <c r="BT44" s="1091">
        <f t="shared" si="42"/>
        <v>2.589431293</v>
      </c>
      <c r="BU44" s="1146">
        <f>SUMIFS(BP_SOTIEN,BP_THANG,BU$2,BP_KM,$E44)/1000</f>
        <v>0</v>
      </c>
      <c r="BV44" s="1091" t="str">
        <f t="shared" si="581"/>
        <v/>
      </c>
      <c r="BW44" s="1091"/>
      <c r="BX44" s="1147">
        <f>IF(NOW()&gt;=DATE(YEAR(BU$2),MONTH(BU$2)+1,DAY(BU$2)),SUMIFS(TF_SOTIEN,TF_THANG,BU$2,TF_KM,$E44)/1000, CA44)</f>
        <v>0</v>
      </c>
      <c r="BY44" s="1091" t="str">
        <f t="shared" si="582"/>
        <v/>
      </c>
      <c r="BZ44" s="1091"/>
      <c r="CA44" s="1147">
        <f>IF(NOW()&gt;=DATE(YEAR(BU$2),MONTH(BU$2)+1,DAY(BU$2)),SUMIFS(AC_SOTIEN,AC_THANG,BU$2,AC_KM,$E44),SUMIFS(TF_SOTIEN,TF_THANG,BU$2,TF_KM,$E44))/ 1000</f>
        <v>179446.524</v>
      </c>
      <c r="CB44" s="1091" t="str">
        <f t="shared" si="583"/>
        <v/>
      </c>
      <c r="CC44" s="1091"/>
      <c r="CD44" s="1147">
        <f t="shared" si="46"/>
        <v>179446.524</v>
      </c>
      <c r="CE44" s="1091" t="str">
        <f t="shared" si="47"/>
        <v/>
      </c>
      <c r="CF44" s="1147">
        <f t="shared" si="48"/>
        <v>179446.524</v>
      </c>
      <c r="CG44" s="1091" t="str">
        <f t="shared" si="49"/>
        <v/>
      </c>
      <c r="CH44" s="1146">
        <f>SUMIFS(BP_SOTIEN,BP_THANG,CH$2,BP_KM,$E44)/1000</f>
        <v>0</v>
      </c>
      <c r="CI44" s="1091" t="str">
        <f t="shared" si="584"/>
        <v/>
      </c>
      <c r="CJ44" s="1091"/>
      <c r="CK44" s="1147">
        <f>IF(NOW()&gt;=DATE(YEAR(CH$2),MONTH(CH$2)+1,DAY(CH$2)),SUMIFS(TF_SOTIEN,TF_THANG,CH$2,TF_KM,$E44)/1000, CN44)</f>
        <v>0</v>
      </c>
      <c r="CL44" s="1091" t="str">
        <f t="shared" si="585"/>
        <v/>
      </c>
      <c r="CM44" s="1091"/>
      <c r="CN44" s="1147">
        <f>IF(NOW()&gt;=DATE(YEAR(CH$2),MONTH(CH$2)+1,DAY(CH$2)),SUMIFS(AC_SOTIEN,AC_THANG,CH$2,AC_KM,$E44),SUMIFS(TF_SOTIEN,TF_THANG,CH$2,TF_KM,$E44))/ 1000</f>
        <v>0</v>
      </c>
      <c r="CO44" s="1091" t="str">
        <f t="shared" si="586"/>
        <v/>
      </c>
      <c r="CP44" s="1091"/>
      <c r="CQ44" s="1147">
        <f t="shared" si="53"/>
        <v>0</v>
      </c>
      <c r="CR44" s="1091" t="str">
        <f t="shared" si="54"/>
        <v/>
      </c>
      <c r="CS44" s="1147">
        <f t="shared" si="55"/>
        <v>0</v>
      </c>
      <c r="CT44" s="1091" t="str">
        <f t="shared" si="56"/>
        <v/>
      </c>
      <c r="CU44" s="1146">
        <f t="shared" si="204"/>
        <v>0</v>
      </c>
      <c r="CV44" s="1091" t="str">
        <f t="shared" si="587"/>
        <v/>
      </c>
      <c r="CW44" s="1091"/>
      <c r="CX44" s="1147">
        <f t="shared" si="588"/>
        <v>58570.667</v>
      </c>
      <c r="CY44" s="1091" t="str">
        <f t="shared" si="589"/>
        <v/>
      </c>
      <c r="CZ44" s="1091"/>
      <c r="DA44" s="1147">
        <f t="shared" si="590"/>
        <v>389681.909</v>
      </c>
      <c r="DB44" s="1091" t="str">
        <f t="shared" si="591"/>
        <v/>
      </c>
      <c r="DC44" s="1091"/>
      <c r="DD44" s="1147">
        <f t="shared" si="63"/>
        <v>389681.909</v>
      </c>
      <c r="DE44" s="1091" t="str">
        <f t="shared" si="64"/>
        <v/>
      </c>
      <c r="DF44" s="1147">
        <f t="shared" si="65"/>
        <v>331111.242</v>
      </c>
      <c r="DG44" s="1091">
        <f t="shared" si="66"/>
        <v>5.653192271</v>
      </c>
      <c r="DH44" s="1146">
        <f t="shared" si="213"/>
        <v>0</v>
      </c>
      <c r="DI44" s="1091" t="str">
        <f t="shared" si="592"/>
        <v/>
      </c>
      <c r="DJ44" s="1091"/>
      <c r="DK44" s="1147">
        <f t="shared" si="216"/>
        <v>175712.001</v>
      </c>
      <c r="DL44" s="1091" t="str">
        <f t="shared" si="593"/>
        <v/>
      </c>
      <c r="DM44" s="1091"/>
      <c r="DN44" s="1147">
        <f t="shared" si="219"/>
        <v>617836.405</v>
      </c>
      <c r="DO44" s="1091">
        <f t="shared" si="594"/>
        <v>1.817165897</v>
      </c>
      <c r="DP44" s="1091"/>
      <c r="DQ44" s="1147">
        <f t="shared" si="73"/>
        <v>617836.405</v>
      </c>
      <c r="DR44" s="1091" t="str">
        <f t="shared" si="74"/>
        <v/>
      </c>
      <c r="DS44" s="1147">
        <f t="shared" si="75"/>
        <v>442124.404</v>
      </c>
      <c r="DT44" s="1091">
        <f t="shared" si="76"/>
        <v>2.516187861</v>
      </c>
      <c r="DU44" s="1146">
        <f>SUMIFS(BP_SOTIEN,BP_THANG,DU$2,BP_KM,$E44)/1000</f>
        <v>0</v>
      </c>
      <c r="DV44" s="1091" t="str">
        <f t="shared" si="595"/>
        <v/>
      </c>
      <c r="DW44" s="1091"/>
      <c r="DX44" s="1147">
        <f>IF(NOW()&gt;=DATE(YEAR(DU$2),MONTH(DU$2)+1,DAY(DU$2)),SUMIFS(TF_SOTIEN,TF_THANG,DU$2,TF_KM,$E44)/1000, EA44)</f>
        <v>0</v>
      </c>
      <c r="DY44" s="1091" t="str">
        <f t="shared" si="596"/>
        <v/>
      </c>
      <c r="DZ44" s="1091"/>
      <c r="EA44" s="1147">
        <f>IF(NOW()&gt;=DATE(YEAR(DU$2),MONTH(DU$2)+1,DAY(DU$2)),SUMIFS(AC_SOTIEN,AC_THANG,DU$2,AC_KM,$E44),SUMIFS(TF_SOTIEN,TF_THANG,DU$2,TF_KM,$E44))/ 1000</f>
        <v>0</v>
      </c>
      <c r="EB44" s="1091" t="str">
        <f t="shared" si="597"/>
        <v/>
      </c>
      <c r="EC44" s="1091"/>
      <c r="ED44" s="1147">
        <f t="shared" si="80"/>
        <v>0</v>
      </c>
      <c r="EE44" s="1091" t="str">
        <f t="shared" si="81"/>
        <v/>
      </c>
      <c r="EF44" s="1147">
        <f t="shared" si="82"/>
        <v>0</v>
      </c>
      <c r="EG44" s="1091" t="str">
        <f t="shared" si="83"/>
        <v/>
      </c>
      <c r="EH44" s="1146">
        <f>SUMIFS(BP_SOTIEN,BP_THANG,EH$2,BP_KM,$E44)/1000</f>
        <v>0</v>
      </c>
      <c r="EI44" s="1091" t="str">
        <f t="shared" si="598"/>
        <v/>
      </c>
      <c r="EJ44" s="1091"/>
      <c r="EK44" s="1147">
        <f>IF(NOW()&gt;=DATE(YEAR(EH$2),MONTH(EH$2)+1,DAY(EH$2)),SUMIFS(TF_SOTIEN,TF_THANG,EH$2,TF_KM,$E44)/1000, EN44)</f>
        <v>0</v>
      </c>
      <c r="EL44" s="1091" t="str">
        <f t="shared" si="599"/>
        <v/>
      </c>
      <c r="EM44" s="1091"/>
      <c r="EN44" s="1147">
        <f>IF(NOW()&gt;=DATE(YEAR(EH$2),MONTH(EH$2)+1,DAY(EH$2)),SUMIFS(AC_SOTIEN,AC_THANG,EH$2,AC_KM,$E44),SUMIFS(TF_SOTIEN,TF_THANG,EH$2,TF_KM,$E44))/ 1000</f>
        <v>0</v>
      </c>
      <c r="EO44" s="1091" t="str">
        <f t="shared" si="600"/>
        <v/>
      </c>
      <c r="EP44" s="1091"/>
      <c r="EQ44" s="1147">
        <f t="shared" si="87"/>
        <v>0</v>
      </c>
      <c r="ER44" s="1091" t="str">
        <f t="shared" si="88"/>
        <v/>
      </c>
      <c r="ES44" s="1147">
        <f t="shared" si="89"/>
        <v>0</v>
      </c>
      <c r="ET44" s="1091" t="str">
        <f t="shared" si="90"/>
        <v/>
      </c>
      <c r="EU44" s="1146">
        <f>SUMIFS(BP_SOTIEN,BP_THANG,EU$2,BP_KM,$E44)/1000</f>
        <v>0</v>
      </c>
      <c r="EV44" s="1091" t="str">
        <f t="shared" si="601"/>
        <v/>
      </c>
      <c r="EW44" s="1091"/>
      <c r="EX44" s="1147">
        <f>IF(NOW()&gt;=DATE(YEAR(EU$2),MONTH(EU$2)+1,DAY(EU$2)),SUMIFS(TF_SOTIEN,TF_THANG,EU$2,TF_KM,$E44)/1000, FA44)</f>
        <v>0</v>
      </c>
      <c r="EY44" s="1091" t="str">
        <f t="shared" si="602"/>
        <v/>
      </c>
      <c r="EZ44" s="1091"/>
      <c r="FA44" s="1147">
        <f>IF(NOW()&gt;=DATE(YEAR(EU$2),MONTH(EU$2)+1,DAY(EU$2)),SUMIFS(AC_SOTIEN,AC_THANG,EU$2,AC_KM,$E44),SUMIFS(TF_SOTIEN,TF_THANG,EU$2,TF_KM,$E44))/ 1000</f>
        <v>0</v>
      </c>
      <c r="FB44" s="1091" t="str">
        <f t="shared" si="603"/>
        <v/>
      </c>
      <c r="FC44" s="1091"/>
      <c r="FD44" s="1147">
        <f t="shared" si="94"/>
        <v>0</v>
      </c>
      <c r="FE44" s="1091" t="str">
        <f t="shared" si="95"/>
        <v/>
      </c>
      <c r="FF44" s="1147">
        <f t="shared" si="96"/>
        <v>0</v>
      </c>
      <c r="FG44" s="1091" t="str">
        <f t="shared" si="97"/>
        <v/>
      </c>
      <c r="FH44" s="1146">
        <f t="shared" si="240"/>
        <v>0</v>
      </c>
      <c r="FI44" s="1091" t="str">
        <f t="shared" si="604"/>
        <v/>
      </c>
      <c r="FJ44" s="1091"/>
      <c r="FK44" s="1147">
        <f t="shared" si="243"/>
        <v>0</v>
      </c>
      <c r="FL44" s="1091" t="str">
        <f t="shared" si="605"/>
        <v/>
      </c>
      <c r="FM44" s="1091"/>
      <c r="FN44" s="1147">
        <f t="shared" si="246"/>
        <v>0</v>
      </c>
      <c r="FO44" s="1091" t="str">
        <f t="shared" si="606"/>
        <v/>
      </c>
      <c r="FP44" s="1091"/>
      <c r="FQ44" s="1147">
        <f t="shared" si="104"/>
        <v>0</v>
      </c>
      <c r="FR44" s="1091" t="str">
        <f t="shared" si="105"/>
        <v/>
      </c>
      <c r="FS44" s="1147">
        <f t="shared" si="106"/>
        <v>0</v>
      </c>
      <c r="FT44" s="1091" t="str">
        <f t="shared" si="107"/>
        <v/>
      </c>
      <c r="FU44" s="1146">
        <f>SUMIFS(BP_SOTIEN,BP_THANG,FU$2,BP_KM,$E44)/1000</f>
        <v>0</v>
      </c>
      <c r="FV44" s="1091" t="str">
        <f t="shared" si="607"/>
        <v/>
      </c>
      <c r="FW44" s="1091"/>
      <c r="FX44" s="1147">
        <f>IF(NOW()&gt;=DATE(YEAR(FU$2),MONTH(FU$2)+1,DAY(FU$2)),SUMIFS(TF_SOTIEN,TF_THANG,FU$2,TF_KM,$E44)/1000, GA44)</f>
        <v>0</v>
      </c>
      <c r="FY44" s="1091" t="str">
        <f t="shared" si="608"/>
        <v/>
      </c>
      <c r="FZ44" s="1091"/>
      <c r="GA44" s="1147">
        <f>IF(NOW()&gt;=DATE(YEAR(FU$2),MONTH(FU$2)+1,DAY(FU$2)),SUMIFS(AC_SOTIEN,AC_THANG,FU$2,AC_KM,$E44),SUMIFS(TF_SOTIEN,TF_THANG,FU$2,TF_KM,$E44))/ 1000</f>
        <v>0</v>
      </c>
      <c r="GB44" s="1091" t="str">
        <f t="shared" si="609"/>
        <v/>
      </c>
      <c r="GC44" s="1091"/>
      <c r="GD44" s="1147">
        <f t="shared" si="111"/>
        <v>0</v>
      </c>
      <c r="GE44" s="1091" t="str">
        <f t="shared" si="112"/>
        <v/>
      </c>
      <c r="GF44" s="1147">
        <f t="shared" si="113"/>
        <v>0</v>
      </c>
      <c r="GG44" s="1091" t="str">
        <f t="shared" si="114"/>
        <v/>
      </c>
      <c r="GH44" s="1146">
        <f>SUMIFS(BP_SOTIEN,BP_THANG,GH$2,BP_KM,$E44)/1000</f>
        <v>0</v>
      </c>
      <c r="GI44" s="1091" t="str">
        <f t="shared" si="610"/>
        <v/>
      </c>
      <c r="GJ44" s="1091"/>
      <c r="GK44" s="1147">
        <f>IF(NOW()&gt;=DATE(YEAR(GH$2),MONTH(GH$2)+1,DAY(GH$2)),SUMIFS(TF_SOTIEN,TF_THANG,GH$2,TF_KM,$E44)/1000, GN44)</f>
        <v>0</v>
      </c>
      <c r="GL44" s="1091" t="str">
        <f t="shared" si="611"/>
        <v/>
      </c>
      <c r="GM44" s="1091"/>
      <c r="GN44" s="1147">
        <f>IF(NOW()&gt;=DATE(YEAR(GH$2),MONTH(GH$2)+1,DAY(GH$2)),SUMIFS(AC_SOTIEN,AC_THANG,GH$2,AC_KM,$E44),SUMIFS(TF_SOTIEN,TF_THANG,GH$2,TF_KM,$E44))/ 1000</f>
        <v>0</v>
      </c>
      <c r="GO44" s="1091" t="str">
        <f t="shared" si="612"/>
        <v/>
      </c>
      <c r="GP44" s="1091"/>
      <c r="GQ44" s="1147">
        <f t="shared" si="118"/>
        <v>0</v>
      </c>
      <c r="GR44" s="1091" t="str">
        <f t="shared" si="119"/>
        <v/>
      </c>
      <c r="GS44" s="1147">
        <f t="shared" si="120"/>
        <v>0</v>
      </c>
      <c r="GT44" s="1091" t="str">
        <f t="shared" si="121"/>
        <v/>
      </c>
      <c r="GU44" s="1146">
        <f>SUMIFS(BP_SOTIEN,BP_THANG,GU$2,BP_KM,$E44)/1000</f>
        <v>0</v>
      </c>
      <c r="GV44" s="1091" t="str">
        <f t="shared" si="613"/>
        <v/>
      </c>
      <c r="GW44" s="1091"/>
      <c r="GX44" s="1147">
        <f>IF(NOW()&gt;=DATE(YEAR(GU$2),MONTH(GU$2)+1,DAY(GU$2)),SUMIFS(TF_SOTIEN,TF_THANG,GU$2,TF_KM,$E44)/1000, HA44)</f>
        <v>0</v>
      </c>
      <c r="GY44" s="1091" t="str">
        <f t="shared" si="614"/>
        <v/>
      </c>
      <c r="GZ44" s="1091"/>
      <c r="HA44" s="1147">
        <f>IF(NOW()&gt;=DATE(YEAR(GU$2),MONTH(GU$2)+1,DAY(GU$2)),SUMIFS(AC_SOTIEN,AC_THANG,GU$2,AC_KM,$E44),SUMIFS(TF_SOTIEN,TF_THANG,GU$2,TF_KM,$E44))/ 1000</f>
        <v>0</v>
      </c>
      <c r="HB44" s="1091" t="str">
        <f t="shared" si="615"/>
        <v/>
      </c>
      <c r="HC44" s="1091"/>
      <c r="HD44" s="1147">
        <f t="shared" si="125"/>
        <v>0</v>
      </c>
      <c r="HE44" s="1091" t="str">
        <f t="shared" si="126"/>
        <v/>
      </c>
      <c r="HF44" s="1147">
        <f t="shared" si="127"/>
        <v>0</v>
      </c>
      <c r="HG44" s="1091" t="str">
        <f t="shared" si="128"/>
        <v/>
      </c>
      <c r="HH44" s="1146">
        <f t="shared" si="267"/>
        <v>0</v>
      </c>
      <c r="HI44" s="1091" t="str">
        <f t="shared" si="616"/>
        <v/>
      </c>
      <c r="HJ44" s="1091"/>
      <c r="HK44" s="1147">
        <f t="shared" si="270"/>
        <v>0</v>
      </c>
      <c r="HL44" s="1091" t="str">
        <f t="shared" si="617"/>
        <v/>
      </c>
      <c r="HM44" s="1091"/>
      <c r="HN44" s="1147">
        <f t="shared" si="273"/>
        <v>0</v>
      </c>
      <c r="HO44" s="1091" t="str">
        <f t="shared" si="618"/>
        <v/>
      </c>
      <c r="HP44" s="1091"/>
      <c r="HQ44" s="1147">
        <f t="shared" si="135"/>
        <v>0</v>
      </c>
      <c r="HR44" s="1091" t="str">
        <f t="shared" si="136"/>
        <v/>
      </c>
      <c r="HS44" s="1147">
        <f t="shared" si="137"/>
        <v>0</v>
      </c>
      <c r="HT44" s="1091" t="str">
        <f t="shared" si="138"/>
        <v/>
      </c>
      <c r="HU44" s="1146">
        <f t="shared" si="276"/>
        <v>0</v>
      </c>
      <c r="HV44" s="1091" t="str">
        <f t="shared" si="619"/>
        <v/>
      </c>
      <c r="HW44" s="1091"/>
      <c r="HX44" s="1147">
        <f t="shared" si="279"/>
        <v>0</v>
      </c>
      <c r="HY44" s="1091" t="str">
        <f t="shared" si="620"/>
        <v/>
      </c>
      <c r="HZ44" s="1091"/>
      <c r="IA44" s="1147">
        <f t="shared" si="282"/>
        <v>0</v>
      </c>
      <c r="IB44" s="1091" t="str">
        <f t="shared" si="621"/>
        <v/>
      </c>
      <c r="IC44" s="1091"/>
      <c r="ID44" s="1147">
        <f t="shared" si="145"/>
        <v>0</v>
      </c>
      <c r="IE44" s="1091" t="str">
        <f t="shared" si="146"/>
        <v/>
      </c>
      <c r="IF44" s="1147">
        <f t="shared" si="147"/>
        <v>0</v>
      </c>
      <c r="IG44" s="1091" t="str">
        <f t="shared" si="148"/>
        <v/>
      </c>
      <c r="IH44" s="1146">
        <f t="shared" si="285"/>
        <v>0</v>
      </c>
      <c r="II44" s="1091" t="str">
        <f t="shared" si="622"/>
        <v/>
      </c>
      <c r="IJ44" s="1091"/>
      <c r="IK44" s="1147">
        <f t="shared" si="288"/>
        <v>175712.001</v>
      </c>
      <c r="IL44" s="1091" t="str">
        <f t="shared" si="623"/>
        <v/>
      </c>
      <c r="IM44" s="1091"/>
      <c r="IN44" s="1147">
        <f t="shared" si="291"/>
        <v>617836.405</v>
      </c>
      <c r="IO44" s="1091">
        <f t="shared" si="624"/>
        <v>1.817165897</v>
      </c>
      <c r="IP44" s="1091"/>
      <c r="IQ44" s="1147">
        <f t="shared" si="155"/>
        <v>617836.405</v>
      </c>
      <c r="IR44" s="1091" t="str">
        <f t="shared" si="1"/>
        <v/>
      </c>
      <c r="IS44" s="1147">
        <f t="shared" si="156"/>
        <v>442124.404</v>
      </c>
      <c r="IT44" s="1091">
        <f t="shared" si="2"/>
        <v>2.516187861</v>
      </c>
    </row>
    <row r="45" hidden="1" outlineLevel="1">
      <c r="A45" s="737"/>
      <c r="B45" s="737"/>
      <c r="C45" s="737"/>
      <c r="D45" s="737" t="s">
        <v>2830</v>
      </c>
      <c r="E45" s="737" t="s">
        <v>190</v>
      </c>
      <c r="F45" s="748">
        <v>641.0</v>
      </c>
      <c r="G45" s="748">
        <v>3.0</v>
      </c>
      <c r="H45" s="1146">
        <f>SUMIFS(BP_SOTIEN,BP_THANG,H$2,BP_KM,$E45)/1000</f>
        <v>0</v>
      </c>
      <c r="I45" s="1091" t="str">
        <f t="shared" si="566"/>
        <v/>
      </c>
      <c r="J45" s="1091"/>
      <c r="K45" s="1147">
        <f>IF(NOW()&gt;=DATE(YEAR(H$2),MONTH(H$2)+1,DAY(H$2)),SUMIFS(TF_SOTIEN,TF_THANG,H$2,TF_KM,$E45)/1000, N45)</f>
        <v>0</v>
      </c>
      <c r="L45" s="1091" t="str">
        <f t="shared" si="567"/>
        <v/>
      </c>
      <c r="M45" s="1091"/>
      <c r="N45" s="1147">
        <f>IF(NOW()&gt;=DATE(YEAR(H$2),MONTH(H$2)+1,DAY(H$2)),SUMIFS(AC_SOTIEN,AC_THANG,H$2,AC_KM,$E45),SUMIFS(TF_SOTIEN,TF_THANG,H$2,TF_KM,$E45))/ 1000</f>
        <v>107560</v>
      </c>
      <c r="O45" s="1091">
        <f t="shared" si="568"/>
        <v>0.3163529412</v>
      </c>
      <c r="P45" s="1091"/>
      <c r="Q45" s="1147">
        <f t="shared" si="8"/>
        <v>107560</v>
      </c>
      <c r="R45" s="1091" t="str">
        <f t="shared" si="9"/>
        <v/>
      </c>
      <c r="S45" s="1147">
        <f t="shared" si="10"/>
        <v>107560</v>
      </c>
      <c r="T45" s="1091" t="str">
        <f t="shared" si="11"/>
        <v/>
      </c>
      <c r="U45" s="1146">
        <f>SUMIFS(BP_SOTIEN,BP_THANG,U$2,BP_KM,$E45)/1000</f>
        <v>0</v>
      </c>
      <c r="V45" s="1091" t="str">
        <f t="shared" si="569"/>
        <v/>
      </c>
      <c r="W45" s="1091"/>
      <c r="X45" s="1147">
        <f>IF(NOW()&gt;=DATE(YEAR(U$2),MONTH(U$2)+1,DAY(U$2)),SUMIFS(TF_SOTIEN,TF_THANG,U$2,TF_KM,$E45)/1000, AA45)</f>
        <v>0</v>
      </c>
      <c r="Y45" s="1091" t="str">
        <f t="shared" si="570"/>
        <v/>
      </c>
      <c r="Z45" s="1091"/>
      <c r="AA45" s="1147">
        <f>IF(NOW()&gt;=DATE(YEAR(U$2),MONTH(U$2)+1,DAY(U$2)),SUMIFS(AC_SOTIEN,AC_THANG,U$2,AC_KM,$E45),SUMIFS(TF_SOTIEN,TF_THANG,U$2,TF_KM,$E45))/ 1000</f>
        <v>55000</v>
      </c>
      <c r="AB45" s="1091" t="str">
        <f t="shared" si="571"/>
        <v/>
      </c>
      <c r="AC45" s="1091"/>
      <c r="AD45" s="1147">
        <f t="shared" si="15"/>
        <v>55000</v>
      </c>
      <c r="AE45" s="1091" t="str">
        <f t="shared" si="16"/>
        <v/>
      </c>
      <c r="AF45" s="1147">
        <f t="shared" si="17"/>
        <v>55000</v>
      </c>
      <c r="AG45" s="1091" t="str">
        <f t="shared" si="18"/>
        <v/>
      </c>
      <c r="AH45" s="1146">
        <f>SUMIFS(BP_SOTIEN,BP_THANG,AH$2,BP_KM,$E45)/1000</f>
        <v>0</v>
      </c>
      <c r="AI45" s="1091" t="str">
        <f t="shared" si="572"/>
        <v/>
      </c>
      <c r="AJ45" s="1091"/>
      <c r="AK45" s="1147">
        <f>IF(NOW()&gt;=DATE(YEAR(AH$2),MONTH(AH$2)+1,DAY(AH$2)),SUMIFS(TF_SOTIEN,TF_THANG,AH$2,TF_KM,$E45)/1000, AN45)</f>
        <v>36000</v>
      </c>
      <c r="AL45" s="1091" t="str">
        <f t="shared" si="573"/>
        <v/>
      </c>
      <c r="AM45" s="1091"/>
      <c r="AN45" s="1147">
        <f>IF(NOW()&gt;=DATE(YEAR(AH$2),MONTH(AH$2)+1,DAY(AH$2)),SUMIFS(AC_SOTIEN,AC_THANG,AH$2,AC_KM,$E45),SUMIFS(TF_SOTIEN,TF_THANG,AH$2,TF_KM,$E45))/ 1000</f>
        <v>214092.5</v>
      </c>
      <c r="AO45" s="1091" t="str">
        <f t="shared" si="574"/>
        <v/>
      </c>
      <c r="AP45" s="1091"/>
      <c r="AQ45" s="1147">
        <f t="shared" si="22"/>
        <v>214092.5</v>
      </c>
      <c r="AR45" s="1091" t="str">
        <f t="shared" si="23"/>
        <v/>
      </c>
      <c r="AS45" s="1147">
        <f t="shared" si="24"/>
        <v>178092.5</v>
      </c>
      <c r="AT45" s="1091">
        <f t="shared" si="25"/>
        <v>4.947013889</v>
      </c>
      <c r="AU45" s="1146">
        <f t="shared" si="177"/>
        <v>0</v>
      </c>
      <c r="AV45" s="1091" t="str">
        <f t="shared" si="575"/>
        <v/>
      </c>
      <c r="AW45" s="1091"/>
      <c r="AX45" s="1147">
        <f t="shared" si="180"/>
        <v>36000</v>
      </c>
      <c r="AY45" s="1091" t="str">
        <f t="shared" si="576"/>
        <v/>
      </c>
      <c r="AZ45" s="1091"/>
      <c r="BA45" s="1147">
        <f t="shared" si="444"/>
        <v>376652.5</v>
      </c>
      <c r="BB45" s="1091">
        <f t="shared" si="577"/>
        <v>1.107801471</v>
      </c>
      <c r="BC45" s="1091"/>
      <c r="BD45" s="1147">
        <f t="shared" si="32"/>
        <v>376652.5</v>
      </c>
      <c r="BE45" s="1091" t="str">
        <f t="shared" si="33"/>
        <v/>
      </c>
      <c r="BF45" s="1147">
        <f t="shared" si="34"/>
        <v>340652.5</v>
      </c>
      <c r="BG45" s="1091">
        <f t="shared" si="35"/>
        <v>9.462569444</v>
      </c>
      <c r="BH45" s="1146">
        <f>SUMIFS(BP_SOTIEN,BP_THANG,BH$2,BP_KM,$E45)/1000</f>
        <v>3900000</v>
      </c>
      <c r="BI45" s="1091" t="str">
        <f t="shared" si="578"/>
        <v/>
      </c>
      <c r="BJ45" s="1091"/>
      <c r="BK45" s="1147">
        <f>IF(NOW()&gt;=DATE(YEAR(BH$2),MONTH(BH$2)+1,DAY(BH$2)),SUMIFS(TF_SOTIEN,TF_THANG,BH$2,TF_KM,$E45)/1000, BN45)</f>
        <v>36000</v>
      </c>
      <c r="BL45" s="1091" t="str">
        <f t="shared" si="579"/>
        <v/>
      </c>
      <c r="BM45" s="1091"/>
      <c r="BN45" s="1147">
        <f>IF(NOW()&gt;=DATE(YEAR(BH$2),MONTH(BH$2)+1,DAY(BH$2)),SUMIFS(AC_SOTIEN,AC_THANG,BH$2,AC_KM,$E45),SUMIFS(TF_SOTIEN,TF_THANG,BH$2,TF_KM,$E45))/ 1000</f>
        <v>609315</v>
      </c>
      <c r="BO45" s="1091" t="str">
        <f t="shared" si="580"/>
        <v/>
      </c>
      <c r="BP45" s="1091"/>
      <c r="BQ45" s="1147">
        <f t="shared" si="39"/>
        <v>-3290685</v>
      </c>
      <c r="BR45" s="1091">
        <f t="shared" si="40"/>
        <v>-0.8437653846</v>
      </c>
      <c r="BS45" s="1147">
        <f t="shared" si="41"/>
        <v>573315</v>
      </c>
      <c r="BT45" s="1091">
        <f t="shared" si="42"/>
        <v>15.92541667</v>
      </c>
      <c r="BU45" s="1146">
        <f>SUMIFS(BP_SOTIEN,BP_THANG,BU$2,BP_KM,$E45)/1000</f>
        <v>3900000</v>
      </c>
      <c r="BV45" s="1091" t="str">
        <f t="shared" si="581"/>
        <v/>
      </c>
      <c r="BW45" s="1091"/>
      <c r="BX45" s="1147">
        <f>IF(NOW()&gt;=DATE(YEAR(BU$2),MONTH(BU$2)+1,DAY(BU$2)),SUMIFS(TF_SOTIEN,TF_THANG,BU$2,TF_KM,$E45)/1000, CA45)</f>
        <v>523056.12</v>
      </c>
      <c r="BY45" s="1091" t="str">
        <f t="shared" si="582"/>
        <v/>
      </c>
      <c r="BZ45" s="1091"/>
      <c r="CA45" s="1147">
        <f>IF(NOW()&gt;=DATE(YEAR(BU$2),MONTH(BU$2)+1,DAY(BU$2)),SUMIFS(AC_SOTIEN,AC_THANG,BU$2,AC_KM,$E45),SUMIFS(TF_SOTIEN,TF_THANG,BU$2,TF_KM,$E45))/ 1000</f>
        <v>182943</v>
      </c>
      <c r="CB45" s="1091" t="str">
        <f t="shared" si="583"/>
        <v/>
      </c>
      <c r="CC45" s="1091"/>
      <c r="CD45" s="1147">
        <f t="shared" si="46"/>
        <v>-3717057</v>
      </c>
      <c r="CE45" s="1091">
        <f t="shared" si="47"/>
        <v>-0.9530915385</v>
      </c>
      <c r="CF45" s="1147">
        <f t="shared" si="48"/>
        <v>-340113.12</v>
      </c>
      <c r="CG45" s="1091">
        <f t="shared" si="49"/>
        <v>-0.6502421193</v>
      </c>
      <c r="CH45" s="1146">
        <f>SUMIFS(BP_SOTIEN,BP_THANG,CH$2,BP_KM,$E45)/1000</f>
        <v>3900000</v>
      </c>
      <c r="CI45" s="1091" t="str">
        <f t="shared" si="584"/>
        <v/>
      </c>
      <c r="CJ45" s="1091"/>
      <c r="CK45" s="1147">
        <f>IF(NOW()&gt;=DATE(YEAR(CH$2),MONTH(CH$2)+1,DAY(CH$2)),SUMIFS(TF_SOTIEN,TF_THANG,CH$2,TF_KM,$E45)/1000, CN45)</f>
        <v>3900000</v>
      </c>
      <c r="CL45" s="1091" t="str">
        <f t="shared" si="585"/>
        <v/>
      </c>
      <c r="CM45" s="1091"/>
      <c r="CN45" s="1147">
        <f>IF(NOW()&gt;=DATE(YEAR(CH$2),MONTH(CH$2)+1,DAY(CH$2)),SUMIFS(AC_SOTIEN,AC_THANG,CH$2,AC_KM,$E45),SUMIFS(TF_SOTIEN,TF_THANG,CH$2,TF_KM,$E45))/ 1000</f>
        <v>0</v>
      </c>
      <c r="CO45" s="1091" t="str">
        <f t="shared" si="586"/>
        <v/>
      </c>
      <c r="CP45" s="1091"/>
      <c r="CQ45" s="1147">
        <f t="shared" si="53"/>
        <v>-3900000</v>
      </c>
      <c r="CR45" s="1091">
        <f t="shared" si="54"/>
        <v>-1</v>
      </c>
      <c r="CS45" s="1147">
        <f t="shared" si="55"/>
        <v>-3900000</v>
      </c>
      <c r="CT45" s="1091">
        <f t="shared" si="56"/>
        <v>-1</v>
      </c>
      <c r="CU45" s="1146">
        <f t="shared" si="204"/>
        <v>11700000</v>
      </c>
      <c r="CV45" s="1091" t="str">
        <f t="shared" si="587"/>
        <v/>
      </c>
      <c r="CW45" s="1091"/>
      <c r="CX45" s="1147">
        <f t="shared" si="588"/>
        <v>4459056.12</v>
      </c>
      <c r="CY45" s="1091" t="str">
        <f t="shared" si="589"/>
        <v/>
      </c>
      <c r="CZ45" s="1091"/>
      <c r="DA45" s="1147">
        <f t="shared" si="590"/>
        <v>792258</v>
      </c>
      <c r="DB45" s="1091" t="str">
        <f t="shared" si="591"/>
        <v/>
      </c>
      <c r="DC45" s="1091"/>
      <c r="DD45" s="1147">
        <f t="shared" si="63"/>
        <v>-10907742</v>
      </c>
      <c r="DE45" s="1091">
        <f t="shared" si="64"/>
        <v>-0.932285641</v>
      </c>
      <c r="DF45" s="1147">
        <f t="shared" si="65"/>
        <v>-3666798.12</v>
      </c>
      <c r="DG45" s="1091">
        <f t="shared" si="66"/>
        <v>-0.8223260756</v>
      </c>
      <c r="DH45" s="1146">
        <f t="shared" si="213"/>
        <v>11700000</v>
      </c>
      <c r="DI45" s="1091" t="str">
        <f t="shared" si="592"/>
        <v/>
      </c>
      <c r="DJ45" s="1091"/>
      <c r="DK45" s="1147">
        <f t="shared" si="216"/>
        <v>4495056.12</v>
      </c>
      <c r="DL45" s="1091" t="str">
        <f t="shared" si="593"/>
        <v/>
      </c>
      <c r="DM45" s="1091"/>
      <c r="DN45" s="1147">
        <f t="shared" si="219"/>
        <v>1168910.5</v>
      </c>
      <c r="DO45" s="1091">
        <f t="shared" si="594"/>
        <v>3.437972059</v>
      </c>
      <c r="DP45" s="1091"/>
      <c r="DQ45" s="1147">
        <f t="shared" si="73"/>
        <v>-10531089.5</v>
      </c>
      <c r="DR45" s="1091">
        <f t="shared" si="74"/>
        <v>-0.9000931197</v>
      </c>
      <c r="DS45" s="1147">
        <f t="shared" si="75"/>
        <v>-3326145.62</v>
      </c>
      <c r="DT45" s="1091">
        <f t="shared" si="76"/>
        <v>-0.7399564168</v>
      </c>
      <c r="DU45" s="1146">
        <f>SUMIFS(BP_SOTIEN,BP_THANG,DU$2,BP_KM,$E45)/1000</f>
        <v>3900000</v>
      </c>
      <c r="DV45" s="1091" t="str">
        <f t="shared" si="595"/>
        <v/>
      </c>
      <c r="DW45" s="1091"/>
      <c r="DX45" s="1147">
        <f>IF(NOW()&gt;=DATE(YEAR(DU$2),MONTH(DU$2)+1,DAY(DU$2)),SUMIFS(TF_SOTIEN,TF_THANG,DU$2,TF_KM,$E45)/1000, EA45)</f>
        <v>3900000</v>
      </c>
      <c r="DY45" s="1091" t="str">
        <f t="shared" si="596"/>
        <v/>
      </c>
      <c r="DZ45" s="1091"/>
      <c r="EA45" s="1147">
        <f>IF(NOW()&gt;=DATE(YEAR(DU$2),MONTH(DU$2)+1,DAY(DU$2)),SUMIFS(AC_SOTIEN,AC_THANG,DU$2,AC_KM,$E45),SUMIFS(TF_SOTIEN,TF_THANG,DU$2,TF_KM,$E45))/ 1000</f>
        <v>0</v>
      </c>
      <c r="EB45" s="1091" t="str">
        <f t="shared" si="597"/>
        <v/>
      </c>
      <c r="EC45" s="1091"/>
      <c r="ED45" s="1147">
        <f t="shared" si="80"/>
        <v>-3900000</v>
      </c>
      <c r="EE45" s="1091">
        <f t="shared" si="81"/>
        <v>-1</v>
      </c>
      <c r="EF45" s="1147">
        <f t="shared" si="82"/>
        <v>-3900000</v>
      </c>
      <c r="EG45" s="1091">
        <f t="shared" si="83"/>
        <v>-1</v>
      </c>
      <c r="EH45" s="1146">
        <f>SUMIFS(BP_SOTIEN,BP_THANG,EH$2,BP_KM,$E45)/1000</f>
        <v>3900000</v>
      </c>
      <c r="EI45" s="1091" t="str">
        <f t="shared" si="598"/>
        <v/>
      </c>
      <c r="EJ45" s="1091"/>
      <c r="EK45" s="1147">
        <f>IF(NOW()&gt;=DATE(YEAR(EH$2),MONTH(EH$2)+1,DAY(EH$2)),SUMIFS(TF_SOTIEN,TF_THANG,EH$2,TF_KM,$E45)/1000, EN45)</f>
        <v>3900000</v>
      </c>
      <c r="EL45" s="1091" t="str">
        <f t="shared" si="599"/>
        <v/>
      </c>
      <c r="EM45" s="1091"/>
      <c r="EN45" s="1147">
        <f>IF(NOW()&gt;=DATE(YEAR(EH$2),MONTH(EH$2)+1,DAY(EH$2)),SUMIFS(AC_SOTIEN,AC_THANG,EH$2,AC_KM,$E45),SUMIFS(TF_SOTIEN,TF_THANG,EH$2,TF_KM,$E45))/ 1000</f>
        <v>0</v>
      </c>
      <c r="EO45" s="1091" t="str">
        <f t="shared" si="600"/>
        <v/>
      </c>
      <c r="EP45" s="1091"/>
      <c r="EQ45" s="1147">
        <f t="shared" si="87"/>
        <v>-3900000</v>
      </c>
      <c r="ER45" s="1091">
        <f t="shared" si="88"/>
        <v>-1</v>
      </c>
      <c r="ES45" s="1147">
        <f t="shared" si="89"/>
        <v>-3900000</v>
      </c>
      <c r="ET45" s="1091">
        <f t="shared" si="90"/>
        <v>-1</v>
      </c>
      <c r="EU45" s="1146">
        <f>SUMIFS(BP_SOTIEN,BP_THANG,EU$2,BP_KM,$E45)/1000</f>
        <v>3900000</v>
      </c>
      <c r="EV45" s="1091" t="str">
        <f t="shared" si="601"/>
        <v/>
      </c>
      <c r="EW45" s="1091"/>
      <c r="EX45" s="1147">
        <f>IF(NOW()&gt;=DATE(YEAR(EU$2),MONTH(EU$2)+1,DAY(EU$2)),SUMIFS(TF_SOTIEN,TF_THANG,EU$2,TF_KM,$E45)/1000, FA45)</f>
        <v>3900000</v>
      </c>
      <c r="EY45" s="1091" t="str">
        <f t="shared" si="602"/>
        <v/>
      </c>
      <c r="EZ45" s="1091"/>
      <c r="FA45" s="1147">
        <f>IF(NOW()&gt;=DATE(YEAR(EU$2),MONTH(EU$2)+1,DAY(EU$2)),SUMIFS(AC_SOTIEN,AC_THANG,EU$2,AC_KM,$E45),SUMIFS(TF_SOTIEN,TF_THANG,EU$2,TF_KM,$E45))/ 1000</f>
        <v>0</v>
      </c>
      <c r="FB45" s="1091" t="str">
        <f t="shared" si="603"/>
        <v/>
      </c>
      <c r="FC45" s="1091"/>
      <c r="FD45" s="1147">
        <f t="shared" si="94"/>
        <v>-3900000</v>
      </c>
      <c r="FE45" s="1091">
        <f t="shared" si="95"/>
        <v>-1</v>
      </c>
      <c r="FF45" s="1147">
        <f t="shared" si="96"/>
        <v>-3900000</v>
      </c>
      <c r="FG45" s="1091">
        <f t="shared" si="97"/>
        <v>-1</v>
      </c>
      <c r="FH45" s="1146">
        <f t="shared" si="240"/>
        <v>11700000</v>
      </c>
      <c r="FI45" s="1091" t="str">
        <f t="shared" si="604"/>
        <v/>
      </c>
      <c r="FJ45" s="1091"/>
      <c r="FK45" s="1147">
        <f t="shared" si="243"/>
        <v>11700000</v>
      </c>
      <c r="FL45" s="1091" t="str">
        <f t="shared" si="605"/>
        <v/>
      </c>
      <c r="FM45" s="1091"/>
      <c r="FN45" s="1147">
        <f t="shared" si="246"/>
        <v>0</v>
      </c>
      <c r="FO45" s="1091" t="str">
        <f t="shared" si="606"/>
        <v/>
      </c>
      <c r="FP45" s="1091"/>
      <c r="FQ45" s="1147">
        <f t="shared" si="104"/>
        <v>-11700000</v>
      </c>
      <c r="FR45" s="1091">
        <f t="shared" si="105"/>
        <v>-1</v>
      </c>
      <c r="FS45" s="1147">
        <f t="shared" si="106"/>
        <v>-11700000</v>
      </c>
      <c r="FT45" s="1091">
        <f t="shared" si="107"/>
        <v>-1</v>
      </c>
      <c r="FU45" s="1146">
        <f>SUMIFS(BP_SOTIEN,BP_THANG,FU$2,BP_KM,$E45)/1000</f>
        <v>3900000</v>
      </c>
      <c r="FV45" s="1091" t="str">
        <f t="shared" si="607"/>
        <v/>
      </c>
      <c r="FW45" s="1091"/>
      <c r="FX45" s="1147">
        <f>IF(NOW()&gt;=DATE(YEAR(FU$2),MONTH(FU$2)+1,DAY(FU$2)),SUMIFS(TF_SOTIEN,TF_THANG,FU$2,TF_KM,$E45)/1000, GA45)</f>
        <v>3900000</v>
      </c>
      <c r="FY45" s="1091" t="str">
        <f t="shared" si="608"/>
        <v/>
      </c>
      <c r="FZ45" s="1091"/>
      <c r="GA45" s="1147">
        <f>IF(NOW()&gt;=DATE(YEAR(FU$2),MONTH(FU$2)+1,DAY(FU$2)),SUMIFS(AC_SOTIEN,AC_THANG,FU$2,AC_KM,$E45),SUMIFS(TF_SOTIEN,TF_THANG,FU$2,TF_KM,$E45))/ 1000</f>
        <v>0</v>
      </c>
      <c r="GB45" s="1091" t="str">
        <f t="shared" si="609"/>
        <v/>
      </c>
      <c r="GC45" s="1091"/>
      <c r="GD45" s="1147">
        <f t="shared" si="111"/>
        <v>-3900000</v>
      </c>
      <c r="GE45" s="1091">
        <f t="shared" si="112"/>
        <v>-1</v>
      </c>
      <c r="GF45" s="1147">
        <f t="shared" si="113"/>
        <v>-3900000</v>
      </c>
      <c r="GG45" s="1091">
        <f t="shared" si="114"/>
        <v>-1</v>
      </c>
      <c r="GH45" s="1146">
        <f>SUMIFS(BP_SOTIEN,BP_THANG,GH$2,BP_KM,$E45)/1000</f>
        <v>3900000</v>
      </c>
      <c r="GI45" s="1091" t="str">
        <f t="shared" si="610"/>
        <v/>
      </c>
      <c r="GJ45" s="1091"/>
      <c r="GK45" s="1147">
        <f>IF(NOW()&gt;=DATE(YEAR(GH$2),MONTH(GH$2)+1,DAY(GH$2)),SUMIFS(TF_SOTIEN,TF_THANG,GH$2,TF_KM,$E45)/1000, GN45)</f>
        <v>3900000</v>
      </c>
      <c r="GL45" s="1091" t="str">
        <f t="shared" si="611"/>
        <v/>
      </c>
      <c r="GM45" s="1091"/>
      <c r="GN45" s="1147">
        <f>IF(NOW()&gt;=DATE(YEAR(GH$2),MONTH(GH$2)+1,DAY(GH$2)),SUMIFS(AC_SOTIEN,AC_THANG,GH$2,AC_KM,$E45),SUMIFS(TF_SOTIEN,TF_THANG,GH$2,TF_KM,$E45))/ 1000</f>
        <v>0</v>
      </c>
      <c r="GO45" s="1091" t="str">
        <f t="shared" si="612"/>
        <v/>
      </c>
      <c r="GP45" s="1091"/>
      <c r="GQ45" s="1147">
        <f t="shared" si="118"/>
        <v>-3900000</v>
      </c>
      <c r="GR45" s="1091">
        <f t="shared" si="119"/>
        <v>-1</v>
      </c>
      <c r="GS45" s="1147">
        <f t="shared" si="120"/>
        <v>-3900000</v>
      </c>
      <c r="GT45" s="1091">
        <f t="shared" si="121"/>
        <v>-1</v>
      </c>
      <c r="GU45" s="1146">
        <f>SUMIFS(BP_SOTIEN,BP_THANG,GU$2,BP_KM,$E45)/1000</f>
        <v>3900000</v>
      </c>
      <c r="GV45" s="1091" t="str">
        <f t="shared" si="613"/>
        <v/>
      </c>
      <c r="GW45" s="1091"/>
      <c r="GX45" s="1147">
        <f>IF(NOW()&gt;=DATE(YEAR(GU$2),MONTH(GU$2)+1,DAY(GU$2)),SUMIFS(TF_SOTIEN,TF_THANG,GU$2,TF_KM,$E45)/1000, HA45)</f>
        <v>3900000</v>
      </c>
      <c r="GY45" s="1091" t="str">
        <f t="shared" si="614"/>
        <v/>
      </c>
      <c r="GZ45" s="1091"/>
      <c r="HA45" s="1147">
        <f>IF(NOW()&gt;=DATE(YEAR(GU$2),MONTH(GU$2)+1,DAY(GU$2)),SUMIFS(AC_SOTIEN,AC_THANG,GU$2,AC_KM,$E45),SUMIFS(TF_SOTIEN,TF_THANG,GU$2,TF_KM,$E45))/ 1000</f>
        <v>0</v>
      </c>
      <c r="HB45" s="1091" t="str">
        <f t="shared" si="615"/>
        <v/>
      </c>
      <c r="HC45" s="1091"/>
      <c r="HD45" s="1147">
        <f t="shared" si="125"/>
        <v>-3900000</v>
      </c>
      <c r="HE45" s="1091">
        <f t="shared" si="126"/>
        <v>-1</v>
      </c>
      <c r="HF45" s="1147">
        <f t="shared" si="127"/>
        <v>-3900000</v>
      </c>
      <c r="HG45" s="1091">
        <f t="shared" si="128"/>
        <v>-1</v>
      </c>
      <c r="HH45" s="1146">
        <f t="shared" si="267"/>
        <v>11700000</v>
      </c>
      <c r="HI45" s="1091" t="str">
        <f t="shared" si="616"/>
        <v/>
      </c>
      <c r="HJ45" s="1091"/>
      <c r="HK45" s="1147">
        <f t="shared" si="270"/>
        <v>11700000</v>
      </c>
      <c r="HL45" s="1091" t="str">
        <f t="shared" si="617"/>
        <v/>
      </c>
      <c r="HM45" s="1091"/>
      <c r="HN45" s="1147">
        <f t="shared" si="273"/>
        <v>0</v>
      </c>
      <c r="HO45" s="1091" t="str">
        <f t="shared" si="618"/>
        <v/>
      </c>
      <c r="HP45" s="1091"/>
      <c r="HQ45" s="1147">
        <f t="shared" si="135"/>
        <v>-11700000</v>
      </c>
      <c r="HR45" s="1091">
        <f t="shared" si="136"/>
        <v>-1</v>
      </c>
      <c r="HS45" s="1147">
        <f t="shared" si="137"/>
        <v>-11700000</v>
      </c>
      <c r="HT45" s="1091">
        <f t="shared" si="138"/>
        <v>-1</v>
      </c>
      <c r="HU45" s="1146">
        <f t="shared" si="276"/>
        <v>23400000</v>
      </c>
      <c r="HV45" s="1091" t="str">
        <f t="shared" si="619"/>
        <v/>
      </c>
      <c r="HW45" s="1091"/>
      <c r="HX45" s="1147">
        <f t="shared" si="279"/>
        <v>23400000</v>
      </c>
      <c r="HY45" s="1091" t="str">
        <f t="shared" si="620"/>
        <v/>
      </c>
      <c r="HZ45" s="1091"/>
      <c r="IA45" s="1147">
        <f t="shared" si="282"/>
        <v>0</v>
      </c>
      <c r="IB45" s="1091" t="str">
        <f t="shared" si="621"/>
        <v/>
      </c>
      <c r="IC45" s="1091"/>
      <c r="ID45" s="1147">
        <f t="shared" si="145"/>
        <v>-23400000</v>
      </c>
      <c r="IE45" s="1091">
        <f t="shared" si="146"/>
        <v>-1</v>
      </c>
      <c r="IF45" s="1147">
        <f t="shared" si="147"/>
        <v>-23400000</v>
      </c>
      <c r="IG45" s="1091">
        <f t="shared" si="148"/>
        <v>-1</v>
      </c>
      <c r="IH45" s="1146">
        <f t="shared" si="285"/>
        <v>35100000</v>
      </c>
      <c r="II45" s="1091" t="str">
        <f t="shared" si="622"/>
        <v/>
      </c>
      <c r="IJ45" s="1091"/>
      <c r="IK45" s="1147">
        <f t="shared" si="288"/>
        <v>27895056.12</v>
      </c>
      <c r="IL45" s="1091" t="str">
        <f t="shared" si="623"/>
        <v/>
      </c>
      <c r="IM45" s="1091"/>
      <c r="IN45" s="1147">
        <f t="shared" si="291"/>
        <v>1168910.5</v>
      </c>
      <c r="IO45" s="1091">
        <f t="shared" si="624"/>
        <v>3.437972059</v>
      </c>
      <c r="IP45" s="1091"/>
      <c r="IQ45" s="1147">
        <f t="shared" si="155"/>
        <v>-33931089.5</v>
      </c>
      <c r="IR45" s="1091">
        <f t="shared" si="1"/>
        <v>-0.9666977066</v>
      </c>
      <c r="IS45" s="1147">
        <f t="shared" si="156"/>
        <v>-26726145.62</v>
      </c>
      <c r="IT45" s="1091">
        <f t="shared" si="2"/>
        <v>-0.9580961409</v>
      </c>
    </row>
    <row r="46" hidden="1" outlineLevel="1">
      <c r="A46" s="737"/>
      <c r="B46" s="737"/>
      <c r="C46" s="737"/>
      <c r="D46" s="737" t="s">
        <v>2831</v>
      </c>
      <c r="E46" s="737" t="s">
        <v>194</v>
      </c>
      <c r="F46" s="748">
        <v>641.0</v>
      </c>
      <c r="G46" s="748">
        <v>3.0</v>
      </c>
      <c r="H46" s="1146">
        <f>SUMIFS(BP_SOTIEN,BP_THANG,H$2,BP_KM,$E46)/1000</f>
        <v>0</v>
      </c>
      <c r="I46" s="1091" t="str">
        <f t="shared" si="566"/>
        <v/>
      </c>
      <c r="J46" s="1091"/>
      <c r="K46" s="1147">
        <f>IF(NOW()&gt;=DATE(YEAR(H$2),MONTH(H$2)+1,DAY(H$2)),SUMIFS(TF_SOTIEN,TF_THANG,H$2,TF_KM,$E46)/1000, N46)</f>
        <v>0</v>
      </c>
      <c r="L46" s="1091" t="str">
        <f t="shared" si="567"/>
        <v/>
      </c>
      <c r="M46" s="1091"/>
      <c r="N46" s="1147">
        <f>IF(NOW()&gt;=DATE(YEAR(H$2),MONTH(H$2)+1,DAY(H$2)),SUMIFS(AC_SOTIEN,AC_THANG,H$2,AC_KM,$E46),SUMIFS(TF_SOTIEN,TF_THANG,H$2,TF_KM,$E46))/ 1000</f>
        <v>4500</v>
      </c>
      <c r="O46" s="1091">
        <f t="shared" si="568"/>
        <v>0.01323529412</v>
      </c>
      <c r="P46" s="1091"/>
      <c r="Q46" s="1147">
        <f t="shared" si="8"/>
        <v>4500</v>
      </c>
      <c r="R46" s="1091" t="str">
        <f t="shared" si="9"/>
        <v/>
      </c>
      <c r="S46" s="1147">
        <f t="shared" si="10"/>
        <v>4500</v>
      </c>
      <c r="T46" s="1091" t="str">
        <f t="shared" si="11"/>
        <v/>
      </c>
      <c r="U46" s="1146">
        <f>SUMIFS(BP_SOTIEN,BP_THANG,U$2,BP_KM,$E46)/1000</f>
        <v>0</v>
      </c>
      <c r="V46" s="1091" t="str">
        <f t="shared" si="569"/>
        <v/>
      </c>
      <c r="W46" s="1091"/>
      <c r="X46" s="1147">
        <f>IF(NOW()&gt;=DATE(YEAR(U$2),MONTH(U$2)+1,DAY(U$2)),SUMIFS(TF_SOTIEN,TF_THANG,U$2,TF_KM,$E46)/1000, AA46)</f>
        <v>0</v>
      </c>
      <c r="Y46" s="1091" t="str">
        <f t="shared" si="570"/>
        <v/>
      </c>
      <c r="Z46" s="1091"/>
      <c r="AA46" s="1147">
        <f>IF(NOW()&gt;=DATE(YEAR(U$2),MONTH(U$2)+1,DAY(U$2)),SUMIFS(AC_SOTIEN,AC_THANG,U$2,AC_KM,$E46),SUMIFS(TF_SOTIEN,TF_THANG,U$2,TF_KM,$E46))/ 1000</f>
        <v>7580</v>
      </c>
      <c r="AB46" s="1091" t="str">
        <f t="shared" si="571"/>
        <v/>
      </c>
      <c r="AC46" s="1091"/>
      <c r="AD46" s="1147">
        <f t="shared" si="15"/>
        <v>7580</v>
      </c>
      <c r="AE46" s="1091" t="str">
        <f t="shared" si="16"/>
        <v/>
      </c>
      <c r="AF46" s="1147">
        <f t="shared" si="17"/>
        <v>7580</v>
      </c>
      <c r="AG46" s="1091" t="str">
        <f t="shared" si="18"/>
        <v/>
      </c>
      <c r="AH46" s="1146">
        <f>SUMIFS(BP_SOTIEN,BP_THANG,AH$2,BP_KM,$E46)/1000</f>
        <v>0</v>
      </c>
      <c r="AI46" s="1091" t="str">
        <f t="shared" si="572"/>
        <v/>
      </c>
      <c r="AJ46" s="1091"/>
      <c r="AK46" s="1147">
        <f>IF(NOW()&gt;=DATE(YEAR(AH$2),MONTH(AH$2)+1,DAY(AH$2)),SUMIFS(TF_SOTIEN,TF_THANG,AH$2,TF_KM,$E46)/1000, AN46)</f>
        <v>9600</v>
      </c>
      <c r="AL46" s="1091" t="str">
        <f t="shared" si="573"/>
        <v/>
      </c>
      <c r="AM46" s="1091"/>
      <c r="AN46" s="1147">
        <f>IF(NOW()&gt;=DATE(YEAR(AH$2),MONTH(AH$2)+1,DAY(AH$2)),SUMIFS(AC_SOTIEN,AC_THANG,AH$2,AC_KM,$E46),SUMIFS(TF_SOTIEN,TF_THANG,AH$2,TF_KM,$E46))/ 1000</f>
        <v>4500</v>
      </c>
      <c r="AO46" s="1091" t="str">
        <f t="shared" si="574"/>
        <v/>
      </c>
      <c r="AP46" s="1091"/>
      <c r="AQ46" s="1147">
        <f t="shared" si="22"/>
        <v>4500</v>
      </c>
      <c r="AR46" s="1091" t="str">
        <f t="shared" si="23"/>
        <v/>
      </c>
      <c r="AS46" s="1147">
        <f t="shared" si="24"/>
        <v>-5100</v>
      </c>
      <c r="AT46" s="1091">
        <f t="shared" si="25"/>
        <v>-0.53125</v>
      </c>
      <c r="AU46" s="1146">
        <f t="shared" si="177"/>
        <v>0</v>
      </c>
      <c r="AV46" s="1091" t="str">
        <f t="shared" si="575"/>
        <v/>
      </c>
      <c r="AW46" s="1091"/>
      <c r="AX46" s="1147">
        <f t="shared" si="180"/>
        <v>9600</v>
      </c>
      <c r="AY46" s="1091" t="str">
        <f t="shared" si="576"/>
        <v/>
      </c>
      <c r="AZ46" s="1091"/>
      <c r="BA46" s="1147">
        <f t="shared" si="444"/>
        <v>16580</v>
      </c>
      <c r="BB46" s="1091">
        <f t="shared" si="577"/>
        <v>0.04876470588</v>
      </c>
      <c r="BC46" s="1091"/>
      <c r="BD46" s="1147">
        <f t="shared" si="32"/>
        <v>16580</v>
      </c>
      <c r="BE46" s="1091" t="str">
        <f t="shared" si="33"/>
        <v/>
      </c>
      <c r="BF46" s="1147">
        <f t="shared" si="34"/>
        <v>6980</v>
      </c>
      <c r="BG46" s="1091">
        <f t="shared" si="35"/>
        <v>0.7270833333</v>
      </c>
      <c r="BH46" s="1146">
        <f>SUMIFS(BP_SOTIEN,BP_THANG,BH$2,BP_KM,$E46)/1000</f>
        <v>1040000</v>
      </c>
      <c r="BI46" s="1091" t="str">
        <f t="shared" si="578"/>
        <v/>
      </c>
      <c r="BJ46" s="1091"/>
      <c r="BK46" s="1147">
        <f>IF(NOW()&gt;=DATE(YEAR(BH$2),MONTH(BH$2)+1,DAY(BH$2)),SUMIFS(TF_SOTIEN,TF_THANG,BH$2,TF_KM,$E46)/1000, BN46)</f>
        <v>9600</v>
      </c>
      <c r="BL46" s="1091" t="str">
        <f t="shared" si="579"/>
        <v/>
      </c>
      <c r="BM46" s="1091"/>
      <c r="BN46" s="1147">
        <f>IF(NOW()&gt;=DATE(YEAR(BH$2),MONTH(BH$2)+1,DAY(BH$2)),SUMIFS(AC_SOTIEN,AC_THANG,BH$2,AC_KM,$E46),SUMIFS(TF_SOTIEN,TF_THANG,BH$2,TF_KM,$E46))/ 1000</f>
        <v>46428</v>
      </c>
      <c r="BO46" s="1091" t="str">
        <f t="shared" si="580"/>
        <v/>
      </c>
      <c r="BP46" s="1091"/>
      <c r="BQ46" s="1147">
        <f t="shared" si="39"/>
        <v>-993572</v>
      </c>
      <c r="BR46" s="1091">
        <f t="shared" si="40"/>
        <v>-0.9553576923</v>
      </c>
      <c r="BS46" s="1147">
        <f t="shared" si="41"/>
        <v>36828</v>
      </c>
      <c r="BT46" s="1091">
        <f t="shared" si="42"/>
        <v>3.83625</v>
      </c>
      <c r="BU46" s="1146">
        <f>SUMIFS(BP_SOTIEN,BP_THANG,BU$2,BP_KM,$E46)/1000</f>
        <v>1040000</v>
      </c>
      <c r="BV46" s="1091" t="str">
        <f t="shared" si="581"/>
        <v/>
      </c>
      <c r="BW46" s="1091"/>
      <c r="BX46" s="1147">
        <f>IF(NOW()&gt;=DATE(YEAR(BU$2),MONTH(BU$2)+1,DAY(BU$2)),SUMIFS(TF_SOTIEN,TF_THANG,BU$2,TF_KM,$E46)/1000, CA46)</f>
        <v>47940.816</v>
      </c>
      <c r="BY46" s="1091" t="str">
        <f t="shared" si="582"/>
        <v/>
      </c>
      <c r="BZ46" s="1091"/>
      <c r="CA46" s="1147">
        <f>IF(NOW()&gt;=DATE(YEAR(BU$2),MONTH(BU$2)+1,DAY(BU$2)),SUMIFS(AC_SOTIEN,AC_THANG,BU$2,AC_KM,$E46),SUMIFS(TF_SOTIEN,TF_THANG,BU$2,TF_KM,$E46))/ 1000</f>
        <v>0</v>
      </c>
      <c r="CB46" s="1091" t="str">
        <f t="shared" si="583"/>
        <v/>
      </c>
      <c r="CC46" s="1091"/>
      <c r="CD46" s="1147">
        <f t="shared" si="46"/>
        <v>-1040000</v>
      </c>
      <c r="CE46" s="1091">
        <f t="shared" si="47"/>
        <v>-1</v>
      </c>
      <c r="CF46" s="1147">
        <f t="shared" si="48"/>
        <v>-47940.816</v>
      </c>
      <c r="CG46" s="1091">
        <f t="shared" si="49"/>
        <v>-1</v>
      </c>
      <c r="CH46" s="1146">
        <f>SUMIFS(BP_SOTIEN,BP_THANG,CH$2,BP_KM,$E46)/1000</f>
        <v>1040000</v>
      </c>
      <c r="CI46" s="1091" t="str">
        <f t="shared" si="584"/>
        <v/>
      </c>
      <c r="CJ46" s="1091"/>
      <c r="CK46" s="1147">
        <f>IF(NOW()&gt;=DATE(YEAR(CH$2),MONTH(CH$2)+1,DAY(CH$2)),SUMIFS(TF_SOTIEN,TF_THANG,CH$2,TF_KM,$E46)/1000, CN46)</f>
        <v>1040000</v>
      </c>
      <c r="CL46" s="1091" t="str">
        <f t="shared" si="585"/>
        <v/>
      </c>
      <c r="CM46" s="1091"/>
      <c r="CN46" s="1147">
        <f>IF(NOW()&gt;=DATE(YEAR(CH$2),MONTH(CH$2)+1,DAY(CH$2)),SUMIFS(AC_SOTIEN,AC_THANG,CH$2,AC_KM,$E46),SUMIFS(TF_SOTIEN,TF_THANG,CH$2,TF_KM,$E46))/ 1000</f>
        <v>0</v>
      </c>
      <c r="CO46" s="1091" t="str">
        <f t="shared" si="586"/>
        <v/>
      </c>
      <c r="CP46" s="1091"/>
      <c r="CQ46" s="1147">
        <f t="shared" si="53"/>
        <v>-1040000</v>
      </c>
      <c r="CR46" s="1091">
        <f t="shared" si="54"/>
        <v>-1</v>
      </c>
      <c r="CS46" s="1147">
        <f t="shared" si="55"/>
        <v>-1040000</v>
      </c>
      <c r="CT46" s="1091">
        <f t="shared" si="56"/>
        <v>-1</v>
      </c>
      <c r="CU46" s="1146">
        <f t="shared" si="204"/>
        <v>3120000</v>
      </c>
      <c r="CV46" s="1091" t="str">
        <f t="shared" si="587"/>
        <v/>
      </c>
      <c r="CW46" s="1091"/>
      <c r="CX46" s="1147">
        <f t="shared" si="588"/>
        <v>1097540.816</v>
      </c>
      <c r="CY46" s="1091" t="str">
        <f t="shared" si="589"/>
        <v/>
      </c>
      <c r="CZ46" s="1091"/>
      <c r="DA46" s="1147">
        <f t="shared" si="590"/>
        <v>46428</v>
      </c>
      <c r="DB46" s="1091" t="str">
        <f t="shared" si="591"/>
        <v/>
      </c>
      <c r="DC46" s="1091"/>
      <c r="DD46" s="1147">
        <f t="shared" si="63"/>
        <v>-3073572</v>
      </c>
      <c r="DE46" s="1091">
        <f t="shared" si="64"/>
        <v>-0.9851192308</v>
      </c>
      <c r="DF46" s="1147">
        <f t="shared" si="65"/>
        <v>-1051112.816</v>
      </c>
      <c r="DG46" s="1091">
        <f t="shared" si="66"/>
        <v>-0.9576981563</v>
      </c>
      <c r="DH46" s="1146">
        <f t="shared" si="213"/>
        <v>3120000</v>
      </c>
      <c r="DI46" s="1091" t="str">
        <f t="shared" si="592"/>
        <v/>
      </c>
      <c r="DJ46" s="1091"/>
      <c r="DK46" s="1147">
        <f t="shared" si="216"/>
        <v>1107140.816</v>
      </c>
      <c r="DL46" s="1091" t="str">
        <f t="shared" si="593"/>
        <v/>
      </c>
      <c r="DM46" s="1091"/>
      <c r="DN46" s="1147">
        <f t="shared" si="219"/>
        <v>63008</v>
      </c>
      <c r="DO46" s="1091">
        <f t="shared" si="594"/>
        <v>0.1853176471</v>
      </c>
      <c r="DP46" s="1091"/>
      <c r="DQ46" s="1147">
        <f t="shared" si="73"/>
        <v>-3056992</v>
      </c>
      <c r="DR46" s="1091">
        <f t="shared" si="74"/>
        <v>-0.9798051282</v>
      </c>
      <c r="DS46" s="1147">
        <f t="shared" si="75"/>
        <v>-1044132.816</v>
      </c>
      <c r="DT46" s="1091">
        <f t="shared" si="76"/>
        <v>-0.9430894435</v>
      </c>
      <c r="DU46" s="1146">
        <f>SUMIFS(BP_SOTIEN,BP_THANG,DU$2,BP_KM,$E46)/1000</f>
        <v>1040000</v>
      </c>
      <c r="DV46" s="1091" t="str">
        <f t="shared" si="595"/>
        <v/>
      </c>
      <c r="DW46" s="1091"/>
      <c r="DX46" s="1147">
        <f>IF(NOW()&gt;=DATE(YEAR(DU$2),MONTH(DU$2)+1,DAY(DU$2)),SUMIFS(TF_SOTIEN,TF_THANG,DU$2,TF_KM,$E46)/1000, EA46)</f>
        <v>1040000</v>
      </c>
      <c r="DY46" s="1091" t="str">
        <f t="shared" si="596"/>
        <v/>
      </c>
      <c r="DZ46" s="1091"/>
      <c r="EA46" s="1147">
        <f>IF(NOW()&gt;=DATE(YEAR(DU$2),MONTH(DU$2)+1,DAY(DU$2)),SUMIFS(AC_SOTIEN,AC_THANG,DU$2,AC_KM,$E46),SUMIFS(TF_SOTIEN,TF_THANG,DU$2,TF_KM,$E46))/ 1000</f>
        <v>0</v>
      </c>
      <c r="EB46" s="1091" t="str">
        <f t="shared" si="597"/>
        <v/>
      </c>
      <c r="EC46" s="1091"/>
      <c r="ED46" s="1147">
        <f t="shared" si="80"/>
        <v>-1040000</v>
      </c>
      <c r="EE46" s="1091">
        <f t="shared" si="81"/>
        <v>-1</v>
      </c>
      <c r="EF46" s="1147">
        <f t="shared" si="82"/>
        <v>-1040000</v>
      </c>
      <c r="EG46" s="1091">
        <f t="shared" si="83"/>
        <v>-1</v>
      </c>
      <c r="EH46" s="1146">
        <f>SUMIFS(BP_SOTIEN,BP_THANG,EH$2,BP_KM,$E46)/1000</f>
        <v>1040000</v>
      </c>
      <c r="EI46" s="1091" t="str">
        <f t="shared" si="598"/>
        <v/>
      </c>
      <c r="EJ46" s="1091"/>
      <c r="EK46" s="1147">
        <f>IF(NOW()&gt;=DATE(YEAR(EH$2),MONTH(EH$2)+1,DAY(EH$2)),SUMIFS(TF_SOTIEN,TF_THANG,EH$2,TF_KM,$E46)/1000, EN46)</f>
        <v>1040000</v>
      </c>
      <c r="EL46" s="1091" t="str">
        <f t="shared" si="599"/>
        <v/>
      </c>
      <c r="EM46" s="1091"/>
      <c r="EN46" s="1147">
        <f>IF(NOW()&gt;=DATE(YEAR(EH$2),MONTH(EH$2)+1,DAY(EH$2)),SUMIFS(AC_SOTIEN,AC_THANG,EH$2,AC_KM,$E46),SUMIFS(TF_SOTIEN,TF_THANG,EH$2,TF_KM,$E46))/ 1000</f>
        <v>0</v>
      </c>
      <c r="EO46" s="1091" t="str">
        <f t="shared" si="600"/>
        <v/>
      </c>
      <c r="EP46" s="1091"/>
      <c r="EQ46" s="1147">
        <f t="shared" si="87"/>
        <v>-1040000</v>
      </c>
      <c r="ER46" s="1091">
        <f t="shared" si="88"/>
        <v>-1</v>
      </c>
      <c r="ES46" s="1147">
        <f t="shared" si="89"/>
        <v>-1040000</v>
      </c>
      <c r="ET46" s="1091">
        <f t="shared" si="90"/>
        <v>-1</v>
      </c>
      <c r="EU46" s="1146">
        <f>SUMIFS(BP_SOTIEN,BP_THANG,EU$2,BP_KM,$E46)/1000</f>
        <v>1040000</v>
      </c>
      <c r="EV46" s="1091" t="str">
        <f t="shared" si="601"/>
        <v/>
      </c>
      <c r="EW46" s="1091"/>
      <c r="EX46" s="1147">
        <f>IF(NOW()&gt;=DATE(YEAR(EU$2),MONTH(EU$2)+1,DAY(EU$2)),SUMIFS(TF_SOTIEN,TF_THANG,EU$2,TF_KM,$E46)/1000, FA46)</f>
        <v>1040000</v>
      </c>
      <c r="EY46" s="1091" t="str">
        <f t="shared" si="602"/>
        <v/>
      </c>
      <c r="EZ46" s="1091"/>
      <c r="FA46" s="1147">
        <f>IF(NOW()&gt;=DATE(YEAR(EU$2),MONTH(EU$2)+1,DAY(EU$2)),SUMIFS(AC_SOTIEN,AC_THANG,EU$2,AC_KM,$E46),SUMIFS(TF_SOTIEN,TF_THANG,EU$2,TF_KM,$E46))/ 1000</f>
        <v>0</v>
      </c>
      <c r="FB46" s="1091" t="str">
        <f t="shared" si="603"/>
        <v/>
      </c>
      <c r="FC46" s="1091"/>
      <c r="FD46" s="1147">
        <f t="shared" si="94"/>
        <v>-1040000</v>
      </c>
      <c r="FE46" s="1091">
        <f t="shared" si="95"/>
        <v>-1</v>
      </c>
      <c r="FF46" s="1147">
        <f t="shared" si="96"/>
        <v>-1040000</v>
      </c>
      <c r="FG46" s="1091">
        <f t="shared" si="97"/>
        <v>-1</v>
      </c>
      <c r="FH46" s="1146">
        <f t="shared" si="240"/>
        <v>3120000</v>
      </c>
      <c r="FI46" s="1091" t="str">
        <f t="shared" si="604"/>
        <v/>
      </c>
      <c r="FJ46" s="1091"/>
      <c r="FK46" s="1147">
        <f t="shared" si="243"/>
        <v>3120000</v>
      </c>
      <c r="FL46" s="1091" t="str">
        <f t="shared" si="605"/>
        <v/>
      </c>
      <c r="FM46" s="1091"/>
      <c r="FN46" s="1147">
        <f t="shared" si="246"/>
        <v>0</v>
      </c>
      <c r="FO46" s="1091" t="str">
        <f t="shared" si="606"/>
        <v/>
      </c>
      <c r="FP46" s="1091"/>
      <c r="FQ46" s="1147">
        <f t="shared" si="104"/>
        <v>-3120000</v>
      </c>
      <c r="FR46" s="1091">
        <f t="shared" si="105"/>
        <v>-1</v>
      </c>
      <c r="FS46" s="1147">
        <f t="shared" si="106"/>
        <v>-3120000</v>
      </c>
      <c r="FT46" s="1091">
        <f t="shared" si="107"/>
        <v>-1</v>
      </c>
      <c r="FU46" s="1146">
        <f>SUMIFS(BP_SOTIEN,BP_THANG,FU$2,BP_KM,$E46)/1000</f>
        <v>1040000</v>
      </c>
      <c r="FV46" s="1091" t="str">
        <f t="shared" si="607"/>
        <v/>
      </c>
      <c r="FW46" s="1091"/>
      <c r="FX46" s="1147">
        <f>IF(NOW()&gt;=DATE(YEAR(FU$2),MONTH(FU$2)+1,DAY(FU$2)),SUMIFS(TF_SOTIEN,TF_THANG,FU$2,TF_KM,$E46)/1000, GA46)</f>
        <v>1040000</v>
      </c>
      <c r="FY46" s="1091" t="str">
        <f t="shared" si="608"/>
        <v/>
      </c>
      <c r="FZ46" s="1091"/>
      <c r="GA46" s="1147">
        <f>IF(NOW()&gt;=DATE(YEAR(FU$2),MONTH(FU$2)+1,DAY(FU$2)),SUMIFS(AC_SOTIEN,AC_THANG,FU$2,AC_KM,$E46),SUMIFS(TF_SOTIEN,TF_THANG,FU$2,TF_KM,$E46))/ 1000</f>
        <v>0</v>
      </c>
      <c r="GB46" s="1091" t="str">
        <f t="shared" si="609"/>
        <v/>
      </c>
      <c r="GC46" s="1091"/>
      <c r="GD46" s="1147">
        <f t="shared" si="111"/>
        <v>-1040000</v>
      </c>
      <c r="GE46" s="1091">
        <f t="shared" si="112"/>
        <v>-1</v>
      </c>
      <c r="GF46" s="1147">
        <f t="shared" si="113"/>
        <v>-1040000</v>
      </c>
      <c r="GG46" s="1091">
        <f t="shared" si="114"/>
        <v>-1</v>
      </c>
      <c r="GH46" s="1146">
        <f>SUMIFS(BP_SOTIEN,BP_THANG,GH$2,BP_KM,$E46)/1000</f>
        <v>1040000</v>
      </c>
      <c r="GI46" s="1091" t="str">
        <f t="shared" si="610"/>
        <v/>
      </c>
      <c r="GJ46" s="1091"/>
      <c r="GK46" s="1147">
        <f>IF(NOW()&gt;=DATE(YEAR(GH$2),MONTH(GH$2)+1,DAY(GH$2)),SUMIFS(TF_SOTIEN,TF_THANG,GH$2,TF_KM,$E46)/1000, GN46)</f>
        <v>1040000</v>
      </c>
      <c r="GL46" s="1091" t="str">
        <f t="shared" si="611"/>
        <v/>
      </c>
      <c r="GM46" s="1091"/>
      <c r="GN46" s="1147">
        <f>IF(NOW()&gt;=DATE(YEAR(GH$2),MONTH(GH$2)+1,DAY(GH$2)),SUMIFS(AC_SOTIEN,AC_THANG,GH$2,AC_KM,$E46),SUMIFS(TF_SOTIEN,TF_THANG,GH$2,TF_KM,$E46))/ 1000</f>
        <v>0</v>
      </c>
      <c r="GO46" s="1091" t="str">
        <f t="shared" si="612"/>
        <v/>
      </c>
      <c r="GP46" s="1091"/>
      <c r="GQ46" s="1147">
        <f t="shared" si="118"/>
        <v>-1040000</v>
      </c>
      <c r="GR46" s="1091">
        <f t="shared" si="119"/>
        <v>-1</v>
      </c>
      <c r="GS46" s="1147">
        <f t="shared" si="120"/>
        <v>-1040000</v>
      </c>
      <c r="GT46" s="1091">
        <f t="shared" si="121"/>
        <v>-1</v>
      </c>
      <c r="GU46" s="1146">
        <f>SUMIFS(BP_SOTIEN,BP_THANG,GU$2,BP_KM,$E46)/1000</f>
        <v>1040000</v>
      </c>
      <c r="GV46" s="1091" t="str">
        <f t="shared" si="613"/>
        <v/>
      </c>
      <c r="GW46" s="1091"/>
      <c r="GX46" s="1147">
        <f>IF(NOW()&gt;=DATE(YEAR(GU$2),MONTH(GU$2)+1,DAY(GU$2)),SUMIFS(TF_SOTIEN,TF_THANG,GU$2,TF_KM,$E46)/1000, HA46)</f>
        <v>1040000</v>
      </c>
      <c r="GY46" s="1091" t="str">
        <f t="shared" si="614"/>
        <v/>
      </c>
      <c r="GZ46" s="1091"/>
      <c r="HA46" s="1147">
        <f>IF(NOW()&gt;=DATE(YEAR(GU$2),MONTH(GU$2)+1,DAY(GU$2)),SUMIFS(AC_SOTIEN,AC_THANG,GU$2,AC_KM,$E46),SUMIFS(TF_SOTIEN,TF_THANG,GU$2,TF_KM,$E46))/ 1000</f>
        <v>0</v>
      </c>
      <c r="HB46" s="1091" t="str">
        <f t="shared" si="615"/>
        <v/>
      </c>
      <c r="HC46" s="1091"/>
      <c r="HD46" s="1147">
        <f t="shared" si="125"/>
        <v>-1040000</v>
      </c>
      <c r="HE46" s="1091">
        <f t="shared" si="126"/>
        <v>-1</v>
      </c>
      <c r="HF46" s="1147">
        <f t="shared" si="127"/>
        <v>-1040000</v>
      </c>
      <c r="HG46" s="1091">
        <f t="shared" si="128"/>
        <v>-1</v>
      </c>
      <c r="HH46" s="1146">
        <f t="shared" si="267"/>
        <v>3120000</v>
      </c>
      <c r="HI46" s="1091" t="str">
        <f t="shared" si="616"/>
        <v/>
      </c>
      <c r="HJ46" s="1091"/>
      <c r="HK46" s="1147">
        <f t="shared" si="270"/>
        <v>3120000</v>
      </c>
      <c r="HL46" s="1091" t="str">
        <f t="shared" si="617"/>
        <v/>
      </c>
      <c r="HM46" s="1091"/>
      <c r="HN46" s="1147">
        <f t="shared" si="273"/>
        <v>0</v>
      </c>
      <c r="HO46" s="1091" t="str">
        <f t="shared" si="618"/>
        <v/>
      </c>
      <c r="HP46" s="1091"/>
      <c r="HQ46" s="1147">
        <f t="shared" si="135"/>
        <v>-3120000</v>
      </c>
      <c r="HR46" s="1091">
        <f t="shared" si="136"/>
        <v>-1</v>
      </c>
      <c r="HS46" s="1147">
        <f t="shared" si="137"/>
        <v>-3120000</v>
      </c>
      <c r="HT46" s="1091">
        <f t="shared" si="138"/>
        <v>-1</v>
      </c>
      <c r="HU46" s="1146">
        <f t="shared" si="276"/>
        <v>6240000</v>
      </c>
      <c r="HV46" s="1091" t="str">
        <f t="shared" si="619"/>
        <v/>
      </c>
      <c r="HW46" s="1091"/>
      <c r="HX46" s="1147">
        <f t="shared" si="279"/>
        <v>6240000</v>
      </c>
      <c r="HY46" s="1091" t="str">
        <f t="shared" si="620"/>
        <v/>
      </c>
      <c r="HZ46" s="1091"/>
      <c r="IA46" s="1147">
        <f t="shared" si="282"/>
        <v>0</v>
      </c>
      <c r="IB46" s="1091" t="str">
        <f t="shared" si="621"/>
        <v/>
      </c>
      <c r="IC46" s="1091"/>
      <c r="ID46" s="1147">
        <f t="shared" si="145"/>
        <v>-6240000</v>
      </c>
      <c r="IE46" s="1091">
        <f t="shared" si="146"/>
        <v>-1</v>
      </c>
      <c r="IF46" s="1147">
        <f t="shared" si="147"/>
        <v>-6240000</v>
      </c>
      <c r="IG46" s="1091">
        <f t="shared" si="148"/>
        <v>-1</v>
      </c>
      <c r="IH46" s="1146">
        <f t="shared" si="285"/>
        <v>9360000</v>
      </c>
      <c r="II46" s="1091" t="str">
        <f t="shared" si="622"/>
        <v/>
      </c>
      <c r="IJ46" s="1091"/>
      <c r="IK46" s="1147">
        <f t="shared" si="288"/>
        <v>7347140.816</v>
      </c>
      <c r="IL46" s="1091" t="str">
        <f t="shared" si="623"/>
        <v/>
      </c>
      <c r="IM46" s="1091"/>
      <c r="IN46" s="1147">
        <f t="shared" si="291"/>
        <v>63008</v>
      </c>
      <c r="IO46" s="1091">
        <f t="shared" si="624"/>
        <v>0.1853176471</v>
      </c>
      <c r="IP46" s="1091"/>
      <c r="IQ46" s="1147">
        <f t="shared" si="155"/>
        <v>-9296992</v>
      </c>
      <c r="IR46" s="1091">
        <f t="shared" si="1"/>
        <v>-0.9932683761</v>
      </c>
      <c r="IS46" s="1147">
        <f t="shared" si="156"/>
        <v>-7284132.816</v>
      </c>
      <c r="IT46" s="1091">
        <f t="shared" si="2"/>
        <v>-0.9914241469</v>
      </c>
    </row>
    <row r="47" hidden="1" outlineLevel="1">
      <c r="A47" s="737"/>
      <c r="B47" s="737"/>
      <c r="C47" s="737"/>
      <c r="D47" s="737" t="s">
        <v>2832</v>
      </c>
      <c r="E47" s="737" t="s">
        <v>374</v>
      </c>
      <c r="F47" s="748">
        <v>641.0</v>
      </c>
      <c r="G47" s="748">
        <v>3.0</v>
      </c>
      <c r="H47" s="1146">
        <f>SUMIFS(BP_SOTIEN,BP_THANG,H$2,BP_KM,$E47)/1000</f>
        <v>1666</v>
      </c>
      <c r="I47" s="1091" t="str">
        <f t="shared" si="566"/>
        <v/>
      </c>
      <c r="J47" s="1091"/>
      <c r="K47" s="1147">
        <f>IF(NOW()&gt;=DATE(YEAR(H$2),MONTH(H$2)+1,DAY(H$2)),SUMIFS(TF_SOTIEN,TF_THANG,H$2,TF_KM,$E47)/1000, N47)</f>
        <v>1666</v>
      </c>
      <c r="L47" s="1091" t="str">
        <f t="shared" si="567"/>
        <v/>
      </c>
      <c r="M47" s="1091"/>
      <c r="N47" s="1147">
        <f>IF(NOW()&gt;=DATE(YEAR(H$2),MONTH(H$2)+1,DAY(H$2)),SUMIFS(AC_SOTIEN,AC_THANG,H$2,AC_KM,$E47),SUMIFS(TF_SOTIEN,TF_THANG,H$2,TF_KM,$E47))/ 1000</f>
        <v>0</v>
      </c>
      <c r="O47" s="1091">
        <f t="shared" si="568"/>
        <v>0</v>
      </c>
      <c r="P47" s="1091"/>
      <c r="Q47" s="1147">
        <f t="shared" si="8"/>
        <v>-1666</v>
      </c>
      <c r="R47" s="1091">
        <f t="shared" si="9"/>
        <v>-1</v>
      </c>
      <c r="S47" s="1147">
        <f t="shared" si="10"/>
        <v>-1666</v>
      </c>
      <c r="T47" s="1091">
        <f t="shared" si="11"/>
        <v>-1</v>
      </c>
      <c r="U47" s="1146">
        <f>SUMIFS(BP_SOTIEN,BP_THANG,U$2,BP_KM,$E47)/1000</f>
        <v>1666</v>
      </c>
      <c r="V47" s="1091" t="str">
        <f t="shared" si="569"/>
        <v/>
      </c>
      <c r="W47" s="1091"/>
      <c r="X47" s="1147">
        <f>IF(NOW()&gt;=DATE(YEAR(U$2),MONTH(U$2)+1,DAY(U$2)),SUMIFS(TF_SOTIEN,TF_THANG,U$2,TF_KM,$E47)/1000, AA47)</f>
        <v>0</v>
      </c>
      <c r="Y47" s="1091" t="str">
        <f t="shared" si="570"/>
        <v/>
      </c>
      <c r="Z47" s="1091"/>
      <c r="AA47" s="1147">
        <f>IF(NOW()&gt;=DATE(YEAR(U$2),MONTH(U$2)+1,DAY(U$2)),SUMIFS(AC_SOTIEN,AC_THANG,U$2,AC_KM,$E47),SUMIFS(TF_SOTIEN,TF_THANG,U$2,TF_KM,$E47))/ 1000</f>
        <v>5380</v>
      </c>
      <c r="AB47" s="1091" t="str">
        <f t="shared" si="571"/>
        <v/>
      </c>
      <c r="AC47" s="1091"/>
      <c r="AD47" s="1147">
        <f t="shared" si="15"/>
        <v>3714</v>
      </c>
      <c r="AE47" s="1091">
        <f t="shared" si="16"/>
        <v>2.229291717</v>
      </c>
      <c r="AF47" s="1147">
        <f t="shared" si="17"/>
        <v>5380</v>
      </c>
      <c r="AG47" s="1091" t="str">
        <f t="shared" si="18"/>
        <v/>
      </c>
      <c r="AH47" s="1146">
        <f>SUMIFS(BP_SOTIEN,BP_THANG,AH$2,BP_KM,$E47)/1000</f>
        <v>1666</v>
      </c>
      <c r="AI47" s="1091" t="str">
        <f t="shared" si="572"/>
        <v/>
      </c>
      <c r="AJ47" s="1091"/>
      <c r="AK47" s="1147">
        <f>IF(NOW()&gt;=DATE(YEAR(AH$2),MONTH(AH$2)+1,DAY(AH$2)),SUMIFS(TF_SOTIEN,TF_THANG,AH$2,TF_KM,$E47)/1000, AN47)</f>
        <v>0</v>
      </c>
      <c r="AL47" s="1091" t="str">
        <f t="shared" si="573"/>
        <v/>
      </c>
      <c r="AM47" s="1091"/>
      <c r="AN47" s="1147">
        <f>IF(NOW()&gt;=DATE(YEAR(AH$2),MONTH(AH$2)+1,DAY(AH$2)),SUMIFS(AC_SOTIEN,AC_THANG,AH$2,AC_KM,$E47),SUMIFS(TF_SOTIEN,TF_THANG,AH$2,TF_KM,$E47))/ 1000</f>
        <v>6700</v>
      </c>
      <c r="AO47" s="1091" t="str">
        <f t="shared" si="574"/>
        <v/>
      </c>
      <c r="AP47" s="1091"/>
      <c r="AQ47" s="1147">
        <f t="shared" si="22"/>
        <v>5034</v>
      </c>
      <c r="AR47" s="1091">
        <f t="shared" si="23"/>
        <v>3.021608643</v>
      </c>
      <c r="AS47" s="1147">
        <f t="shared" si="24"/>
        <v>6700</v>
      </c>
      <c r="AT47" s="1091" t="str">
        <f t="shared" si="25"/>
        <v/>
      </c>
      <c r="AU47" s="1146">
        <f t="shared" si="177"/>
        <v>4998</v>
      </c>
      <c r="AV47" s="1091" t="str">
        <f t="shared" si="575"/>
        <v/>
      </c>
      <c r="AW47" s="1091"/>
      <c r="AX47" s="1147">
        <f t="shared" si="180"/>
        <v>1666</v>
      </c>
      <c r="AY47" s="1091" t="str">
        <f t="shared" si="576"/>
        <v/>
      </c>
      <c r="AZ47" s="1091"/>
      <c r="BA47" s="1147">
        <f t="shared" si="444"/>
        <v>12080</v>
      </c>
      <c r="BB47" s="1091">
        <f t="shared" si="577"/>
        <v>0.03552941176</v>
      </c>
      <c r="BC47" s="1091"/>
      <c r="BD47" s="1147">
        <f t="shared" si="32"/>
        <v>7082</v>
      </c>
      <c r="BE47" s="1091">
        <f t="shared" si="33"/>
        <v>1.416966787</v>
      </c>
      <c r="BF47" s="1147">
        <f t="shared" si="34"/>
        <v>10414</v>
      </c>
      <c r="BG47" s="1091">
        <f t="shared" si="35"/>
        <v>6.25090036</v>
      </c>
      <c r="BH47" s="1146">
        <f>SUMIFS(BP_SOTIEN,BP_THANG,BH$2,BP_KM,$E47)/1000</f>
        <v>1666</v>
      </c>
      <c r="BI47" s="1091" t="str">
        <f t="shared" si="578"/>
        <v/>
      </c>
      <c r="BJ47" s="1091"/>
      <c r="BK47" s="1147">
        <f>IF(NOW()&gt;=DATE(YEAR(BH$2),MONTH(BH$2)+1,DAY(BH$2)),SUMIFS(TF_SOTIEN,TF_THANG,BH$2,TF_KM,$E47)/1000, BN47)</f>
        <v>0</v>
      </c>
      <c r="BL47" s="1091" t="str">
        <f t="shared" si="579"/>
        <v/>
      </c>
      <c r="BM47" s="1091"/>
      <c r="BN47" s="1147">
        <f>IF(NOW()&gt;=DATE(YEAR(BH$2),MONTH(BH$2)+1,DAY(BH$2)),SUMIFS(AC_SOTIEN,AC_THANG,BH$2,AC_KM,$E47),SUMIFS(TF_SOTIEN,TF_THANG,BH$2,TF_KM,$E47))/ 1000</f>
        <v>0</v>
      </c>
      <c r="BO47" s="1091" t="str">
        <f t="shared" si="580"/>
        <v/>
      </c>
      <c r="BP47" s="1091"/>
      <c r="BQ47" s="1147">
        <f t="shared" si="39"/>
        <v>-1666</v>
      </c>
      <c r="BR47" s="1091">
        <f t="shared" si="40"/>
        <v>-1</v>
      </c>
      <c r="BS47" s="1147">
        <f t="shared" si="41"/>
        <v>0</v>
      </c>
      <c r="BT47" s="1091" t="str">
        <f t="shared" si="42"/>
        <v/>
      </c>
      <c r="BU47" s="1146">
        <f>SUMIFS(BP_SOTIEN,BP_THANG,BU$2,BP_KM,$E47)/1000</f>
        <v>1666</v>
      </c>
      <c r="BV47" s="1091" t="str">
        <f t="shared" si="581"/>
        <v/>
      </c>
      <c r="BW47" s="1091"/>
      <c r="BX47" s="1147">
        <f>IF(NOW()&gt;=DATE(YEAR(BU$2),MONTH(BU$2)+1,DAY(BU$2)),SUMIFS(TF_SOTIEN,TF_THANG,BU$2,TF_KM,$E47)/1000, CA47)</f>
        <v>6600</v>
      </c>
      <c r="BY47" s="1091" t="str">
        <f t="shared" si="582"/>
        <v/>
      </c>
      <c r="BZ47" s="1091"/>
      <c r="CA47" s="1147">
        <f>IF(NOW()&gt;=DATE(YEAR(BU$2),MONTH(BU$2)+1,DAY(BU$2)),SUMIFS(AC_SOTIEN,AC_THANG,BU$2,AC_KM,$E47),SUMIFS(TF_SOTIEN,TF_THANG,BU$2,TF_KM,$E47))/ 1000</f>
        <v>13572</v>
      </c>
      <c r="CB47" s="1091" t="str">
        <f t="shared" si="583"/>
        <v/>
      </c>
      <c r="CC47" s="1091"/>
      <c r="CD47" s="1147">
        <f t="shared" si="46"/>
        <v>11906</v>
      </c>
      <c r="CE47" s="1091">
        <f t="shared" si="47"/>
        <v>7.146458583</v>
      </c>
      <c r="CF47" s="1147">
        <f t="shared" si="48"/>
        <v>6972</v>
      </c>
      <c r="CG47" s="1091">
        <f t="shared" si="49"/>
        <v>1.056363636</v>
      </c>
      <c r="CH47" s="1146">
        <f>SUMIFS(BP_SOTIEN,BP_THANG,CH$2,BP_KM,$E47)/1000</f>
        <v>1666</v>
      </c>
      <c r="CI47" s="1091" t="str">
        <f t="shared" si="584"/>
        <v/>
      </c>
      <c r="CJ47" s="1091"/>
      <c r="CK47" s="1147">
        <f>IF(NOW()&gt;=DATE(YEAR(CH$2),MONTH(CH$2)+1,DAY(CH$2)),SUMIFS(TF_SOTIEN,TF_THANG,CH$2,TF_KM,$E47)/1000, CN47)</f>
        <v>1666</v>
      </c>
      <c r="CL47" s="1091" t="str">
        <f t="shared" si="585"/>
        <v/>
      </c>
      <c r="CM47" s="1091"/>
      <c r="CN47" s="1147">
        <f>IF(NOW()&gt;=DATE(YEAR(CH$2),MONTH(CH$2)+1,DAY(CH$2)),SUMIFS(AC_SOTIEN,AC_THANG,CH$2,AC_KM,$E47),SUMIFS(TF_SOTIEN,TF_THANG,CH$2,TF_KM,$E47))/ 1000</f>
        <v>0</v>
      </c>
      <c r="CO47" s="1091" t="str">
        <f t="shared" si="586"/>
        <v/>
      </c>
      <c r="CP47" s="1091"/>
      <c r="CQ47" s="1147">
        <f t="shared" si="53"/>
        <v>-1666</v>
      </c>
      <c r="CR47" s="1091">
        <f t="shared" si="54"/>
        <v>-1</v>
      </c>
      <c r="CS47" s="1147">
        <f t="shared" si="55"/>
        <v>-1666</v>
      </c>
      <c r="CT47" s="1091">
        <f t="shared" si="56"/>
        <v>-1</v>
      </c>
      <c r="CU47" s="1146">
        <f t="shared" si="204"/>
        <v>4998</v>
      </c>
      <c r="CV47" s="1091" t="str">
        <f t="shared" si="587"/>
        <v/>
      </c>
      <c r="CW47" s="1091"/>
      <c r="CX47" s="1147">
        <f t="shared" si="588"/>
        <v>8266</v>
      </c>
      <c r="CY47" s="1091" t="str">
        <f t="shared" si="589"/>
        <v/>
      </c>
      <c r="CZ47" s="1091"/>
      <c r="DA47" s="1147">
        <f t="shared" si="590"/>
        <v>13572</v>
      </c>
      <c r="DB47" s="1091" t="str">
        <f t="shared" si="591"/>
        <v/>
      </c>
      <c r="DC47" s="1091"/>
      <c r="DD47" s="1147">
        <f t="shared" si="63"/>
        <v>8574</v>
      </c>
      <c r="DE47" s="1091">
        <f t="shared" si="64"/>
        <v>1.715486194</v>
      </c>
      <c r="DF47" s="1147">
        <f t="shared" si="65"/>
        <v>5306</v>
      </c>
      <c r="DG47" s="1091">
        <f t="shared" si="66"/>
        <v>0.6419066054</v>
      </c>
      <c r="DH47" s="1146">
        <f t="shared" si="213"/>
        <v>9996</v>
      </c>
      <c r="DI47" s="1091" t="str">
        <f t="shared" si="592"/>
        <v/>
      </c>
      <c r="DJ47" s="1091"/>
      <c r="DK47" s="1147">
        <f t="shared" si="216"/>
        <v>9932</v>
      </c>
      <c r="DL47" s="1091" t="str">
        <f t="shared" si="593"/>
        <v/>
      </c>
      <c r="DM47" s="1091"/>
      <c r="DN47" s="1147">
        <f t="shared" si="219"/>
        <v>25652</v>
      </c>
      <c r="DO47" s="1091">
        <f t="shared" si="594"/>
        <v>0.07544705882</v>
      </c>
      <c r="DP47" s="1091"/>
      <c r="DQ47" s="1147">
        <f t="shared" si="73"/>
        <v>15656</v>
      </c>
      <c r="DR47" s="1091">
        <f t="shared" si="74"/>
        <v>1.566226491</v>
      </c>
      <c r="DS47" s="1147">
        <f t="shared" si="75"/>
        <v>15720</v>
      </c>
      <c r="DT47" s="1091">
        <f t="shared" si="76"/>
        <v>1.582762787</v>
      </c>
      <c r="DU47" s="1146">
        <f>SUMIFS(BP_SOTIEN,BP_THANG,DU$2,BP_KM,$E47)/1000</f>
        <v>1666</v>
      </c>
      <c r="DV47" s="1091" t="str">
        <f t="shared" si="595"/>
        <v/>
      </c>
      <c r="DW47" s="1091"/>
      <c r="DX47" s="1147">
        <f>IF(NOW()&gt;=DATE(YEAR(DU$2),MONTH(DU$2)+1,DAY(DU$2)),SUMIFS(TF_SOTIEN,TF_THANG,DU$2,TF_KM,$E47)/1000, EA47)</f>
        <v>1666</v>
      </c>
      <c r="DY47" s="1091" t="str">
        <f t="shared" si="596"/>
        <v/>
      </c>
      <c r="DZ47" s="1091"/>
      <c r="EA47" s="1147">
        <f>IF(NOW()&gt;=DATE(YEAR(DU$2),MONTH(DU$2)+1,DAY(DU$2)),SUMIFS(AC_SOTIEN,AC_THANG,DU$2,AC_KM,$E47),SUMIFS(TF_SOTIEN,TF_THANG,DU$2,TF_KM,$E47))/ 1000</f>
        <v>0</v>
      </c>
      <c r="EB47" s="1091" t="str">
        <f t="shared" si="597"/>
        <v/>
      </c>
      <c r="EC47" s="1091"/>
      <c r="ED47" s="1147">
        <f t="shared" si="80"/>
        <v>-1666</v>
      </c>
      <c r="EE47" s="1091">
        <f t="shared" si="81"/>
        <v>-1</v>
      </c>
      <c r="EF47" s="1147">
        <f t="shared" si="82"/>
        <v>-1666</v>
      </c>
      <c r="EG47" s="1091">
        <f t="shared" si="83"/>
        <v>-1</v>
      </c>
      <c r="EH47" s="1146">
        <f>SUMIFS(BP_SOTIEN,BP_THANG,EH$2,BP_KM,$E47)/1000</f>
        <v>1666</v>
      </c>
      <c r="EI47" s="1091" t="str">
        <f t="shared" si="598"/>
        <v/>
      </c>
      <c r="EJ47" s="1091"/>
      <c r="EK47" s="1147">
        <f>IF(NOW()&gt;=DATE(YEAR(EH$2),MONTH(EH$2)+1,DAY(EH$2)),SUMIFS(TF_SOTIEN,TF_THANG,EH$2,TF_KM,$E47)/1000, EN47)</f>
        <v>1666</v>
      </c>
      <c r="EL47" s="1091" t="str">
        <f t="shared" si="599"/>
        <v/>
      </c>
      <c r="EM47" s="1091"/>
      <c r="EN47" s="1147">
        <f>IF(NOW()&gt;=DATE(YEAR(EH$2),MONTH(EH$2)+1,DAY(EH$2)),SUMIFS(AC_SOTIEN,AC_THANG,EH$2,AC_KM,$E47),SUMIFS(TF_SOTIEN,TF_THANG,EH$2,TF_KM,$E47))/ 1000</f>
        <v>0</v>
      </c>
      <c r="EO47" s="1091" t="str">
        <f t="shared" si="600"/>
        <v/>
      </c>
      <c r="EP47" s="1091"/>
      <c r="EQ47" s="1147">
        <f t="shared" si="87"/>
        <v>-1666</v>
      </c>
      <c r="ER47" s="1091">
        <f t="shared" si="88"/>
        <v>-1</v>
      </c>
      <c r="ES47" s="1147">
        <f t="shared" si="89"/>
        <v>-1666</v>
      </c>
      <c r="ET47" s="1091">
        <f t="shared" si="90"/>
        <v>-1</v>
      </c>
      <c r="EU47" s="1146">
        <f>SUMIFS(BP_SOTIEN,BP_THANG,EU$2,BP_KM,$E47)/1000</f>
        <v>1666</v>
      </c>
      <c r="EV47" s="1091" t="str">
        <f t="shared" si="601"/>
        <v/>
      </c>
      <c r="EW47" s="1091"/>
      <c r="EX47" s="1147">
        <f>IF(NOW()&gt;=DATE(YEAR(EU$2),MONTH(EU$2)+1,DAY(EU$2)),SUMIFS(TF_SOTIEN,TF_THANG,EU$2,TF_KM,$E47)/1000, FA47)</f>
        <v>1666</v>
      </c>
      <c r="EY47" s="1091" t="str">
        <f t="shared" si="602"/>
        <v/>
      </c>
      <c r="EZ47" s="1091"/>
      <c r="FA47" s="1147">
        <f>IF(NOW()&gt;=DATE(YEAR(EU$2),MONTH(EU$2)+1,DAY(EU$2)),SUMIFS(AC_SOTIEN,AC_THANG,EU$2,AC_KM,$E47),SUMIFS(TF_SOTIEN,TF_THANG,EU$2,TF_KM,$E47))/ 1000</f>
        <v>0</v>
      </c>
      <c r="FB47" s="1091" t="str">
        <f t="shared" si="603"/>
        <v/>
      </c>
      <c r="FC47" s="1091"/>
      <c r="FD47" s="1147">
        <f t="shared" si="94"/>
        <v>-1666</v>
      </c>
      <c r="FE47" s="1091">
        <f t="shared" si="95"/>
        <v>-1</v>
      </c>
      <c r="FF47" s="1147">
        <f t="shared" si="96"/>
        <v>-1666</v>
      </c>
      <c r="FG47" s="1091">
        <f t="shared" si="97"/>
        <v>-1</v>
      </c>
      <c r="FH47" s="1146">
        <f t="shared" si="240"/>
        <v>4998</v>
      </c>
      <c r="FI47" s="1091" t="str">
        <f t="shared" si="604"/>
        <v/>
      </c>
      <c r="FJ47" s="1091"/>
      <c r="FK47" s="1147">
        <f t="shared" si="243"/>
        <v>4998</v>
      </c>
      <c r="FL47" s="1091" t="str">
        <f t="shared" si="605"/>
        <v/>
      </c>
      <c r="FM47" s="1091"/>
      <c r="FN47" s="1147">
        <f t="shared" si="246"/>
        <v>0</v>
      </c>
      <c r="FO47" s="1091" t="str">
        <f t="shared" si="606"/>
        <v/>
      </c>
      <c r="FP47" s="1091"/>
      <c r="FQ47" s="1147">
        <f t="shared" si="104"/>
        <v>-4998</v>
      </c>
      <c r="FR47" s="1091">
        <f t="shared" si="105"/>
        <v>-1</v>
      </c>
      <c r="FS47" s="1147">
        <f t="shared" si="106"/>
        <v>-4998</v>
      </c>
      <c r="FT47" s="1091">
        <f t="shared" si="107"/>
        <v>-1</v>
      </c>
      <c r="FU47" s="1146">
        <f>SUMIFS(BP_SOTIEN,BP_THANG,FU$2,BP_KM,$E47)/1000</f>
        <v>1666</v>
      </c>
      <c r="FV47" s="1091" t="str">
        <f t="shared" si="607"/>
        <v/>
      </c>
      <c r="FW47" s="1091"/>
      <c r="FX47" s="1147">
        <f>IF(NOW()&gt;=DATE(YEAR(FU$2),MONTH(FU$2)+1,DAY(FU$2)),SUMIFS(TF_SOTIEN,TF_THANG,FU$2,TF_KM,$E47)/1000, GA47)</f>
        <v>1666</v>
      </c>
      <c r="FY47" s="1091" t="str">
        <f t="shared" si="608"/>
        <v/>
      </c>
      <c r="FZ47" s="1091"/>
      <c r="GA47" s="1147">
        <f>IF(NOW()&gt;=DATE(YEAR(FU$2),MONTH(FU$2)+1,DAY(FU$2)),SUMIFS(AC_SOTIEN,AC_THANG,FU$2,AC_KM,$E47),SUMIFS(TF_SOTIEN,TF_THANG,FU$2,TF_KM,$E47))/ 1000</f>
        <v>0</v>
      </c>
      <c r="GB47" s="1091" t="str">
        <f t="shared" si="609"/>
        <v/>
      </c>
      <c r="GC47" s="1091"/>
      <c r="GD47" s="1147">
        <f t="shared" si="111"/>
        <v>-1666</v>
      </c>
      <c r="GE47" s="1091">
        <f t="shared" si="112"/>
        <v>-1</v>
      </c>
      <c r="GF47" s="1147">
        <f t="shared" si="113"/>
        <v>-1666</v>
      </c>
      <c r="GG47" s="1091">
        <f t="shared" si="114"/>
        <v>-1</v>
      </c>
      <c r="GH47" s="1146">
        <f>SUMIFS(BP_SOTIEN,BP_THANG,GH$2,BP_KM,$E47)/1000</f>
        <v>1666</v>
      </c>
      <c r="GI47" s="1091" t="str">
        <f t="shared" si="610"/>
        <v/>
      </c>
      <c r="GJ47" s="1091"/>
      <c r="GK47" s="1147">
        <f>IF(NOW()&gt;=DATE(YEAR(GH$2),MONTH(GH$2)+1,DAY(GH$2)),SUMIFS(TF_SOTIEN,TF_THANG,GH$2,TF_KM,$E47)/1000, GN47)</f>
        <v>1666</v>
      </c>
      <c r="GL47" s="1091" t="str">
        <f t="shared" si="611"/>
        <v/>
      </c>
      <c r="GM47" s="1091"/>
      <c r="GN47" s="1147">
        <f>IF(NOW()&gt;=DATE(YEAR(GH$2),MONTH(GH$2)+1,DAY(GH$2)),SUMIFS(AC_SOTIEN,AC_THANG,GH$2,AC_KM,$E47),SUMIFS(TF_SOTIEN,TF_THANG,GH$2,TF_KM,$E47))/ 1000</f>
        <v>0</v>
      </c>
      <c r="GO47" s="1091" t="str">
        <f t="shared" si="612"/>
        <v/>
      </c>
      <c r="GP47" s="1091"/>
      <c r="GQ47" s="1147">
        <f t="shared" si="118"/>
        <v>-1666</v>
      </c>
      <c r="GR47" s="1091">
        <f t="shared" si="119"/>
        <v>-1</v>
      </c>
      <c r="GS47" s="1147">
        <f t="shared" si="120"/>
        <v>-1666</v>
      </c>
      <c r="GT47" s="1091">
        <f t="shared" si="121"/>
        <v>-1</v>
      </c>
      <c r="GU47" s="1146">
        <f>SUMIFS(BP_SOTIEN,BP_THANG,GU$2,BP_KM,$E47)/1000</f>
        <v>1666</v>
      </c>
      <c r="GV47" s="1091" t="str">
        <f t="shared" si="613"/>
        <v/>
      </c>
      <c r="GW47" s="1091"/>
      <c r="GX47" s="1147">
        <f>IF(NOW()&gt;=DATE(YEAR(GU$2),MONTH(GU$2)+1,DAY(GU$2)),SUMIFS(TF_SOTIEN,TF_THANG,GU$2,TF_KM,$E47)/1000, HA47)</f>
        <v>1666</v>
      </c>
      <c r="GY47" s="1091" t="str">
        <f t="shared" si="614"/>
        <v/>
      </c>
      <c r="GZ47" s="1091"/>
      <c r="HA47" s="1147">
        <f>IF(NOW()&gt;=DATE(YEAR(GU$2),MONTH(GU$2)+1,DAY(GU$2)),SUMIFS(AC_SOTIEN,AC_THANG,GU$2,AC_KM,$E47),SUMIFS(TF_SOTIEN,TF_THANG,GU$2,TF_KM,$E47))/ 1000</f>
        <v>0</v>
      </c>
      <c r="HB47" s="1091" t="str">
        <f t="shared" si="615"/>
        <v/>
      </c>
      <c r="HC47" s="1091"/>
      <c r="HD47" s="1147">
        <f t="shared" si="125"/>
        <v>-1666</v>
      </c>
      <c r="HE47" s="1091">
        <f t="shared" si="126"/>
        <v>-1</v>
      </c>
      <c r="HF47" s="1147">
        <f t="shared" si="127"/>
        <v>-1666</v>
      </c>
      <c r="HG47" s="1091">
        <f t="shared" si="128"/>
        <v>-1</v>
      </c>
      <c r="HH47" s="1146">
        <f t="shared" si="267"/>
        <v>4998</v>
      </c>
      <c r="HI47" s="1091" t="str">
        <f t="shared" si="616"/>
        <v/>
      </c>
      <c r="HJ47" s="1091"/>
      <c r="HK47" s="1147">
        <f t="shared" si="270"/>
        <v>4998</v>
      </c>
      <c r="HL47" s="1091" t="str">
        <f t="shared" si="617"/>
        <v/>
      </c>
      <c r="HM47" s="1091"/>
      <c r="HN47" s="1147">
        <f t="shared" si="273"/>
        <v>0</v>
      </c>
      <c r="HO47" s="1091" t="str">
        <f t="shared" si="618"/>
        <v/>
      </c>
      <c r="HP47" s="1091"/>
      <c r="HQ47" s="1147">
        <f t="shared" si="135"/>
        <v>-4998</v>
      </c>
      <c r="HR47" s="1091">
        <f t="shared" si="136"/>
        <v>-1</v>
      </c>
      <c r="HS47" s="1147">
        <f t="shared" si="137"/>
        <v>-4998</v>
      </c>
      <c r="HT47" s="1091">
        <f t="shared" si="138"/>
        <v>-1</v>
      </c>
      <c r="HU47" s="1146">
        <f t="shared" si="276"/>
        <v>9996</v>
      </c>
      <c r="HV47" s="1091" t="str">
        <f t="shared" si="619"/>
        <v/>
      </c>
      <c r="HW47" s="1091"/>
      <c r="HX47" s="1147">
        <f t="shared" si="279"/>
        <v>9996</v>
      </c>
      <c r="HY47" s="1091" t="str">
        <f t="shared" si="620"/>
        <v/>
      </c>
      <c r="HZ47" s="1091"/>
      <c r="IA47" s="1147">
        <f t="shared" si="282"/>
        <v>0</v>
      </c>
      <c r="IB47" s="1091" t="str">
        <f t="shared" si="621"/>
        <v/>
      </c>
      <c r="IC47" s="1091"/>
      <c r="ID47" s="1147">
        <f t="shared" si="145"/>
        <v>-9996</v>
      </c>
      <c r="IE47" s="1091">
        <f t="shared" si="146"/>
        <v>-1</v>
      </c>
      <c r="IF47" s="1147">
        <f t="shared" si="147"/>
        <v>-9996</v>
      </c>
      <c r="IG47" s="1091">
        <f t="shared" si="148"/>
        <v>-1</v>
      </c>
      <c r="IH47" s="1146">
        <f t="shared" si="285"/>
        <v>19992</v>
      </c>
      <c r="II47" s="1091" t="str">
        <f t="shared" si="622"/>
        <v/>
      </c>
      <c r="IJ47" s="1091"/>
      <c r="IK47" s="1147">
        <f t="shared" si="288"/>
        <v>19928</v>
      </c>
      <c r="IL47" s="1091" t="str">
        <f t="shared" si="623"/>
        <v/>
      </c>
      <c r="IM47" s="1091"/>
      <c r="IN47" s="1147">
        <f t="shared" si="291"/>
        <v>25652</v>
      </c>
      <c r="IO47" s="1091">
        <f t="shared" si="624"/>
        <v>0.07544705882</v>
      </c>
      <c r="IP47" s="1091"/>
      <c r="IQ47" s="1147">
        <f t="shared" si="155"/>
        <v>5660</v>
      </c>
      <c r="IR47" s="1091">
        <f t="shared" si="1"/>
        <v>0.2831132453</v>
      </c>
      <c r="IS47" s="1147">
        <f t="shared" si="156"/>
        <v>5724</v>
      </c>
      <c r="IT47" s="1091">
        <f t="shared" si="2"/>
        <v>0.2872340426</v>
      </c>
    </row>
    <row r="48" hidden="1" outlineLevel="1">
      <c r="A48" s="1087"/>
      <c r="B48" s="1087"/>
      <c r="C48" s="1087"/>
      <c r="D48" s="1087" t="s">
        <v>2833</v>
      </c>
      <c r="E48" s="1087" t="s">
        <v>169</v>
      </c>
      <c r="F48" s="1087"/>
      <c r="G48" s="1086">
        <v>2.0</v>
      </c>
      <c r="H48" s="1088">
        <f>SUMIFS(BP_SOTIEN,BP_THANG,H$2,BP_KM,$E48)/1000</f>
        <v>10643</v>
      </c>
      <c r="I48" s="1091" t="str">
        <f t="shared" si="566"/>
        <v/>
      </c>
      <c r="J48" s="1091"/>
      <c r="K48" s="1090">
        <f>IF(NOW()&gt;=DATE(YEAR(H$2),MONTH(H$2)+1,DAY(H$2)),SUMIFS(TF_SOTIEN,TF_THANG,H$2,TF_KM,$E48)/1000, N48)</f>
        <v>10643</v>
      </c>
      <c r="L48" s="1091" t="str">
        <f t="shared" si="567"/>
        <v/>
      </c>
      <c r="M48" s="1091"/>
      <c r="N48" s="1090">
        <f>IF(NOW()&gt;=DATE(YEAR(H$2),MONTH(H$2)+1,DAY(H$2)),SUMIFS(AC_SOTIEN,AC_THANG,H$2,AC_KM,$E48),SUMIFS(TF_SOTIEN,TF_THANG,H$2,TF_KM,$E48))/ 1000</f>
        <v>508000</v>
      </c>
      <c r="O48" s="1091">
        <f t="shared" si="568"/>
        <v>1.494117647</v>
      </c>
      <c r="P48" s="1091">
        <f t="shared" ref="P48:P59" si="658">IFERROR(N48/N$42,"")</f>
        <v>0.7091747026</v>
      </c>
      <c r="Q48" s="1090">
        <f t="shared" si="8"/>
        <v>497357</v>
      </c>
      <c r="R48" s="1091">
        <f t="shared" si="9"/>
        <v>46.73090294</v>
      </c>
      <c r="S48" s="1090">
        <f t="shared" si="10"/>
        <v>497357</v>
      </c>
      <c r="T48" s="1091">
        <f t="shared" si="11"/>
        <v>46.73090294</v>
      </c>
      <c r="U48" s="1088">
        <f>SUMIFS(BP_SOTIEN,BP_THANG,U$2,BP_KM,$E48)/1000</f>
        <v>10643</v>
      </c>
      <c r="V48" s="1091" t="str">
        <f t="shared" si="569"/>
        <v/>
      </c>
      <c r="W48" s="1091"/>
      <c r="X48" s="1090">
        <f>IF(NOW()&gt;=DATE(YEAR(U$2),MONTH(U$2)+1,DAY(U$2)),SUMIFS(TF_SOTIEN,TF_THANG,U$2,TF_KM,$E48)/1000, AA48)</f>
        <v>20000</v>
      </c>
      <c r="Y48" s="1091" t="str">
        <f t="shared" si="570"/>
        <v/>
      </c>
      <c r="Z48" s="1091"/>
      <c r="AA48" s="1090">
        <f>IF(NOW()&gt;=DATE(YEAR(U$2),MONTH(U$2)+1,DAY(U$2)),SUMIFS(AC_SOTIEN,AC_THANG,U$2,AC_KM,$E48),SUMIFS(TF_SOTIEN,TF_THANG,U$2,TF_KM,$E48))/ 1000</f>
        <v>20000</v>
      </c>
      <c r="AB48" s="1091" t="str">
        <f t="shared" si="571"/>
        <v/>
      </c>
      <c r="AC48" s="1091">
        <f t="shared" ref="AC48:AC59" si="659">IFERROR(AA48/AA$42,"")</f>
        <v>0.1194824734</v>
      </c>
      <c r="AD48" s="1090">
        <f t="shared" si="15"/>
        <v>9357</v>
      </c>
      <c r="AE48" s="1091">
        <f t="shared" si="16"/>
        <v>0.8791694071</v>
      </c>
      <c r="AF48" s="1090">
        <f t="shared" si="17"/>
        <v>0</v>
      </c>
      <c r="AG48" s="1091">
        <f t="shared" si="18"/>
        <v>0</v>
      </c>
      <c r="AH48" s="1088">
        <f>SUMIFS(BP_SOTIEN,BP_THANG,AH$2,BP_KM,$E48)/1000</f>
        <v>10643</v>
      </c>
      <c r="AI48" s="1091" t="str">
        <f t="shared" si="572"/>
        <v/>
      </c>
      <c r="AJ48" s="1091"/>
      <c r="AK48" s="1090">
        <f>IF(NOW()&gt;=DATE(YEAR(AH$2),MONTH(AH$2)+1,DAY(AH$2)),SUMIFS(TF_SOTIEN,TF_THANG,AH$2,TF_KM,$E48)/1000, AN48)</f>
        <v>15000</v>
      </c>
      <c r="AL48" s="1091" t="str">
        <f t="shared" si="573"/>
        <v/>
      </c>
      <c r="AM48" s="1091"/>
      <c r="AN48" s="1090">
        <f>IF(NOW()&gt;=DATE(YEAR(AH$2),MONTH(AH$2)+1,DAY(AH$2)),SUMIFS(AC_SOTIEN,AC_THANG,AH$2,AC_KM,$E48),SUMIFS(TF_SOTIEN,TF_THANG,AH$2,TF_KM,$E48))/ 1000</f>
        <v>37736</v>
      </c>
      <c r="AO48" s="1091" t="str">
        <f t="shared" si="574"/>
        <v/>
      </c>
      <c r="AP48" s="1091">
        <f t="shared" ref="AP48:AP59" si="660">IFERROR(AN48/AN$42,"")</f>
        <v>0.06193348874</v>
      </c>
      <c r="AQ48" s="1090">
        <f t="shared" si="22"/>
        <v>27093</v>
      </c>
      <c r="AR48" s="1091">
        <f t="shared" si="23"/>
        <v>2.545616837</v>
      </c>
      <c r="AS48" s="1090">
        <f t="shared" si="24"/>
        <v>22736</v>
      </c>
      <c r="AT48" s="1091">
        <f t="shared" si="25"/>
        <v>1.515733333</v>
      </c>
      <c r="AU48" s="1088">
        <f t="shared" si="177"/>
        <v>31929</v>
      </c>
      <c r="AV48" s="1091" t="str">
        <f t="shared" si="575"/>
        <v/>
      </c>
      <c r="AW48" s="1091">
        <f t="shared" ref="AW48:AW59" si="661">IFERROR(AU48/AU$42,"")</f>
        <v>0.2001692684</v>
      </c>
      <c r="AX48" s="1090">
        <f t="shared" si="180"/>
        <v>45643</v>
      </c>
      <c r="AY48" s="1091" t="str">
        <f t="shared" si="576"/>
        <v/>
      </c>
      <c r="AZ48" s="1091">
        <f t="shared" ref="AZ48:AZ59" si="662">IFERROR(AX48/AX$42,"")</f>
        <v>0.1226979075</v>
      </c>
      <c r="BA48" s="1090">
        <f t="shared" si="444"/>
        <v>565736</v>
      </c>
      <c r="BB48" s="1091">
        <f t="shared" si="577"/>
        <v>1.663929412</v>
      </c>
      <c r="BC48" s="1091">
        <f t="shared" ref="BC48:BC59" si="663">IFERROR(BA48/BA$42,"")</f>
        <v>0.3789223615</v>
      </c>
      <c r="BD48" s="1090">
        <f t="shared" si="32"/>
        <v>533807</v>
      </c>
      <c r="BE48" s="1091">
        <f t="shared" si="33"/>
        <v>16.71856306</v>
      </c>
      <c r="BF48" s="1090">
        <f t="shared" si="34"/>
        <v>520093</v>
      </c>
      <c r="BG48" s="1091">
        <f t="shared" si="35"/>
        <v>11.39480315</v>
      </c>
      <c r="BH48" s="1088">
        <f>SUMIFS(BP_SOTIEN,BP_THANG,BH$2,BP_KM,$E48)/1000</f>
        <v>10643</v>
      </c>
      <c r="BI48" s="1091" t="str">
        <f t="shared" si="578"/>
        <v/>
      </c>
      <c r="BJ48" s="1091"/>
      <c r="BK48" s="1090">
        <f>IF(NOW()&gt;=DATE(YEAR(BH$2),MONTH(BH$2)+1,DAY(BH$2)),SUMIFS(TF_SOTIEN,TF_THANG,BH$2,TF_KM,$E48)/1000, BN48)</f>
        <v>53000</v>
      </c>
      <c r="BL48" s="1091" t="str">
        <f t="shared" si="579"/>
        <v/>
      </c>
      <c r="BM48" s="1091"/>
      <c r="BN48" s="1090">
        <f>IF(NOW()&gt;=DATE(YEAR(BH$2),MONTH(BH$2)+1,DAY(BH$2)),SUMIFS(AC_SOTIEN,AC_THANG,BH$2,AC_KM,$E48),SUMIFS(TF_SOTIEN,TF_THANG,BH$2,TF_KM,$E48))/ 1000</f>
        <v>63737</v>
      </c>
      <c r="BO48" s="1091" t="str">
        <f t="shared" si="580"/>
        <v/>
      </c>
      <c r="BP48" s="1091">
        <f t="shared" ref="BP48:BP59" si="664">IFERROR(BN48/BN$42,"")</f>
        <v>0.0537813656</v>
      </c>
      <c r="BQ48" s="1090">
        <f t="shared" si="39"/>
        <v>53094</v>
      </c>
      <c r="BR48" s="1091">
        <f t="shared" si="40"/>
        <v>4.988631025</v>
      </c>
      <c r="BS48" s="1090">
        <f t="shared" si="41"/>
        <v>10737</v>
      </c>
      <c r="BT48" s="1091">
        <f t="shared" si="42"/>
        <v>0.2025849057</v>
      </c>
      <c r="BU48" s="1088">
        <f>SUMIFS(BP_SOTIEN,BP_THANG,BU$2,BP_KM,$E48)/1000</f>
        <v>10643</v>
      </c>
      <c r="BV48" s="1091" t="str">
        <f t="shared" si="581"/>
        <v/>
      </c>
      <c r="BW48" s="1091"/>
      <c r="BX48" s="1090">
        <f>IF(NOW()&gt;=DATE(YEAR(BU$2),MONTH(BU$2)+1,DAY(BU$2)),SUMIFS(TF_SOTIEN,TF_THANG,BU$2,TF_KM,$E48)/1000, CA48)</f>
        <v>56760</v>
      </c>
      <c r="BY48" s="1091" t="str">
        <f t="shared" si="582"/>
        <v/>
      </c>
      <c r="BZ48" s="1091"/>
      <c r="CA48" s="1090">
        <f>IF(NOW()&gt;=DATE(YEAR(BU$2),MONTH(BU$2)+1,DAY(BU$2)),SUMIFS(AC_SOTIEN,AC_THANG,BU$2,AC_KM,$E48),SUMIFS(TF_SOTIEN,TF_THANG,BU$2,TF_KM,$E48))/ 1000</f>
        <v>80133.999</v>
      </c>
      <c r="CB48" s="1091" t="str">
        <f t="shared" si="583"/>
        <v/>
      </c>
      <c r="CC48" s="1091">
        <f t="shared" ref="CC48:CC59" si="665">IFERROR(CA48/CA$42,"")</f>
        <v>0.149051424</v>
      </c>
      <c r="CD48" s="1090">
        <f t="shared" si="46"/>
        <v>69490.999</v>
      </c>
      <c r="CE48" s="1091">
        <f t="shared" si="47"/>
        <v>6.52926797</v>
      </c>
      <c r="CF48" s="1090">
        <f t="shared" si="48"/>
        <v>23373.999</v>
      </c>
      <c r="CG48" s="1091">
        <f t="shared" si="49"/>
        <v>0.4118040698</v>
      </c>
      <c r="CH48" s="1088">
        <f>SUMIFS(BP_SOTIEN,BP_THANG,CH$2,BP_KM,$E48)/1000</f>
        <v>10643</v>
      </c>
      <c r="CI48" s="1091" t="str">
        <f t="shared" si="584"/>
        <v/>
      </c>
      <c r="CJ48" s="1091"/>
      <c r="CK48" s="1090">
        <f>IF(NOW()&gt;=DATE(YEAR(CH$2),MONTH(CH$2)+1,DAY(CH$2)),SUMIFS(TF_SOTIEN,TF_THANG,CH$2,TF_KM,$E48)/1000, CN48)</f>
        <v>10643</v>
      </c>
      <c r="CL48" s="1091" t="str">
        <f t="shared" si="585"/>
        <v/>
      </c>
      <c r="CM48" s="1091"/>
      <c r="CN48" s="1090">
        <f>IF(NOW()&gt;=DATE(YEAR(CH$2),MONTH(CH$2)+1,DAY(CH$2)),SUMIFS(AC_SOTIEN,AC_THANG,CH$2,AC_KM,$E48),SUMIFS(TF_SOTIEN,TF_THANG,CH$2,TF_KM,$E48))/ 1000</f>
        <v>0</v>
      </c>
      <c r="CO48" s="1091" t="str">
        <f t="shared" si="586"/>
        <v/>
      </c>
      <c r="CP48" s="1091" t="str">
        <f t="shared" ref="CP48:CP59" si="666">IFERROR(CN48/CN$42,"")</f>
        <v/>
      </c>
      <c r="CQ48" s="1090">
        <f t="shared" si="53"/>
        <v>-10643</v>
      </c>
      <c r="CR48" s="1091">
        <f t="shared" si="54"/>
        <v>-1</v>
      </c>
      <c r="CS48" s="1090">
        <f t="shared" si="55"/>
        <v>-10643</v>
      </c>
      <c r="CT48" s="1091">
        <f t="shared" si="56"/>
        <v>-1</v>
      </c>
      <c r="CU48" s="1088">
        <f t="shared" si="204"/>
        <v>31929</v>
      </c>
      <c r="CV48" s="1091" t="str">
        <f t="shared" si="587"/>
        <v/>
      </c>
      <c r="CW48" s="1091">
        <f t="shared" ref="CW48:CW59" si="667">IFERROR(CU48/CU$42,"")</f>
        <v>0.001380384609</v>
      </c>
      <c r="CX48" s="1090">
        <f t="shared" si="588"/>
        <v>120403</v>
      </c>
      <c r="CY48" s="1091" t="str">
        <f t="shared" si="589"/>
        <v/>
      </c>
      <c r="CZ48" s="1091">
        <f t="shared" ref="CZ48:CZ59" si="668">IFERROR(CX48/CX$42,"")</f>
        <v>0.01587915242</v>
      </c>
      <c r="DA48" s="1090">
        <f t="shared" si="590"/>
        <v>143870.999</v>
      </c>
      <c r="DB48" s="1091" t="str">
        <f t="shared" si="591"/>
        <v/>
      </c>
      <c r="DC48" s="1091">
        <f t="shared" ref="DC48:DC59" si="669">IFERROR(DA48/DA$42,"")</f>
        <v>0.08351291072</v>
      </c>
      <c r="DD48" s="1090">
        <f t="shared" si="63"/>
        <v>111941.999</v>
      </c>
      <c r="DE48" s="1091">
        <f t="shared" si="64"/>
        <v>3.505966332</v>
      </c>
      <c r="DF48" s="1090">
        <f t="shared" si="65"/>
        <v>23467.999</v>
      </c>
      <c r="DG48" s="1091">
        <f t="shared" si="66"/>
        <v>0.1949120786</v>
      </c>
      <c r="DH48" s="1088">
        <f t="shared" si="213"/>
        <v>63858</v>
      </c>
      <c r="DI48" s="1091" t="str">
        <f t="shared" si="592"/>
        <v/>
      </c>
      <c r="DJ48" s="1091">
        <f t="shared" ref="DJ48:DJ59" si="670">IFERROR(DH48/DH$42,"")</f>
        <v>0.002741861106</v>
      </c>
      <c r="DK48" s="1090">
        <f t="shared" si="216"/>
        <v>166046</v>
      </c>
      <c r="DL48" s="1091" t="str">
        <f t="shared" si="593"/>
        <v/>
      </c>
      <c r="DM48" s="1091">
        <f t="shared" ref="DM48:DM59" si="671">IFERROR(DK48/DK$42,"")</f>
        <v>0.02087459812</v>
      </c>
      <c r="DN48" s="1090">
        <f t="shared" si="219"/>
        <v>709606.999</v>
      </c>
      <c r="DO48" s="1091">
        <f t="shared" si="594"/>
        <v>2.087079409</v>
      </c>
      <c r="DP48" s="1091">
        <f t="shared" ref="DP48:DP59" si="672">IFERROR(DN48/DN$42,"")</f>
        <v>0.2206659195</v>
      </c>
      <c r="DQ48" s="1090">
        <f t="shared" si="73"/>
        <v>645748.999</v>
      </c>
      <c r="DR48" s="1091">
        <f t="shared" si="74"/>
        <v>10.1122647</v>
      </c>
      <c r="DS48" s="1090">
        <f t="shared" si="75"/>
        <v>543560.999</v>
      </c>
      <c r="DT48" s="1091">
        <f t="shared" si="76"/>
        <v>3.273556719</v>
      </c>
      <c r="DU48" s="1088">
        <f>SUMIFS(BP_SOTIEN,BP_THANG,DU$2,BP_KM,$E48)/1000</f>
        <v>10643</v>
      </c>
      <c r="DV48" s="1091" t="str">
        <f t="shared" si="595"/>
        <v/>
      </c>
      <c r="DW48" s="1091"/>
      <c r="DX48" s="1090">
        <f>IF(NOW()&gt;=DATE(YEAR(DU$2),MONTH(DU$2)+1,DAY(DU$2)),SUMIFS(TF_SOTIEN,TF_THANG,DU$2,TF_KM,$E48)/1000, EA48)</f>
        <v>10643</v>
      </c>
      <c r="DY48" s="1091" t="str">
        <f t="shared" si="596"/>
        <v/>
      </c>
      <c r="DZ48" s="1091"/>
      <c r="EA48" s="1090">
        <f>IF(NOW()&gt;=DATE(YEAR(DU$2),MONTH(DU$2)+1,DAY(DU$2)),SUMIFS(AC_SOTIEN,AC_THANG,DU$2,AC_KM,$E48),SUMIFS(TF_SOTIEN,TF_THANG,DU$2,TF_KM,$E48))/ 1000</f>
        <v>0</v>
      </c>
      <c r="EB48" s="1091" t="str">
        <f t="shared" si="597"/>
        <v/>
      </c>
      <c r="EC48" s="1091" t="str">
        <f t="shared" ref="EC48:EC59" si="673">IFERROR(EA48/EA$42,"")</f>
        <v/>
      </c>
      <c r="ED48" s="1090">
        <f t="shared" si="80"/>
        <v>-10643</v>
      </c>
      <c r="EE48" s="1091">
        <f t="shared" si="81"/>
        <v>-1</v>
      </c>
      <c r="EF48" s="1090">
        <f t="shared" si="82"/>
        <v>-10643</v>
      </c>
      <c r="EG48" s="1091">
        <f t="shared" si="83"/>
        <v>-1</v>
      </c>
      <c r="EH48" s="1088">
        <f>SUMIFS(BP_SOTIEN,BP_THANG,EH$2,BP_KM,$E48)/1000</f>
        <v>10643</v>
      </c>
      <c r="EI48" s="1091" t="str">
        <f t="shared" si="598"/>
        <v/>
      </c>
      <c r="EJ48" s="1091"/>
      <c r="EK48" s="1090">
        <f>IF(NOW()&gt;=DATE(YEAR(EH$2),MONTH(EH$2)+1,DAY(EH$2)),SUMIFS(TF_SOTIEN,TF_THANG,EH$2,TF_KM,$E48)/1000, EN48)</f>
        <v>10643</v>
      </c>
      <c r="EL48" s="1091" t="str">
        <f t="shared" si="599"/>
        <v/>
      </c>
      <c r="EM48" s="1091"/>
      <c r="EN48" s="1090">
        <f>IF(NOW()&gt;=DATE(YEAR(EH$2),MONTH(EH$2)+1,DAY(EH$2)),SUMIFS(AC_SOTIEN,AC_THANG,EH$2,AC_KM,$E48),SUMIFS(TF_SOTIEN,TF_THANG,EH$2,TF_KM,$E48))/ 1000</f>
        <v>0</v>
      </c>
      <c r="EO48" s="1091" t="str">
        <f t="shared" si="600"/>
        <v/>
      </c>
      <c r="EP48" s="1091" t="str">
        <f t="shared" ref="EP48:EP59" si="674">IFERROR(EN48/EN$42,"")</f>
        <v/>
      </c>
      <c r="EQ48" s="1090">
        <f t="shared" si="87"/>
        <v>-10643</v>
      </c>
      <c r="ER48" s="1091">
        <f t="shared" si="88"/>
        <v>-1</v>
      </c>
      <c r="ES48" s="1090">
        <f t="shared" si="89"/>
        <v>-10643</v>
      </c>
      <c r="ET48" s="1091">
        <f t="shared" si="90"/>
        <v>-1</v>
      </c>
      <c r="EU48" s="1088">
        <f>SUMIFS(BP_SOTIEN,BP_THANG,EU$2,BP_KM,$E48)/1000</f>
        <v>10643</v>
      </c>
      <c r="EV48" s="1091" t="str">
        <f t="shared" si="601"/>
        <v/>
      </c>
      <c r="EW48" s="1091"/>
      <c r="EX48" s="1090">
        <f>IF(NOW()&gt;=DATE(YEAR(EU$2),MONTH(EU$2)+1,DAY(EU$2)),SUMIFS(TF_SOTIEN,TF_THANG,EU$2,TF_KM,$E48)/1000, FA48)</f>
        <v>10643</v>
      </c>
      <c r="EY48" s="1091" t="str">
        <f t="shared" si="602"/>
        <v/>
      </c>
      <c r="EZ48" s="1091"/>
      <c r="FA48" s="1090">
        <f>IF(NOW()&gt;=DATE(YEAR(EU$2),MONTH(EU$2)+1,DAY(EU$2)),SUMIFS(AC_SOTIEN,AC_THANG,EU$2,AC_KM,$E48),SUMIFS(TF_SOTIEN,TF_THANG,EU$2,TF_KM,$E48))/ 1000</f>
        <v>0</v>
      </c>
      <c r="FB48" s="1091" t="str">
        <f t="shared" si="603"/>
        <v/>
      </c>
      <c r="FC48" s="1091" t="str">
        <f t="shared" ref="FC48:FC59" si="675">IFERROR(FA48/FA$42,"")</f>
        <v/>
      </c>
      <c r="FD48" s="1090">
        <f t="shared" si="94"/>
        <v>-10643</v>
      </c>
      <c r="FE48" s="1091">
        <f t="shared" si="95"/>
        <v>-1</v>
      </c>
      <c r="FF48" s="1090">
        <f t="shared" si="96"/>
        <v>-10643</v>
      </c>
      <c r="FG48" s="1091">
        <f t="shared" si="97"/>
        <v>-1</v>
      </c>
      <c r="FH48" s="1088">
        <f t="shared" si="240"/>
        <v>31929</v>
      </c>
      <c r="FI48" s="1091" t="str">
        <f t="shared" si="604"/>
        <v/>
      </c>
      <c r="FJ48" s="1091">
        <f t="shared" ref="FJ48:FJ59" si="676">IFERROR(FH48/FH$42,"")</f>
        <v>0.001380384609</v>
      </c>
      <c r="FK48" s="1090">
        <f t="shared" si="243"/>
        <v>31929</v>
      </c>
      <c r="FL48" s="1091" t="str">
        <f t="shared" si="605"/>
        <v/>
      </c>
      <c r="FM48" s="1091">
        <f t="shared" ref="FM48:FM59" si="677">IFERROR(FK48/FK$42,"")</f>
        <v>0.001380384609</v>
      </c>
      <c r="FN48" s="1090">
        <f t="shared" si="246"/>
        <v>0</v>
      </c>
      <c r="FO48" s="1091" t="str">
        <f t="shared" si="606"/>
        <v/>
      </c>
      <c r="FP48" s="1091" t="str">
        <f t="shared" ref="FP48:FP59" si="678">IFERROR(FN48/FN$42,"")</f>
        <v/>
      </c>
      <c r="FQ48" s="1090">
        <f t="shared" si="104"/>
        <v>-31929</v>
      </c>
      <c r="FR48" s="1091">
        <f t="shared" si="105"/>
        <v>-1</v>
      </c>
      <c r="FS48" s="1090">
        <f t="shared" si="106"/>
        <v>-31929</v>
      </c>
      <c r="FT48" s="1091">
        <f t="shared" si="107"/>
        <v>-1</v>
      </c>
      <c r="FU48" s="1088">
        <f>SUMIFS(BP_SOTIEN,BP_THANG,FU$2,BP_KM,$E48)/1000</f>
        <v>10643</v>
      </c>
      <c r="FV48" s="1091" t="str">
        <f t="shared" si="607"/>
        <v/>
      </c>
      <c r="FW48" s="1091"/>
      <c r="FX48" s="1090">
        <f>IF(NOW()&gt;=DATE(YEAR(FU$2),MONTH(FU$2)+1,DAY(FU$2)),SUMIFS(TF_SOTIEN,TF_THANG,FU$2,TF_KM,$E48)/1000, GA48)</f>
        <v>10643</v>
      </c>
      <c r="FY48" s="1091" t="str">
        <f t="shared" si="608"/>
        <v/>
      </c>
      <c r="FZ48" s="1091"/>
      <c r="GA48" s="1090">
        <f>IF(NOW()&gt;=DATE(YEAR(FU$2),MONTH(FU$2)+1,DAY(FU$2)),SUMIFS(AC_SOTIEN,AC_THANG,FU$2,AC_KM,$E48),SUMIFS(TF_SOTIEN,TF_THANG,FU$2,TF_KM,$E48))/ 1000</f>
        <v>0</v>
      </c>
      <c r="GB48" s="1091" t="str">
        <f t="shared" si="609"/>
        <v/>
      </c>
      <c r="GC48" s="1091" t="str">
        <f t="shared" ref="GC48:GC59" si="679">IFERROR(GA48/GA$42,"")</f>
        <v/>
      </c>
      <c r="GD48" s="1090">
        <f t="shared" si="111"/>
        <v>-10643</v>
      </c>
      <c r="GE48" s="1091">
        <f t="shared" si="112"/>
        <v>-1</v>
      </c>
      <c r="GF48" s="1090">
        <f t="shared" si="113"/>
        <v>-10643</v>
      </c>
      <c r="GG48" s="1091">
        <f t="shared" si="114"/>
        <v>-1</v>
      </c>
      <c r="GH48" s="1088">
        <f>SUMIFS(BP_SOTIEN,BP_THANG,GH$2,BP_KM,$E48)/1000</f>
        <v>10643</v>
      </c>
      <c r="GI48" s="1091" t="str">
        <f t="shared" si="610"/>
        <v/>
      </c>
      <c r="GJ48" s="1091"/>
      <c r="GK48" s="1090">
        <f>IF(NOW()&gt;=DATE(YEAR(GH$2),MONTH(GH$2)+1,DAY(GH$2)),SUMIFS(TF_SOTIEN,TF_THANG,GH$2,TF_KM,$E48)/1000, GN48)</f>
        <v>10643</v>
      </c>
      <c r="GL48" s="1091" t="str">
        <f t="shared" si="611"/>
        <v/>
      </c>
      <c r="GM48" s="1091"/>
      <c r="GN48" s="1090">
        <f>IF(NOW()&gt;=DATE(YEAR(GH$2),MONTH(GH$2)+1,DAY(GH$2)),SUMIFS(AC_SOTIEN,AC_THANG,GH$2,AC_KM,$E48),SUMIFS(TF_SOTIEN,TF_THANG,GH$2,TF_KM,$E48))/ 1000</f>
        <v>0</v>
      </c>
      <c r="GO48" s="1091" t="str">
        <f t="shared" si="612"/>
        <v/>
      </c>
      <c r="GP48" s="1091" t="str">
        <f t="shared" ref="GP48:GP59" si="680">IFERROR(GN48/GN$42,"")</f>
        <v/>
      </c>
      <c r="GQ48" s="1090">
        <f t="shared" si="118"/>
        <v>-10643</v>
      </c>
      <c r="GR48" s="1091">
        <f t="shared" si="119"/>
        <v>-1</v>
      </c>
      <c r="GS48" s="1090">
        <f t="shared" si="120"/>
        <v>-10643</v>
      </c>
      <c r="GT48" s="1091">
        <f t="shared" si="121"/>
        <v>-1</v>
      </c>
      <c r="GU48" s="1088">
        <f>SUMIFS(BP_SOTIEN,BP_THANG,GU$2,BP_KM,$E48)/1000</f>
        <v>10643</v>
      </c>
      <c r="GV48" s="1091" t="str">
        <f t="shared" si="613"/>
        <v/>
      </c>
      <c r="GW48" s="1091"/>
      <c r="GX48" s="1090">
        <f>IF(NOW()&gt;=DATE(YEAR(GU$2),MONTH(GU$2)+1,DAY(GU$2)),SUMIFS(TF_SOTIEN,TF_THANG,GU$2,TF_KM,$E48)/1000, HA48)</f>
        <v>10643</v>
      </c>
      <c r="GY48" s="1091" t="str">
        <f t="shared" si="614"/>
        <v/>
      </c>
      <c r="GZ48" s="1091"/>
      <c r="HA48" s="1090">
        <f>IF(NOW()&gt;=DATE(YEAR(GU$2),MONTH(GU$2)+1,DAY(GU$2)),SUMIFS(AC_SOTIEN,AC_THANG,GU$2,AC_KM,$E48),SUMIFS(TF_SOTIEN,TF_THANG,GU$2,TF_KM,$E48))/ 1000</f>
        <v>0</v>
      </c>
      <c r="HB48" s="1091" t="str">
        <f t="shared" si="615"/>
        <v/>
      </c>
      <c r="HC48" s="1091" t="str">
        <f t="shared" ref="HC48:HC59" si="681">IFERROR(HA48/HA$42,"")</f>
        <v/>
      </c>
      <c r="HD48" s="1090">
        <f t="shared" si="125"/>
        <v>-10643</v>
      </c>
      <c r="HE48" s="1091">
        <f t="shared" si="126"/>
        <v>-1</v>
      </c>
      <c r="HF48" s="1090">
        <f t="shared" si="127"/>
        <v>-10643</v>
      </c>
      <c r="HG48" s="1091">
        <f t="shared" si="128"/>
        <v>-1</v>
      </c>
      <c r="HH48" s="1088">
        <f t="shared" si="267"/>
        <v>31929</v>
      </c>
      <c r="HI48" s="1091" t="str">
        <f t="shared" si="616"/>
        <v/>
      </c>
      <c r="HJ48" s="1091">
        <f t="shared" ref="HJ48:HJ59" si="682">IFERROR(HH48/HH$42,"")</f>
        <v>0.001380384609</v>
      </c>
      <c r="HK48" s="1090">
        <f t="shared" si="270"/>
        <v>31929</v>
      </c>
      <c r="HL48" s="1091" t="str">
        <f t="shared" si="617"/>
        <v/>
      </c>
      <c r="HM48" s="1091">
        <f t="shared" ref="HM48:HM59" si="683">IFERROR(HK48/HK$42,"")</f>
        <v>0.001380384609</v>
      </c>
      <c r="HN48" s="1090">
        <f t="shared" si="273"/>
        <v>0</v>
      </c>
      <c r="HO48" s="1091" t="str">
        <f t="shared" si="618"/>
        <v/>
      </c>
      <c r="HP48" s="1091" t="str">
        <f t="shared" ref="HP48:HP59" si="684">IFERROR(HN48/HN$42,"")</f>
        <v/>
      </c>
      <c r="HQ48" s="1090">
        <f t="shared" si="135"/>
        <v>-31929</v>
      </c>
      <c r="HR48" s="1091">
        <f t="shared" si="136"/>
        <v>-1</v>
      </c>
      <c r="HS48" s="1090">
        <f t="shared" si="137"/>
        <v>-31929</v>
      </c>
      <c r="HT48" s="1091">
        <f t="shared" si="138"/>
        <v>-1</v>
      </c>
      <c r="HU48" s="1088">
        <f t="shared" si="276"/>
        <v>63858</v>
      </c>
      <c r="HV48" s="1091" t="str">
        <f t="shared" si="619"/>
        <v/>
      </c>
      <c r="HW48" s="1091">
        <f t="shared" ref="HW48:HW59" si="685">IFERROR(HU48/HU$42,"")</f>
        <v>0.001380384609</v>
      </c>
      <c r="HX48" s="1090">
        <f t="shared" si="279"/>
        <v>63858</v>
      </c>
      <c r="HY48" s="1091" t="str">
        <f t="shared" si="620"/>
        <v/>
      </c>
      <c r="HZ48" s="1091">
        <f t="shared" ref="HZ48:HZ59" si="686">IFERROR(HX48/HX$42,"")</f>
        <v>0.001380384609</v>
      </c>
      <c r="IA48" s="1090">
        <f t="shared" si="282"/>
        <v>0</v>
      </c>
      <c r="IB48" s="1091" t="str">
        <f t="shared" si="621"/>
        <v/>
      </c>
      <c r="IC48" s="1091" t="str">
        <f t="shared" ref="IC48:IC59" si="687">IFERROR(IA48/IA$42,"")</f>
        <v/>
      </c>
      <c r="ID48" s="1090">
        <f t="shared" si="145"/>
        <v>-63858</v>
      </c>
      <c r="IE48" s="1091">
        <f t="shared" si="146"/>
        <v>-1</v>
      </c>
      <c r="IF48" s="1090">
        <f t="shared" si="147"/>
        <v>-63858</v>
      </c>
      <c r="IG48" s="1091">
        <f t="shared" si="148"/>
        <v>-1</v>
      </c>
      <c r="IH48" s="1088">
        <f t="shared" si="285"/>
        <v>127716</v>
      </c>
      <c r="II48" s="1091" t="str">
        <f t="shared" si="622"/>
        <v/>
      </c>
      <c r="IJ48" s="1091">
        <f t="shared" ref="IJ48:IJ59" si="688">IFERROR(IH48/IH$42,"")</f>
        <v>0.001836291736</v>
      </c>
      <c r="IK48" s="1090">
        <f t="shared" si="288"/>
        <v>229904</v>
      </c>
      <c r="IL48" s="1091" t="str">
        <f t="shared" si="623"/>
        <v/>
      </c>
      <c r="IM48" s="1091">
        <f t="shared" ref="IM48:IM59" si="689">IFERROR(IK48/IK$42,"")</f>
        <v>0.00424056066</v>
      </c>
      <c r="IN48" s="1090">
        <f t="shared" si="291"/>
        <v>709606.999</v>
      </c>
      <c r="IO48" s="1091">
        <f t="shared" si="624"/>
        <v>2.087079409</v>
      </c>
      <c r="IP48" s="1091">
        <f t="shared" ref="IP48:IP59" si="690">IFERROR(IN48/IN$42,"")</f>
        <v>0.2206659195</v>
      </c>
      <c r="IQ48" s="1090">
        <f t="shared" si="155"/>
        <v>581890.999</v>
      </c>
      <c r="IR48" s="1091">
        <f t="shared" si="1"/>
        <v>4.556132348</v>
      </c>
      <c r="IS48" s="1090">
        <f t="shared" si="156"/>
        <v>479702.999</v>
      </c>
      <c r="IT48" s="1091">
        <f t="shared" si="2"/>
        <v>2.086536115</v>
      </c>
    </row>
    <row r="49" hidden="1" outlineLevel="1">
      <c r="A49" s="1087"/>
      <c r="B49" s="1087"/>
      <c r="C49" s="1087"/>
      <c r="D49" s="1087" t="s">
        <v>2834</v>
      </c>
      <c r="E49" s="1087" t="s">
        <v>174</v>
      </c>
      <c r="F49" s="1086">
        <v>641.0</v>
      </c>
      <c r="G49" s="1086">
        <v>2.0</v>
      </c>
      <c r="H49" s="1088">
        <f>SUMIFS(BP_SOTIEN,BP_THANG,H$2,BP_KM,$E49)/1000</f>
        <v>40861</v>
      </c>
      <c r="I49" s="1091" t="str">
        <f t="shared" si="566"/>
        <v/>
      </c>
      <c r="J49" s="1091"/>
      <c r="K49" s="1090">
        <f>IF(NOW()&gt;=DATE(YEAR(H$2),MONTH(H$2)+1,DAY(H$2)),SUMIFS(TF_SOTIEN,TF_THANG,H$2,TF_KM,$E49)/1000, N49)</f>
        <v>40861</v>
      </c>
      <c r="L49" s="1091" t="str">
        <f t="shared" si="567"/>
        <v/>
      </c>
      <c r="M49" s="1091"/>
      <c r="N49" s="1090">
        <f>IF(NOW()&gt;=DATE(YEAR(H$2),MONTH(H$2)+1,DAY(H$2)),SUMIFS(AC_SOTIEN,AC_THANG,H$2,AC_KM,$E49),SUMIFS(TF_SOTIEN,TF_THANG,H$2,TF_KM,$E49))/ 1000</f>
        <v>19496.223</v>
      </c>
      <c r="O49" s="1091">
        <f t="shared" si="568"/>
        <v>0.05734183235</v>
      </c>
      <c r="P49" s="1091">
        <f t="shared" si="658"/>
        <v>0.02721698454</v>
      </c>
      <c r="Q49" s="1090">
        <f t="shared" si="8"/>
        <v>-21364.777</v>
      </c>
      <c r="R49" s="1091">
        <f t="shared" si="9"/>
        <v>-0.522864761</v>
      </c>
      <c r="S49" s="1090">
        <f t="shared" si="10"/>
        <v>-21364.777</v>
      </c>
      <c r="T49" s="1091">
        <f t="shared" si="11"/>
        <v>-0.522864761</v>
      </c>
      <c r="U49" s="1088">
        <f>SUMIFS(BP_SOTIEN,BP_THANG,U$2,BP_KM,$E49)/1000</f>
        <v>40861</v>
      </c>
      <c r="V49" s="1091" t="str">
        <f t="shared" si="569"/>
        <v/>
      </c>
      <c r="W49" s="1091"/>
      <c r="X49" s="1090">
        <f>IF(NOW()&gt;=DATE(YEAR(U$2),MONTH(U$2)+1,DAY(U$2)),SUMIFS(TF_SOTIEN,TF_THANG,U$2,TF_KM,$E49)/1000, AA49)</f>
        <v>11161.8</v>
      </c>
      <c r="Y49" s="1091" t="str">
        <f t="shared" si="570"/>
        <v/>
      </c>
      <c r="Z49" s="1091"/>
      <c r="AA49" s="1090">
        <f>IF(NOW()&gt;=DATE(YEAR(U$2),MONTH(U$2)+1,DAY(U$2)),SUMIFS(AC_SOTIEN,AC_THANG,U$2,AC_KM,$E49),SUMIFS(TF_SOTIEN,TF_THANG,U$2,TF_KM,$E49))/ 1000</f>
        <v>11107.9</v>
      </c>
      <c r="AB49" s="1091" t="str">
        <f t="shared" si="571"/>
        <v/>
      </c>
      <c r="AC49" s="1091">
        <f t="shared" si="659"/>
        <v>0.0663599683</v>
      </c>
      <c r="AD49" s="1090">
        <f t="shared" si="15"/>
        <v>-29753.1</v>
      </c>
      <c r="AE49" s="1091">
        <f t="shared" si="16"/>
        <v>-0.7281539855</v>
      </c>
      <c r="AF49" s="1090">
        <f t="shared" si="17"/>
        <v>-53.9</v>
      </c>
      <c r="AG49" s="1091">
        <f t="shared" si="18"/>
        <v>-0.004828970238</v>
      </c>
      <c r="AH49" s="1088">
        <f>SUMIFS(BP_SOTIEN,BP_THANG,AH$2,BP_KM,$E49)/1000</f>
        <v>40861</v>
      </c>
      <c r="AI49" s="1091" t="str">
        <f t="shared" si="572"/>
        <v/>
      </c>
      <c r="AJ49" s="1091"/>
      <c r="AK49" s="1090">
        <f>IF(NOW()&gt;=DATE(YEAR(AH$2),MONTH(AH$2)+1,DAY(AH$2)),SUMIFS(TF_SOTIEN,TF_THANG,AH$2,TF_KM,$E49)/1000, AN49)</f>
        <v>11161.8</v>
      </c>
      <c r="AL49" s="1091" t="str">
        <f t="shared" si="573"/>
        <v/>
      </c>
      <c r="AM49" s="1091"/>
      <c r="AN49" s="1090">
        <f>IF(NOW()&gt;=DATE(YEAR(AH$2),MONTH(AH$2)+1,DAY(AH$2)),SUMIFS(AC_SOTIEN,AC_THANG,AH$2,AC_KM,$E49),SUMIFS(TF_SOTIEN,TF_THANG,AH$2,TF_KM,$E49))/ 1000</f>
        <v>64387.25</v>
      </c>
      <c r="AO49" s="1091" t="str">
        <f t="shared" si="574"/>
        <v/>
      </c>
      <c r="AP49" s="1091">
        <f t="shared" si="660"/>
        <v>0.1056743434</v>
      </c>
      <c r="AQ49" s="1090">
        <f t="shared" si="22"/>
        <v>23526.25</v>
      </c>
      <c r="AR49" s="1091">
        <f t="shared" si="23"/>
        <v>0.5757629524</v>
      </c>
      <c r="AS49" s="1090">
        <f t="shared" si="24"/>
        <v>53225.45</v>
      </c>
      <c r="AT49" s="1091">
        <f t="shared" si="25"/>
        <v>4.768536437</v>
      </c>
      <c r="AU49" s="1088">
        <f t="shared" si="177"/>
        <v>122583</v>
      </c>
      <c r="AV49" s="1091" t="str">
        <f t="shared" si="575"/>
        <v/>
      </c>
      <c r="AW49" s="1091">
        <f t="shared" si="661"/>
        <v>0.7684972729</v>
      </c>
      <c r="AX49" s="1090">
        <f t="shared" si="180"/>
        <v>63184.6</v>
      </c>
      <c r="AY49" s="1091" t="str">
        <f t="shared" si="576"/>
        <v/>
      </c>
      <c r="AZ49" s="1091">
        <f t="shared" si="662"/>
        <v>0.1698533884</v>
      </c>
      <c r="BA49" s="1090">
        <f t="shared" si="444"/>
        <v>94991.373</v>
      </c>
      <c r="BB49" s="1091">
        <f t="shared" si="577"/>
        <v>0.2793863912</v>
      </c>
      <c r="BC49" s="1091">
        <f t="shared" si="663"/>
        <v>0.06362394364</v>
      </c>
      <c r="BD49" s="1090">
        <f t="shared" si="32"/>
        <v>-27591.627</v>
      </c>
      <c r="BE49" s="1091">
        <f t="shared" si="33"/>
        <v>-0.2250852647</v>
      </c>
      <c r="BF49" s="1090">
        <f t="shared" si="34"/>
        <v>31806.773</v>
      </c>
      <c r="BG49" s="1091">
        <f t="shared" si="35"/>
        <v>0.5033943872</v>
      </c>
      <c r="BH49" s="1088">
        <f>SUMIFS(BP_SOTIEN,BP_THANG,BH$2,BP_KM,$E49)/1000</f>
        <v>40861</v>
      </c>
      <c r="BI49" s="1091" t="str">
        <f t="shared" si="578"/>
        <v/>
      </c>
      <c r="BJ49" s="1091"/>
      <c r="BK49" s="1090">
        <f>IF(NOW()&gt;=DATE(YEAR(BH$2),MONTH(BH$2)+1,DAY(BH$2)),SUMIFS(TF_SOTIEN,TF_THANG,BH$2,TF_KM,$E49)/1000, BN49)</f>
        <v>75000</v>
      </c>
      <c r="BL49" s="1091" t="str">
        <f t="shared" si="579"/>
        <v/>
      </c>
      <c r="BM49" s="1091"/>
      <c r="BN49" s="1090">
        <f>IF(NOW()&gt;=DATE(YEAR(BH$2),MONTH(BH$2)+1,DAY(BH$2)),SUMIFS(AC_SOTIEN,AC_THANG,BH$2,AC_KM,$E49),SUMIFS(TF_SOTIEN,TF_THANG,BH$2,TF_KM,$E49))/ 1000</f>
        <v>120703.998</v>
      </c>
      <c r="BO49" s="1091" t="str">
        <f t="shared" si="580"/>
        <v/>
      </c>
      <c r="BP49" s="1091">
        <f t="shared" si="664"/>
        <v>0.1018501945</v>
      </c>
      <c r="BQ49" s="1090">
        <f t="shared" si="39"/>
        <v>79842.998</v>
      </c>
      <c r="BR49" s="1091">
        <f t="shared" si="40"/>
        <v>1.954014782</v>
      </c>
      <c r="BS49" s="1090">
        <f t="shared" si="41"/>
        <v>45703.998</v>
      </c>
      <c r="BT49" s="1091">
        <f t="shared" si="42"/>
        <v>0.60938664</v>
      </c>
      <c r="BU49" s="1088">
        <f>SUMIFS(BP_SOTIEN,BP_THANG,BU$2,BP_KM,$E49)/1000</f>
        <v>40861</v>
      </c>
      <c r="BV49" s="1091" t="str">
        <f t="shared" si="581"/>
        <v/>
      </c>
      <c r="BW49" s="1091"/>
      <c r="BX49" s="1090">
        <f>IF(NOW()&gt;=DATE(YEAR(BU$2),MONTH(BU$2)+1,DAY(BU$2)),SUMIFS(TF_SOTIEN,TF_THANG,BU$2,TF_KM,$E49)/1000, CA49)</f>
        <v>104000</v>
      </c>
      <c r="BY49" s="1091" t="str">
        <f t="shared" si="582"/>
        <v/>
      </c>
      <c r="BZ49" s="1091"/>
      <c r="CA49" s="1090">
        <f>IF(NOW()&gt;=DATE(YEAR(BU$2),MONTH(BU$2)+1,DAY(BU$2)),SUMIFS(AC_SOTIEN,AC_THANG,BU$2,AC_KM,$E49),SUMIFS(TF_SOTIEN,TF_THANG,BU$2,TF_KM,$E49))/ 1000</f>
        <v>29452.001</v>
      </c>
      <c r="CB49" s="1091" t="str">
        <f t="shared" si="583"/>
        <v/>
      </c>
      <c r="CC49" s="1091">
        <f t="shared" si="665"/>
        <v>0.05478152525</v>
      </c>
      <c r="CD49" s="1090">
        <f t="shared" si="46"/>
        <v>-11408.999</v>
      </c>
      <c r="CE49" s="1091">
        <f t="shared" si="47"/>
        <v>-0.2792148748</v>
      </c>
      <c r="CF49" s="1090">
        <f t="shared" si="48"/>
        <v>-74547.999</v>
      </c>
      <c r="CG49" s="1091">
        <f t="shared" si="49"/>
        <v>-0.7168076827</v>
      </c>
      <c r="CH49" s="1088">
        <f>SUMIFS(BP_SOTIEN,BP_THANG,CH$2,BP_KM,$E49)/1000</f>
        <v>40861</v>
      </c>
      <c r="CI49" s="1091" t="str">
        <f t="shared" si="584"/>
        <v/>
      </c>
      <c r="CJ49" s="1091"/>
      <c r="CK49" s="1090">
        <f>IF(NOW()&gt;=DATE(YEAR(CH$2),MONTH(CH$2)+1,DAY(CH$2)),SUMIFS(TF_SOTIEN,TF_THANG,CH$2,TF_KM,$E49)/1000, CN49)</f>
        <v>40861</v>
      </c>
      <c r="CL49" s="1091" t="str">
        <f t="shared" si="585"/>
        <v/>
      </c>
      <c r="CM49" s="1091"/>
      <c r="CN49" s="1090">
        <f>IF(NOW()&gt;=DATE(YEAR(CH$2),MONTH(CH$2)+1,DAY(CH$2)),SUMIFS(AC_SOTIEN,AC_THANG,CH$2,AC_KM,$E49),SUMIFS(TF_SOTIEN,TF_THANG,CH$2,TF_KM,$E49))/ 1000</f>
        <v>0</v>
      </c>
      <c r="CO49" s="1091" t="str">
        <f t="shared" si="586"/>
        <v/>
      </c>
      <c r="CP49" s="1091" t="str">
        <f t="shared" si="666"/>
        <v/>
      </c>
      <c r="CQ49" s="1090">
        <f t="shared" si="53"/>
        <v>-40861</v>
      </c>
      <c r="CR49" s="1091">
        <f t="shared" si="54"/>
        <v>-1</v>
      </c>
      <c r="CS49" s="1090">
        <f t="shared" si="55"/>
        <v>-40861</v>
      </c>
      <c r="CT49" s="1091">
        <f t="shared" si="56"/>
        <v>-1</v>
      </c>
      <c r="CU49" s="1088">
        <f t="shared" si="204"/>
        <v>122583</v>
      </c>
      <c r="CV49" s="1091" t="str">
        <f t="shared" si="587"/>
        <v/>
      </c>
      <c r="CW49" s="1091">
        <f t="shared" si="667"/>
        <v>0.005299623744</v>
      </c>
      <c r="CX49" s="1090">
        <f t="shared" si="588"/>
        <v>219861</v>
      </c>
      <c r="CY49" s="1091" t="str">
        <f t="shared" si="589"/>
        <v/>
      </c>
      <c r="CZ49" s="1091">
        <f t="shared" si="668"/>
        <v>0.02899600783</v>
      </c>
      <c r="DA49" s="1090">
        <f t="shared" si="590"/>
        <v>150155.999</v>
      </c>
      <c r="DB49" s="1091" t="str">
        <f t="shared" si="591"/>
        <v/>
      </c>
      <c r="DC49" s="1091">
        <f t="shared" si="669"/>
        <v>0.08716116956</v>
      </c>
      <c r="DD49" s="1090">
        <f t="shared" si="63"/>
        <v>27572.999</v>
      </c>
      <c r="DE49" s="1091">
        <f t="shared" si="64"/>
        <v>0.2249333023</v>
      </c>
      <c r="DF49" s="1090">
        <f t="shared" si="65"/>
        <v>-69705.001</v>
      </c>
      <c r="DG49" s="1091">
        <f t="shared" si="66"/>
        <v>-0.317041226</v>
      </c>
      <c r="DH49" s="1088">
        <f t="shared" si="213"/>
        <v>245166</v>
      </c>
      <c r="DI49" s="1091" t="str">
        <f t="shared" si="592"/>
        <v/>
      </c>
      <c r="DJ49" s="1091">
        <f t="shared" si="670"/>
        <v>0.01052665476</v>
      </c>
      <c r="DK49" s="1090">
        <f t="shared" si="216"/>
        <v>283045.6</v>
      </c>
      <c r="DL49" s="1091" t="str">
        <f t="shared" si="593"/>
        <v/>
      </c>
      <c r="DM49" s="1091">
        <f t="shared" si="671"/>
        <v>0.03558329108</v>
      </c>
      <c r="DN49" s="1090">
        <f t="shared" si="219"/>
        <v>245147.372</v>
      </c>
      <c r="DO49" s="1091">
        <f t="shared" si="594"/>
        <v>0.7210216824</v>
      </c>
      <c r="DP49" s="1091">
        <f t="shared" si="672"/>
        <v>0.0762332817</v>
      </c>
      <c r="DQ49" s="1090">
        <f t="shared" si="73"/>
        <v>-18.628</v>
      </c>
      <c r="DR49" s="1091">
        <f t="shared" si="74"/>
        <v>-0.00007598117194</v>
      </c>
      <c r="DS49" s="1090">
        <f t="shared" si="75"/>
        <v>-37898.228</v>
      </c>
      <c r="DT49" s="1091">
        <f t="shared" si="76"/>
        <v>-0.1338944255</v>
      </c>
      <c r="DU49" s="1088">
        <f>SUMIFS(BP_SOTIEN,BP_THANG,DU$2,BP_KM,$E49)/1000</f>
        <v>40861</v>
      </c>
      <c r="DV49" s="1091" t="str">
        <f t="shared" si="595"/>
        <v/>
      </c>
      <c r="DW49" s="1091"/>
      <c r="DX49" s="1090">
        <f>IF(NOW()&gt;=DATE(YEAR(DU$2),MONTH(DU$2)+1,DAY(DU$2)),SUMIFS(TF_SOTIEN,TF_THANG,DU$2,TF_KM,$E49)/1000, EA49)</f>
        <v>40861</v>
      </c>
      <c r="DY49" s="1091" t="str">
        <f t="shared" si="596"/>
        <v/>
      </c>
      <c r="DZ49" s="1091"/>
      <c r="EA49" s="1090">
        <f>IF(NOW()&gt;=DATE(YEAR(DU$2),MONTH(DU$2)+1,DAY(DU$2)),SUMIFS(AC_SOTIEN,AC_THANG,DU$2,AC_KM,$E49),SUMIFS(TF_SOTIEN,TF_THANG,DU$2,TF_KM,$E49))/ 1000</f>
        <v>0</v>
      </c>
      <c r="EB49" s="1091" t="str">
        <f t="shared" si="597"/>
        <v/>
      </c>
      <c r="EC49" s="1091" t="str">
        <f t="shared" si="673"/>
        <v/>
      </c>
      <c r="ED49" s="1090">
        <f t="shared" si="80"/>
        <v>-40861</v>
      </c>
      <c r="EE49" s="1091">
        <f t="shared" si="81"/>
        <v>-1</v>
      </c>
      <c r="EF49" s="1090">
        <f t="shared" si="82"/>
        <v>-40861</v>
      </c>
      <c r="EG49" s="1091">
        <f t="shared" si="83"/>
        <v>-1</v>
      </c>
      <c r="EH49" s="1088">
        <f>SUMIFS(BP_SOTIEN,BP_THANG,EH$2,BP_KM,$E49)/1000</f>
        <v>40861</v>
      </c>
      <c r="EI49" s="1091" t="str">
        <f t="shared" si="598"/>
        <v/>
      </c>
      <c r="EJ49" s="1091"/>
      <c r="EK49" s="1090">
        <f>IF(NOW()&gt;=DATE(YEAR(EH$2),MONTH(EH$2)+1,DAY(EH$2)),SUMIFS(TF_SOTIEN,TF_THANG,EH$2,TF_KM,$E49)/1000, EN49)</f>
        <v>40861</v>
      </c>
      <c r="EL49" s="1091" t="str">
        <f t="shared" si="599"/>
        <v/>
      </c>
      <c r="EM49" s="1091"/>
      <c r="EN49" s="1090">
        <f>IF(NOW()&gt;=DATE(YEAR(EH$2),MONTH(EH$2)+1,DAY(EH$2)),SUMIFS(AC_SOTIEN,AC_THANG,EH$2,AC_KM,$E49),SUMIFS(TF_SOTIEN,TF_THANG,EH$2,TF_KM,$E49))/ 1000</f>
        <v>0</v>
      </c>
      <c r="EO49" s="1091" t="str">
        <f t="shared" si="600"/>
        <v/>
      </c>
      <c r="EP49" s="1091" t="str">
        <f t="shared" si="674"/>
        <v/>
      </c>
      <c r="EQ49" s="1090">
        <f t="shared" si="87"/>
        <v>-40861</v>
      </c>
      <c r="ER49" s="1091">
        <f t="shared" si="88"/>
        <v>-1</v>
      </c>
      <c r="ES49" s="1090">
        <f t="shared" si="89"/>
        <v>-40861</v>
      </c>
      <c r="ET49" s="1091">
        <f t="shared" si="90"/>
        <v>-1</v>
      </c>
      <c r="EU49" s="1088">
        <f>SUMIFS(BP_SOTIEN,BP_THANG,EU$2,BP_KM,$E49)/1000</f>
        <v>40861</v>
      </c>
      <c r="EV49" s="1091" t="str">
        <f t="shared" si="601"/>
        <v/>
      </c>
      <c r="EW49" s="1091"/>
      <c r="EX49" s="1090">
        <f>IF(NOW()&gt;=DATE(YEAR(EU$2),MONTH(EU$2)+1,DAY(EU$2)),SUMIFS(TF_SOTIEN,TF_THANG,EU$2,TF_KM,$E49)/1000, FA49)</f>
        <v>40861</v>
      </c>
      <c r="EY49" s="1091" t="str">
        <f t="shared" si="602"/>
        <v/>
      </c>
      <c r="EZ49" s="1091"/>
      <c r="FA49" s="1090">
        <f>IF(NOW()&gt;=DATE(YEAR(EU$2),MONTH(EU$2)+1,DAY(EU$2)),SUMIFS(AC_SOTIEN,AC_THANG,EU$2,AC_KM,$E49),SUMIFS(TF_SOTIEN,TF_THANG,EU$2,TF_KM,$E49))/ 1000</f>
        <v>0</v>
      </c>
      <c r="FB49" s="1091" t="str">
        <f t="shared" si="603"/>
        <v/>
      </c>
      <c r="FC49" s="1091" t="str">
        <f t="shared" si="675"/>
        <v/>
      </c>
      <c r="FD49" s="1090">
        <f t="shared" si="94"/>
        <v>-40861</v>
      </c>
      <c r="FE49" s="1091">
        <f t="shared" si="95"/>
        <v>-1</v>
      </c>
      <c r="FF49" s="1090">
        <f t="shared" si="96"/>
        <v>-40861</v>
      </c>
      <c r="FG49" s="1091">
        <f t="shared" si="97"/>
        <v>-1</v>
      </c>
      <c r="FH49" s="1088">
        <f t="shared" si="240"/>
        <v>122583</v>
      </c>
      <c r="FI49" s="1091" t="str">
        <f t="shared" si="604"/>
        <v/>
      </c>
      <c r="FJ49" s="1091">
        <f t="shared" si="676"/>
        <v>0.005299623744</v>
      </c>
      <c r="FK49" s="1090">
        <f t="shared" si="243"/>
        <v>122583</v>
      </c>
      <c r="FL49" s="1091" t="str">
        <f t="shared" si="605"/>
        <v/>
      </c>
      <c r="FM49" s="1091">
        <f t="shared" si="677"/>
        <v>0.005299623744</v>
      </c>
      <c r="FN49" s="1090">
        <f t="shared" si="246"/>
        <v>0</v>
      </c>
      <c r="FO49" s="1091" t="str">
        <f t="shared" si="606"/>
        <v/>
      </c>
      <c r="FP49" s="1091" t="str">
        <f t="shared" si="678"/>
        <v/>
      </c>
      <c r="FQ49" s="1090">
        <f t="shared" si="104"/>
        <v>-122583</v>
      </c>
      <c r="FR49" s="1091">
        <f t="shared" si="105"/>
        <v>-1</v>
      </c>
      <c r="FS49" s="1090">
        <f t="shared" si="106"/>
        <v>-122583</v>
      </c>
      <c r="FT49" s="1091">
        <f t="shared" si="107"/>
        <v>-1</v>
      </c>
      <c r="FU49" s="1088">
        <f>SUMIFS(BP_SOTIEN,BP_THANG,FU$2,BP_KM,$E49)/1000</f>
        <v>40861</v>
      </c>
      <c r="FV49" s="1091" t="str">
        <f t="shared" si="607"/>
        <v/>
      </c>
      <c r="FW49" s="1091"/>
      <c r="FX49" s="1090">
        <f>IF(NOW()&gt;=DATE(YEAR(FU$2),MONTH(FU$2)+1,DAY(FU$2)),SUMIFS(TF_SOTIEN,TF_THANG,FU$2,TF_KM,$E49)/1000, GA49)</f>
        <v>40861</v>
      </c>
      <c r="FY49" s="1091" t="str">
        <f t="shared" si="608"/>
        <v/>
      </c>
      <c r="FZ49" s="1091"/>
      <c r="GA49" s="1090">
        <f>IF(NOW()&gt;=DATE(YEAR(FU$2),MONTH(FU$2)+1,DAY(FU$2)),SUMIFS(AC_SOTIEN,AC_THANG,FU$2,AC_KM,$E49),SUMIFS(TF_SOTIEN,TF_THANG,FU$2,TF_KM,$E49))/ 1000</f>
        <v>0</v>
      </c>
      <c r="GB49" s="1091" t="str">
        <f t="shared" si="609"/>
        <v/>
      </c>
      <c r="GC49" s="1091" t="str">
        <f t="shared" si="679"/>
        <v/>
      </c>
      <c r="GD49" s="1090">
        <f t="shared" si="111"/>
        <v>-40861</v>
      </c>
      <c r="GE49" s="1091">
        <f t="shared" si="112"/>
        <v>-1</v>
      </c>
      <c r="GF49" s="1090">
        <f t="shared" si="113"/>
        <v>-40861</v>
      </c>
      <c r="GG49" s="1091">
        <f t="shared" si="114"/>
        <v>-1</v>
      </c>
      <c r="GH49" s="1088">
        <f>SUMIFS(BP_SOTIEN,BP_THANG,GH$2,BP_KM,$E49)/1000</f>
        <v>40861</v>
      </c>
      <c r="GI49" s="1091" t="str">
        <f t="shared" si="610"/>
        <v/>
      </c>
      <c r="GJ49" s="1091"/>
      <c r="GK49" s="1090">
        <f>IF(NOW()&gt;=DATE(YEAR(GH$2),MONTH(GH$2)+1,DAY(GH$2)),SUMIFS(TF_SOTIEN,TF_THANG,GH$2,TF_KM,$E49)/1000, GN49)</f>
        <v>40861</v>
      </c>
      <c r="GL49" s="1091" t="str">
        <f t="shared" si="611"/>
        <v/>
      </c>
      <c r="GM49" s="1091"/>
      <c r="GN49" s="1090">
        <f>IF(NOW()&gt;=DATE(YEAR(GH$2),MONTH(GH$2)+1,DAY(GH$2)),SUMIFS(AC_SOTIEN,AC_THANG,GH$2,AC_KM,$E49),SUMIFS(TF_SOTIEN,TF_THANG,GH$2,TF_KM,$E49))/ 1000</f>
        <v>0</v>
      </c>
      <c r="GO49" s="1091" t="str">
        <f t="shared" si="612"/>
        <v/>
      </c>
      <c r="GP49" s="1091" t="str">
        <f t="shared" si="680"/>
        <v/>
      </c>
      <c r="GQ49" s="1090">
        <f t="shared" si="118"/>
        <v>-40861</v>
      </c>
      <c r="GR49" s="1091">
        <f t="shared" si="119"/>
        <v>-1</v>
      </c>
      <c r="GS49" s="1090">
        <f t="shared" si="120"/>
        <v>-40861</v>
      </c>
      <c r="GT49" s="1091">
        <f t="shared" si="121"/>
        <v>-1</v>
      </c>
      <c r="GU49" s="1088">
        <f>SUMIFS(BP_SOTIEN,BP_THANG,GU$2,BP_KM,$E49)/1000</f>
        <v>40861</v>
      </c>
      <c r="GV49" s="1091" t="str">
        <f t="shared" si="613"/>
        <v/>
      </c>
      <c r="GW49" s="1091"/>
      <c r="GX49" s="1090">
        <f>IF(NOW()&gt;=DATE(YEAR(GU$2),MONTH(GU$2)+1,DAY(GU$2)),SUMIFS(TF_SOTIEN,TF_THANG,GU$2,TF_KM,$E49)/1000, HA49)</f>
        <v>40861</v>
      </c>
      <c r="GY49" s="1091" t="str">
        <f t="shared" si="614"/>
        <v/>
      </c>
      <c r="GZ49" s="1091"/>
      <c r="HA49" s="1090">
        <f>IF(NOW()&gt;=DATE(YEAR(GU$2),MONTH(GU$2)+1,DAY(GU$2)),SUMIFS(AC_SOTIEN,AC_THANG,GU$2,AC_KM,$E49),SUMIFS(TF_SOTIEN,TF_THANG,GU$2,TF_KM,$E49))/ 1000</f>
        <v>0</v>
      </c>
      <c r="HB49" s="1091" t="str">
        <f t="shared" si="615"/>
        <v/>
      </c>
      <c r="HC49" s="1091" t="str">
        <f t="shared" si="681"/>
        <v/>
      </c>
      <c r="HD49" s="1090">
        <f t="shared" si="125"/>
        <v>-40861</v>
      </c>
      <c r="HE49" s="1091">
        <f t="shared" si="126"/>
        <v>-1</v>
      </c>
      <c r="HF49" s="1090">
        <f t="shared" si="127"/>
        <v>-40861</v>
      </c>
      <c r="HG49" s="1091">
        <f t="shared" si="128"/>
        <v>-1</v>
      </c>
      <c r="HH49" s="1088">
        <f t="shared" si="267"/>
        <v>122583</v>
      </c>
      <c r="HI49" s="1091" t="str">
        <f t="shared" si="616"/>
        <v/>
      </c>
      <c r="HJ49" s="1091">
        <f t="shared" si="682"/>
        <v>0.005299623744</v>
      </c>
      <c r="HK49" s="1090">
        <f t="shared" si="270"/>
        <v>122583</v>
      </c>
      <c r="HL49" s="1091" t="str">
        <f t="shared" si="617"/>
        <v/>
      </c>
      <c r="HM49" s="1091">
        <f t="shared" si="683"/>
        <v>0.005299623744</v>
      </c>
      <c r="HN49" s="1090">
        <f t="shared" si="273"/>
        <v>0</v>
      </c>
      <c r="HO49" s="1091" t="str">
        <f t="shared" si="618"/>
        <v/>
      </c>
      <c r="HP49" s="1091" t="str">
        <f t="shared" si="684"/>
        <v/>
      </c>
      <c r="HQ49" s="1090">
        <f t="shared" si="135"/>
        <v>-122583</v>
      </c>
      <c r="HR49" s="1091">
        <f t="shared" si="136"/>
        <v>-1</v>
      </c>
      <c r="HS49" s="1090">
        <f t="shared" si="137"/>
        <v>-122583</v>
      </c>
      <c r="HT49" s="1091">
        <f t="shared" si="138"/>
        <v>-1</v>
      </c>
      <c r="HU49" s="1088">
        <f t="shared" si="276"/>
        <v>245166</v>
      </c>
      <c r="HV49" s="1091" t="str">
        <f t="shared" si="619"/>
        <v/>
      </c>
      <c r="HW49" s="1091">
        <f t="shared" si="685"/>
        <v>0.005299623744</v>
      </c>
      <c r="HX49" s="1090">
        <f t="shared" si="279"/>
        <v>245166</v>
      </c>
      <c r="HY49" s="1091" t="str">
        <f t="shared" si="620"/>
        <v/>
      </c>
      <c r="HZ49" s="1091">
        <f t="shared" si="686"/>
        <v>0.005299623744</v>
      </c>
      <c r="IA49" s="1090">
        <f t="shared" si="282"/>
        <v>0</v>
      </c>
      <c r="IB49" s="1091" t="str">
        <f t="shared" si="621"/>
        <v/>
      </c>
      <c r="IC49" s="1091" t="str">
        <f t="shared" si="687"/>
        <v/>
      </c>
      <c r="ID49" s="1090">
        <f t="shared" si="145"/>
        <v>-245166</v>
      </c>
      <c r="IE49" s="1091">
        <f t="shared" si="146"/>
        <v>-1</v>
      </c>
      <c r="IF49" s="1090">
        <f t="shared" si="147"/>
        <v>-245166</v>
      </c>
      <c r="IG49" s="1091">
        <f t="shared" si="148"/>
        <v>-1</v>
      </c>
      <c r="IH49" s="1088">
        <f t="shared" si="285"/>
        <v>490332</v>
      </c>
      <c r="II49" s="1091" t="str">
        <f t="shared" si="622"/>
        <v/>
      </c>
      <c r="IJ49" s="1091">
        <f t="shared" si="688"/>
        <v>0.007049959282</v>
      </c>
      <c r="IK49" s="1090">
        <f t="shared" si="288"/>
        <v>528211.6</v>
      </c>
      <c r="IL49" s="1091" t="str">
        <f t="shared" si="623"/>
        <v/>
      </c>
      <c r="IM49" s="1091">
        <f t="shared" si="689"/>
        <v>0.009742820182</v>
      </c>
      <c r="IN49" s="1090">
        <f t="shared" si="291"/>
        <v>245147.372</v>
      </c>
      <c r="IO49" s="1091">
        <f t="shared" si="624"/>
        <v>0.7210216824</v>
      </c>
      <c r="IP49" s="1091">
        <f t="shared" si="690"/>
        <v>0.0762332817</v>
      </c>
      <c r="IQ49" s="1090">
        <f t="shared" si="155"/>
        <v>-245184.628</v>
      </c>
      <c r="IR49" s="1091">
        <f t="shared" si="1"/>
        <v>-0.5000379906</v>
      </c>
      <c r="IS49" s="1090">
        <f t="shared" si="156"/>
        <v>-283064.228</v>
      </c>
      <c r="IT49" s="1091">
        <f t="shared" si="2"/>
        <v>-0.5358917298</v>
      </c>
    </row>
    <row r="50" hidden="1" outlineLevel="1">
      <c r="A50" s="1087"/>
      <c r="B50" s="1087"/>
      <c r="C50" s="1087"/>
      <c r="D50" s="1087" t="s">
        <v>2835</v>
      </c>
      <c r="E50" s="1087" t="s">
        <v>2836</v>
      </c>
      <c r="F50" s="1087"/>
      <c r="G50" s="1086">
        <v>2.0</v>
      </c>
      <c r="H50" s="1088">
        <f>SUMIFS(BP_SOTIEN,BP_THANG,H$2,BP_KM,$E50)/1000</f>
        <v>0</v>
      </c>
      <c r="I50" s="1091" t="str">
        <f t="shared" si="566"/>
        <v/>
      </c>
      <c r="J50" s="1091"/>
      <c r="K50" s="1090">
        <f>IF(NOW()&gt;=DATE(YEAR(H$2),MONTH(H$2)+1,DAY(H$2)),SUMIFS(TF_SOTIEN,TF_THANG,H$2,TF_KM,$E50)/1000, N50)</f>
        <v>0</v>
      </c>
      <c r="L50" s="1091" t="str">
        <f t="shared" si="567"/>
        <v/>
      </c>
      <c r="M50" s="1091"/>
      <c r="N50" s="1090">
        <f>IF(NOW()&gt;=DATE(YEAR(H$2),MONTH(H$2)+1,DAY(H$2)),SUMIFS(AC_SOTIEN,AC_THANG,H$2,AC_KM,$E50),SUMIFS(TF_SOTIEN,TF_THANG,H$2,TF_KM,$E50))/ 1000</f>
        <v>0</v>
      </c>
      <c r="O50" s="1091">
        <f t="shared" si="568"/>
        <v>0</v>
      </c>
      <c r="P50" s="1091">
        <f t="shared" si="658"/>
        <v>0</v>
      </c>
      <c r="Q50" s="1090">
        <f t="shared" si="8"/>
        <v>0</v>
      </c>
      <c r="R50" s="1091" t="str">
        <f t="shared" si="9"/>
        <v/>
      </c>
      <c r="S50" s="1090">
        <f t="shared" si="10"/>
        <v>0</v>
      </c>
      <c r="T50" s="1091" t="str">
        <f t="shared" si="11"/>
        <v/>
      </c>
      <c r="U50" s="1088">
        <f>SUMIFS(BP_SOTIEN,BP_THANG,U$2,BP_KM,$E50)/1000</f>
        <v>0</v>
      </c>
      <c r="V50" s="1091" t="str">
        <f t="shared" si="569"/>
        <v/>
      </c>
      <c r="W50" s="1091"/>
      <c r="X50" s="1090">
        <f>IF(NOW()&gt;=DATE(YEAR(U$2),MONTH(U$2)+1,DAY(U$2)),SUMIFS(TF_SOTIEN,TF_THANG,U$2,TF_KM,$E50)/1000, AA50)</f>
        <v>0</v>
      </c>
      <c r="Y50" s="1091" t="str">
        <f t="shared" si="570"/>
        <v/>
      </c>
      <c r="Z50" s="1091"/>
      <c r="AA50" s="1090">
        <f>IF(NOW()&gt;=DATE(YEAR(U$2),MONTH(U$2)+1,DAY(U$2)),SUMIFS(AC_SOTIEN,AC_THANG,U$2,AC_KM,$E50),SUMIFS(TF_SOTIEN,TF_THANG,U$2,TF_KM,$E50))/ 1000</f>
        <v>0</v>
      </c>
      <c r="AB50" s="1091" t="str">
        <f t="shared" si="571"/>
        <v/>
      </c>
      <c r="AC50" s="1091">
        <f t="shared" si="659"/>
        <v>0</v>
      </c>
      <c r="AD50" s="1090">
        <f t="shared" si="15"/>
        <v>0</v>
      </c>
      <c r="AE50" s="1091" t="str">
        <f t="shared" si="16"/>
        <v/>
      </c>
      <c r="AF50" s="1090">
        <f t="shared" si="17"/>
        <v>0</v>
      </c>
      <c r="AG50" s="1091" t="str">
        <f t="shared" si="18"/>
        <v/>
      </c>
      <c r="AH50" s="1088">
        <f>SUMIFS(BP_SOTIEN,BP_THANG,AH$2,BP_KM,$E50)/1000</f>
        <v>0</v>
      </c>
      <c r="AI50" s="1091" t="str">
        <f t="shared" si="572"/>
        <v/>
      </c>
      <c r="AJ50" s="1091"/>
      <c r="AK50" s="1090">
        <f>IF(NOW()&gt;=DATE(YEAR(AH$2),MONTH(AH$2)+1,DAY(AH$2)),SUMIFS(TF_SOTIEN,TF_THANG,AH$2,TF_KM,$E50)/1000, AN50)</f>
        <v>0</v>
      </c>
      <c r="AL50" s="1091" t="str">
        <f t="shared" si="573"/>
        <v/>
      </c>
      <c r="AM50" s="1091"/>
      <c r="AN50" s="1090">
        <f>IF(NOW()&gt;=DATE(YEAR(AH$2),MONTH(AH$2)+1,DAY(AH$2)),SUMIFS(AC_SOTIEN,AC_THANG,AH$2,AC_KM,$E50),SUMIFS(TF_SOTIEN,TF_THANG,AH$2,TF_KM,$E50))/ 1000</f>
        <v>0</v>
      </c>
      <c r="AO50" s="1091" t="str">
        <f t="shared" si="574"/>
        <v/>
      </c>
      <c r="AP50" s="1091">
        <f t="shared" si="660"/>
        <v>0</v>
      </c>
      <c r="AQ50" s="1090">
        <f t="shared" si="22"/>
        <v>0</v>
      </c>
      <c r="AR50" s="1091" t="str">
        <f t="shared" si="23"/>
        <v/>
      </c>
      <c r="AS50" s="1090">
        <f t="shared" si="24"/>
        <v>0</v>
      </c>
      <c r="AT50" s="1091" t="str">
        <f t="shared" si="25"/>
        <v/>
      </c>
      <c r="AU50" s="1088">
        <f t="shared" si="177"/>
        <v>0</v>
      </c>
      <c r="AV50" s="1091" t="str">
        <f t="shared" si="575"/>
        <v/>
      </c>
      <c r="AW50" s="1091">
        <f t="shared" si="661"/>
        <v>0</v>
      </c>
      <c r="AX50" s="1090">
        <f t="shared" si="180"/>
        <v>0</v>
      </c>
      <c r="AY50" s="1091" t="str">
        <f t="shared" si="576"/>
        <v/>
      </c>
      <c r="AZ50" s="1091">
        <f t="shared" si="662"/>
        <v>0</v>
      </c>
      <c r="BA50" s="1090">
        <f t="shared" si="444"/>
        <v>0</v>
      </c>
      <c r="BB50" s="1091">
        <f t="shared" si="577"/>
        <v>0</v>
      </c>
      <c r="BC50" s="1091">
        <f t="shared" si="663"/>
        <v>0</v>
      </c>
      <c r="BD50" s="1090">
        <f t="shared" si="32"/>
        <v>0</v>
      </c>
      <c r="BE50" s="1091" t="str">
        <f t="shared" si="33"/>
        <v/>
      </c>
      <c r="BF50" s="1090">
        <f t="shared" si="34"/>
        <v>0</v>
      </c>
      <c r="BG50" s="1091" t="str">
        <f t="shared" si="35"/>
        <v/>
      </c>
      <c r="BH50" s="1088">
        <f>SUMIFS(BP_SOTIEN,BP_THANG,BH$2,BP_KM,$E50)/1000</f>
        <v>0</v>
      </c>
      <c r="BI50" s="1091" t="str">
        <f t="shared" si="578"/>
        <v/>
      </c>
      <c r="BJ50" s="1091"/>
      <c r="BK50" s="1090">
        <f>IF(NOW()&gt;=DATE(YEAR(BH$2),MONTH(BH$2)+1,DAY(BH$2)),SUMIFS(TF_SOTIEN,TF_THANG,BH$2,TF_KM,$E50)/1000, BN50)</f>
        <v>0</v>
      </c>
      <c r="BL50" s="1091" t="str">
        <f t="shared" si="579"/>
        <v/>
      </c>
      <c r="BM50" s="1091"/>
      <c r="BN50" s="1090">
        <f>IF(NOW()&gt;=DATE(YEAR(BH$2),MONTH(BH$2)+1,DAY(BH$2)),SUMIFS(AC_SOTIEN,AC_THANG,BH$2,AC_KM,$E50),SUMIFS(TF_SOTIEN,TF_THANG,BH$2,TF_KM,$E50))/ 1000</f>
        <v>0</v>
      </c>
      <c r="BO50" s="1091" t="str">
        <f t="shared" si="580"/>
        <v/>
      </c>
      <c r="BP50" s="1091">
        <f t="shared" si="664"/>
        <v>0</v>
      </c>
      <c r="BQ50" s="1090">
        <f t="shared" si="39"/>
        <v>0</v>
      </c>
      <c r="BR50" s="1091" t="str">
        <f t="shared" si="40"/>
        <v/>
      </c>
      <c r="BS50" s="1090">
        <f t="shared" si="41"/>
        <v>0</v>
      </c>
      <c r="BT50" s="1091" t="str">
        <f t="shared" si="42"/>
        <v/>
      </c>
      <c r="BU50" s="1088">
        <f>SUMIFS(BP_SOTIEN,BP_THANG,BU$2,BP_KM,$E50)/1000</f>
        <v>0</v>
      </c>
      <c r="BV50" s="1091" t="str">
        <f t="shared" si="581"/>
        <v/>
      </c>
      <c r="BW50" s="1091"/>
      <c r="BX50" s="1090">
        <f>IF(NOW()&gt;=DATE(YEAR(BU$2),MONTH(BU$2)+1,DAY(BU$2)),SUMIFS(TF_SOTIEN,TF_THANG,BU$2,TF_KM,$E50)/1000, CA50)</f>
        <v>0</v>
      </c>
      <c r="BY50" s="1091" t="str">
        <f t="shared" si="582"/>
        <v/>
      </c>
      <c r="BZ50" s="1091"/>
      <c r="CA50" s="1090">
        <f>IF(NOW()&gt;=DATE(YEAR(BU$2),MONTH(BU$2)+1,DAY(BU$2)),SUMIFS(AC_SOTIEN,AC_THANG,BU$2,AC_KM,$E50),SUMIFS(TF_SOTIEN,TF_THANG,BU$2,TF_KM,$E50))/ 1000</f>
        <v>0</v>
      </c>
      <c r="CB50" s="1091" t="str">
        <f t="shared" si="583"/>
        <v/>
      </c>
      <c r="CC50" s="1091">
        <f t="shared" si="665"/>
        <v>0</v>
      </c>
      <c r="CD50" s="1090">
        <f t="shared" si="46"/>
        <v>0</v>
      </c>
      <c r="CE50" s="1091" t="str">
        <f t="shared" si="47"/>
        <v/>
      </c>
      <c r="CF50" s="1090">
        <f t="shared" si="48"/>
        <v>0</v>
      </c>
      <c r="CG50" s="1091" t="str">
        <f t="shared" si="49"/>
        <v/>
      </c>
      <c r="CH50" s="1088">
        <f>SUMIFS(BP_SOTIEN,BP_THANG,CH$2,BP_KM,$E50)/1000</f>
        <v>0</v>
      </c>
      <c r="CI50" s="1091" t="str">
        <f t="shared" si="584"/>
        <v/>
      </c>
      <c r="CJ50" s="1091"/>
      <c r="CK50" s="1090">
        <f>IF(NOW()&gt;=DATE(YEAR(CH$2),MONTH(CH$2)+1,DAY(CH$2)),SUMIFS(TF_SOTIEN,TF_THANG,CH$2,TF_KM,$E50)/1000, CN50)</f>
        <v>0</v>
      </c>
      <c r="CL50" s="1091" t="str">
        <f t="shared" si="585"/>
        <v/>
      </c>
      <c r="CM50" s="1091"/>
      <c r="CN50" s="1090">
        <f>IF(NOW()&gt;=DATE(YEAR(CH$2),MONTH(CH$2)+1,DAY(CH$2)),SUMIFS(AC_SOTIEN,AC_THANG,CH$2,AC_KM,$E50),SUMIFS(TF_SOTIEN,TF_THANG,CH$2,TF_KM,$E50))/ 1000</f>
        <v>0</v>
      </c>
      <c r="CO50" s="1091" t="str">
        <f t="shared" si="586"/>
        <v/>
      </c>
      <c r="CP50" s="1091" t="str">
        <f t="shared" si="666"/>
        <v/>
      </c>
      <c r="CQ50" s="1090">
        <f t="shared" si="53"/>
        <v>0</v>
      </c>
      <c r="CR50" s="1091" t="str">
        <f t="shared" si="54"/>
        <v/>
      </c>
      <c r="CS50" s="1090">
        <f t="shared" si="55"/>
        <v>0</v>
      </c>
      <c r="CT50" s="1091" t="str">
        <f t="shared" si="56"/>
        <v/>
      </c>
      <c r="CU50" s="1088">
        <f t="shared" si="204"/>
        <v>0</v>
      </c>
      <c r="CV50" s="1091" t="str">
        <f t="shared" si="587"/>
        <v/>
      </c>
      <c r="CW50" s="1091">
        <f t="shared" si="667"/>
        <v>0</v>
      </c>
      <c r="CX50" s="1090">
        <f t="shared" si="588"/>
        <v>0</v>
      </c>
      <c r="CY50" s="1091" t="str">
        <f t="shared" si="589"/>
        <v/>
      </c>
      <c r="CZ50" s="1091">
        <f t="shared" si="668"/>
        <v>0</v>
      </c>
      <c r="DA50" s="1090">
        <f t="shared" si="590"/>
        <v>0</v>
      </c>
      <c r="DB50" s="1091" t="str">
        <f t="shared" si="591"/>
        <v/>
      </c>
      <c r="DC50" s="1091">
        <f t="shared" si="669"/>
        <v>0</v>
      </c>
      <c r="DD50" s="1090">
        <f t="shared" si="63"/>
        <v>0</v>
      </c>
      <c r="DE50" s="1091" t="str">
        <f t="shared" si="64"/>
        <v/>
      </c>
      <c r="DF50" s="1090">
        <f t="shared" si="65"/>
        <v>0</v>
      </c>
      <c r="DG50" s="1091" t="str">
        <f t="shared" si="66"/>
        <v/>
      </c>
      <c r="DH50" s="1088">
        <f t="shared" si="213"/>
        <v>0</v>
      </c>
      <c r="DI50" s="1091" t="str">
        <f t="shared" si="592"/>
        <v/>
      </c>
      <c r="DJ50" s="1091">
        <f t="shared" si="670"/>
        <v>0</v>
      </c>
      <c r="DK50" s="1090">
        <f t="shared" si="216"/>
        <v>0</v>
      </c>
      <c r="DL50" s="1091" t="str">
        <f t="shared" si="593"/>
        <v/>
      </c>
      <c r="DM50" s="1091">
        <f t="shared" si="671"/>
        <v>0</v>
      </c>
      <c r="DN50" s="1090">
        <f t="shared" si="219"/>
        <v>0</v>
      </c>
      <c r="DO50" s="1091">
        <f t="shared" si="594"/>
        <v>0</v>
      </c>
      <c r="DP50" s="1091">
        <f t="shared" si="672"/>
        <v>0</v>
      </c>
      <c r="DQ50" s="1090">
        <f t="shared" si="73"/>
        <v>0</v>
      </c>
      <c r="DR50" s="1091" t="str">
        <f t="shared" si="74"/>
        <v/>
      </c>
      <c r="DS50" s="1090">
        <f t="shared" si="75"/>
        <v>0</v>
      </c>
      <c r="DT50" s="1091" t="str">
        <f t="shared" si="76"/>
        <v/>
      </c>
      <c r="DU50" s="1088">
        <f>SUMIFS(BP_SOTIEN,BP_THANG,DU$2,BP_KM,$E50)/1000</f>
        <v>0</v>
      </c>
      <c r="DV50" s="1091" t="str">
        <f t="shared" si="595"/>
        <v/>
      </c>
      <c r="DW50" s="1091"/>
      <c r="DX50" s="1090">
        <f>IF(NOW()&gt;=DATE(YEAR(DU$2),MONTH(DU$2)+1,DAY(DU$2)),SUMIFS(TF_SOTIEN,TF_THANG,DU$2,TF_KM,$E50)/1000, EA50)</f>
        <v>0</v>
      </c>
      <c r="DY50" s="1091" t="str">
        <f t="shared" si="596"/>
        <v/>
      </c>
      <c r="DZ50" s="1091"/>
      <c r="EA50" s="1090">
        <f>IF(NOW()&gt;=DATE(YEAR(DU$2),MONTH(DU$2)+1,DAY(DU$2)),SUMIFS(AC_SOTIEN,AC_THANG,DU$2,AC_KM,$E50),SUMIFS(TF_SOTIEN,TF_THANG,DU$2,TF_KM,$E50))/ 1000</f>
        <v>0</v>
      </c>
      <c r="EB50" s="1091" t="str">
        <f t="shared" si="597"/>
        <v/>
      </c>
      <c r="EC50" s="1091" t="str">
        <f t="shared" si="673"/>
        <v/>
      </c>
      <c r="ED50" s="1090">
        <f t="shared" si="80"/>
        <v>0</v>
      </c>
      <c r="EE50" s="1091" t="str">
        <f t="shared" si="81"/>
        <v/>
      </c>
      <c r="EF50" s="1090">
        <f t="shared" si="82"/>
        <v>0</v>
      </c>
      <c r="EG50" s="1091" t="str">
        <f t="shared" si="83"/>
        <v/>
      </c>
      <c r="EH50" s="1088">
        <f>SUMIFS(BP_SOTIEN,BP_THANG,EH$2,BP_KM,$E50)/1000</f>
        <v>0</v>
      </c>
      <c r="EI50" s="1091" t="str">
        <f t="shared" si="598"/>
        <v/>
      </c>
      <c r="EJ50" s="1091"/>
      <c r="EK50" s="1090">
        <f>IF(NOW()&gt;=DATE(YEAR(EH$2),MONTH(EH$2)+1,DAY(EH$2)),SUMIFS(TF_SOTIEN,TF_THANG,EH$2,TF_KM,$E50)/1000, EN50)</f>
        <v>0</v>
      </c>
      <c r="EL50" s="1091" t="str">
        <f t="shared" si="599"/>
        <v/>
      </c>
      <c r="EM50" s="1091"/>
      <c r="EN50" s="1090">
        <f>IF(NOW()&gt;=DATE(YEAR(EH$2),MONTH(EH$2)+1,DAY(EH$2)),SUMIFS(AC_SOTIEN,AC_THANG,EH$2,AC_KM,$E50),SUMIFS(TF_SOTIEN,TF_THANG,EH$2,TF_KM,$E50))/ 1000</f>
        <v>0</v>
      </c>
      <c r="EO50" s="1091" t="str">
        <f t="shared" si="600"/>
        <v/>
      </c>
      <c r="EP50" s="1091" t="str">
        <f t="shared" si="674"/>
        <v/>
      </c>
      <c r="EQ50" s="1090">
        <f t="shared" si="87"/>
        <v>0</v>
      </c>
      <c r="ER50" s="1091" t="str">
        <f t="shared" si="88"/>
        <v/>
      </c>
      <c r="ES50" s="1090">
        <f t="shared" si="89"/>
        <v>0</v>
      </c>
      <c r="ET50" s="1091" t="str">
        <f t="shared" si="90"/>
        <v/>
      </c>
      <c r="EU50" s="1088">
        <f>SUMIFS(BP_SOTIEN,BP_THANG,EU$2,BP_KM,$E50)/1000</f>
        <v>0</v>
      </c>
      <c r="EV50" s="1091" t="str">
        <f t="shared" si="601"/>
        <v/>
      </c>
      <c r="EW50" s="1091"/>
      <c r="EX50" s="1090">
        <f>IF(NOW()&gt;=DATE(YEAR(EU$2),MONTH(EU$2)+1,DAY(EU$2)),SUMIFS(TF_SOTIEN,TF_THANG,EU$2,TF_KM,$E50)/1000, FA50)</f>
        <v>0</v>
      </c>
      <c r="EY50" s="1091" t="str">
        <f t="shared" si="602"/>
        <v/>
      </c>
      <c r="EZ50" s="1091"/>
      <c r="FA50" s="1090">
        <f>IF(NOW()&gt;=DATE(YEAR(EU$2),MONTH(EU$2)+1,DAY(EU$2)),SUMIFS(AC_SOTIEN,AC_THANG,EU$2,AC_KM,$E50),SUMIFS(TF_SOTIEN,TF_THANG,EU$2,TF_KM,$E50))/ 1000</f>
        <v>0</v>
      </c>
      <c r="FB50" s="1091" t="str">
        <f t="shared" si="603"/>
        <v/>
      </c>
      <c r="FC50" s="1091" t="str">
        <f t="shared" si="675"/>
        <v/>
      </c>
      <c r="FD50" s="1090">
        <f t="shared" si="94"/>
        <v>0</v>
      </c>
      <c r="FE50" s="1091" t="str">
        <f t="shared" si="95"/>
        <v/>
      </c>
      <c r="FF50" s="1090">
        <f t="shared" si="96"/>
        <v>0</v>
      </c>
      <c r="FG50" s="1091" t="str">
        <f t="shared" si="97"/>
        <v/>
      </c>
      <c r="FH50" s="1088">
        <f t="shared" si="240"/>
        <v>0</v>
      </c>
      <c r="FI50" s="1091" t="str">
        <f t="shared" si="604"/>
        <v/>
      </c>
      <c r="FJ50" s="1091">
        <f t="shared" si="676"/>
        <v>0</v>
      </c>
      <c r="FK50" s="1090">
        <f t="shared" si="243"/>
        <v>0</v>
      </c>
      <c r="FL50" s="1091" t="str">
        <f t="shared" si="605"/>
        <v/>
      </c>
      <c r="FM50" s="1091">
        <f t="shared" si="677"/>
        <v>0</v>
      </c>
      <c r="FN50" s="1090">
        <f t="shared" si="246"/>
        <v>0</v>
      </c>
      <c r="FO50" s="1091" t="str">
        <f t="shared" si="606"/>
        <v/>
      </c>
      <c r="FP50" s="1091" t="str">
        <f t="shared" si="678"/>
        <v/>
      </c>
      <c r="FQ50" s="1090">
        <f t="shared" si="104"/>
        <v>0</v>
      </c>
      <c r="FR50" s="1091" t="str">
        <f t="shared" si="105"/>
        <v/>
      </c>
      <c r="FS50" s="1090">
        <f t="shared" si="106"/>
        <v>0</v>
      </c>
      <c r="FT50" s="1091" t="str">
        <f t="shared" si="107"/>
        <v/>
      </c>
      <c r="FU50" s="1088">
        <f>SUMIFS(BP_SOTIEN,BP_THANG,FU$2,BP_KM,$E50)/1000</f>
        <v>0</v>
      </c>
      <c r="FV50" s="1091" t="str">
        <f t="shared" si="607"/>
        <v/>
      </c>
      <c r="FW50" s="1091"/>
      <c r="FX50" s="1090">
        <f>IF(NOW()&gt;=DATE(YEAR(FU$2),MONTH(FU$2)+1,DAY(FU$2)),SUMIFS(TF_SOTIEN,TF_THANG,FU$2,TF_KM,$E50)/1000, GA50)</f>
        <v>0</v>
      </c>
      <c r="FY50" s="1091" t="str">
        <f t="shared" si="608"/>
        <v/>
      </c>
      <c r="FZ50" s="1091"/>
      <c r="GA50" s="1090">
        <f>IF(NOW()&gt;=DATE(YEAR(FU$2),MONTH(FU$2)+1,DAY(FU$2)),SUMIFS(AC_SOTIEN,AC_THANG,FU$2,AC_KM,$E50),SUMIFS(TF_SOTIEN,TF_THANG,FU$2,TF_KM,$E50))/ 1000</f>
        <v>0</v>
      </c>
      <c r="GB50" s="1091" t="str">
        <f t="shared" si="609"/>
        <v/>
      </c>
      <c r="GC50" s="1091" t="str">
        <f t="shared" si="679"/>
        <v/>
      </c>
      <c r="GD50" s="1090">
        <f t="shared" si="111"/>
        <v>0</v>
      </c>
      <c r="GE50" s="1091" t="str">
        <f t="shared" si="112"/>
        <v/>
      </c>
      <c r="GF50" s="1090">
        <f t="shared" si="113"/>
        <v>0</v>
      </c>
      <c r="GG50" s="1091" t="str">
        <f t="shared" si="114"/>
        <v/>
      </c>
      <c r="GH50" s="1088">
        <f>SUMIFS(BP_SOTIEN,BP_THANG,GH$2,BP_KM,$E50)/1000</f>
        <v>0</v>
      </c>
      <c r="GI50" s="1091" t="str">
        <f t="shared" si="610"/>
        <v/>
      </c>
      <c r="GJ50" s="1091"/>
      <c r="GK50" s="1090">
        <f>IF(NOW()&gt;=DATE(YEAR(GH$2),MONTH(GH$2)+1,DAY(GH$2)),SUMIFS(TF_SOTIEN,TF_THANG,GH$2,TF_KM,$E50)/1000, GN50)</f>
        <v>0</v>
      </c>
      <c r="GL50" s="1091" t="str">
        <f t="shared" si="611"/>
        <v/>
      </c>
      <c r="GM50" s="1091"/>
      <c r="GN50" s="1090">
        <f>IF(NOW()&gt;=DATE(YEAR(GH$2),MONTH(GH$2)+1,DAY(GH$2)),SUMIFS(AC_SOTIEN,AC_THANG,GH$2,AC_KM,$E50),SUMIFS(TF_SOTIEN,TF_THANG,GH$2,TF_KM,$E50))/ 1000</f>
        <v>0</v>
      </c>
      <c r="GO50" s="1091" t="str">
        <f t="shared" si="612"/>
        <v/>
      </c>
      <c r="GP50" s="1091" t="str">
        <f t="shared" si="680"/>
        <v/>
      </c>
      <c r="GQ50" s="1090">
        <f t="shared" si="118"/>
        <v>0</v>
      </c>
      <c r="GR50" s="1091" t="str">
        <f t="shared" si="119"/>
        <v/>
      </c>
      <c r="GS50" s="1090">
        <f t="shared" si="120"/>
        <v>0</v>
      </c>
      <c r="GT50" s="1091" t="str">
        <f t="shared" si="121"/>
        <v/>
      </c>
      <c r="GU50" s="1088">
        <f>SUMIFS(BP_SOTIEN,BP_THANG,GU$2,BP_KM,$E50)/1000</f>
        <v>0</v>
      </c>
      <c r="GV50" s="1091" t="str">
        <f t="shared" si="613"/>
        <v/>
      </c>
      <c r="GW50" s="1091"/>
      <c r="GX50" s="1090">
        <f>IF(NOW()&gt;=DATE(YEAR(GU$2),MONTH(GU$2)+1,DAY(GU$2)),SUMIFS(TF_SOTIEN,TF_THANG,GU$2,TF_KM,$E50)/1000, HA50)</f>
        <v>0</v>
      </c>
      <c r="GY50" s="1091" t="str">
        <f t="shared" si="614"/>
        <v/>
      </c>
      <c r="GZ50" s="1091"/>
      <c r="HA50" s="1090">
        <f>IF(NOW()&gt;=DATE(YEAR(GU$2),MONTH(GU$2)+1,DAY(GU$2)),SUMIFS(AC_SOTIEN,AC_THANG,GU$2,AC_KM,$E50),SUMIFS(TF_SOTIEN,TF_THANG,GU$2,TF_KM,$E50))/ 1000</f>
        <v>0</v>
      </c>
      <c r="HB50" s="1091" t="str">
        <f t="shared" si="615"/>
        <v/>
      </c>
      <c r="HC50" s="1091" t="str">
        <f t="shared" si="681"/>
        <v/>
      </c>
      <c r="HD50" s="1090">
        <f t="shared" si="125"/>
        <v>0</v>
      </c>
      <c r="HE50" s="1091" t="str">
        <f t="shared" si="126"/>
        <v/>
      </c>
      <c r="HF50" s="1090">
        <f t="shared" si="127"/>
        <v>0</v>
      </c>
      <c r="HG50" s="1091" t="str">
        <f t="shared" si="128"/>
        <v/>
      </c>
      <c r="HH50" s="1088">
        <f t="shared" si="267"/>
        <v>0</v>
      </c>
      <c r="HI50" s="1091" t="str">
        <f t="shared" si="616"/>
        <v/>
      </c>
      <c r="HJ50" s="1091">
        <f t="shared" si="682"/>
        <v>0</v>
      </c>
      <c r="HK50" s="1090">
        <f t="shared" si="270"/>
        <v>0</v>
      </c>
      <c r="HL50" s="1091" t="str">
        <f t="shared" si="617"/>
        <v/>
      </c>
      <c r="HM50" s="1091">
        <f t="shared" si="683"/>
        <v>0</v>
      </c>
      <c r="HN50" s="1090">
        <f t="shared" si="273"/>
        <v>0</v>
      </c>
      <c r="HO50" s="1091" t="str">
        <f t="shared" si="618"/>
        <v/>
      </c>
      <c r="HP50" s="1091" t="str">
        <f t="shared" si="684"/>
        <v/>
      </c>
      <c r="HQ50" s="1090">
        <f t="shared" si="135"/>
        <v>0</v>
      </c>
      <c r="HR50" s="1091" t="str">
        <f t="shared" si="136"/>
        <v/>
      </c>
      <c r="HS50" s="1090">
        <f t="shared" si="137"/>
        <v>0</v>
      </c>
      <c r="HT50" s="1091" t="str">
        <f t="shared" si="138"/>
        <v/>
      </c>
      <c r="HU50" s="1088">
        <f t="shared" si="276"/>
        <v>0</v>
      </c>
      <c r="HV50" s="1091" t="str">
        <f t="shared" si="619"/>
        <v/>
      </c>
      <c r="HW50" s="1091">
        <f t="shared" si="685"/>
        <v>0</v>
      </c>
      <c r="HX50" s="1090">
        <f t="shared" si="279"/>
        <v>0</v>
      </c>
      <c r="HY50" s="1091" t="str">
        <f t="shared" si="620"/>
        <v/>
      </c>
      <c r="HZ50" s="1091">
        <f t="shared" si="686"/>
        <v>0</v>
      </c>
      <c r="IA50" s="1090">
        <f t="shared" si="282"/>
        <v>0</v>
      </c>
      <c r="IB50" s="1091" t="str">
        <f t="shared" si="621"/>
        <v/>
      </c>
      <c r="IC50" s="1091" t="str">
        <f t="shared" si="687"/>
        <v/>
      </c>
      <c r="ID50" s="1090">
        <f t="shared" si="145"/>
        <v>0</v>
      </c>
      <c r="IE50" s="1091" t="str">
        <f t="shared" si="146"/>
        <v/>
      </c>
      <c r="IF50" s="1090">
        <f t="shared" si="147"/>
        <v>0</v>
      </c>
      <c r="IG50" s="1091" t="str">
        <f t="shared" si="148"/>
        <v/>
      </c>
      <c r="IH50" s="1088">
        <f t="shared" si="285"/>
        <v>0</v>
      </c>
      <c r="II50" s="1091" t="str">
        <f t="shared" si="622"/>
        <v/>
      </c>
      <c r="IJ50" s="1091">
        <f t="shared" si="688"/>
        <v>0</v>
      </c>
      <c r="IK50" s="1090">
        <f t="shared" si="288"/>
        <v>0</v>
      </c>
      <c r="IL50" s="1091" t="str">
        <f t="shared" si="623"/>
        <v/>
      </c>
      <c r="IM50" s="1091">
        <f t="shared" si="689"/>
        <v>0</v>
      </c>
      <c r="IN50" s="1090">
        <f t="shared" si="291"/>
        <v>0</v>
      </c>
      <c r="IO50" s="1091">
        <f t="shared" si="624"/>
        <v>0</v>
      </c>
      <c r="IP50" s="1091">
        <f t="shared" si="690"/>
        <v>0</v>
      </c>
      <c r="IQ50" s="1090">
        <f t="shared" si="155"/>
        <v>0</v>
      </c>
      <c r="IR50" s="1091" t="str">
        <f t="shared" si="1"/>
        <v/>
      </c>
      <c r="IS50" s="1090">
        <f t="shared" si="156"/>
        <v>0</v>
      </c>
      <c r="IT50" s="1091" t="str">
        <f t="shared" si="2"/>
        <v/>
      </c>
    </row>
    <row r="51" hidden="1" outlineLevel="1">
      <c r="A51" s="1087"/>
      <c r="B51" s="1087"/>
      <c r="C51" s="1087"/>
      <c r="D51" s="656" t="s">
        <v>2837</v>
      </c>
      <c r="E51" s="656" t="s">
        <v>203</v>
      </c>
      <c r="F51" s="1087"/>
      <c r="G51" s="1086">
        <v>2.0</v>
      </c>
      <c r="H51" s="1088">
        <f>SUM(H52:H56)</f>
        <v>0</v>
      </c>
      <c r="I51" s="1091" t="str">
        <f t="shared" si="566"/>
        <v/>
      </c>
      <c r="J51" s="1091"/>
      <c r="K51" s="1090">
        <f>SUM(K52:K56)</f>
        <v>0</v>
      </c>
      <c r="L51" s="1091" t="str">
        <f t="shared" si="567"/>
        <v/>
      </c>
      <c r="M51" s="1091"/>
      <c r="N51" s="1090">
        <f>SUM(N52:N56)</f>
        <v>0</v>
      </c>
      <c r="O51" s="1091">
        <f t="shared" si="568"/>
        <v>0</v>
      </c>
      <c r="P51" s="1091">
        <f t="shared" si="658"/>
        <v>0</v>
      </c>
      <c r="Q51" s="1090">
        <f t="shared" si="8"/>
        <v>0</v>
      </c>
      <c r="R51" s="1091" t="str">
        <f t="shared" si="9"/>
        <v/>
      </c>
      <c r="S51" s="1090">
        <f t="shared" si="10"/>
        <v>0</v>
      </c>
      <c r="T51" s="1091" t="str">
        <f t="shared" si="11"/>
        <v/>
      </c>
      <c r="U51" s="1088">
        <f>SUM(U52:U56)</f>
        <v>0</v>
      </c>
      <c r="V51" s="1091" t="str">
        <f t="shared" si="569"/>
        <v/>
      </c>
      <c r="W51" s="1091"/>
      <c r="X51" s="1090">
        <f>SUM(X52:X56)</f>
        <v>0</v>
      </c>
      <c r="Y51" s="1091" t="str">
        <f t="shared" si="570"/>
        <v/>
      </c>
      <c r="Z51" s="1091"/>
      <c r="AA51" s="1090">
        <f>SUM(AA52:AA56)</f>
        <v>0</v>
      </c>
      <c r="AB51" s="1091" t="str">
        <f t="shared" si="571"/>
        <v/>
      </c>
      <c r="AC51" s="1091">
        <f t="shared" si="659"/>
        <v>0</v>
      </c>
      <c r="AD51" s="1090">
        <f t="shared" si="15"/>
        <v>0</v>
      </c>
      <c r="AE51" s="1091" t="str">
        <f t="shared" si="16"/>
        <v/>
      </c>
      <c r="AF51" s="1090">
        <f t="shared" si="17"/>
        <v>0</v>
      </c>
      <c r="AG51" s="1091" t="str">
        <f t="shared" si="18"/>
        <v/>
      </c>
      <c r="AH51" s="1088">
        <f>SUM(AH52:AH56)</f>
        <v>0</v>
      </c>
      <c r="AI51" s="1091" t="str">
        <f t="shared" si="572"/>
        <v/>
      </c>
      <c r="AJ51" s="1091"/>
      <c r="AK51" s="1090">
        <f>SUM(AK52:AK56)</f>
        <v>96360</v>
      </c>
      <c r="AL51" s="1091" t="str">
        <f t="shared" si="573"/>
        <v/>
      </c>
      <c r="AM51" s="1091"/>
      <c r="AN51" s="1090">
        <f>SUM(AN52:AN56)</f>
        <v>3123.6</v>
      </c>
      <c r="AO51" s="1091" t="str">
        <f t="shared" si="574"/>
        <v/>
      </c>
      <c r="AP51" s="1091">
        <f t="shared" si="660"/>
        <v>0.005126548798</v>
      </c>
      <c r="AQ51" s="1090">
        <f t="shared" si="22"/>
        <v>3123.6</v>
      </c>
      <c r="AR51" s="1091" t="str">
        <f t="shared" si="23"/>
        <v/>
      </c>
      <c r="AS51" s="1090">
        <f t="shared" si="24"/>
        <v>-93236.4</v>
      </c>
      <c r="AT51" s="1091">
        <f t="shared" si="25"/>
        <v>-0.9675840598</v>
      </c>
      <c r="AU51" s="1088">
        <f>SUM(AU52:AU56)</f>
        <v>0</v>
      </c>
      <c r="AV51" s="1091" t="str">
        <f t="shared" si="575"/>
        <v/>
      </c>
      <c r="AW51" s="1091">
        <f t="shared" si="661"/>
        <v>0</v>
      </c>
      <c r="AX51" s="1090">
        <f>SUM(AX52:AX56)</f>
        <v>96360</v>
      </c>
      <c r="AY51" s="1091" t="str">
        <f t="shared" si="576"/>
        <v/>
      </c>
      <c r="AZ51" s="1091">
        <f t="shared" si="662"/>
        <v>0.2590357857</v>
      </c>
      <c r="BA51" s="1090">
        <f>SUM(BA52:BA56)</f>
        <v>3123.6</v>
      </c>
      <c r="BB51" s="1091">
        <f t="shared" si="577"/>
        <v>0.009187058824</v>
      </c>
      <c r="BC51" s="1091">
        <f t="shared" si="663"/>
        <v>0.002092145256</v>
      </c>
      <c r="BD51" s="1090">
        <f t="shared" si="32"/>
        <v>3123.6</v>
      </c>
      <c r="BE51" s="1091" t="str">
        <f t="shared" si="33"/>
        <v/>
      </c>
      <c r="BF51" s="1090">
        <f t="shared" si="34"/>
        <v>-93236.4</v>
      </c>
      <c r="BG51" s="1091">
        <f t="shared" si="35"/>
        <v>-0.9675840598</v>
      </c>
      <c r="BH51" s="1088">
        <f>SUM(BH52:BH56)</f>
        <v>1417000</v>
      </c>
      <c r="BI51" s="1091" t="str">
        <f t="shared" si="578"/>
        <v/>
      </c>
      <c r="BJ51" s="1091"/>
      <c r="BK51" s="1090">
        <f>SUM(BK52:BK56)</f>
        <v>97560</v>
      </c>
      <c r="BL51" s="1091" t="str">
        <f t="shared" si="579"/>
        <v/>
      </c>
      <c r="BM51" s="1091"/>
      <c r="BN51" s="1090">
        <f>SUM(BN52:BN56)</f>
        <v>5973.7</v>
      </c>
      <c r="BO51" s="1091" t="str">
        <f t="shared" si="580"/>
        <v/>
      </c>
      <c r="BP51" s="1091">
        <f t="shared" si="664"/>
        <v>0.005040616027</v>
      </c>
      <c r="BQ51" s="1090">
        <f t="shared" si="39"/>
        <v>-1411026.3</v>
      </c>
      <c r="BR51" s="1091">
        <f t="shared" si="40"/>
        <v>-0.9957842625</v>
      </c>
      <c r="BS51" s="1090">
        <f t="shared" si="41"/>
        <v>-91586.3</v>
      </c>
      <c r="BT51" s="1091">
        <f t="shared" si="42"/>
        <v>-0.9387689627</v>
      </c>
      <c r="BU51" s="1088">
        <f>SUM(BU52:BU56)</f>
        <v>1417000</v>
      </c>
      <c r="BV51" s="1091" t="str">
        <f t="shared" si="581"/>
        <v/>
      </c>
      <c r="BW51" s="1091"/>
      <c r="BX51" s="1090">
        <f>SUM(BX52:BX56)</f>
        <v>1000</v>
      </c>
      <c r="BY51" s="1091" t="str">
        <f t="shared" si="582"/>
        <v/>
      </c>
      <c r="BZ51" s="1091"/>
      <c r="CA51" s="1090">
        <f>SUM(CA52:CA56)</f>
        <v>38179</v>
      </c>
      <c r="CB51" s="1091" t="str">
        <f t="shared" si="583"/>
        <v/>
      </c>
      <c r="CC51" s="1091">
        <f t="shared" si="665"/>
        <v>0.07101398145</v>
      </c>
      <c r="CD51" s="1090">
        <f t="shared" si="46"/>
        <v>-1378821</v>
      </c>
      <c r="CE51" s="1091">
        <f t="shared" si="47"/>
        <v>-0.9730564573</v>
      </c>
      <c r="CF51" s="1090">
        <f t="shared" si="48"/>
        <v>37179</v>
      </c>
      <c r="CG51" s="1091">
        <f t="shared" si="49"/>
        <v>37.179</v>
      </c>
      <c r="CH51" s="1088">
        <f>SUM(CH52:CH56)</f>
        <v>1417000</v>
      </c>
      <c r="CI51" s="1091" t="str">
        <f t="shared" si="584"/>
        <v/>
      </c>
      <c r="CJ51" s="1091"/>
      <c r="CK51" s="1090">
        <f>SUM(CK52:CK56)</f>
        <v>169000</v>
      </c>
      <c r="CL51" s="1091" t="str">
        <f t="shared" si="585"/>
        <v/>
      </c>
      <c r="CM51" s="1091"/>
      <c r="CN51" s="1090">
        <f>SUM(CN52:CN56)</f>
        <v>0</v>
      </c>
      <c r="CO51" s="1091" t="str">
        <f t="shared" si="586"/>
        <v/>
      </c>
      <c r="CP51" s="1091" t="str">
        <f t="shared" si="666"/>
        <v/>
      </c>
      <c r="CQ51" s="1090">
        <f t="shared" si="53"/>
        <v>-1417000</v>
      </c>
      <c r="CR51" s="1091">
        <f t="shared" si="54"/>
        <v>-1</v>
      </c>
      <c r="CS51" s="1090">
        <f t="shared" si="55"/>
        <v>-169000</v>
      </c>
      <c r="CT51" s="1091">
        <f t="shared" si="56"/>
        <v>-1</v>
      </c>
      <c r="CU51" s="1088">
        <f>SUM(CU52:CU56)</f>
        <v>4251000</v>
      </c>
      <c r="CV51" s="1091" t="str">
        <f t="shared" si="587"/>
        <v/>
      </c>
      <c r="CW51" s="1091">
        <f t="shared" si="667"/>
        <v>0.1837832369</v>
      </c>
      <c r="CX51" s="1090">
        <f>SUM(CX52:CX56)</f>
        <v>267560</v>
      </c>
      <c r="CY51" s="1091" t="str">
        <f t="shared" si="589"/>
        <v/>
      </c>
      <c r="CZ51" s="1091">
        <f t="shared" si="668"/>
        <v>0.0352867123</v>
      </c>
      <c r="DA51" s="1090">
        <f>SUM(DA52:DA56)</f>
        <v>44152.7</v>
      </c>
      <c r="DB51" s="1091" t="str">
        <f t="shared" si="591"/>
        <v/>
      </c>
      <c r="DC51" s="1091">
        <f t="shared" si="669"/>
        <v>0.02562935212</v>
      </c>
      <c r="DD51" s="1090">
        <f t="shared" si="63"/>
        <v>-4206847.3</v>
      </c>
      <c r="DE51" s="1091">
        <f t="shared" si="64"/>
        <v>-0.9896135733</v>
      </c>
      <c r="DF51" s="1090">
        <f t="shared" si="65"/>
        <v>-223407.3</v>
      </c>
      <c r="DG51" s="1091">
        <f t="shared" si="66"/>
        <v>-0.8349801914</v>
      </c>
      <c r="DH51" s="1088">
        <f>SUM(DH52:DH56)</f>
        <v>4251000</v>
      </c>
      <c r="DI51" s="1091" t="str">
        <f t="shared" si="592"/>
        <v/>
      </c>
      <c r="DJ51" s="1091">
        <f t="shared" si="670"/>
        <v>0.182524532</v>
      </c>
      <c r="DK51" s="1090">
        <f t="shared" si="216"/>
        <v>363920</v>
      </c>
      <c r="DL51" s="1091" t="str">
        <f t="shared" si="593"/>
        <v/>
      </c>
      <c r="DM51" s="1091">
        <f t="shared" si="671"/>
        <v>0.04575047727</v>
      </c>
      <c r="DN51" s="1090">
        <f t="shared" si="219"/>
        <v>47276.3</v>
      </c>
      <c r="DO51" s="1091">
        <f t="shared" si="594"/>
        <v>0.1390479412</v>
      </c>
      <c r="DP51" s="1091">
        <f t="shared" si="672"/>
        <v>0.0147014731</v>
      </c>
      <c r="DQ51" s="1090">
        <f t="shared" si="73"/>
        <v>-4203723.7</v>
      </c>
      <c r="DR51" s="1091">
        <f t="shared" si="74"/>
        <v>-0.9888787815</v>
      </c>
      <c r="DS51" s="1090">
        <f t="shared" si="75"/>
        <v>-316643.7</v>
      </c>
      <c r="DT51" s="1091">
        <f t="shared" si="76"/>
        <v>-0.8700915036</v>
      </c>
      <c r="DU51" s="1088">
        <f>SUM(DU52:DU56)</f>
        <v>1417000</v>
      </c>
      <c r="DV51" s="1091" t="str">
        <f t="shared" si="595"/>
        <v/>
      </c>
      <c r="DW51" s="1091"/>
      <c r="DX51" s="1090">
        <f>SUM(DX52:DX56)</f>
        <v>1417000</v>
      </c>
      <c r="DY51" s="1091" t="str">
        <f t="shared" si="596"/>
        <v/>
      </c>
      <c r="DZ51" s="1091"/>
      <c r="EA51" s="1090">
        <f>SUM(EA52:EA56)</f>
        <v>0</v>
      </c>
      <c r="EB51" s="1091" t="str">
        <f t="shared" si="597"/>
        <v/>
      </c>
      <c r="EC51" s="1091" t="str">
        <f t="shared" si="673"/>
        <v/>
      </c>
      <c r="ED51" s="1090">
        <f t="shared" si="80"/>
        <v>-1417000</v>
      </c>
      <c r="EE51" s="1091">
        <f t="shared" si="81"/>
        <v>-1</v>
      </c>
      <c r="EF51" s="1090">
        <f t="shared" si="82"/>
        <v>-1417000</v>
      </c>
      <c r="EG51" s="1091">
        <f t="shared" si="83"/>
        <v>-1</v>
      </c>
      <c r="EH51" s="1088">
        <f>SUM(EH52:EH56)</f>
        <v>1417000</v>
      </c>
      <c r="EI51" s="1091" t="str">
        <f t="shared" si="598"/>
        <v/>
      </c>
      <c r="EJ51" s="1091"/>
      <c r="EK51" s="1090">
        <f>SUM(EK52:EK56)</f>
        <v>1417000</v>
      </c>
      <c r="EL51" s="1091" t="str">
        <f t="shared" si="599"/>
        <v/>
      </c>
      <c r="EM51" s="1091"/>
      <c r="EN51" s="1090">
        <f>SUM(EN52:EN56)</f>
        <v>0</v>
      </c>
      <c r="EO51" s="1091" t="str">
        <f t="shared" si="600"/>
        <v/>
      </c>
      <c r="EP51" s="1091" t="str">
        <f t="shared" si="674"/>
        <v/>
      </c>
      <c r="EQ51" s="1090">
        <f t="shared" si="87"/>
        <v>-1417000</v>
      </c>
      <c r="ER51" s="1091">
        <f t="shared" si="88"/>
        <v>-1</v>
      </c>
      <c r="ES51" s="1090">
        <f t="shared" si="89"/>
        <v>-1417000</v>
      </c>
      <c r="ET51" s="1091">
        <f t="shared" si="90"/>
        <v>-1</v>
      </c>
      <c r="EU51" s="1088">
        <f>SUM(EU52:EU56)</f>
        <v>1417000</v>
      </c>
      <c r="EV51" s="1091" t="str">
        <f t="shared" si="601"/>
        <v/>
      </c>
      <c r="EW51" s="1091"/>
      <c r="EX51" s="1090">
        <f>SUM(EX52:EX56)</f>
        <v>1417000</v>
      </c>
      <c r="EY51" s="1091" t="str">
        <f t="shared" si="602"/>
        <v/>
      </c>
      <c r="EZ51" s="1091"/>
      <c r="FA51" s="1090">
        <f>SUM(FA52:FA56)</f>
        <v>0</v>
      </c>
      <c r="FB51" s="1091" t="str">
        <f t="shared" si="603"/>
        <v/>
      </c>
      <c r="FC51" s="1091" t="str">
        <f t="shared" si="675"/>
        <v/>
      </c>
      <c r="FD51" s="1090">
        <f t="shared" si="94"/>
        <v>-1417000</v>
      </c>
      <c r="FE51" s="1091">
        <f t="shared" si="95"/>
        <v>-1</v>
      </c>
      <c r="FF51" s="1090">
        <f t="shared" si="96"/>
        <v>-1417000</v>
      </c>
      <c r="FG51" s="1091">
        <f t="shared" si="97"/>
        <v>-1</v>
      </c>
      <c r="FH51" s="1088">
        <f>SUM(FH52:FH56)</f>
        <v>4251000</v>
      </c>
      <c r="FI51" s="1091" t="str">
        <f t="shared" si="604"/>
        <v/>
      </c>
      <c r="FJ51" s="1091">
        <f t="shared" si="676"/>
        <v>0.1837832369</v>
      </c>
      <c r="FK51" s="1090">
        <f t="shared" si="243"/>
        <v>4251000</v>
      </c>
      <c r="FL51" s="1091" t="str">
        <f t="shared" si="605"/>
        <v/>
      </c>
      <c r="FM51" s="1091">
        <f t="shared" si="677"/>
        <v>0.1837832369</v>
      </c>
      <c r="FN51" s="1090">
        <f t="shared" si="246"/>
        <v>0</v>
      </c>
      <c r="FO51" s="1091" t="str">
        <f t="shared" si="606"/>
        <v/>
      </c>
      <c r="FP51" s="1091" t="str">
        <f t="shared" si="678"/>
        <v/>
      </c>
      <c r="FQ51" s="1090">
        <f t="shared" si="104"/>
        <v>-4251000</v>
      </c>
      <c r="FR51" s="1091">
        <f t="shared" si="105"/>
        <v>-1</v>
      </c>
      <c r="FS51" s="1090">
        <f t="shared" si="106"/>
        <v>-4251000</v>
      </c>
      <c r="FT51" s="1091">
        <f t="shared" si="107"/>
        <v>-1</v>
      </c>
      <c r="FU51" s="1088">
        <f>SUM(FU52:FU56)</f>
        <v>1417000</v>
      </c>
      <c r="FV51" s="1091" t="str">
        <f t="shared" si="607"/>
        <v/>
      </c>
      <c r="FW51" s="1091"/>
      <c r="FX51" s="1090">
        <f>SUM(FX52:FX56)</f>
        <v>1417000</v>
      </c>
      <c r="FY51" s="1091" t="str">
        <f t="shared" si="608"/>
        <v/>
      </c>
      <c r="FZ51" s="1091"/>
      <c r="GA51" s="1090">
        <f>SUM(GA52:GA56)</f>
        <v>0</v>
      </c>
      <c r="GB51" s="1091" t="str">
        <f t="shared" si="609"/>
        <v/>
      </c>
      <c r="GC51" s="1091" t="str">
        <f t="shared" si="679"/>
        <v/>
      </c>
      <c r="GD51" s="1090">
        <f t="shared" si="111"/>
        <v>-1417000</v>
      </c>
      <c r="GE51" s="1091">
        <f t="shared" si="112"/>
        <v>-1</v>
      </c>
      <c r="GF51" s="1090">
        <f t="shared" si="113"/>
        <v>-1417000</v>
      </c>
      <c r="GG51" s="1091">
        <f t="shared" si="114"/>
        <v>-1</v>
      </c>
      <c r="GH51" s="1088">
        <f>SUM(GH52:GH56)</f>
        <v>1417000</v>
      </c>
      <c r="GI51" s="1091" t="str">
        <f t="shared" si="610"/>
        <v/>
      </c>
      <c r="GJ51" s="1091"/>
      <c r="GK51" s="1090">
        <f>SUM(GK52:GK56)</f>
        <v>1417000</v>
      </c>
      <c r="GL51" s="1091" t="str">
        <f t="shared" si="611"/>
        <v/>
      </c>
      <c r="GM51" s="1091"/>
      <c r="GN51" s="1090">
        <f>SUM(GN52:GN56)</f>
        <v>0</v>
      </c>
      <c r="GO51" s="1091" t="str">
        <f t="shared" si="612"/>
        <v/>
      </c>
      <c r="GP51" s="1091" t="str">
        <f t="shared" si="680"/>
        <v/>
      </c>
      <c r="GQ51" s="1090">
        <f t="shared" si="118"/>
        <v>-1417000</v>
      </c>
      <c r="GR51" s="1091">
        <f t="shared" si="119"/>
        <v>-1</v>
      </c>
      <c r="GS51" s="1090">
        <f t="shared" si="120"/>
        <v>-1417000</v>
      </c>
      <c r="GT51" s="1091">
        <f t="shared" si="121"/>
        <v>-1</v>
      </c>
      <c r="GU51" s="1088">
        <f>SUM(GU52:GU56)</f>
        <v>1417000</v>
      </c>
      <c r="GV51" s="1091" t="str">
        <f t="shared" si="613"/>
        <v/>
      </c>
      <c r="GW51" s="1091"/>
      <c r="GX51" s="1090">
        <f>SUM(GX52:GX56)</f>
        <v>1417000</v>
      </c>
      <c r="GY51" s="1091" t="str">
        <f t="shared" si="614"/>
        <v/>
      </c>
      <c r="GZ51" s="1091"/>
      <c r="HA51" s="1090">
        <f>SUM(HA52:HA56)</f>
        <v>0</v>
      </c>
      <c r="HB51" s="1091" t="str">
        <f t="shared" si="615"/>
        <v/>
      </c>
      <c r="HC51" s="1091" t="str">
        <f t="shared" si="681"/>
        <v/>
      </c>
      <c r="HD51" s="1090">
        <f t="shared" si="125"/>
        <v>-1417000</v>
      </c>
      <c r="HE51" s="1091">
        <f t="shared" si="126"/>
        <v>-1</v>
      </c>
      <c r="HF51" s="1090">
        <f t="shared" si="127"/>
        <v>-1417000</v>
      </c>
      <c r="HG51" s="1091">
        <f t="shared" si="128"/>
        <v>-1</v>
      </c>
      <c r="HH51" s="1088">
        <f>SUM(HH52:HH56)</f>
        <v>4251000</v>
      </c>
      <c r="HI51" s="1091" t="str">
        <f t="shared" si="616"/>
        <v/>
      </c>
      <c r="HJ51" s="1091">
        <f t="shared" si="682"/>
        <v>0.1837832369</v>
      </c>
      <c r="HK51" s="1090">
        <f t="shared" si="270"/>
        <v>4251000</v>
      </c>
      <c r="HL51" s="1091" t="str">
        <f t="shared" si="617"/>
        <v/>
      </c>
      <c r="HM51" s="1091">
        <f t="shared" si="683"/>
        <v>0.1837832369</v>
      </c>
      <c r="HN51" s="1090">
        <f t="shared" si="273"/>
        <v>0</v>
      </c>
      <c r="HO51" s="1091" t="str">
        <f t="shared" si="618"/>
        <v/>
      </c>
      <c r="HP51" s="1091" t="str">
        <f t="shared" si="684"/>
        <v/>
      </c>
      <c r="HQ51" s="1090">
        <f t="shared" si="135"/>
        <v>-4251000</v>
      </c>
      <c r="HR51" s="1091">
        <f t="shared" si="136"/>
        <v>-1</v>
      </c>
      <c r="HS51" s="1090">
        <f t="shared" si="137"/>
        <v>-4251000</v>
      </c>
      <c r="HT51" s="1091">
        <f t="shared" si="138"/>
        <v>-1</v>
      </c>
      <c r="HU51" s="1088">
        <f>SUM(HU52:HU56)</f>
        <v>8502000</v>
      </c>
      <c r="HV51" s="1091" t="str">
        <f t="shared" si="619"/>
        <v/>
      </c>
      <c r="HW51" s="1091">
        <f t="shared" si="685"/>
        <v>0.1837832369</v>
      </c>
      <c r="HX51" s="1090">
        <f t="shared" si="279"/>
        <v>8502000</v>
      </c>
      <c r="HY51" s="1091" t="str">
        <f t="shared" si="620"/>
        <v/>
      </c>
      <c r="HZ51" s="1091">
        <f t="shared" si="686"/>
        <v>0.1837832369</v>
      </c>
      <c r="IA51" s="1090">
        <f t="shared" si="282"/>
        <v>0</v>
      </c>
      <c r="IB51" s="1091" t="str">
        <f t="shared" si="621"/>
        <v/>
      </c>
      <c r="IC51" s="1091" t="str">
        <f t="shared" si="687"/>
        <v/>
      </c>
      <c r="ID51" s="1090">
        <f t="shared" si="145"/>
        <v>-8502000</v>
      </c>
      <c r="IE51" s="1091">
        <f t="shared" si="146"/>
        <v>-1</v>
      </c>
      <c r="IF51" s="1090">
        <f t="shared" si="147"/>
        <v>-8502000</v>
      </c>
      <c r="IG51" s="1091">
        <f t="shared" si="148"/>
        <v>-1</v>
      </c>
      <c r="IH51" s="1088">
        <f>SUM(IH52:IH56)</f>
        <v>12753000</v>
      </c>
      <c r="II51" s="1091" t="str">
        <f t="shared" si="622"/>
        <v/>
      </c>
      <c r="IJ51" s="1091">
        <f t="shared" si="688"/>
        <v>0.1833617441</v>
      </c>
      <c r="IK51" s="1090">
        <f t="shared" si="288"/>
        <v>8865920</v>
      </c>
      <c r="IL51" s="1091" t="str">
        <f t="shared" si="623"/>
        <v/>
      </c>
      <c r="IM51" s="1091">
        <f t="shared" si="689"/>
        <v>0.1635311763</v>
      </c>
      <c r="IN51" s="1090">
        <f t="shared" si="291"/>
        <v>47276.3</v>
      </c>
      <c r="IO51" s="1091">
        <f t="shared" si="624"/>
        <v>0.1390479412</v>
      </c>
      <c r="IP51" s="1091">
        <f t="shared" si="690"/>
        <v>0.0147014731</v>
      </c>
      <c r="IQ51" s="1090">
        <f t="shared" si="155"/>
        <v>-12705723.7</v>
      </c>
      <c r="IR51" s="1091">
        <f t="shared" si="1"/>
        <v>-0.9962929272</v>
      </c>
      <c r="IS51" s="1090">
        <f t="shared" si="156"/>
        <v>-8818643.7</v>
      </c>
      <c r="IT51" s="1091">
        <f t="shared" si="2"/>
        <v>-0.9946676374</v>
      </c>
    </row>
    <row r="52" hidden="1" outlineLevel="1">
      <c r="A52" s="737"/>
      <c r="B52" s="737"/>
      <c r="C52" s="737"/>
      <c r="D52" s="744" t="s">
        <v>2838</v>
      </c>
      <c r="E52" s="1148" t="s">
        <v>612</v>
      </c>
      <c r="F52" s="737"/>
      <c r="G52" s="748">
        <v>3.0</v>
      </c>
      <c r="H52" s="1146">
        <f>SUMIFS(BP_SOTIEN,BP_THANG,H$2,BP_KM,$E52)/1000</f>
        <v>0</v>
      </c>
      <c r="I52" s="1091" t="str">
        <f t="shared" si="566"/>
        <v/>
      </c>
      <c r="J52" s="1091"/>
      <c r="K52" s="1147">
        <f>IF(NOW()&gt;=DATE(YEAR(H$2),MONTH(H$2)+1,DAY(H$2)),SUMIFS(TF_SOTIEN,TF_THANG,H$2,TF_KM,$E52)/1000, N52)</f>
        <v>0</v>
      </c>
      <c r="L52" s="1091" t="str">
        <f t="shared" si="567"/>
        <v/>
      </c>
      <c r="M52" s="1091"/>
      <c r="N52" s="1147">
        <f>IF(NOW()&gt;=DATE(YEAR(H$2),MONTH(H$2)+1,DAY(H$2)),SUMIFS(AC_SOTIEN,AC_THANG,H$2,AC_KM,$E52),SUMIFS(TF_SOTIEN,TF_THANG,H$2,TF_KM,$E52))/ 1000</f>
        <v>0</v>
      </c>
      <c r="O52" s="1091">
        <f t="shared" si="568"/>
        <v>0</v>
      </c>
      <c r="P52" s="1091">
        <f t="shared" si="658"/>
        <v>0</v>
      </c>
      <c r="Q52" s="1147">
        <f t="shared" si="8"/>
        <v>0</v>
      </c>
      <c r="R52" s="1091" t="str">
        <f t="shared" si="9"/>
        <v/>
      </c>
      <c r="S52" s="1147">
        <f t="shared" si="10"/>
        <v>0</v>
      </c>
      <c r="T52" s="1091" t="str">
        <f t="shared" si="11"/>
        <v/>
      </c>
      <c r="U52" s="1146">
        <f>SUMIFS(BP_SOTIEN,BP_THANG,U$2,BP_KM,$E52)/1000</f>
        <v>0</v>
      </c>
      <c r="V52" s="1091" t="str">
        <f t="shared" si="569"/>
        <v/>
      </c>
      <c r="W52" s="1091"/>
      <c r="X52" s="1147">
        <f>IF(NOW()&gt;=DATE(YEAR(U$2),MONTH(U$2)+1,DAY(U$2)),SUMIFS(TF_SOTIEN,TF_THANG,U$2,TF_KM,$E52)/1000, AA52)</f>
        <v>0</v>
      </c>
      <c r="Y52" s="1091" t="str">
        <f t="shared" si="570"/>
        <v/>
      </c>
      <c r="Z52" s="1091"/>
      <c r="AA52" s="1147">
        <f>IF(NOW()&gt;=DATE(YEAR(U$2),MONTH(U$2)+1,DAY(U$2)),SUMIFS(AC_SOTIEN,AC_THANG,U$2,AC_KM,$E52),SUMIFS(TF_SOTIEN,TF_THANG,U$2,TF_KM,$E52))/ 1000</f>
        <v>0</v>
      </c>
      <c r="AB52" s="1091" t="str">
        <f t="shared" si="571"/>
        <v/>
      </c>
      <c r="AC52" s="1091">
        <f t="shared" si="659"/>
        <v>0</v>
      </c>
      <c r="AD52" s="1147">
        <f t="shared" si="15"/>
        <v>0</v>
      </c>
      <c r="AE52" s="1091" t="str">
        <f t="shared" si="16"/>
        <v/>
      </c>
      <c r="AF52" s="1147">
        <f t="shared" si="17"/>
        <v>0</v>
      </c>
      <c r="AG52" s="1091" t="str">
        <f t="shared" si="18"/>
        <v/>
      </c>
      <c r="AH52" s="1146">
        <f>SUMIFS(BP_SOTIEN,BP_THANG,AH$2,BP_KM,$E52)/1000</f>
        <v>0</v>
      </c>
      <c r="AI52" s="1091" t="str">
        <f t="shared" si="572"/>
        <v/>
      </c>
      <c r="AJ52" s="1091"/>
      <c r="AK52" s="1147">
        <f>IF(NOW()&gt;=DATE(YEAR(AH$2),MONTH(AH$2)+1,DAY(AH$2)),SUMIFS(TF_SOTIEN,TF_THANG,AH$2,TF_KM,$E52)/1000, AN52)</f>
        <v>0</v>
      </c>
      <c r="AL52" s="1091" t="str">
        <f t="shared" si="573"/>
        <v/>
      </c>
      <c r="AM52" s="1091"/>
      <c r="AN52" s="1147">
        <f>IF(NOW()&gt;=DATE(YEAR(AH$2),MONTH(AH$2)+1,DAY(AH$2)),SUMIFS(AC_SOTIEN,AC_THANG,AH$2,AC_KM,$E52),SUMIFS(TF_SOTIEN,TF_THANG,AH$2,TF_KM,$E52))/ 1000</f>
        <v>3123.6</v>
      </c>
      <c r="AO52" s="1091" t="str">
        <f t="shared" si="574"/>
        <v/>
      </c>
      <c r="AP52" s="1091">
        <f t="shared" si="660"/>
        <v>0.005126548798</v>
      </c>
      <c r="AQ52" s="1147">
        <f t="shared" si="22"/>
        <v>3123.6</v>
      </c>
      <c r="AR52" s="1091" t="str">
        <f t="shared" si="23"/>
        <v/>
      </c>
      <c r="AS52" s="1147">
        <f t="shared" si="24"/>
        <v>3123.6</v>
      </c>
      <c r="AT52" s="1091" t="str">
        <f t="shared" si="25"/>
        <v/>
      </c>
      <c r="AU52" s="1146">
        <f t="shared" ref="AU52:AU94" si="691">SUMIF(H$3:AT$3,AU$3,H52:AT52)</f>
        <v>0</v>
      </c>
      <c r="AV52" s="1091" t="str">
        <f t="shared" si="575"/>
        <v/>
      </c>
      <c r="AW52" s="1091">
        <f t="shared" si="661"/>
        <v>0</v>
      </c>
      <c r="AX52" s="1147">
        <f t="shared" ref="AX52:AX94" si="692">SUMIF(H$3:AT$3,AX$3,H52:AT52)</f>
        <v>0</v>
      </c>
      <c r="AY52" s="1091" t="str">
        <f t="shared" si="576"/>
        <v/>
      </c>
      <c r="AZ52" s="1091">
        <f t="shared" si="662"/>
        <v>0</v>
      </c>
      <c r="BA52" s="1147">
        <f t="shared" ref="BA52:BA94" si="693">SUMIF(H$3:AT$3,"AC",H52:AT52)+SUMIF(H$3:AT$3,"TF",H52:AT52)</f>
        <v>3123.6</v>
      </c>
      <c r="BB52" s="1091">
        <f t="shared" si="577"/>
        <v>0.009187058824</v>
      </c>
      <c r="BC52" s="1091">
        <f t="shared" si="663"/>
        <v>0.002092145256</v>
      </c>
      <c r="BD52" s="1147">
        <f t="shared" si="32"/>
        <v>3123.6</v>
      </c>
      <c r="BE52" s="1091" t="str">
        <f t="shared" si="33"/>
        <v/>
      </c>
      <c r="BF52" s="1147">
        <f t="shared" si="34"/>
        <v>3123.6</v>
      </c>
      <c r="BG52" s="1091" t="str">
        <f t="shared" si="35"/>
        <v/>
      </c>
      <c r="BH52" s="1146">
        <f>SUMIFS(BP_SOTIEN,BP_THANG,BH$2,BP_KM,$E52)/1000</f>
        <v>0</v>
      </c>
      <c r="BI52" s="1091" t="str">
        <f t="shared" si="578"/>
        <v/>
      </c>
      <c r="BJ52" s="1091"/>
      <c r="BK52" s="1147">
        <f>IF(NOW()&gt;=DATE(YEAR(BH$2),MONTH(BH$2)+1,DAY(BH$2)),SUMIFS(TF_SOTIEN,TF_THANG,BH$2,TF_KM,$E52)/1000, BN52)</f>
        <v>0</v>
      </c>
      <c r="BL52" s="1091" t="str">
        <f t="shared" si="579"/>
        <v/>
      </c>
      <c r="BM52" s="1091"/>
      <c r="BN52" s="1147">
        <f>IF(NOW()&gt;=DATE(YEAR(BH$2),MONTH(BH$2)+1,DAY(BH$2)),SUMIFS(AC_SOTIEN,AC_THANG,BH$2,AC_KM,$E52),SUMIFS(TF_SOTIEN,TF_THANG,BH$2,TF_KM,$E52))/ 1000</f>
        <v>5973.7</v>
      </c>
      <c r="BO52" s="1091" t="str">
        <f t="shared" si="580"/>
        <v/>
      </c>
      <c r="BP52" s="1091">
        <f t="shared" si="664"/>
        <v>0.005040616027</v>
      </c>
      <c r="BQ52" s="1147">
        <f t="shared" si="39"/>
        <v>5973.7</v>
      </c>
      <c r="BR52" s="1091" t="str">
        <f t="shared" si="40"/>
        <v/>
      </c>
      <c r="BS52" s="1147">
        <f t="shared" si="41"/>
        <v>5973.7</v>
      </c>
      <c r="BT52" s="1091" t="str">
        <f t="shared" si="42"/>
        <v/>
      </c>
      <c r="BU52" s="1146">
        <f>SUMIFS(BP_SOTIEN,BP_THANG,BU$2,BP_KM,$E52)/1000</f>
        <v>0</v>
      </c>
      <c r="BV52" s="1091" t="str">
        <f t="shared" si="581"/>
        <v/>
      </c>
      <c r="BW52" s="1091"/>
      <c r="BX52" s="1147">
        <f>IF(NOW()&gt;=DATE(YEAR(BU$2),MONTH(BU$2)+1,DAY(BU$2)),SUMIFS(TF_SOTIEN,TF_THANG,BU$2,TF_KM,$E52)/1000, CA52)</f>
        <v>0</v>
      </c>
      <c r="BY52" s="1091" t="str">
        <f t="shared" si="582"/>
        <v/>
      </c>
      <c r="BZ52" s="1091"/>
      <c r="CA52" s="1147">
        <f>IF(NOW()&gt;=DATE(YEAR(BU$2),MONTH(BU$2)+1,DAY(BU$2)),SUMIFS(AC_SOTIEN,AC_THANG,BU$2,AC_KM,$E52),SUMIFS(TF_SOTIEN,TF_THANG,BU$2,TF_KM,$E52))/ 1000</f>
        <v>21000</v>
      </c>
      <c r="CB52" s="1091" t="str">
        <f t="shared" si="583"/>
        <v/>
      </c>
      <c r="CC52" s="1091">
        <f t="shared" si="665"/>
        <v>0.03906057284</v>
      </c>
      <c r="CD52" s="1147">
        <f t="shared" si="46"/>
        <v>21000</v>
      </c>
      <c r="CE52" s="1091" t="str">
        <f t="shared" si="47"/>
        <v/>
      </c>
      <c r="CF52" s="1147">
        <f t="shared" si="48"/>
        <v>21000</v>
      </c>
      <c r="CG52" s="1091" t="str">
        <f t="shared" si="49"/>
        <v/>
      </c>
      <c r="CH52" s="1146">
        <f>SUMIFS(BP_SOTIEN,BP_THANG,CH$2,BP_KM,$E52)/1000</f>
        <v>0</v>
      </c>
      <c r="CI52" s="1091" t="str">
        <f t="shared" si="584"/>
        <v/>
      </c>
      <c r="CJ52" s="1091"/>
      <c r="CK52" s="1147">
        <f>IF(NOW()&gt;=DATE(YEAR(CH$2),MONTH(CH$2)+1,DAY(CH$2)),SUMIFS(TF_SOTIEN,TF_THANG,CH$2,TF_KM,$E52)/1000, CN52)</f>
        <v>0</v>
      </c>
      <c r="CL52" s="1091" t="str">
        <f t="shared" si="585"/>
        <v/>
      </c>
      <c r="CM52" s="1091"/>
      <c r="CN52" s="1147">
        <f>IF(NOW()&gt;=DATE(YEAR(CH$2),MONTH(CH$2)+1,DAY(CH$2)),SUMIFS(AC_SOTIEN,AC_THANG,CH$2,AC_KM,$E52),SUMIFS(TF_SOTIEN,TF_THANG,CH$2,TF_KM,$E52))/ 1000</f>
        <v>0</v>
      </c>
      <c r="CO52" s="1091" t="str">
        <f t="shared" si="586"/>
        <v/>
      </c>
      <c r="CP52" s="1091" t="str">
        <f t="shared" si="666"/>
        <v/>
      </c>
      <c r="CQ52" s="1147">
        <f t="shared" si="53"/>
        <v>0</v>
      </c>
      <c r="CR52" s="1091" t="str">
        <f t="shared" si="54"/>
        <v/>
      </c>
      <c r="CS52" s="1147">
        <f t="shared" si="55"/>
        <v>0</v>
      </c>
      <c r="CT52" s="1091" t="str">
        <f t="shared" si="56"/>
        <v/>
      </c>
      <c r="CU52" s="1146">
        <f t="shared" ref="CU52:CU94" si="694">SUMIF(BH$3:CT$3,CU$3,BH52:CT52)</f>
        <v>0</v>
      </c>
      <c r="CV52" s="1091" t="str">
        <f t="shared" si="587"/>
        <v/>
      </c>
      <c r="CW52" s="1091">
        <f t="shared" si="667"/>
        <v>0</v>
      </c>
      <c r="CX52" s="1147">
        <f t="shared" ref="CX52:CX94" si="695">SUMIF(BH$3:CT$3,CX$3,BH52:CT52)</f>
        <v>0</v>
      </c>
      <c r="CY52" s="1091" t="str">
        <f t="shared" si="589"/>
        <v/>
      </c>
      <c r="CZ52" s="1091">
        <f t="shared" si="668"/>
        <v>0</v>
      </c>
      <c r="DA52" s="1147">
        <f t="shared" ref="DA52:DA94" si="696">SUMIF(BH$3:CT$3,"AC",BH52:CT52)+SUMIF(BH$3:CT$3,"TF",BH52:CT52)</f>
        <v>26973.7</v>
      </c>
      <c r="DB52" s="1091" t="str">
        <f t="shared" si="591"/>
        <v/>
      </c>
      <c r="DC52" s="1091">
        <f t="shared" si="669"/>
        <v>0.01565744463</v>
      </c>
      <c r="DD52" s="1147">
        <f t="shared" si="63"/>
        <v>26973.7</v>
      </c>
      <c r="DE52" s="1091" t="str">
        <f t="shared" si="64"/>
        <v/>
      </c>
      <c r="DF52" s="1147">
        <f t="shared" si="65"/>
        <v>26973.7</v>
      </c>
      <c r="DG52" s="1091" t="str">
        <f t="shared" si="66"/>
        <v/>
      </c>
      <c r="DH52" s="1146">
        <f t="shared" ref="DH52:DH94" si="697">AU52+CU52</f>
        <v>0</v>
      </c>
      <c r="DI52" s="1091" t="str">
        <f t="shared" si="592"/>
        <v/>
      </c>
      <c r="DJ52" s="1091">
        <f t="shared" si="670"/>
        <v>0</v>
      </c>
      <c r="DK52" s="1147">
        <f t="shared" si="216"/>
        <v>0</v>
      </c>
      <c r="DL52" s="1091" t="str">
        <f t="shared" si="593"/>
        <v/>
      </c>
      <c r="DM52" s="1091">
        <f t="shared" si="671"/>
        <v>0</v>
      </c>
      <c r="DN52" s="1147">
        <f t="shared" si="219"/>
        <v>30097.3</v>
      </c>
      <c r="DO52" s="1091">
        <f t="shared" si="594"/>
        <v>0.08852147059</v>
      </c>
      <c r="DP52" s="1091">
        <f t="shared" si="672"/>
        <v>0.009359333247</v>
      </c>
      <c r="DQ52" s="1147">
        <f t="shared" si="73"/>
        <v>30097.3</v>
      </c>
      <c r="DR52" s="1091" t="str">
        <f t="shared" si="74"/>
        <v/>
      </c>
      <c r="DS52" s="1147">
        <f t="shared" si="75"/>
        <v>30097.3</v>
      </c>
      <c r="DT52" s="1091" t="str">
        <f t="shared" si="76"/>
        <v/>
      </c>
      <c r="DU52" s="1146">
        <f>SUMIFS(BP_SOTIEN,BP_THANG,DU$2,BP_KM,$E52)/1000</f>
        <v>0</v>
      </c>
      <c r="DV52" s="1091" t="str">
        <f t="shared" si="595"/>
        <v/>
      </c>
      <c r="DW52" s="1091"/>
      <c r="DX52" s="1147">
        <f>IF(NOW()&gt;=DATE(YEAR(DU$2),MONTH(DU$2)+1,DAY(DU$2)),SUMIFS(TF_SOTIEN,TF_THANG,DU$2,TF_KM,$E52)/1000, EA52)</f>
        <v>0</v>
      </c>
      <c r="DY52" s="1091" t="str">
        <f t="shared" si="596"/>
        <v/>
      </c>
      <c r="DZ52" s="1091"/>
      <c r="EA52" s="1147">
        <f>IF(NOW()&gt;=DATE(YEAR(DU$2),MONTH(DU$2)+1,DAY(DU$2)),SUMIFS(AC_SOTIEN,AC_THANG,DU$2,AC_KM,$E52),SUMIFS(TF_SOTIEN,TF_THANG,DU$2,TF_KM,$E52))/ 1000</f>
        <v>0</v>
      </c>
      <c r="EB52" s="1091" t="str">
        <f t="shared" si="597"/>
        <v/>
      </c>
      <c r="EC52" s="1091" t="str">
        <f t="shared" si="673"/>
        <v/>
      </c>
      <c r="ED52" s="1147">
        <f t="shared" si="80"/>
        <v>0</v>
      </c>
      <c r="EE52" s="1091" t="str">
        <f t="shared" si="81"/>
        <v/>
      </c>
      <c r="EF52" s="1147">
        <f t="shared" si="82"/>
        <v>0</v>
      </c>
      <c r="EG52" s="1091" t="str">
        <f t="shared" si="83"/>
        <v/>
      </c>
      <c r="EH52" s="1146">
        <f>SUMIFS(BP_SOTIEN,BP_THANG,EH$2,BP_KM,$E52)/1000</f>
        <v>0</v>
      </c>
      <c r="EI52" s="1091" t="str">
        <f t="shared" si="598"/>
        <v/>
      </c>
      <c r="EJ52" s="1091"/>
      <c r="EK52" s="1147">
        <f>IF(NOW()&gt;=DATE(YEAR(EH$2),MONTH(EH$2)+1,DAY(EH$2)),SUMIFS(TF_SOTIEN,TF_THANG,EH$2,TF_KM,$E52)/1000, EN52)</f>
        <v>0</v>
      </c>
      <c r="EL52" s="1091" t="str">
        <f t="shared" si="599"/>
        <v/>
      </c>
      <c r="EM52" s="1091"/>
      <c r="EN52" s="1147">
        <f>IF(NOW()&gt;=DATE(YEAR(EH$2),MONTH(EH$2)+1,DAY(EH$2)),SUMIFS(AC_SOTIEN,AC_THANG,EH$2,AC_KM,$E52),SUMIFS(TF_SOTIEN,TF_THANG,EH$2,TF_KM,$E52))/ 1000</f>
        <v>0</v>
      </c>
      <c r="EO52" s="1091" t="str">
        <f t="shared" si="600"/>
        <v/>
      </c>
      <c r="EP52" s="1091" t="str">
        <f t="shared" si="674"/>
        <v/>
      </c>
      <c r="EQ52" s="1147">
        <f t="shared" si="87"/>
        <v>0</v>
      </c>
      <c r="ER52" s="1091" t="str">
        <f t="shared" si="88"/>
        <v/>
      </c>
      <c r="ES52" s="1147">
        <f t="shared" si="89"/>
        <v>0</v>
      </c>
      <c r="ET52" s="1091" t="str">
        <f t="shared" si="90"/>
        <v/>
      </c>
      <c r="EU52" s="1146">
        <f>SUMIFS(BP_SOTIEN,BP_THANG,EU$2,BP_KM,$E52)/1000</f>
        <v>0</v>
      </c>
      <c r="EV52" s="1091" t="str">
        <f t="shared" si="601"/>
        <v/>
      </c>
      <c r="EW52" s="1091"/>
      <c r="EX52" s="1147">
        <f>IF(NOW()&gt;=DATE(YEAR(EU$2),MONTH(EU$2)+1,DAY(EU$2)),SUMIFS(TF_SOTIEN,TF_THANG,EU$2,TF_KM,$E52)/1000, FA52)</f>
        <v>0</v>
      </c>
      <c r="EY52" s="1091" t="str">
        <f t="shared" si="602"/>
        <v/>
      </c>
      <c r="EZ52" s="1091"/>
      <c r="FA52" s="1147">
        <f>IF(NOW()&gt;=DATE(YEAR(EU$2),MONTH(EU$2)+1,DAY(EU$2)),SUMIFS(AC_SOTIEN,AC_THANG,EU$2,AC_KM,$E52),SUMIFS(TF_SOTIEN,TF_THANG,EU$2,TF_KM,$E52))/ 1000</f>
        <v>0</v>
      </c>
      <c r="FB52" s="1091" t="str">
        <f t="shared" si="603"/>
        <v/>
      </c>
      <c r="FC52" s="1091" t="str">
        <f t="shared" si="675"/>
        <v/>
      </c>
      <c r="FD52" s="1147">
        <f t="shared" si="94"/>
        <v>0</v>
      </c>
      <c r="FE52" s="1091" t="str">
        <f t="shared" si="95"/>
        <v/>
      </c>
      <c r="FF52" s="1147">
        <f t="shared" si="96"/>
        <v>0</v>
      </c>
      <c r="FG52" s="1091" t="str">
        <f t="shared" si="97"/>
        <v/>
      </c>
      <c r="FH52" s="1146">
        <f t="shared" ref="FH52:FH97" si="698">SUMIF(DU$3:FG$3,FH$3,DU52:FG52)</f>
        <v>0</v>
      </c>
      <c r="FI52" s="1091" t="str">
        <f t="shared" si="604"/>
        <v/>
      </c>
      <c r="FJ52" s="1091">
        <f t="shared" si="676"/>
        <v>0</v>
      </c>
      <c r="FK52" s="1147">
        <f t="shared" si="243"/>
        <v>0</v>
      </c>
      <c r="FL52" s="1091" t="str">
        <f t="shared" si="605"/>
        <v/>
      </c>
      <c r="FM52" s="1091">
        <f t="shared" si="677"/>
        <v>0</v>
      </c>
      <c r="FN52" s="1147">
        <f t="shared" si="246"/>
        <v>0</v>
      </c>
      <c r="FO52" s="1091" t="str">
        <f t="shared" si="606"/>
        <v/>
      </c>
      <c r="FP52" s="1091" t="str">
        <f t="shared" si="678"/>
        <v/>
      </c>
      <c r="FQ52" s="1147">
        <f t="shared" si="104"/>
        <v>0</v>
      </c>
      <c r="FR52" s="1091" t="str">
        <f t="shared" si="105"/>
        <v/>
      </c>
      <c r="FS52" s="1147">
        <f t="shared" si="106"/>
        <v>0</v>
      </c>
      <c r="FT52" s="1091" t="str">
        <f t="shared" si="107"/>
        <v/>
      </c>
      <c r="FU52" s="1146">
        <f>SUMIFS(BP_SOTIEN,BP_THANG,FU$2,BP_KM,$E52)/1000</f>
        <v>0</v>
      </c>
      <c r="FV52" s="1091" t="str">
        <f t="shared" si="607"/>
        <v/>
      </c>
      <c r="FW52" s="1091"/>
      <c r="FX52" s="1147">
        <f>IF(NOW()&gt;=DATE(YEAR(FU$2),MONTH(FU$2)+1,DAY(FU$2)),SUMIFS(TF_SOTIEN,TF_THANG,FU$2,TF_KM,$E52)/1000, GA52)</f>
        <v>0</v>
      </c>
      <c r="FY52" s="1091" t="str">
        <f t="shared" si="608"/>
        <v/>
      </c>
      <c r="FZ52" s="1091"/>
      <c r="GA52" s="1147">
        <f>IF(NOW()&gt;=DATE(YEAR(FU$2),MONTH(FU$2)+1,DAY(FU$2)),SUMIFS(AC_SOTIEN,AC_THANG,FU$2,AC_KM,$E52),SUMIFS(TF_SOTIEN,TF_THANG,FU$2,TF_KM,$E52))/ 1000</f>
        <v>0</v>
      </c>
      <c r="GB52" s="1091" t="str">
        <f t="shared" si="609"/>
        <v/>
      </c>
      <c r="GC52" s="1091" t="str">
        <f t="shared" si="679"/>
        <v/>
      </c>
      <c r="GD52" s="1147">
        <f t="shared" si="111"/>
        <v>0</v>
      </c>
      <c r="GE52" s="1091" t="str">
        <f t="shared" si="112"/>
        <v/>
      </c>
      <c r="GF52" s="1147">
        <f t="shared" si="113"/>
        <v>0</v>
      </c>
      <c r="GG52" s="1091" t="str">
        <f t="shared" si="114"/>
        <v/>
      </c>
      <c r="GH52" s="1146">
        <f>SUMIFS(BP_SOTIEN,BP_THANG,GH$2,BP_KM,$E52)/1000</f>
        <v>0</v>
      </c>
      <c r="GI52" s="1091" t="str">
        <f t="shared" si="610"/>
        <v/>
      </c>
      <c r="GJ52" s="1091"/>
      <c r="GK52" s="1147">
        <f>IF(NOW()&gt;=DATE(YEAR(GH$2),MONTH(GH$2)+1,DAY(GH$2)),SUMIFS(TF_SOTIEN,TF_THANG,GH$2,TF_KM,$E52)/1000, GN52)</f>
        <v>0</v>
      </c>
      <c r="GL52" s="1091" t="str">
        <f t="shared" si="611"/>
        <v/>
      </c>
      <c r="GM52" s="1091"/>
      <c r="GN52" s="1147">
        <f>IF(NOW()&gt;=DATE(YEAR(GH$2),MONTH(GH$2)+1,DAY(GH$2)),SUMIFS(AC_SOTIEN,AC_THANG,GH$2,AC_KM,$E52),SUMIFS(TF_SOTIEN,TF_THANG,GH$2,TF_KM,$E52))/ 1000</f>
        <v>0</v>
      </c>
      <c r="GO52" s="1091" t="str">
        <f t="shared" si="612"/>
        <v/>
      </c>
      <c r="GP52" s="1091" t="str">
        <f t="shared" si="680"/>
        <v/>
      </c>
      <c r="GQ52" s="1147">
        <f t="shared" si="118"/>
        <v>0</v>
      </c>
      <c r="GR52" s="1091" t="str">
        <f t="shared" si="119"/>
        <v/>
      </c>
      <c r="GS52" s="1147">
        <f t="shared" si="120"/>
        <v>0</v>
      </c>
      <c r="GT52" s="1091" t="str">
        <f t="shared" si="121"/>
        <v/>
      </c>
      <c r="GU52" s="1146">
        <f>SUMIFS(BP_SOTIEN,BP_THANG,GU$2,BP_KM,$E52)/1000</f>
        <v>0</v>
      </c>
      <c r="GV52" s="1091" t="str">
        <f t="shared" si="613"/>
        <v/>
      </c>
      <c r="GW52" s="1091"/>
      <c r="GX52" s="1147">
        <f>IF(NOW()&gt;=DATE(YEAR(GU$2),MONTH(GU$2)+1,DAY(GU$2)),SUMIFS(TF_SOTIEN,TF_THANG,GU$2,TF_KM,$E52)/1000, HA52)</f>
        <v>0</v>
      </c>
      <c r="GY52" s="1091" t="str">
        <f t="shared" si="614"/>
        <v/>
      </c>
      <c r="GZ52" s="1091"/>
      <c r="HA52" s="1147">
        <f>IF(NOW()&gt;=DATE(YEAR(GU$2),MONTH(GU$2)+1,DAY(GU$2)),SUMIFS(AC_SOTIEN,AC_THANG,GU$2,AC_KM,$E52),SUMIFS(TF_SOTIEN,TF_THANG,GU$2,TF_KM,$E52))/ 1000</f>
        <v>0</v>
      </c>
      <c r="HB52" s="1091" t="str">
        <f t="shared" si="615"/>
        <v/>
      </c>
      <c r="HC52" s="1091" t="str">
        <f t="shared" si="681"/>
        <v/>
      </c>
      <c r="HD52" s="1147">
        <f t="shared" si="125"/>
        <v>0</v>
      </c>
      <c r="HE52" s="1091" t="str">
        <f t="shared" si="126"/>
        <v/>
      </c>
      <c r="HF52" s="1147">
        <f t="shared" si="127"/>
        <v>0</v>
      </c>
      <c r="HG52" s="1091" t="str">
        <f t="shared" si="128"/>
        <v/>
      </c>
      <c r="HH52" s="1146">
        <f t="shared" ref="HH52:HH97" si="699">SUMIF(FU$3:HG$3,HH$3,FU52:HG52)</f>
        <v>0</v>
      </c>
      <c r="HI52" s="1091" t="str">
        <f t="shared" si="616"/>
        <v/>
      </c>
      <c r="HJ52" s="1091">
        <f t="shared" si="682"/>
        <v>0</v>
      </c>
      <c r="HK52" s="1147">
        <f t="shared" si="270"/>
        <v>0</v>
      </c>
      <c r="HL52" s="1091" t="str">
        <f t="shared" si="617"/>
        <v/>
      </c>
      <c r="HM52" s="1091">
        <f t="shared" si="683"/>
        <v>0</v>
      </c>
      <c r="HN52" s="1147">
        <f t="shared" si="273"/>
        <v>0</v>
      </c>
      <c r="HO52" s="1091" t="str">
        <f t="shared" si="618"/>
        <v/>
      </c>
      <c r="HP52" s="1091" t="str">
        <f t="shared" si="684"/>
        <v/>
      </c>
      <c r="HQ52" s="1147">
        <f t="shared" si="135"/>
        <v>0</v>
      </c>
      <c r="HR52" s="1091" t="str">
        <f t="shared" si="136"/>
        <v/>
      </c>
      <c r="HS52" s="1147">
        <f t="shared" si="137"/>
        <v>0</v>
      </c>
      <c r="HT52" s="1091" t="str">
        <f t="shared" si="138"/>
        <v/>
      </c>
      <c r="HU52" s="1146">
        <f t="shared" ref="HU52:HU97" si="700">FH52+HH52</f>
        <v>0</v>
      </c>
      <c r="HV52" s="1091" t="str">
        <f t="shared" si="619"/>
        <v/>
      </c>
      <c r="HW52" s="1091">
        <f t="shared" si="685"/>
        <v>0</v>
      </c>
      <c r="HX52" s="1147">
        <f t="shared" si="279"/>
        <v>0</v>
      </c>
      <c r="HY52" s="1091" t="str">
        <f t="shared" si="620"/>
        <v/>
      </c>
      <c r="HZ52" s="1091">
        <f t="shared" si="686"/>
        <v>0</v>
      </c>
      <c r="IA52" s="1147">
        <f t="shared" si="282"/>
        <v>0</v>
      </c>
      <c r="IB52" s="1091" t="str">
        <f t="shared" si="621"/>
        <v/>
      </c>
      <c r="IC52" s="1091" t="str">
        <f t="shared" si="687"/>
        <v/>
      </c>
      <c r="ID52" s="1147">
        <f t="shared" si="145"/>
        <v>0</v>
      </c>
      <c r="IE52" s="1091" t="str">
        <f t="shared" si="146"/>
        <v/>
      </c>
      <c r="IF52" s="1147">
        <f t="shared" si="147"/>
        <v>0</v>
      </c>
      <c r="IG52" s="1091" t="str">
        <f t="shared" si="148"/>
        <v/>
      </c>
      <c r="IH52" s="1146">
        <f t="shared" ref="IH52:IH97" si="701">DH52+HU52</f>
        <v>0</v>
      </c>
      <c r="II52" s="1091" t="str">
        <f t="shared" si="622"/>
        <v/>
      </c>
      <c r="IJ52" s="1091">
        <f t="shared" si="688"/>
        <v>0</v>
      </c>
      <c r="IK52" s="1147">
        <f t="shared" si="288"/>
        <v>0</v>
      </c>
      <c r="IL52" s="1091" t="str">
        <f t="shared" si="623"/>
        <v/>
      </c>
      <c r="IM52" s="1091">
        <f t="shared" si="689"/>
        <v>0</v>
      </c>
      <c r="IN52" s="1147">
        <f t="shared" si="291"/>
        <v>30097.3</v>
      </c>
      <c r="IO52" s="1091">
        <f t="shared" si="624"/>
        <v>0.08852147059</v>
      </c>
      <c r="IP52" s="1091">
        <f t="shared" si="690"/>
        <v>0.009359333247</v>
      </c>
      <c r="IQ52" s="1147">
        <f t="shared" si="155"/>
        <v>30097.3</v>
      </c>
      <c r="IR52" s="1091" t="str">
        <f t="shared" si="1"/>
        <v/>
      </c>
      <c r="IS52" s="1147">
        <f t="shared" si="156"/>
        <v>30097.3</v>
      </c>
      <c r="IT52" s="1091" t="str">
        <f t="shared" si="2"/>
        <v/>
      </c>
    </row>
    <row r="53" hidden="1" outlineLevel="1">
      <c r="A53" s="737"/>
      <c r="B53" s="737"/>
      <c r="C53" s="737"/>
      <c r="D53" s="744" t="s">
        <v>2839</v>
      </c>
      <c r="E53" s="1148" t="s">
        <v>1170</v>
      </c>
      <c r="F53" s="737"/>
      <c r="G53" s="748">
        <v>3.0</v>
      </c>
      <c r="H53" s="1146">
        <f>SUMIFS(BP_SOTIEN,BP_THANG,H$2,BP_KM,$E53)/1000</f>
        <v>0</v>
      </c>
      <c r="I53" s="1091" t="str">
        <f t="shared" si="566"/>
        <v/>
      </c>
      <c r="J53" s="1091"/>
      <c r="K53" s="1147">
        <f>IF(NOW()&gt;=DATE(YEAR(H$2),MONTH(H$2)+1,DAY(H$2)),SUMIFS(TF_SOTIEN,TF_THANG,H$2,TF_KM,$E53)/1000, N53)</f>
        <v>0</v>
      </c>
      <c r="L53" s="1091" t="str">
        <f t="shared" si="567"/>
        <v/>
      </c>
      <c r="M53" s="1091"/>
      <c r="N53" s="1147">
        <f>IF(NOW()&gt;=DATE(YEAR(H$2),MONTH(H$2)+1,DAY(H$2)),SUMIFS(AC_SOTIEN,AC_THANG,H$2,AC_KM,$E53),SUMIFS(TF_SOTIEN,TF_THANG,H$2,TF_KM,$E53))/ 1000</f>
        <v>0</v>
      </c>
      <c r="O53" s="1091">
        <f t="shared" si="568"/>
        <v>0</v>
      </c>
      <c r="P53" s="1091">
        <f t="shared" si="658"/>
        <v>0</v>
      </c>
      <c r="Q53" s="1147">
        <f t="shared" si="8"/>
        <v>0</v>
      </c>
      <c r="R53" s="1091" t="str">
        <f t="shared" si="9"/>
        <v/>
      </c>
      <c r="S53" s="1147">
        <f t="shared" si="10"/>
        <v>0</v>
      </c>
      <c r="T53" s="1091" t="str">
        <f t="shared" si="11"/>
        <v/>
      </c>
      <c r="U53" s="1146">
        <f>SUMIFS(BP_SOTIEN,BP_THANG,U$2,BP_KM,$E53)/1000</f>
        <v>0</v>
      </c>
      <c r="V53" s="1091" t="str">
        <f t="shared" si="569"/>
        <v/>
      </c>
      <c r="W53" s="1091"/>
      <c r="X53" s="1147">
        <f>IF(NOW()&gt;=DATE(YEAR(U$2),MONTH(U$2)+1,DAY(U$2)),SUMIFS(TF_SOTIEN,TF_THANG,U$2,TF_KM,$E53)/1000, AA53)</f>
        <v>0</v>
      </c>
      <c r="Y53" s="1091" t="str">
        <f t="shared" si="570"/>
        <v/>
      </c>
      <c r="Z53" s="1091"/>
      <c r="AA53" s="1147">
        <f>IF(NOW()&gt;=DATE(YEAR(U$2),MONTH(U$2)+1,DAY(U$2)),SUMIFS(AC_SOTIEN,AC_THANG,U$2,AC_KM,$E53),SUMIFS(TF_SOTIEN,TF_THANG,U$2,TF_KM,$E53))/ 1000</f>
        <v>0</v>
      </c>
      <c r="AB53" s="1091" t="str">
        <f t="shared" si="571"/>
        <v/>
      </c>
      <c r="AC53" s="1091">
        <f t="shared" si="659"/>
        <v>0</v>
      </c>
      <c r="AD53" s="1147">
        <f t="shared" si="15"/>
        <v>0</v>
      </c>
      <c r="AE53" s="1091" t="str">
        <f t="shared" si="16"/>
        <v/>
      </c>
      <c r="AF53" s="1147">
        <f t="shared" si="17"/>
        <v>0</v>
      </c>
      <c r="AG53" s="1091" t="str">
        <f t="shared" si="18"/>
        <v/>
      </c>
      <c r="AH53" s="1146">
        <f>SUMIFS(BP_SOTIEN,BP_THANG,AH$2,BP_KM,$E53)/1000</f>
        <v>0</v>
      </c>
      <c r="AI53" s="1091" t="str">
        <f t="shared" si="572"/>
        <v/>
      </c>
      <c r="AJ53" s="1091"/>
      <c r="AK53" s="1147">
        <f>IF(NOW()&gt;=DATE(YEAR(AH$2),MONTH(AH$2)+1,DAY(AH$2)),SUMIFS(TF_SOTIEN,TF_THANG,AH$2,TF_KM,$E53)/1000, AN53)</f>
        <v>360</v>
      </c>
      <c r="AL53" s="1091" t="str">
        <f t="shared" si="573"/>
        <v/>
      </c>
      <c r="AM53" s="1091"/>
      <c r="AN53" s="1147">
        <f>IF(NOW()&gt;=DATE(YEAR(AH$2),MONTH(AH$2)+1,DAY(AH$2)),SUMIFS(AC_SOTIEN,AC_THANG,AH$2,AC_KM,$E53),SUMIFS(TF_SOTIEN,TF_THANG,AH$2,TF_KM,$E53))/ 1000</f>
        <v>0</v>
      </c>
      <c r="AO53" s="1091" t="str">
        <f t="shared" si="574"/>
        <v/>
      </c>
      <c r="AP53" s="1091">
        <f t="shared" si="660"/>
        <v>0</v>
      </c>
      <c r="AQ53" s="1147">
        <f t="shared" si="22"/>
        <v>0</v>
      </c>
      <c r="AR53" s="1091" t="str">
        <f t="shared" si="23"/>
        <v/>
      </c>
      <c r="AS53" s="1147">
        <f t="shared" si="24"/>
        <v>-360</v>
      </c>
      <c r="AT53" s="1091">
        <f t="shared" si="25"/>
        <v>-1</v>
      </c>
      <c r="AU53" s="1146">
        <f t="shared" si="691"/>
        <v>0</v>
      </c>
      <c r="AV53" s="1091" t="str">
        <f t="shared" si="575"/>
        <v/>
      </c>
      <c r="AW53" s="1091">
        <f t="shared" si="661"/>
        <v>0</v>
      </c>
      <c r="AX53" s="1147">
        <f t="shared" si="692"/>
        <v>360</v>
      </c>
      <c r="AY53" s="1091" t="str">
        <f t="shared" si="576"/>
        <v/>
      </c>
      <c r="AZ53" s="1091">
        <f t="shared" si="662"/>
        <v>0.0009677551146</v>
      </c>
      <c r="BA53" s="1147">
        <f t="shared" si="693"/>
        <v>0</v>
      </c>
      <c r="BB53" s="1091">
        <f t="shared" si="577"/>
        <v>0</v>
      </c>
      <c r="BC53" s="1091">
        <f t="shared" si="663"/>
        <v>0</v>
      </c>
      <c r="BD53" s="1147">
        <f t="shared" si="32"/>
        <v>0</v>
      </c>
      <c r="BE53" s="1091" t="str">
        <f t="shared" si="33"/>
        <v/>
      </c>
      <c r="BF53" s="1147">
        <f t="shared" si="34"/>
        <v>-360</v>
      </c>
      <c r="BG53" s="1091">
        <f t="shared" si="35"/>
        <v>-1</v>
      </c>
      <c r="BH53" s="1146">
        <f>SUMIFS(BP_SOTIEN,BP_THANG,BH$2,BP_KM,$E53)/1000</f>
        <v>130000</v>
      </c>
      <c r="BI53" s="1091" t="str">
        <f t="shared" si="578"/>
        <v/>
      </c>
      <c r="BJ53" s="1091"/>
      <c r="BK53" s="1147">
        <f>IF(NOW()&gt;=DATE(YEAR(BH$2),MONTH(BH$2)+1,DAY(BH$2)),SUMIFS(TF_SOTIEN,TF_THANG,BH$2,TF_KM,$E53)/1000, BN53)</f>
        <v>360</v>
      </c>
      <c r="BL53" s="1091" t="str">
        <f t="shared" si="579"/>
        <v/>
      </c>
      <c r="BM53" s="1091"/>
      <c r="BN53" s="1147">
        <f>IF(NOW()&gt;=DATE(YEAR(BH$2),MONTH(BH$2)+1,DAY(BH$2)),SUMIFS(AC_SOTIEN,AC_THANG,BH$2,AC_KM,$E53),SUMIFS(TF_SOTIEN,TF_THANG,BH$2,TF_KM,$E53))/ 1000</f>
        <v>0</v>
      </c>
      <c r="BO53" s="1091" t="str">
        <f t="shared" si="580"/>
        <v/>
      </c>
      <c r="BP53" s="1091">
        <f t="shared" si="664"/>
        <v>0</v>
      </c>
      <c r="BQ53" s="1147">
        <f t="shared" si="39"/>
        <v>-130000</v>
      </c>
      <c r="BR53" s="1091">
        <f t="shared" si="40"/>
        <v>-1</v>
      </c>
      <c r="BS53" s="1147">
        <f t="shared" si="41"/>
        <v>-360</v>
      </c>
      <c r="BT53" s="1091">
        <f t="shared" si="42"/>
        <v>-1</v>
      </c>
      <c r="BU53" s="1146">
        <f>SUMIFS(BP_SOTIEN,BP_THANG,BU$2,BP_KM,$E53)/1000</f>
        <v>130000</v>
      </c>
      <c r="BV53" s="1091" t="str">
        <f t="shared" si="581"/>
        <v/>
      </c>
      <c r="BW53" s="1091"/>
      <c r="BX53" s="1147">
        <f>IF(NOW()&gt;=DATE(YEAR(BU$2),MONTH(BU$2)+1,DAY(BU$2)),SUMIFS(TF_SOTIEN,TF_THANG,BU$2,TF_KM,$E53)/1000, CA53)</f>
        <v>0</v>
      </c>
      <c r="BY53" s="1091" t="str">
        <f t="shared" si="582"/>
        <v/>
      </c>
      <c r="BZ53" s="1091"/>
      <c r="CA53" s="1147">
        <f>IF(NOW()&gt;=DATE(YEAR(BU$2),MONTH(BU$2)+1,DAY(BU$2)),SUMIFS(AC_SOTIEN,AC_THANG,BU$2,AC_KM,$E53),SUMIFS(TF_SOTIEN,TF_THANG,BU$2,TF_KM,$E53))/ 1000</f>
        <v>14979</v>
      </c>
      <c r="CB53" s="1091" t="str">
        <f t="shared" si="583"/>
        <v/>
      </c>
      <c r="CC53" s="1091">
        <f t="shared" si="665"/>
        <v>0.0278613486</v>
      </c>
      <c r="CD53" s="1147">
        <f t="shared" si="46"/>
        <v>-115021</v>
      </c>
      <c r="CE53" s="1091">
        <f t="shared" si="47"/>
        <v>-0.8847769231</v>
      </c>
      <c r="CF53" s="1147">
        <f t="shared" si="48"/>
        <v>14979</v>
      </c>
      <c r="CG53" s="1091" t="str">
        <f t="shared" si="49"/>
        <v/>
      </c>
      <c r="CH53" s="1146">
        <f>SUMIFS(BP_SOTIEN,BP_THANG,CH$2,BP_KM,$E53)/1000</f>
        <v>130000</v>
      </c>
      <c r="CI53" s="1091" t="str">
        <f t="shared" si="584"/>
        <v/>
      </c>
      <c r="CJ53" s="1091"/>
      <c r="CK53" s="1147">
        <f>IF(NOW()&gt;=DATE(YEAR(CH$2),MONTH(CH$2)+1,DAY(CH$2)),SUMIFS(TF_SOTIEN,TF_THANG,CH$2,TF_KM,$E53)/1000, CN53)</f>
        <v>130000</v>
      </c>
      <c r="CL53" s="1091" t="str">
        <f t="shared" si="585"/>
        <v/>
      </c>
      <c r="CM53" s="1091"/>
      <c r="CN53" s="1147">
        <f>IF(NOW()&gt;=DATE(YEAR(CH$2),MONTH(CH$2)+1,DAY(CH$2)),SUMIFS(AC_SOTIEN,AC_THANG,CH$2,AC_KM,$E53),SUMIFS(TF_SOTIEN,TF_THANG,CH$2,TF_KM,$E53))/ 1000</f>
        <v>0</v>
      </c>
      <c r="CO53" s="1091" t="str">
        <f t="shared" si="586"/>
        <v/>
      </c>
      <c r="CP53" s="1091" t="str">
        <f t="shared" si="666"/>
        <v/>
      </c>
      <c r="CQ53" s="1147">
        <f t="shared" si="53"/>
        <v>-130000</v>
      </c>
      <c r="CR53" s="1091">
        <f t="shared" si="54"/>
        <v>-1</v>
      </c>
      <c r="CS53" s="1147">
        <f t="shared" si="55"/>
        <v>-130000</v>
      </c>
      <c r="CT53" s="1091">
        <f t="shared" si="56"/>
        <v>-1</v>
      </c>
      <c r="CU53" s="1146">
        <f t="shared" si="694"/>
        <v>390000</v>
      </c>
      <c r="CV53" s="1091" t="str">
        <f t="shared" si="587"/>
        <v/>
      </c>
      <c r="CW53" s="1091">
        <f t="shared" si="667"/>
        <v>0.01686084743</v>
      </c>
      <c r="CX53" s="1147">
        <f t="shared" si="695"/>
        <v>130360</v>
      </c>
      <c r="CY53" s="1091" t="str">
        <f t="shared" si="589"/>
        <v/>
      </c>
      <c r="CZ53" s="1091">
        <f t="shared" si="668"/>
        <v>0.01719231505</v>
      </c>
      <c r="DA53" s="1147">
        <f t="shared" si="696"/>
        <v>14979</v>
      </c>
      <c r="DB53" s="1091" t="str">
        <f t="shared" si="591"/>
        <v/>
      </c>
      <c r="DC53" s="1091">
        <f t="shared" si="669"/>
        <v>0.008694871784</v>
      </c>
      <c r="DD53" s="1147">
        <f t="shared" si="63"/>
        <v>-375021</v>
      </c>
      <c r="DE53" s="1091">
        <f t="shared" si="64"/>
        <v>-0.9615923077</v>
      </c>
      <c r="DF53" s="1147">
        <f t="shared" si="65"/>
        <v>-115381</v>
      </c>
      <c r="DG53" s="1091">
        <f t="shared" si="66"/>
        <v>-0.8850951212</v>
      </c>
      <c r="DH53" s="1146">
        <f t="shared" si="697"/>
        <v>390000</v>
      </c>
      <c r="DI53" s="1091" t="str">
        <f t="shared" si="592"/>
        <v/>
      </c>
      <c r="DJ53" s="1091">
        <f t="shared" si="670"/>
        <v>0.01674536991</v>
      </c>
      <c r="DK53" s="1147">
        <f t="shared" si="216"/>
        <v>130720</v>
      </c>
      <c r="DL53" s="1091" t="str">
        <f t="shared" si="593"/>
        <v/>
      </c>
      <c r="DM53" s="1091">
        <f t="shared" si="671"/>
        <v>0.01643356339</v>
      </c>
      <c r="DN53" s="1147">
        <f t="shared" si="219"/>
        <v>14979</v>
      </c>
      <c r="DO53" s="1091">
        <f t="shared" si="594"/>
        <v>0.04405588235</v>
      </c>
      <c r="DP53" s="1091">
        <f t="shared" si="672"/>
        <v>0.004658007619</v>
      </c>
      <c r="DQ53" s="1147">
        <f t="shared" si="73"/>
        <v>-375021</v>
      </c>
      <c r="DR53" s="1091">
        <f t="shared" si="74"/>
        <v>-0.9615923077</v>
      </c>
      <c r="DS53" s="1147">
        <f t="shared" si="75"/>
        <v>-115741</v>
      </c>
      <c r="DT53" s="1091">
        <f t="shared" si="76"/>
        <v>-0.8854115667</v>
      </c>
      <c r="DU53" s="1146">
        <f>SUMIFS(BP_SOTIEN,BP_THANG,DU$2,BP_KM,$E53)/1000</f>
        <v>130000</v>
      </c>
      <c r="DV53" s="1091" t="str">
        <f t="shared" si="595"/>
        <v/>
      </c>
      <c r="DW53" s="1091"/>
      <c r="DX53" s="1147">
        <f>IF(NOW()&gt;=DATE(YEAR(DU$2),MONTH(DU$2)+1,DAY(DU$2)),SUMIFS(TF_SOTIEN,TF_THANG,DU$2,TF_KM,$E53)/1000, EA53)</f>
        <v>130000</v>
      </c>
      <c r="DY53" s="1091" t="str">
        <f t="shared" si="596"/>
        <v/>
      </c>
      <c r="DZ53" s="1091"/>
      <c r="EA53" s="1147">
        <f>IF(NOW()&gt;=DATE(YEAR(DU$2),MONTH(DU$2)+1,DAY(DU$2)),SUMIFS(AC_SOTIEN,AC_THANG,DU$2,AC_KM,$E53),SUMIFS(TF_SOTIEN,TF_THANG,DU$2,TF_KM,$E53))/ 1000</f>
        <v>0</v>
      </c>
      <c r="EB53" s="1091" t="str">
        <f t="shared" si="597"/>
        <v/>
      </c>
      <c r="EC53" s="1091" t="str">
        <f t="shared" si="673"/>
        <v/>
      </c>
      <c r="ED53" s="1147">
        <f t="shared" si="80"/>
        <v>-130000</v>
      </c>
      <c r="EE53" s="1091">
        <f t="shared" si="81"/>
        <v>-1</v>
      </c>
      <c r="EF53" s="1147">
        <f t="shared" si="82"/>
        <v>-130000</v>
      </c>
      <c r="EG53" s="1091">
        <f t="shared" si="83"/>
        <v>-1</v>
      </c>
      <c r="EH53" s="1146">
        <f>SUMIFS(BP_SOTIEN,BP_THANG,EH$2,BP_KM,$E53)/1000</f>
        <v>130000</v>
      </c>
      <c r="EI53" s="1091" t="str">
        <f t="shared" si="598"/>
        <v/>
      </c>
      <c r="EJ53" s="1091"/>
      <c r="EK53" s="1147">
        <f>IF(NOW()&gt;=DATE(YEAR(EH$2),MONTH(EH$2)+1,DAY(EH$2)),SUMIFS(TF_SOTIEN,TF_THANG,EH$2,TF_KM,$E53)/1000, EN53)</f>
        <v>130000</v>
      </c>
      <c r="EL53" s="1091" t="str">
        <f t="shared" si="599"/>
        <v/>
      </c>
      <c r="EM53" s="1091"/>
      <c r="EN53" s="1147">
        <f>IF(NOW()&gt;=DATE(YEAR(EH$2),MONTH(EH$2)+1,DAY(EH$2)),SUMIFS(AC_SOTIEN,AC_THANG,EH$2,AC_KM,$E53),SUMIFS(TF_SOTIEN,TF_THANG,EH$2,TF_KM,$E53))/ 1000</f>
        <v>0</v>
      </c>
      <c r="EO53" s="1091" t="str">
        <f t="shared" si="600"/>
        <v/>
      </c>
      <c r="EP53" s="1091" t="str">
        <f t="shared" si="674"/>
        <v/>
      </c>
      <c r="EQ53" s="1147">
        <f t="shared" si="87"/>
        <v>-130000</v>
      </c>
      <c r="ER53" s="1091">
        <f t="shared" si="88"/>
        <v>-1</v>
      </c>
      <c r="ES53" s="1147">
        <f t="shared" si="89"/>
        <v>-130000</v>
      </c>
      <c r="ET53" s="1091">
        <f t="shared" si="90"/>
        <v>-1</v>
      </c>
      <c r="EU53" s="1146">
        <f>SUMIFS(BP_SOTIEN,BP_THANG,EU$2,BP_KM,$E53)/1000</f>
        <v>130000</v>
      </c>
      <c r="EV53" s="1091" t="str">
        <f t="shared" si="601"/>
        <v/>
      </c>
      <c r="EW53" s="1091"/>
      <c r="EX53" s="1147">
        <f>IF(NOW()&gt;=DATE(YEAR(EU$2),MONTH(EU$2)+1,DAY(EU$2)),SUMIFS(TF_SOTIEN,TF_THANG,EU$2,TF_KM,$E53)/1000, FA53)</f>
        <v>130000</v>
      </c>
      <c r="EY53" s="1091" t="str">
        <f t="shared" si="602"/>
        <v/>
      </c>
      <c r="EZ53" s="1091"/>
      <c r="FA53" s="1147">
        <f>IF(NOW()&gt;=DATE(YEAR(EU$2),MONTH(EU$2)+1,DAY(EU$2)),SUMIFS(AC_SOTIEN,AC_THANG,EU$2,AC_KM,$E53),SUMIFS(TF_SOTIEN,TF_THANG,EU$2,TF_KM,$E53))/ 1000</f>
        <v>0</v>
      </c>
      <c r="FB53" s="1091" t="str">
        <f t="shared" si="603"/>
        <v/>
      </c>
      <c r="FC53" s="1091" t="str">
        <f t="shared" si="675"/>
        <v/>
      </c>
      <c r="FD53" s="1147">
        <f t="shared" si="94"/>
        <v>-130000</v>
      </c>
      <c r="FE53" s="1091">
        <f t="shared" si="95"/>
        <v>-1</v>
      </c>
      <c r="FF53" s="1147">
        <f t="shared" si="96"/>
        <v>-130000</v>
      </c>
      <c r="FG53" s="1091">
        <f t="shared" si="97"/>
        <v>-1</v>
      </c>
      <c r="FH53" s="1146">
        <f t="shared" si="698"/>
        <v>390000</v>
      </c>
      <c r="FI53" s="1091" t="str">
        <f t="shared" si="604"/>
        <v/>
      </c>
      <c r="FJ53" s="1091">
        <f t="shared" si="676"/>
        <v>0.01686084743</v>
      </c>
      <c r="FK53" s="1147">
        <f t="shared" si="243"/>
        <v>390000</v>
      </c>
      <c r="FL53" s="1091" t="str">
        <f t="shared" si="605"/>
        <v/>
      </c>
      <c r="FM53" s="1091">
        <f t="shared" si="677"/>
        <v>0.01686084743</v>
      </c>
      <c r="FN53" s="1147">
        <f t="shared" si="246"/>
        <v>0</v>
      </c>
      <c r="FO53" s="1091" t="str">
        <f t="shared" si="606"/>
        <v/>
      </c>
      <c r="FP53" s="1091" t="str">
        <f t="shared" si="678"/>
        <v/>
      </c>
      <c r="FQ53" s="1147">
        <f t="shared" si="104"/>
        <v>-390000</v>
      </c>
      <c r="FR53" s="1091">
        <f t="shared" si="105"/>
        <v>-1</v>
      </c>
      <c r="FS53" s="1147">
        <f t="shared" si="106"/>
        <v>-390000</v>
      </c>
      <c r="FT53" s="1091">
        <f t="shared" si="107"/>
        <v>-1</v>
      </c>
      <c r="FU53" s="1146">
        <f>SUMIFS(BP_SOTIEN,BP_THANG,FU$2,BP_KM,$E53)/1000</f>
        <v>130000</v>
      </c>
      <c r="FV53" s="1091" t="str">
        <f t="shared" si="607"/>
        <v/>
      </c>
      <c r="FW53" s="1091"/>
      <c r="FX53" s="1147">
        <f>IF(NOW()&gt;=DATE(YEAR(FU$2),MONTH(FU$2)+1,DAY(FU$2)),SUMIFS(TF_SOTIEN,TF_THANG,FU$2,TF_KM,$E53)/1000, GA53)</f>
        <v>130000</v>
      </c>
      <c r="FY53" s="1091" t="str">
        <f t="shared" si="608"/>
        <v/>
      </c>
      <c r="FZ53" s="1091"/>
      <c r="GA53" s="1147">
        <f>IF(NOW()&gt;=DATE(YEAR(FU$2),MONTH(FU$2)+1,DAY(FU$2)),SUMIFS(AC_SOTIEN,AC_THANG,FU$2,AC_KM,$E53),SUMIFS(TF_SOTIEN,TF_THANG,FU$2,TF_KM,$E53))/ 1000</f>
        <v>0</v>
      </c>
      <c r="GB53" s="1091" t="str">
        <f t="shared" si="609"/>
        <v/>
      </c>
      <c r="GC53" s="1091" t="str">
        <f t="shared" si="679"/>
        <v/>
      </c>
      <c r="GD53" s="1147">
        <f t="shared" si="111"/>
        <v>-130000</v>
      </c>
      <c r="GE53" s="1091">
        <f t="shared" si="112"/>
        <v>-1</v>
      </c>
      <c r="GF53" s="1147">
        <f t="shared" si="113"/>
        <v>-130000</v>
      </c>
      <c r="GG53" s="1091">
        <f t="shared" si="114"/>
        <v>-1</v>
      </c>
      <c r="GH53" s="1146">
        <f>SUMIFS(BP_SOTIEN,BP_THANG,GH$2,BP_KM,$E53)/1000</f>
        <v>130000</v>
      </c>
      <c r="GI53" s="1091" t="str">
        <f t="shared" si="610"/>
        <v/>
      </c>
      <c r="GJ53" s="1091"/>
      <c r="GK53" s="1147">
        <f>IF(NOW()&gt;=DATE(YEAR(GH$2),MONTH(GH$2)+1,DAY(GH$2)),SUMIFS(TF_SOTIEN,TF_THANG,GH$2,TF_KM,$E53)/1000, GN53)</f>
        <v>130000</v>
      </c>
      <c r="GL53" s="1091" t="str">
        <f t="shared" si="611"/>
        <v/>
      </c>
      <c r="GM53" s="1091"/>
      <c r="GN53" s="1147">
        <f>IF(NOW()&gt;=DATE(YEAR(GH$2),MONTH(GH$2)+1,DAY(GH$2)),SUMIFS(AC_SOTIEN,AC_THANG,GH$2,AC_KM,$E53),SUMIFS(TF_SOTIEN,TF_THANG,GH$2,TF_KM,$E53))/ 1000</f>
        <v>0</v>
      </c>
      <c r="GO53" s="1091" t="str">
        <f t="shared" si="612"/>
        <v/>
      </c>
      <c r="GP53" s="1091" t="str">
        <f t="shared" si="680"/>
        <v/>
      </c>
      <c r="GQ53" s="1147">
        <f t="shared" si="118"/>
        <v>-130000</v>
      </c>
      <c r="GR53" s="1091">
        <f t="shared" si="119"/>
        <v>-1</v>
      </c>
      <c r="GS53" s="1147">
        <f t="shared" si="120"/>
        <v>-130000</v>
      </c>
      <c r="GT53" s="1091">
        <f t="shared" si="121"/>
        <v>-1</v>
      </c>
      <c r="GU53" s="1146">
        <f>SUMIFS(BP_SOTIEN,BP_THANG,GU$2,BP_KM,$E53)/1000</f>
        <v>130000</v>
      </c>
      <c r="GV53" s="1091" t="str">
        <f t="shared" si="613"/>
        <v/>
      </c>
      <c r="GW53" s="1091"/>
      <c r="GX53" s="1147">
        <f>IF(NOW()&gt;=DATE(YEAR(GU$2),MONTH(GU$2)+1,DAY(GU$2)),SUMIFS(TF_SOTIEN,TF_THANG,GU$2,TF_KM,$E53)/1000, HA53)</f>
        <v>130000</v>
      </c>
      <c r="GY53" s="1091" t="str">
        <f t="shared" si="614"/>
        <v/>
      </c>
      <c r="GZ53" s="1091"/>
      <c r="HA53" s="1147">
        <f>IF(NOW()&gt;=DATE(YEAR(GU$2),MONTH(GU$2)+1,DAY(GU$2)),SUMIFS(AC_SOTIEN,AC_THANG,GU$2,AC_KM,$E53),SUMIFS(TF_SOTIEN,TF_THANG,GU$2,TF_KM,$E53))/ 1000</f>
        <v>0</v>
      </c>
      <c r="HB53" s="1091" t="str">
        <f t="shared" si="615"/>
        <v/>
      </c>
      <c r="HC53" s="1091" t="str">
        <f t="shared" si="681"/>
        <v/>
      </c>
      <c r="HD53" s="1147">
        <f t="shared" si="125"/>
        <v>-130000</v>
      </c>
      <c r="HE53" s="1091">
        <f t="shared" si="126"/>
        <v>-1</v>
      </c>
      <c r="HF53" s="1147">
        <f t="shared" si="127"/>
        <v>-130000</v>
      </c>
      <c r="HG53" s="1091">
        <f t="shared" si="128"/>
        <v>-1</v>
      </c>
      <c r="HH53" s="1146">
        <f t="shared" si="699"/>
        <v>390000</v>
      </c>
      <c r="HI53" s="1091" t="str">
        <f t="shared" si="616"/>
        <v/>
      </c>
      <c r="HJ53" s="1091">
        <f t="shared" si="682"/>
        <v>0.01686084743</v>
      </c>
      <c r="HK53" s="1147">
        <f t="shared" si="270"/>
        <v>390000</v>
      </c>
      <c r="HL53" s="1091" t="str">
        <f t="shared" si="617"/>
        <v/>
      </c>
      <c r="HM53" s="1091">
        <f t="shared" si="683"/>
        <v>0.01686084743</v>
      </c>
      <c r="HN53" s="1147">
        <f t="shared" si="273"/>
        <v>0</v>
      </c>
      <c r="HO53" s="1091" t="str">
        <f t="shared" si="618"/>
        <v/>
      </c>
      <c r="HP53" s="1091" t="str">
        <f t="shared" si="684"/>
        <v/>
      </c>
      <c r="HQ53" s="1147">
        <f t="shared" si="135"/>
        <v>-390000</v>
      </c>
      <c r="HR53" s="1091">
        <f t="shared" si="136"/>
        <v>-1</v>
      </c>
      <c r="HS53" s="1147">
        <f t="shared" si="137"/>
        <v>-390000</v>
      </c>
      <c r="HT53" s="1091">
        <f t="shared" si="138"/>
        <v>-1</v>
      </c>
      <c r="HU53" s="1146">
        <f t="shared" si="700"/>
        <v>780000</v>
      </c>
      <c r="HV53" s="1091" t="str">
        <f t="shared" si="619"/>
        <v/>
      </c>
      <c r="HW53" s="1091">
        <f t="shared" si="685"/>
        <v>0.01686084743</v>
      </c>
      <c r="HX53" s="1147">
        <f t="shared" si="279"/>
        <v>780000</v>
      </c>
      <c r="HY53" s="1091" t="str">
        <f t="shared" si="620"/>
        <v/>
      </c>
      <c r="HZ53" s="1091">
        <f t="shared" si="686"/>
        <v>0.01686084743</v>
      </c>
      <c r="IA53" s="1147">
        <f t="shared" si="282"/>
        <v>0</v>
      </c>
      <c r="IB53" s="1091" t="str">
        <f t="shared" si="621"/>
        <v/>
      </c>
      <c r="IC53" s="1091" t="str">
        <f t="shared" si="687"/>
        <v/>
      </c>
      <c r="ID53" s="1147">
        <f t="shared" si="145"/>
        <v>-780000</v>
      </c>
      <c r="IE53" s="1091">
        <f t="shared" si="146"/>
        <v>-1</v>
      </c>
      <c r="IF53" s="1147">
        <f t="shared" si="147"/>
        <v>-780000</v>
      </c>
      <c r="IG53" s="1091">
        <f t="shared" si="148"/>
        <v>-1</v>
      </c>
      <c r="IH53" s="1146">
        <f t="shared" si="701"/>
        <v>1170000</v>
      </c>
      <c r="II53" s="1091" t="str">
        <f t="shared" si="622"/>
        <v/>
      </c>
      <c r="IJ53" s="1091">
        <f t="shared" si="688"/>
        <v>0.01682217836</v>
      </c>
      <c r="IK53" s="1147">
        <f t="shared" si="288"/>
        <v>910720</v>
      </c>
      <c r="IL53" s="1091" t="str">
        <f t="shared" si="623"/>
        <v/>
      </c>
      <c r="IM53" s="1091">
        <f t="shared" si="689"/>
        <v>0.01679815664</v>
      </c>
      <c r="IN53" s="1147">
        <f t="shared" si="291"/>
        <v>14979</v>
      </c>
      <c r="IO53" s="1091">
        <f t="shared" si="624"/>
        <v>0.04405588235</v>
      </c>
      <c r="IP53" s="1091">
        <f t="shared" si="690"/>
        <v>0.004658007619</v>
      </c>
      <c r="IQ53" s="1147">
        <f t="shared" si="155"/>
        <v>-1155021</v>
      </c>
      <c r="IR53" s="1091">
        <f t="shared" si="1"/>
        <v>-0.9871974359</v>
      </c>
      <c r="IS53" s="1147">
        <f t="shared" si="156"/>
        <v>-895741</v>
      </c>
      <c r="IT53" s="1091">
        <f t="shared" si="2"/>
        <v>-0.9835525738</v>
      </c>
    </row>
    <row r="54" hidden="1" outlineLevel="1">
      <c r="A54" s="737"/>
      <c r="B54" s="737"/>
      <c r="C54" s="737"/>
      <c r="D54" s="744" t="s">
        <v>2840</v>
      </c>
      <c r="E54" s="1148" t="s">
        <v>1142</v>
      </c>
      <c r="F54" s="737"/>
      <c r="G54" s="748">
        <v>3.0</v>
      </c>
      <c r="H54" s="1146">
        <f>SUMIFS(BP_SOTIEN,BP_THANG,H$2,BP_KM,$E54)/1000</f>
        <v>0</v>
      </c>
      <c r="I54" s="1091" t="str">
        <f t="shared" si="566"/>
        <v/>
      </c>
      <c r="J54" s="1091"/>
      <c r="K54" s="1147">
        <f>IF(NOW()&gt;=DATE(YEAR(H$2),MONTH(H$2)+1,DAY(H$2)),SUMIFS(TF_SOTIEN,TF_THANG,H$2,TF_KM,$E54)/1000, N54)</f>
        <v>0</v>
      </c>
      <c r="L54" s="1091" t="str">
        <f t="shared" si="567"/>
        <v/>
      </c>
      <c r="M54" s="1091"/>
      <c r="N54" s="1147">
        <f>IF(NOW()&gt;=DATE(YEAR(H$2),MONTH(H$2)+1,DAY(H$2)),SUMIFS(AC_SOTIEN,AC_THANG,H$2,AC_KM,$E54),SUMIFS(TF_SOTIEN,TF_THANG,H$2,TF_KM,$E54))/ 1000</f>
        <v>0</v>
      </c>
      <c r="O54" s="1091">
        <f t="shared" si="568"/>
        <v>0</v>
      </c>
      <c r="P54" s="1091">
        <f t="shared" si="658"/>
        <v>0</v>
      </c>
      <c r="Q54" s="1147">
        <f t="shared" si="8"/>
        <v>0</v>
      </c>
      <c r="R54" s="1091" t="str">
        <f t="shared" si="9"/>
        <v/>
      </c>
      <c r="S54" s="1147">
        <f t="shared" si="10"/>
        <v>0</v>
      </c>
      <c r="T54" s="1091" t="str">
        <f t="shared" si="11"/>
        <v/>
      </c>
      <c r="U54" s="1146">
        <f>SUMIFS(BP_SOTIEN,BP_THANG,U$2,BP_KM,$E54)/1000</f>
        <v>0</v>
      </c>
      <c r="V54" s="1091" t="str">
        <f t="shared" si="569"/>
        <v/>
      </c>
      <c r="W54" s="1091"/>
      <c r="X54" s="1147">
        <f>IF(NOW()&gt;=DATE(YEAR(U$2),MONTH(U$2)+1,DAY(U$2)),SUMIFS(TF_SOTIEN,TF_THANG,U$2,TF_KM,$E54)/1000, AA54)</f>
        <v>0</v>
      </c>
      <c r="Y54" s="1091" t="str">
        <f t="shared" si="570"/>
        <v/>
      </c>
      <c r="Z54" s="1091"/>
      <c r="AA54" s="1147">
        <f>IF(NOW()&gt;=DATE(YEAR(U$2),MONTH(U$2)+1,DAY(U$2)),SUMIFS(AC_SOTIEN,AC_THANG,U$2,AC_KM,$E54),SUMIFS(TF_SOTIEN,TF_THANG,U$2,TF_KM,$E54))/ 1000</f>
        <v>0</v>
      </c>
      <c r="AB54" s="1091" t="str">
        <f t="shared" si="571"/>
        <v/>
      </c>
      <c r="AC54" s="1091">
        <f t="shared" si="659"/>
        <v>0</v>
      </c>
      <c r="AD54" s="1147">
        <f t="shared" si="15"/>
        <v>0</v>
      </c>
      <c r="AE54" s="1091" t="str">
        <f t="shared" si="16"/>
        <v/>
      </c>
      <c r="AF54" s="1147">
        <f t="shared" si="17"/>
        <v>0</v>
      </c>
      <c r="AG54" s="1091" t="str">
        <f t="shared" si="18"/>
        <v/>
      </c>
      <c r="AH54" s="1146">
        <f>SUMIFS(BP_SOTIEN,BP_THANG,AH$2,BP_KM,$E54)/1000</f>
        <v>0</v>
      </c>
      <c r="AI54" s="1091" t="str">
        <f t="shared" si="572"/>
        <v/>
      </c>
      <c r="AJ54" s="1091"/>
      <c r="AK54" s="1147">
        <f>IF(NOW()&gt;=DATE(YEAR(AH$2),MONTH(AH$2)+1,DAY(AH$2)),SUMIFS(TF_SOTIEN,TF_THANG,AH$2,TF_KM,$E54)/1000, AN54)</f>
        <v>96000</v>
      </c>
      <c r="AL54" s="1091" t="str">
        <f t="shared" si="573"/>
        <v/>
      </c>
      <c r="AM54" s="1091"/>
      <c r="AN54" s="1147">
        <f>IF(NOW()&gt;=DATE(YEAR(AH$2),MONTH(AH$2)+1,DAY(AH$2)),SUMIFS(AC_SOTIEN,AC_THANG,AH$2,AC_KM,$E54),SUMIFS(TF_SOTIEN,TF_THANG,AH$2,TF_KM,$E54))/ 1000</f>
        <v>0</v>
      </c>
      <c r="AO54" s="1091" t="str">
        <f t="shared" si="574"/>
        <v/>
      </c>
      <c r="AP54" s="1091">
        <f t="shared" si="660"/>
        <v>0</v>
      </c>
      <c r="AQ54" s="1147">
        <f t="shared" si="22"/>
        <v>0</v>
      </c>
      <c r="AR54" s="1091" t="str">
        <f t="shared" si="23"/>
        <v/>
      </c>
      <c r="AS54" s="1147">
        <f t="shared" si="24"/>
        <v>-96000</v>
      </c>
      <c r="AT54" s="1091">
        <f t="shared" si="25"/>
        <v>-1</v>
      </c>
      <c r="AU54" s="1146">
        <f t="shared" si="691"/>
        <v>0</v>
      </c>
      <c r="AV54" s="1091" t="str">
        <f t="shared" si="575"/>
        <v/>
      </c>
      <c r="AW54" s="1091">
        <f t="shared" si="661"/>
        <v>0</v>
      </c>
      <c r="AX54" s="1147">
        <f t="shared" si="692"/>
        <v>96000</v>
      </c>
      <c r="AY54" s="1091" t="str">
        <f t="shared" si="576"/>
        <v/>
      </c>
      <c r="AZ54" s="1091">
        <f t="shared" si="662"/>
        <v>0.2580680306</v>
      </c>
      <c r="BA54" s="1147">
        <f t="shared" si="693"/>
        <v>0</v>
      </c>
      <c r="BB54" s="1091">
        <f t="shared" si="577"/>
        <v>0</v>
      </c>
      <c r="BC54" s="1091">
        <f t="shared" si="663"/>
        <v>0</v>
      </c>
      <c r="BD54" s="1147">
        <f t="shared" si="32"/>
        <v>0</v>
      </c>
      <c r="BE54" s="1091" t="str">
        <f t="shared" si="33"/>
        <v/>
      </c>
      <c r="BF54" s="1147">
        <f t="shared" si="34"/>
        <v>-96000</v>
      </c>
      <c r="BG54" s="1091">
        <f t="shared" si="35"/>
        <v>-1</v>
      </c>
      <c r="BH54" s="1146">
        <f>SUMIFS(BP_SOTIEN,BP_THANG,BH$2,BP_KM,$E54)/1000</f>
        <v>1248000</v>
      </c>
      <c r="BI54" s="1091" t="str">
        <f t="shared" si="578"/>
        <v/>
      </c>
      <c r="BJ54" s="1091"/>
      <c r="BK54" s="1147">
        <f>IF(NOW()&gt;=DATE(YEAR(BH$2),MONTH(BH$2)+1,DAY(BH$2)),SUMIFS(TF_SOTIEN,TF_THANG,BH$2,TF_KM,$E54)/1000, BN54)</f>
        <v>97200</v>
      </c>
      <c r="BL54" s="1091" t="str">
        <f t="shared" si="579"/>
        <v/>
      </c>
      <c r="BM54" s="1091"/>
      <c r="BN54" s="1147">
        <f>IF(NOW()&gt;=DATE(YEAR(BH$2),MONTH(BH$2)+1,DAY(BH$2)),SUMIFS(AC_SOTIEN,AC_THANG,BH$2,AC_KM,$E54),SUMIFS(TF_SOTIEN,TF_THANG,BH$2,TF_KM,$E54))/ 1000</f>
        <v>0</v>
      </c>
      <c r="BO54" s="1091" t="str">
        <f t="shared" si="580"/>
        <v/>
      </c>
      <c r="BP54" s="1091">
        <f t="shared" si="664"/>
        <v>0</v>
      </c>
      <c r="BQ54" s="1147">
        <f t="shared" si="39"/>
        <v>-1248000</v>
      </c>
      <c r="BR54" s="1091">
        <f t="shared" si="40"/>
        <v>-1</v>
      </c>
      <c r="BS54" s="1147">
        <f t="shared" si="41"/>
        <v>-97200</v>
      </c>
      <c r="BT54" s="1091">
        <f t="shared" si="42"/>
        <v>-1</v>
      </c>
      <c r="BU54" s="1146">
        <f>SUMIFS(BP_SOTIEN,BP_THANG,BU$2,BP_KM,$E54)/1000</f>
        <v>1248000</v>
      </c>
      <c r="BV54" s="1091" t="str">
        <f t="shared" si="581"/>
        <v/>
      </c>
      <c r="BW54" s="1091"/>
      <c r="BX54" s="1147">
        <f>IF(NOW()&gt;=DATE(YEAR(BU$2),MONTH(BU$2)+1,DAY(BU$2)),SUMIFS(TF_SOTIEN,TF_THANG,BU$2,TF_KM,$E54)/1000, CA54)</f>
        <v>1000</v>
      </c>
      <c r="BY54" s="1091" t="str">
        <f t="shared" si="582"/>
        <v/>
      </c>
      <c r="BZ54" s="1091"/>
      <c r="CA54" s="1147">
        <f>IF(NOW()&gt;=DATE(YEAR(BU$2),MONTH(BU$2)+1,DAY(BU$2)),SUMIFS(AC_SOTIEN,AC_THANG,BU$2,AC_KM,$E54),SUMIFS(TF_SOTIEN,TF_THANG,BU$2,TF_KM,$E54))/ 1000</f>
        <v>2200</v>
      </c>
      <c r="CB54" s="1091" t="str">
        <f t="shared" si="583"/>
        <v/>
      </c>
      <c r="CC54" s="1091">
        <f t="shared" si="665"/>
        <v>0.004092060012</v>
      </c>
      <c r="CD54" s="1147">
        <f t="shared" si="46"/>
        <v>-1245800</v>
      </c>
      <c r="CE54" s="1091">
        <f t="shared" si="47"/>
        <v>-0.9982371795</v>
      </c>
      <c r="CF54" s="1147">
        <f t="shared" si="48"/>
        <v>1200</v>
      </c>
      <c r="CG54" s="1091">
        <f t="shared" si="49"/>
        <v>1.2</v>
      </c>
      <c r="CH54" s="1146">
        <f>SUMIFS(BP_SOTIEN,BP_THANG,CH$2,BP_KM,$E54)/1000</f>
        <v>1248000</v>
      </c>
      <c r="CI54" s="1091" t="str">
        <f t="shared" si="584"/>
        <v/>
      </c>
      <c r="CJ54" s="1091"/>
      <c r="CK54" s="1147">
        <f>IF(NOW()&gt;=DATE(YEAR(CH$2),MONTH(CH$2)+1,DAY(CH$2)),SUMIFS(TF_SOTIEN,TF_THANG,CH$2,TF_KM,$E54)/1000, CN54)</f>
        <v>0</v>
      </c>
      <c r="CL54" s="1091" t="str">
        <f t="shared" si="585"/>
        <v/>
      </c>
      <c r="CM54" s="1091"/>
      <c r="CN54" s="1147">
        <f>IF(NOW()&gt;=DATE(YEAR(CH$2),MONTH(CH$2)+1,DAY(CH$2)),SUMIFS(AC_SOTIEN,AC_THANG,CH$2,AC_KM,$E54),SUMIFS(TF_SOTIEN,TF_THANG,CH$2,TF_KM,$E54))/ 1000</f>
        <v>0</v>
      </c>
      <c r="CO54" s="1091" t="str">
        <f t="shared" si="586"/>
        <v/>
      </c>
      <c r="CP54" s="1091" t="str">
        <f t="shared" si="666"/>
        <v/>
      </c>
      <c r="CQ54" s="1147">
        <f t="shared" si="53"/>
        <v>-1248000</v>
      </c>
      <c r="CR54" s="1091">
        <f t="shared" si="54"/>
        <v>-1</v>
      </c>
      <c r="CS54" s="1147">
        <f t="shared" si="55"/>
        <v>0</v>
      </c>
      <c r="CT54" s="1091" t="str">
        <f t="shared" si="56"/>
        <v/>
      </c>
      <c r="CU54" s="1146">
        <f t="shared" si="694"/>
        <v>3744000</v>
      </c>
      <c r="CV54" s="1091" t="str">
        <f t="shared" si="587"/>
        <v/>
      </c>
      <c r="CW54" s="1091">
        <f t="shared" si="667"/>
        <v>0.1618641353</v>
      </c>
      <c r="CX54" s="1147">
        <f t="shared" si="695"/>
        <v>98200</v>
      </c>
      <c r="CY54" s="1091" t="str">
        <f t="shared" si="589"/>
        <v/>
      </c>
      <c r="CZ54" s="1091">
        <f t="shared" si="668"/>
        <v>0.01295094614</v>
      </c>
      <c r="DA54" s="1147">
        <f t="shared" si="696"/>
        <v>2200</v>
      </c>
      <c r="DB54" s="1091" t="str">
        <f t="shared" si="591"/>
        <v/>
      </c>
      <c r="DC54" s="1091">
        <f t="shared" si="669"/>
        <v>0.001277035712</v>
      </c>
      <c r="DD54" s="1147">
        <f t="shared" si="63"/>
        <v>-3741800</v>
      </c>
      <c r="DE54" s="1091">
        <f t="shared" si="64"/>
        <v>-0.9994123932</v>
      </c>
      <c r="DF54" s="1147">
        <f t="shared" si="65"/>
        <v>-96000</v>
      </c>
      <c r="DG54" s="1091">
        <f t="shared" si="66"/>
        <v>-0.9775967413</v>
      </c>
      <c r="DH54" s="1146">
        <f t="shared" si="697"/>
        <v>3744000</v>
      </c>
      <c r="DI54" s="1091" t="str">
        <f t="shared" si="592"/>
        <v/>
      </c>
      <c r="DJ54" s="1091">
        <f t="shared" si="670"/>
        <v>0.1607555511</v>
      </c>
      <c r="DK54" s="1147">
        <f t="shared" si="216"/>
        <v>194200</v>
      </c>
      <c r="DL54" s="1091" t="str">
        <f t="shared" si="593"/>
        <v/>
      </c>
      <c r="DM54" s="1091">
        <f t="shared" si="671"/>
        <v>0.02441399947</v>
      </c>
      <c r="DN54" s="1147">
        <f t="shared" si="219"/>
        <v>2200</v>
      </c>
      <c r="DO54" s="1091">
        <f t="shared" si="594"/>
        <v>0.006470588235</v>
      </c>
      <c r="DP54" s="1091">
        <f t="shared" si="672"/>
        <v>0.0006841322359</v>
      </c>
      <c r="DQ54" s="1147">
        <f t="shared" si="73"/>
        <v>-3741800</v>
      </c>
      <c r="DR54" s="1091">
        <f t="shared" si="74"/>
        <v>-0.9994123932</v>
      </c>
      <c r="DS54" s="1147">
        <f t="shared" si="75"/>
        <v>-192000</v>
      </c>
      <c r="DT54" s="1091">
        <f t="shared" si="76"/>
        <v>-0.9886714727</v>
      </c>
      <c r="DU54" s="1146">
        <f>SUMIFS(BP_SOTIEN,BP_THANG,DU$2,BP_KM,$E54)/1000</f>
        <v>1248000</v>
      </c>
      <c r="DV54" s="1091" t="str">
        <f t="shared" si="595"/>
        <v/>
      </c>
      <c r="DW54" s="1091"/>
      <c r="DX54" s="1147">
        <f>IF(NOW()&gt;=DATE(YEAR(DU$2),MONTH(DU$2)+1,DAY(DU$2)),SUMIFS(TF_SOTIEN,TF_THANG,DU$2,TF_KM,$E54)/1000, EA54)</f>
        <v>1248000</v>
      </c>
      <c r="DY54" s="1091" t="str">
        <f t="shared" si="596"/>
        <v/>
      </c>
      <c r="DZ54" s="1091"/>
      <c r="EA54" s="1147">
        <f>IF(NOW()&gt;=DATE(YEAR(DU$2),MONTH(DU$2)+1,DAY(DU$2)),SUMIFS(AC_SOTIEN,AC_THANG,DU$2,AC_KM,$E54),SUMIFS(TF_SOTIEN,TF_THANG,DU$2,TF_KM,$E54))/ 1000</f>
        <v>0</v>
      </c>
      <c r="EB54" s="1091" t="str">
        <f t="shared" si="597"/>
        <v/>
      </c>
      <c r="EC54" s="1091" t="str">
        <f t="shared" si="673"/>
        <v/>
      </c>
      <c r="ED54" s="1147">
        <f t="shared" si="80"/>
        <v>-1248000</v>
      </c>
      <c r="EE54" s="1091">
        <f t="shared" si="81"/>
        <v>-1</v>
      </c>
      <c r="EF54" s="1147">
        <f t="shared" si="82"/>
        <v>-1248000</v>
      </c>
      <c r="EG54" s="1091">
        <f t="shared" si="83"/>
        <v>-1</v>
      </c>
      <c r="EH54" s="1146">
        <f>SUMIFS(BP_SOTIEN,BP_THANG,EH$2,BP_KM,$E54)/1000</f>
        <v>1248000</v>
      </c>
      <c r="EI54" s="1091" t="str">
        <f t="shared" si="598"/>
        <v/>
      </c>
      <c r="EJ54" s="1091"/>
      <c r="EK54" s="1147">
        <f>IF(NOW()&gt;=DATE(YEAR(EH$2),MONTH(EH$2)+1,DAY(EH$2)),SUMIFS(TF_SOTIEN,TF_THANG,EH$2,TF_KM,$E54)/1000, EN54)</f>
        <v>1248000</v>
      </c>
      <c r="EL54" s="1091" t="str">
        <f t="shared" si="599"/>
        <v/>
      </c>
      <c r="EM54" s="1091"/>
      <c r="EN54" s="1147">
        <f>IF(NOW()&gt;=DATE(YEAR(EH$2),MONTH(EH$2)+1,DAY(EH$2)),SUMIFS(AC_SOTIEN,AC_THANG,EH$2,AC_KM,$E54),SUMIFS(TF_SOTIEN,TF_THANG,EH$2,TF_KM,$E54))/ 1000</f>
        <v>0</v>
      </c>
      <c r="EO54" s="1091" t="str">
        <f t="shared" si="600"/>
        <v/>
      </c>
      <c r="EP54" s="1091" t="str">
        <f t="shared" si="674"/>
        <v/>
      </c>
      <c r="EQ54" s="1147">
        <f t="shared" si="87"/>
        <v>-1248000</v>
      </c>
      <c r="ER54" s="1091">
        <f t="shared" si="88"/>
        <v>-1</v>
      </c>
      <c r="ES54" s="1147">
        <f t="shared" si="89"/>
        <v>-1248000</v>
      </c>
      <c r="ET54" s="1091">
        <f t="shared" si="90"/>
        <v>-1</v>
      </c>
      <c r="EU54" s="1146">
        <f>SUMIFS(BP_SOTIEN,BP_THANG,EU$2,BP_KM,$E54)/1000</f>
        <v>1248000</v>
      </c>
      <c r="EV54" s="1091" t="str">
        <f t="shared" si="601"/>
        <v/>
      </c>
      <c r="EW54" s="1091"/>
      <c r="EX54" s="1147">
        <f>IF(NOW()&gt;=DATE(YEAR(EU$2),MONTH(EU$2)+1,DAY(EU$2)),SUMIFS(TF_SOTIEN,TF_THANG,EU$2,TF_KM,$E54)/1000, FA54)</f>
        <v>1248000</v>
      </c>
      <c r="EY54" s="1091" t="str">
        <f t="shared" si="602"/>
        <v/>
      </c>
      <c r="EZ54" s="1091"/>
      <c r="FA54" s="1147">
        <f>IF(NOW()&gt;=DATE(YEAR(EU$2),MONTH(EU$2)+1,DAY(EU$2)),SUMIFS(AC_SOTIEN,AC_THANG,EU$2,AC_KM,$E54),SUMIFS(TF_SOTIEN,TF_THANG,EU$2,TF_KM,$E54))/ 1000</f>
        <v>0</v>
      </c>
      <c r="FB54" s="1091" t="str">
        <f t="shared" si="603"/>
        <v/>
      </c>
      <c r="FC54" s="1091" t="str">
        <f t="shared" si="675"/>
        <v/>
      </c>
      <c r="FD54" s="1147">
        <f t="shared" si="94"/>
        <v>-1248000</v>
      </c>
      <c r="FE54" s="1091">
        <f t="shared" si="95"/>
        <v>-1</v>
      </c>
      <c r="FF54" s="1147">
        <f t="shared" si="96"/>
        <v>-1248000</v>
      </c>
      <c r="FG54" s="1091">
        <f t="shared" si="97"/>
        <v>-1</v>
      </c>
      <c r="FH54" s="1146">
        <f t="shared" si="698"/>
        <v>3744000</v>
      </c>
      <c r="FI54" s="1091" t="str">
        <f t="shared" si="604"/>
        <v/>
      </c>
      <c r="FJ54" s="1091">
        <f t="shared" si="676"/>
        <v>0.1618641353</v>
      </c>
      <c r="FK54" s="1147">
        <f t="shared" si="243"/>
        <v>3744000</v>
      </c>
      <c r="FL54" s="1091" t="str">
        <f t="shared" si="605"/>
        <v/>
      </c>
      <c r="FM54" s="1091">
        <f t="shared" si="677"/>
        <v>0.1618641353</v>
      </c>
      <c r="FN54" s="1147">
        <f t="shared" si="246"/>
        <v>0</v>
      </c>
      <c r="FO54" s="1091" t="str">
        <f t="shared" si="606"/>
        <v/>
      </c>
      <c r="FP54" s="1091" t="str">
        <f t="shared" si="678"/>
        <v/>
      </c>
      <c r="FQ54" s="1147">
        <f t="shared" si="104"/>
        <v>-3744000</v>
      </c>
      <c r="FR54" s="1091">
        <f t="shared" si="105"/>
        <v>-1</v>
      </c>
      <c r="FS54" s="1147">
        <f t="shared" si="106"/>
        <v>-3744000</v>
      </c>
      <c r="FT54" s="1091">
        <f t="shared" si="107"/>
        <v>-1</v>
      </c>
      <c r="FU54" s="1146">
        <f>SUMIFS(BP_SOTIEN,BP_THANG,FU$2,BP_KM,$E54)/1000</f>
        <v>1248000</v>
      </c>
      <c r="FV54" s="1091" t="str">
        <f t="shared" si="607"/>
        <v/>
      </c>
      <c r="FW54" s="1091"/>
      <c r="FX54" s="1147">
        <f>IF(NOW()&gt;=DATE(YEAR(FU$2),MONTH(FU$2)+1,DAY(FU$2)),SUMIFS(TF_SOTIEN,TF_THANG,FU$2,TF_KM,$E54)/1000, GA54)</f>
        <v>1248000</v>
      </c>
      <c r="FY54" s="1091" t="str">
        <f t="shared" si="608"/>
        <v/>
      </c>
      <c r="FZ54" s="1091"/>
      <c r="GA54" s="1147">
        <f>IF(NOW()&gt;=DATE(YEAR(FU$2),MONTH(FU$2)+1,DAY(FU$2)),SUMIFS(AC_SOTIEN,AC_THANG,FU$2,AC_KM,$E54),SUMIFS(TF_SOTIEN,TF_THANG,FU$2,TF_KM,$E54))/ 1000</f>
        <v>0</v>
      </c>
      <c r="GB54" s="1091" t="str">
        <f t="shared" si="609"/>
        <v/>
      </c>
      <c r="GC54" s="1091" t="str">
        <f t="shared" si="679"/>
        <v/>
      </c>
      <c r="GD54" s="1147">
        <f t="shared" si="111"/>
        <v>-1248000</v>
      </c>
      <c r="GE54" s="1091">
        <f t="shared" si="112"/>
        <v>-1</v>
      </c>
      <c r="GF54" s="1147">
        <f t="shared" si="113"/>
        <v>-1248000</v>
      </c>
      <c r="GG54" s="1091">
        <f t="shared" si="114"/>
        <v>-1</v>
      </c>
      <c r="GH54" s="1146">
        <f>SUMIFS(BP_SOTIEN,BP_THANG,GH$2,BP_KM,$E54)/1000</f>
        <v>1248000</v>
      </c>
      <c r="GI54" s="1091" t="str">
        <f t="shared" si="610"/>
        <v/>
      </c>
      <c r="GJ54" s="1091"/>
      <c r="GK54" s="1147">
        <f>IF(NOW()&gt;=DATE(YEAR(GH$2),MONTH(GH$2)+1,DAY(GH$2)),SUMIFS(TF_SOTIEN,TF_THANG,GH$2,TF_KM,$E54)/1000, GN54)</f>
        <v>1248000</v>
      </c>
      <c r="GL54" s="1091" t="str">
        <f t="shared" si="611"/>
        <v/>
      </c>
      <c r="GM54" s="1091"/>
      <c r="GN54" s="1147">
        <f>IF(NOW()&gt;=DATE(YEAR(GH$2),MONTH(GH$2)+1,DAY(GH$2)),SUMIFS(AC_SOTIEN,AC_THANG,GH$2,AC_KM,$E54),SUMIFS(TF_SOTIEN,TF_THANG,GH$2,TF_KM,$E54))/ 1000</f>
        <v>0</v>
      </c>
      <c r="GO54" s="1091" t="str">
        <f t="shared" si="612"/>
        <v/>
      </c>
      <c r="GP54" s="1091" t="str">
        <f t="shared" si="680"/>
        <v/>
      </c>
      <c r="GQ54" s="1147">
        <f t="shared" si="118"/>
        <v>-1248000</v>
      </c>
      <c r="GR54" s="1091">
        <f t="shared" si="119"/>
        <v>-1</v>
      </c>
      <c r="GS54" s="1147">
        <f t="shared" si="120"/>
        <v>-1248000</v>
      </c>
      <c r="GT54" s="1091">
        <f t="shared" si="121"/>
        <v>-1</v>
      </c>
      <c r="GU54" s="1146">
        <f>SUMIFS(BP_SOTIEN,BP_THANG,GU$2,BP_KM,$E54)/1000</f>
        <v>1248000</v>
      </c>
      <c r="GV54" s="1091" t="str">
        <f t="shared" si="613"/>
        <v/>
      </c>
      <c r="GW54" s="1091"/>
      <c r="GX54" s="1147">
        <f>IF(NOW()&gt;=DATE(YEAR(GU$2),MONTH(GU$2)+1,DAY(GU$2)),SUMIFS(TF_SOTIEN,TF_THANG,GU$2,TF_KM,$E54)/1000, HA54)</f>
        <v>1248000</v>
      </c>
      <c r="GY54" s="1091" t="str">
        <f t="shared" si="614"/>
        <v/>
      </c>
      <c r="GZ54" s="1091"/>
      <c r="HA54" s="1147">
        <f>IF(NOW()&gt;=DATE(YEAR(GU$2),MONTH(GU$2)+1,DAY(GU$2)),SUMIFS(AC_SOTIEN,AC_THANG,GU$2,AC_KM,$E54),SUMIFS(TF_SOTIEN,TF_THANG,GU$2,TF_KM,$E54))/ 1000</f>
        <v>0</v>
      </c>
      <c r="HB54" s="1091" t="str">
        <f t="shared" si="615"/>
        <v/>
      </c>
      <c r="HC54" s="1091" t="str">
        <f t="shared" si="681"/>
        <v/>
      </c>
      <c r="HD54" s="1147">
        <f t="shared" si="125"/>
        <v>-1248000</v>
      </c>
      <c r="HE54" s="1091">
        <f t="shared" si="126"/>
        <v>-1</v>
      </c>
      <c r="HF54" s="1147">
        <f t="shared" si="127"/>
        <v>-1248000</v>
      </c>
      <c r="HG54" s="1091">
        <f t="shared" si="128"/>
        <v>-1</v>
      </c>
      <c r="HH54" s="1146">
        <f t="shared" si="699"/>
        <v>3744000</v>
      </c>
      <c r="HI54" s="1091" t="str">
        <f t="shared" si="616"/>
        <v/>
      </c>
      <c r="HJ54" s="1091">
        <f t="shared" si="682"/>
        <v>0.1618641353</v>
      </c>
      <c r="HK54" s="1147">
        <f t="shared" si="270"/>
        <v>3744000</v>
      </c>
      <c r="HL54" s="1091" t="str">
        <f t="shared" si="617"/>
        <v/>
      </c>
      <c r="HM54" s="1091">
        <f t="shared" si="683"/>
        <v>0.1618641353</v>
      </c>
      <c r="HN54" s="1147">
        <f t="shared" si="273"/>
        <v>0</v>
      </c>
      <c r="HO54" s="1091" t="str">
        <f t="shared" si="618"/>
        <v/>
      </c>
      <c r="HP54" s="1091" t="str">
        <f t="shared" si="684"/>
        <v/>
      </c>
      <c r="HQ54" s="1147">
        <f t="shared" si="135"/>
        <v>-3744000</v>
      </c>
      <c r="HR54" s="1091">
        <f t="shared" si="136"/>
        <v>-1</v>
      </c>
      <c r="HS54" s="1147">
        <f t="shared" si="137"/>
        <v>-3744000</v>
      </c>
      <c r="HT54" s="1091">
        <f t="shared" si="138"/>
        <v>-1</v>
      </c>
      <c r="HU54" s="1146">
        <f t="shared" si="700"/>
        <v>7488000</v>
      </c>
      <c r="HV54" s="1091" t="str">
        <f t="shared" si="619"/>
        <v/>
      </c>
      <c r="HW54" s="1091">
        <f t="shared" si="685"/>
        <v>0.1618641353</v>
      </c>
      <c r="HX54" s="1147">
        <f t="shared" si="279"/>
        <v>7488000</v>
      </c>
      <c r="HY54" s="1091" t="str">
        <f t="shared" si="620"/>
        <v/>
      </c>
      <c r="HZ54" s="1091">
        <f t="shared" si="686"/>
        <v>0.1618641353</v>
      </c>
      <c r="IA54" s="1147">
        <f t="shared" si="282"/>
        <v>0</v>
      </c>
      <c r="IB54" s="1091" t="str">
        <f t="shared" si="621"/>
        <v/>
      </c>
      <c r="IC54" s="1091" t="str">
        <f t="shared" si="687"/>
        <v/>
      </c>
      <c r="ID54" s="1147">
        <f t="shared" si="145"/>
        <v>-7488000</v>
      </c>
      <c r="IE54" s="1091">
        <f t="shared" si="146"/>
        <v>-1</v>
      </c>
      <c r="IF54" s="1147">
        <f t="shared" si="147"/>
        <v>-7488000</v>
      </c>
      <c r="IG54" s="1091">
        <f t="shared" si="148"/>
        <v>-1</v>
      </c>
      <c r="IH54" s="1146">
        <f t="shared" si="701"/>
        <v>11232000</v>
      </c>
      <c r="II54" s="1091" t="str">
        <f t="shared" si="622"/>
        <v/>
      </c>
      <c r="IJ54" s="1091">
        <f t="shared" si="688"/>
        <v>0.1614929123</v>
      </c>
      <c r="IK54" s="1147">
        <f t="shared" si="288"/>
        <v>7682200</v>
      </c>
      <c r="IL54" s="1091" t="str">
        <f t="shared" si="623"/>
        <v/>
      </c>
      <c r="IM54" s="1091">
        <f t="shared" si="689"/>
        <v>0.1416975568</v>
      </c>
      <c r="IN54" s="1147">
        <f t="shared" si="291"/>
        <v>2200</v>
      </c>
      <c r="IO54" s="1091">
        <f t="shared" si="624"/>
        <v>0.006470588235</v>
      </c>
      <c r="IP54" s="1091">
        <f t="shared" si="690"/>
        <v>0.0006841322359</v>
      </c>
      <c r="IQ54" s="1147">
        <f t="shared" si="155"/>
        <v>-11229800</v>
      </c>
      <c r="IR54" s="1091">
        <f t="shared" si="1"/>
        <v>-0.9998041311</v>
      </c>
      <c r="IS54" s="1147">
        <f t="shared" si="156"/>
        <v>-7680000</v>
      </c>
      <c r="IT54" s="1091">
        <f t="shared" si="2"/>
        <v>-0.9997136237</v>
      </c>
    </row>
    <row r="55" hidden="1" outlineLevel="1">
      <c r="A55" s="737"/>
      <c r="B55" s="737"/>
      <c r="C55" s="737"/>
      <c r="D55" s="744" t="s">
        <v>2841</v>
      </c>
      <c r="E55" s="1148" t="s">
        <v>2243</v>
      </c>
      <c r="F55" s="737"/>
      <c r="G55" s="748">
        <v>3.0</v>
      </c>
      <c r="H55" s="1146">
        <f>SUMIFS(BP_SOTIEN,BP_THANG,H$2,BP_KM,$E55)/1000</f>
        <v>0</v>
      </c>
      <c r="I55" s="1091" t="str">
        <f t="shared" si="566"/>
        <v/>
      </c>
      <c r="J55" s="1091"/>
      <c r="K55" s="1147">
        <f>IF(NOW()&gt;=DATE(YEAR(H$2),MONTH(H$2)+1,DAY(H$2)),SUMIFS(TF_SOTIEN,TF_THANG,H$2,TF_KM,$E55)/1000, N55)</f>
        <v>0</v>
      </c>
      <c r="L55" s="1091" t="str">
        <f t="shared" si="567"/>
        <v/>
      </c>
      <c r="M55" s="1091"/>
      <c r="N55" s="1147">
        <f>IF(NOW()&gt;=DATE(YEAR(H$2),MONTH(H$2)+1,DAY(H$2)),SUMIFS(AC_SOTIEN,AC_THANG,H$2,AC_KM,$E55),SUMIFS(TF_SOTIEN,TF_THANG,H$2,TF_KM,$E55))/ 1000</f>
        <v>0</v>
      </c>
      <c r="O55" s="1091">
        <f t="shared" si="568"/>
        <v>0</v>
      </c>
      <c r="P55" s="1091">
        <f t="shared" si="658"/>
        <v>0</v>
      </c>
      <c r="Q55" s="1147">
        <f t="shared" si="8"/>
        <v>0</v>
      </c>
      <c r="R55" s="1091" t="str">
        <f t="shared" si="9"/>
        <v/>
      </c>
      <c r="S55" s="1147">
        <f t="shared" si="10"/>
        <v>0</v>
      </c>
      <c r="T55" s="1091" t="str">
        <f t="shared" si="11"/>
        <v/>
      </c>
      <c r="U55" s="1146">
        <f>SUMIFS(BP_SOTIEN,BP_THANG,U$2,BP_KM,$E55)/1000</f>
        <v>0</v>
      </c>
      <c r="V55" s="1091" t="str">
        <f t="shared" si="569"/>
        <v/>
      </c>
      <c r="W55" s="1091"/>
      <c r="X55" s="1147">
        <f>IF(NOW()&gt;=DATE(YEAR(U$2),MONTH(U$2)+1,DAY(U$2)),SUMIFS(TF_SOTIEN,TF_THANG,U$2,TF_KM,$E55)/1000, AA55)</f>
        <v>0</v>
      </c>
      <c r="Y55" s="1091" t="str">
        <f t="shared" si="570"/>
        <v/>
      </c>
      <c r="Z55" s="1091"/>
      <c r="AA55" s="1147">
        <f>IF(NOW()&gt;=DATE(YEAR(U$2),MONTH(U$2)+1,DAY(U$2)),SUMIFS(AC_SOTIEN,AC_THANG,U$2,AC_KM,$E55),SUMIFS(TF_SOTIEN,TF_THANG,U$2,TF_KM,$E55))/ 1000</f>
        <v>0</v>
      </c>
      <c r="AB55" s="1091" t="str">
        <f t="shared" si="571"/>
        <v/>
      </c>
      <c r="AC55" s="1091">
        <f t="shared" si="659"/>
        <v>0</v>
      </c>
      <c r="AD55" s="1147">
        <f t="shared" si="15"/>
        <v>0</v>
      </c>
      <c r="AE55" s="1091" t="str">
        <f t="shared" si="16"/>
        <v/>
      </c>
      <c r="AF55" s="1147">
        <f t="shared" si="17"/>
        <v>0</v>
      </c>
      <c r="AG55" s="1091" t="str">
        <f t="shared" si="18"/>
        <v/>
      </c>
      <c r="AH55" s="1146">
        <f>SUMIFS(BP_SOTIEN,BP_THANG,AH$2,BP_KM,$E55)/1000</f>
        <v>0</v>
      </c>
      <c r="AI55" s="1091" t="str">
        <f t="shared" si="572"/>
        <v/>
      </c>
      <c r="AJ55" s="1091"/>
      <c r="AK55" s="1147">
        <f>IF(NOW()&gt;=DATE(YEAR(AH$2),MONTH(AH$2)+1,DAY(AH$2)),SUMIFS(TF_SOTIEN,TF_THANG,AH$2,TF_KM,$E55)/1000, AN55)</f>
        <v>0</v>
      </c>
      <c r="AL55" s="1091" t="str">
        <f t="shared" si="573"/>
        <v/>
      </c>
      <c r="AM55" s="1091"/>
      <c r="AN55" s="1147">
        <f>IF(NOW()&gt;=DATE(YEAR(AH$2),MONTH(AH$2)+1,DAY(AH$2)),SUMIFS(AC_SOTIEN,AC_THANG,AH$2,AC_KM,$E55),SUMIFS(TF_SOTIEN,TF_THANG,AH$2,TF_KM,$E55))/ 1000</f>
        <v>0</v>
      </c>
      <c r="AO55" s="1091" t="str">
        <f t="shared" si="574"/>
        <v/>
      </c>
      <c r="AP55" s="1091">
        <f t="shared" si="660"/>
        <v>0</v>
      </c>
      <c r="AQ55" s="1147">
        <f t="shared" si="22"/>
        <v>0</v>
      </c>
      <c r="AR55" s="1091" t="str">
        <f t="shared" si="23"/>
        <v/>
      </c>
      <c r="AS55" s="1147">
        <f t="shared" si="24"/>
        <v>0</v>
      </c>
      <c r="AT55" s="1091" t="str">
        <f t="shared" si="25"/>
        <v/>
      </c>
      <c r="AU55" s="1146">
        <f t="shared" si="691"/>
        <v>0</v>
      </c>
      <c r="AV55" s="1091" t="str">
        <f t="shared" si="575"/>
        <v/>
      </c>
      <c r="AW55" s="1091">
        <f t="shared" si="661"/>
        <v>0</v>
      </c>
      <c r="AX55" s="1147">
        <f t="shared" si="692"/>
        <v>0</v>
      </c>
      <c r="AY55" s="1091" t="str">
        <f t="shared" si="576"/>
        <v/>
      </c>
      <c r="AZ55" s="1091">
        <f t="shared" si="662"/>
        <v>0</v>
      </c>
      <c r="BA55" s="1147">
        <f t="shared" si="693"/>
        <v>0</v>
      </c>
      <c r="BB55" s="1091">
        <f t="shared" si="577"/>
        <v>0</v>
      </c>
      <c r="BC55" s="1091">
        <f t="shared" si="663"/>
        <v>0</v>
      </c>
      <c r="BD55" s="1147">
        <f t="shared" si="32"/>
        <v>0</v>
      </c>
      <c r="BE55" s="1091" t="str">
        <f t="shared" si="33"/>
        <v/>
      </c>
      <c r="BF55" s="1147">
        <f t="shared" si="34"/>
        <v>0</v>
      </c>
      <c r="BG55" s="1091" t="str">
        <f t="shared" si="35"/>
        <v/>
      </c>
      <c r="BH55" s="1146">
        <f>SUMIFS(BP_SOTIEN,BP_THANG,BH$2,BP_KM,$E55)/1000</f>
        <v>39000</v>
      </c>
      <c r="BI55" s="1091" t="str">
        <f t="shared" si="578"/>
        <v/>
      </c>
      <c r="BJ55" s="1091"/>
      <c r="BK55" s="1147">
        <f>IF(NOW()&gt;=DATE(YEAR(BH$2),MONTH(BH$2)+1,DAY(BH$2)),SUMIFS(TF_SOTIEN,TF_THANG,BH$2,TF_KM,$E55)/1000, BN55)</f>
        <v>0</v>
      </c>
      <c r="BL55" s="1091" t="str">
        <f t="shared" si="579"/>
        <v/>
      </c>
      <c r="BM55" s="1091"/>
      <c r="BN55" s="1147">
        <f>IF(NOW()&gt;=DATE(YEAR(BH$2),MONTH(BH$2)+1,DAY(BH$2)),SUMIFS(AC_SOTIEN,AC_THANG,BH$2,AC_KM,$E55),SUMIFS(TF_SOTIEN,TF_THANG,BH$2,TF_KM,$E55))/ 1000</f>
        <v>0</v>
      </c>
      <c r="BO55" s="1091" t="str">
        <f t="shared" si="580"/>
        <v/>
      </c>
      <c r="BP55" s="1091">
        <f t="shared" si="664"/>
        <v>0</v>
      </c>
      <c r="BQ55" s="1147">
        <f t="shared" si="39"/>
        <v>-39000</v>
      </c>
      <c r="BR55" s="1091">
        <f t="shared" si="40"/>
        <v>-1</v>
      </c>
      <c r="BS55" s="1147">
        <f t="shared" si="41"/>
        <v>0</v>
      </c>
      <c r="BT55" s="1091" t="str">
        <f t="shared" si="42"/>
        <v/>
      </c>
      <c r="BU55" s="1146">
        <f>SUMIFS(BP_SOTIEN,BP_THANG,BU$2,BP_KM,$E55)/1000</f>
        <v>39000</v>
      </c>
      <c r="BV55" s="1091" t="str">
        <f t="shared" si="581"/>
        <v/>
      </c>
      <c r="BW55" s="1091"/>
      <c r="BX55" s="1147">
        <f>IF(NOW()&gt;=DATE(YEAR(BU$2),MONTH(BU$2)+1,DAY(BU$2)),SUMIFS(TF_SOTIEN,TF_THANG,BU$2,TF_KM,$E55)/1000, CA55)</f>
        <v>0</v>
      </c>
      <c r="BY55" s="1091" t="str">
        <f t="shared" si="582"/>
        <v/>
      </c>
      <c r="BZ55" s="1091"/>
      <c r="CA55" s="1147">
        <f>IF(NOW()&gt;=DATE(YEAR(BU$2),MONTH(BU$2)+1,DAY(BU$2)),SUMIFS(AC_SOTIEN,AC_THANG,BU$2,AC_KM,$E55),SUMIFS(TF_SOTIEN,TF_THANG,BU$2,TF_KM,$E55))/ 1000</f>
        <v>0</v>
      </c>
      <c r="CB55" s="1091" t="str">
        <f t="shared" si="583"/>
        <v/>
      </c>
      <c r="CC55" s="1091">
        <f t="shared" si="665"/>
        <v>0</v>
      </c>
      <c r="CD55" s="1147">
        <f t="shared" si="46"/>
        <v>-39000</v>
      </c>
      <c r="CE55" s="1091">
        <f t="shared" si="47"/>
        <v>-1</v>
      </c>
      <c r="CF55" s="1147">
        <f t="shared" si="48"/>
        <v>0</v>
      </c>
      <c r="CG55" s="1091" t="str">
        <f t="shared" si="49"/>
        <v/>
      </c>
      <c r="CH55" s="1146">
        <f>SUMIFS(BP_SOTIEN,BP_THANG,CH$2,BP_KM,$E55)/1000</f>
        <v>39000</v>
      </c>
      <c r="CI55" s="1091" t="str">
        <f t="shared" si="584"/>
        <v/>
      </c>
      <c r="CJ55" s="1091"/>
      <c r="CK55" s="1147">
        <f>IF(NOW()&gt;=DATE(YEAR(CH$2),MONTH(CH$2)+1,DAY(CH$2)),SUMIFS(TF_SOTIEN,TF_THANG,CH$2,TF_KM,$E55)/1000, CN55)</f>
        <v>39000</v>
      </c>
      <c r="CL55" s="1091" t="str">
        <f t="shared" si="585"/>
        <v/>
      </c>
      <c r="CM55" s="1091"/>
      <c r="CN55" s="1147">
        <f>IF(NOW()&gt;=DATE(YEAR(CH$2),MONTH(CH$2)+1,DAY(CH$2)),SUMIFS(AC_SOTIEN,AC_THANG,CH$2,AC_KM,$E55),SUMIFS(TF_SOTIEN,TF_THANG,CH$2,TF_KM,$E55))/ 1000</f>
        <v>0</v>
      </c>
      <c r="CO55" s="1091" t="str">
        <f t="shared" si="586"/>
        <v/>
      </c>
      <c r="CP55" s="1091" t="str">
        <f t="shared" si="666"/>
        <v/>
      </c>
      <c r="CQ55" s="1147">
        <f t="shared" si="53"/>
        <v>-39000</v>
      </c>
      <c r="CR55" s="1091">
        <f t="shared" si="54"/>
        <v>-1</v>
      </c>
      <c r="CS55" s="1147">
        <f t="shared" si="55"/>
        <v>-39000</v>
      </c>
      <c r="CT55" s="1091">
        <f t="shared" si="56"/>
        <v>-1</v>
      </c>
      <c r="CU55" s="1146">
        <f t="shared" si="694"/>
        <v>117000</v>
      </c>
      <c r="CV55" s="1091" t="str">
        <f t="shared" si="587"/>
        <v/>
      </c>
      <c r="CW55" s="1091">
        <f t="shared" si="667"/>
        <v>0.005058254228</v>
      </c>
      <c r="CX55" s="1147">
        <f t="shared" si="695"/>
        <v>39000</v>
      </c>
      <c r="CY55" s="1091" t="str">
        <f t="shared" si="589"/>
        <v/>
      </c>
      <c r="CZ55" s="1091">
        <f t="shared" si="668"/>
        <v>0.005143451113</v>
      </c>
      <c r="DA55" s="1147">
        <f t="shared" si="696"/>
        <v>0</v>
      </c>
      <c r="DB55" s="1091" t="str">
        <f t="shared" si="591"/>
        <v/>
      </c>
      <c r="DC55" s="1091">
        <f t="shared" si="669"/>
        <v>0</v>
      </c>
      <c r="DD55" s="1147">
        <f t="shared" si="63"/>
        <v>-117000</v>
      </c>
      <c r="DE55" s="1091">
        <f t="shared" si="64"/>
        <v>-1</v>
      </c>
      <c r="DF55" s="1147">
        <f t="shared" si="65"/>
        <v>-39000</v>
      </c>
      <c r="DG55" s="1091">
        <f t="shared" si="66"/>
        <v>-1</v>
      </c>
      <c r="DH55" s="1146">
        <f t="shared" si="697"/>
        <v>117000</v>
      </c>
      <c r="DI55" s="1091" t="str">
        <f t="shared" si="592"/>
        <v/>
      </c>
      <c r="DJ55" s="1091">
        <f t="shared" si="670"/>
        <v>0.005023610972</v>
      </c>
      <c r="DK55" s="1147">
        <f t="shared" si="216"/>
        <v>39000</v>
      </c>
      <c r="DL55" s="1091" t="str">
        <f t="shared" si="593"/>
        <v/>
      </c>
      <c r="DM55" s="1091">
        <f t="shared" si="671"/>
        <v>0.004902914414</v>
      </c>
      <c r="DN55" s="1147">
        <f t="shared" si="219"/>
        <v>0</v>
      </c>
      <c r="DO55" s="1091">
        <f t="shared" si="594"/>
        <v>0</v>
      </c>
      <c r="DP55" s="1091">
        <f t="shared" si="672"/>
        <v>0</v>
      </c>
      <c r="DQ55" s="1147">
        <f t="shared" si="73"/>
        <v>-117000</v>
      </c>
      <c r="DR55" s="1091">
        <f t="shared" si="74"/>
        <v>-1</v>
      </c>
      <c r="DS55" s="1147">
        <f t="shared" si="75"/>
        <v>-39000</v>
      </c>
      <c r="DT55" s="1091">
        <f t="shared" si="76"/>
        <v>-1</v>
      </c>
      <c r="DU55" s="1146">
        <f>SUMIFS(BP_SOTIEN,BP_THANG,DU$2,BP_KM,$E55)/1000</f>
        <v>39000</v>
      </c>
      <c r="DV55" s="1091" t="str">
        <f t="shared" si="595"/>
        <v/>
      </c>
      <c r="DW55" s="1091"/>
      <c r="DX55" s="1147">
        <f>IF(NOW()&gt;=DATE(YEAR(DU$2),MONTH(DU$2)+1,DAY(DU$2)),SUMIFS(TF_SOTIEN,TF_THANG,DU$2,TF_KM,$E55)/1000, EA55)</f>
        <v>39000</v>
      </c>
      <c r="DY55" s="1091" t="str">
        <f t="shared" si="596"/>
        <v/>
      </c>
      <c r="DZ55" s="1091"/>
      <c r="EA55" s="1147">
        <f>IF(NOW()&gt;=DATE(YEAR(DU$2),MONTH(DU$2)+1,DAY(DU$2)),SUMIFS(AC_SOTIEN,AC_THANG,DU$2,AC_KM,$E55),SUMIFS(TF_SOTIEN,TF_THANG,DU$2,TF_KM,$E55))/ 1000</f>
        <v>0</v>
      </c>
      <c r="EB55" s="1091" t="str">
        <f t="shared" si="597"/>
        <v/>
      </c>
      <c r="EC55" s="1091" t="str">
        <f t="shared" si="673"/>
        <v/>
      </c>
      <c r="ED55" s="1147">
        <f t="shared" si="80"/>
        <v>-39000</v>
      </c>
      <c r="EE55" s="1091">
        <f t="shared" si="81"/>
        <v>-1</v>
      </c>
      <c r="EF55" s="1147">
        <f t="shared" si="82"/>
        <v>-39000</v>
      </c>
      <c r="EG55" s="1091">
        <f t="shared" si="83"/>
        <v>-1</v>
      </c>
      <c r="EH55" s="1146">
        <f>SUMIFS(BP_SOTIEN,BP_THANG,EH$2,BP_KM,$E55)/1000</f>
        <v>39000</v>
      </c>
      <c r="EI55" s="1091" t="str">
        <f t="shared" si="598"/>
        <v/>
      </c>
      <c r="EJ55" s="1091"/>
      <c r="EK55" s="1147">
        <f>IF(NOW()&gt;=DATE(YEAR(EH$2),MONTH(EH$2)+1,DAY(EH$2)),SUMIFS(TF_SOTIEN,TF_THANG,EH$2,TF_KM,$E55)/1000, EN55)</f>
        <v>39000</v>
      </c>
      <c r="EL55" s="1091" t="str">
        <f t="shared" si="599"/>
        <v/>
      </c>
      <c r="EM55" s="1091"/>
      <c r="EN55" s="1147">
        <f>IF(NOW()&gt;=DATE(YEAR(EH$2),MONTH(EH$2)+1,DAY(EH$2)),SUMIFS(AC_SOTIEN,AC_THANG,EH$2,AC_KM,$E55),SUMIFS(TF_SOTIEN,TF_THANG,EH$2,TF_KM,$E55))/ 1000</f>
        <v>0</v>
      </c>
      <c r="EO55" s="1091" t="str">
        <f t="shared" si="600"/>
        <v/>
      </c>
      <c r="EP55" s="1091" t="str">
        <f t="shared" si="674"/>
        <v/>
      </c>
      <c r="EQ55" s="1147">
        <f t="shared" si="87"/>
        <v>-39000</v>
      </c>
      <c r="ER55" s="1091">
        <f t="shared" si="88"/>
        <v>-1</v>
      </c>
      <c r="ES55" s="1147">
        <f t="shared" si="89"/>
        <v>-39000</v>
      </c>
      <c r="ET55" s="1091">
        <f t="shared" si="90"/>
        <v>-1</v>
      </c>
      <c r="EU55" s="1146">
        <f>SUMIFS(BP_SOTIEN,BP_THANG,EU$2,BP_KM,$E55)/1000</f>
        <v>39000</v>
      </c>
      <c r="EV55" s="1091" t="str">
        <f t="shared" si="601"/>
        <v/>
      </c>
      <c r="EW55" s="1091"/>
      <c r="EX55" s="1147">
        <f>IF(NOW()&gt;=DATE(YEAR(EU$2),MONTH(EU$2)+1,DAY(EU$2)),SUMIFS(TF_SOTIEN,TF_THANG,EU$2,TF_KM,$E55)/1000, FA55)</f>
        <v>39000</v>
      </c>
      <c r="EY55" s="1091" t="str">
        <f t="shared" si="602"/>
        <v/>
      </c>
      <c r="EZ55" s="1091"/>
      <c r="FA55" s="1147">
        <f>IF(NOW()&gt;=DATE(YEAR(EU$2),MONTH(EU$2)+1,DAY(EU$2)),SUMIFS(AC_SOTIEN,AC_THANG,EU$2,AC_KM,$E55),SUMIFS(TF_SOTIEN,TF_THANG,EU$2,TF_KM,$E55))/ 1000</f>
        <v>0</v>
      </c>
      <c r="FB55" s="1091" t="str">
        <f t="shared" si="603"/>
        <v/>
      </c>
      <c r="FC55" s="1091" t="str">
        <f t="shared" si="675"/>
        <v/>
      </c>
      <c r="FD55" s="1147">
        <f t="shared" si="94"/>
        <v>-39000</v>
      </c>
      <c r="FE55" s="1091">
        <f t="shared" si="95"/>
        <v>-1</v>
      </c>
      <c r="FF55" s="1147">
        <f t="shared" si="96"/>
        <v>-39000</v>
      </c>
      <c r="FG55" s="1091">
        <f t="shared" si="97"/>
        <v>-1</v>
      </c>
      <c r="FH55" s="1146">
        <f t="shared" si="698"/>
        <v>117000</v>
      </c>
      <c r="FI55" s="1091" t="str">
        <f t="shared" si="604"/>
        <v/>
      </c>
      <c r="FJ55" s="1091">
        <f t="shared" si="676"/>
        <v>0.005058254228</v>
      </c>
      <c r="FK55" s="1147">
        <f t="shared" si="243"/>
        <v>117000</v>
      </c>
      <c r="FL55" s="1091" t="str">
        <f t="shared" si="605"/>
        <v/>
      </c>
      <c r="FM55" s="1091">
        <f t="shared" si="677"/>
        <v>0.005058254228</v>
      </c>
      <c r="FN55" s="1147">
        <f t="shared" si="246"/>
        <v>0</v>
      </c>
      <c r="FO55" s="1091" t="str">
        <f t="shared" si="606"/>
        <v/>
      </c>
      <c r="FP55" s="1091" t="str">
        <f t="shared" si="678"/>
        <v/>
      </c>
      <c r="FQ55" s="1147">
        <f t="shared" si="104"/>
        <v>-117000</v>
      </c>
      <c r="FR55" s="1091">
        <f t="shared" si="105"/>
        <v>-1</v>
      </c>
      <c r="FS55" s="1147">
        <f t="shared" si="106"/>
        <v>-117000</v>
      </c>
      <c r="FT55" s="1091">
        <f t="shared" si="107"/>
        <v>-1</v>
      </c>
      <c r="FU55" s="1146">
        <f>SUMIFS(BP_SOTIEN,BP_THANG,FU$2,BP_KM,$E55)/1000</f>
        <v>39000</v>
      </c>
      <c r="FV55" s="1091" t="str">
        <f t="shared" si="607"/>
        <v/>
      </c>
      <c r="FW55" s="1091"/>
      <c r="FX55" s="1147">
        <f>IF(NOW()&gt;=DATE(YEAR(FU$2),MONTH(FU$2)+1,DAY(FU$2)),SUMIFS(TF_SOTIEN,TF_THANG,FU$2,TF_KM,$E55)/1000, GA55)</f>
        <v>39000</v>
      </c>
      <c r="FY55" s="1091" t="str">
        <f t="shared" si="608"/>
        <v/>
      </c>
      <c r="FZ55" s="1091"/>
      <c r="GA55" s="1147">
        <f>IF(NOW()&gt;=DATE(YEAR(FU$2),MONTH(FU$2)+1,DAY(FU$2)),SUMIFS(AC_SOTIEN,AC_THANG,FU$2,AC_KM,$E55),SUMIFS(TF_SOTIEN,TF_THANG,FU$2,TF_KM,$E55))/ 1000</f>
        <v>0</v>
      </c>
      <c r="GB55" s="1091" t="str">
        <f t="shared" si="609"/>
        <v/>
      </c>
      <c r="GC55" s="1091" t="str">
        <f t="shared" si="679"/>
        <v/>
      </c>
      <c r="GD55" s="1147">
        <f t="shared" si="111"/>
        <v>-39000</v>
      </c>
      <c r="GE55" s="1091">
        <f t="shared" si="112"/>
        <v>-1</v>
      </c>
      <c r="GF55" s="1147">
        <f t="shared" si="113"/>
        <v>-39000</v>
      </c>
      <c r="GG55" s="1091">
        <f t="shared" si="114"/>
        <v>-1</v>
      </c>
      <c r="GH55" s="1146">
        <f>SUMIFS(BP_SOTIEN,BP_THANG,GH$2,BP_KM,$E55)/1000</f>
        <v>39000</v>
      </c>
      <c r="GI55" s="1091" t="str">
        <f t="shared" si="610"/>
        <v/>
      </c>
      <c r="GJ55" s="1091"/>
      <c r="GK55" s="1147">
        <f>IF(NOW()&gt;=DATE(YEAR(GH$2),MONTH(GH$2)+1,DAY(GH$2)),SUMIFS(TF_SOTIEN,TF_THANG,GH$2,TF_KM,$E55)/1000, GN55)</f>
        <v>39000</v>
      </c>
      <c r="GL55" s="1091" t="str">
        <f t="shared" si="611"/>
        <v/>
      </c>
      <c r="GM55" s="1091"/>
      <c r="GN55" s="1147">
        <f>IF(NOW()&gt;=DATE(YEAR(GH$2),MONTH(GH$2)+1,DAY(GH$2)),SUMIFS(AC_SOTIEN,AC_THANG,GH$2,AC_KM,$E55),SUMIFS(TF_SOTIEN,TF_THANG,GH$2,TF_KM,$E55))/ 1000</f>
        <v>0</v>
      </c>
      <c r="GO55" s="1091" t="str">
        <f t="shared" si="612"/>
        <v/>
      </c>
      <c r="GP55" s="1091" t="str">
        <f t="shared" si="680"/>
        <v/>
      </c>
      <c r="GQ55" s="1147">
        <f t="shared" si="118"/>
        <v>-39000</v>
      </c>
      <c r="GR55" s="1091">
        <f t="shared" si="119"/>
        <v>-1</v>
      </c>
      <c r="GS55" s="1147">
        <f t="shared" si="120"/>
        <v>-39000</v>
      </c>
      <c r="GT55" s="1091">
        <f t="shared" si="121"/>
        <v>-1</v>
      </c>
      <c r="GU55" s="1146">
        <f>SUMIFS(BP_SOTIEN,BP_THANG,GU$2,BP_KM,$E55)/1000</f>
        <v>39000</v>
      </c>
      <c r="GV55" s="1091" t="str">
        <f t="shared" si="613"/>
        <v/>
      </c>
      <c r="GW55" s="1091"/>
      <c r="GX55" s="1147">
        <f>IF(NOW()&gt;=DATE(YEAR(GU$2),MONTH(GU$2)+1,DAY(GU$2)),SUMIFS(TF_SOTIEN,TF_THANG,GU$2,TF_KM,$E55)/1000, HA55)</f>
        <v>39000</v>
      </c>
      <c r="GY55" s="1091" t="str">
        <f t="shared" si="614"/>
        <v/>
      </c>
      <c r="GZ55" s="1091"/>
      <c r="HA55" s="1147">
        <f>IF(NOW()&gt;=DATE(YEAR(GU$2),MONTH(GU$2)+1,DAY(GU$2)),SUMIFS(AC_SOTIEN,AC_THANG,GU$2,AC_KM,$E55),SUMIFS(TF_SOTIEN,TF_THANG,GU$2,TF_KM,$E55))/ 1000</f>
        <v>0</v>
      </c>
      <c r="HB55" s="1091" t="str">
        <f t="shared" si="615"/>
        <v/>
      </c>
      <c r="HC55" s="1091" t="str">
        <f t="shared" si="681"/>
        <v/>
      </c>
      <c r="HD55" s="1147">
        <f t="shared" si="125"/>
        <v>-39000</v>
      </c>
      <c r="HE55" s="1091">
        <f t="shared" si="126"/>
        <v>-1</v>
      </c>
      <c r="HF55" s="1147">
        <f t="shared" si="127"/>
        <v>-39000</v>
      </c>
      <c r="HG55" s="1091">
        <f t="shared" si="128"/>
        <v>-1</v>
      </c>
      <c r="HH55" s="1146">
        <f t="shared" si="699"/>
        <v>117000</v>
      </c>
      <c r="HI55" s="1091" t="str">
        <f t="shared" si="616"/>
        <v/>
      </c>
      <c r="HJ55" s="1091">
        <f t="shared" si="682"/>
        <v>0.005058254228</v>
      </c>
      <c r="HK55" s="1147">
        <f t="shared" si="270"/>
        <v>117000</v>
      </c>
      <c r="HL55" s="1091" t="str">
        <f t="shared" si="617"/>
        <v/>
      </c>
      <c r="HM55" s="1091">
        <f t="shared" si="683"/>
        <v>0.005058254228</v>
      </c>
      <c r="HN55" s="1147">
        <f t="shared" si="273"/>
        <v>0</v>
      </c>
      <c r="HO55" s="1091" t="str">
        <f t="shared" si="618"/>
        <v/>
      </c>
      <c r="HP55" s="1091" t="str">
        <f t="shared" si="684"/>
        <v/>
      </c>
      <c r="HQ55" s="1147">
        <f t="shared" si="135"/>
        <v>-117000</v>
      </c>
      <c r="HR55" s="1091">
        <f t="shared" si="136"/>
        <v>-1</v>
      </c>
      <c r="HS55" s="1147">
        <f t="shared" si="137"/>
        <v>-117000</v>
      </c>
      <c r="HT55" s="1091">
        <f t="shared" si="138"/>
        <v>-1</v>
      </c>
      <c r="HU55" s="1146">
        <f t="shared" si="700"/>
        <v>234000</v>
      </c>
      <c r="HV55" s="1091" t="str">
        <f t="shared" si="619"/>
        <v/>
      </c>
      <c r="HW55" s="1091">
        <f t="shared" si="685"/>
        <v>0.005058254228</v>
      </c>
      <c r="HX55" s="1147">
        <f t="shared" si="279"/>
        <v>234000</v>
      </c>
      <c r="HY55" s="1091" t="str">
        <f t="shared" si="620"/>
        <v/>
      </c>
      <c r="HZ55" s="1091">
        <f t="shared" si="686"/>
        <v>0.005058254228</v>
      </c>
      <c r="IA55" s="1147">
        <f t="shared" si="282"/>
        <v>0</v>
      </c>
      <c r="IB55" s="1091" t="str">
        <f t="shared" si="621"/>
        <v/>
      </c>
      <c r="IC55" s="1091" t="str">
        <f t="shared" si="687"/>
        <v/>
      </c>
      <c r="ID55" s="1147">
        <f t="shared" si="145"/>
        <v>-234000</v>
      </c>
      <c r="IE55" s="1091">
        <f t="shared" si="146"/>
        <v>-1</v>
      </c>
      <c r="IF55" s="1147">
        <f t="shared" si="147"/>
        <v>-234000</v>
      </c>
      <c r="IG55" s="1091">
        <f t="shared" si="148"/>
        <v>-1</v>
      </c>
      <c r="IH55" s="1146">
        <f t="shared" si="701"/>
        <v>351000</v>
      </c>
      <c r="II55" s="1091" t="str">
        <f t="shared" si="622"/>
        <v/>
      </c>
      <c r="IJ55" s="1091">
        <f t="shared" si="688"/>
        <v>0.005046653508</v>
      </c>
      <c r="IK55" s="1147">
        <f t="shared" si="288"/>
        <v>273000</v>
      </c>
      <c r="IL55" s="1091" t="str">
        <f t="shared" si="623"/>
        <v/>
      </c>
      <c r="IM55" s="1091">
        <f t="shared" si="689"/>
        <v>0.00503546289</v>
      </c>
      <c r="IN55" s="1147">
        <f t="shared" si="291"/>
        <v>0</v>
      </c>
      <c r="IO55" s="1091">
        <f t="shared" si="624"/>
        <v>0</v>
      </c>
      <c r="IP55" s="1091">
        <f t="shared" si="690"/>
        <v>0</v>
      </c>
      <c r="IQ55" s="1147">
        <f t="shared" si="155"/>
        <v>-351000</v>
      </c>
      <c r="IR55" s="1091">
        <f t="shared" si="1"/>
        <v>-1</v>
      </c>
      <c r="IS55" s="1147">
        <f t="shared" si="156"/>
        <v>-273000</v>
      </c>
      <c r="IT55" s="1091">
        <f t="shared" si="2"/>
        <v>-1</v>
      </c>
    </row>
    <row r="56" hidden="1" outlineLevel="1">
      <c r="A56" s="737"/>
      <c r="B56" s="737"/>
      <c r="C56" s="737"/>
      <c r="D56" s="737"/>
      <c r="E56" s="737"/>
      <c r="F56" s="737"/>
      <c r="G56" s="748">
        <v>3.0</v>
      </c>
      <c r="H56" s="1146">
        <f>SUMIFS(BP_SOTIEN,BP_THANG,H$2,BP_KM,$E56)/1000</f>
        <v>0</v>
      </c>
      <c r="I56" s="1091" t="str">
        <f t="shared" si="566"/>
        <v/>
      </c>
      <c r="J56" s="1091"/>
      <c r="K56" s="1147">
        <f>IF(NOW()&gt;=DATE(YEAR(H$2),MONTH(H$2)+1,DAY(H$2)),SUMIFS(TF_SOTIEN,TF_THANG,H$2,TF_KM,$E56)/1000, N56)</f>
        <v>0</v>
      </c>
      <c r="L56" s="1091" t="str">
        <f t="shared" si="567"/>
        <v/>
      </c>
      <c r="M56" s="1091"/>
      <c r="N56" s="1147">
        <f>IF(NOW()&gt;=DATE(YEAR(H$2),MONTH(H$2)+1,DAY(H$2)),SUMIFS(AC_SOTIEN,AC_THANG,H$2,AC_KM,$E56),SUMIFS(TF_SOTIEN,TF_THANG,H$2,TF_KM,$E56))/ 1000</f>
        <v>0</v>
      </c>
      <c r="O56" s="1091">
        <f t="shared" si="568"/>
        <v>0</v>
      </c>
      <c r="P56" s="1091">
        <f t="shared" si="658"/>
        <v>0</v>
      </c>
      <c r="Q56" s="1147">
        <f t="shared" si="8"/>
        <v>0</v>
      </c>
      <c r="R56" s="1091" t="str">
        <f t="shared" si="9"/>
        <v/>
      </c>
      <c r="S56" s="1147">
        <f t="shared" si="10"/>
        <v>0</v>
      </c>
      <c r="T56" s="1091" t="str">
        <f t="shared" si="11"/>
        <v/>
      </c>
      <c r="U56" s="1146">
        <f>SUMIFS(BP_SOTIEN,BP_THANG,U$2,BP_KM,$E56)/1000</f>
        <v>0</v>
      </c>
      <c r="V56" s="1091" t="str">
        <f t="shared" si="569"/>
        <v/>
      </c>
      <c r="W56" s="1091"/>
      <c r="X56" s="1147">
        <f>IF(NOW()&gt;=DATE(YEAR(U$2),MONTH(U$2)+1,DAY(U$2)),SUMIFS(TF_SOTIEN,TF_THANG,U$2,TF_KM,$E56)/1000, AA56)</f>
        <v>0</v>
      </c>
      <c r="Y56" s="1091" t="str">
        <f t="shared" si="570"/>
        <v/>
      </c>
      <c r="Z56" s="1091"/>
      <c r="AA56" s="1147">
        <f>IF(NOW()&gt;=DATE(YEAR(U$2),MONTH(U$2)+1,DAY(U$2)),SUMIFS(AC_SOTIEN,AC_THANG,U$2,AC_KM,$E56),SUMIFS(TF_SOTIEN,TF_THANG,U$2,TF_KM,$E56))/ 1000</f>
        <v>0</v>
      </c>
      <c r="AB56" s="1091" t="str">
        <f t="shared" si="571"/>
        <v/>
      </c>
      <c r="AC56" s="1091">
        <f t="shared" si="659"/>
        <v>0</v>
      </c>
      <c r="AD56" s="1147">
        <f t="shared" si="15"/>
        <v>0</v>
      </c>
      <c r="AE56" s="1091" t="str">
        <f t="shared" si="16"/>
        <v/>
      </c>
      <c r="AF56" s="1147">
        <f t="shared" si="17"/>
        <v>0</v>
      </c>
      <c r="AG56" s="1091" t="str">
        <f t="shared" si="18"/>
        <v/>
      </c>
      <c r="AH56" s="1146">
        <f>SUMIFS(BP_SOTIEN,BP_THANG,AH$2,BP_KM,$E56)/1000</f>
        <v>0</v>
      </c>
      <c r="AI56" s="1091" t="str">
        <f t="shared" si="572"/>
        <v/>
      </c>
      <c r="AJ56" s="1091"/>
      <c r="AK56" s="1147">
        <f>IF(NOW()&gt;=DATE(YEAR(AH$2),MONTH(AH$2)+1,DAY(AH$2)),SUMIFS(TF_SOTIEN,TF_THANG,AH$2,TF_KM,$E56)/1000, AN56)</f>
        <v>0</v>
      </c>
      <c r="AL56" s="1091" t="str">
        <f t="shared" si="573"/>
        <v/>
      </c>
      <c r="AM56" s="1091"/>
      <c r="AN56" s="1147">
        <f>IF(NOW()&gt;=DATE(YEAR(AH$2),MONTH(AH$2)+1,DAY(AH$2)),SUMIFS(AC_SOTIEN,AC_THANG,AH$2,AC_KM,$E56),SUMIFS(TF_SOTIEN,TF_THANG,AH$2,TF_KM,$E56))/ 1000</f>
        <v>0</v>
      </c>
      <c r="AO56" s="1091" t="str">
        <f t="shared" si="574"/>
        <v/>
      </c>
      <c r="AP56" s="1091">
        <f t="shared" si="660"/>
        <v>0</v>
      </c>
      <c r="AQ56" s="1147">
        <f t="shared" si="22"/>
        <v>0</v>
      </c>
      <c r="AR56" s="1091" t="str">
        <f t="shared" si="23"/>
        <v/>
      </c>
      <c r="AS56" s="1147">
        <f t="shared" si="24"/>
        <v>0</v>
      </c>
      <c r="AT56" s="1091" t="str">
        <f t="shared" si="25"/>
        <v/>
      </c>
      <c r="AU56" s="1146">
        <f t="shared" si="691"/>
        <v>0</v>
      </c>
      <c r="AV56" s="1091" t="str">
        <f t="shared" si="575"/>
        <v/>
      </c>
      <c r="AW56" s="1091">
        <f t="shared" si="661"/>
        <v>0</v>
      </c>
      <c r="AX56" s="1147">
        <f t="shared" si="692"/>
        <v>0</v>
      </c>
      <c r="AY56" s="1091" t="str">
        <f t="shared" si="576"/>
        <v/>
      </c>
      <c r="AZ56" s="1091">
        <f t="shared" si="662"/>
        <v>0</v>
      </c>
      <c r="BA56" s="1147">
        <f t="shared" si="693"/>
        <v>0</v>
      </c>
      <c r="BB56" s="1091">
        <f t="shared" si="577"/>
        <v>0</v>
      </c>
      <c r="BC56" s="1091">
        <f t="shared" si="663"/>
        <v>0</v>
      </c>
      <c r="BD56" s="1147">
        <f t="shared" si="32"/>
        <v>0</v>
      </c>
      <c r="BE56" s="1091" t="str">
        <f t="shared" si="33"/>
        <v/>
      </c>
      <c r="BF56" s="1147">
        <f t="shared" si="34"/>
        <v>0</v>
      </c>
      <c r="BG56" s="1091" t="str">
        <f t="shared" si="35"/>
        <v/>
      </c>
      <c r="BH56" s="1146">
        <f>SUMIFS(BP_SOTIEN,BP_THANG,BH$2,BP_KM,$E56)/1000</f>
        <v>0</v>
      </c>
      <c r="BI56" s="1091" t="str">
        <f t="shared" si="578"/>
        <v/>
      </c>
      <c r="BJ56" s="1091"/>
      <c r="BK56" s="1147">
        <f>IF(NOW()&gt;=DATE(YEAR(BH$2),MONTH(BH$2)+1,DAY(BH$2)),SUMIFS(TF_SOTIEN,TF_THANG,BH$2,TF_KM,$E56)/1000, BN56)</f>
        <v>0</v>
      </c>
      <c r="BL56" s="1091" t="str">
        <f t="shared" si="579"/>
        <v/>
      </c>
      <c r="BM56" s="1091"/>
      <c r="BN56" s="1147">
        <f>IF(NOW()&gt;=DATE(YEAR(BH$2),MONTH(BH$2)+1,DAY(BH$2)),SUMIFS(AC_SOTIEN,AC_THANG,BH$2,AC_KM,$E56),SUMIFS(TF_SOTIEN,TF_THANG,BH$2,TF_KM,$E56))/ 1000</f>
        <v>0</v>
      </c>
      <c r="BO56" s="1091" t="str">
        <f t="shared" si="580"/>
        <v/>
      </c>
      <c r="BP56" s="1091">
        <f t="shared" si="664"/>
        <v>0</v>
      </c>
      <c r="BQ56" s="1147">
        <f t="shared" si="39"/>
        <v>0</v>
      </c>
      <c r="BR56" s="1091" t="str">
        <f t="shared" si="40"/>
        <v/>
      </c>
      <c r="BS56" s="1147">
        <f t="shared" si="41"/>
        <v>0</v>
      </c>
      <c r="BT56" s="1091" t="str">
        <f t="shared" si="42"/>
        <v/>
      </c>
      <c r="BU56" s="1146">
        <f>SUMIFS(BP_SOTIEN,BP_THANG,BU$2,BP_KM,$E56)/1000</f>
        <v>0</v>
      </c>
      <c r="BV56" s="1091" t="str">
        <f t="shared" si="581"/>
        <v/>
      </c>
      <c r="BW56" s="1091"/>
      <c r="BX56" s="1147">
        <f>IF(NOW()&gt;=DATE(YEAR(BU$2),MONTH(BU$2)+1,DAY(BU$2)),SUMIFS(TF_SOTIEN,TF_THANG,BU$2,TF_KM,$E56)/1000, CA56)</f>
        <v>0</v>
      </c>
      <c r="BY56" s="1091" t="str">
        <f t="shared" si="582"/>
        <v/>
      </c>
      <c r="BZ56" s="1091"/>
      <c r="CA56" s="1147">
        <f>IF(NOW()&gt;=DATE(YEAR(BU$2),MONTH(BU$2)+1,DAY(BU$2)),SUMIFS(AC_SOTIEN,AC_THANG,BU$2,AC_KM,$E56),SUMIFS(TF_SOTIEN,TF_THANG,BU$2,TF_KM,$E56))/ 1000</f>
        <v>0</v>
      </c>
      <c r="CB56" s="1091" t="str">
        <f t="shared" si="583"/>
        <v/>
      </c>
      <c r="CC56" s="1091">
        <f t="shared" si="665"/>
        <v>0</v>
      </c>
      <c r="CD56" s="1147">
        <f t="shared" si="46"/>
        <v>0</v>
      </c>
      <c r="CE56" s="1091" t="str">
        <f t="shared" si="47"/>
        <v/>
      </c>
      <c r="CF56" s="1147">
        <f t="shared" si="48"/>
        <v>0</v>
      </c>
      <c r="CG56" s="1091" t="str">
        <f t="shared" si="49"/>
        <v/>
      </c>
      <c r="CH56" s="1146">
        <f>SUMIFS(BP_SOTIEN,BP_THANG,CH$2,BP_KM,$E56)/1000</f>
        <v>0</v>
      </c>
      <c r="CI56" s="1091" t="str">
        <f t="shared" si="584"/>
        <v/>
      </c>
      <c r="CJ56" s="1091"/>
      <c r="CK56" s="1147">
        <f>IF(NOW()&gt;=DATE(YEAR(CH$2),MONTH(CH$2)+1,DAY(CH$2)),SUMIFS(TF_SOTIEN,TF_THANG,CH$2,TF_KM,$E56)/1000, CN56)</f>
        <v>0</v>
      </c>
      <c r="CL56" s="1091" t="str">
        <f t="shared" si="585"/>
        <v/>
      </c>
      <c r="CM56" s="1091"/>
      <c r="CN56" s="1147">
        <f>IF(NOW()&gt;=DATE(YEAR(CH$2),MONTH(CH$2)+1,DAY(CH$2)),SUMIFS(AC_SOTIEN,AC_THANG,CH$2,AC_KM,$E56),SUMIFS(TF_SOTIEN,TF_THANG,CH$2,TF_KM,$E56))/ 1000</f>
        <v>0</v>
      </c>
      <c r="CO56" s="1091" t="str">
        <f t="shared" si="586"/>
        <v/>
      </c>
      <c r="CP56" s="1091" t="str">
        <f t="shared" si="666"/>
        <v/>
      </c>
      <c r="CQ56" s="1147">
        <f t="shared" si="53"/>
        <v>0</v>
      </c>
      <c r="CR56" s="1091" t="str">
        <f t="shared" si="54"/>
        <v/>
      </c>
      <c r="CS56" s="1147">
        <f t="shared" si="55"/>
        <v>0</v>
      </c>
      <c r="CT56" s="1091" t="str">
        <f t="shared" si="56"/>
        <v/>
      </c>
      <c r="CU56" s="1146">
        <f t="shared" si="694"/>
        <v>0</v>
      </c>
      <c r="CV56" s="1091" t="str">
        <f t="shared" si="587"/>
        <v/>
      </c>
      <c r="CW56" s="1091">
        <f t="shared" si="667"/>
        <v>0</v>
      </c>
      <c r="CX56" s="1147">
        <f t="shared" si="695"/>
        <v>0</v>
      </c>
      <c r="CY56" s="1091" t="str">
        <f t="shared" si="589"/>
        <v/>
      </c>
      <c r="CZ56" s="1091">
        <f t="shared" si="668"/>
        <v>0</v>
      </c>
      <c r="DA56" s="1147">
        <f t="shared" si="696"/>
        <v>0</v>
      </c>
      <c r="DB56" s="1091" t="str">
        <f t="shared" si="591"/>
        <v/>
      </c>
      <c r="DC56" s="1091">
        <f t="shared" si="669"/>
        <v>0</v>
      </c>
      <c r="DD56" s="1147">
        <f t="shared" si="63"/>
        <v>0</v>
      </c>
      <c r="DE56" s="1091" t="str">
        <f t="shared" si="64"/>
        <v/>
      </c>
      <c r="DF56" s="1147">
        <f t="shared" si="65"/>
        <v>0</v>
      </c>
      <c r="DG56" s="1091" t="str">
        <f t="shared" si="66"/>
        <v/>
      </c>
      <c r="DH56" s="1146">
        <f t="shared" si="697"/>
        <v>0</v>
      </c>
      <c r="DI56" s="1091" t="str">
        <f t="shared" si="592"/>
        <v/>
      </c>
      <c r="DJ56" s="1091">
        <f t="shared" si="670"/>
        <v>0</v>
      </c>
      <c r="DK56" s="1147">
        <f t="shared" si="216"/>
        <v>0</v>
      </c>
      <c r="DL56" s="1091" t="str">
        <f t="shared" si="593"/>
        <v/>
      </c>
      <c r="DM56" s="1091">
        <f t="shared" si="671"/>
        <v>0</v>
      </c>
      <c r="DN56" s="1147">
        <f t="shared" si="219"/>
        <v>0</v>
      </c>
      <c r="DO56" s="1091">
        <f t="shared" si="594"/>
        <v>0</v>
      </c>
      <c r="DP56" s="1091">
        <f t="shared" si="672"/>
        <v>0</v>
      </c>
      <c r="DQ56" s="1147">
        <f t="shared" si="73"/>
        <v>0</v>
      </c>
      <c r="DR56" s="1091" t="str">
        <f t="shared" si="74"/>
        <v/>
      </c>
      <c r="DS56" s="1147">
        <f t="shared" si="75"/>
        <v>0</v>
      </c>
      <c r="DT56" s="1091" t="str">
        <f t="shared" si="76"/>
        <v/>
      </c>
      <c r="DU56" s="1146">
        <f>SUMIFS(BP_SOTIEN,BP_THANG,DU$2,BP_KM,$E56)/1000</f>
        <v>0</v>
      </c>
      <c r="DV56" s="1091" t="str">
        <f t="shared" si="595"/>
        <v/>
      </c>
      <c r="DW56" s="1091"/>
      <c r="DX56" s="1147">
        <f>IF(NOW()&gt;=DATE(YEAR(DU$2),MONTH(DU$2)+1,DAY(DU$2)),SUMIFS(TF_SOTIEN,TF_THANG,DU$2,TF_KM,$E56)/1000, EA56)</f>
        <v>0</v>
      </c>
      <c r="DY56" s="1091" t="str">
        <f t="shared" si="596"/>
        <v/>
      </c>
      <c r="DZ56" s="1091"/>
      <c r="EA56" s="1147">
        <f>IF(NOW()&gt;=DATE(YEAR(DU$2),MONTH(DU$2)+1,DAY(DU$2)),SUMIFS(AC_SOTIEN,AC_THANG,DU$2,AC_KM,$E56),SUMIFS(TF_SOTIEN,TF_THANG,DU$2,TF_KM,$E56))/ 1000</f>
        <v>0</v>
      </c>
      <c r="EB56" s="1091" t="str">
        <f t="shared" si="597"/>
        <v/>
      </c>
      <c r="EC56" s="1091" t="str">
        <f t="shared" si="673"/>
        <v/>
      </c>
      <c r="ED56" s="1147">
        <f t="shared" si="80"/>
        <v>0</v>
      </c>
      <c r="EE56" s="1091" t="str">
        <f t="shared" si="81"/>
        <v/>
      </c>
      <c r="EF56" s="1147">
        <f t="shared" si="82"/>
        <v>0</v>
      </c>
      <c r="EG56" s="1091" t="str">
        <f t="shared" si="83"/>
        <v/>
      </c>
      <c r="EH56" s="1146">
        <f>SUMIFS(BP_SOTIEN,BP_THANG,EH$2,BP_KM,$E56)/1000</f>
        <v>0</v>
      </c>
      <c r="EI56" s="1091" t="str">
        <f t="shared" si="598"/>
        <v/>
      </c>
      <c r="EJ56" s="1091"/>
      <c r="EK56" s="1147">
        <f>IF(NOW()&gt;=DATE(YEAR(EH$2),MONTH(EH$2)+1,DAY(EH$2)),SUMIFS(TF_SOTIEN,TF_THANG,EH$2,TF_KM,$E56)/1000, EN56)</f>
        <v>0</v>
      </c>
      <c r="EL56" s="1091" t="str">
        <f t="shared" si="599"/>
        <v/>
      </c>
      <c r="EM56" s="1091"/>
      <c r="EN56" s="1147">
        <f>IF(NOW()&gt;=DATE(YEAR(EH$2),MONTH(EH$2)+1,DAY(EH$2)),SUMIFS(AC_SOTIEN,AC_THANG,EH$2,AC_KM,$E56),SUMIFS(TF_SOTIEN,TF_THANG,EH$2,TF_KM,$E56))/ 1000</f>
        <v>0</v>
      </c>
      <c r="EO56" s="1091" t="str">
        <f t="shared" si="600"/>
        <v/>
      </c>
      <c r="EP56" s="1091" t="str">
        <f t="shared" si="674"/>
        <v/>
      </c>
      <c r="EQ56" s="1147">
        <f t="shared" si="87"/>
        <v>0</v>
      </c>
      <c r="ER56" s="1091" t="str">
        <f t="shared" si="88"/>
        <v/>
      </c>
      <c r="ES56" s="1147">
        <f t="shared" si="89"/>
        <v>0</v>
      </c>
      <c r="ET56" s="1091" t="str">
        <f t="shared" si="90"/>
        <v/>
      </c>
      <c r="EU56" s="1146">
        <f>SUMIFS(BP_SOTIEN,BP_THANG,EU$2,BP_KM,$E56)/1000</f>
        <v>0</v>
      </c>
      <c r="EV56" s="1091" t="str">
        <f t="shared" si="601"/>
        <v/>
      </c>
      <c r="EW56" s="1091"/>
      <c r="EX56" s="1147">
        <f>IF(NOW()&gt;=DATE(YEAR(EU$2),MONTH(EU$2)+1,DAY(EU$2)),SUMIFS(TF_SOTIEN,TF_THANG,EU$2,TF_KM,$E56)/1000, FA56)</f>
        <v>0</v>
      </c>
      <c r="EY56" s="1091" t="str">
        <f t="shared" si="602"/>
        <v/>
      </c>
      <c r="EZ56" s="1091"/>
      <c r="FA56" s="1147">
        <f>IF(NOW()&gt;=DATE(YEAR(EU$2),MONTH(EU$2)+1,DAY(EU$2)),SUMIFS(AC_SOTIEN,AC_THANG,EU$2,AC_KM,$E56),SUMIFS(TF_SOTIEN,TF_THANG,EU$2,TF_KM,$E56))/ 1000</f>
        <v>0</v>
      </c>
      <c r="FB56" s="1091" t="str">
        <f t="shared" si="603"/>
        <v/>
      </c>
      <c r="FC56" s="1091" t="str">
        <f t="shared" si="675"/>
        <v/>
      </c>
      <c r="FD56" s="1147">
        <f t="shared" si="94"/>
        <v>0</v>
      </c>
      <c r="FE56" s="1091" t="str">
        <f t="shared" si="95"/>
        <v/>
      </c>
      <c r="FF56" s="1147">
        <f t="shared" si="96"/>
        <v>0</v>
      </c>
      <c r="FG56" s="1091" t="str">
        <f t="shared" si="97"/>
        <v/>
      </c>
      <c r="FH56" s="1146">
        <f t="shared" si="698"/>
        <v>0</v>
      </c>
      <c r="FI56" s="1091" t="str">
        <f t="shared" si="604"/>
        <v/>
      </c>
      <c r="FJ56" s="1091">
        <f t="shared" si="676"/>
        <v>0</v>
      </c>
      <c r="FK56" s="1147">
        <f t="shared" si="243"/>
        <v>0</v>
      </c>
      <c r="FL56" s="1091" t="str">
        <f t="shared" si="605"/>
        <v/>
      </c>
      <c r="FM56" s="1091">
        <f t="shared" si="677"/>
        <v>0</v>
      </c>
      <c r="FN56" s="1147">
        <f t="shared" si="246"/>
        <v>0</v>
      </c>
      <c r="FO56" s="1091" t="str">
        <f t="shared" si="606"/>
        <v/>
      </c>
      <c r="FP56" s="1091" t="str">
        <f t="shared" si="678"/>
        <v/>
      </c>
      <c r="FQ56" s="1147">
        <f t="shared" si="104"/>
        <v>0</v>
      </c>
      <c r="FR56" s="1091" t="str">
        <f t="shared" si="105"/>
        <v/>
      </c>
      <c r="FS56" s="1147">
        <f t="shared" si="106"/>
        <v>0</v>
      </c>
      <c r="FT56" s="1091" t="str">
        <f t="shared" si="107"/>
        <v/>
      </c>
      <c r="FU56" s="1146">
        <f>SUMIFS(BP_SOTIEN,BP_THANG,FU$2,BP_KM,$E56)/1000</f>
        <v>0</v>
      </c>
      <c r="FV56" s="1091" t="str">
        <f t="shared" si="607"/>
        <v/>
      </c>
      <c r="FW56" s="1091"/>
      <c r="FX56" s="1147">
        <f>IF(NOW()&gt;=DATE(YEAR(FU$2),MONTH(FU$2)+1,DAY(FU$2)),SUMIFS(TF_SOTIEN,TF_THANG,FU$2,TF_KM,$E56)/1000, GA56)</f>
        <v>0</v>
      </c>
      <c r="FY56" s="1091" t="str">
        <f t="shared" si="608"/>
        <v/>
      </c>
      <c r="FZ56" s="1091"/>
      <c r="GA56" s="1147">
        <f>IF(NOW()&gt;=DATE(YEAR(FU$2),MONTH(FU$2)+1,DAY(FU$2)),SUMIFS(AC_SOTIEN,AC_THANG,FU$2,AC_KM,$E56),SUMIFS(TF_SOTIEN,TF_THANG,FU$2,TF_KM,$E56))/ 1000</f>
        <v>0</v>
      </c>
      <c r="GB56" s="1091" t="str">
        <f t="shared" si="609"/>
        <v/>
      </c>
      <c r="GC56" s="1091" t="str">
        <f t="shared" si="679"/>
        <v/>
      </c>
      <c r="GD56" s="1147">
        <f t="shared" si="111"/>
        <v>0</v>
      </c>
      <c r="GE56" s="1091" t="str">
        <f t="shared" si="112"/>
        <v/>
      </c>
      <c r="GF56" s="1147">
        <f t="shared" si="113"/>
        <v>0</v>
      </c>
      <c r="GG56" s="1091" t="str">
        <f t="shared" si="114"/>
        <v/>
      </c>
      <c r="GH56" s="1146">
        <f>SUMIFS(BP_SOTIEN,BP_THANG,GH$2,BP_KM,$E56)/1000</f>
        <v>0</v>
      </c>
      <c r="GI56" s="1091" t="str">
        <f t="shared" si="610"/>
        <v/>
      </c>
      <c r="GJ56" s="1091"/>
      <c r="GK56" s="1147">
        <f>IF(NOW()&gt;=DATE(YEAR(GH$2),MONTH(GH$2)+1,DAY(GH$2)),SUMIFS(TF_SOTIEN,TF_THANG,GH$2,TF_KM,$E56)/1000, GN56)</f>
        <v>0</v>
      </c>
      <c r="GL56" s="1091" t="str">
        <f t="shared" si="611"/>
        <v/>
      </c>
      <c r="GM56" s="1091"/>
      <c r="GN56" s="1147">
        <f>IF(NOW()&gt;=DATE(YEAR(GH$2),MONTH(GH$2)+1,DAY(GH$2)),SUMIFS(AC_SOTIEN,AC_THANG,GH$2,AC_KM,$E56),SUMIFS(TF_SOTIEN,TF_THANG,GH$2,TF_KM,$E56))/ 1000</f>
        <v>0</v>
      </c>
      <c r="GO56" s="1091" t="str">
        <f t="shared" si="612"/>
        <v/>
      </c>
      <c r="GP56" s="1091" t="str">
        <f t="shared" si="680"/>
        <v/>
      </c>
      <c r="GQ56" s="1147">
        <f t="shared" si="118"/>
        <v>0</v>
      </c>
      <c r="GR56" s="1091" t="str">
        <f t="shared" si="119"/>
        <v/>
      </c>
      <c r="GS56" s="1147">
        <f t="shared" si="120"/>
        <v>0</v>
      </c>
      <c r="GT56" s="1091" t="str">
        <f t="shared" si="121"/>
        <v/>
      </c>
      <c r="GU56" s="1146">
        <f>SUMIFS(BP_SOTIEN,BP_THANG,GU$2,BP_KM,$E56)/1000</f>
        <v>0</v>
      </c>
      <c r="GV56" s="1091" t="str">
        <f t="shared" si="613"/>
        <v/>
      </c>
      <c r="GW56" s="1091"/>
      <c r="GX56" s="1147">
        <f>IF(NOW()&gt;=DATE(YEAR(GU$2),MONTH(GU$2)+1,DAY(GU$2)),SUMIFS(TF_SOTIEN,TF_THANG,GU$2,TF_KM,$E56)/1000, HA56)</f>
        <v>0</v>
      </c>
      <c r="GY56" s="1091" t="str">
        <f t="shared" si="614"/>
        <v/>
      </c>
      <c r="GZ56" s="1091"/>
      <c r="HA56" s="1147">
        <f>IF(NOW()&gt;=DATE(YEAR(GU$2),MONTH(GU$2)+1,DAY(GU$2)),SUMIFS(AC_SOTIEN,AC_THANG,GU$2,AC_KM,$E56),SUMIFS(TF_SOTIEN,TF_THANG,GU$2,TF_KM,$E56))/ 1000</f>
        <v>0</v>
      </c>
      <c r="HB56" s="1091" t="str">
        <f t="shared" si="615"/>
        <v/>
      </c>
      <c r="HC56" s="1091" t="str">
        <f t="shared" si="681"/>
        <v/>
      </c>
      <c r="HD56" s="1147">
        <f t="shared" si="125"/>
        <v>0</v>
      </c>
      <c r="HE56" s="1091" t="str">
        <f t="shared" si="126"/>
        <v/>
      </c>
      <c r="HF56" s="1147">
        <f t="shared" si="127"/>
        <v>0</v>
      </c>
      <c r="HG56" s="1091" t="str">
        <f t="shared" si="128"/>
        <v/>
      </c>
      <c r="HH56" s="1146">
        <f t="shared" si="699"/>
        <v>0</v>
      </c>
      <c r="HI56" s="1091" t="str">
        <f t="shared" si="616"/>
        <v/>
      </c>
      <c r="HJ56" s="1091">
        <f t="shared" si="682"/>
        <v>0</v>
      </c>
      <c r="HK56" s="1147">
        <f t="shared" si="270"/>
        <v>0</v>
      </c>
      <c r="HL56" s="1091" t="str">
        <f t="shared" si="617"/>
        <v/>
      </c>
      <c r="HM56" s="1091">
        <f t="shared" si="683"/>
        <v>0</v>
      </c>
      <c r="HN56" s="1147">
        <f t="shared" si="273"/>
        <v>0</v>
      </c>
      <c r="HO56" s="1091" t="str">
        <f t="shared" si="618"/>
        <v/>
      </c>
      <c r="HP56" s="1091" t="str">
        <f t="shared" si="684"/>
        <v/>
      </c>
      <c r="HQ56" s="1147">
        <f t="shared" si="135"/>
        <v>0</v>
      </c>
      <c r="HR56" s="1091" t="str">
        <f t="shared" si="136"/>
        <v/>
      </c>
      <c r="HS56" s="1147">
        <f t="shared" si="137"/>
        <v>0</v>
      </c>
      <c r="HT56" s="1091" t="str">
        <f t="shared" si="138"/>
        <v/>
      </c>
      <c r="HU56" s="1146">
        <f t="shared" si="700"/>
        <v>0</v>
      </c>
      <c r="HV56" s="1091" t="str">
        <f t="shared" si="619"/>
        <v/>
      </c>
      <c r="HW56" s="1091">
        <f t="shared" si="685"/>
        <v>0</v>
      </c>
      <c r="HX56" s="1147">
        <f t="shared" si="279"/>
        <v>0</v>
      </c>
      <c r="HY56" s="1091" t="str">
        <f t="shared" si="620"/>
        <v/>
      </c>
      <c r="HZ56" s="1091">
        <f t="shared" si="686"/>
        <v>0</v>
      </c>
      <c r="IA56" s="1147">
        <f t="shared" si="282"/>
        <v>0</v>
      </c>
      <c r="IB56" s="1091" t="str">
        <f t="shared" si="621"/>
        <v/>
      </c>
      <c r="IC56" s="1091" t="str">
        <f t="shared" si="687"/>
        <v/>
      </c>
      <c r="ID56" s="1147">
        <f t="shared" si="145"/>
        <v>0</v>
      </c>
      <c r="IE56" s="1091" t="str">
        <f t="shared" si="146"/>
        <v/>
      </c>
      <c r="IF56" s="1147">
        <f t="shared" si="147"/>
        <v>0</v>
      </c>
      <c r="IG56" s="1091" t="str">
        <f t="shared" si="148"/>
        <v/>
      </c>
      <c r="IH56" s="1146">
        <f t="shared" si="701"/>
        <v>0</v>
      </c>
      <c r="II56" s="1091" t="str">
        <f t="shared" si="622"/>
        <v/>
      </c>
      <c r="IJ56" s="1091">
        <f t="shared" si="688"/>
        <v>0</v>
      </c>
      <c r="IK56" s="1147">
        <f t="shared" si="288"/>
        <v>0</v>
      </c>
      <c r="IL56" s="1091" t="str">
        <f t="shared" si="623"/>
        <v/>
      </c>
      <c r="IM56" s="1091">
        <f t="shared" si="689"/>
        <v>0</v>
      </c>
      <c r="IN56" s="1147">
        <f t="shared" si="291"/>
        <v>0</v>
      </c>
      <c r="IO56" s="1091">
        <f t="shared" si="624"/>
        <v>0</v>
      </c>
      <c r="IP56" s="1091">
        <f t="shared" si="690"/>
        <v>0</v>
      </c>
      <c r="IQ56" s="1147">
        <f t="shared" si="155"/>
        <v>0</v>
      </c>
      <c r="IR56" s="1091" t="str">
        <f t="shared" si="1"/>
        <v/>
      </c>
      <c r="IS56" s="1147">
        <f t="shared" si="156"/>
        <v>0</v>
      </c>
      <c r="IT56" s="1091" t="str">
        <f t="shared" si="2"/>
        <v/>
      </c>
    </row>
    <row r="57" hidden="1" outlineLevel="1">
      <c r="A57" s="1087"/>
      <c r="B57" s="1087"/>
      <c r="C57" s="1087"/>
      <c r="D57" s="1087" t="s">
        <v>2842</v>
      </c>
      <c r="E57" s="1087" t="s">
        <v>734</v>
      </c>
      <c r="F57" s="1087"/>
      <c r="G57" s="1086">
        <v>2.0</v>
      </c>
      <c r="H57" s="1088">
        <f>SUMIFS(BP_SOTIEN,BP_THANG,H$2,BP_KM,$E57)/1000</f>
        <v>0</v>
      </c>
      <c r="I57" s="1091" t="str">
        <f t="shared" si="566"/>
        <v/>
      </c>
      <c r="J57" s="1091"/>
      <c r="K57" s="1090">
        <f>IF(NOW()&gt;=DATE(YEAR(H$2),MONTH(H$2)+1,DAY(H$2)),SUMIFS(TF_SOTIEN,TF_THANG,H$2,TF_KM,$E57)/1000, N57)</f>
        <v>0</v>
      </c>
      <c r="L57" s="1091" t="str">
        <f t="shared" si="567"/>
        <v/>
      </c>
      <c r="M57" s="1091"/>
      <c r="N57" s="1090">
        <f>IF(NOW()&gt;=DATE(YEAR(H$2),MONTH(H$2)+1,DAY(H$2)),SUMIFS(AC_SOTIEN,AC_THANG,H$2,AC_KM,$E57),SUMIFS(TF_SOTIEN,TF_THANG,H$2,TF_KM,$E57))/ 1000</f>
        <v>0</v>
      </c>
      <c r="O57" s="1091">
        <f t="shared" si="568"/>
        <v>0</v>
      </c>
      <c r="P57" s="1091">
        <f t="shared" si="658"/>
        <v>0</v>
      </c>
      <c r="Q57" s="1090">
        <f t="shared" si="8"/>
        <v>0</v>
      </c>
      <c r="R57" s="1091" t="str">
        <f t="shared" si="9"/>
        <v/>
      </c>
      <c r="S57" s="1090">
        <f t="shared" si="10"/>
        <v>0</v>
      </c>
      <c r="T57" s="1091" t="str">
        <f t="shared" si="11"/>
        <v/>
      </c>
      <c r="U57" s="1088">
        <f>SUMIFS(BP_SOTIEN,BP_THANG,U$2,BP_KM,$E57)/1000</f>
        <v>0</v>
      </c>
      <c r="V57" s="1091" t="str">
        <f t="shared" si="569"/>
        <v/>
      </c>
      <c r="W57" s="1091"/>
      <c r="X57" s="1090">
        <f>IF(NOW()&gt;=DATE(YEAR(U$2),MONTH(U$2)+1,DAY(U$2)),SUMIFS(TF_SOTIEN,TF_THANG,U$2,TF_KM,$E57)/1000, AA57)</f>
        <v>0</v>
      </c>
      <c r="Y57" s="1091" t="str">
        <f t="shared" si="570"/>
        <v/>
      </c>
      <c r="Z57" s="1091"/>
      <c r="AA57" s="1090">
        <f>IF(NOW()&gt;=DATE(YEAR(U$2),MONTH(U$2)+1,DAY(U$2)),SUMIFS(AC_SOTIEN,AC_THANG,U$2,AC_KM,$E57),SUMIFS(TF_SOTIEN,TF_THANG,U$2,TF_KM,$E57))/ 1000</f>
        <v>0</v>
      </c>
      <c r="AB57" s="1091" t="str">
        <f t="shared" si="571"/>
        <v/>
      </c>
      <c r="AC57" s="1091">
        <f t="shared" si="659"/>
        <v>0</v>
      </c>
      <c r="AD57" s="1090">
        <f t="shared" si="15"/>
        <v>0</v>
      </c>
      <c r="AE57" s="1091" t="str">
        <f t="shared" si="16"/>
        <v/>
      </c>
      <c r="AF57" s="1090">
        <f t="shared" si="17"/>
        <v>0</v>
      </c>
      <c r="AG57" s="1091" t="str">
        <f t="shared" si="18"/>
        <v/>
      </c>
      <c r="AH57" s="1088">
        <f>SUMIFS(BP_SOTIEN,BP_THANG,AH$2,BP_KM,$E57)/1000</f>
        <v>0</v>
      </c>
      <c r="AI57" s="1091" t="str">
        <f t="shared" si="572"/>
        <v/>
      </c>
      <c r="AJ57" s="1091"/>
      <c r="AK57" s="1090">
        <f>IF(NOW()&gt;=DATE(YEAR(AH$2),MONTH(AH$2)+1,DAY(AH$2)),SUMIFS(TF_SOTIEN,TF_THANG,AH$2,TF_KM,$E57)/1000, AN57)</f>
        <v>0</v>
      </c>
      <c r="AL57" s="1091" t="str">
        <f t="shared" si="573"/>
        <v/>
      </c>
      <c r="AM57" s="1091"/>
      <c r="AN57" s="1090">
        <f>IF(NOW()&gt;=DATE(YEAR(AH$2),MONTH(AH$2)+1,DAY(AH$2)),SUMIFS(AC_SOTIEN,AC_THANG,AH$2,AC_KM,$E57),SUMIFS(TF_SOTIEN,TF_THANG,AH$2,TF_KM,$E57))/ 1000</f>
        <v>0</v>
      </c>
      <c r="AO57" s="1091" t="str">
        <f t="shared" si="574"/>
        <v/>
      </c>
      <c r="AP57" s="1091">
        <f t="shared" si="660"/>
        <v>0</v>
      </c>
      <c r="AQ57" s="1090">
        <f t="shared" si="22"/>
        <v>0</v>
      </c>
      <c r="AR57" s="1091" t="str">
        <f t="shared" si="23"/>
        <v/>
      </c>
      <c r="AS57" s="1090">
        <f t="shared" si="24"/>
        <v>0</v>
      </c>
      <c r="AT57" s="1091" t="str">
        <f t="shared" si="25"/>
        <v/>
      </c>
      <c r="AU57" s="1088">
        <f t="shared" si="691"/>
        <v>0</v>
      </c>
      <c r="AV57" s="1091" t="str">
        <f t="shared" si="575"/>
        <v/>
      </c>
      <c r="AW57" s="1091">
        <f t="shared" si="661"/>
        <v>0</v>
      </c>
      <c r="AX57" s="1090">
        <f t="shared" si="692"/>
        <v>0</v>
      </c>
      <c r="AY57" s="1091" t="str">
        <f t="shared" si="576"/>
        <v/>
      </c>
      <c r="AZ57" s="1091">
        <f t="shared" si="662"/>
        <v>0</v>
      </c>
      <c r="BA57" s="1090">
        <f t="shared" si="693"/>
        <v>0</v>
      </c>
      <c r="BB57" s="1091">
        <f t="shared" si="577"/>
        <v>0</v>
      </c>
      <c r="BC57" s="1091">
        <f t="shared" si="663"/>
        <v>0</v>
      </c>
      <c r="BD57" s="1090">
        <f t="shared" si="32"/>
        <v>0</v>
      </c>
      <c r="BE57" s="1091" t="str">
        <f t="shared" si="33"/>
        <v/>
      </c>
      <c r="BF57" s="1090">
        <f t="shared" si="34"/>
        <v>0</v>
      </c>
      <c r="BG57" s="1091" t="str">
        <f t="shared" si="35"/>
        <v/>
      </c>
      <c r="BH57" s="1088">
        <f>SUMIFS(BP_SOTIEN,BP_THANG,BH$2,BP_KM,$E57)/1000</f>
        <v>0</v>
      </c>
      <c r="BI57" s="1091" t="str">
        <f t="shared" si="578"/>
        <v/>
      </c>
      <c r="BJ57" s="1091"/>
      <c r="BK57" s="1090">
        <f>IF(NOW()&gt;=DATE(YEAR(BH$2),MONTH(BH$2)+1,DAY(BH$2)),SUMIFS(TF_SOTIEN,TF_THANG,BH$2,TF_KM,$E57)/1000, BN57)</f>
        <v>0</v>
      </c>
      <c r="BL57" s="1091" t="str">
        <f t="shared" si="579"/>
        <v/>
      </c>
      <c r="BM57" s="1091"/>
      <c r="BN57" s="1090">
        <f>IF(NOW()&gt;=DATE(YEAR(BH$2),MONTH(BH$2)+1,DAY(BH$2)),SUMIFS(AC_SOTIEN,AC_THANG,BH$2,AC_KM,$E57),SUMIFS(TF_SOTIEN,TF_THANG,BH$2,TF_KM,$E57))/ 1000</f>
        <v>13320</v>
      </c>
      <c r="BO57" s="1091" t="str">
        <f t="shared" si="580"/>
        <v/>
      </c>
      <c r="BP57" s="1091">
        <f t="shared" si="664"/>
        <v>0.01123943376</v>
      </c>
      <c r="BQ57" s="1090">
        <f t="shared" si="39"/>
        <v>13320</v>
      </c>
      <c r="BR57" s="1091" t="str">
        <f t="shared" si="40"/>
        <v/>
      </c>
      <c r="BS57" s="1090">
        <f t="shared" si="41"/>
        <v>13320</v>
      </c>
      <c r="BT57" s="1091" t="str">
        <f t="shared" si="42"/>
        <v/>
      </c>
      <c r="BU57" s="1088">
        <f>SUMIFS(BP_SOTIEN,BP_THANG,BU$2,BP_KM,$E57)/1000</f>
        <v>0</v>
      </c>
      <c r="BV57" s="1091" t="str">
        <f t="shared" si="581"/>
        <v/>
      </c>
      <c r="BW57" s="1091"/>
      <c r="BX57" s="1090">
        <f>IF(NOW()&gt;=DATE(YEAR(BU$2),MONTH(BU$2)+1,DAY(BU$2)),SUMIFS(TF_SOTIEN,TF_THANG,BU$2,TF_KM,$E57)/1000, CA57)</f>
        <v>0</v>
      </c>
      <c r="BY57" s="1091" t="str">
        <f t="shared" si="582"/>
        <v/>
      </c>
      <c r="BZ57" s="1091"/>
      <c r="CA57" s="1090">
        <f>IF(NOW()&gt;=DATE(YEAR(BU$2),MONTH(BU$2)+1,DAY(BU$2)),SUMIFS(AC_SOTIEN,AC_THANG,BU$2,AC_KM,$E57),SUMIFS(TF_SOTIEN,TF_THANG,BU$2,TF_KM,$E57))/ 1000</f>
        <v>0</v>
      </c>
      <c r="CB57" s="1091" t="str">
        <f t="shared" si="583"/>
        <v/>
      </c>
      <c r="CC57" s="1091">
        <f t="shared" si="665"/>
        <v>0</v>
      </c>
      <c r="CD57" s="1090">
        <f t="shared" si="46"/>
        <v>0</v>
      </c>
      <c r="CE57" s="1091" t="str">
        <f t="shared" si="47"/>
        <v/>
      </c>
      <c r="CF57" s="1090">
        <f t="shared" si="48"/>
        <v>0</v>
      </c>
      <c r="CG57" s="1091" t="str">
        <f t="shared" si="49"/>
        <v/>
      </c>
      <c r="CH57" s="1088">
        <f>SUMIFS(BP_SOTIEN,BP_THANG,CH$2,BP_KM,$E57)/1000</f>
        <v>0</v>
      </c>
      <c r="CI57" s="1091" t="str">
        <f t="shared" si="584"/>
        <v/>
      </c>
      <c r="CJ57" s="1091"/>
      <c r="CK57" s="1090">
        <f>IF(NOW()&gt;=DATE(YEAR(CH$2),MONTH(CH$2)+1,DAY(CH$2)),SUMIFS(TF_SOTIEN,TF_THANG,CH$2,TF_KM,$E57)/1000, CN57)</f>
        <v>0</v>
      </c>
      <c r="CL57" s="1091" t="str">
        <f t="shared" si="585"/>
        <v/>
      </c>
      <c r="CM57" s="1091"/>
      <c r="CN57" s="1090">
        <f>IF(NOW()&gt;=DATE(YEAR(CH$2),MONTH(CH$2)+1,DAY(CH$2)),SUMIFS(AC_SOTIEN,AC_THANG,CH$2,AC_KM,$E57),SUMIFS(TF_SOTIEN,TF_THANG,CH$2,TF_KM,$E57))/ 1000</f>
        <v>0</v>
      </c>
      <c r="CO57" s="1091" t="str">
        <f t="shared" si="586"/>
        <v/>
      </c>
      <c r="CP57" s="1091" t="str">
        <f t="shared" si="666"/>
        <v/>
      </c>
      <c r="CQ57" s="1090">
        <f t="shared" si="53"/>
        <v>0</v>
      </c>
      <c r="CR57" s="1091" t="str">
        <f t="shared" si="54"/>
        <v/>
      </c>
      <c r="CS57" s="1090">
        <f t="shared" si="55"/>
        <v>0</v>
      </c>
      <c r="CT57" s="1091" t="str">
        <f t="shared" si="56"/>
        <v/>
      </c>
      <c r="CU57" s="1088">
        <f t="shared" si="694"/>
        <v>0</v>
      </c>
      <c r="CV57" s="1091" t="str">
        <f t="shared" si="587"/>
        <v/>
      </c>
      <c r="CW57" s="1091">
        <f t="shared" si="667"/>
        <v>0</v>
      </c>
      <c r="CX57" s="1090">
        <f t="shared" si="695"/>
        <v>0</v>
      </c>
      <c r="CY57" s="1091" t="str">
        <f t="shared" si="589"/>
        <v/>
      </c>
      <c r="CZ57" s="1091">
        <f t="shared" si="668"/>
        <v>0</v>
      </c>
      <c r="DA57" s="1090">
        <f t="shared" si="696"/>
        <v>13320</v>
      </c>
      <c r="DB57" s="1091" t="str">
        <f t="shared" si="591"/>
        <v/>
      </c>
      <c r="DC57" s="1091">
        <f t="shared" si="669"/>
        <v>0.007731870763</v>
      </c>
      <c r="DD57" s="1090">
        <f t="shared" si="63"/>
        <v>13320</v>
      </c>
      <c r="DE57" s="1091" t="str">
        <f t="shared" si="64"/>
        <v/>
      </c>
      <c r="DF57" s="1090">
        <f t="shared" si="65"/>
        <v>13320</v>
      </c>
      <c r="DG57" s="1091" t="str">
        <f t="shared" si="66"/>
        <v/>
      </c>
      <c r="DH57" s="1088">
        <f t="shared" si="697"/>
        <v>0</v>
      </c>
      <c r="DI57" s="1091" t="str">
        <f t="shared" si="592"/>
        <v/>
      </c>
      <c r="DJ57" s="1091">
        <f t="shared" si="670"/>
        <v>0</v>
      </c>
      <c r="DK57" s="1090">
        <f t="shared" si="216"/>
        <v>0</v>
      </c>
      <c r="DL57" s="1091" t="str">
        <f t="shared" si="593"/>
        <v/>
      </c>
      <c r="DM57" s="1091">
        <f t="shared" si="671"/>
        <v>0</v>
      </c>
      <c r="DN57" s="1090">
        <f t="shared" si="219"/>
        <v>13320</v>
      </c>
      <c r="DO57" s="1091">
        <f t="shared" si="594"/>
        <v>0.03917647059</v>
      </c>
      <c r="DP57" s="1091">
        <f t="shared" si="672"/>
        <v>0.004142109719</v>
      </c>
      <c r="DQ57" s="1090">
        <f t="shared" si="73"/>
        <v>13320</v>
      </c>
      <c r="DR57" s="1091" t="str">
        <f t="shared" si="74"/>
        <v/>
      </c>
      <c r="DS57" s="1090">
        <f t="shared" si="75"/>
        <v>13320</v>
      </c>
      <c r="DT57" s="1091" t="str">
        <f t="shared" si="76"/>
        <v/>
      </c>
      <c r="DU57" s="1088">
        <f>SUMIFS(BP_SOTIEN,BP_THANG,DU$2,BP_KM,$E57)/1000</f>
        <v>0</v>
      </c>
      <c r="DV57" s="1091" t="str">
        <f t="shared" si="595"/>
        <v/>
      </c>
      <c r="DW57" s="1091"/>
      <c r="DX57" s="1090">
        <f>IF(NOW()&gt;=DATE(YEAR(DU$2),MONTH(DU$2)+1,DAY(DU$2)),SUMIFS(TF_SOTIEN,TF_THANG,DU$2,TF_KM,$E57)/1000, EA57)</f>
        <v>0</v>
      </c>
      <c r="DY57" s="1091" t="str">
        <f t="shared" si="596"/>
        <v/>
      </c>
      <c r="DZ57" s="1091"/>
      <c r="EA57" s="1090">
        <f>IF(NOW()&gt;=DATE(YEAR(DU$2),MONTH(DU$2)+1,DAY(DU$2)),SUMIFS(AC_SOTIEN,AC_THANG,DU$2,AC_KM,$E57),SUMIFS(TF_SOTIEN,TF_THANG,DU$2,TF_KM,$E57))/ 1000</f>
        <v>0</v>
      </c>
      <c r="EB57" s="1091" t="str">
        <f t="shared" si="597"/>
        <v/>
      </c>
      <c r="EC57" s="1091" t="str">
        <f t="shared" si="673"/>
        <v/>
      </c>
      <c r="ED57" s="1090">
        <f t="shared" si="80"/>
        <v>0</v>
      </c>
      <c r="EE57" s="1091" t="str">
        <f t="shared" si="81"/>
        <v/>
      </c>
      <c r="EF57" s="1090">
        <f t="shared" si="82"/>
        <v>0</v>
      </c>
      <c r="EG57" s="1091" t="str">
        <f t="shared" si="83"/>
        <v/>
      </c>
      <c r="EH57" s="1088">
        <f>SUMIFS(BP_SOTIEN,BP_THANG,EH$2,BP_KM,$E57)/1000</f>
        <v>0</v>
      </c>
      <c r="EI57" s="1091" t="str">
        <f t="shared" si="598"/>
        <v/>
      </c>
      <c r="EJ57" s="1091"/>
      <c r="EK57" s="1090">
        <f>IF(NOW()&gt;=DATE(YEAR(EH$2),MONTH(EH$2)+1,DAY(EH$2)),SUMIFS(TF_SOTIEN,TF_THANG,EH$2,TF_KM,$E57)/1000, EN57)</f>
        <v>0</v>
      </c>
      <c r="EL57" s="1091" t="str">
        <f t="shared" si="599"/>
        <v/>
      </c>
      <c r="EM57" s="1091"/>
      <c r="EN57" s="1090">
        <f>IF(NOW()&gt;=DATE(YEAR(EH$2),MONTH(EH$2)+1,DAY(EH$2)),SUMIFS(AC_SOTIEN,AC_THANG,EH$2,AC_KM,$E57),SUMIFS(TF_SOTIEN,TF_THANG,EH$2,TF_KM,$E57))/ 1000</f>
        <v>0</v>
      </c>
      <c r="EO57" s="1091" t="str">
        <f t="shared" si="600"/>
        <v/>
      </c>
      <c r="EP57" s="1091" t="str">
        <f t="shared" si="674"/>
        <v/>
      </c>
      <c r="EQ57" s="1090">
        <f t="shared" si="87"/>
        <v>0</v>
      </c>
      <c r="ER57" s="1091" t="str">
        <f t="shared" si="88"/>
        <v/>
      </c>
      <c r="ES57" s="1090">
        <f t="shared" si="89"/>
        <v>0</v>
      </c>
      <c r="ET57" s="1091" t="str">
        <f t="shared" si="90"/>
        <v/>
      </c>
      <c r="EU57" s="1088">
        <f>SUMIFS(BP_SOTIEN,BP_THANG,EU$2,BP_KM,$E57)/1000</f>
        <v>0</v>
      </c>
      <c r="EV57" s="1091" t="str">
        <f t="shared" si="601"/>
        <v/>
      </c>
      <c r="EW57" s="1091"/>
      <c r="EX57" s="1090">
        <f>IF(NOW()&gt;=DATE(YEAR(EU$2),MONTH(EU$2)+1,DAY(EU$2)),SUMIFS(TF_SOTIEN,TF_THANG,EU$2,TF_KM,$E57)/1000, FA57)</f>
        <v>0</v>
      </c>
      <c r="EY57" s="1091" t="str">
        <f t="shared" si="602"/>
        <v/>
      </c>
      <c r="EZ57" s="1091"/>
      <c r="FA57" s="1090">
        <f>IF(NOW()&gt;=DATE(YEAR(EU$2),MONTH(EU$2)+1,DAY(EU$2)),SUMIFS(AC_SOTIEN,AC_THANG,EU$2,AC_KM,$E57),SUMIFS(TF_SOTIEN,TF_THANG,EU$2,TF_KM,$E57))/ 1000</f>
        <v>0</v>
      </c>
      <c r="FB57" s="1091" t="str">
        <f t="shared" si="603"/>
        <v/>
      </c>
      <c r="FC57" s="1091" t="str">
        <f t="shared" si="675"/>
        <v/>
      </c>
      <c r="FD57" s="1090">
        <f t="shared" si="94"/>
        <v>0</v>
      </c>
      <c r="FE57" s="1091" t="str">
        <f t="shared" si="95"/>
        <v/>
      </c>
      <c r="FF57" s="1090">
        <f t="shared" si="96"/>
        <v>0</v>
      </c>
      <c r="FG57" s="1091" t="str">
        <f t="shared" si="97"/>
        <v/>
      </c>
      <c r="FH57" s="1088">
        <f t="shared" si="698"/>
        <v>0</v>
      </c>
      <c r="FI57" s="1091" t="str">
        <f t="shared" si="604"/>
        <v/>
      </c>
      <c r="FJ57" s="1091">
        <f t="shared" si="676"/>
        <v>0</v>
      </c>
      <c r="FK57" s="1090">
        <f t="shared" si="243"/>
        <v>0</v>
      </c>
      <c r="FL57" s="1091" t="str">
        <f t="shared" si="605"/>
        <v/>
      </c>
      <c r="FM57" s="1091">
        <f t="shared" si="677"/>
        <v>0</v>
      </c>
      <c r="FN57" s="1090">
        <f t="shared" si="246"/>
        <v>0</v>
      </c>
      <c r="FO57" s="1091" t="str">
        <f t="shared" si="606"/>
        <v/>
      </c>
      <c r="FP57" s="1091" t="str">
        <f t="shared" si="678"/>
        <v/>
      </c>
      <c r="FQ57" s="1090">
        <f t="shared" si="104"/>
        <v>0</v>
      </c>
      <c r="FR57" s="1091" t="str">
        <f t="shared" si="105"/>
        <v/>
      </c>
      <c r="FS57" s="1090">
        <f t="shared" si="106"/>
        <v>0</v>
      </c>
      <c r="FT57" s="1091" t="str">
        <f t="shared" si="107"/>
        <v/>
      </c>
      <c r="FU57" s="1088">
        <f>SUMIFS(BP_SOTIEN,BP_THANG,FU$2,BP_KM,$E57)/1000</f>
        <v>0</v>
      </c>
      <c r="FV57" s="1091" t="str">
        <f t="shared" si="607"/>
        <v/>
      </c>
      <c r="FW57" s="1091"/>
      <c r="FX57" s="1090">
        <f>IF(NOW()&gt;=DATE(YEAR(FU$2),MONTH(FU$2)+1,DAY(FU$2)),SUMIFS(TF_SOTIEN,TF_THANG,FU$2,TF_KM,$E57)/1000, GA57)</f>
        <v>0</v>
      </c>
      <c r="FY57" s="1091" t="str">
        <f t="shared" si="608"/>
        <v/>
      </c>
      <c r="FZ57" s="1091"/>
      <c r="GA57" s="1090">
        <f>IF(NOW()&gt;=DATE(YEAR(FU$2),MONTH(FU$2)+1,DAY(FU$2)),SUMIFS(AC_SOTIEN,AC_THANG,FU$2,AC_KM,$E57),SUMIFS(TF_SOTIEN,TF_THANG,FU$2,TF_KM,$E57))/ 1000</f>
        <v>0</v>
      </c>
      <c r="GB57" s="1091" t="str">
        <f t="shared" si="609"/>
        <v/>
      </c>
      <c r="GC57" s="1091" t="str">
        <f t="shared" si="679"/>
        <v/>
      </c>
      <c r="GD57" s="1090">
        <f t="shared" si="111"/>
        <v>0</v>
      </c>
      <c r="GE57" s="1091" t="str">
        <f t="shared" si="112"/>
        <v/>
      </c>
      <c r="GF57" s="1090">
        <f t="shared" si="113"/>
        <v>0</v>
      </c>
      <c r="GG57" s="1091" t="str">
        <f t="shared" si="114"/>
        <v/>
      </c>
      <c r="GH57" s="1088">
        <f>SUMIFS(BP_SOTIEN,BP_THANG,GH$2,BP_KM,$E57)/1000</f>
        <v>0</v>
      </c>
      <c r="GI57" s="1091" t="str">
        <f t="shared" si="610"/>
        <v/>
      </c>
      <c r="GJ57" s="1091"/>
      <c r="GK57" s="1090">
        <f>IF(NOW()&gt;=DATE(YEAR(GH$2),MONTH(GH$2)+1,DAY(GH$2)),SUMIFS(TF_SOTIEN,TF_THANG,GH$2,TF_KM,$E57)/1000, GN57)</f>
        <v>0</v>
      </c>
      <c r="GL57" s="1091" t="str">
        <f t="shared" si="611"/>
        <v/>
      </c>
      <c r="GM57" s="1091"/>
      <c r="GN57" s="1090">
        <f>IF(NOW()&gt;=DATE(YEAR(GH$2),MONTH(GH$2)+1,DAY(GH$2)),SUMIFS(AC_SOTIEN,AC_THANG,GH$2,AC_KM,$E57),SUMIFS(TF_SOTIEN,TF_THANG,GH$2,TF_KM,$E57))/ 1000</f>
        <v>0</v>
      </c>
      <c r="GO57" s="1091" t="str">
        <f t="shared" si="612"/>
        <v/>
      </c>
      <c r="GP57" s="1091" t="str">
        <f t="shared" si="680"/>
        <v/>
      </c>
      <c r="GQ57" s="1090">
        <f t="shared" si="118"/>
        <v>0</v>
      </c>
      <c r="GR57" s="1091" t="str">
        <f t="shared" si="119"/>
        <v/>
      </c>
      <c r="GS57" s="1090">
        <f t="shared" si="120"/>
        <v>0</v>
      </c>
      <c r="GT57" s="1091" t="str">
        <f t="shared" si="121"/>
        <v/>
      </c>
      <c r="GU57" s="1088">
        <f>SUMIFS(BP_SOTIEN,BP_THANG,GU$2,BP_KM,$E57)/1000</f>
        <v>0</v>
      </c>
      <c r="GV57" s="1091" t="str">
        <f t="shared" si="613"/>
        <v/>
      </c>
      <c r="GW57" s="1091"/>
      <c r="GX57" s="1090">
        <f>IF(NOW()&gt;=DATE(YEAR(GU$2),MONTH(GU$2)+1,DAY(GU$2)),SUMIFS(TF_SOTIEN,TF_THANG,GU$2,TF_KM,$E57)/1000, HA57)</f>
        <v>0</v>
      </c>
      <c r="GY57" s="1091" t="str">
        <f t="shared" si="614"/>
        <v/>
      </c>
      <c r="GZ57" s="1091"/>
      <c r="HA57" s="1090">
        <f>IF(NOW()&gt;=DATE(YEAR(GU$2),MONTH(GU$2)+1,DAY(GU$2)),SUMIFS(AC_SOTIEN,AC_THANG,GU$2,AC_KM,$E57),SUMIFS(TF_SOTIEN,TF_THANG,GU$2,TF_KM,$E57))/ 1000</f>
        <v>0</v>
      </c>
      <c r="HB57" s="1091" t="str">
        <f t="shared" si="615"/>
        <v/>
      </c>
      <c r="HC57" s="1091" t="str">
        <f t="shared" si="681"/>
        <v/>
      </c>
      <c r="HD57" s="1090">
        <f t="shared" si="125"/>
        <v>0</v>
      </c>
      <c r="HE57" s="1091" t="str">
        <f t="shared" si="126"/>
        <v/>
      </c>
      <c r="HF57" s="1090">
        <f t="shared" si="127"/>
        <v>0</v>
      </c>
      <c r="HG57" s="1091" t="str">
        <f t="shared" si="128"/>
        <v/>
      </c>
      <c r="HH57" s="1088">
        <f t="shared" si="699"/>
        <v>0</v>
      </c>
      <c r="HI57" s="1091" t="str">
        <f t="shared" si="616"/>
        <v/>
      </c>
      <c r="HJ57" s="1091">
        <f t="shared" si="682"/>
        <v>0</v>
      </c>
      <c r="HK57" s="1090">
        <f t="shared" si="270"/>
        <v>0</v>
      </c>
      <c r="HL57" s="1091" t="str">
        <f t="shared" si="617"/>
        <v/>
      </c>
      <c r="HM57" s="1091">
        <f t="shared" si="683"/>
        <v>0</v>
      </c>
      <c r="HN57" s="1090">
        <f t="shared" si="273"/>
        <v>0</v>
      </c>
      <c r="HO57" s="1091" t="str">
        <f t="shared" si="618"/>
        <v/>
      </c>
      <c r="HP57" s="1091" t="str">
        <f t="shared" si="684"/>
        <v/>
      </c>
      <c r="HQ57" s="1090">
        <f t="shared" si="135"/>
        <v>0</v>
      </c>
      <c r="HR57" s="1091" t="str">
        <f t="shared" si="136"/>
        <v/>
      </c>
      <c r="HS57" s="1090">
        <f t="shared" si="137"/>
        <v>0</v>
      </c>
      <c r="HT57" s="1091" t="str">
        <f t="shared" si="138"/>
        <v/>
      </c>
      <c r="HU57" s="1088">
        <f t="shared" si="700"/>
        <v>0</v>
      </c>
      <c r="HV57" s="1091" t="str">
        <f t="shared" si="619"/>
        <v/>
      </c>
      <c r="HW57" s="1091">
        <f t="shared" si="685"/>
        <v>0</v>
      </c>
      <c r="HX57" s="1090">
        <f t="shared" si="279"/>
        <v>0</v>
      </c>
      <c r="HY57" s="1091" t="str">
        <f t="shared" si="620"/>
        <v/>
      </c>
      <c r="HZ57" s="1091">
        <f t="shared" si="686"/>
        <v>0</v>
      </c>
      <c r="IA57" s="1090">
        <f t="shared" si="282"/>
        <v>0</v>
      </c>
      <c r="IB57" s="1091" t="str">
        <f t="shared" si="621"/>
        <v/>
      </c>
      <c r="IC57" s="1091" t="str">
        <f t="shared" si="687"/>
        <v/>
      </c>
      <c r="ID57" s="1090">
        <f t="shared" si="145"/>
        <v>0</v>
      </c>
      <c r="IE57" s="1091" t="str">
        <f t="shared" si="146"/>
        <v/>
      </c>
      <c r="IF57" s="1090">
        <f t="shared" si="147"/>
        <v>0</v>
      </c>
      <c r="IG57" s="1091" t="str">
        <f t="shared" si="148"/>
        <v/>
      </c>
      <c r="IH57" s="1088">
        <f t="shared" si="701"/>
        <v>0</v>
      </c>
      <c r="II57" s="1091" t="str">
        <f t="shared" si="622"/>
        <v/>
      </c>
      <c r="IJ57" s="1091">
        <f t="shared" si="688"/>
        <v>0</v>
      </c>
      <c r="IK57" s="1090">
        <f t="shared" si="288"/>
        <v>0</v>
      </c>
      <c r="IL57" s="1091" t="str">
        <f t="shared" si="623"/>
        <v/>
      </c>
      <c r="IM57" s="1091">
        <f t="shared" si="689"/>
        <v>0</v>
      </c>
      <c r="IN57" s="1090">
        <f t="shared" si="291"/>
        <v>13320</v>
      </c>
      <c r="IO57" s="1091">
        <f t="shared" si="624"/>
        <v>0.03917647059</v>
      </c>
      <c r="IP57" s="1091">
        <f t="shared" si="690"/>
        <v>0.004142109719</v>
      </c>
      <c r="IQ57" s="1090">
        <f t="shared" si="155"/>
        <v>13320</v>
      </c>
      <c r="IR57" s="1091" t="str">
        <f t="shared" si="1"/>
        <v/>
      </c>
      <c r="IS57" s="1090">
        <f t="shared" si="156"/>
        <v>13320</v>
      </c>
      <c r="IT57" s="1091" t="str">
        <f t="shared" si="2"/>
        <v/>
      </c>
    </row>
    <row r="58" hidden="1" outlineLevel="1">
      <c r="A58" s="1087"/>
      <c r="B58" s="1087"/>
      <c r="C58" s="1087"/>
      <c r="D58" s="656" t="s">
        <v>2843</v>
      </c>
      <c r="E58" s="656" t="s">
        <v>201</v>
      </c>
      <c r="F58" s="1087"/>
      <c r="G58" s="1086">
        <v>2.0</v>
      </c>
      <c r="H58" s="1088">
        <f>SUMIFS(BP_SOTIEN,BP_THANG,H$2,BP_KM,$E58)/1000</f>
        <v>0</v>
      </c>
      <c r="I58" s="1091" t="str">
        <f t="shared" si="566"/>
        <v/>
      </c>
      <c r="J58" s="1091"/>
      <c r="K58" s="1090">
        <f>IF(NOW()&gt;=DATE(YEAR(H$2),MONTH(H$2)+1,DAY(H$2)),SUMIFS(TF_SOTIEN,TF_THANG,H$2,TF_KM,$E58)/1000, N58)</f>
        <v>0</v>
      </c>
      <c r="L58" s="1091" t="str">
        <f t="shared" si="567"/>
        <v/>
      </c>
      <c r="M58" s="1091"/>
      <c r="N58" s="1090">
        <f>IF(NOW()&gt;=DATE(YEAR(H$2),MONTH(H$2)+1,DAY(H$2)),SUMIFS(AC_SOTIEN,AC_THANG,H$2,AC_KM,$E58),SUMIFS(TF_SOTIEN,TF_THANG,H$2,TF_KM,$E58))/ 1000</f>
        <v>2000</v>
      </c>
      <c r="O58" s="1091">
        <f t="shared" si="568"/>
        <v>0.005882352941</v>
      </c>
      <c r="P58" s="1091">
        <f t="shared" si="658"/>
        <v>0.002792026388</v>
      </c>
      <c r="Q58" s="1090">
        <f t="shared" si="8"/>
        <v>2000</v>
      </c>
      <c r="R58" s="1091" t="str">
        <f t="shared" si="9"/>
        <v/>
      </c>
      <c r="S58" s="1090">
        <f t="shared" si="10"/>
        <v>2000</v>
      </c>
      <c r="T58" s="1091" t="str">
        <f t="shared" si="11"/>
        <v/>
      </c>
      <c r="U58" s="1088">
        <f>SUMIFS(BP_SOTIEN,BP_THANG,U$2,BP_KM,$E58)/1000</f>
        <v>0</v>
      </c>
      <c r="V58" s="1091" t="str">
        <f t="shared" si="569"/>
        <v/>
      </c>
      <c r="W58" s="1091"/>
      <c r="X58" s="1090">
        <f>IF(NOW()&gt;=DATE(YEAR(U$2),MONTH(U$2)+1,DAY(U$2)),SUMIFS(TF_SOTIEN,TF_THANG,U$2,TF_KM,$E58)/1000, AA58)</f>
        <v>0</v>
      </c>
      <c r="Y58" s="1091" t="str">
        <f t="shared" si="570"/>
        <v/>
      </c>
      <c r="Z58" s="1091"/>
      <c r="AA58" s="1090">
        <f>IF(NOW()&gt;=DATE(YEAR(U$2),MONTH(U$2)+1,DAY(U$2)),SUMIFS(AC_SOTIEN,AC_THANG,U$2,AC_KM,$E58),SUMIFS(TF_SOTIEN,TF_THANG,U$2,TF_KM,$E58))/ 1000</f>
        <v>1000</v>
      </c>
      <c r="AB58" s="1091" t="str">
        <f t="shared" si="571"/>
        <v/>
      </c>
      <c r="AC58" s="1091">
        <f t="shared" si="659"/>
        <v>0.005974123669</v>
      </c>
      <c r="AD58" s="1090">
        <f t="shared" si="15"/>
        <v>1000</v>
      </c>
      <c r="AE58" s="1091" t="str">
        <f t="shared" si="16"/>
        <v/>
      </c>
      <c r="AF58" s="1090">
        <f t="shared" si="17"/>
        <v>1000</v>
      </c>
      <c r="AG58" s="1091" t="str">
        <f t="shared" si="18"/>
        <v/>
      </c>
      <c r="AH58" s="1088">
        <f>SUMIFS(BP_SOTIEN,BP_THANG,AH$2,BP_KM,$E58)/1000</f>
        <v>0</v>
      </c>
      <c r="AI58" s="1091" t="str">
        <f t="shared" si="572"/>
        <v/>
      </c>
      <c r="AJ58" s="1091"/>
      <c r="AK58" s="1090">
        <f>IF(NOW()&gt;=DATE(YEAR(AH$2),MONTH(AH$2)+1,DAY(AH$2)),SUMIFS(TF_SOTIEN,TF_THANG,AH$2,TF_KM,$E58)/1000, AN58)</f>
        <v>0</v>
      </c>
      <c r="AL58" s="1091" t="str">
        <f t="shared" si="573"/>
        <v/>
      </c>
      <c r="AM58" s="1091"/>
      <c r="AN58" s="1090">
        <f>IF(NOW()&gt;=DATE(YEAR(AH$2),MONTH(AH$2)+1,DAY(AH$2)),SUMIFS(AC_SOTIEN,AC_THANG,AH$2,AC_KM,$E58),SUMIFS(TF_SOTIEN,TF_THANG,AH$2,TF_KM,$E58))/ 1000</f>
        <v>4000</v>
      </c>
      <c r="AO58" s="1091" t="str">
        <f t="shared" si="574"/>
        <v/>
      </c>
      <c r="AP58" s="1091">
        <f t="shared" si="660"/>
        <v>0.006564923547</v>
      </c>
      <c r="AQ58" s="1090">
        <f t="shared" si="22"/>
        <v>4000</v>
      </c>
      <c r="AR58" s="1091" t="str">
        <f t="shared" si="23"/>
        <v/>
      </c>
      <c r="AS58" s="1090">
        <f t="shared" si="24"/>
        <v>4000</v>
      </c>
      <c r="AT58" s="1091" t="str">
        <f t="shared" si="25"/>
        <v/>
      </c>
      <c r="AU58" s="1088">
        <f t="shared" si="691"/>
        <v>0</v>
      </c>
      <c r="AV58" s="1091" t="str">
        <f t="shared" si="575"/>
        <v/>
      </c>
      <c r="AW58" s="1091">
        <f t="shared" si="661"/>
        <v>0</v>
      </c>
      <c r="AX58" s="1090">
        <f t="shared" si="692"/>
        <v>0</v>
      </c>
      <c r="AY58" s="1091" t="str">
        <f t="shared" si="576"/>
        <v/>
      </c>
      <c r="AZ58" s="1091">
        <f t="shared" si="662"/>
        <v>0</v>
      </c>
      <c r="BA58" s="1090">
        <f t="shared" si="693"/>
        <v>7000</v>
      </c>
      <c r="BB58" s="1091">
        <f t="shared" si="577"/>
        <v>0.02058823529</v>
      </c>
      <c r="BC58" s="1091">
        <f t="shared" si="663"/>
        <v>0.004688505824</v>
      </c>
      <c r="BD58" s="1090">
        <f t="shared" si="32"/>
        <v>7000</v>
      </c>
      <c r="BE58" s="1091" t="str">
        <f t="shared" si="33"/>
        <v/>
      </c>
      <c r="BF58" s="1090">
        <f t="shared" si="34"/>
        <v>7000</v>
      </c>
      <c r="BG58" s="1091" t="str">
        <f t="shared" si="35"/>
        <v/>
      </c>
      <c r="BH58" s="1088">
        <f>SUMIFS(BP_SOTIEN,BP_THANG,BH$2,BP_KM,$E58)/1000</f>
        <v>0</v>
      </c>
      <c r="BI58" s="1091" t="str">
        <f t="shared" si="578"/>
        <v/>
      </c>
      <c r="BJ58" s="1091"/>
      <c r="BK58" s="1090">
        <f>IF(NOW()&gt;=DATE(YEAR(BH$2),MONTH(BH$2)+1,DAY(BH$2)),SUMIFS(TF_SOTIEN,TF_THANG,BH$2,TF_KM,$E58)/1000, BN58)</f>
        <v>0</v>
      </c>
      <c r="BL58" s="1091" t="str">
        <f t="shared" si="579"/>
        <v/>
      </c>
      <c r="BM58" s="1091"/>
      <c r="BN58" s="1090">
        <f>IF(NOW()&gt;=DATE(YEAR(BH$2),MONTH(BH$2)+1,DAY(BH$2)),SUMIFS(AC_SOTIEN,AC_THANG,BH$2,AC_KM,$E58),SUMIFS(TF_SOTIEN,TF_THANG,BH$2,TF_KM,$E58))/ 1000</f>
        <v>23000</v>
      </c>
      <c r="BO58" s="1091" t="str">
        <f t="shared" si="580"/>
        <v/>
      </c>
      <c r="BP58" s="1091">
        <f t="shared" si="664"/>
        <v>0.01940743067</v>
      </c>
      <c r="BQ58" s="1090">
        <f t="shared" si="39"/>
        <v>23000</v>
      </c>
      <c r="BR58" s="1091" t="str">
        <f t="shared" si="40"/>
        <v/>
      </c>
      <c r="BS58" s="1090">
        <f t="shared" si="41"/>
        <v>23000</v>
      </c>
      <c r="BT58" s="1091" t="str">
        <f t="shared" si="42"/>
        <v/>
      </c>
      <c r="BU58" s="1088">
        <f>SUMIFS(BP_SOTIEN,BP_THANG,BU$2,BP_KM,$E58)/1000</f>
        <v>0</v>
      </c>
      <c r="BV58" s="1091" t="str">
        <f t="shared" si="581"/>
        <v/>
      </c>
      <c r="BW58" s="1091"/>
      <c r="BX58" s="1090">
        <f>IF(NOW()&gt;=DATE(YEAR(BU$2),MONTH(BU$2)+1,DAY(BU$2)),SUMIFS(TF_SOTIEN,TF_THANG,BU$2,TF_KM,$E58)/1000, CA58)</f>
        <v>0</v>
      </c>
      <c r="BY58" s="1091" t="str">
        <f t="shared" si="582"/>
        <v/>
      </c>
      <c r="BZ58" s="1091"/>
      <c r="CA58" s="1090">
        <f>IF(NOW()&gt;=DATE(YEAR(BU$2),MONTH(BU$2)+1,DAY(BU$2)),SUMIFS(AC_SOTIEN,AC_THANG,BU$2,AC_KM,$E58),SUMIFS(TF_SOTIEN,TF_THANG,BU$2,TF_KM,$E58))/ 1000</f>
        <v>4000</v>
      </c>
      <c r="CB58" s="1091" t="str">
        <f t="shared" si="583"/>
        <v/>
      </c>
      <c r="CC58" s="1091">
        <f t="shared" si="665"/>
        <v>0.007440109112</v>
      </c>
      <c r="CD58" s="1090">
        <f t="shared" si="46"/>
        <v>4000</v>
      </c>
      <c r="CE58" s="1091" t="str">
        <f t="shared" si="47"/>
        <v/>
      </c>
      <c r="CF58" s="1090">
        <f t="shared" si="48"/>
        <v>4000</v>
      </c>
      <c r="CG58" s="1091" t="str">
        <f t="shared" si="49"/>
        <v/>
      </c>
      <c r="CH58" s="1088">
        <f>SUMIFS(BP_SOTIEN,BP_THANG,CH$2,BP_KM,$E58)/1000</f>
        <v>0</v>
      </c>
      <c r="CI58" s="1091" t="str">
        <f t="shared" si="584"/>
        <v/>
      </c>
      <c r="CJ58" s="1091"/>
      <c r="CK58" s="1090">
        <f>IF(NOW()&gt;=DATE(YEAR(CH$2),MONTH(CH$2)+1,DAY(CH$2)),SUMIFS(TF_SOTIEN,TF_THANG,CH$2,TF_KM,$E58)/1000, CN58)</f>
        <v>0</v>
      </c>
      <c r="CL58" s="1091" t="str">
        <f t="shared" si="585"/>
        <v/>
      </c>
      <c r="CM58" s="1091"/>
      <c r="CN58" s="1090">
        <f>IF(NOW()&gt;=DATE(YEAR(CH$2),MONTH(CH$2)+1,DAY(CH$2)),SUMIFS(AC_SOTIEN,AC_THANG,CH$2,AC_KM,$E58),SUMIFS(TF_SOTIEN,TF_THANG,CH$2,TF_KM,$E58))/ 1000</f>
        <v>0</v>
      </c>
      <c r="CO58" s="1091" t="str">
        <f t="shared" si="586"/>
        <v/>
      </c>
      <c r="CP58" s="1091" t="str">
        <f t="shared" si="666"/>
        <v/>
      </c>
      <c r="CQ58" s="1090">
        <f t="shared" si="53"/>
        <v>0</v>
      </c>
      <c r="CR58" s="1091" t="str">
        <f t="shared" si="54"/>
        <v/>
      </c>
      <c r="CS58" s="1090">
        <f t="shared" si="55"/>
        <v>0</v>
      </c>
      <c r="CT58" s="1091" t="str">
        <f t="shared" si="56"/>
        <v/>
      </c>
      <c r="CU58" s="1088">
        <f t="shared" si="694"/>
        <v>0</v>
      </c>
      <c r="CV58" s="1091" t="str">
        <f t="shared" si="587"/>
        <v/>
      </c>
      <c r="CW58" s="1091">
        <f t="shared" si="667"/>
        <v>0</v>
      </c>
      <c r="CX58" s="1090">
        <f t="shared" si="695"/>
        <v>0</v>
      </c>
      <c r="CY58" s="1091" t="str">
        <f t="shared" si="589"/>
        <v/>
      </c>
      <c r="CZ58" s="1091">
        <f t="shared" si="668"/>
        <v>0</v>
      </c>
      <c r="DA58" s="1090">
        <f t="shared" si="696"/>
        <v>27000</v>
      </c>
      <c r="DB58" s="1091" t="str">
        <f t="shared" si="591"/>
        <v/>
      </c>
      <c r="DC58" s="1091">
        <f t="shared" si="669"/>
        <v>0.01567271101</v>
      </c>
      <c r="DD58" s="1090">
        <f t="shared" si="63"/>
        <v>27000</v>
      </c>
      <c r="DE58" s="1091" t="str">
        <f t="shared" si="64"/>
        <v/>
      </c>
      <c r="DF58" s="1090">
        <f t="shared" si="65"/>
        <v>27000</v>
      </c>
      <c r="DG58" s="1091" t="str">
        <f t="shared" si="66"/>
        <v/>
      </c>
      <c r="DH58" s="1088">
        <f t="shared" si="697"/>
        <v>0</v>
      </c>
      <c r="DI58" s="1091" t="str">
        <f t="shared" si="592"/>
        <v/>
      </c>
      <c r="DJ58" s="1091">
        <f t="shared" si="670"/>
        <v>0</v>
      </c>
      <c r="DK58" s="1090">
        <f t="shared" si="216"/>
        <v>0</v>
      </c>
      <c r="DL58" s="1091" t="str">
        <f t="shared" si="593"/>
        <v/>
      </c>
      <c r="DM58" s="1091">
        <f t="shared" si="671"/>
        <v>0</v>
      </c>
      <c r="DN58" s="1090">
        <f t="shared" si="219"/>
        <v>34000</v>
      </c>
      <c r="DO58" s="1091">
        <f t="shared" si="594"/>
        <v>0.1</v>
      </c>
      <c r="DP58" s="1091">
        <f t="shared" si="672"/>
        <v>0.01057295274</v>
      </c>
      <c r="DQ58" s="1090">
        <f t="shared" si="73"/>
        <v>34000</v>
      </c>
      <c r="DR58" s="1091" t="str">
        <f t="shared" si="74"/>
        <v/>
      </c>
      <c r="DS58" s="1090">
        <f t="shared" si="75"/>
        <v>34000</v>
      </c>
      <c r="DT58" s="1091" t="str">
        <f t="shared" si="76"/>
        <v/>
      </c>
      <c r="DU58" s="1088">
        <f>SUMIFS(BP_SOTIEN,BP_THANG,DU$2,BP_KM,$E58)/1000</f>
        <v>0</v>
      </c>
      <c r="DV58" s="1091" t="str">
        <f t="shared" si="595"/>
        <v/>
      </c>
      <c r="DW58" s="1091"/>
      <c r="DX58" s="1090">
        <f>IF(NOW()&gt;=DATE(YEAR(DU$2),MONTH(DU$2)+1,DAY(DU$2)),SUMIFS(TF_SOTIEN,TF_THANG,DU$2,TF_KM,$E58)/1000, EA58)</f>
        <v>0</v>
      </c>
      <c r="DY58" s="1091" t="str">
        <f t="shared" si="596"/>
        <v/>
      </c>
      <c r="DZ58" s="1091"/>
      <c r="EA58" s="1090">
        <f>IF(NOW()&gt;=DATE(YEAR(DU$2),MONTH(DU$2)+1,DAY(DU$2)),SUMIFS(AC_SOTIEN,AC_THANG,DU$2,AC_KM,$E58),SUMIFS(TF_SOTIEN,TF_THANG,DU$2,TF_KM,$E58))/ 1000</f>
        <v>0</v>
      </c>
      <c r="EB58" s="1091" t="str">
        <f t="shared" si="597"/>
        <v/>
      </c>
      <c r="EC58" s="1091" t="str">
        <f t="shared" si="673"/>
        <v/>
      </c>
      <c r="ED58" s="1090">
        <f t="shared" si="80"/>
        <v>0</v>
      </c>
      <c r="EE58" s="1091" t="str">
        <f t="shared" si="81"/>
        <v/>
      </c>
      <c r="EF58" s="1090">
        <f t="shared" si="82"/>
        <v>0</v>
      </c>
      <c r="EG58" s="1091" t="str">
        <f t="shared" si="83"/>
        <v/>
      </c>
      <c r="EH58" s="1088">
        <f>SUMIFS(BP_SOTIEN,BP_THANG,EH$2,BP_KM,$E58)/1000</f>
        <v>0</v>
      </c>
      <c r="EI58" s="1091" t="str">
        <f t="shared" si="598"/>
        <v/>
      </c>
      <c r="EJ58" s="1091"/>
      <c r="EK58" s="1090">
        <f>IF(NOW()&gt;=DATE(YEAR(EH$2),MONTH(EH$2)+1,DAY(EH$2)),SUMIFS(TF_SOTIEN,TF_THANG,EH$2,TF_KM,$E58)/1000, EN58)</f>
        <v>0</v>
      </c>
      <c r="EL58" s="1091" t="str">
        <f t="shared" si="599"/>
        <v/>
      </c>
      <c r="EM58" s="1091"/>
      <c r="EN58" s="1090">
        <f>IF(NOW()&gt;=DATE(YEAR(EH$2),MONTH(EH$2)+1,DAY(EH$2)),SUMIFS(AC_SOTIEN,AC_THANG,EH$2,AC_KM,$E58),SUMIFS(TF_SOTIEN,TF_THANG,EH$2,TF_KM,$E58))/ 1000</f>
        <v>0</v>
      </c>
      <c r="EO58" s="1091" t="str">
        <f t="shared" si="600"/>
        <v/>
      </c>
      <c r="EP58" s="1091" t="str">
        <f t="shared" si="674"/>
        <v/>
      </c>
      <c r="EQ58" s="1090">
        <f t="shared" si="87"/>
        <v>0</v>
      </c>
      <c r="ER58" s="1091" t="str">
        <f t="shared" si="88"/>
        <v/>
      </c>
      <c r="ES58" s="1090">
        <f t="shared" si="89"/>
        <v>0</v>
      </c>
      <c r="ET58" s="1091" t="str">
        <f t="shared" si="90"/>
        <v/>
      </c>
      <c r="EU58" s="1088">
        <f>SUMIFS(BP_SOTIEN,BP_THANG,EU$2,BP_KM,$E58)/1000</f>
        <v>0</v>
      </c>
      <c r="EV58" s="1091" t="str">
        <f t="shared" si="601"/>
        <v/>
      </c>
      <c r="EW58" s="1091"/>
      <c r="EX58" s="1090">
        <f>IF(NOW()&gt;=DATE(YEAR(EU$2),MONTH(EU$2)+1,DAY(EU$2)),SUMIFS(TF_SOTIEN,TF_THANG,EU$2,TF_KM,$E58)/1000, FA58)</f>
        <v>0</v>
      </c>
      <c r="EY58" s="1091" t="str">
        <f t="shared" si="602"/>
        <v/>
      </c>
      <c r="EZ58" s="1091"/>
      <c r="FA58" s="1090">
        <f>IF(NOW()&gt;=DATE(YEAR(EU$2),MONTH(EU$2)+1,DAY(EU$2)),SUMIFS(AC_SOTIEN,AC_THANG,EU$2,AC_KM,$E58),SUMIFS(TF_SOTIEN,TF_THANG,EU$2,TF_KM,$E58))/ 1000</f>
        <v>0</v>
      </c>
      <c r="FB58" s="1091" t="str">
        <f t="shared" si="603"/>
        <v/>
      </c>
      <c r="FC58" s="1091" t="str">
        <f t="shared" si="675"/>
        <v/>
      </c>
      <c r="FD58" s="1090">
        <f t="shared" si="94"/>
        <v>0</v>
      </c>
      <c r="FE58" s="1091" t="str">
        <f t="shared" si="95"/>
        <v/>
      </c>
      <c r="FF58" s="1090">
        <f t="shared" si="96"/>
        <v>0</v>
      </c>
      <c r="FG58" s="1091" t="str">
        <f t="shared" si="97"/>
        <v/>
      </c>
      <c r="FH58" s="1088">
        <f t="shared" si="698"/>
        <v>0</v>
      </c>
      <c r="FI58" s="1091" t="str">
        <f t="shared" si="604"/>
        <v/>
      </c>
      <c r="FJ58" s="1091">
        <f t="shared" si="676"/>
        <v>0</v>
      </c>
      <c r="FK58" s="1090">
        <f t="shared" si="243"/>
        <v>0</v>
      </c>
      <c r="FL58" s="1091" t="str">
        <f t="shared" si="605"/>
        <v/>
      </c>
      <c r="FM58" s="1091">
        <f t="shared" si="677"/>
        <v>0</v>
      </c>
      <c r="FN58" s="1090">
        <f t="shared" si="246"/>
        <v>0</v>
      </c>
      <c r="FO58" s="1091" t="str">
        <f t="shared" si="606"/>
        <v/>
      </c>
      <c r="FP58" s="1091" t="str">
        <f t="shared" si="678"/>
        <v/>
      </c>
      <c r="FQ58" s="1090">
        <f t="shared" si="104"/>
        <v>0</v>
      </c>
      <c r="FR58" s="1091" t="str">
        <f t="shared" si="105"/>
        <v/>
      </c>
      <c r="FS58" s="1090">
        <f t="shared" si="106"/>
        <v>0</v>
      </c>
      <c r="FT58" s="1091" t="str">
        <f t="shared" si="107"/>
        <v/>
      </c>
      <c r="FU58" s="1088">
        <f>SUMIFS(BP_SOTIEN,BP_THANG,FU$2,BP_KM,$E58)/1000</f>
        <v>0</v>
      </c>
      <c r="FV58" s="1091" t="str">
        <f t="shared" si="607"/>
        <v/>
      </c>
      <c r="FW58" s="1091"/>
      <c r="FX58" s="1090">
        <f>IF(NOW()&gt;=DATE(YEAR(FU$2),MONTH(FU$2)+1,DAY(FU$2)),SUMIFS(TF_SOTIEN,TF_THANG,FU$2,TF_KM,$E58)/1000, GA58)</f>
        <v>0</v>
      </c>
      <c r="FY58" s="1091" t="str">
        <f t="shared" si="608"/>
        <v/>
      </c>
      <c r="FZ58" s="1091"/>
      <c r="GA58" s="1090">
        <f>IF(NOW()&gt;=DATE(YEAR(FU$2),MONTH(FU$2)+1,DAY(FU$2)),SUMIFS(AC_SOTIEN,AC_THANG,FU$2,AC_KM,$E58),SUMIFS(TF_SOTIEN,TF_THANG,FU$2,TF_KM,$E58))/ 1000</f>
        <v>0</v>
      </c>
      <c r="GB58" s="1091" t="str">
        <f t="shared" si="609"/>
        <v/>
      </c>
      <c r="GC58" s="1091" t="str">
        <f t="shared" si="679"/>
        <v/>
      </c>
      <c r="GD58" s="1090">
        <f t="shared" si="111"/>
        <v>0</v>
      </c>
      <c r="GE58" s="1091" t="str">
        <f t="shared" si="112"/>
        <v/>
      </c>
      <c r="GF58" s="1090">
        <f t="shared" si="113"/>
        <v>0</v>
      </c>
      <c r="GG58" s="1091" t="str">
        <f t="shared" si="114"/>
        <v/>
      </c>
      <c r="GH58" s="1088">
        <f>SUMIFS(BP_SOTIEN,BP_THANG,GH$2,BP_KM,$E58)/1000</f>
        <v>0</v>
      </c>
      <c r="GI58" s="1091" t="str">
        <f t="shared" si="610"/>
        <v/>
      </c>
      <c r="GJ58" s="1091"/>
      <c r="GK58" s="1090">
        <f>IF(NOW()&gt;=DATE(YEAR(GH$2),MONTH(GH$2)+1,DAY(GH$2)),SUMIFS(TF_SOTIEN,TF_THANG,GH$2,TF_KM,$E58)/1000, GN58)</f>
        <v>0</v>
      </c>
      <c r="GL58" s="1091" t="str">
        <f t="shared" si="611"/>
        <v/>
      </c>
      <c r="GM58" s="1091"/>
      <c r="GN58" s="1090">
        <f>IF(NOW()&gt;=DATE(YEAR(GH$2),MONTH(GH$2)+1,DAY(GH$2)),SUMIFS(AC_SOTIEN,AC_THANG,GH$2,AC_KM,$E58),SUMIFS(TF_SOTIEN,TF_THANG,GH$2,TF_KM,$E58))/ 1000</f>
        <v>0</v>
      </c>
      <c r="GO58" s="1091" t="str">
        <f t="shared" si="612"/>
        <v/>
      </c>
      <c r="GP58" s="1091" t="str">
        <f t="shared" si="680"/>
        <v/>
      </c>
      <c r="GQ58" s="1090">
        <f t="shared" si="118"/>
        <v>0</v>
      </c>
      <c r="GR58" s="1091" t="str">
        <f t="shared" si="119"/>
        <v/>
      </c>
      <c r="GS58" s="1090">
        <f t="shared" si="120"/>
        <v>0</v>
      </c>
      <c r="GT58" s="1091" t="str">
        <f t="shared" si="121"/>
        <v/>
      </c>
      <c r="GU58" s="1088">
        <f>SUMIFS(BP_SOTIEN,BP_THANG,GU$2,BP_KM,$E58)/1000</f>
        <v>0</v>
      </c>
      <c r="GV58" s="1091" t="str">
        <f t="shared" si="613"/>
        <v/>
      </c>
      <c r="GW58" s="1091"/>
      <c r="GX58" s="1090">
        <f>IF(NOW()&gt;=DATE(YEAR(GU$2),MONTH(GU$2)+1,DAY(GU$2)),SUMIFS(TF_SOTIEN,TF_THANG,GU$2,TF_KM,$E58)/1000, HA58)</f>
        <v>0</v>
      </c>
      <c r="GY58" s="1091" t="str">
        <f t="shared" si="614"/>
        <v/>
      </c>
      <c r="GZ58" s="1091"/>
      <c r="HA58" s="1090">
        <f>IF(NOW()&gt;=DATE(YEAR(GU$2),MONTH(GU$2)+1,DAY(GU$2)),SUMIFS(AC_SOTIEN,AC_THANG,GU$2,AC_KM,$E58),SUMIFS(TF_SOTIEN,TF_THANG,GU$2,TF_KM,$E58))/ 1000</f>
        <v>0</v>
      </c>
      <c r="HB58" s="1091" t="str">
        <f t="shared" si="615"/>
        <v/>
      </c>
      <c r="HC58" s="1091" t="str">
        <f t="shared" si="681"/>
        <v/>
      </c>
      <c r="HD58" s="1090">
        <f t="shared" si="125"/>
        <v>0</v>
      </c>
      <c r="HE58" s="1091" t="str">
        <f t="shared" si="126"/>
        <v/>
      </c>
      <c r="HF58" s="1090">
        <f t="shared" si="127"/>
        <v>0</v>
      </c>
      <c r="HG58" s="1091" t="str">
        <f t="shared" si="128"/>
        <v/>
      </c>
      <c r="HH58" s="1088">
        <f t="shared" si="699"/>
        <v>0</v>
      </c>
      <c r="HI58" s="1091" t="str">
        <f t="shared" si="616"/>
        <v/>
      </c>
      <c r="HJ58" s="1091">
        <f t="shared" si="682"/>
        <v>0</v>
      </c>
      <c r="HK58" s="1090">
        <f t="shared" si="270"/>
        <v>0</v>
      </c>
      <c r="HL58" s="1091" t="str">
        <f t="shared" si="617"/>
        <v/>
      </c>
      <c r="HM58" s="1091">
        <f t="shared" si="683"/>
        <v>0</v>
      </c>
      <c r="HN58" s="1090">
        <f t="shared" si="273"/>
        <v>0</v>
      </c>
      <c r="HO58" s="1091" t="str">
        <f t="shared" si="618"/>
        <v/>
      </c>
      <c r="HP58" s="1091" t="str">
        <f t="shared" si="684"/>
        <v/>
      </c>
      <c r="HQ58" s="1090">
        <f t="shared" si="135"/>
        <v>0</v>
      </c>
      <c r="HR58" s="1091" t="str">
        <f t="shared" si="136"/>
        <v/>
      </c>
      <c r="HS58" s="1090">
        <f t="shared" si="137"/>
        <v>0</v>
      </c>
      <c r="HT58" s="1091" t="str">
        <f t="shared" si="138"/>
        <v/>
      </c>
      <c r="HU58" s="1088">
        <f t="shared" si="700"/>
        <v>0</v>
      </c>
      <c r="HV58" s="1091" t="str">
        <f t="shared" si="619"/>
        <v/>
      </c>
      <c r="HW58" s="1091">
        <f t="shared" si="685"/>
        <v>0</v>
      </c>
      <c r="HX58" s="1090">
        <f t="shared" si="279"/>
        <v>0</v>
      </c>
      <c r="HY58" s="1091" t="str">
        <f t="shared" si="620"/>
        <v/>
      </c>
      <c r="HZ58" s="1091">
        <f t="shared" si="686"/>
        <v>0</v>
      </c>
      <c r="IA58" s="1090">
        <f t="shared" si="282"/>
        <v>0</v>
      </c>
      <c r="IB58" s="1091" t="str">
        <f t="shared" si="621"/>
        <v/>
      </c>
      <c r="IC58" s="1091" t="str">
        <f t="shared" si="687"/>
        <v/>
      </c>
      <c r="ID58" s="1090">
        <f t="shared" si="145"/>
        <v>0</v>
      </c>
      <c r="IE58" s="1091" t="str">
        <f t="shared" si="146"/>
        <v/>
      </c>
      <c r="IF58" s="1090">
        <f t="shared" si="147"/>
        <v>0</v>
      </c>
      <c r="IG58" s="1091" t="str">
        <f t="shared" si="148"/>
        <v/>
      </c>
      <c r="IH58" s="1088">
        <f t="shared" si="701"/>
        <v>0</v>
      </c>
      <c r="II58" s="1091" t="str">
        <f t="shared" si="622"/>
        <v/>
      </c>
      <c r="IJ58" s="1091">
        <f t="shared" si="688"/>
        <v>0</v>
      </c>
      <c r="IK58" s="1090">
        <f t="shared" si="288"/>
        <v>0</v>
      </c>
      <c r="IL58" s="1091" t="str">
        <f t="shared" si="623"/>
        <v/>
      </c>
      <c r="IM58" s="1091">
        <f t="shared" si="689"/>
        <v>0</v>
      </c>
      <c r="IN58" s="1090">
        <f t="shared" si="291"/>
        <v>34000</v>
      </c>
      <c r="IO58" s="1091">
        <f t="shared" si="624"/>
        <v>0.1</v>
      </c>
      <c r="IP58" s="1091">
        <f t="shared" si="690"/>
        <v>0.01057295274</v>
      </c>
      <c r="IQ58" s="1090">
        <f t="shared" si="155"/>
        <v>34000</v>
      </c>
      <c r="IR58" s="1091" t="str">
        <f t="shared" si="1"/>
        <v/>
      </c>
      <c r="IS58" s="1090">
        <f t="shared" si="156"/>
        <v>34000</v>
      </c>
      <c r="IT58" s="1091" t="str">
        <f t="shared" si="2"/>
        <v/>
      </c>
    </row>
    <row r="59" hidden="1" outlineLevel="1">
      <c r="A59" s="1087"/>
      <c r="B59" s="1087"/>
      <c r="C59" s="1087"/>
      <c r="D59" s="1087" t="s">
        <v>2245</v>
      </c>
      <c r="E59" s="1087" t="s">
        <v>181</v>
      </c>
      <c r="F59" s="1087"/>
      <c r="G59" s="1086">
        <v>2.0</v>
      </c>
      <c r="H59" s="1088">
        <f>SUMIFS(BP_SOTIEN,BP_THANG,H$2,BP_KM,$E59)/1000</f>
        <v>0</v>
      </c>
      <c r="I59" s="1145" t="str">
        <f t="shared" si="566"/>
        <v/>
      </c>
      <c r="J59" s="1145"/>
      <c r="K59" s="1090">
        <f>IF(NOW()&gt;=DATE(YEAR(H$2),MONTH(H$2)+1,DAY(H$2)),SUMIFS(TF_SOTIEN,TF_THANG,H$2,TF_KM,$E59)/1000, N59)</f>
        <v>0</v>
      </c>
      <c r="L59" s="1145" t="str">
        <f t="shared" si="567"/>
        <v/>
      </c>
      <c r="M59" s="1145"/>
      <c r="N59" s="1090">
        <f>IF(NOW()&gt;=DATE(YEAR(H$2),MONTH(H$2)+1,DAY(H$2)),SUMIFS(AC_SOTIEN,AC_THANG,H$2,AC_KM,$E59),SUMIFS(TF_SOTIEN,TF_THANG,H$2,TF_KM,$E59))/ 1000</f>
        <v>26880</v>
      </c>
      <c r="O59" s="1145">
        <f t="shared" si="568"/>
        <v>0.07905882353</v>
      </c>
      <c r="P59" s="1145">
        <f t="shared" si="658"/>
        <v>0.03752483466</v>
      </c>
      <c r="Q59" s="1090">
        <f t="shared" si="8"/>
        <v>26880</v>
      </c>
      <c r="R59" s="1145" t="str">
        <f t="shared" si="9"/>
        <v/>
      </c>
      <c r="S59" s="1090">
        <f t="shared" si="10"/>
        <v>26880</v>
      </c>
      <c r="T59" s="1145" t="str">
        <f t="shared" si="11"/>
        <v/>
      </c>
      <c r="U59" s="1088">
        <f>SUMIFS(BP_SOTIEN,BP_THANG,U$2,BP_KM,$E59)/1000</f>
        <v>0</v>
      </c>
      <c r="V59" s="1145" t="str">
        <f t="shared" si="569"/>
        <v/>
      </c>
      <c r="W59" s="1145"/>
      <c r="X59" s="1090">
        <f>IF(NOW()&gt;=DATE(YEAR(U$2),MONTH(U$2)+1,DAY(U$2)),SUMIFS(TF_SOTIEN,TF_THANG,U$2,TF_KM,$E59)/1000, AA59)</f>
        <v>0</v>
      </c>
      <c r="Y59" s="1145" t="str">
        <f t="shared" si="570"/>
        <v/>
      </c>
      <c r="Z59" s="1145"/>
      <c r="AA59" s="1090">
        <f>IF(NOW()&gt;=DATE(YEAR(U$2),MONTH(U$2)+1,DAY(U$2)),SUMIFS(AC_SOTIEN,AC_THANG,U$2,AC_KM,$E59),SUMIFS(TF_SOTIEN,TF_THANG,U$2,TF_KM,$E59))/ 1000</f>
        <v>0</v>
      </c>
      <c r="AB59" s="1145" t="str">
        <f t="shared" si="571"/>
        <v/>
      </c>
      <c r="AC59" s="1145">
        <f t="shared" si="659"/>
        <v>0</v>
      </c>
      <c r="AD59" s="1090">
        <f t="shared" si="15"/>
        <v>0</v>
      </c>
      <c r="AE59" s="1145" t="str">
        <f t="shared" si="16"/>
        <v/>
      </c>
      <c r="AF59" s="1090">
        <f t="shared" si="17"/>
        <v>0</v>
      </c>
      <c r="AG59" s="1145" t="str">
        <f t="shared" si="18"/>
        <v/>
      </c>
      <c r="AH59" s="1088">
        <f>SUMIFS(BP_SOTIEN,BP_THANG,AH$2,BP_KM,$E59)/1000</f>
        <v>0</v>
      </c>
      <c r="AI59" s="1145" t="str">
        <f t="shared" si="572"/>
        <v/>
      </c>
      <c r="AJ59" s="1145"/>
      <c r="AK59" s="1090">
        <f>IF(NOW()&gt;=DATE(YEAR(AH$2),MONTH(AH$2)+1,DAY(AH$2)),SUMIFS(TF_SOTIEN,TF_THANG,AH$2,TF_KM,$E59)/1000, AN59)</f>
        <v>2400</v>
      </c>
      <c r="AL59" s="1145" t="str">
        <f t="shared" si="573"/>
        <v/>
      </c>
      <c r="AM59" s="1145"/>
      <c r="AN59" s="1090">
        <f>IF(NOW()&gt;=DATE(YEAR(AH$2),MONTH(AH$2)+1,DAY(AH$2)),SUMIFS(AC_SOTIEN,AC_THANG,AH$2,AC_KM,$E59),SUMIFS(TF_SOTIEN,TF_THANG,AH$2,TF_KM,$E59))/ 1000</f>
        <v>161815</v>
      </c>
      <c r="AO59" s="1145" t="str">
        <f t="shared" si="574"/>
        <v/>
      </c>
      <c r="AP59" s="1145">
        <f t="shared" si="660"/>
        <v>0.2655757759</v>
      </c>
      <c r="AQ59" s="1090">
        <f t="shared" si="22"/>
        <v>161815</v>
      </c>
      <c r="AR59" s="1145" t="str">
        <f t="shared" si="23"/>
        <v/>
      </c>
      <c r="AS59" s="1090">
        <f t="shared" si="24"/>
        <v>159415</v>
      </c>
      <c r="AT59" s="1145">
        <f t="shared" si="25"/>
        <v>66.42291667</v>
      </c>
      <c r="AU59" s="1088">
        <f t="shared" si="691"/>
        <v>0</v>
      </c>
      <c r="AV59" s="1145" t="str">
        <f t="shared" si="575"/>
        <v/>
      </c>
      <c r="AW59" s="1145">
        <f t="shared" si="661"/>
        <v>0</v>
      </c>
      <c r="AX59" s="1090">
        <f t="shared" si="692"/>
        <v>2400</v>
      </c>
      <c r="AY59" s="1145" t="str">
        <f t="shared" si="576"/>
        <v/>
      </c>
      <c r="AZ59" s="1145">
        <f t="shared" si="662"/>
        <v>0.006451700764</v>
      </c>
      <c r="BA59" s="1090">
        <f t="shared" si="693"/>
        <v>188695</v>
      </c>
      <c r="BB59" s="1145">
        <f t="shared" si="577"/>
        <v>0.5549852941</v>
      </c>
      <c r="BC59" s="1145">
        <f t="shared" si="663"/>
        <v>0.1263853723</v>
      </c>
      <c r="BD59" s="1090">
        <f t="shared" si="32"/>
        <v>188695</v>
      </c>
      <c r="BE59" s="1145" t="str">
        <f t="shared" si="33"/>
        <v/>
      </c>
      <c r="BF59" s="1090">
        <f t="shared" si="34"/>
        <v>186295</v>
      </c>
      <c r="BG59" s="1145">
        <f t="shared" si="35"/>
        <v>77.62291667</v>
      </c>
      <c r="BH59" s="1088">
        <f>SUMIFS(BP_SOTIEN,BP_THANG,BH$2,BP_KM,$E59)/1000</f>
        <v>1300000</v>
      </c>
      <c r="BI59" s="1145" t="str">
        <f t="shared" si="578"/>
        <v/>
      </c>
      <c r="BJ59" s="1145"/>
      <c r="BK59" s="1090">
        <f>IF(NOW()&gt;=DATE(YEAR(BH$2),MONTH(BH$2)+1,DAY(BH$2)),SUMIFS(TF_SOTIEN,TF_THANG,BH$2,TF_KM,$E59)/1000, BN59)</f>
        <v>1200</v>
      </c>
      <c r="BL59" s="1145" t="str">
        <f t="shared" si="579"/>
        <v/>
      </c>
      <c r="BM59" s="1145"/>
      <c r="BN59" s="1090">
        <f>IF(NOW()&gt;=DATE(YEAR(BH$2),MONTH(BH$2)+1,DAY(BH$2)),SUMIFS(AC_SOTIEN,AC_THANG,BH$2,AC_KM,$E59),SUMIFS(TF_SOTIEN,TF_THANG,BH$2,TF_KM,$E59))/ 1000</f>
        <v>92400</v>
      </c>
      <c r="BO59" s="1145" t="str">
        <f t="shared" si="580"/>
        <v/>
      </c>
      <c r="BP59" s="1145">
        <f t="shared" si="664"/>
        <v>0.07796724323</v>
      </c>
      <c r="BQ59" s="1090">
        <f t="shared" si="39"/>
        <v>-1207600</v>
      </c>
      <c r="BR59" s="1145">
        <f t="shared" si="40"/>
        <v>-0.9289230769</v>
      </c>
      <c r="BS59" s="1090">
        <f t="shared" si="41"/>
        <v>91200</v>
      </c>
      <c r="BT59" s="1145">
        <f t="shared" si="42"/>
        <v>76</v>
      </c>
      <c r="BU59" s="1088">
        <f>SUMIFS(BP_SOTIEN,BP_THANG,BU$2,BP_KM,$E59)/1000</f>
        <v>1300000</v>
      </c>
      <c r="BV59" s="1145" t="str">
        <f t="shared" si="581"/>
        <v/>
      </c>
      <c r="BW59" s="1145"/>
      <c r="BX59" s="1090">
        <f>IF(NOW()&gt;=DATE(YEAR(BU$2),MONTH(BU$2)+1,DAY(BU$2)),SUMIFS(TF_SOTIEN,TF_THANG,BU$2,TF_KM,$E59)/1000, CA59)</f>
        <v>50000</v>
      </c>
      <c r="BY59" s="1145" t="str">
        <f t="shared" si="582"/>
        <v/>
      </c>
      <c r="BZ59" s="1145"/>
      <c r="CA59" s="1090">
        <f>IF(NOW()&gt;=DATE(YEAR(BU$2),MONTH(BU$2)+1,DAY(BU$2)),SUMIFS(AC_SOTIEN,AC_THANG,BU$2,AC_KM,$E59),SUMIFS(TF_SOTIEN,TF_THANG,BU$2,TF_KM,$E59))/ 1000</f>
        <v>9900</v>
      </c>
      <c r="CB59" s="1145" t="str">
        <f t="shared" si="583"/>
        <v/>
      </c>
      <c r="CC59" s="1145">
        <f t="shared" si="665"/>
        <v>0.01841427005</v>
      </c>
      <c r="CD59" s="1090">
        <f t="shared" si="46"/>
        <v>-1290100</v>
      </c>
      <c r="CE59" s="1145">
        <f t="shared" si="47"/>
        <v>-0.9923846154</v>
      </c>
      <c r="CF59" s="1090">
        <f t="shared" si="48"/>
        <v>-40100</v>
      </c>
      <c r="CG59" s="1145">
        <f t="shared" si="49"/>
        <v>-0.802</v>
      </c>
      <c r="CH59" s="1088">
        <f>SUMIFS(BP_SOTIEN,BP_THANG,CH$2,BP_KM,$E59)/1000</f>
        <v>1300000</v>
      </c>
      <c r="CI59" s="1145" t="str">
        <f t="shared" si="584"/>
        <v/>
      </c>
      <c r="CJ59" s="1145"/>
      <c r="CK59" s="1090">
        <f>IF(NOW()&gt;=DATE(YEAR(CH$2),MONTH(CH$2)+1,DAY(CH$2)),SUMIFS(TF_SOTIEN,TF_THANG,CH$2,TF_KM,$E59)/1000, CN59)</f>
        <v>1300000</v>
      </c>
      <c r="CL59" s="1145" t="str">
        <f t="shared" si="585"/>
        <v/>
      </c>
      <c r="CM59" s="1145"/>
      <c r="CN59" s="1090">
        <f>IF(NOW()&gt;=DATE(YEAR(CH$2),MONTH(CH$2)+1,DAY(CH$2)),SUMIFS(AC_SOTIEN,AC_THANG,CH$2,AC_KM,$E59),SUMIFS(TF_SOTIEN,TF_THANG,CH$2,TF_KM,$E59))/ 1000</f>
        <v>0</v>
      </c>
      <c r="CO59" s="1145" t="str">
        <f t="shared" si="586"/>
        <v/>
      </c>
      <c r="CP59" s="1145" t="str">
        <f t="shared" si="666"/>
        <v/>
      </c>
      <c r="CQ59" s="1090">
        <f t="shared" si="53"/>
        <v>-1300000</v>
      </c>
      <c r="CR59" s="1145">
        <f t="shared" si="54"/>
        <v>-1</v>
      </c>
      <c r="CS59" s="1090">
        <f t="shared" si="55"/>
        <v>-1300000</v>
      </c>
      <c r="CT59" s="1145">
        <f t="shared" si="56"/>
        <v>-1</v>
      </c>
      <c r="CU59" s="1088">
        <f t="shared" si="694"/>
        <v>3900000</v>
      </c>
      <c r="CV59" s="1145" t="str">
        <f t="shared" si="587"/>
        <v/>
      </c>
      <c r="CW59" s="1145">
        <f t="shared" si="667"/>
        <v>0.1686084743</v>
      </c>
      <c r="CX59" s="1090">
        <f t="shared" si="695"/>
        <v>1351200</v>
      </c>
      <c r="CY59" s="1145" t="str">
        <f t="shared" si="589"/>
        <v/>
      </c>
      <c r="CZ59" s="1145">
        <f t="shared" si="668"/>
        <v>0.1782007986</v>
      </c>
      <c r="DA59" s="1090">
        <f t="shared" si="696"/>
        <v>102300</v>
      </c>
      <c r="DB59" s="1145" t="str">
        <f t="shared" si="591"/>
        <v/>
      </c>
      <c r="DC59" s="1145">
        <f t="shared" si="669"/>
        <v>0.05938216059</v>
      </c>
      <c r="DD59" s="1090">
        <f t="shared" si="63"/>
        <v>-3797700</v>
      </c>
      <c r="DE59" s="1145">
        <f t="shared" si="64"/>
        <v>-0.9737692308</v>
      </c>
      <c r="DF59" s="1090">
        <f t="shared" si="65"/>
        <v>-1248900</v>
      </c>
      <c r="DG59" s="1145">
        <f t="shared" si="66"/>
        <v>-0.9242895204</v>
      </c>
      <c r="DH59" s="1088">
        <f t="shared" si="697"/>
        <v>3900000</v>
      </c>
      <c r="DI59" s="1145" t="str">
        <f t="shared" si="592"/>
        <v/>
      </c>
      <c r="DJ59" s="1145">
        <f t="shared" si="670"/>
        <v>0.1674536991</v>
      </c>
      <c r="DK59" s="1090">
        <f t="shared" si="216"/>
        <v>1353600</v>
      </c>
      <c r="DL59" s="1145" t="str">
        <f t="shared" si="593"/>
        <v/>
      </c>
      <c r="DM59" s="1145">
        <f t="shared" si="671"/>
        <v>0.1701688449</v>
      </c>
      <c r="DN59" s="1090">
        <f t="shared" si="219"/>
        <v>290995</v>
      </c>
      <c r="DO59" s="1145">
        <f t="shared" si="594"/>
        <v>0.8558676471</v>
      </c>
      <c r="DP59" s="1145">
        <f t="shared" si="672"/>
        <v>0.09049048181</v>
      </c>
      <c r="DQ59" s="1090">
        <f t="shared" si="73"/>
        <v>-3609005</v>
      </c>
      <c r="DR59" s="1145">
        <f t="shared" si="74"/>
        <v>-0.9253858974</v>
      </c>
      <c r="DS59" s="1090">
        <f t="shared" si="75"/>
        <v>-1062605</v>
      </c>
      <c r="DT59" s="1145">
        <f t="shared" si="76"/>
        <v>-0.7850214243</v>
      </c>
      <c r="DU59" s="1088">
        <f>SUMIFS(BP_SOTIEN,BP_THANG,DU$2,BP_KM,$E59)/1000</f>
        <v>1300000</v>
      </c>
      <c r="DV59" s="1145" t="str">
        <f t="shared" si="595"/>
        <v/>
      </c>
      <c r="DW59" s="1145"/>
      <c r="DX59" s="1090">
        <f>IF(NOW()&gt;=DATE(YEAR(DU$2),MONTH(DU$2)+1,DAY(DU$2)),SUMIFS(TF_SOTIEN,TF_THANG,DU$2,TF_KM,$E59)/1000, EA59)</f>
        <v>1300000</v>
      </c>
      <c r="DY59" s="1145" t="str">
        <f t="shared" si="596"/>
        <v/>
      </c>
      <c r="DZ59" s="1145"/>
      <c r="EA59" s="1090">
        <f>IF(NOW()&gt;=DATE(YEAR(DU$2),MONTH(DU$2)+1,DAY(DU$2)),SUMIFS(AC_SOTIEN,AC_THANG,DU$2,AC_KM,$E59),SUMIFS(TF_SOTIEN,TF_THANG,DU$2,TF_KM,$E59))/ 1000</f>
        <v>0</v>
      </c>
      <c r="EB59" s="1145" t="str">
        <f t="shared" si="597"/>
        <v/>
      </c>
      <c r="EC59" s="1145" t="str">
        <f t="shared" si="673"/>
        <v/>
      </c>
      <c r="ED59" s="1090">
        <f t="shared" si="80"/>
        <v>-1300000</v>
      </c>
      <c r="EE59" s="1145">
        <f t="shared" si="81"/>
        <v>-1</v>
      </c>
      <c r="EF59" s="1090">
        <f t="shared" si="82"/>
        <v>-1300000</v>
      </c>
      <c r="EG59" s="1145">
        <f t="shared" si="83"/>
        <v>-1</v>
      </c>
      <c r="EH59" s="1088">
        <f>SUMIFS(BP_SOTIEN,BP_THANG,EH$2,BP_KM,$E59)/1000</f>
        <v>1300000</v>
      </c>
      <c r="EI59" s="1145" t="str">
        <f t="shared" si="598"/>
        <v/>
      </c>
      <c r="EJ59" s="1145"/>
      <c r="EK59" s="1090">
        <f>IF(NOW()&gt;=DATE(YEAR(EH$2),MONTH(EH$2)+1,DAY(EH$2)),SUMIFS(TF_SOTIEN,TF_THANG,EH$2,TF_KM,$E59)/1000, EN59)</f>
        <v>1300000</v>
      </c>
      <c r="EL59" s="1145" t="str">
        <f t="shared" si="599"/>
        <v/>
      </c>
      <c r="EM59" s="1145"/>
      <c r="EN59" s="1090">
        <f>IF(NOW()&gt;=DATE(YEAR(EH$2),MONTH(EH$2)+1,DAY(EH$2)),SUMIFS(AC_SOTIEN,AC_THANG,EH$2,AC_KM,$E59),SUMIFS(TF_SOTIEN,TF_THANG,EH$2,TF_KM,$E59))/ 1000</f>
        <v>0</v>
      </c>
      <c r="EO59" s="1145" t="str">
        <f t="shared" si="600"/>
        <v/>
      </c>
      <c r="EP59" s="1145" t="str">
        <f t="shared" si="674"/>
        <v/>
      </c>
      <c r="EQ59" s="1090">
        <f t="shared" si="87"/>
        <v>-1300000</v>
      </c>
      <c r="ER59" s="1145">
        <f t="shared" si="88"/>
        <v>-1</v>
      </c>
      <c r="ES59" s="1090">
        <f t="shared" si="89"/>
        <v>-1300000</v>
      </c>
      <c r="ET59" s="1145">
        <f t="shared" si="90"/>
        <v>-1</v>
      </c>
      <c r="EU59" s="1088">
        <f>SUMIFS(BP_SOTIEN,BP_THANG,EU$2,BP_KM,$E59)/1000</f>
        <v>1300000</v>
      </c>
      <c r="EV59" s="1145" t="str">
        <f t="shared" si="601"/>
        <v/>
      </c>
      <c r="EW59" s="1145"/>
      <c r="EX59" s="1090">
        <f>IF(NOW()&gt;=DATE(YEAR(EU$2),MONTH(EU$2)+1,DAY(EU$2)),SUMIFS(TF_SOTIEN,TF_THANG,EU$2,TF_KM,$E59)/1000, FA59)</f>
        <v>1300000</v>
      </c>
      <c r="EY59" s="1145" t="str">
        <f t="shared" si="602"/>
        <v/>
      </c>
      <c r="EZ59" s="1145"/>
      <c r="FA59" s="1090">
        <f>IF(NOW()&gt;=DATE(YEAR(EU$2),MONTH(EU$2)+1,DAY(EU$2)),SUMIFS(AC_SOTIEN,AC_THANG,EU$2,AC_KM,$E59),SUMIFS(TF_SOTIEN,TF_THANG,EU$2,TF_KM,$E59))/ 1000</f>
        <v>0</v>
      </c>
      <c r="FB59" s="1145" t="str">
        <f t="shared" si="603"/>
        <v/>
      </c>
      <c r="FC59" s="1145" t="str">
        <f t="shared" si="675"/>
        <v/>
      </c>
      <c r="FD59" s="1090">
        <f t="shared" si="94"/>
        <v>-1300000</v>
      </c>
      <c r="FE59" s="1145">
        <f t="shared" si="95"/>
        <v>-1</v>
      </c>
      <c r="FF59" s="1090">
        <f t="shared" si="96"/>
        <v>-1300000</v>
      </c>
      <c r="FG59" s="1145">
        <f t="shared" si="97"/>
        <v>-1</v>
      </c>
      <c r="FH59" s="1088">
        <f t="shared" si="698"/>
        <v>3900000</v>
      </c>
      <c r="FI59" s="1145" t="str">
        <f t="shared" si="604"/>
        <v/>
      </c>
      <c r="FJ59" s="1145">
        <f t="shared" si="676"/>
        <v>0.1686084743</v>
      </c>
      <c r="FK59" s="1090">
        <f t="shared" si="243"/>
        <v>3900000</v>
      </c>
      <c r="FL59" s="1145" t="str">
        <f t="shared" si="605"/>
        <v/>
      </c>
      <c r="FM59" s="1145">
        <f t="shared" si="677"/>
        <v>0.1686084743</v>
      </c>
      <c r="FN59" s="1090">
        <f t="shared" si="246"/>
        <v>0</v>
      </c>
      <c r="FO59" s="1145" t="str">
        <f t="shared" si="606"/>
        <v/>
      </c>
      <c r="FP59" s="1145" t="str">
        <f t="shared" si="678"/>
        <v/>
      </c>
      <c r="FQ59" s="1090">
        <f t="shared" si="104"/>
        <v>-3900000</v>
      </c>
      <c r="FR59" s="1145">
        <f t="shared" si="105"/>
        <v>-1</v>
      </c>
      <c r="FS59" s="1090">
        <f t="shared" si="106"/>
        <v>-3900000</v>
      </c>
      <c r="FT59" s="1145">
        <f t="shared" si="107"/>
        <v>-1</v>
      </c>
      <c r="FU59" s="1088">
        <f>SUMIFS(BP_SOTIEN,BP_THANG,FU$2,BP_KM,$E59)/1000</f>
        <v>1300000</v>
      </c>
      <c r="FV59" s="1145" t="str">
        <f t="shared" si="607"/>
        <v/>
      </c>
      <c r="FW59" s="1145"/>
      <c r="FX59" s="1090">
        <f>IF(NOW()&gt;=DATE(YEAR(FU$2),MONTH(FU$2)+1,DAY(FU$2)),SUMIFS(TF_SOTIEN,TF_THANG,FU$2,TF_KM,$E59)/1000, GA59)</f>
        <v>1300000</v>
      </c>
      <c r="FY59" s="1145" t="str">
        <f t="shared" si="608"/>
        <v/>
      </c>
      <c r="FZ59" s="1145"/>
      <c r="GA59" s="1090">
        <f>IF(NOW()&gt;=DATE(YEAR(FU$2),MONTH(FU$2)+1,DAY(FU$2)),SUMIFS(AC_SOTIEN,AC_THANG,FU$2,AC_KM,$E59),SUMIFS(TF_SOTIEN,TF_THANG,FU$2,TF_KM,$E59))/ 1000</f>
        <v>0</v>
      </c>
      <c r="GB59" s="1145" t="str">
        <f t="shared" si="609"/>
        <v/>
      </c>
      <c r="GC59" s="1145" t="str">
        <f t="shared" si="679"/>
        <v/>
      </c>
      <c r="GD59" s="1090">
        <f t="shared" si="111"/>
        <v>-1300000</v>
      </c>
      <c r="GE59" s="1145">
        <f t="shared" si="112"/>
        <v>-1</v>
      </c>
      <c r="GF59" s="1090">
        <f t="shared" si="113"/>
        <v>-1300000</v>
      </c>
      <c r="GG59" s="1145">
        <f t="shared" si="114"/>
        <v>-1</v>
      </c>
      <c r="GH59" s="1088">
        <f>SUMIFS(BP_SOTIEN,BP_THANG,GH$2,BP_KM,$E59)/1000</f>
        <v>1300000</v>
      </c>
      <c r="GI59" s="1145" t="str">
        <f t="shared" si="610"/>
        <v/>
      </c>
      <c r="GJ59" s="1145"/>
      <c r="GK59" s="1090">
        <f>IF(NOW()&gt;=DATE(YEAR(GH$2),MONTH(GH$2)+1,DAY(GH$2)),SUMIFS(TF_SOTIEN,TF_THANG,GH$2,TF_KM,$E59)/1000, GN59)</f>
        <v>1300000</v>
      </c>
      <c r="GL59" s="1145" t="str">
        <f t="shared" si="611"/>
        <v/>
      </c>
      <c r="GM59" s="1145"/>
      <c r="GN59" s="1090">
        <f>IF(NOW()&gt;=DATE(YEAR(GH$2),MONTH(GH$2)+1,DAY(GH$2)),SUMIFS(AC_SOTIEN,AC_THANG,GH$2,AC_KM,$E59),SUMIFS(TF_SOTIEN,TF_THANG,GH$2,TF_KM,$E59))/ 1000</f>
        <v>0</v>
      </c>
      <c r="GO59" s="1145" t="str">
        <f t="shared" si="612"/>
        <v/>
      </c>
      <c r="GP59" s="1145" t="str">
        <f t="shared" si="680"/>
        <v/>
      </c>
      <c r="GQ59" s="1090">
        <f t="shared" si="118"/>
        <v>-1300000</v>
      </c>
      <c r="GR59" s="1145">
        <f t="shared" si="119"/>
        <v>-1</v>
      </c>
      <c r="GS59" s="1090">
        <f t="shared" si="120"/>
        <v>-1300000</v>
      </c>
      <c r="GT59" s="1145">
        <f t="shared" si="121"/>
        <v>-1</v>
      </c>
      <c r="GU59" s="1088">
        <f>SUMIFS(BP_SOTIEN,BP_THANG,GU$2,BP_KM,$E59)/1000</f>
        <v>1300000</v>
      </c>
      <c r="GV59" s="1145" t="str">
        <f t="shared" si="613"/>
        <v/>
      </c>
      <c r="GW59" s="1145"/>
      <c r="GX59" s="1090">
        <f>IF(NOW()&gt;=DATE(YEAR(GU$2),MONTH(GU$2)+1,DAY(GU$2)),SUMIFS(TF_SOTIEN,TF_THANG,GU$2,TF_KM,$E59)/1000, HA59)</f>
        <v>1300000</v>
      </c>
      <c r="GY59" s="1145" t="str">
        <f t="shared" si="614"/>
        <v/>
      </c>
      <c r="GZ59" s="1145"/>
      <c r="HA59" s="1090">
        <f>IF(NOW()&gt;=DATE(YEAR(GU$2),MONTH(GU$2)+1,DAY(GU$2)),SUMIFS(AC_SOTIEN,AC_THANG,GU$2,AC_KM,$E59),SUMIFS(TF_SOTIEN,TF_THANG,GU$2,TF_KM,$E59))/ 1000</f>
        <v>0</v>
      </c>
      <c r="HB59" s="1145" t="str">
        <f t="shared" si="615"/>
        <v/>
      </c>
      <c r="HC59" s="1145" t="str">
        <f t="shared" si="681"/>
        <v/>
      </c>
      <c r="HD59" s="1090">
        <f t="shared" si="125"/>
        <v>-1300000</v>
      </c>
      <c r="HE59" s="1145">
        <f t="shared" si="126"/>
        <v>-1</v>
      </c>
      <c r="HF59" s="1090">
        <f t="shared" si="127"/>
        <v>-1300000</v>
      </c>
      <c r="HG59" s="1145">
        <f t="shared" si="128"/>
        <v>-1</v>
      </c>
      <c r="HH59" s="1088">
        <f t="shared" si="699"/>
        <v>3900000</v>
      </c>
      <c r="HI59" s="1145" t="str">
        <f t="shared" si="616"/>
        <v/>
      </c>
      <c r="HJ59" s="1145">
        <f t="shared" si="682"/>
        <v>0.1686084743</v>
      </c>
      <c r="HK59" s="1090">
        <f t="shared" si="270"/>
        <v>3900000</v>
      </c>
      <c r="HL59" s="1145" t="str">
        <f t="shared" si="617"/>
        <v/>
      </c>
      <c r="HM59" s="1145">
        <f t="shared" si="683"/>
        <v>0.1686084743</v>
      </c>
      <c r="HN59" s="1090">
        <f t="shared" si="273"/>
        <v>0</v>
      </c>
      <c r="HO59" s="1145" t="str">
        <f t="shared" si="618"/>
        <v/>
      </c>
      <c r="HP59" s="1145" t="str">
        <f t="shared" si="684"/>
        <v/>
      </c>
      <c r="HQ59" s="1090">
        <f t="shared" si="135"/>
        <v>-3900000</v>
      </c>
      <c r="HR59" s="1145">
        <f t="shared" si="136"/>
        <v>-1</v>
      </c>
      <c r="HS59" s="1090">
        <f t="shared" si="137"/>
        <v>-3900000</v>
      </c>
      <c r="HT59" s="1145">
        <f t="shared" si="138"/>
        <v>-1</v>
      </c>
      <c r="HU59" s="1088">
        <f t="shared" si="700"/>
        <v>7800000</v>
      </c>
      <c r="HV59" s="1145" t="str">
        <f t="shared" si="619"/>
        <v/>
      </c>
      <c r="HW59" s="1145">
        <f t="shared" si="685"/>
        <v>0.1686084743</v>
      </c>
      <c r="HX59" s="1090">
        <f t="shared" si="279"/>
        <v>7800000</v>
      </c>
      <c r="HY59" s="1145" t="str">
        <f t="shared" si="620"/>
        <v/>
      </c>
      <c r="HZ59" s="1145">
        <f t="shared" si="686"/>
        <v>0.1686084743</v>
      </c>
      <c r="IA59" s="1090">
        <f t="shared" si="282"/>
        <v>0</v>
      </c>
      <c r="IB59" s="1145" t="str">
        <f t="shared" si="621"/>
        <v/>
      </c>
      <c r="IC59" s="1145" t="str">
        <f t="shared" si="687"/>
        <v/>
      </c>
      <c r="ID59" s="1090">
        <f t="shared" si="145"/>
        <v>-7800000</v>
      </c>
      <c r="IE59" s="1145">
        <f t="shared" si="146"/>
        <v>-1</v>
      </c>
      <c r="IF59" s="1090">
        <f t="shared" si="147"/>
        <v>-7800000</v>
      </c>
      <c r="IG59" s="1145">
        <f t="shared" si="148"/>
        <v>-1</v>
      </c>
      <c r="IH59" s="1088">
        <f t="shared" si="701"/>
        <v>11700000</v>
      </c>
      <c r="II59" s="1145" t="str">
        <f t="shared" si="622"/>
        <v/>
      </c>
      <c r="IJ59" s="1145">
        <f t="shared" si="688"/>
        <v>0.1682217836</v>
      </c>
      <c r="IK59" s="1090">
        <f t="shared" si="288"/>
        <v>9153600</v>
      </c>
      <c r="IL59" s="1145" t="str">
        <f t="shared" si="623"/>
        <v/>
      </c>
      <c r="IM59" s="1145">
        <f t="shared" si="689"/>
        <v>0.1688374106</v>
      </c>
      <c r="IN59" s="1090">
        <f t="shared" si="291"/>
        <v>290995</v>
      </c>
      <c r="IO59" s="1145">
        <f t="shared" si="624"/>
        <v>0.8558676471</v>
      </c>
      <c r="IP59" s="1145">
        <f t="shared" si="690"/>
        <v>0.09049048181</v>
      </c>
      <c r="IQ59" s="1090">
        <f t="shared" si="155"/>
        <v>-11409005</v>
      </c>
      <c r="IR59" s="1145">
        <f t="shared" si="1"/>
        <v>-0.9751286325</v>
      </c>
      <c r="IS59" s="1090">
        <f t="shared" si="156"/>
        <v>-8862605</v>
      </c>
      <c r="IT59" s="1145">
        <f t="shared" si="2"/>
        <v>-0.9682097754</v>
      </c>
    </row>
    <row r="60" collapsed="1">
      <c r="A60" s="1107" t="s">
        <v>2844</v>
      </c>
      <c r="B60" s="1108"/>
      <c r="C60" s="1108"/>
      <c r="D60" s="1108"/>
      <c r="E60" s="1108"/>
      <c r="F60" s="1108"/>
      <c r="G60" s="1141">
        <v>1.0</v>
      </c>
      <c r="H60" s="1110">
        <f>SUMIF($G$61:$G$88,2,H$61:H$88)</f>
        <v>398194</v>
      </c>
      <c r="I60" s="1112" t="str">
        <f t="shared" si="566"/>
        <v/>
      </c>
      <c r="J60" s="1112">
        <f>IFERROR(H60/H$89,"")</f>
        <v>0.8822015048</v>
      </c>
      <c r="K60" s="1142">
        <f>SUMIF($G$61:$G$88,2,K$61:K$88)</f>
        <v>398194</v>
      </c>
      <c r="L60" s="1112" t="str">
        <f t="shared" si="567"/>
        <v/>
      </c>
      <c r="M60" s="1112">
        <f>IFERROR(K60/K$89,"")</f>
        <v>0.8822015048</v>
      </c>
      <c r="N60" s="1142">
        <f>SUMIF($G$61:$G$88,2,N$61:N$88)</f>
        <v>112758.462</v>
      </c>
      <c r="O60" s="1112">
        <f t="shared" si="568"/>
        <v>0.3316425353</v>
      </c>
      <c r="P60" s="1112">
        <f>IFERROR(N60/N$89,"")</f>
        <v>0.1360036528</v>
      </c>
      <c r="Q60" s="1143">
        <f t="shared" si="8"/>
        <v>-285435.538</v>
      </c>
      <c r="R60" s="1144">
        <f t="shared" si="9"/>
        <v>-0.7168253113</v>
      </c>
      <c r="S60" s="1143">
        <f t="shared" si="10"/>
        <v>-285435.538</v>
      </c>
      <c r="T60" s="1144">
        <f t="shared" si="11"/>
        <v>-0.7168253113</v>
      </c>
      <c r="U60" s="1110">
        <f>SUMIF($G$61:$G$88,2,U$61:U$88)</f>
        <v>395194</v>
      </c>
      <c r="V60" s="1112" t="str">
        <f t="shared" si="569"/>
        <v/>
      </c>
      <c r="W60" s="1112">
        <f>IFERROR(U60/U$89,"")</f>
        <v>0.881413316</v>
      </c>
      <c r="X60" s="1142">
        <f>SUMIF($G$61:$G$88,2,X$61:X$88)</f>
        <v>150985.505</v>
      </c>
      <c r="Y60" s="1112" t="str">
        <f t="shared" si="570"/>
        <v/>
      </c>
      <c r="Z60" s="1112">
        <f>IFERROR(X60/X$89,"")</f>
        <v>0.6272298813</v>
      </c>
      <c r="AA60" s="1142">
        <f>SUMIF($G$61:$G$88,2,AA$61:AA$88)</f>
        <v>144093.824</v>
      </c>
      <c r="AB60" s="1112" t="str">
        <f t="shared" si="571"/>
        <v/>
      </c>
      <c r="AC60" s="1112">
        <f>IFERROR(AA60/AA$89,"")</f>
        <v>0.4626066454</v>
      </c>
      <c r="AD60" s="1143">
        <f t="shared" si="15"/>
        <v>-251100.176</v>
      </c>
      <c r="AE60" s="1144">
        <f t="shared" si="16"/>
        <v>-0.6353845858</v>
      </c>
      <c r="AF60" s="1143">
        <f t="shared" si="17"/>
        <v>-6891.681</v>
      </c>
      <c r="AG60" s="1144">
        <f t="shared" si="18"/>
        <v>-0.04564465311</v>
      </c>
      <c r="AH60" s="1110">
        <f>SUMIF($G$61:$G$88,2,AH$61:AH$88)</f>
        <v>395194</v>
      </c>
      <c r="AI60" s="1112" t="str">
        <f t="shared" si="572"/>
        <v/>
      </c>
      <c r="AJ60" s="1112">
        <f>IFERROR(AH60/AH$89,"")</f>
        <v>0.881413316</v>
      </c>
      <c r="AK60" s="1142">
        <f>SUMIF($G$61:$G$88,2,AK$61:AK$88)</f>
        <v>150985.505</v>
      </c>
      <c r="AL60" s="1112" t="str">
        <f t="shared" si="573"/>
        <v/>
      </c>
      <c r="AM60" s="1112">
        <f>IFERROR(AK60/AK$89,"")</f>
        <v>0.3972487651</v>
      </c>
      <c r="AN60" s="1142">
        <f>SUMIF($G$61:$G$88,2,AN$61:AN$88)</f>
        <v>206209.732</v>
      </c>
      <c r="AO60" s="1112" t="str">
        <f t="shared" si="574"/>
        <v/>
      </c>
      <c r="AP60" s="1112">
        <f>IFERROR(AN60/AN$89,"")</f>
        <v>0.2528603018</v>
      </c>
      <c r="AQ60" s="1143">
        <f t="shared" si="22"/>
        <v>-188984.268</v>
      </c>
      <c r="AR60" s="1144">
        <f t="shared" si="23"/>
        <v>-0.4782063189</v>
      </c>
      <c r="AS60" s="1143">
        <f t="shared" si="24"/>
        <v>55224.227</v>
      </c>
      <c r="AT60" s="1144">
        <f t="shared" si="25"/>
        <v>0.365758468</v>
      </c>
      <c r="AU60" s="1110">
        <f t="shared" si="691"/>
        <v>1188582</v>
      </c>
      <c r="AV60" s="1112" t="str">
        <f t="shared" si="575"/>
        <v/>
      </c>
      <c r="AW60" s="1112">
        <f>IFERROR(AU60/AU$89,"")</f>
        <v>0.8816772149</v>
      </c>
      <c r="AX60" s="1142">
        <f t="shared" si="692"/>
        <v>700165.01</v>
      </c>
      <c r="AY60" s="1112" t="str">
        <f t="shared" si="576"/>
        <v/>
      </c>
      <c r="AZ60" s="1112">
        <f>IFERROR(AX60/AX$89,"")</f>
        <v>0.6530415671</v>
      </c>
      <c r="BA60" s="1142">
        <f t="shared" si="693"/>
        <v>463062.018</v>
      </c>
      <c r="BB60" s="1112">
        <f t="shared" si="577"/>
        <v>1.361947112</v>
      </c>
      <c r="BC60" s="1112">
        <f>IFERROR(BA60/BA$89,"")</f>
        <v>0.2367301975</v>
      </c>
      <c r="BD60" s="1143">
        <f t="shared" si="32"/>
        <v>-725519.982</v>
      </c>
      <c r="BE60" s="1144">
        <f t="shared" si="33"/>
        <v>-0.6104080173</v>
      </c>
      <c r="BF60" s="1143">
        <f t="shared" si="34"/>
        <v>-237102.992</v>
      </c>
      <c r="BG60" s="1144">
        <f t="shared" si="35"/>
        <v>-0.3386387332</v>
      </c>
      <c r="BH60" s="1110">
        <f>SUMIF($G$61:$G$88,2,BH$61:BH$88)</f>
        <v>395194</v>
      </c>
      <c r="BI60" s="1112" t="str">
        <f t="shared" si="578"/>
        <v/>
      </c>
      <c r="BJ60" s="1112">
        <f>IFERROR(BH60/BH$89,"")</f>
        <v>0.04875709468</v>
      </c>
      <c r="BK60" s="1142">
        <f>SUMIF($G$61:$G$88,2,BK$61:BK$88)</f>
        <v>258989.839</v>
      </c>
      <c r="BL60" s="1112" t="str">
        <f t="shared" si="579"/>
        <v/>
      </c>
      <c r="BM60" s="1112">
        <f>IFERROR(BK60/BK$89,"")</f>
        <v>0.4390249811</v>
      </c>
      <c r="BN60" s="1142">
        <f>SUMIF($G$61:$G$88,2,BN$61:BN$88)</f>
        <v>211988.008</v>
      </c>
      <c r="BO60" s="1112" t="str">
        <f t="shared" si="580"/>
        <v/>
      </c>
      <c r="BP60" s="1112">
        <f>IFERROR(BN60/BN$89,"")</f>
        <v>0.151734194</v>
      </c>
      <c r="BQ60" s="1143">
        <f t="shared" si="39"/>
        <v>-183205.992</v>
      </c>
      <c r="BR60" s="1144">
        <f t="shared" si="40"/>
        <v>-0.4635849532</v>
      </c>
      <c r="BS60" s="1143">
        <f t="shared" si="41"/>
        <v>-47001.831</v>
      </c>
      <c r="BT60" s="1144">
        <f t="shared" si="42"/>
        <v>-0.1814813708</v>
      </c>
      <c r="BU60" s="1110">
        <f>SUMIF($G$61:$G$88,2,BU$61:BU$88)</f>
        <v>391029</v>
      </c>
      <c r="BV60" s="1112" t="str">
        <f t="shared" si="581"/>
        <v/>
      </c>
      <c r="BW60" s="1112">
        <f>IFERROR(BU60/BU$89,"")</f>
        <v>0.04826804032</v>
      </c>
      <c r="BX60" s="1142">
        <f>SUMIF($G$61:$G$88,2,BX$61:BX$88)</f>
        <v>266493.476</v>
      </c>
      <c r="BY60" s="1112" t="str">
        <f t="shared" si="582"/>
        <v/>
      </c>
      <c r="BZ60" s="1112">
        <f>IFERROR(BX60/BX$89,"")</f>
        <v>0.2523969996</v>
      </c>
      <c r="CA60" s="1142">
        <f>SUMIF($G$61:$G$88,2,CA$61:CA$88)</f>
        <v>250684.393</v>
      </c>
      <c r="CB60" s="1112" t="str">
        <f t="shared" si="583"/>
        <v/>
      </c>
      <c r="CC60" s="1112">
        <f>IFERROR(CA60/CA$89,"")</f>
        <v>0.3180019299</v>
      </c>
      <c r="CD60" s="1143">
        <f t="shared" si="46"/>
        <v>-140344.607</v>
      </c>
      <c r="CE60" s="1144">
        <f t="shared" si="47"/>
        <v>-0.3589109938</v>
      </c>
      <c r="CF60" s="1143">
        <f t="shared" si="48"/>
        <v>-15809.083</v>
      </c>
      <c r="CG60" s="1144">
        <f t="shared" si="49"/>
        <v>-0.0593225892</v>
      </c>
      <c r="CH60" s="1110">
        <f>SUMIF($G$61:$G$88,2,CH$61:CH$88)</f>
        <v>391029</v>
      </c>
      <c r="CI60" s="1112" t="str">
        <f t="shared" si="584"/>
        <v/>
      </c>
      <c r="CJ60" s="1112">
        <f>IFERROR(CH60/CH$89,"")</f>
        <v>0.04826804032</v>
      </c>
      <c r="CK60" s="1142">
        <f>SUMIF($G$61:$G$88,2,CK$61:CK$88)</f>
        <v>271914</v>
      </c>
      <c r="CL60" s="1112" t="str">
        <f t="shared" si="585"/>
        <v/>
      </c>
      <c r="CM60" s="1112">
        <f>IFERROR(CK60/CK$89,"")</f>
        <v>0.04037876569</v>
      </c>
      <c r="CN60" s="1142">
        <f>SUMIF($G$61:$G$88,2,CN$61:CN$88)</f>
        <v>0</v>
      </c>
      <c r="CO60" s="1112" t="str">
        <f t="shared" si="586"/>
        <v/>
      </c>
      <c r="CP60" s="1112" t="str">
        <f>IFERROR(CN60/CN$89,"")</f>
        <v/>
      </c>
      <c r="CQ60" s="1143">
        <f t="shared" si="53"/>
        <v>-391029</v>
      </c>
      <c r="CR60" s="1144">
        <f t="shared" si="54"/>
        <v>-1</v>
      </c>
      <c r="CS60" s="1143">
        <f t="shared" si="55"/>
        <v>-271914</v>
      </c>
      <c r="CT60" s="1144">
        <f t="shared" si="56"/>
        <v>-1</v>
      </c>
      <c r="CU60" s="1110">
        <f t="shared" si="694"/>
        <v>1177252</v>
      </c>
      <c r="CV60" s="1112" t="str">
        <f t="shared" si="587"/>
        <v/>
      </c>
      <c r="CW60" s="1112">
        <f>IFERROR(CU60/CU$89,"")</f>
        <v>0.04843111431</v>
      </c>
      <c r="CX60" s="1142">
        <f t="shared" si="695"/>
        <v>797397.315</v>
      </c>
      <c r="CY60" s="1112" t="str">
        <f t="shared" si="589"/>
        <v/>
      </c>
      <c r="CZ60" s="1112">
        <f>IFERROR(CX60/CX$89,"")</f>
        <v>0.09515645829</v>
      </c>
      <c r="DA60" s="1142">
        <f t="shared" si="696"/>
        <v>462672.401</v>
      </c>
      <c r="DB60" s="1112" t="str">
        <f t="shared" si="591"/>
        <v/>
      </c>
      <c r="DC60" s="1112">
        <f>IFERROR(DA60/DA$89,"")</f>
        <v>0.2117094622</v>
      </c>
      <c r="DD60" s="1143">
        <f t="shared" si="63"/>
        <v>-714579.599</v>
      </c>
      <c r="DE60" s="1144">
        <f t="shared" si="64"/>
        <v>-0.6069894967</v>
      </c>
      <c r="DF60" s="1143">
        <f t="shared" si="65"/>
        <v>-334724.914</v>
      </c>
      <c r="DG60" s="1144">
        <f t="shared" si="66"/>
        <v>-0.4197718097</v>
      </c>
      <c r="DH60" s="1110">
        <f t="shared" si="697"/>
        <v>2365834</v>
      </c>
      <c r="DI60" s="1112" t="str">
        <f t="shared" si="592"/>
        <v/>
      </c>
      <c r="DJ60" s="1112">
        <f>IFERROR(DH60/DH$89,"")</f>
        <v>0.09221419798</v>
      </c>
      <c r="DK60" s="1142">
        <f t="shared" si="216"/>
        <v>1497562.325</v>
      </c>
      <c r="DL60" s="1112" t="str">
        <f t="shared" si="593"/>
        <v/>
      </c>
      <c r="DM60" s="1112">
        <f>IFERROR(DK60/DK$89,"")</f>
        <v>0.1584384226</v>
      </c>
      <c r="DN60" s="1142">
        <f t="shared" si="219"/>
        <v>925734.419</v>
      </c>
      <c r="DO60" s="1112">
        <f t="shared" si="594"/>
        <v>2.722748291</v>
      </c>
      <c r="DP60" s="1112">
        <f>IFERROR(DN60/DN$89,"")</f>
        <v>0.2235270617</v>
      </c>
      <c r="DQ60" s="1143">
        <f t="shared" si="73"/>
        <v>-1440099.581</v>
      </c>
      <c r="DR60" s="1144">
        <f t="shared" si="74"/>
        <v>-0.6087069427</v>
      </c>
      <c r="DS60" s="1143">
        <f t="shared" si="75"/>
        <v>-571827.906</v>
      </c>
      <c r="DT60" s="1144">
        <f t="shared" si="76"/>
        <v>-0.3818391371</v>
      </c>
      <c r="DU60" s="1110">
        <f>SUMIF($G$61:$G$88,2,DU$61:DU$88)</f>
        <v>391029</v>
      </c>
      <c r="DV60" s="1112" t="str">
        <f t="shared" si="595"/>
        <v/>
      </c>
      <c r="DW60" s="1112">
        <f>IFERROR(DU60/DU$89,"")</f>
        <v>0.04826804032</v>
      </c>
      <c r="DX60" s="1142">
        <f>SUMIF($G$61:$G$88,2,DX$61:DX$88)</f>
        <v>391029</v>
      </c>
      <c r="DY60" s="1112" t="str">
        <f t="shared" si="596"/>
        <v/>
      </c>
      <c r="DZ60" s="1112">
        <f>IFERROR(DX60/DX$89,"")</f>
        <v>0.04826804032</v>
      </c>
      <c r="EA60" s="1142">
        <f>SUMIF($G$61:$G$88,2,EA$61:EA$88)</f>
        <v>0</v>
      </c>
      <c r="EB60" s="1112" t="str">
        <f t="shared" si="597"/>
        <v/>
      </c>
      <c r="EC60" s="1112" t="str">
        <f>IFERROR(EA60/EA$89,"")</f>
        <v/>
      </c>
      <c r="ED60" s="1143">
        <f t="shared" si="80"/>
        <v>-391029</v>
      </c>
      <c r="EE60" s="1144">
        <f t="shared" si="81"/>
        <v>-1</v>
      </c>
      <c r="EF60" s="1143">
        <f t="shared" si="82"/>
        <v>-391029</v>
      </c>
      <c r="EG60" s="1144">
        <f t="shared" si="83"/>
        <v>-1</v>
      </c>
      <c r="EH60" s="1110">
        <f>SUMIF($G$61:$G$88,2,EH$61:EH$88)</f>
        <v>391029</v>
      </c>
      <c r="EI60" s="1112" t="str">
        <f t="shared" si="598"/>
        <v/>
      </c>
      <c r="EJ60" s="1112">
        <f>IFERROR(EH60/EH$89,"")</f>
        <v>0.04826804032</v>
      </c>
      <c r="EK60" s="1142">
        <f>SUMIF($G$61:$G$88,2,EK$61:EK$88)</f>
        <v>391029</v>
      </c>
      <c r="EL60" s="1112" t="str">
        <f t="shared" si="599"/>
        <v/>
      </c>
      <c r="EM60" s="1112">
        <f>IFERROR(EK60/EK$89,"")</f>
        <v>0.04826804032</v>
      </c>
      <c r="EN60" s="1142">
        <f>SUMIF($G$61:$G$88,2,EN$61:EN$88)</f>
        <v>0</v>
      </c>
      <c r="EO60" s="1112" t="str">
        <f t="shared" si="600"/>
        <v/>
      </c>
      <c r="EP60" s="1112" t="str">
        <f>IFERROR(EN60/EN$89,"")</f>
        <v/>
      </c>
      <c r="EQ60" s="1143">
        <f t="shared" si="87"/>
        <v>-391029</v>
      </c>
      <c r="ER60" s="1144">
        <f t="shared" si="88"/>
        <v>-1</v>
      </c>
      <c r="ES60" s="1143">
        <f t="shared" si="89"/>
        <v>-391029</v>
      </c>
      <c r="ET60" s="1144">
        <f t="shared" si="90"/>
        <v>-1</v>
      </c>
      <c r="EU60" s="1110">
        <f>SUMIF($G$61:$G$88,2,EU$61:EU$88)</f>
        <v>391029</v>
      </c>
      <c r="EV60" s="1112" t="str">
        <f t="shared" si="601"/>
        <v/>
      </c>
      <c r="EW60" s="1112">
        <f>IFERROR(EU60/EU$89,"")</f>
        <v>0.04826804032</v>
      </c>
      <c r="EX60" s="1142">
        <f>SUMIF($G$61:$G$88,2,EX$61:EX$88)</f>
        <v>391029</v>
      </c>
      <c r="EY60" s="1112" t="str">
        <f t="shared" si="602"/>
        <v/>
      </c>
      <c r="EZ60" s="1112">
        <f>IFERROR(EX60/EX$89,"")</f>
        <v>0.04826804032</v>
      </c>
      <c r="FA60" s="1142">
        <f>SUMIF($G$61:$G$88,2,FA$61:FA$88)</f>
        <v>0</v>
      </c>
      <c r="FB60" s="1112" t="str">
        <f t="shared" si="603"/>
        <v/>
      </c>
      <c r="FC60" s="1112" t="str">
        <f>IFERROR(FA60/FA$89,"")</f>
        <v/>
      </c>
      <c r="FD60" s="1143">
        <f t="shared" si="94"/>
        <v>-391029</v>
      </c>
      <c r="FE60" s="1144">
        <f t="shared" si="95"/>
        <v>-1</v>
      </c>
      <c r="FF60" s="1143">
        <f t="shared" si="96"/>
        <v>-391029</v>
      </c>
      <c r="FG60" s="1144">
        <f t="shared" si="97"/>
        <v>-1</v>
      </c>
      <c r="FH60" s="1110">
        <f t="shared" si="698"/>
        <v>1173087</v>
      </c>
      <c r="FI60" s="1112" t="str">
        <f t="shared" si="604"/>
        <v/>
      </c>
      <c r="FJ60" s="1112">
        <f>IFERROR(FH60/FH$89,"")</f>
        <v>0.04826804032</v>
      </c>
      <c r="FK60" s="1142">
        <f t="shared" si="243"/>
        <v>1173087</v>
      </c>
      <c r="FL60" s="1112" t="str">
        <f t="shared" si="605"/>
        <v/>
      </c>
      <c r="FM60" s="1112">
        <f>IFERROR(FK60/FK$89,"")</f>
        <v>0.04826804032</v>
      </c>
      <c r="FN60" s="1142">
        <f t="shared" si="246"/>
        <v>0</v>
      </c>
      <c r="FO60" s="1112" t="str">
        <f t="shared" si="606"/>
        <v/>
      </c>
      <c r="FP60" s="1112" t="str">
        <f>IFERROR(FN60/FN$89,"")</f>
        <v/>
      </c>
      <c r="FQ60" s="1143">
        <f t="shared" si="104"/>
        <v>-1173087</v>
      </c>
      <c r="FR60" s="1144">
        <f t="shared" si="105"/>
        <v>-1</v>
      </c>
      <c r="FS60" s="1143">
        <f t="shared" si="106"/>
        <v>-1173087</v>
      </c>
      <c r="FT60" s="1144">
        <f t="shared" si="107"/>
        <v>-1</v>
      </c>
      <c r="FU60" s="1110">
        <f>SUMIF($G$61:$G$88,2,FU$61:FU$88)</f>
        <v>391029</v>
      </c>
      <c r="FV60" s="1112" t="str">
        <f t="shared" si="607"/>
        <v/>
      </c>
      <c r="FW60" s="1112">
        <f>IFERROR(FU60/FU$89,"")</f>
        <v>0.04826804032</v>
      </c>
      <c r="FX60" s="1142">
        <f>SUMIF($G$61:$G$88,2,FX$61:FX$88)</f>
        <v>391029</v>
      </c>
      <c r="FY60" s="1112" t="str">
        <f t="shared" si="608"/>
        <v/>
      </c>
      <c r="FZ60" s="1112">
        <f>IFERROR(FX60/FX$89,"")</f>
        <v>0.04826804032</v>
      </c>
      <c r="GA60" s="1142">
        <f>SUMIF($G$61:$G$88,2,GA$61:GA$88)</f>
        <v>0</v>
      </c>
      <c r="GB60" s="1112" t="str">
        <f t="shared" si="609"/>
        <v/>
      </c>
      <c r="GC60" s="1112" t="str">
        <f>IFERROR(GA60/GA$89,"")</f>
        <v/>
      </c>
      <c r="GD60" s="1143">
        <f t="shared" si="111"/>
        <v>-391029</v>
      </c>
      <c r="GE60" s="1144">
        <f t="shared" si="112"/>
        <v>-1</v>
      </c>
      <c r="GF60" s="1143">
        <f t="shared" si="113"/>
        <v>-391029</v>
      </c>
      <c r="GG60" s="1144">
        <f t="shared" si="114"/>
        <v>-1</v>
      </c>
      <c r="GH60" s="1110">
        <f>SUMIF($G$61:$G$88,2,GH$61:GH$88)</f>
        <v>391029</v>
      </c>
      <c r="GI60" s="1112" t="str">
        <f t="shared" si="610"/>
        <v/>
      </c>
      <c r="GJ60" s="1112">
        <f>IFERROR(GH60/GH$89,"")</f>
        <v>0.04826804032</v>
      </c>
      <c r="GK60" s="1142">
        <f>SUMIF($G$61:$G$88,2,GK$61:GK$88)</f>
        <v>391029</v>
      </c>
      <c r="GL60" s="1112" t="str">
        <f t="shared" si="611"/>
        <v/>
      </c>
      <c r="GM60" s="1112">
        <f>IFERROR(GK60/GK$89,"")</f>
        <v>0.04826804032</v>
      </c>
      <c r="GN60" s="1142">
        <f>SUMIF($G$61:$G$88,2,GN$61:GN$88)</f>
        <v>0</v>
      </c>
      <c r="GO60" s="1112" t="str">
        <f t="shared" si="612"/>
        <v/>
      </c>
      <c r="GP60" s="1112" t="str">
        <f>IFERROR(GN60/GN$89,"")</f>
        <v/>
      </c>
      <c r="GQ60" s="1143">
        <f t="shared" si="118"/>
        <v>-391029</v>
      </c>
      <c r="GR60" s="1144">
        <f t="shared" si="119"/>
        <v>-1</v>
      </c>
      <c r="GS60" s="1143">
        <f t="shared" si="120"/>
        <v>-391029</v>
      </c>
      <c r="GT60" s="1144">
        <f t="shared" si="121"/>
        <v>-1</v>
      </c>
      <c r="GU60" s="1110">
        <f>SUMIF($G$61:$G$88,2,GU$61:GU$88)</f>
        <v>391029</v>
      </c>
      <c r="GV60" s="1112" t="str">
        <f t="shared" si="613"/>
        <v/>
      </c>
      <c r="GW60" s="1112">
        <f>IFERROR(GU60/GU$89,"")</f>
        <v>0.04826804032</v>
      </c>
      <c r="GX60" s="1142">
        <f>SUMIF($G$61:$G$88,2,GX$61:GX$88)</f>
        <v>391029</v>
      </c>
      <c r="GY60" s="1112" t="str">
        <f t="shared" si="614"/>
        <v/>
      </c>
      <c r="GZ60" s="1112">
        <f>IFERROR(GX60/GX$89,"")</f>
        <v>0.04826804032</v>
      </c>
      <c r="HA60" s="1142">
        <f>SUMIF($G$61:$G$88,2,HA$61:HA$88)</f>
        <v>0</v>
      </c>
      <c r="HB60" s="1112" t="str">
        <f t="shared" si="615"/>
        <v/>
      </c>
      <c r="HC60" s="1112" t="str">
        <f>IFERROR(HA60/HA$89,"")</f>
        <v/>
      </c>
      <c r="HD60" s="1143">
        <f t="shared" si="125"/>
        <v>-391029</v>
      </c>
      <c r="HE60" s="1144">
        <f t="shared" si="126"/>
        <v>-1</v>
      </c>
      <c r="HF60" s="1143">
        <f t="shared" si="127"/>
        <v>-391029</v>
      </c>
      <c r="HG60" s="1144">
        <f t="shared" si="128"/>
        <v>-1</v>
      </c>
      <c r="HH60" s="1110">
        <f t="shared" si="699"/>
        <v>1173087</v>
      </c>
      <c r="HI60" s="1112" t="str">
        <f t="shared" si="616"/>
        <v/>
      </c>
      <c r="HJ60" s="1112">
        <f>IFERROR(HH60/HH$89,"")</f>
        <v>0.04826804032</v>
      </c>
      <c r="HK60" s="1142">
        <f t="shared" si="270"/>
        <v>1173087</v>
      </c>
      <c r="HL60" s="1112" t="str">
        <f t="shared" si="617"/>
        <v/>
      </c>
      <c r="HM60" s="1112">
        <f>IFERROR(HK60/HK$89,"")</f>
        <v>0.04826804032</v>
      </c>
      <c r="HN60" s="1142">
        <f t="shared" si="273"/>
        <v>0</v>
      </c>
      <c r="HO60" s="1112" t="str">
        <f t="shared" si="618"/>
        <v/>
      </c>
      <c r="HP60" s="1112" t="str">
        <f>IFERROR(HN60/HN$89,"")</f>
        <v/>
      </c>
      <c r="HQ60" s="1143">
        <f t="shared" si="135"/>
        <v>-1173087</v>
      </c>
      <c r="HR60" s="1144">
        <f t="shared" si="136"/>
        <v>-1</v>
      </c>
      <c r="HS60" s="1143">
        <f t="shared" si="137"/>
        <v>-1173087</v>
      </c>
      <c r="HT60" s="1144">
        <f t="shared" si="138"/>
        <v>-1</v>
      </c>
      <c r="HU60" s="1110">
        <f t="shared" si="700"/>
        <v>2346174</v>
      </c>
      <c r="HV60" s="1112" t="str">
        <f t="shared" si="619"/>
        <v/>
      </c>
      <c r="HW60" s="1112">
        <f>IFERROR(HU60/HU$89,"")</f>
        <v>0.04826804032</v>
      </c>
      <c r="HX60" s="1142">
        <f t="shared" si="279"/>
        <v>2346174</v>
      </c>
      <c r="HY60" s="1112" t="str">
        <f t="shared" si="620"/>
        <v/>
      </c>
      <c r="HZ60" s="1112">
        <f>IFERROR(HX60/HX$89,"")</f>
        <v>0.04826804032</v>
      </c>
      <c r="IA60" s="1142">
        <f t="shared" si="282"/>
        <v>0</v>
      </c>
      <c r="IB60" s="1112" t="str">
        <f t="shared" si="621"/>
        <v/>
      </c>
      <c r="IC60" s="1112" t="str">
        <f>IFERROR(IA60/IA$89,"")</f>
        <v/>
      </c>
      <c r="ID60" s="1143">
        <f t="shared" si="145"/>
        <v>-2346174</v>
      </c>
      <c r="IE60" s="1144">
        <f t="shared" si="146"/>
        <v>-1</v>
      </c>
      <c r="IF60" s="1143">
        <f t="shared" si="147"/>
        <v>-2346174</v>
      </c>
      <c r="IG60" s="1144">
        <f t="shared" si="148"/>
        <v>-1</v>
      </c>
      <c r="IH60" s="1110">
        <f t="shared" si="701"/>
        <v>4712008</v>
      </c>
      <c r="II60" s="1112" t="str">
        <f t="shared" si="622"/>
        <v/>
      </c>
      <c r="IJ60" s="1112">
        <f>IFERROR(IH60/IH$89,"")</f>
        <v>0.06345023705</v>
      </c>
      <c r="IK60" s="1142">
        <f t="shared" si="288"/>
        <v>3843736.325</v>
      </c>
      <c r="IL60" s="1112" t="str">
        <f t="shared" si="623"/>
        <v/>
      </c>
      <c r="IM60" s="1112">
        <f>IFERROR(IK60/IK$89,"")</f>
        <v>0.06620373237</v>
      </c>
      <c r="IN60" s="1142">
        <f t="shared" si="291"/>
        <v>925734.419</v>
      </c>
      <c r="IO60" s="1112">
        <f t="shared" si="624"/>
        <v>2.722748291</v>
      </c>
      <c r="IP60" s="1112">
        <f>IFERROR(IN60/IN$89,"")</f>
        <v>0.2235270617</v>
      </c>
      <c r="IQ60" s="1143">
        <f t="shared" si="155"/>
        <v>-3786273.581</v>
      </c>
      <c r="IR60" s="1144">
        <f t="shared" si="1"/>
        <v>-0.8035371716</v>
      </c>
      <c r="IS60" s="1143">
        <f t="shared" si="156"/>
        <v>-2918001.906</v>
      </c>
      <c r="IT60" s="1144">
        <f t="shared" si="2"/>
        <v>-0.7591576683</v>
      </c>
    </row>
    <row r="61" hidden="1" outlineLevel="1">
      <c r="A61" s="1087"/>
      <c r="B61" s="1087"/>
      <c r="C61" s="1087"/>
      <c r="D61" s="1087" t="s">
        <v>2845</v>
      </c>
      <c r="E61" s="1087"/>
      <c r="F61" s="1086">
        <v>642.0</v>
      </c>
      <c r="G61" s="1086">
        <v>2.0</v>
      </c>
      <c r="H61" s="1088">
        <f>SUM(H62:H67)</f>
        <v>327061</v>
      </c>
      <c r="I61" s="1145" t="str">
        <f t="shared" si="566"/>
        <v/>
      </c>
      <c r="J61" s="1145">
        <f>IFERROR(H61/H$60,"")</f>
        <v>0.8213609447</v>
      </c>
      <c r="K61" s="1090">
        <f>SUM(K62:K67)</f>
        <v>327061</v>
      </c>
      <c r="L61" s="1145" t="str">
        <f t="shared" si="567"/>
        <v/>
      </c>
      <c r="M61" s="1145">
        <f>IFERROR(K61/K$60,"")</f>
        <v>0.8213609447</v>
      </c>
      <c r="N61" s="1090">
        <f>SUM(N62:N67)</f>
        <v>53253.671</v>
      </c>
      <c r="O61" s="1145">
        <f t="shared" si="568"/>
        <v>0.1566284441</v>
      </c>
      <c r="P61" s="1145">
        <f t="shared" ref="P61:P69" si="702">IFERROR(N61/N$60,"")</f>
        <v>0.4722809274</v>
      </c>
      <c r="Q61" s="1130">
        <f t="shared" si="8"/>
        <v>-273807.329</v>
      </c>
      <c r="R61" s="1132">
        <f t="shared" si="9"/>
        <v>-0.8371751111</v>
      </c>
      <c r="S61" s="1130">
        <f t="shared" si="10"/>
        <v>-273807.329</v>
      </c>
      <c r="T61" s="1132">
        <f t="shared" si="11"/>
        <v>-0.8371751111</v>
      </c>
      <c r="U61" s="1088">
        <f>SUM(U62:U67)</f>
        <v>327061</v>
      </c>
      <c r="V61" s="1145" t="str">
        <f t="shared" si="569"/>
        <v/>
      </c>
      <c r="W61" s="1145">
        <f>IFERROR(U61/U$60,"")</f>
        <v>0.8275960667</v>
      </c>
      <c r="X61" s="1090">
        <f>SUM(X62:X67)</f>
        <v>84484.673</v>
      </c>
      <c r="Y61" s="1145" t="str">
        <f t="shared" si="570"/>
        <v/>
      </c>
      <c r="Z61" s="1145">
        <f>IFERROR(X61/X$60,"")</f>
        <v>0.5595548593</v>
      </c>
      <c r="AA61" s="1090">
        <f>SUM(AA62:AA67)</f>
        <v>84096.143</v>
      </c>
      <c r="AB61" s="1145" t="str">
        <f t="shared" si="571"/>
        <v/>
      </c>
      <c r="AC61" s="1145">
        <f t="shared" ref="AC61:AC69" si="703">IFERROR(AA61/AA$60,"")</f>
        <v>0.5836207317</v>
      </c>
      <c r="AD61" s="1130">
        <f t="shared" si="15"/>
        <v>-242964.857</v>
      </c>
      <c r="AE61" s="1132">
        <f t="shared" si="16"/>
        <v>-0.7428732163</v>
      </c>
      <c r="AF61" s="1130">
        <f t="shared" si="17"/>
        <v>-388.53</v>
      </c>
      <c r="AG61" s="1132">
        <f t="shared" si="18"/>
        <v>-0.004598822321</v>
      </c>
      <c r="AH61" s="1088">
        <f>SUM(AH62:AH67)</f>
        <v>327061</v>
      </c>
      <c r="AI61" s="1145" t="str">
        <f t="shared" si="572"/>
        <v/>
      </c>
      <c r="AJ61" s="1145">
        <f>IFERROR(AH61/AH$60,"")</f>
        <v>0.8275960667</v>
      </c>
      <c r="AK61" s="1090">
        <f>SUM(AK62:AK67)</f>
        <v>84484.673</v>
      </c>
      <c r="AL61" s="1145" t="str">
        <f t="shared" si="573"/>
        <v/>
      </c>
      <c r="AM61" s="1145">
        <f>IFERROR(AK61/AK$60,"")</f>
        <v>0.5595548593</v>
      </c>
      <c r="AN61" s="1090">
        <f>SUM(AN62:AN67)</f>
        <v>134528.996</v>
      </c>
      <c r="AO61" s="1145" t="str">
        <f t="shared" si="574"/>
        <v/>
      </c>
      <c r="AP61" s="1145">
        <f t="shared" ref="AP61:AP69" si="704">IFERROR(AN61/AN$60,"")</f>
        <v>0.6523891705</v>
      </c>
      <c r="AQ61" s="1130">
        <f t="shared" si="22"/>
        <v>-192532.004</v>
      </c>
      <c r="AR61" s="1132">
        <f t="shared" si="23"/>
        <v>-0.5886730732</v>
      </c>
      <c r="AS61" s="1130">
        <f t="shared" si="24"/>
        <v>50044.323</v>
      </c>
      <c r="AT61" s="1132">
        <f t="shared" si="25"/>
        <v>0.5923479517</v>
      </c>
      <c r="AU61" s="1088">
        <f t="shared" si="691"/>
        <v>981183</v>
      </c>
      <c r="AV61" s="1145" t="str">
        <f t="shared" si="575"/>
        <v/>
      </c>
      <c r="AW61" s="1145">
        <f t="shared" ref="AW61:AW69" si="705">IFERROR(AU61/AU$60,"")</f>
        <v>0.825507201</v>
      </c>
      <c r="AX61" s="1090">
        <f t="shared" si="692"/>
        <v>496030.346</v>
      </c>
      <c r="AY61" s="1145" t="str">
        <f t="shared" si="576"/>
        <v/>
      </c>
      <c r="AZ61" s="1145">
        <f t="shared" ref="AZ61:AZ69" si="706">IFERROR(AX61/AX$60,"")</f>
        <v>0.7084477786</v>
      </c>
      <c r="BA61" s="1090">
        <f t="shared" si="693"/>
        <v>271878.81</v>
      </c>
      <c r="BB61" s="1145">
        <f t="shared" si="577"/>
        <v>0.7996435588</v>
      </c>
      <c r="BC61" s="1145">
        <f t="shared" ref="BC61:BC69" si="707">IFERROR(BA61/BA$60,"")</f>
        <v>0.5871326074</v>
      </c>
      <c r="BD61" s="1130">
        <f t="shared" si="32"/>
        <v>-709304.19</v>
      </c>
      <c r="BE61" s="1132">
        <f t="shared" si="33"/>
        <v>-0.7229071335</v>
      </c>
      <c r="BF61" s="1130">
        <f t="shared" si="34"/>
        <v>-224151.536</v>
      </c>
      <c r="BG61" s="1132">
        <f t="shared" si="35"/>
        <v>-0.451890772</v>
      </c>
      <c r="BH61" s="1088">
        <f>SUM(BH62:BH67)</f>
        <v>327061</v>
      </c>
      <c r="BI61" s="1145" t="str">
        <f t="shared" si="578"/>
        <v/>
      </c>
      <c r="BJ61" s="1145">
        <f>IFERROR(BH61/BH$60,"")</f>
        <v>0.8275960667</v>
      </c>
      <c r="BK61" s="1090">
        <f>SUM(BK62:BK67)</f>
        <v>189068.007</v>
      </c>
      <c r="BL61" s="1145" t="str">
        <f t="shared" si="579"/>
        <v/>
      </c>
      <c r="BM61" s="1145">
        <f>IFERROR(BK61/BK$60,"")</f>
        <v>0.730020945</v>
      </c>
      <c r="BN61" s="1090">
        <f>SUM(BN62:BN67)</f>
        <v>145778.846</v>
      </c>
      <c r="BO61" s="1145" t="str">
        <f t="shared" si="580"/>
        <v/>
      </c>
      <c r="BP61" s="1145">
        <f t="shared" ref="BP61:BP69" si="708">IFERROR(BN61/BN$60,"")</f>
        <v>0.6876749651</v>
      </c>
      <c r="BQ61" s="1130">
        <f t="shared" si="39"/>
        <v>-181282.154</v>
      </c>
      <c r="BR61" s="1132">
        <f t="shared" si="40"/>
        <v>-0.5542762787</v>
      </c>
      <c r="BS61" s="1130">
        <f t="shared" si="41"/>
        <v>-43289.161</v>
      </c>
      <c r="BT61" s="1132">
        <f t="shared" si="42"/>
        <v>-0.228960794</v>
      </c>
      <c r="BU61" s="1088">
        <f>SUM(BU62:BU67)</f>
        <v>327061</v>
      </c>
      <c r="BV61" s="1145" t="str">
        <f t="shared" si="581"/>
        <v/>
      </c>
      <c r="BW61" s="1145">
        <f>IFERROR(BU61/BU$60,"")</f>
        <v>0.8364111102</v>
      </c>
      <c r="BX61" s="1090">
        <f>SUM(BX62:BX67)</f>
        <v>198545</v>
      </c>
      <c r="BY61" s="1145" t="str">
        <f t="shared" si="582"/>
        <v/>
      </c>
      <c r="BZ61" s="1145">
        <f>IFERROR(BX61/BX$60,"")</f>
        <v>0.7450276194</v>
      </c>
      <c r="CA61" s="1090">
        <f>SUM(CA62:CA67)</f>
        <v>178717.768</v>
      </c>
      <c r="CB61" s="1145" t="str">
        <f t="shared" si="583"/>
        <v/>
      </c>
      <c r="CC61" s="1145">
        <f t="shared" ref="CC61:CC69" si="709">IFERROR(CA61/CA$60,"")</f>
        <v>0.7129194038</v>
      </c>
      <c r="CD61" s="1130">
        <f t="shared" si="46"/>
        <v>-148343.232</v>
      </c>
      <c r="CE61" s="1132">
        <f t="shared" si="47"/>
        <v>-0.4535644176</v>
      </c>
      <c r="CF61" s="1130">
        <f t="shared" si="48"/>
        <v>-19827.232</v>
      </c>
      <c r="CG61" s="1132">
        <f t="shared" si="49"/>
        <v>-0.09986266086</v>
      </c>
      <c r="CH61" s="1088">
        <f>SUM(CH62:CH67)</f>
        <v>327061</v>
      </c>
      <c r="CI61" s="1145" t="str">
        <f t="shared" si="584"/>
        <v/>
      </c>
      <c r="CJ61" s="1145">
        <f>IFERROR(CH61/CH$60,"")</f>
        <v>0.8364111102</v>
      </c>
      <c r="CK61" s="1090">
        <f>SUM(CK62:CK67)</f>
        <v>201661</v>
      </c>
      <c r="CL61" s="1145" t="str">
        <f t="shared" si="585"/>
        <v/>
      </c>
      <c r="CM61" s="1145">
        <f>IFERROR(CK61/CK$60,"")</f>
        <v>0.7416352229</v>
      </c>
      <c r="CN61" s="1090">
        <f>SUM(CN62:CN67)</f>
        <v>0</v>
      </c>
      <c r="CO61" s="1145" t="str">
        <f t="shared" si="586"/>
        <v/>
      </c>
      <c r="CP61" s="1145" t="str">
        <f t="shared" ref="CP61:CP69" si="710">IFERROR(CN61/CN$60,"")</f>
        <v/>
      </c>
      <c r="CQ61" s="1130">
        <f t="shared" si="53"/>
        <v>-327061</v>
      </c>
      <c r="CR61" s="1132">
        <f t="shared" si="54"/>
        <v>-1</v>
      </c>
      <c r="CS61" s="1130">
        <f t="shared" si="55"/>
        <v>-201661</v>
      </c>
      <c r="CT61" s="1132">
        <f t="shared" si="56"/>
        <v>-1</v>
      </c>
      <c r="CU61" s="1088">
        <f t="shared" si="694"/>
        <v>981183</v>
      </c>
      <c r="CV61" s="1145" t="str">
        <f t="shared" si="587"/>
        <v/>
      </c>
      <c r="CW61" s="1145">
        <f t="shared" ref="CW61:CW69" si="711">IFERROR(CU61/CU$60,"")</f>
        <v>0.8334519712</v>
      </c>
      <c r="CX61" s="1090">
        <f t="shared" si="695"/>
        <v>589274.007</v>
      </c>
      <c r="CY61" s="1145" t="str">
        <f t="shared" si="589"/>
        <v/>
      </c>
      <c r="CZ61" s="1145">
        <f t="shared" ref="CZ61:CZ69" si="712">IFERROR(CX61/CX$60,"")</f>
        <v>0.7389967284</v>
      </c>
      <c r="DA61" s="1090">
        <f t="shared" si="696"/>
        <v>324496.614</v>
      </c>
      <c r="DB61" s="1145" t="str">
        <f t="shared" si="591"/>
        <v/>
      </c>
      <c r="DC61" s="1145">
        <f t="shared" ref="DC61:DC69" si="713">IFERROR(DA61/DA$60,"")</f>
        <v>0.701352865</v>
      </c>
      <c r="DD61" s="1130">
        <f t="shared" si="63"/>
        <v>-656686.386</v>
      </c>
      <c r="DE61" s="1132">
        <f t="shared" si="64"/>
        <v>-0.6692802321</v>
      </c>
      <c r="DF61" s="1130">
        <f t="shared" si="65"/>
        <v>-264777.393</v>
      </c>
      <c r="DG61" s="1132">
        <f t="shared" si="66"/>
        <v>-0.4493281391</v>
      </c>
      <c r="DH61" s="1088">
        <f t="shared" si="697"/>
        <v>1962366</v>
      </c>
      <c r="DI61" s="1145" t="str">
        <f t="shared" si="592"/>
        <v/>
      </c>
      <c r="DJ61" s="1145">
        <f t="shared" ref="DJ61:DJ69" si="714">IFERROR(DH61/DH$60,"")</f>
        <v>0.8294605623</v>
      </c>
      <c r="DK61" s="1090">
        <f t="shared" si="216"/>
        <v>1085304.353</v>
      </c>
      <c r="DL61" s="1145" t="str">
        <f t="shared" si="593"/>
        <v/>
      </c>
      <c r="DM61" s="1145">
        <f t="shared" ref="DM61:DM69" si="715">IFERROR(DK61/DK$60,"")</f>
        <v>0.7247139801</v>
      </c>
      <c r="DN61" s="1090">
        <f t="shared" si="219"/>
        <v>596375.424</v>
      </c>
      <c r="DO61" s="1145">
        <f t="shared" si="594"/>
        <v>1.754045365</v>
      </c>
      <c r="DP61" s="1145">
        <f t="shared" ref="DP61:DP69" si="716">IFERROR(DN61/DN$60,"")</f>
        <v>0.6442187001</v>
      </c>
      <c r="DQ61" s="1130">
        <f t="shared" si="73"/>
        <v>-1365990.576</v>
      </c>
      <c r="DR61" s="1132">
        <f t="shared" si="74"/>
        <v>-0.6960936828</v>
      </c>
      <c r="DS61" s="1130">
        <f t="shared" si="75"/>
        <v>-488928.929</v>
      </c>
      <c r="DT61" s="1132">
        <f t="shared" si="76"/>
        <v>-0.4504993716</v>
      </c>
      <c r="DU61" s="1088">
        <f>SUM(DU62:DU67)</f>
        <v>327061</v>
      </c>
      <c r="DV61" s="1145" t="str">
        <f t="shared" si="595"/>
        <v/>
      </c>
      <c r="DW61" s="1145">
        <f>IFERROR(DU61/DU$60,"")</f>
        <v>0.8364111102</v>
      </c>
      <c r="DX61" s="1090">
        <f>SUM(DX62:DX67)</f>
        <v>327061</v>
      </c>
      <c r="DY61" s="1145" t="str">
        <f t="shared" si="596"/>
        <v/>
      </c>
      <c r="DZ61" s="1145">
        <f>IFERROR(DX61/DX$60,"")</f>
        <v>0.8364111102</v>
      </c>
      <c r="EA61" s="1090">
        <f>SUM(EA62:EA67)</f>
        <v>0</v>
      </c>
      <c r="EB61" s="1145" t="str">
        <f t="shared" si="597"/>
        <v/>
      </c>
      <c r="EC61" s="1145" t="str">
        <f t="shared" ref="EC61:EC69" si="717">IFERROR(EA61/EA$60,"")</f>
        <v/>
      </c>
      <c r="ED61" s="1130">
        <f t="shared" si="80"/>
        <v>-327061</v>
      </c>
      <c r="EE61" s="1132">
        <f t="shared" si="81"/>
        <v>-1</v>
      </c>
      <c r="EF61" s="1130">
        <f t="shared" si="82"/>
        <v>-327061</v>
      </c>
      <c r="EG61" s="1132">
        <f t="shared" si="83"/>
        <v>-1</v>
      </c>
      <c r="EH61" s="1088">
        <f>SUM(EH62:EH67)</f>
        <v>327061</v>
      </c>
      <c r="EI61" s="1145" t="str">
        <f t="shared" si="598"/>
        <v/>
      </c>
      <c r="EJ61" s="1145">
        <f>IFERROR(EH61/EH$60,"")</f>
        <v>0.8364111102</v>
      </c>
      <c r="EK61" s="1090">
        <f>SUM(EK62:EK67)</f>
        <v>327061</v>
      </c>
      <c r="EL61" s="1145" t="str">
        <f t="shared" si="599"/>
        <v/>
      </c>
      <c r="EM61" s="1145">
        <f>IFERROR(EK61/EK$60,"")</f>
        <v>0.8364111102</v>
      </c>
      <c r="EN61" s="1090">
        <f>SUM(EN62:EN67)</f>
        <v>0</v>
      </c>
      <c r="EO61" s="1145" t="str">
        <f t="shared" si="600"/>
        <v/>
      </c>
      <c r="EP61" s="1145" t="str">
        <f t="shared" ref="EP61:EP69" si="718">IFERROR(EN61/EN$60,"")</f>
        <v/>
      </c>
      <c r="EQ61" s="1130">
        <f t="shared" si="87"/>
        <v>-327061</v>
      </c>
      <c r="ER61" s="1132">
        <f t="shared" si="88"/>
        <v>-1</v>
      </c>
      <c r="ES61" s="1130">
        <f t="shared" si="89"/>
        <v>-327061</v>
      </c>
      <c r="ET61" s="1132">
        <f t="shared" si="90"/>
        <v>-1</v>
      </c>
      <c r="EU61" s="1088">
        <f>SUM(EU62:EU67)</f>
        <v>327061</v>
      </c>
      <c r="EV61" s="1145" t="str">
        <f t="shared" si="601"/>
        <v/>
      </c>
      <c r="EW61" s="1145">
        <f>IFERROR(EU61/EU$60,"")</f>
        <v>0.8364111102</v>
      </c>
      <c r="EX61" s="1090">
        <f>SUM(EX62:EX67)</f>
        <v>327061</v>
      </c>
      <c r="EY61" s="1145" t="str">
        <f t="shared" si="602"/>
        <v/>
      </c>
      <c r="EZ61" s="1145">
        <f>IFERROR(EX61/EX$60,"")</f>
        <v>0.8364111102</v>
      </c>
      <c r="FA61" s="1090">
        <f>SUM(FA62:FA67)</f>
        <v>0</v>
      </c>
      <c r="FB61" s="1145" t="str">
        <f t="shared" si="603"/>
        <v/>
      </c>
      <c r="FC61" s="1145" t="str">
        <f t="shared" ref="FC61:FC69" si="719">IFERROR(FA61/FA$60,"")</f>
        <v/>
      </c>
      <c r="FD61" s="1130">
        <f t="shared" si="94"/>
        <v>-327061</v>
      </c>
      <c r="FE61" s="1132">
        <f t="shared" si="95"/>
        <v>-1</v>
      </c>
      <c r="FF61" s="1130">
        <f t="shared" si="96"/>
        <v>-327061</v>
      </c>
      <c r="FG61" s="1132">
        <f t="shared" si="97"/>
        <v>-1</v>
      </c>
      <c r="FH61" s="1088">
        <f t="shared" si="698"/>
        <v>981183</v>
      </c>
      <c r="FI61" s="1145" t="str">
        <f t="shared" si="604"/>
        <v/>
      </c>
      <c r="FJ61" s="1145">
        <f t="shared" ref="FJ61:FJ69" si="720">IFERROR(FH61/FH$60,"")</f>
        <v>0.8364111102</v>
      </c>
      <c r="FK61" s="1090">
        <f t="shared" si="243"/>
        <v>981183</v>
      </c>
      <c r="FL61" s="1145" t="str">
        <f t="shared" si="605"/>
        <v/>
      </c>
      <c r="FM61" s="1145">
        <f t="shared" ref="FM61:FM69" si="721">IFERROR(FK61/FK$60,"")</f>
        <v>0.8364111102</v>
      </c>
      <c r="FN61" s="1090">
        <f t="shared" si="246"/>
        <v>0</v>
      </c>
      <c r="FO61" s="1145" t="str">
        <f t="shared" si="606"/>
        <v/>
      </c>
      <c r="FP61" s="1145" t="str">
        <f t="shared" ref="FP61:FP69" si="722">IFERROR(FN61/FN$60,"")</f>
        <v/>
      </c>
      <c r="FQ61" s="1130">
        <f t="shared" si="104"/>
        <v>-981183</v>
      </c>
      <c r="FR61" s="1132">
        <f t="shared" si="105"/>
        <v>-1</v>
      </c>
      <c r="FS61" s="1130">
        <f t="shared" si="106"/>
        <v>-981183</v>
      </c>
      <c r="FT61" s="1132">
        <f t="shared" si="107"/>
        <v>-1</v>
      </c>
      <c r="FU61" s="1088">
        <f>SUM(FU62:FU67)</f>
        <v>327061</v>
      </c>
      <c r="FV61" s="1145" t="str">
        <f t="shared" si="607"/>
        <v/>
      </c>
      <c r="FW61" s="1145">
        <f>IFERROR(FU61/FU$60,"")</f>
        <v>0.8364111102</v>
      </c>
      <c r="FX61" s="1090">
        <f>SUM(FX62:FX67)</f>
        <v>327061</v>
      </c>
      <c r="FY61" s="1145" t="str">
        <f t="shared" si="608"/>
        <v/>
      </c>
      <c r="FZ61" s="1145">
        <f>IFERROR(FX61/FX$60,"")</f>
        <v>0.8364111102</v>
      </c>
      <c r="GA61" s="1090">
        <f>SUM(GA62:GA67)</f>
        <v>0</v>
      </c>
      <c r="GB61" s="1145" t="str">
        <f t="shared" si="609"/>
        <v/>
      </c>
      <c r="GC61" s="1145" t="str">
        <f t="shared" ref="GC61:GC69" si="723">IFERROR(GA61/GA$60,"")</f>
        <v/>
      </c>
      <c r="GD61" s="1130">
        <f t="shared" si="111"/>
        <v>-327061</v>
      </c>
      <c r="GE61" s="1132">
        <f t="shared" si="112"/>
        <v>-1</v>
      </c>
      <c r="GF61" s="1130">
        <f t="shared" si="113"/>
        <v>-327061</v>
      </c>
      <c r="GG61" s="1132">
        <f t="shared" si="114"/>
        <v>-1</v>
      </c>
      <c r="GH61" s="1088">
        <f>SUM(GH62:GH67)</f>
        <v>327061</v>
      </c>
      <c r="GI61" s="1145" t="str">
        <f t="shared" si="610"/>
        <v/>
      </c>
      <c r="GJ61" s="1145">
        <f>IFERROR(GH61/GH$60,"")</f>
        <v>0.8364111102</v>
      </c>
      <c r="GK61" s="1090">
        <f>SUM(GK62:GK67)</f>
        <v>327061</v>
      </c>
      <c r="GL61" s="1145" t="str">
        <f t="shared" si="611"/>
        <v/>
      </c>
      <c r="GM61" s="1145">
        <f>IFERROR(GK61/GK$60,"")</f>
        <v>0.8364111102</v>
      </c>
      <c r="GN61" s="1090">
        <f>SUM(GN62:GN67)</f>
        <v>0</v>
      </c>
      <c r="GO61" s="1145" t="str">
        <f t="shared" si="612"/>
        <v/>
      </c>
      <c r="GP61" s="1145" t="str">
        <f t="shared" ref="GP61:GP69" si="724">IFERROR(GN61/GN$60,"")</f>
        <v/>
      </c>
      <c r="GQ61" s="1130">
        <f t="shared" si="118"/>
        <v>-327061</v>
      </c>
      <c r="GR61" s="1132">
        <f t="shared" si="119"/>
        <v>-1</v>
      </c>
      <c r="GS61" s="1130">
        <f t="shared" si="120"/>
        <v>-327061</v>
      </c>
      <c r="GT61" s="1132">
        <f t="shared" si="121"/>
        <v>-1</v>
      </c>
      <c r="GU61" s="1088">
        <f>SUM(GU62:GU67)</f>
        <v>327061</v>
      </c>
      <c r="GV61" s="1145" t="str">
        <f t="shared" si="613"/>
        <v/>
      </c>
      <c r="GW61" s="1145">
        <f>IFERROR(GU61/GU$60,"")</f>
        <v>0.8364111102</v>
      </c>
      <c r="GX61" s="1090">
        <f>SUM(GX62:GX67)</f>
        <v>327061</v>
      </c>
      <c r="GY61" s="1145" t="str">
        <f t="shared" si="614"/>
        <v/>
      </c>
      <c r="GZ61" s="1145">
        <f>IFERROR(GX61/GX$60,"")</f>
        <v>0.8364111102</v>
      </c>
      <c r="HA61" s="1090">
        <f>SUM(HA62:HA67)</f>
        <v>0</v>
      </c>
      <c r="HB61" s="1145" t="str">
        <f t="shared" si="615"/>
        <v/>
      </c>
      <c r="HC61" s="1145" t="str">
        <f t="shared" ref="HC61:HC69" si="725">IFERROR(HA61/HA$60,"")</f>
        <v/>
      </c>
      <c r="HD61" s="1130">
        <f t="shared" si="125"/>
        <v>-327061</v>
      </c>
      <c r="HE61" s="1132">
        <f t="shared" si="126"/>
        <v>-1</v>
      </c>
      <c r="HF61" s="1130">
        <f t="shared" si="127"/>
        <v>-327061</v>
      </c>
      <c r="HG61" s="1132">
        <f t="shared" si="128"/>
        <v>-1</v>
      </c>
      <c r="HH61" s="1088">
        <f t="shared" si="699"/>
        <v>981183</v>
      </c>
      <c r="HI61" s="1145" t="str">
        <f t="shared" si="616"/>
        <v/>
      </c>
      <c r="HJ61" s="1145">
        <f t="shared" ref="HJ61:HJ69" si="726">IFERROR(HH61/HH$60,"")</f>
        <v>0.8364111102</v>
      </c>
      <c r="HK61" s="1090">
        <f t="shared" si="270"/>
        <v>981183</v>
      </c>
      <c r="HL61" s="1145" t="str">
        <f t="shared" si="617"/>
        <v/>
      </c>
      <c r="HM61" s="1145">
        <f t="shared" ref="HM61:HM69" si="727">IFERROR(HK61/HK$60,"")</f>
        <v>0.8364111102</v>
      </c>
      <c r="HN61" s="1090">
        <f t="shared" si="273"/>
        <v>0</v>
      </c>
      <c r="HO61" s="1145" t="str">
        <f t="shared" si="618"/>
        <v/>
      </c>
      <c r="HP61" s="1145" t="str">
        <f t="shared" ref="HP61:HP69" si="728">IFERROR(HN61/HN$60,"")</f>
        <v/>
      </c>
      <c r="HQ61" s="1130">
        <f t="shared" si="135"/>
        <v>-981183</v>
      </c>
      <c r="HR61" s="1132">
        <f t="shared" si="136"/>
        <v>-1</v>
      </c>
      <c r="HS61" s="1130">
        <f t="shared" si="137"/>
        <v>-981183</v>
      </c>
      <c r="HT61" s="1132">
        <f t="shared" si="138"/>
        <v>-1</v>
      </c>
      <c r="HU61" s="1088">
        <f t="shared" si="700"/>
        <v>1962366</v>
      </c>
      <c r="HV61" s="1145" t="str">
        <f t="shared" si="619"/>
        <v/>
      </c>
      <c r="HW61" s="1145">
        <f t="shared" ref="HW61:HW69" si="729">IFERROR(HU61/HU$60,"")</f>
        <v>0.8364111102</v>
      </c>
      <c r="HX61" s="1090">
        <f t="shared" si="279"/>
        <v>1962366</v>
      </c>
      <c r="HY61" s="1145" t="str">
        <f t="shared" si="620"/>
        <v/>
      </c>
      <c r="HZ61" s="1145">
        <f t="shared" ref="HZ61:HZ69" si="730">IFERROR(HX61/HX$60,"")</f>
        <v>0.8364111102</v>
      </c>
      <c r="IA61" s="1090">
        <f t="shared" si="282"/>
        <v>0</v>
      </c>
      <c r="IB61" s="1145" t="str">
        <f t="shared" si="621"/>
        <v/>
      </c>
      <c r="IC61" s="1145" t="str">
        <f t="shared" ref="IC61:IC69" si="731">IFERROR(IA61/IA$60,"")</f>
        <v/>
      </c>
      <c r="ID61" s="1130">
        <f t="shared" si="145"/>
        <v>-1962366</v>
      </c>
      <c r="IE61" s="1132">
        <f t="shared" si="146"/>
        <v>-1</v>
      </c>
      <c r="IF61" s="1130">
        <f t="shared" si="147"/>
        <v>-1962366</v>
      </c>
      <c r="IG61" s="1132">
        <f t="shared" si="148"/>
        <v>-1</v>
      </c>
      <c r="IH61" s="1088">
        <f t="shared" si="701"/>
        <v>3924732</v>
      </c>
      <c r="II61" s="1145" t="str">
        <f t="shared" si="622"/>
        <v/>
      </c>
      <c r="IJ61" s="1145">
        <f t="shared" ref="IJ61:IJ69" si="732">IFERROR(IH61/IH$60,"")</f>
        <v>0.8329213363</v>
      </c>
      <c r="IK61" s="1090">
        <f t="shared" si="288"/>
        <v>3047670.353</v>
      </c>
      <c r="IL61" s="1145" t="str">
        <f t="shared" si="623"/>
        <v/>
      </c>
      <c r="IM61" s="1145">
        <f t="shared" ref="IM61:IM69" si="733">IFERROR(IK61/IK$60,"")</f>
        <v>0.7928926688</v>
      </c>
      <c r="IN61" s="1090">
        <f t="shared" si="291"/>
        <v>596375.424</v>
      </c>
      <c r="IO61" s="1145">
        <f t="shared" si="624"/>
        <v>1.754045365</v>
      </c>
      <c r="IP61" s="1145">
        <f t="shared" ref="IP61:IP69" si="734">IFERROR(IN61/IN$60,"")</f>
        <v>0.6442187001</v>
      </c>
      <c r="IQ61" s="1130">
        <f t="shared" si="155"/>
        <v>-3328356.576</v>
      </c>
      <c r="IR61" s="1132">
        <f t="shared" si="1"/>
        <v>-0.8480468414</v>
      </c>
      <c r="IS61" s="1130">
        <f t="shared" si="156"/>
        <v>-2451294.929</v>
      </c>
      <c r="IT61" s="1132">
        <f t="shared" si="2"/>
        <v>-0.8043176082</v>
      </c>
    </row>
    <row r="62" hidden="1" outlineLevel="1">
      <c r="A62" s="737"/>
      <c r="B62" s="737"/>
      <c r="C62" s="737"/>
      <c r="D62" s="737" t="s">
        <v>2846</v>
      </c>
      <c r="E62" s="737" t="s">
        <v>293</v>
      </c>
      <c r="F62" s="737"/>
      <c r="G62" s="748">
        <v>3.0</v>
      </c>
      <c r="H62" s="1146">
        <f>SUMIFS(BP_SOTIEN,BP_THANG,H$2,BP_KM,$E62)/1000</f>
        <v>0</v>
      </c>
      <c r="I62" s="1091" t="str">
        <f t="shared" si="566"/>
        <v/>
      </c>
      <c r="J62" s="1091"/>
      <c r="K62" s="1147">
        <f>IF(NOW()&gt;=DATE(YEAR(H$2),MONTH(H$2)+1,DAY(H$2)),SUMIFS(TF_SOTIEN,TF_THANG,H$2,TF_KM,$E62)/1000, N62)</f>
        <v>0</v>
      </c>
      <c r="L62" s="1091" t="str">
        <f t="shared" si="567"/>
        <v/>
      </c>
      <c r="M62" s="1091"/>
      <c r="N62" s="1147">
        <f>IF(NOW()&gt;=DATE(YEAR(H$2),MONTH(H$2)+1,DAY(H$2)),SUMIFS(AC_SOTIEN,AC_THANG,H$2,AC_KM,$E62),SUMIFS(TF_SOTIEN,TF_THANG,H$2,TF_KM,$E62))/ 1000</f>
        <v>21000</v>
      </c>
      <c r="O62" s="1091">
        <f t="shared" si="568"/>
        <v>0.06176470588</v>
      </c>
      <c r="P62" s="1091">
        <f t="shared" si="702"/>
        <v>0.1862387942</v>
      </c>
      <c r="Q62" s="1147">
        <f t="shared" si="8"/>
        <v>21000</v>
      </c>
      <c r="R62" s="1091" t="str">
        <f t="shared" si="9"/>
        <v/>
      </c>
      <c r="S62" s="1147">
        <f t="shared" si="10"/>
        <v>21000</v>
      </c>
      <c r="T62" s="1091" t="str">
        <f t="shared" si="11"/>
        <v/>
      </c>
      <c r="U62" s="1146">
        <f>SUMIFS(BP_SOTIEN,BP_THANG,U$2,BP_KM,$E62)/1000</f>
        <v>0</v>
      </c>
      <c r="V62" s="1091" t="str">
        <f t="shared" si="569"/>
        <v/>
      </c>
      <c r="W62" s="1091"/>
      <c r="X62" s="1147">
        <f>IF(NOW()&gt;=DATE(YEAR(U$2),MONTH(U$2)+1,DAY(U$2)),SUMIFS(TF_SOTIEN,TF_THANG,U$2,TF_KM,$E62)/1000, AA62)</f>
        <v>18666.666</v>
      </c>
      <c r="Y62" s="1091" t="str">
        <f t="shared" si="570"/>
        <v/>
      </c>
      <c r="Z62" s="1091"/>
      <c r="AA62" s="1147">
        <f>IF(NOW()&gt;=DATE(YEAR(U$2),MONTH(U$2)+1,DAY(U$2)),SUMIFS(AC_SOTIEN,AC_THANG,U$2,AC_KM,$E62),SUMIFS(TF_SOTIEN,TF_THANG,U$2,TF_KM,$E62))/ 1000</f>
        <v>21041.666</v>
      </c>
      <c r="AB62" s="1091" t="str">
        <f t="shared" si="571"/>
        <v/>
      </c>
      <c r="AC62" s="1091">
        <f t="shared" si="703"/>
        <v>0.1460275355</v>
      </c>
      <c r="AD62" s="1147">
        <f t="shared" si="15"/>
        <v>21041.666</v>
      </c>
      <c r="AE62" s="1091" t="str">
        <f t="shared" si="16"/>
        <v/>
      </c>
      <c r="AF62" s="1147">
        <f t="shared" si="17"/>
        <v>2375</v>
      </c>
      <c r="AG62" s="1091">
        <f t="shared" si="18"/>
        <v>0.1272321474</v>
      </c>
      <c r="AH62" s="1146">
        <f>SUMIFS(BP_SOTIEN,BP_THANG,AH$2,BP_KM,$E62)/1000</f>
        <v>0</v>
      </c>
      <c r="AI62" s="1091" t="str">
        <f t="shared" si="572"/>
        <v/>
      </c>
      <c r="AJ62" s="1091"/>
      <c r="AK62" s="1147">
        <f>IF(NOW()&gt;=DATE(YEAR(AH$2),MONTH(AH$2)+1,DAY(AH$2)),SUMIFS(TF_SOTIEN,TF_THANG,AH$2,TF_KM,$E62)/1000, AN62)</f>
        <v>18666.666</v>
      </c>
      <c r="AL62" s="1091" t="str">
        <f t="shared" si="573"/>
        <v/>
      </c>
      <c r="AM62" s="1091"/>
      <c r="AN62" s="1147">
        <f>IF(NOW()&gt;=DATE(YEAR(AH$2),MONTH(AH$2)+1,DAY(AH$2)),SUMIFS(AC_SOTIEN,AC_THANG,AH$2,AC_KM,$E62),SUMIFS(TF_SOTIEN,TF_THANG,AH$2,TF_KM,$E62))/ 1000</f>
        <v>42000</v>
      </c>
      <c r="AO62" s="1091" t="str">
        <f t="shared" si="574"/>
        <v/>
      </c>
      <c r="AP62" s="1091">
        <f t="shared" si="704"/>
        <v>0.2036761291</v>
      </c>
      <c r="AQ62" s="1147">
        <f t="shared" si="22"/>
        <v>42000</v>
      </c>
      <c r="AR62" s="1091" t="str">
        <f t="shared" si="23"/>
        <v/>
      </c>
      <c r="AS62" s="1147">
        <f t="shared" si="24"/>
        <v>23333.334</v>
      </c>
      <c r="AT62" s="1091">
        <f t="shared" si="25"/>
        <v>1.25000008</v>
      </c>
      <c r="AU62" s="1146">
        <f t="shared" si="691"/>
        <v>0</v>
      </c>
      <c r="AV62" s="1091" t="str">
        <f t="shared" si="575"/>
        <v/>
      </c>
      <c r="AW62" s="1091">
        <f t="shared" si="705"/>
        <v>0</v>
      </c>
      <c r="AX62" s="1147">
        <f t="shared" si="692"/>
        <v>37333.332</v>
      </c>
      <c r="AY62" s="1091" t="str">
        <f t="shared" si="576"/>
        <v/>
      </c>
      <c r="AZ62" s="1091">
        <f t="shared" si="706"/>
        <v>0.0533207622</v>
      </c>
      <c r="BA62" s="1147">
        <f t="shared" si="693"/>
        <v>84041.666</v>
      </c>
      <c r="BB62" s="1091">
        <f t="shared" si="577"/>
        <v>0.2471813706</v>
      </c>
      <c r="BC62" s="1091">
        <f t="shared" si="707"/>
        <v>0.1814911669</v>
      </c>
      <c r="BD62" s="1147">
        <f t="shared" si="32"/>
        <v>84041.666</v>
      </c>
      <c r="BE62" s="1091" t="str">
        <f t="shared" si="33"/>
        <v/>
      </c>
      <c r="BF62" s="1147">
        <f t="shared" si="34"/>
        <v>46708.334</v>
      </c>
      <c r="BG62" s="1091">
        <f t="shared" si="35"/>
        <v>1.251116134</v>
      </c>
      <c r="BH62" s="1146">
        <f>SUMIFS(BP_SOTIEN,BP_THANG,BH$2,BP_KM,$E62)/1000</f>
        <v>0</v>
      </c>
      <c r="BI62" s="1091" t="str">
        <f t="shared" si="578"/>
        <v/>
      </c>
      <c r="BJ62" s="1091"/>
      <c r="BK62" s="1147">
        <f>IF(NOW()&gt;=DATE(YEAR(BH$2),MONTH(BH$2)+1,DAY(BH$2)),SUMIFS(TF_SOTIEN,TF_THANG,BH$2,TF_KM,$E62)/1000, BN62)</f>
        <v>65000</v>
      </c>
      <c r="BL62" s="1091" t="str">
        <f t="shared" si="579"/>
        <v/>
      </c>
      <c r="BM62" s="1091"/>
      <c r="BN62" s="1147">
        <f>IF(NOW()&gt;=DATE(YEAR(BH$2),MONTH(BH$2)+1,DAY(BH$2)),SUMIFS(AC_SOTIEN,AC_THANG,BH$2,AC_KM,$E62),SUMIFS(TF_SOTIEN,TF_THANG,BH$2,TF_KM,$E62))/ 1000</f>
        <v>84000</v>
      </c>
      <c r="BO62" s="1091" t="str">
        <f t="shared" si="580"/>
        <v/>
      </c>
      <c r="BP62" s="1091">
        <f t="shared" si="708"/>
        <v>0.3962488293</v>
      </c>
      <c r="BQ62" s="1147">
        <f t="shared" si="39"/>
        <v>84000</v>
      </c>
      <c r="BR62" s="1091" t="str">
        <f t="shared" si="40"/>
        <v/>
      </c>
      <c r="BS62" s="1147">
        <f t="shared" si="41"/>
        <v>19000</v>
      </c>
      <c r="BT62" s="1091">
        <f t="shared" si="42"/>
        <v>0.2923076923</v>
      </c>
      <c r="BU62" s="1146">
        <f>SUMIFS(BP_SOTIEN,BP_THANG,BU$2,BP_KM,$E62)/1000</f>
        <v>0</v>
      </c>
      <c r="BV62" s="1091" t="str">
        <f t="shared" si="581"/>
        <v/>
      </c>
      <c r="BW62" s="1091"/>
      <c r="BX62" s="1147">
        <f>IF(NOW()&gt;=DATE(YEAR(BU$2),MONTH(BU$2)+1,DAY(BU$2)),SUMIFS(TF_SOTIEN,TF_THANG,BU$2,TF_KM,$E62)/1000, CA62)</f>
        <v>84000</v>
      </c>
      <c r="BY62" s="1091" t="str">
        <f t="shared" si="582"/>
        <v/>
      </c>
      <c r="BZ62" s="1091"/>
      <c r="CA62" s="1147">
        <f>IF(NOW()&gt;=DATE(YEAR(BU$2),MONTH(BU$2)+1,DAY(BU$2)),SUMIFS(AC_SOTIEN,AC_THANG,BU$2,AC_KM,$E62),SUMIFS(TF_SOTIEN,TF_THANG,BU$2,TF_KM,$E62))/ 1000</f>
        <v>42000</v>
      </c>
      <c r="CB62" s="1091" t="str">
        <f t="shared" si="583"/>
        <v/>
      </c>
      <c r="CC62" s="1091">
        <f t="shared" si="709"/>
        <v>0.1675413435</v>
      </c>
      <c r="CD62" s="1147">
        <f t="shared" si="46"/>
        <v>42000</v>
      </c>
      <c r="CE62" s="1091" t="str">
        <f t="shared" si="47"/>
        <v/>
      </c>
      <c r="CF62" s="1147">
        <f t="shared" si="48"/>
        <v>-42000</v>
      </c>
      <c r="CG62" s="1091">
        <f t="shared" si="49"/>
        <v>-0.5</v>
      </c>
      <c r="CH62" s="1146">
        <f>SUMIFS(BP_SOTIEN,BP_THANG,CH$2,BP_KM,$E62)/1000</f>
        <v>0</v>
      </c>
      <c r="CI62" s="1091" t="str">
        <f t="shared" si="584"/>
        <v/>
      </c>
      <c r="CJ62" s="1091"/>
      <c r="CK62" s="1147">
        <f>IF(NOW()&gt;=DATE(YEAR(CH$2),MONTH(CH$2)+1,DAY(CH$2)),SUMIFS(TF_SOTIEN,TF_THANG,CH$2,TF_KM,$E62)/1000, CN62)</f>
        <v>84000</v>
      </c>
      <c r="CL62" s="1091" t="str">
        <f t="shared" si="585"/>
        <v/>
      </c>
      <c r="CM62" s="1091"/>
      <c r="CN62" s="1147">
        <f>IF(NOW()&gt;=DATE(YEAR(CH$2),MONTH(CH$2)+1,DAY(CH$2)),SUMIFS(AC_SOTIEN,AC_THANG,CH$2,AC_KM,$E62),SUMIFS(TF_SOTIEN,TF_THANG,CH$2,TF_KM,$E62))/ 1000</f>
        <v>0</v>
      </c>
      <c r="CO62" s="1091" t="str">
        <f t="shared" si="586"/>
        <v/>
      </c>
      <c r="CP62" s="1091" t="str">
        <f t="shared" si="710"/>
        <v/>
      </c>
      <c r="CQ62" s="1147">
        <f t="shared" si="53"/>
        <v>0</v>
      </c>
      <c r="CR62" s="1091" t="str">
        <f t="shared" si="54"/>
        <v/>
      </c>
      <c r="CS62" s="1147">
        <f t="shared" si="55"/>
        <v>-84000</v>
      </c>
      <c r="CT62" s="1091">
        <f t="shared" si="56"/>
        <v>-1</v>
      </c>
      <c r="CU62" s="1146">
        <f t="shared" si="694"/>
        <v>0</v>
      </c>
      <c r="CV62" s="1091" t="str">
        <f t="shared" si="587"/>
        <v/>
      </c>
      <c r="CW62" s="1091">
        <f t="shared" si="711"/>
        <v>0</v>
      </c>
      <c r="CX62" s="1147">
        <f t="shared" si="695"/>
        <v>233000</v>
      </c>
      <c r="CY62" s="1091" t="str">
        <f t="shared" si="589"/>
        <v/>
      </c>
      <c r="CZ62" s="1091">
        <f t="shared" si="712"/>
        <v>0.2922006328</v>
      </c>
      <c r="DA62" s="1147">
        <f t="shared" si="696"/>
        <v>126000</v>
      </c>
      <c r="DB62" s="1091" t="str">
        <f t="shared" si="591"/>
        <v/>
      </c>
      <c r="DC62" s="1091">
        <f t="shared" si="713"/>
        <v>0.2723309187</v>
      </c>
      <c r="DD62" s="1147">
        <f t="shared" si="63"/>
        <v>126000</v>
      </c>
      <c r="DE62" s="1091" t="str">
        <f t="shared" si="64"/>
        <v/>
      </c>
      <c r="DF62" s="1147">
        <f t="shared" si="65"/>
        <v>-107000</v>
      </c>
      <c r="DG62" s="1091">
        <f t="shared" si="66"/>
        <v>-0.4592274678</v>
      </c>
      <c r="DH62" s="1146">
        <f t="shared" si="697"/>
        <v>0</v>
      </c>
      <c r="DI62" s="1091" t="str">
        <f t="shared" si="592"/>
        <v/>
      </c>
      <c r="DJ62" s="1091">
        <f t="shared" si="714"/>
        <v>0</v>
      </c>
      <c r="DK62" s="1147">
        <f t="shared" si="216"/>
        <v>270333.332</v>
      </c>
      <c r="DL62" s="1091" t="str">
        <f t="shared" si="593"/>
        <v/>
      </c>
      <c r="DM62" s="1091">
        <f t="shared" si="715"/>
        <v>0.1805155802</v>
      </c>
      <c r="DN62" s="1147">
        <f t="shared" si="219"/>
        <v>210041.666</v>
      </c>
      <c r="DO62" s="1091">
        <f t="shared" si="594"/>
        <v>0.6177696059</v>
      </c>
      <c r="DP62" s="1091">
        <f t="shared" si="716"/>
        <v>0.2268919268</v>
      </c>
      <c r="DQ62" s="1147">
        <f t="shared" si="73"/>
        <v>210041.666</v>
      </c>
      <c r="DR62" s="1091" t="str">
        <f t="shared" si="74"/>
        <v/>
      </c>
      <c r="DS62" s="1147">
        <f t="shared" si="75"/>
        <v>-60291.666</v>
      </c>
      <c r="DT62" s="1091">
        <f t="shared" si="76"/>
        <v>-0.2230271256</v>
      </c>
      <c r="DU62" s="1146">
        <f>SUMIFS(BP_SOTIEN,BP_THANG,DU$2,BP_KM,$E62)/1000</f>
        <v>0</v>
      </c>
      <c r="DV62" s="1091" t="str">
        <f t="shared" si="595"/>
        <v/>
      </c>
      <c r="DW62" s="1091"/>
      <c r="DX62" s="1147">
        <f>IF(NOW()&gt;=DATE(YEAR(DU$2),MONTH(DU$2)+1,DAY(DU$2)),SUMIFS(TF_SOTIEN,TF_THANG,DU$2,TF_KM,$E62)/1000, EA62)</f>
        <v>0</v>
      </c>
      <c r="DY62" s="1091" t="str">
        <f t="shared" si="596"/>
        <v/>
      </c>
      <c r="DZ62" s="1091"/>
      <c r="EA62" s="1147">
        <f>IF(NOW()&gt;=DATE(YEAR(DU$2),MONTH(DU$2)+1,DAY(DU$2)),SUMIFS(AC_SOTIEN,AC_THANG,DU$2,AC_KM,$E62),SUMIFS(TF_SOTIEN,TF_THANG,DU$2,TF_KM,$E62))/ 1000</f>
        <v>0</v>
      </c>
      <c r="EB62" s="1091" t="str">
        <f t="shared" si="597"/>
        <v/>
      </c>
      <c r="EC62" s="1091" t="str">
        <f t="shared" si="717"/>
        <v/>
      </c>
      <c r="ED62" s="1147">
        <f t="shared" si="80"/>
        <v>0</v>
      </c>
      <c r="EE62" s="1091" t="str">
        <f t="shared" si="81"/>
        <v/>
      </c>
      <c r="EF62" s="1147">
        <f t="shared" si="82"/>
        <v>0</v>
      </c>
      <c r="EG62" s="1091" t="str">
        <f t="shared" si="83"/>
        <v/>
      </c>
      <c r="EH62" s="1146">
        <f>SUMIFS(BP_SOTIEN,BP_THANG,EH$2,BP_KM,$E62)/1000</f>
        <v>0</v>
      </c>
      <c r="EI62" s="1091" t="str">
        <f t="shared" si="598"/>
        <v/>
      </c>
      <c r="EJ62" s="1091"/>
      <c r="EK62" s="1147">
        <f>IF(NOW()&gt;=DATE(YEAR(EH$2),MONTH(EH$2)+1,DAY(EH$2)),SUMIFS(TF_SOTIEN,TF_THANG,EH$2,TF_KM,$E62)/1000, EN62)</f>
        <v>0</v>
      </c>
      <c r="EL62" s="1091" t="str">
        <f t="shared" si="599"/>
        <v/>
      </c>
      <c r="EM62" s="1091"/>
      <c r="EN62" s="1147">
        <f>IF(NOW()&gt;=DATE(YEAR(EH$2),MONTH(EH$2)+1,DAY(EH$2)),SUMIFS(AC_SOTIEN,AC_THANG,EH$2,AC_KM,$E62),SUMIFS(TF_SOTIEN,TF_THANG,EH$2,TF_KM,$E62))/ 1000</f>
        <v>0</v>
      </c>
      <c r="EO62" s="1091" t="str">
        <f t="shared" si="600"/>
        <v/>
      </c>
      <c r="EP62" s="1091" t="str">
        <f t="shared" si="718"/>
        <v/>
      </c>
      <c r="EQ62" s="1147">
        <f t="shared" si="87"/>
        <v>0</v>
      </c>
      <c r="ER62" s="1091" t="str">
        <f t="shared" si="88"/>
        <v/>
      </c>
      <c r="ES62" s="1147">
        <f t="shared" si="89"/>
        <v>0</v>
      </c>
      <c r="ET62" s="1091" t="str">
        <f t="shared" si="90"/>
        <v/>
      </c>
      <c r="EU62" s="1146">
        <f>SUMIFS(BP_SOTIEN,BP_THANG,EU$2,BP_KM,$E62)/1000</f>
        <v>0</v>
      </c>
      <c r="EV62" s="1091" t="str">
        <f t="shared" si="601"/>
        <v/>
      </c>
      <c r="EW62" s="1091"/>
      <c r="EX62" s="1147">
        <f>IF(NOW()&gt;=DATE(YEAR(EU$2),MONTH(EU$2)+1,DAY(EU$2)),SUMIFS(TF_SOTIEN,TF_THANG,EU$2,TF_KM,$E62)/1000, FA62)</f>
        <v>0</v>
      </c>
      <c r="EY62" s="1091" t="str">
        <f t="shared" si="602"/>
        <v/>
      </c>
      <c r="EZ62" s="1091"/>
      <c r="FA62" s="1147">
        <f>IF(NOW()&gt;=DATE(YEAR(EU$2),MONTH(EU$2)+1,DAY(EU$2)),SUMIFS(AC_SOTIEN,AC_THANG,EU$2,AC_KM,$E62),SUMIFS(TF_SOTIEN,TF_THANG,EU$2,TF_KM,$E62))/ 1000</f>
        <v>0</v>
      </c>
      <c r="FB62" s="1091" t="str">
        <f t="shared" si="603"/>
        <v/>
      </c>
      <c r="FC62" s="1091" t="str">
        <f t="shared" si="719"/>
        <v/>
      </c>
      <c r="FD62" s="1147">
        <f t="shared" si="94"/>
        <v>0</v>
      </c>
      <c r="FE62" s="1091" t="str">
        <f t="shared" si="95"/>
        <v/>
      </c>
      <c r="FF62" s="1147">
        <f t="shared" si="96"/>
        <v>0</v>
      </c>
      <c r="FG62" s="1091" t="str">
        <f t="shared" si="97"/>
        <v/>
      </c>
      <c r="FH62" s="1146">
        <f t="shared" si="698"/>
        <v>0</v>
      </c>
      <c r="FI62" s="1091" t="str">
        <f t="shared" si="604"/>
        <v/>
      </c>
      <c r="FJ62" s="1091">
        <f t="shared" si="720"/>
        <v>0</v>
      </c>
      <c r="FK62" s="1147">
        <f t="shared" si="243"/>
        <v>0</v>
      </c>
      <c r="FL62" s="1091" t="str">
        <f t="shared" si="605"/>
        <v/>
      </c>
      <c r="FM62" s="1091">
        <f t="shared" si="721"/>
        <v>0</v>
      </c>
      <c r="FN62" s="1147">
        <f t="shared" si="246"/>
        <v>0</v>
      </c>
      <c r="FO62" s="1091" t="str">
        <f t="shared" si="606"/>
        <v/>
      </c>
      <c r="FP62" s="1091" t="str">
        <f t="shared" si="722"/>
        <v/>
      </c>
      <c r="FQ62" s="1147">
        <f t="shared" si="104"/>
        <v>0</v>
      </c>
      <c r="FR62" s="1091" t="str">
        <f t="shared" si="105"/>
        <v/>
      </c>
      <c r="FS62" s="1147">
        <f t="shared" si="106"/>
        <v>0</v>
      </c>
      <c r="FT62" s="1091" t="str">
        <f t="shared" si="107"/>
        <v/>
      </c>
      <c r="FU62" s="1146">
        <f>SUMIFS(BP_SOTIEN,BP_THANG,FU$2,BP_KM,$E62)/1000</f>
        <v>0</v>
      </c>
      <c r="FV62" s="1091" t="str">
        <f t="shared" si="607"/>
        <v/>
      </c>
      <c r="FW62" s="1091"/>
      <c r="FX62" s="1147">
        <f>IF(NOW()&gt;=DATE(YEAR(FU$2),MONTH(FU$2)+1,DAY(FU$2)),SUMIFS(TF_SOTIEN,TF_THANG,FU$2,TF_KM,$E62)/1000, GA62)</f>
        <v>0</v>
      </c>
      <c r="FY62" s="1091" t="str">
        <f t="shared" si="608"/>
        <v/>
      </c>
      <c r="FZ62" s="1091"/>
      <c r="GA62" s="1147">
        <f>IF(NOW()&gt;=DATE(YEAR(FU$2),MONTH(FU$2)+1,DAY(FU$2)),SUMIFS(AC_SOTIEN,AC_THANG,FU$2,AC_KM,$E62),SUMIFS(TF_SOTIEN,TF_THANG,FU$2,TF_KM,$E62))/ 1000</f>
        <v>0</v>
      </c>
      <c r="GB62" s="1091" t="str">
        <f t="shared" si="609"/>
        <v/>
      </c>
      <c r="GC62" s="1091" t="str">
        <f t="shared" si="723"/>
        <v/>
      </c>
      <c r="GD62" s="1147">
        <f t="shared" si="111"/>
        <v>0</v>
      </c>
      <c r="GE62" s="1091" t="str">
        <f t="shared" si="112"/>
        <v/>
      </c>
      <c r="GF62" s="1147">
        <f t="shared" si="113"/>
        <v>0</v>
      </c>
      <c r="GG62" s="1091" t="str">
        <f t="shared" si="114"/>
        <v/>
      </c>
      <c r="GH62" s="1146">
        <f>SUMIFS(BP_SOTIEN,BP_THANG,GH$2,BP_KM,$E62)/1000</f>
        <v>0</v>
      </c>
      <c r="GI62" s="1091" t="str">
        <f t="shared" si="610"/>
        <v/>
      </c>
      <c r="GJ62" s="1091"/>
      <c r="GK62" s="1147">
        <f>IF(NOW()&gt;=DATE(YEAR(GH$2),MONTH(GH$2)+1,DAY(GH$2)),SUMIFS(TF_SOTIEN,TF_THANG,GH$2,TF_KM,$E62)/1000, GN62)</f>
        <v>0</v>
      </c>
      <c r="GL62" s="1091" t="str">
        <f t="shared" si="611"/>
        <v/>
      </c>
      <c r="GM62" s="1091"/>
      <c r="GN62" s="1147">
        <f>IF(NOW()&gt;=DATE(YEAR(GH$2),MONTH(GH$2)+1,DAY(GH$2)),SUMIFS(AC_SOTIEN,AC_THANG,GH$2,AC_KM,$E62),SUMIFS(TF_SOTIEN,TF_THANG,GH$2,TF_KM,$E62))/ 1000</f>
        <v>0</v>
      </c>
      <c r="GO62" s="1091" t="str">
        <f t="shared" si="612"/>
        <v/>
      </c>
      <c r="GP62" s="1091" t="str">
        <f t="shared" si="724"/>
        <v/>
      </c>
      <c r="GQ62" s="1147">
        <f t="shared" si="118"/>
        <v>0</v>
      </c>
      <c r="GR62" s="1091" t="str">
        <f t="shared" si="119"/>
        <v/>
      </c>
      <c r="GS62" s="1147">
        <f t="shared" si="120"/>
        <v>0</v>
      </c>
      <c r="GT62" s="1091" t="str">
        <f t="shared" si="121"/>
        <v/>
      </c>
      <c r="GU62" s="1146">
        <f>SUMIFS(BP_SOTIEN,BP_THANG,GU$2,BP_KM,$E62)/1000</f>
        <v>0</v>
      </c>
      <c r="GV62" s="1091" t="str">
        <f t="shared" si="613"/>
        <v/>
      </c>
      <c r="GW62" s="1091"/>
      <c r="GX62" s="1147">
        <f>IF(NOW()&gt;=DATE(YEAR(GU$2),MONTH(GU$2)+1,DAY(GU$2)),SUMIFS(TF_SOTIEN,TF_THANG,GU$2,TF_KM,$E62)/1000, HA62)</f>
        <v>0</v>
      </c>
      <c r="GY62" s="1091" t="str">
        <f t="shared" si="614"/>
        <v/>
      </c>
      <c r="GZ62" s="1091"/>
      <c r="HA62" s="1147">
        <f>IF(NOW()&gt;=DATE(YEAR(GU$2),MONTH(GU$2)+1,DAY(GU$2)),SUMIFS(AC_SOTIEN,AC_THANG,GU$2,AC_KM,$E62),SUMIFS(TF_SOTIEN,TF_THANG,GU$2,TF_KM,$E62))/ 1000</f>
        <v>0</v>
      </c>
      <c r="HB62" s="1091" t="str">
        <f t="shared" si="615"/>
        <v/>
      </c>
      <c r="HC62" s="1091" t="str">
        <f t="shared" si="725"/>
        <v/>
      </c>
      <c r="HD62" s="1147">
        <f t="shared" si="125"/>
        <v>0</v>
      </c>
      <c r="HE62" s="1091" t="str">
        <f t="shared" si="126"/>
        <v/>
      </c>
      <c r="HF62" s="1147">
        <f t="shared" si="127"/>
        <v>0</v>
      </c>
      <c r="HG62" s="1091" t="str">
        <f t="shared" si="128"/>
        <v/>
      </c>
      <c r="HH62" s="1146">
        <f t="shared" si="699"/>
        <v>0</v>
      </c>
      <c r="HI62" s="1091" t="str">
        <f t="shared" si="616"/>
        <v/>
      </c>
      <c r="HJ62" s="1091">
        <f t="shared" si="726"/>
        <v>0</v>
      </c>
      <c r="HK62" s="1147">
        <f t="shared" si="270"/>
        <v>0</v>
      </c>
      <c r="HL62" s="1091" t="str">
        <f t="shared" si="617"/>
        <v/>
      </c>
      <c r="HM62" s="1091">
        <f t="shared" si="727"/>
        <v>0</v>
      </c>
      <c r="HN62" s="1147">
        <f t="shared" si="273"/>
        <v>0</v>
      </c>
      <c r="HO62" s="1091" t="str">
        <f t="shared" si="618"/>
        <v/>
      </c>
      <c r="HP62" s="1091" t="str">
        <f t="shared" si="728"/>
        <v/>
      </c>
      <c r="HQ62" s="1147">
        <f t="shared" si="135"/>
        <v>0</v>
      </c>
      <c r="HR62" s="1091" t="str">
        <f t="shared" si="136"/>
        <v/>
      </c>
      <c r="HS62" s="1147">
        <f t="shared" si="137"/>
        <v>0</v>
      </c>
      <c r="HT62" s="1091" t="str">
        <f t="shared" si="138"/>
        <v/>
      </c>
      <c r="HU62" s="1146">
        <f t="shared" si="700"/>
        <v>0</v>
      </c>
      <c r="HV62" s="1091" t="str">
        <f t="shared" si="619"/>
        <v/>
      </c>
      <c r="HW62" s="1091">
        <f t="shared" si="729"/>
        <v>0</v>
      </c>
      <c r="HX62" s="1147">
        <f t="shared" si="279"/>
        <v>0</v>
      </c>
      <c r="HY62" s="1091" t="str">
        <f t="shared" si="620"/>
        <v/>
      </c>
      <c r="HZ62" s="1091">
        <f t="shared" si="730"/>
        <v>0</v>
      </c>
      <c r="IA62" s="1147">
        <f t="shared" si="282"/>
        <v>0</v>
      </c>
      <c r="IB62" s="1091" t="str">
        <f t="shared" si="621"/>
        <v/>
      </c>
      <c r="IC62" s="1091" t="str">
        <f t="shared" si="731"/>
        <v/>
      </c>
      <c r="ID62" s="1147">
        <f t="shared" si="145"/>
        <v>0</v>
      </c>
      <c r="IE62" s="1091" t="str">
        <f t="shared" si="146"/>
        <v/>
      </c>
      <c r="IF62" s="1147">
        <f t="shared" si="147"/>
        <v>0</v>
      </c>
      <c r="IG62" s="1091" t="str">
        <f t="shared" si="148"/>
        <v/>
      </c>
      <c r="IH62" s="1146">
        <f t="shared" si="701"/>
        <v>0</v>
      </c>
      <c r="II62" s="1091" t="str">
        <f t="shared" si="622"/>
        <v/>
      </c>
      <c r="IJ62" s="1091">
        <f t="shared" si="732"/>
        <v>0</v>
      </c>
      <c r="IK62" s="1147">
        <f t="shared" si="288"/>
        <v>270333.332</v>
      </c>
      <c r="IL62" s="1091" t="str">
        <f t="shared" si="623"/>
        <v/>
      </c>
      <c r="IM62" s="1091">
        <f t="shared" si="733"/>
        <v>0.07033087318</v>
      </c>
      <c r="IN62" s="1147">
        <f t="shared" si="291"/>
        <v>210041.666</v>
      </c>
      <c r="IO62" s="1091">
        <f t="shared" si="624"/>
        <v>0.6177696059</v>
      </c>
      <c r="IP62" s="1091">
        <f t="shared" si="734"/>
        <v>0.2268919268</v>
      </c>
      <c r="IQ62" s="1147">
        <f t="shared" si="155"/>
        <v>210041.666</v>
      </c>
      <c r="IR62" s="1091" t="str">
        <f t="shared" si="1"/>
        <v/>
      </c>
      <c r="IS62" s="1147">
        <f t="shared" si="156"/>
        <v>-60291.666</v>
      </c>
      <c r="IT62" s="1091">
        <f t="shared" si="2"/>
        <v>-0.2230271256</v>
      </c>
    </row>
    <row r="63" hidden="1" outlineLevel="1">
      <c r="A63" s="737"/>
      <c r="B63" s="737"/>
      <c r="C63" s="737"/>
      <c r="D63" s="737" t="s">
        <v>2847</v>
      </c>
      <c r="E63" s="737" t="s">
        <v>267</v>
      </c>
      <c r="F63" s="737"/>
      <c r="G63" s="748">
        <v>3.0</v>
      </c>
      <c r="H63" s="1146">
        <f>SUMIFS(BP_SOTIEN,BP_THANG,H$2,BP_KM,$E63)/1000</f>
        <v>318400</v>
      </c>
      <c r="I63" s="1091" t="str">
        <f t="shared" si="566"/>
        <v/>
      </c>
      <c r="J63" s="1091"/>
      <c r="K63" s="1147">
        <f>IF(NOW()&gt;=DATE(YEAR(H$2),MONTH(H$2)+1,DAY(H$2)),SUMIFS(TF_SOTIEN,TF_THANG,H$2,TF_KM,$E63)/1000, N63)</f>
        <v>318400</v>
      </c>
      <c r="L63" s="1091" t="str">
        <f t="shared" si="567"/>
        <v/>
      </c>
      <c r="M63" s="1091"/>
      <c r="N63" s="1147">
        <f>IF(NOW()&gt;=DATE(YEAR(H$2),MONTH(H$2)+1,DAY(H$2)),SUMIFS(AC_SOTIEN,AC_THANG,H$2,AC_KM,$E63),SUMIFS(TF_SOTIEN,TF_THANG,H$2,TF_KM,$E63))/ 1000</f>
        <v>32253.671</v>
      </c>
      <c r="O63" s="1091">
        <f t="shared" si="568"/>
        <v>0.09486373824</v>
      </c>
      <c r="P63" s="1091">
        <f t="shared" si="702"/>
        <v>0.2860421331</v>
      </c>
      <c r="Q63" s="1147">
        <f t="shared" si="8"/>
        <v>-286146.329</v>
      </c>
      <c r="R63" s="1091">
        <f t="shared" si="9"/>
        <v>-0.898700782</v>
      </c>
      <c r="S63" s="1147">
        <f t="shared" si="10"/>
        <v>-286146.329</v>
      </c>
      <c r="T63" s="1091">
        <f t="shared" si="11"/>
        <v>-0.898700782</v>
      </c>
      <c r="U63" s="1146">
        <f>SUMIFS(BP_SOTIEN,BP_THANG,U$2,BP_KM,$E63)/1000</f>
        <v>318400</v>
      </c>
      <c r="V63" s="1091" t="str">
        <f t="shared" si="569"/>
        <v/>
      </c>
      <c r="W63" s="1091"/>
      <c r="X63" s="1147">
        <f>IF(NOW()&gt;=DATE(YEAR(U$2),MONTH(U$2)+1,DAY(U$2)),SUMIFS(TF_SOTIEN,TF_THANG,U$2,TF_KM,$E63)/1000, AA63)</f>
        <v>65818.007</v>
      </c>
      <c r="Y63" s="1091" t="str">
        <f t="shared" si="570"/>
        <v/>
      </c>
      <c r="Z63" s="1091"/>
      <c r="AA63" s="1147">
        <f>IF(NOW()&gt;=DATE(YEAR(U$2),MONTH(U$2)+1,DAY(U$2)),SUMIFS(AC_SOTIEN,AC_THANG,U$2,AC_KM,$E63),SUMIFS(TF_SOTIEN,TF_THANG,U$2,TF_KM,$E63))/ 1000</f>
        <v>63054.477</v>
      </c>
      <c r="AB63" s="1091" t="str">
        <f t="shared" si="571"/>
        <v/>
      </c>
      <c r="AC63" s="1091">
        <f t="shared" si="703"/>
        <v>0.4375931962</v>
      </c>
      <c r="AD63" s="1147">
        <f t="shared" si="15"/>
        <v>-255345.523</v>
      </c>
      <c r="AE63" s="1091">
        <f t="shared" si="16"/>
        <v>-0.8019645823</v>
      </c>
      <c r="AF63" s="1147">
        <f t="shared" si="17"/>
        <v>-2763.53</v>
      </c>
      <c r="AG63" s="1091">
        <f t="shared" si="18"/>
        <v>-0.04198744578</v>
      </c>
      <c r="AH63" s="1146">
        <f>SUMIFS(BP_SOTIEN,BP_THANG,AH$2,BP_KM,$E63)/1000</f>
        <v>318400</v>
      </c>
      <c r="AI63" s="1091" t="str">
        <f t="shared" si="572"/>
        <v/>
      </c>
      <c r="AJ63" s="1091"/>
      <c r="AK63" s="1147">
        <f>IF(NOW()&gt;=DATE(YEAR(AH$2),MONTH(AH$2)+1,DAY(AH$2)),SUMIFS(TF_SOTIEN,TF_THANG,AH$2,TF_KM,$E63)/1000, AN63)</f>
        <v>65818.007</v>
      </c>
      <c r="AL63" s="1091" t="str">
        <f t="shared" si="573"/>
        <v/>
      </c>
      <c r="AM63" s="1091"/>
      <c r="AN63" s="1147">
        <f>IF(NOW()&gt;=DATE(YEAR(AH$2),MONTH(AH$2)+1,DAY(AH$2)),SUMIFS(AC_SOTIEN,AC_THANG,AH$2,AC_KM,$E63),SUMIFS(TF_SOTIEN,TF_THANG,AH$2,TF_KM,$E63))/ 1000</f>
        <v>92528.996</v>
      </c>
      <c r="AO63" s="1091" t="str">
        <f t="shared" si="574"/>
        <v/>
      </c>
      <c r="AP63" s="1091">
        <f t="shared" si="704"/>
        <v>0.4487130413</v>
      </c>
      <c r="AQ63" s="1147">
        <f t="shared" si="22"/>
        <v>-225871.004</v>
      </c>
      <c r="AR63" s="1091">
        <f t="shared" si="23"/>
        <v>-0.7093938568</v>
      </c>
      <c r="AS63" s="1147">
        <f t="shared" si="24"/>
        <v>26710.989</v>
      </c>
      <c r="AT63" s="1091">
        <f t="shared" si="25"/>
        <v>0.4058310213</v>
      </c>
      <c r="AU63" s="1146">
        <f t="shared" si="691"/>
        <v>955200</v>
      </c>
      <c r="AV63" s="1091" t="str">
        <f t="shared" si="575"/>
        <v/>
      </c>
      <c r="AW63" s="1091">
        <f t="shared" si="705"/>
        <v>0.8036466983</v>
      </c>
      <c r="AX63" s="1147">
        <f t="shared" si="692"/>
        <v>450036.014</v>
      </c>
      <c r="AY63" s="1091" t="str">
        <f t="shared" si="576"/>
        <v/>
      </c>
      <c r="AZ63" s="1091">
        <f t="shared" si="706"/>
        <v>0.6427570752</v>
      </c>
      <c r="BA63" s="1147">
        <f t="shared" si="693"/>
        <v>187837.144</v>
      </c>
      <c r="BB63" s="1091">
        <f t="shared" si="577"/>
        <v>0.5524621882</v>
      </c>
      <c r="BC63" s="1091">
        <f t="shared" si="707"/>
        <v>0.4056414405</v>
      </c>
      <c r="BD63" s="1147">
        <f t="shared" si="32"/>
        <v>-767362.856</v>
      </c>
      <c r="BE63" s="1091">
        <f t="shared" si="33"/>
        <v>-0.8033530737</v>
      </c>
      <c r="BF63" s="1147">
        <f t="shared" si="34"/>
        <v>-262198.87</v>
      </c>
      <c r="BG63" s="1091">
        <f t="shared" si="35"/>
        <v>-0.582617528</v>
      </c>
      <c r="BH63" s="1146">
        <f>SUMIFS(BP_SOTIEN,BP_THANG,BH$2,BP_KM,$E63)/1000</f>
        <v>318400</v>
      </c>
      <c r="BI63" s="1091" t="str">
        <f t="shared" si="578"/>
        <v/>
      </c>
      <c r="BJ63" s="1091"/>
      <c r="BK63" s="1147">
        <f>IF(NOW()&gt;=DATE(YEAR(BH$2),MONTH(BH$2)+1,DAY(BH$2)),SUMIFS(TF_SOTIEN,TF_THANG,BH$2,TF_KM,$E63)/1000, BN63)</f>
        <v>124068.007</v>
      </c>
      <c r="BL63" s="1091" t="str">
        <f t="shared" si="579"/>
        <v/>
      </c>
      <c r="BM63" s="1091"/>
      <c r="BN63" s="1147">
        <f>IF(NOW()&gt;=DATE(YEAR(BH$2),MONTH(BH$2)+1,DAY(BH$2)),SUMIFS(AC_SOTIEN,AC_THANG,BH$2,AC_KM,$E63),SUMIFS(TF_SOTIEN,TF_THANG,BH$2,TF_KM,$E63))/ 1000</f>
        <v>61778.846</v>
      </c>
      <c r="BO63" s="1091" t="str">
        <f t="shared" si="580"/>
        <v/>
      </c>
      <c r="BP63" s="1091">
        <f t="shared" si="708"/>
        <v>0.2914261358</v>
      </c>
      <c r="BQ63" s="1147">
        <f t="shared" si="39"/>
        <v>-256621.154</v>
      </c>
      <c r="BR63" s="1091">
        <f t="shared" si="40"/>
        <v>-0.8059709611</v>
      </c>
      <c r="BS63" s="1147">
        <f t="shared" si="41"/>
        <v>-62289.161</v>
      </c>
      <c r="BT63" s="1091">
        <f t="shared" si="42"/>
        <v>-0.5020565938</v>
      </c>
      <c r="BU63" s="1146">
        <f>SUMIFS(BP_SOTIEN,BP_THANG,BU$2,BP_KM,$E63)/1000</f>
        <v>318400</v>
      </c>
      <c r="BV63" s="1091" t="str">
        <f t="shared" si="581"/>
        <v/>
      </c>
      <c r="BW63" s="1091"/>
      <c r="BX63" s="1147">
        <f>IF(NOW()&gt;=DATE(YEAR(BU$2),MONTH(BU$2)+1,DAY(BU$2)),SUMIFS(TF_SOTIEN,TF_THANG,BU$2,TF_KM,$E63)/1000, CA63)</f>
        <v>109745</v>
      </c>
      <c r="BY63" s="1091" t="str">
        <f t="shared" si="582"/>
        <v/>
      </c>
      <c r="BZ63" s="1091"/>
      <c r="CA63" s="1147">
        <f>IF(NOW()&gt;=DATE(YEAR(BU$2),MONTH(BU$2)+1,DAY(BU$2)),SUMIFS(AC_SOTIEN,AC_THANG,BU$2,AC_KM,$E63),SUMIFS(TF_SOTIEN,TF_THANG,BU$2,TF_KM,$E63))/ 1000</f>
        <v>110960.768</v>
      </c>
      <c r="CB63" s="1091" t="str">
        <f t="shared" si="583"/>
        <v/>
      </c>
      <c r="CC63" s="1091">
        <f t="shared" si="709"/>
        <v>0.4426313368</v>
      </c>
      <c r="CD63" s="1147">
        <f t="shared" si="46"/>
        <v>-207439.232</v>
      </c>
      <c r="CE63" s="1091">
        <f t="shared" si="47"/>
        <v>-0.6515051256</v>
      </c>
      <c r="CF63" s="1147">
        <f t="shared" si="48"/>
        <v>1215.768</v>
      </c>
      <c r="CG63" s="1091">
        <f t="shared" si="49"/>
        <v>0.01107811745</v>
      </c>
      <c r="CH63" s="1146">
        <f>SUMIFS(BP_SOTIEN,BP_THANG,CH$2,BP_KM,$E63)/1000</f>
        <v>318400</v>
      </c>
      <c r="CI63" s="1091" t="str">
        <f t="shared" si="584"/>
        <v/>
      </c>
      <c r="CJ63" s="1091"/>
      <c r="CK63" s="1147">
        <f>IF(NOW()&gt;=DATE(YEAR(CH$2),MONTH(CH$2)+1,DAY(CH$2)),SUMIFS(TF_SOTIEN,TF_THANG,CH$2,TF_KM,$E63)/1000, CN63)</f>
        <v>109000</v>
      </c>
      <c r="CL63" s="1091" t="str">
        <f t="shared" si="585"/>
        <v/>
      </c>
      <c r="CM63" s="1091"/>
      <c r="CN63" s="1147">
        <f>IF(NOW()&gt;=DATE(YEAR(CH$2),MONTH(CH$2)+1,DAY(CH$2)),SUMIFS(AC_SOTIEN,AC_THANG,CH$2,AC_KM,$E63),SUMIFS(TF_SOTIEN,TF_THANG,CH$2,TF_KM,$E63))/ 1000</f>
        <v>0</v>
      </c>
      <c r="CO63" s="1091" t="str">
        <f t="shared" si="586"/>
        <v/>
      </c>
      <c r="CP63" s="1091" t="str">
        <f t="shared" si="710"/>
        <v/>
      </c>
      <c r="CQ63" s="1147">
        <f t="shared" si="53"/>
        <v>-318400</v>
      </c>
      <c r="CR63" s="1091">
        <f t="shared" si="54"/>
        <v>-1</v>
      </c>
      <c r="CS63" s="1147">
        <f t="shared" si="55"/>
        <v>-109000</v>
      </c>
      <c r="CT63" s="1091">
        <f t="shared" si="56"/>
        <v>-1</v>
      </c>
      <c r="CU63" s="1146">
        <f t="shared" si="694"/>
        <v>955200</v>
      </c>
      <c r="CV63" s="1091" t="str">
        <f t="shared" si="587"/>
        <v/>
      </c>
      <c r="CW63" s="1091">
        <f t="shared" si="711"/>
        <v>0.8113810807</v>
      </c>
      <c r="CX63" s="1147">
        <f t="shared" si="695"/>
        <v>342813.007</v>
      </c>
      <c r="CY63" s="1091" t="str">
        <f t="shared" si="589"/>
        <v/>
      </c>
      <c r="CZ63" s="1091">
        <f t="shared" si="712"/>
        <v>0.4299149252</v>
      </c>
      <c r="DA63" s="1147">
        <f t="shared" si="696"/>
        <v>172739.614</v>
      </c>
      <c r="DB63" s="1091" t="str">
        <f t="shared" si="591"/>
        <v/>
      </c>
      <c r="DC63" s="1091">
        <f t="shared" si="713"/>
        <v>0.3733518871</v>
      </c>
      <c r="DD63" s="1147">
        <f t="shared" si="63"/>
        <v>-782460.386</v>
      </c>
      <c r="DE63" s="1091">
        <f t="shared" si="64"/>
        <v>-0.8191586956</v>
      </c>
      <c r="DF63" s="1147">
        <f t="shared" si="65"/>
        <v>-170073.393</v>
      </c>
      <c r="DG63" s="1091">
        <f t="shared" si="66"/>
        <v>-0.4961112604</v>
      </c>
      <c r="DH63" s="1146">
        <f t="shared" si="697"/>
        <v>1910400</v>
      </c>
      <c r="DI63" s="1091" t="str">
        <f t="shared" si="592"/>
        <v/>
      </c>
      <c r="DJ63" s="1091">
        <f t="shared" si="714"/>
        <v>0.8074953695</v>
      </c>
      <c r="DK63" s="1147">
        <f t="shared" si="216"/>
        <v>792849.021</v>
      </c>
      <c r="DL63" s="1091" t="str">
        <f t="shared" si="593"/>
        <v/>
      </c>
      <c r="DM63" s="1091">
        <f t="shared" si="715"/>
        <v>0.5294263937</v>
      </c>
      <c r="DN63" s="1147">
        <f t="shared" si="219"/>
        <v>360576.758</v>
      </c>
      <c r="DO63" s="1091">
        <f t="shared" si="594"/>
        <v>1.060519876</v>
      </c>
      <c r="DP63" s="1091">
        <f t="shared" si="716"/>
        <v>0.3895034587</v>
      </c>
      <c r="DQ63" s="1147">
        <f t="shared" si="73"/>
        <v>-1549823.242</v>
      </c>
      <c r="DR63" s="1091">
        <f t="shared" si="74"/>
        <v>-0.8112558846</v>
      </c>
      <c r="DS63" s="1147">
        <f t="shared" si="75"/>
        <v>-432272.263</v>
      </c>
      <c r="DT63" s="1091">
        <f t="shared" si="76"/>
        <v>-0.5452138447</v>
      </c>
      <c r="DU63" s="1146">
        <f>SUMIFS(BP_SOTIEN,BP_THANG,DU$2,BP_KM,$E63)/1000</f>
        <v>318400</v>
      </c>
      <c r="DV63" s="1091" t="str">
        <f t="shared" si="595"/>
        <v/>
      </c>
      <c r="DW63" s="1091"/>
      <c r="DX63" s="1147">
        <f>IF(NOW()&gt;=DATE(YEAR(DU$2),MONTH(DU$2)+1,DAY(DU$2)),SUMIFS(TF_SOTIEN,TF_THANG,DU$2,TF_KM,$E63)/1000, EA63)</f>
        <v>318400</v>
      </c>
      <c r="DY63" s="1091" t="str">
        <f t="shared" si="596"/>
        <v/>
      </c>
      <c r="DZ63" s="1091"/>
      <c r="EA63" s="1147">
        <f>IF(NOW()&gt;=DATE(YEAR(DU$2),MONTH(DU$2)+1,DAY(DU$2)),SUMIFS(AC_SOTIEN,AC_THANG,DU$2,AC_KM,$E63),SUMIFS(TF_SOTIEN,TF_THANG,DU$2,TF_KM,$E63))/ 1000</f>
        <v>0</v>
      </c>
      <c r="EB63" s="1091" t="str">
        <f t="shared" si="597"/>
        <v/>
      </c>
      <c r="EC63" s="1091" t="str">
        <f t="shared" si="717"/>
        <v/>
      </c>
      <c r="ED63" s="1147">
        <f t="shared" si="80"/>
        <v>-318400</v>
      </c>
      <c r="EE63" s="1091">
        <f t="shared" si="81"/>
        <v>-1</v>
      </c>
      <c r="EF63" s="1147">
        <f t="shared" si="82"/>
        <v>-318400</v>
      </c>
      <c r="EG63" s="1091">
        <f t="shared" si="83"/>
        <v>-1</v>
      </c>
      <c r="EH63" s="1146">
        <f>SUMIFS(BP_SOTIEN,BP_THANG,EH$2,BP_KM,$E63)/1000</f>
        <v>318400</v>
      </c>
      <c r="EI63" s="1091" t="str">
        <f t="shared" si="598"/>
        <v/>
      </c>
      <c r="EJ63" s="1091"/>
      <c r="EK63" s="1147">
        <f>IF(NOW()&gt;=DATE(YEAR(EH$2),MONTH(EH$2)+1,DAY(EH$2)),SUMIFS(TF_SOTIEN,TF_THANG,EH$2,TF_KM,$E63)/1000, EN63)</f>
        <v>318400</v>
      </c>
      <c r="EL63" s="1091" t="str">
        <f t="shared" si="599"/>
        <v/>
      </c>
      <c r="EM63" s="1091"/>
      <c r="EN63" s="1147">
        <f>IF(NOW()&gt;=DATE(YEAR(EH$2),MONTH(EH$2)+1,DAY(EH$2)),SUMIFS(AC_SOTIEN,AC_THANG,EH$2,AC_KM,$E63),SUMIFS(TF_SOTIEN,TF_THANG,EH$2,TF_KM,$E63))/ 1000</f>
        <v>0</v>
      </c>
      <c r="EO63" s="1091" t="str">
        <f t="shared" si="600"/>
        <v/>
      </c>
      <c r="EP63" s="1091" t="str">
        <f t="shared" si="718"/>
        <v/>
      </c>
      <c r="EQ63" s="1147">
        <f t="shared" si="87"/>
        <v>-318400</v>
      </c>
      <c r="ER63" s="1091">
        <f t="shared" si="88"/>
        <v>-1</v>
      </c>
      <c r="ES63" s="1147">
        <f t="shared" si="89"/>
        <v>-318400</v>
      </c>
      <c r="ET63" s="1091">
        <f t="shared" si="90"/>
        <v>-1</v>
      </c>
      <c r="EU63" s="1146">
        <f>SUMIFS(BP_SOTIEN,BP_THANG,EU$2,BP_KM,$E63)/1000</f>
        <v>318400</v>
      </c>
      <c r="EV63" s="1091" t="str">
        <f t="shared" si="601"/>
        <v/>
      </c>
      <c r="EW63" s="1091"/>
      <c r="EX63" s="1147">
        <f>IF(NOW()&gt;=DATE(YEAR(EU$2),MONTH(EU$2)+1,DAY(EU$2)),SUMIFS(TF_SOTIEN,TF_THANG,EU$2,TF_KM,$E63)/1000, FA63)</f>
        <v>318400</v>
      </c>
      <c r="EY63" s="1091" t="str">
        <f t="shared" si="602"/>
        <v/>
      </c>
      <c r="EZ63" s="1091"/>
      <c r="FA63" s="1147">
        <f>IF(NOW()&gt;=DATE(YEAR(EU$2),MONTH(EU$2)+1,DAY(EU$2)),SUMIFS(AC_SOTIEN,AC_THANG,EU$2,AC_KM,$E63),SUMIFS(TF_SOTIEN,TF_THANG,EU$2,TF_KM,$E63))/ 1000</f>
        <v>0</v>
      </c>
      <c r="FB63" s="1091" t="str">
        <f t="shared" si="603"/>
        <v/>
      </c>
      <c r="FC63" s="1091" t="str">
        <f t="shared" si="719"/>
        <v/>
      </c>
      <c r="FD63" s="1147">
        <f t="shared" si="94"/>
        <v>-318400</v>
      </c>
      <c r="FE63" s="1091">
        <f t="shared" si="95"/>
        <v>-1</v>
      </c>
      <c r="FF63" s="1147">
        <f t="shared" si="96"/>
        <v>-318400</v>
      </c>
      <c r="FG63" s="1091">
        <f t="shared" si="97"/>
        <v>-1</v>
      </c>
      <c r="FH63" s="1146">
        <f t="shared" si="698"/>
        <v>955200</v>
      </c>
      <c r="FI63" s="1091" t="str">
        <f t="shared" si="604"/>
        <v/>
      </c>
      <c r="FJ63" s="1091">
        <f t="shared" si="720"/>
        <v>0.8142618578</v>
      </c>
      <c r="FK63" s="1147">
        <f t="shared" si="243"/>
        <v>955200</v>
      </c>
      <c r="FL63" s="1091" t="str">
        <f t="shared" si="605"/>
        <v/>
      </c>
      <c r="FM63" s="1091">
        <f t="shared" si="721"/>
        <v>0.8142618578</v>
      </c>
      <c r="FN63" s="1147">
        <f t="shared" si="246"/>
        <v>0</v>
      </c>
      <c r="FO63" s="1091" t="str">
        <f t="shared" si="606"/>
        <v/>
      </c>
      <c r="FP63" s="1091" t="str">
        <f t="shared" si="722"/>
        <v/>
      </c>
      <c r="FQ63" s="1147">
        <f t="shared" si="104"/>
        <v>-955200</v>
      </c>
      <c r="FR63" s="1091">
        <f t="shared" si="105"/>
        <v>-1</v>
      </c>
      <c r="FS63" s="1147">
        <f t="shared" si="106"/>
        <v>-955200</v>
      </c>
      <c r="FT63" s="1091">
        <f t="shared" si="107"/>
        <v>-1</v>
      </c>
      <c r="FU63" s="1146">
        <f>SUMIFS(BP_SOTIEN,BP_THANG,FU$2,BP_KM,$E63)/1000</f>
        <v>318400</v>
      </c>
      <c r="FV63" s="1091" t="str">
        <f t="shared" si="607"/>
        <v/>
      </c>
      <c r="FW63" s="1091"/>
      <c r="FX63" s="1147">
        <f>IF(NOW()&gt;=DATE(YEAR(FU$2),MONTH(FU$2)+1,DAY(FU$2)),SUMIFS(TF_SOTIEN,TF_THANG,FU$2,TF_KM,$E63)/1000, GA63)</f>
        <v>318400</v>
      </c>
      <c r="FY63" s="1091" t="str">
        <f t="shared" si="608"/>
        <v/>
      </c>
      <c r="FZ63" s="1091"/>
      <c r="GA63" s="1147">
        <f>IF(NOW()&gt;=DATE(YEAR(FU$2),MONTH(FU$2)+1,DAY(FU$2)),SUMIFS(AC_SOTIEN,AC_THANG,FU$2,AC_KM,$E63),SUMIFS(TF_SOTIEN,TF_THANG,FU$2,TF_KM,$E63))/ 1000</f>
        <v>0</v>
      </c>
      <c r="GB63" s="1091" t="str">
        <f t="shared" si="609"/>
        <v/>
      </c>
      <c r="GC63" s="1091" t="str">
        <f t="shared" si="723"/>
        <v/>
      </c>
      <c r="GD63" s="1147">
        <f t="shared" si="111"/>
        <v>-318400</v>
      </c>
      <c r="GE63" s="1091">
        <f t="shared" si="112"/>
        <v>-1</v>
      </c>
      <c r="GF63" s="1147">
        <f t="shared" si="113"/>
        <v>-318400</v>
      </c>
      <c r="GG63" s="1091">
        <f t="shared" si="114"/>
        <v>-1</v>
      </c>
      <c r="GH63" s="1146">
        <f>SUMIFS(BP_SOTIEN,BP_THANG,GH$2,BP_KM,$E63)/1000</f>
        <v>318400</v>
      </c>
      <c r="GI63" s="1091" t="str">
        <f t="shared" si="610"/>
        <v/>
      </c>
      <c r="GJ63" s="1091"/>
      <c r="GK63" s="1147">
        <f>IF(NOW()&gt;=DATE(YEAR(GH$2),MONTH(GH$2)+1,DAY(GH$2)),SUMIFS(TF_SOTIEN,TF_THANG,GH$2,TF_KM,$E63)/1000, GN63)</f>
        <v>318400</v>
      </c>
      <c r="GL63" s="1091" t="str">
        <f t="shared" si="611"/>
        <v/>
      </c>
      <c r="GM63" s="1091"/>
      <c r="GN63" s="1147">
        <f>IF(NOW()&gt;=DATE(YEAR(GH$2),MONTH(GH$2)+1,DAY(GH$2)),SUMIFS(AC_SOTIEN,AC_THANG,GH$2,AC_KM,$E63),SUMIFS(TF_SOTIEN,TF_THANG,GH$2,TF_KM,$E63))/ 1000</f>
        <v>0</v>
      </c>
      <c r="GO63" s="1091" t="str">
        <f t="shared" si="612"/>
        <v/>
      </c>
      <c r="GP63" s="1091" t="str">
        <f t="shared" si="724"/>
        <v/>
      </c>
      <c r="GQ63" s="1147">
        <f t="shared" si="118"/>
        <v>-318400</v>
      </c>
      <c r="GR63" s="1091">
        <f t="shared" si="119"/>
        <v>-1</v>
      </c>
      <c r="GS63" s="1147">
        <f t="shared" si="120"/>
        <v>-318400</v>
      </c>
      <c r="GT63" s="1091">
        <f t="shared" si="121"/>
        <v>-1</v>
      </c>
      <c r="GU63" s="1146">
        <f>SUMIFS(BP_SOTIEN,BP_THANG,GU$2,BP_KM,$E63)/1000</f>
        <v>318400</v>
      </c>
      <c r="GV63" s="1091" t="str">
        <f t="shared" si="613"/>
        <v/>
      </c>
      <c r="GW63" s="1091"/>
      <c r="GX63" s="1147">
        <f>IF(NOW()&gt;=DATE(YEAR(GU$2),MONTH(GU$2)+1,DAY(GU$2)),SUMIFS(TF_SOTIEN,TF_THANG,GU$2,TF_KM,$E63)/1000, HA63)</f>
        <v>318400</v>
      </c>
      <c r="GY63" s="1091" t="str">
        <f t="shared" si="614"/>
        <v/>
      </c>
      <c r="GZ63" s="1091"/>
      <c r="HA63" s="1147">
        <f>IF(NOW()&gt;=DATE(YEAR(GU$2),MONTH(GU$2)+1,DAY(GU$2)),SUMIFS(AC_SOTIEN,AC_THANG,GU$2,AC_KM,$E63),SUMIFS(TF_SOTIEN,TF_THANG,GU$2,TF_KM,$E63))/ 1000</f>
        <v>0</v>
      </c>
      <c r="HB63" s="1091" t="str">
        <f t="shared" si="615"/>
        <v/>
      </c>
      <c r="HC63" s="1091" t="str">
        <f t="shared" si="725"/>
        <v/>
      </c>
      <c r="HD63" s="1147">
        <f t="shared" si="125"/>
        <v>-318400</v>
      </c>
      <c r="HE63" s="1091">
        <f t="shared" si="126"/>
        <v>-1</v>
      </c>
      <c r="HF63" s="1147">
        <f t="shared" si="127"/>
        <v>-318400</v>
      </c>
      <c r="HG63" s="1091">
        <f t="shared" si="128"/>
        <v>-1</v>
      </c>
      <c r="HH63" s="1146">
        <f t="shared" si="699"/>
        <v>955200</v>
      </c>
      <c r="HI63" s="1091" t="str">
        <f t="shared" si="616"/>
        <v/>
      </c>
      <c r="HJ63" s="1091">
        <f t="shared" si="726"/>
        <v>0.8142618578</v>
      </c>
      <c r="HK63" s="1147">
        <f t="shared" si="270"/>
        <v>955200</v>
      </c>
      <c r="HL63" s="1091" t="str">
        <f t="shared" si="617"/>
        <v/>
      </c>
      <c r="HM63" s="1091">
        <f t="shared" si="727"/>
        <v>0.8142618578</v>
      </c>
      <c r="HN63" s="1147">
        <f t="shared" si="273"/>
        <v>0</v>
      </c>
      <c r="HO63" s="1091" t="str">
        <f t="shared" si="618"/>
        <v/>
      </c>
      <c r="HP63" s="1091" t="str">
        <f t="shared" si="728"/>
        <v/>
      </c>
      <c r="HQ63" s="1147">
        <f t="shared" si="135"/>
        <v>-955200</v>
      </c>
      <c r="HR63" s="1091">
        <f t="shared" si="136"/>
        <v>-1</v>
      </c>
      <c r="HS63" s="1147">
        <f t="shared" si="137"/>
        <v>-955200</v>
      </c>
      <c r="HT63" s="1091">
        <f t="shared" si="138"/>
        <v>-1</v>
      </c>
      <c r="HU63" s="1146">
        <f t="shared" si="700"/>
        <v>1910400</v>
      </c>
      <c r="HV63" s="1091" t="str">
        <f t="shared" si="619"/>
        <v/>
      </c>
      <c r="HW63" s="1091">
        <f t="shared" si="729"/>
        <v>0.8142618578</v>
      </c>
      <c r="HX63" s="1147">
        <f t="shared" si="279"/>
        <v>1910400</v>
      </c>
      <c r="HY63" s="1091" t="str">
        <f t="shared" si="620"/>
        <v/>
      </c>
      <c r="HZ63" s="1091">
        <f t="shared" si="730"/>
        <v>0.8142618578</v>
      </c>
      <c r="IA63" s="1147">
        <f t="shared" si="282"/>
        <v>0</v>
      </c>
      <c r="IB63" s="1091" t="str">
        <f t="shared" si="621"/>
        <v/>
      </c>
      <c r="IC63" s="1091" t="str">
        <f t="shared" si="731"/>
        <v/>
      </c>
      <c r="ID63" s="1147">
        <f t="shared" si="145"/>
        <v>-1910400</v>
      </c>
      <c r="IE63" s="1091">
        <f t="shared" si="146"/>
        <v>-1</v>
      </c>
      <c r="IF63" s="1147">
        <f t="shared" si="147"/>
        <v>-1910400</v>
      </c>
      <c r="IG63" s="1091">
        <f t="shared" si="148"/>
        <v>-1</v>
      </c>
      <c r="IH63" s="1146">
        <f t="shared" si="701"/>
        <v>3820800</v>
      </c>
      <c r="II63" s="1091" t="str">
        <f t="shared" si="622"/>
        <v/>
      </c>
      <c r="IJ63" s="1091">
        <f t="shared" si="732"/>
        <v>0.8108644977</v>
      </c>
      <c r="IK63" s="1147">
        <f t="shared" si="288"/>
        <v>2703249.021</v>
      </c>
      <c r="IL63" s="1091" t="str">
        <f t="shared" si="623"/>
        <v/>
      </c>
      <c r="IM63" s="1091">
        <f t="shared" si="733"/>
        <v>0.7032868002</v>
      </c>
      <c r="IN63" s="1147">
        <f t="shared" si="291"/>
        <v>360576.758</v>
      </c>
      <c r="IO63" s="1091">
        <f t="shared" si="624"/>
        <v>1.060519876</v>
      </c>
      <c r="IP63" s="1091">
        <f t="shared" si="734"/>
        <v>0.3895034587</v>
      </c>
      <c r="IQ63" s="1147">
        <f t="shared" si="155"/>
        <v>-3460223.242</v>
      </c>
      <c r="IR63" s="1091">
        <f t="shared" si="1"/>
        <v>-0.9056279423</v>
      </c>
      <c r="IS63" s="1147">
        <f t="shared" si="156"/>
        <v>-2342672.263</v>
      </c>
      <c r="IT63" s="1091">
        <f t="shared" si="2"/>
        <v>-0.866613562</v>
      </c>
    </row>
    <row r="64" hidden="1" outlineLevel="1">
      <c r="A64" s="737"/>
      <c r="B64" s="737"/>
      <c r="C64" s="737"/>
      <c r="D64" s="737" t="s">
        <v>2848</v>
      </c>
      <c r="E64" s="737" t="s">
        <v>1211</v>
      </c>
      <c r="F64" s="737"/>
      <c r="G64" s="748">
        <v>3.0</v>
      </c>
      <c r="H64" s="1146">
        <f>SUMIFS(BP_SOTIEN,BP_THANG,H$2,BP_KM,$E64)/1000</f>
        <v>0</v>
      </c>
      <c r="I64" s="1091" t="str">
        <f t="shared" si="566"/>
        <v/>
      </c>
      <c r="J64" s="1091"/>
      <c r="K64" s="1147">
        <f>IF(NOW()&gt;=DATE(YEAR(H$2),MONTH(H$2)+1,DAY(H$2)),SUMIFS(TF_SOTIEN,TF_THANG,H$2,TF_KM,$E64)/1000, N64)</f>
        <v>0</v>
      </c>
      <c r="L64" s="1091" t="str">
        <f t="shared" si="567"/>
        <v/>
      </c>
      <c r="M64" s="1091"/>
      <c r="N64" s="1147">
        <f>IF(NOW()&gt;=DATE(YEAR(H$2),MONTH(H$2)+1,DAY(H$2)),SUMIFS(AC_SOTIEN,AC_THANG,H$2,AC_KM,$E64),SUMIFS(TF_SOTIEN,TF_THANG,H$2,TF_KM,$E64))/ 1000</f>
        <v>0</v>
      </c>
      <c r="O64" s="1091">
        <f t="shared" si="568"/>
        <v>0</v>
      </c>
      <c r="P64" s="1091">
        <f t="shared" si="702"/>
        <v>0</v>
      </c>
      <c r="Q64" s="1147">
        <f t="shared" si="8"/>
        <v>0</v>
      </c>
      <c r="R64" s="1091" t="str">
        <f t="shared" si="9"/>
        <v/>
      </c>
      <c r="S64" s="1147">
        <f t="shared" si="10"/>
        <v>0</v>
      </c>
      <c r="T64" s="1091" t="str">
        <f t="shared" si="11"/>
        <v/>
      </c>
      <c r="U64" s="1146">
        <f>SUMIFS(BP_SOTIEN,BP_THANG,U$2,BP_KM,$E64)/1000</f>
        <v>0</v>
      </c>
      <c r="V64" s="1091" t="str">
        <f t="shared" si="569"/>
        <v/>
      </c>
      <c r="W64" s="1091"/>
      <c r="X64" s="1147">
        <f>IF(NOW()&gt;=DATE(YEAR(U$2),MONTH(U$2)+1,DAY(U$2)),SUMIFS(TF_SOTIEN,TF_THANG,U$2,TF_KM,$E64)/1000, AA64)</f>
        <v>0</v>
      </c>
      <c r="Y64" s="1091" t="str">
        <f t="shared" si="570"/>
        <v/>
      </c>
      <c r="Z64" s="1091"/>
      <c r="AA64" s="1147">
        <f>IF(NOW()&gt;=DATE(YEAR(U$2),MONTH(U$2)+1,DAY(U$2)),SUMIFS(AC_SOTIEN,AC_THANG,U$2,AC_KM,$E64),SUMIFS(TF_SOTIEN,TF_THANG,U$2,TF_KM,$E64))/ 1000</f>
        <v>0</v>
      </c>
      <c r="AB64" s="1091" t="str">
        <f t="shared" si="571"/>
        <v/>
      </c>
      <c r="AC64" s="1091">
        <f t="shared" si="703"/>
        <v>0</v>
      </c>
      <c r="AD64" s="1147">
        <f t="shared" si="15"/>
        <v>0</v>
      </c>
      <c r="AE64" s="1091" t="str">
        <f t="shared" si="16"/>
        <v/>
      </c>
      <c r="AF64" s="1147">
        <f t="shared" si="17"/>
        <v>0</v>
      </c>
      <c r="AG64" s="1091" t="str">
        <f t="shared" si="18"/>
        <v/>
      </c>
      <c r="AH64" s="1146">
        <f>SUMIFS(BP_SOTIEN,BP_THANG,AH$2,BP_KM,$E64)/1000</f>
        <v>0</v>
      </c>
      <c r="AI64" s="1091" t="str">
        <f t="shared" si="572"/>
        <v/>
      </c>
      <c r="AJ64" s="1091"/>
      <c r="AK64" s="1147">
        <f>IF(NOW()&gt;=DATE(YEAR(AH$2),MONTH(AH$2)+1,DAY(AH$2)),SUMIFS(TF_SOTIEN,TF_THANG,AH$2,TF_KM,$E64)/1000, AN64)</f>
        <v>0</v>
      </c>
      <c r="AL64" s="1091" t="str">
        <f t="shared" si="573"/>
        <v/>
      </c>
      <c r="AM64" s="1091"/>
      <c r="AN64" s="1147">
        <f>IF(NOW()&gt;=DATE(YEAR(AH$2),MONTH(AH$2)+1,DAY(AH$2)),SUMIFS(AC_SOTIEN,AC_THANG,AH$2,AC_KM,$E64),SUMIFS(TF_SOTIEN,TF_THANG,AH$2,TF_KM,$E64))/ 1000</f>
        <v>0</v>
      </c>
      <c r="AO64" s="1091" t="str">
        <f t="shared" si="574"/>
        <v/>
      </c>
      <c r="AP64" s="1091">
        <f t="shared" si="704"/>
        <v>0</v>
      </c>
      <c r="AQ64" s="1147">
        <f t="shared" si="22"/>
        <v>0</v>
      </c>
      <c r="AR64" s="1091" t="str">
        <f t="shared" si="23"/>
        <v/>
      </c>
      <c r="AS64" s="1147">
        <f t="shared" si="24"/>
        <v>0</v>
      </c>
      <c r="AT64" s="1091" t="str">
        <f t="shared" si="25"/>
        <v/>
      </c>
      <c r="AU64" s="1146">
        <f t="shared" si="691"/>
        <v>0</v>
      </c>
      <c r="AV64" s="1091" t="str">
        <f t="shared" si="575"/>
        <v/>
      </c>
      <c r="AW64" s="1091">
        <f t="shared" si="705"/>
        <v>0</v>
      </c>
      <c r="AX64" s="1147">
        <f t="shared" si="692"/>
        <v>0</v>
      </c>
      <c r="AY64" s="1091" t="str">
        <f t="shared" si="576"/>
        <v/>
      </c>
      <c r="AZ64" s="1091">
        <f t="shared" si="706"/>
        <v>0</v>
      </c>
      <c r="BA64" s="1147">
        <f t="shared" si="693"/>
        <v>0</v>
      </c>
      <c r="BB64" s="1091">
        <f t="shared" si="577"/>
        <v>0</v>
      </c>
      <c r="BC64" s="1091">
        <f t="shared" si="707"/>
        <v>0</v>
      </c>
      <c r="BD64" s="1147">
        <f t="shared" si="32"/>
        <v>0</v>
      </c>
      <c r="BE64" s="1091" t="str">
        <f t="shared" si="33"/>
        <v/>
      </c>
      <c r="BF64" s="1147">
        <f t="shared" si="34"/>
        <v>0</v>
      </c>
      <c r="BG64" s="1091" t="str">
        <f t="shared" si="35"/>
        <v/>
      </c>
      <c r="BH64" s="1146">
        <f>SUMIFS(BP_SOTIEN,BP_THANG,BH$2,BP_KM,$E64)/1000</f>
        <v>0</v>
      </c>
      <c r="BI64" s="1091" t="str">
        <f t="shared" si="578"/>
        <v/>
      </c>
      <c r="BJ64" s="1091"/>
      <c r="BK64" s="1147">
        <f>IF(NOW()&gt;=DATE(YEAR(BH$2),MONTH(BH$2)+1,DAY(BH$2)),SUMIFS(TF_SOTIEN,TF_THANG,BH$2,TF_KM,$E64)/1000, BN64)</f>
        <v>0</v>
      </c>
      <c r="BL64" s="1091" t="str">
        <f t="shared" si="579"/>
        <v/>
      </c>
      <c r="BM64" s="1091"/>
      <c r="BN64" s="1147">
        <f>IF(NOW()&gt;=DATE(YEAR(BH$2),MONTH(BH$2)+1,DAY(BH$2)),SUMIFS(AC_SOTIEN,AC_THANG,BH$2,AC_KM,$E64),SUMIFS(TF_SOTIEN,TF_THANG,BH$2,TF_KM,$E64))/ 1000</f>
        <v>0</v>
      </c>
      <c r="BO64" s="1091" t="str">
        <f t="shared" si="580"/>
        <v/>
      </c>
      <c r="BP64" s="1091">
        <f t="shared" si="708"/>
        <v>0</v>
      </c>
      <c r="BQ64" s="1147">
        <f t="shared" si="39"/>
        <v>0</v>
      </c>
      <c r="BR64" s="1091" t="str">
        <f t="shared" si="40"/>
        <v/>
      </c>
      <c r="BS64" s="1147">
        <f t="shared" si="41"/>
        <v>0</v>
      </c>
      <c r="BT64" s="1091" t="str">
        <f t="shared" si="42"/>
        <v/>
      </c>
      <c r="BU64" s="1146">
        <f>SUMIFS(BP_SOTIEN,BP_THANG,BU$2,BP_KM,$E64)/1000</f>
        <v>0</v>
      </c>
      <c r="BV64" s="1091" t="str">
        <f t="shared" si="581"/>
        <v/>
      </c>
      <c r="BW64" s="1091"/>
      <c r="BX64" s="1147">
        <f>IF(NOW()&gt;=DATE(YEAR(BU$2),MONTH(BU$2)+1,DAY(BU$2)),SUMIFS(TF_SOTIEN,TF_THANG,BU$2,TF_KM,$E64)/1000, CA64)</f>
        <v>0</v>
      </c>
      <c r="BY64" s="1091" t="str">
        <f t="shared" si="582"/>
        <v/>
      </c>
      <c r="BZ64" s="1091"/>
      <c r="CA64" s="1147">
        <f>IF(NOW()&gt;=DATE(YEAR(BU$2),MONTH(BU$2)+1,DAY(BU$2)),SUMIFS(AC_SOTIEN,AC_THANG,BU$2,AC_KM,$E64),SUMIFS(TF_SOTIEN,TF_THANG,BU$2,TF_KM,$E64))/ 1000</f>
        <v>18000</v>
      </c>
      <c r="CB64" s="1091" t="str">
        <f t="shared" si="583"/>
        <v/>
      </c>
      <c r="CC64" s="1091">
        <f t="shared" si="709"/>
        <v>0.07180343293</v>
      </c>
      <c r="CD64" s="1147">
        <f t="shared" si="46"/>
        <v>18000</v>
      </c>
      <c r="CE64" s="1091" t="str">
        <f t="shared" si="47"/>
        <v/>
      </c>
      <c r="CF64" s="1147">
        <f t="shared" si="48"/>
        <v>18000</v>
      </c>
      <c r="CG64" s="1091" t="str">
        <f t="shared" si="49"/>
        <v/>
      </c>
      <c r="CH64" s="1146">
        <f>SUMIFS(BP_SOTIEN,BP_THANG,CH$2,BP_KM,$E64)/1000</f>
        <v>0</v>
      </c>
      <c r="CI64" s="1091" t="str">
        <f t="shared" si="584"/>
        <v/>
      </c>
      <c r="CJ64" s="1091"/>
      <c r="CK64" s="1147">
        <f>IF(NOW()&gt;=DATE(YEAR(CH$2),MONTH(CH$2)+1,DAY(CH$2)),SUMIFS(TF_SOTIEN,TF_THANG,CH$2,TF_KM,$E64)/1000, CN64)</f>
        <v>0</v>
      </c>
      <c r="CL64" s="1091" t="str">
        <f t="shared" si="585"/>
        <v/>
      </c>
      <c r="CM64" s="1091"/>
      <c r="CN64" s="1147">
        <f>IF(NOW()&gt;=DATE(YEAR(CH$2),MONTH(CH$2)+1,DAY(CH$2)),SUMIFS(AC_SOTIEN,AC_THANG,CH$2,AC_KM,$E64),SUMIFS(TF_SOTIEN,TF_THANG,CH$2,TF_KM,$E64))/ 1000</f>
        <v>0</v>
      </c>
      <c r="CO64" s="1091" t="str">
        <f t="shared" si="586"/>
        <v/>
      </c>
      <c r="CP64" s="1091" t="str">
        <f t="shared" si="710"/>
        <v/>
      </c>
      <c r="CQ64" s="1147">
        <f t="shared" si="53"/>
        <v>0</v>
      </c>
      <c r="CR64" s="1091" t="str">
        <f t="shared" si="54"/>
        <v/>
      </c>
      <c r="CS64" s="1147">
        <f t="shared" si="55"/>
        <v>0</v>
      </c>
      <c r="CT64" s="1091" t="str">
        <f t="shared" si="56"/>
        <v/>
      </c>
      <c r="CU64" s="1146">
        <f t="shared" si="694"/>
        <v>0</v>
      </c>
      <c r="CV64" s="1091" t="str">
        <f t="shared" si="587"/>
        <v/>
      </c>
      <c r="CW64" s="1091">
        <f t="shared" si="711"/>
        <v>0</v>
      </c>
      <c r="CX64" s="1147">
        <f t="shared" si="695"/>
        <v>0</v>
      </c>
      <c r="CY64" s="1091" t="str">
        <f t="shared" si="589"/>
        <v/>
      </c>
      <c r="CZ64" s="1091">
        <f t="shared" si="712"/>
        <v>0</v>
      </c>
      <c r="DA64" s="1147">
        <f t="shared" si="696"/>
        <v>18000</v>
      </c>
      <c r="DB64" s="1091" t="str">
        <f t="shared" si="591"/>
        <v/>
      </c>
      <c r="DC64" s="1091">
        <f t="shared" si="713"/>
        <v>0.03890441695</v>
      </c>
      <c r="DD64" s="1147">
        <f t="shared" si="63"/>
        <v>18000</v>
      </c>
      <c r="DE64" s="1091" t="str">
        <f t="shared" si="64"/>
        <v/>
      </c>
      <c r="DF64" s="1147">
        <f t="shared" si="65"/>
        <v>18000</v>
      </c>
      <c r="DG64" s="1091" t="str">
        <f t="shared" si="66"/>
        <v/>
      </c>
      <c r="DH64" s="1146">
        <f t="shared" si="697"/>
        <v>0</v>
      </c>
      <c r="DI64" s="1091" t="str">
        <f t="shared" si="592"/>
        <v/>
      </c>
      <c r="DJ64" s="1091">
        <f t="shared" si="714"/>
        <v>0</v>
      </c>
      <c r="DK64" s="1147">
        <f t="shared" si="216"/>
        <v>0</v>
      </c>
      <c r="DL64" s="1091" t="str">
        <f t="shared" si="593"/>
        <v/>
      </c>
      <c r="DM64" s="1091">
        <f t="shared" si="715"/>
        <v>0</v>
      </c>
      <c r="DN64" s="1147">
        <f t="shared" si="219"/>
        <v>18000</v>
      </c>
      <c r="DO64" s="1091">
        <f t="shared" si="594"/>
        <v>0.05294117647</v>
      </c>
      <c r="DP64" s="1091">
        <f t="shared" si="716"/>
        <v>0.01944402156</v>
      </c>
      <c r="DQ64" s="1147">
        <f t="shared" si="73"/>
        <v>18000</v>
      </c>
      <c r="DR64" s="1091" t="str">
        <f t="shared" si="74"/>
        <v/>
      </c>
      <c r="DS64" s="1147">
        <f t="shared" si="75"/>
        <v>18000</v>
      </c>
      <c r="DT64" s="1091" t="str">
        <f t="shared" si="76"/>
        <v/>
      </c>
      <c r="DU64" s="1146">
        <f>SUMIFS(BP_SOTIEN,BP_THANG,DU$2,BP_KM,$E64)/1000</f>
        <v>0</v>
      </c>
      <c r="DV64" s="1091" t="str">
        <f t="shared" si="595"/>
        <v/>
      </c>
      <c r="DW64" s="1091"/>
      <c r="DX64" s="1147">
        <f>IF(NOW()&gt;=DATE(YEAR(DU$2),MONTH(DU$2)+1,DAY(DU$2)),SUMIFS(TF_SOTIEN,TF_THANG,DU$2,TF_KM,$E64)/1000, EA64)</f>
        <v>0</v>
      </c>
      <c r="DY64" s="1091" t="str">
        <f t="shared" si="596"/>
        <v/>
      </c>
      <c r="DZ64" s="1091"/>
      <c r="EA64" s="1147">
        <f>IF(NOW()&gt;=DATE(YEAR(DU$2),MONTH(DU$2)+1,DAY(DU$2)),SUMIFS(AC_SOTIEN,AC_THANG,DU$2,AC_KM,$E64),SUMIFS(TF_SOTIEN,TF_THANG,DU$2,TF_KM,$E64))/ 1000</f>
        <v>0</v>
      </c>
      <c r="EB64" s="1091" t="str">
        <f t="shared" si="597"/>
        <v/>
      </c>
      <c r="EC64" s="1091" t="str">
        <f t="shared" si="717"/>
        <v/>
      </c>
      <c r="ED64" s="1147">
        <f t="shared" si="80"/>
        <v>0</v>
      </c>
      <c r="EE64" s="1091" t="str">
        <f t="shared" si="81"/>
        <v/>
      </c>
      <c r="EF64" s="1147">
        <f t="shared" si="82"/>
        <v>0</v>
      </c>
      <c r="EG64" s="1091" t="str">
        <f t="shared" si="83"/>
        <v/>
      </c>
      <c r="EH64" s="1146">
        <f>SUMIFS(BP_SOTIEN,BP_THANG,EH$2,BP_KM,$E64)/1000</f>
        <v>0</v>
      </c>
      <c r="EI64" s="1091" t="str">
        <f t="shared" si="598"/>
        <v/>
      </c>
      <c r="EJ64" s="1091"/>
      <c r="EK64" s="1147">
        <f>IF(NOW()&gt;=DATE(YEAR(EH$2),MONTH(EH$2)+1,DAY(EH$2)),SUMIFS(TF_SOTIEN,TF_THANG,EH$2,TF_KM,$E64)/1000, EN64)</f>
        <v>0</v>
      </c>
      <c r="EL64" s="1091" t="str">
        <f t="shared" si="599"/>
        <v/>
      </c>
      <c r="EM64" s="1091"/>
      <c r="EN64" s="1147">
        <f>IF(NOW()&gt;=DATE(YEAR(EH$2),MONTH(EH$2)+1,DAY(EH$2)),SUMIFS(AC_SOTIEN,AC_THANG,EH$2,AC_KM,$E64),SUMIFS(TF_SOTIEN,TF_THANG,EH$2,TF_KM,$E64))/ 1000</f>
        <v>0</v>
      </c>
      <c r="EO64" s="1091" t="str">
        <f t="shared" si="600"/>
        <v/>
      </c>
      <c r="EP64" s="1091" t="str">
        <f t="shared" si="718"/>
        <v/>
      </c>
      <c r="EQ64" s="1147">
        <f t="shared" si="87"/>
        <v>0</v>
      </c>
      <c r="ER64" s="1091" t="str">
        <f t="shared" si="88"/>
        <v/>
      </c>
      <c r="ES64" s="1147">
        <f t="shared" si="89"/>
        <v>0</v>
      </c>
      <c r="ET64" s="1091" t="str">
        <f t="shared" si="90"/>
        <v/>
      </c>
      <c r="EU64" s="1146">
        <f>SUMIFS(BP_SOTIEN,BP_THANG,EU$2,BP_KM,$E64)/1000</f>
        <v>0</v>
      </c>
      <c r="EV64" s="1091" t="str">
        <f t="shared" si="601"/>
        <v/>
      </c>
      <c r="EW64" s="1091"/>
      <c r="EX64" s="1147">
        <f>IF(NOW()&gt;=DATE(YEAR(EU$2),MONTH(EU$2)+1,DAY(EU$2)),SUMIFS(TF_SOTIEN,TF_THANG,EU$2,TF_KM,$E64)/1000, FA64)</f>
        <v>0</v>
      </c>
      <c r="EY64" s="1091" t="str">
        <f t="shared" si="602"/>
        <v/>
      </c>
      <c r="EZ64" s="1091"/>
      <c r="FA64" s="1147">
        <f>IF(NOW()&gt;=DATE(YEAR(EU$2),MONTH(EU$2)+1,DAY(EU$2)),SUMIFS(AC_SOTIEN,AC_THANG,EU$2,AC_KM,$E64),SUMIFS(TF_SOTIEN,TF_THANG,EU$2,TF_KM,$E64))/ 1000</f>
        <v>0</v>
      </c>
      <c r="FB64" s="1091" t="str">
        <f t="shared" si="603"/>
        <v/>
      </c>
      <c r="FC64" s="1091" t="str">
        <f t="shared" si="719"/>
        <v/>
      </c>
      <c r="FD64" s="1147">
        <f t="shared" si="94"/>
        <v>0</v>
      </c>
      <c r="FE64" s="1091" t="str">
        <f t="shared" si="95"/>
        <v/>
      </c>
      <c r="FF64" s="1147">
        <f t="shared" si="96"/>
        <v>0</v>
      </c>
      <c r="FG64" s="1091" t="str">
        <f t="shared" si="97"/>
        <v/>
      </c>
      <c r="FH64" s="1146">
        <f t="shared" si="698"/>
        <v>0</v>
      </c>
      <c r="FI64" s="1091" t="str">
        <f t="shared" si="604"/>
        <v/>
      </c>
      <c r="FJ64" s="1091">
        <f t="shared" si="720"/>
        <v>0</v>
      </c>
      <c r="FK64" s="1147">
        <f t="shared" si="243"/>
        <v>0</v>
      </c>
      <c r="FL64" s="1091" t="str">
        <f t="shared" si="605"/>
        <v/>
      </c>
      <c r="FM64" s="1091">
        <f t="shared" si="721"/>
        <v>0</v>
      </c>
      <c r="FN64" s="1147">
        <f t="shared" si="246"/>
        <v>0</v>
      </c>
      <c r="FO64" s="1091" t="str">
        <f t="shared" si="606"/>
        <v/>
      </c>
      <c r="FP64" s="1091" t="str">
        <f t="shared" si="722"/>
        <v/>
      </c>
      <c r="FQ64" s="1147">
        <f t="shared" si="104"/>
        <v>0</v>
      </c>
      <c r="FR64" s="1091" t="str">
        <f t="shared" si="105"/>
        <v/>
      </c>
      <c r="FS64" s="1147">
        <f t="shared" si="106"/>
        <v>0</v>
      </c>
      <c r="FT64" s="1091" t="str">
        <f t="shared" si="107"/>
        <v/>
      </c>
      <c r="FU64" s="1146">
        <f>SUMIFS(BP_SOTIEN,BP_THANG,FU$2,BP_KM,$E64)/1000</f>
        <v>0</v>
      </c>
      <c r="FV64" s="1091" t="str">
        <f t="shared" si="607"/>
        <v/>
      </c>
      <c r="FW64" s="1091"/>
      <c r="FX64" s="1147">
        <f>IF(NOW()&gt;=DATE(YEAR(FU$2),MONTH(FU$2)+1,DAY(FU$2)),SUMIFS(TF_SOTIEN,TF_THANG,FU$2,TF_KM,$E64)/1000, GA64)</f>
        <v>0</v>
      </c>
      <c r="FY64" s="1091" t="str">
        <f t="shared" si="608"/>
        <v/>
      </c>
      <c r="FZ64" s="1091"/>
      <c r="GA64" s="1147">
        <f>IF(NOW()&gt;=DATE(YEAR(FU$2),MONTH(FU$2)+1,DAY(FU$2)),SUMIFS(AC_SOTIEN,AC_THANG,FU$2,AC_KM,$E64),SUMIFS(TF_SOTIEN,TF_THANG,FU$2,TF_KM,$E64))/ 1000</f>
        <v>0</v>
      </c>
      <c r="GB64" s="1091" t="str">
        <f t="shared" si="609"/>
        <v/>
      </c>
      <c r="GC64" s="1091" t="str">
        <f t="shared" si="723"/>
        <v/>
      </c>
      <c r="GD64" s="1147">
        <f t="shared" si="111"/>
        <v>0</v>
      </c>
      <c r="GE64" s="1091" t="str">
        <f t="shared" si="112"/>
        <v/>
      </c>
      <c r="GF64" s="1147">
        <f t="shared" si="113"/>
        <v>0</v>
      </c>
      <c r="GG64" s="1091" t="str">
        <f t="shared" si="114"/>
        <v/>
      </c>
      <c r="GH64" s="1146">
        <f>SUMIFS(BP_SOTIEN,BP_THANG,GH$2,BP_KM,$E64)/1000</f>
        <v>0</v>
      </c>
      <c r="GI64" s="1091" t="str">
        <f t="shared" si="610"/>
        <v/>
      </c>
      <c r="GJ64" s="1091"/>
      <c r="GK64" s="1147">
        <f>IF(NOW()&gt;=DATE(YEAR(GH$2),MONTH(GH$2)+1,DAY(GH$2)),SUMIFS(TF_SOTIEN,TF_THANG,GH$2,TF_KM,$E64)/1000, GN64)</f>
        <v>0</v>
      </c>
      <c r="GL64" s="1091" t="str">
        <f t="shared" si="611"/>
        <v/>
      </c>
      <c r="GM64" s="1091"/>
      <c r="GN64" s="1147">
        <f>IF(NOW()&gt;=DATE(YEAR(GH$2),MONTH(GH$2)+1,DAY(GH$2)),SUMIFS(AC_SOTIEN,AC_THANG,GH$2,AC_KM,$E64),SUMIFS(TF_SOTIEN,TF_THANG,GH$2,TF_KM,$E64))/ 1000</f>
        <v>0</v>
      </c>
      <c r="GO64" s="1091" t="str">
        <f t="shared" si="612"/>
        <v/>
      </c>
      <c r="GP64" s="1091" t="str">
        <f t="shared" si="724"/>
        <v/>
      </c>
      <c r="GQ64" s="1147">
        <f t="shared" si="118"/>
        <v>0</v>
      </c>
      <c r="GR64" s="1091" t="str">
        <f t="shared" si="119"/>
        <v/>
      </c>
      <c r="GS64" s="1147">
        <f t="shared" si="120"/>
        <v>0</v>
      </c>
      <c r="GT64" s="1091" t="str">
        <f t="shared" si="121"/>
        <v/>
      </c>
      <c r="GU64" s="1146">
        <f>SUMIFS(BP_SOTIEN,BP_THANG,GU$2,BP_KM,$E64)/1000</f>
        <v>0</v>
      </c>
      <c r="GV64" s="1091" t="str">
        <f t="shared" si="613"/>
        <v/>
      </c>
      <c r="GW64" s="1091"/>
      <c r="GX64" s="1147">
        <f>IF(NOW()&gt;=DATE(YEAR(GU$2),MONTH(GU$2)+1,DAY(GU$2)),SUMIFS(TF_SOTIEN,TF_THANG,GU$2,TF_KM,$E64)/1000, HA64)</f>
        <v>0</v>
      </c>
      <c r="GY64" s="1091" t="str">
        <f t="shared" si="614"/>
        <v/>
      </c>
      <c r="GZ64" s="1091"/>
      <c r="HA64" s="1147">
        <f>IF(NOW()&gt;=DATE(YEAR(GU$2),MONTH(GU$2)+1,DAY(GU$2)),SUMIFS(AC_SOTIEN,AC_THANG,GU$2,AC_KM,$E64),SUMIFS(TF_SOTIEN,TF_THANG,GU$2,TF_KM,$E64))/ 1000</f>
        <v>0</v>
      </c>
      <c r="HB64" s="1091" t="str">
        <f t="shared" si="615"/>
        <v/>
      </c>
      <c r="HC64" s="1091" t="str">
        <f t="shared" si="725"/>
        <v/>
      </c>
      <c r="HD64" s="1147">
        <f t="shared" si="125"/>
        <v>0</v>
      </c>
      <c r="HE64" s="1091" t="str">
        <f t="shared" si="126"/>
        <v/>
      </c>
      <c r="HF64" s="1147">
        <f t="shared" si="127"/>
        <v>0</v>
      </c>
      <c r="HG64" s="1091" t="str">
        <f t="shared" si="128"/>
        <v/>
      </c>
      <c r="HH64" s="1146">
        <f t="shared" si="699"/>
        <v>0</v>
      </c>
      <c r="HI64" s="1091" t="str">
        <f t="shared" si="616"/>
        <v/>
      </c>
      <c r="HJ64" s="1091">
        <f t="shared" si="726"/>
        <v>0</v>
      </c>
      <c r="HK64" s="1147">
        <f t="shared" si="270"/>
        <v>0</v>
      </c>
      <c r="HL64" s="1091" t="str">
        <f t="shared" si="617"/>
        <v/>
      </c>
      <c r="HM64" s="1091">
        <f t="shared" si="727"/>
        <v>0</v>
      </c>
      <c r="HN64" s="1147">
        <f t="shared" si="273"/>
        <v>0</v>
      </c>
      <c r="HO64" s="1091" t="str">
        <f t="shared" si="618"/>
        <v/>
      </c>
      <c r="HP64" s="1091" t="str">
        <f t="shared" si="728"/>
        <v/>
      </c>
      <c r="HQ64" s="1147">
        <f t="shared" si="135"/>
        <v>0</v>
      </c>
      <c r="HR64" s="1091" t="str">
        <f t="shared" si="136"/>
        <v/>
      </c>
      <c r="HS64" s="1147">
        <f t="shared" si="137"/>
        <v>0</v>
      </c>
      <c r="HT64" s="1091" t="str">
        <f t="shared" si="138"/>
        <v/>
      </c>
      <c r="HU64" s="1146">
        <f t="shared" si="700"/>
        <v>0</v>
      </c>
      <c r="HV64" s="1091" t="str">
        <f t="shared" si="619"/>
        <v/>
      </c>
      <c r="HW64" s="1091">
        <f t="shared" si="729"/>
        <v>0</v>
      </c>
      <c r="HX64" s="1147">
        <f t="shared" si="279"/>
        <v>0</v>
      </c>
      <c r="HY64" s="1091" t="str">
        <f t="shared" si="620"/>
        <v/>
      </c>
      <c r="HZ64" s="1091">
        <f t="shared" si="730"/>
        <v>0</v>
      </c>
      <c r="IA64" s="1147">
        <f t="shared" si="282"/>
        <v>0</v>
      </c>
      <c r="IB64" s="1091" t="str">
        <f t="shared" si="621"/>
        <v/>
      </c>
      <c r="IC64" s="1091" t="str">
        <f t="shared" si="731"/>
        <v/>
      </c>
      <c r="ID64" s="1147">
        <f t="shared" si="145"/>
        <v>0</v>
      </c>
      <c r="IE64" s="1091" t="str">
        <f t="shared" si="146"/>
        <v/>
      </c>
      <c r="IF64" s="1147">
        <f t="shared" si="147"/>
        <v>0</v>
      </c>
      <c r="IG64" s="1091" t="str">
        <f t="shared" si="148"/>
        <v/>
      </c>
      <c r="IH64" s="1146">
        <f t="shared" si="701"/>
        <v>0</v>
      </c>
      <c r="II64" s="1091" t="str">
        <f t="shared" si="622"/>
        <v/>
      </c>
      <c r="IJ64" s="1091">
        <f t="shared" si="732"/>
        <v>0</v>
      </c>
      <c r="IK64" s="1147">
        <f t="shared" si="288"/>
        <v>0</v>
      </c>
      <c r="IL64" s="1091" t="str">
        <f t="shared" si="623"/>
        <v/>
      </c>
      <c r="IM64" s="1091">
        <f t="shared" si="733"/>
        <v>0</v>
      </c>
      <c r="IN64" s="1147">
        <f t="shared" si="291"/>
        <v>18000</v>
      </c>
      <c r="IO64" s="1091">
        <f t="shared" si="624"/>
        <v>0.05294117647</v>
      </c>
      <c r="IP64" s="1091">
        <f t="shared" si="734"/>
        <v>0.01944402156</v>
      </c>
      <c r="IQ64" s="1147">
        <f t="shared" si="155"/>
        <v>18000</v>
      </c>
      <c r="IR64" s="1091" t="str">
        <f t="shared" si="1"/>
        <v/>
      </c>
      <c r="IS64" s="1147">
        <f t="shared" si="156"/>
        <v>18000</v>
      </c>
      <c r="IT64" s="1091" t="str">
        <f t="shared" si="2"/>
        <v/>
      </c>
    </row>
    <row r="65" hidden="1" outlineLevel="1">
      <c r="A65" s="737"/>
      <c r="B65" s="737"/>
      <c r="C65" s="737"/>
      <c r="D65" s="737" t="s">
        <v>2849</v>
      </c>
      <c r="E65" s="737" t="s">
        <v>2850</v>
      </c>
      <c r="F65" s="737"/>
      <c r="G65" s="748">
        <v>3.0</v>
      </c>
      <c r="H65" s="1146">
        <f>SUMIFS(BP_SOTIEN,BP_THANG,H$2,BP_KM,$E65)/1000</f>
        <v>0</v>
      </c>
      <c r="I65" s="1091" t="str">
        <f t="shared" si="566"/>
        <v/>
      </c>
      <c r="J65" s="1091"/>
      <c r="K65" s="1147">
        <f>IF(NOW()&gt;=DATE(YEAR(H$2),MONTH(H$2)+1,DAY(H$2)),SUMIFS(TF_SOTIEN,TF_THANG,H$2,TF_KM,$E65)/1000, N65)</f>
        <v>0</v>
      </c>
      <c r="L65" s="1091" t="str">
        <f t="shared" si="567"/>
        <v/>
      </c>
      <c r="M65" s="1091"/>
      <c r="N65" s="1147">
        <f>IF(NOW()&gt;=DATE(YEAR(H$2),MONTH(H$2)+1,DAY(H$2)),SUMIFS(AC_SOTIEN,AC_THANG,H$2,AC_KM,$E65),SUMIFS(TF_SOTIEN,TF_THANG,H$2,TF_KM,$E65))/ 1000</f>
        <v>0</v>
      </c>
      <c r="O65" s="1091">
        <f t="shared" si="568"/>
        <v>0</v>
      </c>
      <c r="P65" s="1091">
        <f t="shared" si="702"/>
        <v>0</v>
      </c>
      <c r="Q65" s="1147">
        <f t="shared" si="8"/>
        <v>0</v>
      </c>
      <c r="R65" s="1091" t="str">
        <f t="shared" si="9"/>
        <v/>
      </c>
      <c r="S65" s="1147">
        <f t="shared" si="10"/>
        <v>0</v>
      </c>
      <c r="T65" s="1091" t="str">
        <f t="shared" si="11"/>
        <v/>
      </c>
      <c r="U65" s="1146">
        <f>SUMIFS(BP_SOTIEN,BP_THANG,U$2,BP_KM,$E65)/1000</f>
        <v>0</v>
      </c>
      <c r="V65" s="1091" t="str">
        <f t="shared" si="569"/>
        <v/>
      </c>
      <c r="W65" s="1091"/>
      <c r="X65" s="1147">
        <f>IF(NOW()&gt;=DATE(YEAR(U$2),MONTH(U$2)+1,DAY(U$2)),SUMIFS(TF_SOTIEN,TF_THANG,U$2,TF_KM,$E65)/1000, AA65)</f>
        <v>0</v>
      </c>
      <c r="Y65" s="1091" t="str">
        <f t="shared" si="570"/>
        <v/>
      </c>
      <c r="Z65" s="1091"/>
      <c r="AA65" s="1147">
        <f>IF(NOW()&gt;=DATE(YEAR(U$2),MONTH(U$2)+1,DAY(U$2)),SUMIFS(AC_SOTIEN,AC_THANG,U$2,AC_KM,$E65),SUMIFS(TF_SOTIEN,TF_THANG,U$2,TF_KM,$E65))/ 1000</f>
        <v>0</v>
      </c>
      <c r="AB65" s="1091" t="str">
        <f t="shared" si="571"/>
        <v/>
      </c>
      <c r="AC65" s="1091">
        <f t="shared" si="703"/>
        <v>0</v>
      </c>
      <c r="AD65" s="1147">
        <f t="shared" si="15"/>
        <v>0</v>
      </c>
      <c r="AE65" s="1091" t="str">
        <f t="shared" si="16"/>
        <v/>
      </c>
      <c r="AF65" s="1147">
        <f t="shared" si="17"/>
        <v>0</v>
      </c>
      <c r="AG65" s="1091" t="str">
        <f t="shared" si="18"/>
        <v/>
      </c>
      <c r="AH65" s="1146">
        <f>SUMIFS(BP_SOTIEN,BP_THANG,AH$2,BP_KM,$E65)/1000</f>
        <v>0</v>
      </c>
      <c r="AI65" s="1091" t="str">
        <f t="shared" si="572"/>
        <v/>
      </c>
      <c r="AJ65" s="1091"/>
      <c r="AK65" s="1147">
        <f>IF(NOW()&gt;=DATE(YEAR(AH$2),MONTH(AH$2)+1,DAY(AH$2)),SUMIFS(TF_SOTIEN,TF_THANG,AH$2,TF_KM,$E65)/1000, AN65)</f>
        <v>0</v>
      </c>
      <c r="AL65" s="1091" t="str">
        <f t="shared" si="573"/>
        <v/>
      </c>
      <c r="AM65" s="1091"/>
      <c r="AN65" s="1147">
        <f>IF(NOW()&gt;=DATE(YEAR(AH$2),MONTH(AH$2)+1,DAY(AH$2)),SUMIFS(AC_SOTIEN,AC_THANG,AH$2,AC_KM,$E65),SUMIFS(TF_SOTIEN,TF_THANG,AH$2,TF_KM,$E65))/ 1000</f>
        <v>0</v>
      </c>
      <c r="AO65" s="1091" t="str">
        <f t="shared" si="574"/>
        <v/>
      </c>
      <c r="AP65" s="1091">
        <f t="shared" si="704"/>
        <v>0</v>
      </c>
      <c r="AQ65" s="1147">
        <f t="shared" si="22"/>
        <v>0</v>
      </c>
      <c r="AR65" s="1091" t="str">
        <f t="shared" si="23"/>
        <v/>
      </c>
      <c r="AS65" s="1147">
        <f t="shared" si="24"/>
        <v>0</v>
      </c>
      <c r="AT65" s="1091" t="str">
        <f t="shared" si="25"/>
        <v/>
      </c>
      <c r="AU65" s="1146">
        <f t="shared" si="691"/>
        <v>0</v>
      </c>
      <c r="AV65" s="1091" t="str">
        <f t="shared" si="575"/>
        <v/>
      </c>
      <c r="AW65" s="1091">
        <f t="shared" si="705"/>
        <v>0</v>
      </c>
      <c r="AX65" s="1147">
        <f t="shared" si="692"/>
        <v>0</v>
      </c>
      <c r="AY65" s="1091" t="str">
        <f t="shared" si="576"/>
        <v/>
      </c>
      <c r="AZ65" s="1091">
        <f t="shared" si="706"/>
        <v>0</v>
      </c>
      <c r="BA65" s="1147">
        <f t="shared" si="693"/>
        <v>0</v>
      </c>
      <c r="BB65" s="1091">
        <f t="shared" si="577"/>
        <v>0</v>
      </c>
      <c r="BC65" s="1091">
        <f t="shared" si="707"/>
        <v>0</v>
      </c>
      <c r="BD65" s="1147">
        <f t="shared" si="32"/>
        <v>0</v>
      </c>
      <c r="BE65" s="1091" t="str">
        <f t="shared" si="33"/>
        <v/>
      </c>
      <c r="BF65" s="1147">
        <f t="shared" si="34"/>
        <v>0</v>
      </c>
      <c r="BG65" s="1091" t="str">
        <f t="shared" si="35"/>
        <v/>
      </c>
      <c r="BH65" s="1146">
        <f>SUMIFS(BP_SOTIEN,BP_THANG,BH$2,BP_KM,$E65)/1000</f>
        <v>0</v>
      </c>
      <c r="BI65" s="1091" t="str">
        <f t="shared" si="578"/>
        <v/>
      </c>
      <c r="BJ65" s="1091"/>
      <c r="BK65" s="1147">
        <f>IF(NOW()&gt;=DATE(YEAR(BH$2),MONTH(BH$2)+1,DAY(BH$2)),SUMIFS(TF_SOTIEN,TF_THANG,BH$2,TF_KM,$E65)/1000, BN65)</f>
        <v>0</v>
      </c>
      <c r="BL65" s="1091" t="str">
        <f t="shared" si="579"/>
        <v/>
      </c>
      <c r="BM65" s="1091"/>
      <c r="BN65" s="1147">
        <f>IF(NOW()&gt;=DATE(YEAR(BH$2),MONTH(BH$2)+1,DAY(BH$2)),SUMIFS(AC_SOTIEN,AC_THANG,BH$2,AC_KM,$E65),SUMIFS(TF_SOTIEN,TF_THANG,BH$2,TF_KM,$E65))/ 1000</f>
        <v>0</v>
      </c>
      <c r="BO65" s="1091" t="str">
        <f t="shared" si="580"/>
        <v/>
      </c>
      <c r="BP65" s="1091">
        <f t="shared" si="708"/>
        <v>0</v>
      </c>
      <c r="BQ65" s="1147">
        <f t="shared" si="39"/>
        <v>0</v>
      </c>
      <c r="BR65" s="1091" t="str">
        <f t="shared" si="40"/>
        <v/>
      </c>
      <c r="BS65" s="1147">
        <f t="shared" si="41"/>
        <v>0</v>
      </c>
      <c r="BT65" s="1091" t="str">
        <f t="shared" si="42"/>
        <v/>
      </c>
      <c r="BU65" s="1146">
        <f>SUMIFS(BP_SOTIEN,BP_THANG,BU$2,BP_KM,$E65)/1000</f>
        <v>0</v>
      </c>
      <c r="BV65" s="1091" t="str">
        <f t="shared" si="581"/>
        <v/>
      </c>
      <c r="BW65" s="1091"/>
      <c r="BX65" s="1147">
        <f>IF(NOW()&gt;=DATE(YEAR(BU$2),MONTH(BU$2)+1,DAY(BU$2)),SUMIFS(TF_SOTIEN,TF_THANG,BU$2,TF_KM,$E65)/1000, CA65)</f>
        <v>0</v>
      </c>
      <c r="BY65" s="1091" t="str">
        <f t="shared" si="582"/>
        <v/>
      </c>
      <c r="BZ65" s="1091"/>
      <c r="CA65" s="1147">
        <f>IF(NOW()&gt;=DATE(YEAR(BU$2),MONTH(BU$2)+1,DAY(BU$2)),SUMIFS(AC_SOTIEN,AC_THANG,BU$2,AC_KM,$E65),SUMIFS(TF_SOTIEN,TF_THANG,BU$2,TF_KM,$E65))/ 1000</f>
        <v>0</v>
      </c>
      <c r="CB65" s="1091" t="str">
        <f t="shared" si="583"/>
        <v/>
      </c>
      <c r="CC65" s="1091">
        <f t="shared" si="709"/>
        <v>0</v>
      </c>
      <c r="CD65" s="1147">
        <f t="shared" si="46"/>
        <v>0</v>
      </c>
      <c r="CE65" s="1091" t="str">
        <f t="shared" si="47"/>
        <v/>
      </c>
      <c r="CF65" s="1147">
        <f t="shared" si="48"/>
        <v>0</v>
      </c>
      <c r="CG65" s="1091" t="str">
        <f t="shared" si="49"/>
        <v/>
      </c>
      <c r="CH65" s="1146">
        <f>SUMIFS(BP_SOTIEN,BP_THANG,CH$2,BP_KM,$E65)/1000</f>
        <v>0</v>
      </c>
      <c r="CI65" s="1091" t="str">
        <f t="shared" si="584"/>
        <v/>
      </c>
      <c r="CJ65" s="1091"/>
      <c r="CK65" s="1147">
        <f>IF(NOW()&gt;=DATE(YEAR(CH$2),MONTH(CH$2)+1,DAY(CH$2)),SUMIFS(TF_SOTIEN,TF_THANG,CH$2,TF_KM,$E65)/1000, CN65)</f>
        <v>0</v>
      </c>
      <c r="CL65" s="1091" t="str">
        <f t="shared" si="585"/>
        <v/>
      </c>
      <c r="CM65" s="1091"/>
      <c r="CN65" s="1147">
        <f>IF(NOW()&gt;=DATE(YEAR(CH$2),MONTH(CH$2)+1,DAY(CH$2)),SUMIFS(AC_SOTIEN,AC_THANG,CH$2,AC_KM,$E65),SUMIFS(TF_SOTIEN,TF_THANG,CH$2,TF_KM,$E65))/ 1000</f>
        <v>0</v>
      </c>
      <c r="CO65" s="1091" t="str">
        <f t="shared" si="586"/>
        <v/>
      </c>
      <c r="CP65" s="1091" t="str">
        <f t="shared" si="710"/>
        <v/>
      </c>
      <c r="CQ65" s="1147">
        <f t="shared" si="53"/>
        <v>0</v>
      </c>
      <c r="CR65" s="1091" t="str">
        <f t="shared" si="54"/>
        <v/>
      </c>
      <c r="CS65" s="1147">
        <f t="shared" si="55"/>
        <v>0</v>
      </c>
      <c r="CT65" s="1091" t="str">
        <f t="shared" si="56"/>
        <v/>
      </c>
      <c r="CU65" s="1146">
        <f t="shared" si="694"/>
        <v>0</v>
      </c>
      <c r="CV65" s="1091" t="str">
        <f t="shared" si="587"/>
        <v/>
      </c>
      <c r="CW65" s="1091">
        <f t="shared" si="711"/>
        <v>0</v>
      </c>
      <c r="CX65" s="1147">
        <f t="shared" si="695"/>
        <v>0</v>
      </c>
      <c r="CY65" s="1091" t="str">
        <f t="shared" si="589"/>
        <v/>
      </c>
      <c r="CZ65" s="1091">
        <f t="shared" si="712"/>
        <v>0</v>
      </c>
      <c r="DA65" s="1147">
        <f t="shared" si="696"/>
        <v>0</v>
      </c>
      <c r="DB65" s="1091" t="str">
        <f t="shared" si="591"/>
        <v/>
      </c>
      <c r="DC65" s="1091">
        <f t="shared" si="713"/>
        <v>0</v>
      </c>
      <c r="DD65" s="1147">
        <f t="shared" si="63"/>
        <v>0</v>
      </c>
      <c r="DE65" s="1091" t="str">
        <f t="shared" si="64"/>
        <v/>
      </c>
      <c r="DF65" s="1147">
        <f t="shared" si="65"/>
        <v>0</v>
      </c>
      <c r="DG65" s="1091" t="str">
        <f t="shared" si="66"/>
        <v/>
      </c>
      <c r="DH65" s="1146">
        <f t="shared" si="697"/>
        <v>0</v>
      </c>
      <c r="DI65" s="1091" t="str">
        <f t="shared" si="592"/>
        <v/>
      </c>
      <c r="DJ65" s="1091">
        <f t="shared" si="714"/>
        <v>0</v>
      </c>
      <c r="DK65" s="1147">
        <f t="shared" si="216"/>
        <v>0</v>
      </c>
      <c r="DL65" s="1091" t="str">
        <f t="shared" si="593"/>
        <v/>
      </c>
      <c r="DM65" s="1091">
        <f t="shared" si="715"/>
        <v>0</v>
      </c>
      <c r="DN65" s="1147">
        <f t="shared" si="219"/>
        <v>0</v>
      </c>
      <c r="DO65" s="1091">
        <f t="shared" si="594"/>
        <v>0</v>
      </c>
      <c r="DP65" s="1091">
        <f t="shared" si="716"/>
        <v>0</v>
      </c>
      <c r="DQ65" s="1147">
        <f t="shared" si="73"/>
        <v>0</v>
      </c>
      <c r="DR65" s="1091" t="str">
        <f t="shared" si="74"/>
        <v/>
      </c>
      <c r="DS65" s="1147">
        <f t="shared" si="75"/>
        <v>0</v>
      </c>
      <c r="DT65" s="1091" t="str">
        <f t="shared" si="76"/>
        <v/>
      </c>
      <c r="DU65" s="1146">
        <f>SUMIFS(BP_SOTIEN,BP_THANG,DU$2,BP_KM,$E65)/1000</f>
        <v>0</v>
      </c>
      <c r="DV65" s="1091" t="str">
        <f t="shared" si="595"/>
        <v/>
      </c>
      <c r="DW65" s="1091"/>
      <c r="DX65" s="1147">
        <f>IF(NOW()&gt;=DATE(YEAR(DU$2),MONTH(DU$2)+1,DAY(DU$2)),SUMIFS(TF_SOTIEN,TF_THANG,DU$2,TF_KM,$E65)/1000, EA65)</f>
        <v>0</v>
      </c>
      <c r="DY65" s="1091" t="str">
        <f t="shared" si="596"/>
        <v/>
      </c>
      <c r="DZ65" s="1091"/>
      <c r="EA65" s="1147">
        <f>IF(NOW()&gt;=DATE(YEAR(DU$2),MONTH(DU$2)+1,DAY(DU$2)),SUMIFS(AC_SOTIEN,AC_THANG,DU$2,AC_KM,$E65),SUMIFS(TF_SOTIEN,TF_THANG,DU$2,TF_KM,$E65))/ 1000</f>
        <v>0</v>
      </c>
      <c r="EB65" s="1091" t="str">
        <f t="shared" si="597"/>
        <v/>
      </c>
      <c r="EC65" s="1091" t="str">
        <f t="shared" si="717"/>
        <v/>
      </c>
      <c r="ED65" s="1147">
        <f t="shared" si="80"/>
        <v>0</v>
      </c>
      <c r="EE65" s="1091" t="str">
        <f t="shared" si="81"/>
        <v/>
      </c>
      <c r="EF65" s="1147">
        <f t="shared" si="82"/>
        <v>0</v>
      </c>
      <c r="EG65" s="1091" t="str">
        <f t="shared" si="83"/>
        <v/>
      </c>
      <c r="EH65" s="1146">
        <f>SUMIFS(BP_SOTIEN,BP_THANG,EH$2,BP_KM,$E65)/1000</f>
        <v>0</v>
      </c>
      <c r="EI65" s="1091" t="str">
        <f t="shared" si="598"/>
        <v/>
      </c>
      <c r="EJ65" s="1091"/>
      <c r="EK65" s="1147">
        <f>IF(NOW()&gt;=DATE(YEAR(EH$2),MONTH(EH$2)+1,DAY(EH$2)),SUMIFS(TF_SOTIEN,TF_THANG,EH$2,TF_KM,$E65)/1000, EN65)</f>
        <v>0</v>
      </c>
      <c r="EL65" s="1091" t="str">
        <f t="shared" si="599"/>
        <v/>
      </c>
      <c r="EM65" s="1091"/>
      <c r="EN65" s="1147">
        <f>IF(NOW()&gt;=DATE(YEAR(EH$2),MONTH(EH$2)+1,DAY(EH$2)),SUMIFS(AC_SOTIEN,AC_THANG,EH$2,AC_KM,$E65),SUMIFS(TF_SOTIEN,TF_THANG,EH$2,TF_KM,$E65))/ 1000</f>
        <v>0</v>
      </c>
      <c r="EO65" s="1091" t="str">
        <f t="shared" si="600"/>
        <v/>
      </c>
      <c r="EP65" s="1091" t="str">
        <f t="shared" si="718"/>
        <v/>
      </c>
      <c r="EQ65" s="1147">
        <f t="shared" si="87"/>
        <v>0</v>
      </c>
      <c r="ER65" s="1091" t="str">
        <f t="shared" si="88"/>
        <v/>
      </c>
      <c r="ES65" s="1147">
        <f t="shared" si="89"/>
        <v>0</v>
      </c>
      <c r="ET65" s="1091" t="str">
        <f t="shared" si="90"/>
        <v/>
      </c>
      <c r="EU65" s="1146">
        <f>SUMIFS(BP_SOTIEN,BP_THANG,EU$2,BP_KM,$E65)/1000</f>
        <v>0</v>
      </c>
      <c r="EV65" s="1091" t="str">
        <f t="shared" si="601"/>
        <v/>
      </c>
      <c r="EW65" s="1091"/>
      <c r="EX65" s="1147">
        <f>IF(NOW()&gt;=DATE(YEAR(EU$2),MONTH(EU$2)+1,DAY(EU$2)),SUMIFS(TF_SOTIEN,TF_THANG,EU$2,TF_KM,$E65)/1000, FA65)</f>
        <v>0</v>
      </c>
      <c r="EY65" s="1091" t="str">
        <f t="shared" si="602"/>
        <v/>
      </c>
      <c r="EZ65" s="1091"/>
      <c r="FA65" s="1147">
        <f>IF(NOW()&gt;=DATE(YEAR(EU$2),MONTH(EU$2)+1,DAY(EU$2)),SUMIFS(AC_SOTIEN,AC_THANG,EU$2,AC_KM,$E65),SUMIFS(TF_SOTIEN,TF_THANG,EU$2,TF_KM,$E65))/ 1000</f>
        <v>0</v>
      </c>
      <c r="FB65" s="1091" t="str">
        <f t="shared" si="603"/>
        <v/>
      </c>
      <c r="FC65" s="1091" t="str">
        <f t="shared" si="719"/>
        <v/>
      </c>
      <c r="FD65" s="1147">
        <f t="shared" si="94"/>
        <v>0</v>
      </c>
      <c r="FE65" s="1091" t="str">
        <f t="shared" si="95"/>
        <v/>
      </c>
      <c r="FF65" s="1147">
        <f t="shared" si="96"/>
        <v>0</v>
      </c>
      <c r="FG65" s="1091" t="str">
        <f t="shared" si="97"/>
        <v/>
      </c>
      <c r="FH65" s="1146">
        <f t="shared" si="698"/>
        <v>0</v>
      </c>
      <c r="FI65" s="1091" t="str">
        <f t="shared" si="604"/>
        <v/>
      </c>
      <c r="FJ65" s="1091">
        <f t="shared" si="720"/>
        <v>0</v>
      </c>
      <c r="FK65" s="1147">
        <f t="shared" si="243"/>
        <v>0</v>
      </c>
      <c r="FL65" s="1091" t="str">
        <f t="shared" si="605"/>
        <v/>
      </c>
      <c r="FM65" s="1091">
        <f t="shared" si="721"/>
        <v>0</v>
      </c>
      <c r="FN65" s="1147">
        <f t="shared" si="246"/>
        <v>0</v>
      </c>
      <c r="FO65" s="1091" t="str">
        <f t="shared" si="606"/>
        <v/>
      </c>
      <c r="FP65" s="1091" t="str">
        <f t="shared" si="722"/>
        <v/>
      </c>
      <c r="FQ65" s="1147">
        <f t="shared" si="104"/>
        <v>0</v>
      </c>
      <c r="FR65" s="1091" t="str">
        <f t="shared" si="105"/>
        <v/>
      </c>
      <c r="FS65" s="1147">
        <f t="shared" si="106"/>
        <v>0</v>
      </c>
      <c r="FT65" s="1091" t="str">
        <f t="shared" si="107"/>
        <v/>
      </c>
      <c r="FU65" s="1146">
        <f>SUMIFS(BP_SOTIEN,BP_THANG,FU$2,BP_KM,$E65)/1000</f>
        <v>0</v>
      </c>
      <c r="FV65" s="1091" t="str">
        <f t="shared" si="607"/>
        <v/>
      </c>
      <c r="FW65" s="1091"/>
      <c r="FX65" s="1147">
        <f>IF(NOW()&gt;=DATE(YEAR(FU$2),MONTH(FU$2)+1,DAY(FU$2)),SUMIFS(TF_SOTIEN,TF_THANG,FU$2,TF_KM,$E65)/1000, GA65)</f>
        <v>0</v>
      </c>
      <c r="FY65" s="1091" t="str">
        <f t="shared" si="608"/>
        <v/>
      </c>
      <c r="FZ65" s="1091"/>
      <c r="GA65" s="1147">
        <f>IF(NOW()&gt;=DATE(YEAR(FU$2),MONTH(FU$2)+1,DAY(FU$2)),SUMIFS(AC_SOTIEN,AC_THANG,FU$2,AC_KM,$E65),SUMIFS(TF_SOTIEN,TF_THANG,FU$2,TF_KM,$E65))/ 1000</f>
        <v>0</v>
      </c>
      <c r="GB65" s="1091" t="str">
        <f t="shared" si="609"/>
        <v/>
      </c>
      <c r="GC65" s="1091" t="str">
        <f t="shared" si="723"/>
        <v/>
      </c>
      <c r="GD65" s="1147">
        <f t="shared" si="111"/>
        <v>0</v>
      </c>
      <c r="GE65" s="1091" t="str">
        <f t="shared" si="112"/>
        <v/>
      </c>
      <c r="GF65" s="1147">
        <f t="shared" si="113"/>
        <v>0</v>
      </c>
      <c r="GG65" s="1091" t="str">
        <f t="shared" si="114"/>
        <v/>
      </c>
      <c r="GH65" s="1146">
        <f>SUMIFS(BP_SOTIEN,BP_THANG,GH$2,BP_KM,$E65)/1000</f>
        <v>0</v>
      </c>
      <c r="GI65" s="1091" t="str">
        <f t="shared" si="610"/>
        <v/>
      </c>
      <c r="GJ65" s="1091"/>
      <c r="GK65" s="1147">
        <f>IF(NOW()&gt;=DATE(YEAR(GH$2),MONTH(GH$2)+1,DAY(GH$2)),SUMIFS(TF_SOTIEN,TF_THANG,GH$2,TF_KM,$E65)/1000, GN65)</f>
        <v>0</v>
      </c>
      <c r="GL65" s="1091" t="str">
        <f t="shared" si="611"/>
        <v/>
      </c>
      <c r="GM65" s="1091"/>
      <c r="GN65" s="1147">
        <f>IF(NOW()&gt;=DATE(YEAR(GH$2),MONTH(GH$2)+1,DAY(GH$2)),SUMIFS(AC_SOTIEN,AC_THANG,GH$2,AC_KM,$E65),SUMIFS(TF_SOTIEN,TF_THANG,GH$2,TF_KM,$E65))/ 1000</f>
        <v>0</v>
      </c>
      <c r="GO65" s="1091" t="str">
        <f t="shared" si="612"/>
        <v/>
      </c>
      <c r="GP65" s="1091" t="str">
        <f t="shared" si="724"/>
        <v/>
      </c>
      <c r="GQ65" s="1147">
        <f t="shared" si="118"/>
        <v>0</v>
      </c>
      <c r="GR65" s="1091" t="str">
        <f t="shared" si="119"/>
        <v/>
      </c>
      <c r="GS65" s="1147">
        <f t="shared" si="120"/>
        <v>0</v>
      </c>
      <c r="GT65" s="1091" t="str">
        <f t="shared" si="121"/>
        <v/>
      </c>
      <c r="GU65" s="1146">
        <f>SUMIFS(BP_SOTIEN,BP_THANG,GU$2,BP_KM,$E65)/1000</f>
        <v>0</v>
      </c>
      <c r="GV65" s="1091" t="str">
        <f t="shared" si="613"/>
        <v/>
      </c>
      <c r="GW65" s="1091"/>
      <c r="GX65" s="1147">
        <f>IF(NOW()&gt;=DATE(YEAR(GU$2),MONTH(GU$2)+1,DAY(GU$2)),SUMIFS(TF_SOTIEN,TF_THANG,GU$2,TF_KM,$E65)/1000, HA65)</f>
        <v>0</v>
      </c>
      <c r="GY65" s="1091" t="str">
        <f t="shared" si="614"/>
        <v/>
      </c>
      <c r="GZ65" s="1091"/>
      <c r="HA65" s="1147">
        <f>IF(NOW()&gt;=DATE(YEAR(GU$2),MONTH(GU$2)+1,DAY(GU$2)),SUMIFS(AC_SOTIEN,AC_THANG,GU$2,AC_KM,$E65),SUMIFS(TF_SOTIEN,TF_THANG,GU$2,TF_KM,$E65))/ 1000</f>
        <v>0</v>
      </c>
      <c r="HB65" s="1091" t="str">
        <f t="shared" si="615"/>
        <v/>
      </c>
      <c r="HC65" s="1091" t="str">
        <f t="shared" si="725"/>
        <v/>
      </c>
      <c r="HD65" s="1147">
        <f t="shared" si="125"/>
        <v>0</v>
      </c>
      <c r="HE65" s="1091" t="str">
        <f t="shared" si="126"/>
        <v/>
      </c>
      <c r="HF65" s="1147">
        <f t="shared" si="127"/>
        <v>0</v>
      </c>
      <c r="HG65" s="1091" t="str">
        <f t="shared" si="128"/>
        <v/>
      </c>
      <c r="HH65" s="1146">
        <f t="shared" si="699"/>
        <v>0</v>
      </c>
      <c r="HI65" s="1091" t="str">
        <f t="shared" si="616"/>
        <v/>
      </c>
      <c r="HJ65" s="1091">
        <f t="shared" si="726"/>
        <v>0</v>
      </c>
      <c r="HK65" s="1147">
        <f t="shared" si="270"/>
        <v>0</v>
      </c>
      <c r="HL65" s="1091" t="str">
        <f t="shared" si="617"/>
        <v/>
      </c>
      <c r="HM65" s="1091">
        <f t="shared" si="727"/>
        <v>0</v>
      </c>
      <c r="HN65" s="1147">
        <f t="shared" si="273"/>
        <v>0</v>
      </c>
      <c r="HO65" s="1091" t="str">
        <f t="shared" si="618"/>
        <v/>
      </c>
      <c r="HP65" s="1091" t="str">
        <f t="shared" si="728"/>
        <v/>
      </c>
      <c r="HQ65" s="1147">
        <f t="shared" si="135"/>
        <v>0</v>
      </c>
      <c r="HR65" s="1091" t="str">
        <f t="shared" si="136"/>
        <v/>
      </c>
      <c r="HS65" s="1147">
        <f t="shared" si="137"/>
        <v>0</v>
      </c>
      <c r="HT65" s="1091" t="str">
        <f t="shared" si="138"/>
        <v/>
      </c>
      <c r="HU65" s="1146">
        <f t="shared" si="700"/>
        <v>0</v>
      </c>
      <c r="HV65" s="1091" t="str">
        <f t="shared" si="619"/>
        <v/>
      </c>
      <c r="HW65" s="1091">
        <f t="shared" si="729"/>
        <v>0</v>
      </c>
      <c r="HX65" s="1147">
        <f t="shared" si="279"/>
        <v>0</v>
      </c>
      <c r="HY65" s="1091" t="str">
        <f t="shared" si="620"/>
        <v/>
      </c>
      <c r="HZ65" s="1091">
        <f t="shared" si="730"/>
        <v>0</v>
      </c>
      <c r="IA65" s="1147">
        <f t="shared" si="282"/>
        <v>0</v>
      </c>
      <c r="IB65" s="1091" t="str">
        <f t="shared" si="621"/>
        <v/>
      </c>
      <c r="IC65" s="1091" t="str">
        <f t="shared" si="731"/>
        <v/>
      </c>
      <c r="ID65" s="1147">
        <f t="shared" si="145"/>
        <v>0</v>
      </c>
      <c r="IE65" s="1091" t="str">
        <f t="shared" si="146"/>
        <v/>
      </c>
      <c r="IF65" s="1147">
        <f t="shared" si="147"/>
        <v>0</v>
      </c>
      <c r="IG65" s="1091" t="str">
        <f t="shared" si="148"/>
        <v/>
      </c>
      <c r="IH65" s="1146">
        <f t="shared" si="701"/>
        <v>0</v>
      </c>
      <c r="II65" s="1091" t="str">
        <f t="shared" si="622"/>
        <v/>
      </c>
      <c r="IJ65" s="1091">
        <f t="shared" si="732"/>
        <v>0</v>
      </c>
      <c r="IK65" s="1147">
        <f t="shared" si="288"/>
        <v>0</v>
      </c>
      <c r="IL65" s="1091" t="str">
        <f t="shared" si="623"/>
        <v/>
      </c>
      <c r="IM65" s="1091">
        <f t="shared" si="733"/>
        <v>0</v>
      </c>
      <c r="IN65" s="1147">
        <f t="shared" si="291"/>
        <v>0</v>
      </c>
      <c r="IO65" s="1091">
        <f t="shared" si="624"/>
        <v>0</v>
      </c>
      <c r="IP65" s="1091">
        <f t="shared" si="734"/>
        <v>0</v>
      </c>
      <c r="IQ65" s="1147">
        <f t="shared" si="155"/>
        <v>0</v>
      </c>
      <c r="IR65" s="1091" t="str">
        <f t="shared" si="1"/>
        <v/>
      </c>
      <c r="IS65" s="1147">
        <f t="shared" si="156"/>
        <v>0</v>
      </c>
      <c r="IT65" s="1091" t="str">
        <f t="shared" si="2"/>
        <v/>
      </c>
    </row>
    <row r="66" hidden="1" outlineLevel="1">
      <c r="A66" s="737"/>
      <c r="B66" s="737"/>
      <c r="C66" s="737"/>
      <c r="D66" s="737" t="s">
        <v>2851</v>
      </c>
      <c r="E66" s="737" t="s">
        <v>1273</v>
      </c>
      <c r="F66" s="737"/>
      <c r="G66" s="748">
        <v>3.0</v>
      </c>
      <c r="H66" s="1146">
        <f>SUMIFS(BP_SOTIEN,BP_THANG,H$2,BP_KM,$E66)/1000</f>
        <v>328</v>
      </c>
      <c r="I66" s="1091" t="str">
        <f t="shared" si="566"/>
        <v/>
      </c>
      <c r="J66" s="1091"/>
      <c r="K66" s="1147">
        <f>IF(NOW()&gt;=DATE(YEAR(H$2),MONTH(H$2)+1,DAY(H$2)),SUMIFS(TF_SOTIEN,TF_THANG,H$2,TF_KM,$E66)/1000, N66)</f>
        <v>328</v>
      </c>
      <c r="L66" s="1091" t="str">
        <f t="shared" si="567"/>
        <v/>
      </c>
      <c r="M66" s="1091"/>
      <c r="N66" s="1147">
        <f>IF(NOW()&gt;=DATE(YEAR(H$2),MONTH(H$2)+1,DAY(H$2)),SUMIFS(AC_SOTIEN,AC_THANG,H$2,AC_KM,$E66),SUMIFS(TF_SOTIEN,TF_THANG,H$2,TF_KM,$E66))/ 1000</f>
        <v>0</v>
      </c>
      <c r="O66" s="1091">
        <f t="shared" si="568"/>
        <v>0</v>
      </c>
      <c r="P66" s="1091">
        <f t="shared" si="702"/>
        <v>0</v>
      </c>
      <c r="Q66" s="1147">
        <f t="shared" si="8"/>
        <v>-328</v>
      </c>
      <c r="R66" s="1091">
        <f t="shared" si="9"/>
        <v>-1</v>
      </c>
      <c r="S66" s="1147">
        <f t="shared" si="10"/>
        <v>-328</v>
      </c>
      <c r="T66" s="1091">
        <f t="shared" si="11"/>
        <v>-1</v>
      </c>
      <c r="U66" s="1146">
        <f>SUMIFS(BP_SOTIEN,BP_THANG,U$2,BP_KM,$E66)/1000</f>
        <v>328</v>
      </c>
      <c r="V66" s="1091" t="str">
        <f t="shared" si="569"/>
        <v/>
      </c>
      <c r="W66" s="1091"/>
      <c r="X66" s="1147">
        <f>IF(NOW()&gt;=DATE(YEAR(U$2),MONTH(U$2)+1,DAY(U$2)),SUMIFS(TF_SOTIEN,TF_THANG,U$2,TF_KM,$E66)/1000, AA66)</f>
        <v>0</v>
      </c>
      <c r="Y66" s="1091" t="str">
        <f t="shared" si="570"/>
        <v/>
      </c>
      <c r="Z66" s="1091"/>
      <c r="AA66" s="1147">
        <f>IF(NOW()&gt;=DATE(YEAR(U$2),MONTH(U$2)+1,DAY(U$2)),SUMIFS(AC_SOTIEN,AC_THANG,U$2,AC_KM,$E66),SUMIFS(TF_SOTIEN,TF_THANG,U$2,TF_KM,$E66))/ 1000</f>
        <v>0</v>
      </c>
      <c r="AB66" s="1091" t="str">
        <f t="shared" si="571"/>
        <v/>
      </c>
      <c r="AC66" s="1091">
        <f t="shared" si="703"/>
        <v>0</v>
      </c>
      <c r="AD66" s="1147">
        <f t="shared" si="15"/>
        <v>-328</v>
      </c>
      <c r="AE66" s="1091">
        <f t="shared" si="16"/>
        <v>-1</v>
      </c>
      <c r="AF66" s="1147">
        <f t="shared" si="17"/>
        <v>0</v>
      </c>
      <c r="AG66" s="1091" t="str">
        <f t="shared" si="18"/>
        <v/>
      </c>
      <c r="AH66" s="1146">
        <f>SUMIFS(BP_SOTIEN,BP_THANG,AH$2,BP_KM,$E66)/1000</f>
        <v>328</v>
      </c>
      <c r="AI66" s="1091" t="str">
        <f t="shared" si="572"/>
        <v/>
      </c>
      <c r="AJ66" s="1091"/>
      <c r="AK66" s="1147">
        <f>IF(NOW()&gt;=DATE(YEAR(AH$2),MONTH(AH$2)+1,DAY(AH$2)),SUMIFS(TF_SOTIEN,TF_THANG,AH$2,TF_KM,$E66)/1000, AN66)</f>
        <v>0</v>
      </c>
      <c r="AL66" s="1091" t="str">
        <f t="shared" si="573"/>
        <v/>
      </c>
      <c r="AM66" s="1091"/>
      <c r="AN66" s="1147">
        <f>IF(NOW()&gt;=DATE(YEAR(AH$2),MONTH(AH$2)+1,DAY(AH$2)),SUMIFS(AC_SOTIEN,AC_THANG,AH$2,AC_KM,$E66),SUMIFS(TF_SOTIEN,TF_THANG,AH$2,TF_KM,$E66))/ 1000</f>
        <v>0</v>
      </c>
      <c r="AO66" s="1091" t="str">
        <f t="shared" si="574"/>
        <v/>
      </c>
      <c r="AP66" s="1091">
        <f t="shared" si="704"/>
        <v>0</v>
      </c>
      <c r="AQ66" s="1147">
        <f t="shared" si="22"/>
        <v>-328</v>
      </c>
      <c r="AR66" s="1091">
        <f t="shared" si="23"/>
        <v>-1</v>
      </c>
      <c r="AS66" s="1147">
        <f t="shared" si="24"/>
        <v>0</v>
      </c>
      <c r="AT66" s="1091" t="str">
        <f t="shared" si="25"/>
        <v/>
      </c>
      <c r="AU66" s="1146">
        <f t="shared" si="691"/>
        <v>984</v>
      </c>
      <c r="AV66" s="1091" t="str">
        <f t="shared" si="575"/>
        <v/>
      </c>
      <c r="AW66" s="1091">
        <f t="shared" si="705"/>
        <v>0.0008278772521</v>
      </c>
      <c r="AX66" s="1147">
        <f t="shared" si="692"/>
        <v>328</v>
      </c>
      <c r="AY66" s="1091" t="str">
        <f t="shared" si="576"/>
        <v/>
      </c>
      <c r="AZ66" s="1091">
        <f t="shared" si="706"/>
        <v>0.0004684609989</v>
      </c>
      <c r="BA66" s="1147">
        <f t="shared" si="693"/>
        <v>0</v>
      </c>
      <c r="BB66" s="1091">
        <f t="shared" si="577"/>
        <v>0</v>
      </c>
      <c r="BC66" s="1091">
        <f t="shared" si="707"/>
        <v>0</v>
      </c>
      <c r="BD66" s="1147">
        <f t="shared" si="32"/>
        <v>-984</v>
      </c>
      <c r="BE66" s="1091">
        <f t="shared" si="33"/>
        <v>-1</v>
      </c>
      <c r="BF66" s="1147">
        <f t="shared" si="34"/>
        <v>-328</v>
      </c>
      <c r="BG66" s="1091">
        <f t="shared" si="35"/>
        <v>-1</v>
      </c>
      <c r="BH66" s="1146">
        <f>SUMIFS(BP_SOTIEN,BP_THANG,BH$2,BP_KM,$E66)/1000</f>
        <v>328</v>
      </c>
      <c r="BI66" s="1091" t="str">
        <f t="shared" si="578"/>
        <v/>
      </c>
      <c r="BJ66" s="1091"/>
      <c r="BK66" s="1147">
        <f>IF(NOW()&gt;=DATE(YEAR(BH$2),MONTH(BH$2)+1,DAY(BH$2)),SUMIFS(TF_SOTIEN,TF_THANG,BH$2,TF_KM,$E66)/1000, BN66)</f>
        <v>0</v>
      </c>
      <c r="BL66" s="1091" t="str">
        <f t="shared" si="579"/>
        <v/>
      </c>
      <c r="BM66" s="1091"/>
      <c r="BN66" s="1147">
        <f>IF(NOW()&gt;=DATE(YEAR(BH$2),MONTH(BH$2)+1,DAY(BH$2)),SUMIFS(AC_SOTIEN,AC_THANG,BH$2,AC_KM,$E66),SUMIFS(TF_SOTIEN,TF_THANG,BH$2,TF_KM,$E66))/ 1000</f>
        <v>0</v>
      </c>
      <c r="BO66" s="1091" t="str">
        <f t="shared" si="580"/>
        <v/>
      </c>
      <c r="BP66" s="1091">
        <f t="shared" si="708"/>
        <v>0</v>
      </c>
      <c r="BQ66" s="1147">
        <f t="shared" si="39"/>
        <v>-328</v>
      </c>
      <c r="BR66" s="1091">
        <f t="shared" si="40"/>
        <v>-1</v>
      </c>
      <c r="BS66" s="1147">
        <f t="shared" si="41"/>
        <v>0</v>
      </c>
      <c r="BT66" s="1091" t="str">
        <f t="shared" si="42"/>
        <v/>
      </c>
      <c r="BU66" s="1146">
        <f>SUMIFS(BP_SOTIEN,BP_THANG,BU$2,BP_KM,$E66)/1000</f>
        <v>328</v>
      </c>
      <c r="BV66" s="1091" t="str">
        <f t="shared" si="581"/>
        <v/>
      </c>
      <c r="BW66" s="1091"/>
      <c r="BX66" s="1147">
        <f>IF(NOW()&gt;=DATE(YEAR(BU$2),MONTH(BU$2)+1,DAY(BU$2)),SUMIFS(TF_SOTIEN,TF_THANG,BU$2,TF_KM,$E66)/1000, CA66)</f>
        <v>4800</v>
      </c>
      <c r="BY66" s="1091" t="str">
        <f t="shared" si="582"/>
        <v/>
      </c>
      <c r="BZ66" s="1091"/>
      <c r="CA66" s="1147">
        <f>IF(NOW()&gt;=DATE(YEAR(BU$2),MONTH(BU$2)+1,DAY(BU$2)),SUMIFS(AC_SOTIEN,AC_THANG,BU$2,AC_KM,$E66),SUMIFS(TF_SOTIEN,TF_THANG,BU$2,TF_KM,$E66))/ 1000</f>
        <v>6720</v>
      </c>
      <c r="CB66" s="1091" t="str">
        <f t="shared" si="583"/>
        <v/>
      </c>
      <c r="CC66" s="1091">
        <f t="shared" si="709"/>
        <v>0.02680661496</v>
      </c>
      <c r="CD66" s="1147">
        <f t="shared" si="46"/>
        <v>6392</v>
      </c>
      <c r="CE66" s="1091">
        <f t="shared" si="47"/>
        <v>19.48780488</v>
      </c>
      <c r="CF66" s="1147">
        <f t="shared" si="48"/>
        <v>1920</v>
      </c>
      <c r="CG66" s="1091">
        <f t="shared" si="49"/>
        <v>0.4</v>
      </c>
      <c r="CH66" s="1146">
        <f>SUMIFS(BP_SOTIEN,BP_THANG,CH$2,BP_KM,$E66)/1000</f>
        <v>328</v>
      </c>
      <c r="CI66" s="1091" t="str">
        <f t="shared" si="584"/>
        <v/>
      </c>
      <c r="CJ66" s="1091"/>
      <c r="CK66" s="1147">
        <f>IF(NOW()&gt;=DATE(YEAR(CH$2),MONTH(CH$2)+1,DAY(CH$2)),SUMIFS(TF_SOTIEN,TF_THANG,CH$2,TF_KM,$E66)/1000, CN66)</f>
        <v>328</v>
      </c>
      <c r="CL66" s="1091" t="str">
        <f t="shared" si="585"/>
        <v/>
      </c>
      <c r="CM66" s="1091"/>
      <c r="CN66" s="1147">
        <f>IF(NOW()&gt;=DATE(YEAR(CH$2),MONTH(CH$2)+1,DAY(CH$2)),SUMIFS(AC_SOTIEN,AC_THANG,CH$2,AC_KM,$E66),SUMIFS(TF_SOTIEN,TF_THANG,CH$2,TF_KM,$E66))/ 1000</f>
        <v>0</v>
      </c>
      <c r="CO66" s="1091" t="str">
        <f t="shared" si="586"/>
        <v/>
      </c>
      <c r="CP66" s="1091" t="str">
        <f t="shared" si="710"/>
        <v/>
      </c>
      <c r="CQ66" s="1147">
        <f t="shared" si="53"/>
        <v>-328</v>
      </c>
      <c r="CR66" s="1091">
        <f t="shared" si="54"/>
        <v>-1</v>
      </c>
      <c r="CS66" s="1147">
        <f t="shared" si="55"/>
        <v>-328</v>
      </c>
      <c r="CT66" s="1091">
        <f t="shared" si="56"/>
        <v>-1</v>
      </c>
      <c r="CU66" s="1146">
        <f t="shared" si="694"/>
        <v>984</v>
      </c>
      <c r="CV66" s="1091" t="str">
        <f t="shared" si="587"/>
        <v/>
      </c>
      <c r="CW66" s="1091">
        <f t="shared" si="711"/>
        <v>0.0008358448319</v>
      </c>
      <c r="CX66" s="1147">
        <f t="shared" si="695"/>
        <v>5128</v>
      </c>
      <c r="CY66" s="1091" t="str">
        <f t="shared" si="589"/>
        <v/>
      </c>
      <c r="CZ66" s="1091">
        <f t="shared" si="712"/>
        <v>0.006430922081</v>
      </c>
      <c r="DA66" s="1147">
        <f t="shared" si="696"/>
        <v>6720</v>
      </c>
      <c r="DB66" s="1091" t="str">
        <f t="shared" si="591"/>
        <v/>
      </c>
      <c r="DC66" s="1091">
        <f t="shared" si="713"/>
        <v>0.01452431566</v>
      </c>
      <c r="DD66" s="1147">
        <f t="shared" si="63"/>
        <v>5736</v>
      </c>
      <c r="DE66" s="1091">
        <f t="shared" si="64"/>
        <v>5.829268293</v>
      </c>
      <c r="DF66" s="1147">
        <f t="shared" si="65"/>
        <v>1592</v>
      </c>
      <c r="DG66" s="1091">
        <f t="shared" si="66"/>
        <v>0.3104524181</v>
      </c>
      <c r="DH66" s="1146">
        <f t="shared" si="697"/>
        <v>1968</v>
      </c>
      <c r="DI66" s="1091" t="str">
        <f t="shared" si="592"/>
        <v/>
      </c>
      <c r="DJ66" s="1091">
        <f t="shared" si="714"/>
        <v>0.0008318419636</v>
      </c>
      <c r="DK66" s="1147">
        <f t="shared" si="216"/>
        <v>5456</v>
      </c>
      <c r="DL66" s="1091" t="str">
        <f t="shared" si="593"/>
        <v/>
      </c>
      <c r="DM66" s="1091">
        <f t="shared" si="715"/>
        <v>0.003643254046</v>
      </c>
      <c r="DN66" s="1147">
        <f t="shared" si="219"/>
        <v>6720</v>
      </c>
      <c r="DO66" s="1091">
        <f t="shared" si="594"/>
        <v>0.01976470588</v>
      </c>
      <c r="DP66" s="1091">
        <f t="shared" si="716"/>
        <v>0.007259101382</v>
      </c>
      <c r="DQ66" s="1147">
        <f t="shared" si="73"/>
        <v>4752</v>
      </c>
      <c r="DR66" s="1091">
        <f t="shared" si="74"/>
        <v>2.414634146</v>
      </c>
      <c r="DS66" s="1147">
        <f t="shared" si="75"/>
        <v>1264</v>
      </c>
      <c r="DT66" s="1091">
        <f t="shared" si="76"/>
        <v>0.2316715543</v>
      </c>
      <c r="DU66" s="1146">
        <f>SUMIFS(BP_SOTIEN,BP_THANG,DU$2,BP_KM,$E66)/1000</f>
        <v>328</v>
      </c>
      <c r="DV66" s="1091" t="str">
        <f t="shared" si="595"/>
        <v/>
      </c>
      <c r="DW66" s="1091"/>
      <c r="DX66" s="1147">
        <f>IF(NOW()&gt;=DATE(YEAR(DU$2),MONTH(DU$2)+1,DAY(DU$2)),SUMIFS(TF_SOTIEN,TF_THANG,DU$2,TF_KM,$E66)/1000, EA66)</f>
        <v>328</v>
      </c>
      <c r="DY66" s="1091" t="str">
        <f t="shared" si="596"/>
        <v/>
      </c>
      <c r="DZ66" s="1091"/>
      <c r="EA66" s="1147">
        <f>IF(NOW()&gt;=DATE(YEAR(DU$2),MONTH(DU$2)+1,DAY(DU$2)),SUMIFS(AC_SOTIEN,AC_THANG,DU$2,AC_KM,$E66),SUMIFS(TF_SOTIEN,TF_THANG,DU$2,TF_KM,$E66))/ 1000</f>
        <v>0</v>
      </c>
      <c r="EB66" s="1091" t="str">
        <f t="shared" si="597"/>
        <v/>
      </c>
      <c r="EC66" s="1091" t="str">
        <f t="shared" si="717"/>
        <v/>
      </c>
      <c r="ED66" s="1147">
        <f t="shared" si="80"/>
        <v>-328</v>
      </c>
      <c r="EE66" s="1091">
        <f t="shared" si="81"/>
        <v>-1</v>
      </c>
      <c r="EF66" s="1147">
        <f t="shared" si="82"/>
        <v>-328</v>
      </c>
      <c r="EG66" s="1091">
        <f t="shared" si="83"/>
        <v>-1</v>
      </c>
      <c r="EH66" s="1146">
        <f>SUMIFS(BP_SOTIEN,BP_THANG,EH$2,BP_KM,$E66)/1000</f>
        <v>328</v>
      </c>
      <c r="EI66" s="1091" t="str">
        <f t="shared" si="598"/>
        <v/>
      </c>
      <c r="EJ66" s="1091"/>
      <c r="EK66" s="1147">
        <f>IF(NOW()&gt;=DATE(YEAR(EH$2),MONTH(EH$2)+1,DAY(EH$2)),SUMIFS(TF_SOTIEN,TF_THANG,EH$2,TF_KM,$E66)/1000, EN66)</f>
        <v>328</v>
      </c>
      <c r="EL66" s="1091" t="str">
        <f t="shared" si="599"/>
        <v/>
      </c>
      <c r="EM66" s="1091"/>
      <c r="EN66" s="1147">
        <f>IF(NOW()&gt;=DATE(YEAR(EH$2),MONTH(EH$2)+1,DAY(EH$2)),SUMIFS(AC_SOTIEN,AC_THANG,EH$2,AC_KM,$E66),SUMIFS(TF_SOTIEN,TF_THANG,EH$2,TF_KM,$E66))/ 1000</f>
        <v>0</v>
      </c>
      <c r="EO66" s="1091" t="str">
        <f t="shared" si="600"/>
        <v/>
      </c>
      <c r="EP66" s="1091" t="str">
        <f t="shared" si="718"/>
        <v/>
      </c>
      <c r="EQ66" s="1147">
        <f t="shared" si="87"/>
        <v>-328</v>
      </c>
      <c r="ER66" s="1091">
        <f t="shared" si="88"/>
        <v>-1</v>
      </c>
      <c r="ES66" s="1147">
        <f t="shared" si="89"/>
        <v>-328</v>
      </c>
      <c r="ET66" s="1091">
        <f t="shared" si="90"/>
        <v>-1</v>
      </c>
      <c r="EU66" s="1146">
        <f>SUMIFS(BP_SOTIEN,BP_THANG,EU$2,BP_KM,$E66)/1000</f>
        <v>328</v>
      </c>
      <c r="EV66" s="1091" t="str">
        <f t="shared" si="601"/>
        <v/>
      </c>
      <c r="EW66" s="1091"/>
      <c r="EX66" s="1147">
        <f>IF(NOW()&gt;=DATE(YEAR(EU$2),MONTH(EU$2)+1,DAY(EU$2)),SUMIFS(TF_SOTIEN,TF_THANG,EU$2,TF_KM,$E66)/1000, FA66)</f>
        <v>328</v>
      </c>
      <c r="EY66" s="1091" t="str">
        <f t="shared" si="602"/>
        <v/>
      </c>
      <c r="EZ66" s="1091"/>
      <c r="FA66" s="1147">
        <f>IF(NOW()&gt;=DATE(YEAR(EU$2),MONTH(EU$2)+1,DAY(EU$2)),SUMIFS(AC_SOTIEN,AC_THANG,EU$2,AC_KM,$E66),SUMIFS(TF_SOTIEN,TF_THANG,EU$2,TF_KM,$E66))/ 1000</f>
        <v>0</v>
      </c>
      <c r="FB66" s="1091" t="str">
        <f t="shared" si="603"/>
        <v/>
      </c>
      <c r="FC66" s="1091" t="str">
        <f t="shared" si="719"/>
        <v/>
      </c>
      <c r="FD66" s="1147">
        <f t="shared" si="94"/>
        <v>-328</v>
      </c>
      <c r="FE66" s="1091">
        <f t="shared" si="95"/>
        <v>-1</v>
      </c>
      <c r="FF66" s="1147">
        <f t="shared" si="96"/>
        <v>-328</v>
      </c>
      <c r="FG66" s="1091">
        <f t="shared" si="97"/>
        <v>-1</v>
      </c>
      <c r="FH66" s="1146">
        <f t="shared" si="698"/>
        <v>984</v>
      </c>
      <c r="FI66" s="1091" t="str">
        <f t="shared" si="604"/>
        <v/>
      </c>
      <c r="FJ66" s="1091">
        <f t="shared" si="720"/>
        <v>0.0008388124666</v>
      </c>
      <c r="FK66" s="1147">
        <f t="shared" si="243"/>
        <v>984</v>
      </c>
      <c r="FL66" s="1091" t="str">
        <f t="shared" si="605"/>
        <v/>
      </c>
      <c r="FM66" s="1091">
        <f t="shared" si="721"/>
        <v>0.0008388124666</v>
      </c>
      <c r="FN66" s="1147">
        <f t="shared" si="246"/>
        <v>0</v>
      </c>
      <c r="FO66" s="1091" t="str">
        <f t="shared" si="606"/>
        <v/>
      </c>
      <c r="FP66" s="1091" t="str">
        <f t="shared" si="722"/>
        <v/>
      </c>
      <c r="FQ66" s="1147">
        <f t="shared" si="104"/>
        <v>-984</v>
      </c>
      <c r="FR66" s="1091">
        <f t="shared" si="105"/>
        <v>-1</v>
      </c>
      <c r="FS66" s="1147">
        <f t="shared" si="106"/>
        <v>-984</v>
      </c>
      <c r="FT66" s="1091">
        <f t="shared" si="107"/>
        <v>-1</v>
      </c>
      <c r="FU66" s="1146">
        <f>SUMIFS(BP_SOTIEN,BP_THANG,FU$2,BP_KM,$E66)/1000</f>
        <v>328</v>
      </c>
      <c r="FV66" s="1091" t="str">
        <f t="shared" si="607"/>
        <v/>
      </c>
      <c r="FW66" s="1091"/>
      <c r="FX66" s="1147">
        <f>IF(NOW()&gt;=DATE(YEAR(FU$2),MONTH(FU$2)+1,DAY(FU$2)),SUMIFS(TF_SOTIEN,TF_THANG,FU$2,TF_KM,$E66)/1000, GA66)</f>
        <v>328</v>
      </c>
      <c r="FY66" s="1091" t="str">
        <f t="shared" si="608"/>
        <v/>
      </c>
      <c r="FZ66" s="1091"/>
      <c r="GA66" s="1147">
        <f>IF(NOW()&gt;=DATE(YEAR(FU$2),MONTH(FU$2)+1,DAY(FU$2)),SUMIFS(AC_SOTIEN,AC_THANG,FU$2,AC_KM,$E66),SUMIFS(TF_SOTIEN,TF_THANG,FU$2,TF_KM,$E66))/ 1000</f>
        <v>0</v>
      </c>
      <c r="GB66" s="1091" t="str">
        <f t="shared" si="609"/>
        <v/>
      </c>
      <c r="GC66" s="1091" t="str">
        <f t="shared" si="723"/>
        <v/>
      </c>
      <c r="GD66" s="1147">
        <f t="shared" si="111"/>
        <v>-328</v>
      </c>
      <c r="GE66" s="1091">
        <f t="shared" si="112"/>
        <v>-1</v>
      </c>
      <c r="GF66" s="1147">
        <f t="shared" si="113"/>
        <v>-328</v>
      </c>
      <c r="GG66" s="1091">
        <f t="shared" si="114"/>
        <v>-1</v>
      </c>
      <c r="GH66" s="1146">
        <f>SUMIFS(BP_SOTIEN,BP_THANG,GH$2,BP_KM,$E66)/1000</f>
        <v>328</v>
      </c>
      <c r="GI66" s="1091" t="str">
        <f t="shared" si="610"/>
        <v/>
      </c>
      <c r="GJ66" s="1091"/>
      <c r="GK66" s="1147">
        <f>IF(NOW()&gt;=DATE(YEAR(GH$2),MONTH(GH$2)+1,DAY(GH$2)),SUMIFS(TF_SOTIEN,TF_THANG,GH$2,TF_KM,$E66)/1000, GN66)</f>
        <v>328</v>
      </c>
      <c r="GL66" s="1091" t="str">
        <f t="shared" si="611"/>
        <v/>
      </c>
      <c r="GM66" s="1091"/>
      <c r="GN66" s="1147">
        <f>IF(NOW()&gt;=DATE(YEAR(GH$2),MONTH(GH$2)+1,DAY(GH$2)),SUMIFS(AC_SOTIEN,AC_THANG,GH$2,AC_KM,$E66),SUMIFS(TF_SOTIEN,TF_THANG,GH$2,TF_KM,$E66))/ 1000</f>
        <v>0</v>
      </c>
      <c r="GO66" s="1091" t="str">
        <f t="shared" si="612"/>
        <v/>
      </c>
      <c r="GP66" s="1091" t="str">
        <f t="shared" si="724"/>
        <v/>
      </c>
      <c r="GQ66" s="1147">
        <f t="shared" si="118"/>
        <v>-328</v>
      </c>
      <c r="GR66" s="1091">
        <f t="shared" si="119"/>
        <v>-1</v>
      </c>
      <c r="GS66" s="1147">
        <f t="shared" si="120"/>
        <v>-328</v>
      </c>
      <c r="GT66" s="1091">
        <f t="shared" si="121"/>
        <v>-1</v>
      </c>
      <c r="GU66" s="1146">
        <f>SUMIFS(BP_SOTIEN,BP_THANG,GU$2,BP_KM,$E66)/1000</f>
        <v>328</v>
      </c>
      <c r="GV66" s="1091" t="str">
        <f t="shared" si="613"/>
        <v/>
      </c>
      <c r="GW66" s="1091"/>
      <c r="GX66" s="1147">
        <f>IF(NOW()&gt;=DATE(YEAR(GU$2),MONTH(GU$2)+1,DAY(GU$2)),SUMIFS(TF_SOTIEN,TF_THANG,GU$2,TF_KM,$E66)/1000, HA66)</f>
        <v>328</v>
      </c>
      <c r="GY66" s="1091" t="str">
        <f t="shared" si="614"/>
        <v/>
      </c>
      <c r="GZ66" s="1091"/>
      <c r="HA66" s="1147">
        <f>IF(NOW()&gt;=DATE(YEAR(GU$2),MONTH(GU$2)+1,DAY(GU$2)),SUMIFS(AC_SOTIEN,AC_THANG,GU$2,AC_KM,$E66),SUMIFS(TF_SOTIEN,TF_THANG,GU$2,TF_KM,$E66))/ 1000</f>
        <v>0</v>
      </c>
      <c r="HB66" s="1091" t="str">
        <f t="shared" si="615"/>
        <v/>
      </c>
      <c r="HC66" s="1091" t="str">
        <f t="shared" si="725"/>
        <v/>
      </c>
      <c r="HD66" s="1147">
        <f t="shared" si="125"/>
        <v>-328</v>
      </c>
      <c r="HE66" s="1091">
        <f t="shared" si="126"/>
        <v>-1</v>
      </c>
      <c r="HF66" s="1147">
        <f t="shared" si="127"/>
        <v>-328</v>
      </c>
      <c r="HG66" s="1091">
        <f t="shared" si="128"/>
        <v>-1</v>
      </c>
      <c r="HH66" s="1146">
        <f t="shared" si="699"/>
        <v>984</v>
      </c>
      <c r="HI66" s="1091" t="str">
        <f t="shared" si="616"/>
        <v/>
      </c>
      <c r="HJ66" s="1091">
        <f t="shared" si="726"/>
        <v>0.0008388124666</v>
      </c>
      <c r="HK66" s="1147">
        <f t="shared" si="270"/>
        <v>984</v>
      </c>
      <c r="HL66" s="1091" t="str">
        <f t="shared" si="617"/>
        <v/>
      </c>
      <c r="HM66" s="1091">
        <f t="shared" si="727"/>
        <v>0.0008388124666</v>
      </c>
      <c r="HN66" s="1147">
        <f t="shared" si="273"/>
        <v>0</v>
      </c>
      <c r="HO66" s="1091" t="str">
        <f t="shared" si="618"/>
        <v/>
      </c>
      <c r="HP66" s="1091" t="str">
        <f t="shared" si="728"/>
        <v/>
      </c>
      <c r="HQ66" s="1147">
        <f t="shared" si="135"/>
        <v>-984</v>
      </c>
      <c r="HR66" s="1091">
        <f t="shared" si="136"/>
        <v>-1</v>
      </c>
      <c r="HS66" s="1147">
        <f t="shared" si="137"/>
        <v>-984</v>
      </c>
      <c r="HT66" s="1091">
        <f t="shared" si="138"/>
        <v>-1</v>
      </c>
      <c r="HU66" s="1146">
        <f t="shared" si="700"/>
        <v>1968</v>
      </c>
      <c r="HV66" s="1091" t="str">
        <f t="shared" si="619"/>
        <v/>
      </c>
      <c r="HW66" s="1091">
        <f t="shared" si="729"/>
        <v>0.0008388124666</v>
      </c>
      <c r="HX66" s="1147">
        <f t="shared" si="279"/>
        <v>1968</v>
      </c>
      <c r="HY66" s="1091" t="str">
        <f t="shared" si="620"/>
        <v/>
      </c>
      <c r="HZ66" s="1091">
        <f t="shared" si="730"/>
        <v>0.0008388124666</v>
      </c>
      <c r="IA66" s="1147">
        <f t="shared" si="282"/>
        <v>0</v>
      </c>
      <c r="IB66" s="1091" t="str">
        <f t="shared" si="621"/>
        <v/>
      </c>
      <c r="IC66" s="1091" t="str">
        <f t="shared" si="731"/>
        <v/>
      </c>
      <c r="ID66" s="1147">
        <f t="shared" si="145"/>
        <v>-1968</v>
      </c>
      <c r="IE66" s="1091">
        <f t="shared" si="146"/>
        <v>-1</v>
      </c>
      <c r="IF66" s="1147">
        <f t="shared" si="147"/>
        <v>-1968</v>
      </c>
      <c r="IG66" s="1091">
        <f t="shared" si="148"/>
        <v>-1</v>
      </c>
      <c r="IH66" s="1146">
        <f t="shared" si="701"/>
        <v>3936</v>
      </c>
      <c r="II66" s="1091" t="str">
        <f t="shared" si="622"/>
        <v/>
      </c>
      <c r="IJ66" s="1091">
        <f t="shared" si="732"/>
        <v>0.0008353126735</v>
      </c>
      <c r="IK66" s="1147">
        <f t="shared" si="288"/>
        <v>7424</v>
      </c>
      <c r="IL66" s="1091" t="str">
        <f t="shared" si="623"/>
        <v/>
      </c>
      <c r="IM66" s="1091">
        <f t="shared" si="733"/>
        <v>0.001931454026</v>
      </c>
      <c r="IN66" s="1147">
        <f t="shared" si="291"/>
        <v>6720</v>
      </c>
      <c r="IO66" s="1091">
        <f t="shared" si="624"/>
        <v>0.01976470588</v>
      </c>
      <c r="IP66" s="1091">
        <f t="shared" si="734"/>
        <v>0.007259101382</v>
      </c>
      <c r="IQ66" s="1147">
        <f t="shared" si="155"/>
        <v>2784</v>
      </c>
      <c r="IR66" s="1091">
        <f t="shared" si="1"/>
        <v>0.7073170732</v>
      </c>
      <c r="IS66" s="1147">
        <f t="shared" si="156"/>
        <v>-704</v>
      </c>
      <c r="IT66" s="1091">
        <f t="shared" si="2"/>
        <v>-0.09482758621</v>
      </c>
    </row>
    <row r="67" hidden="1" outlineLevel="1">
      <c r="A67" s="737"/>
      <c r="B67" s="737"/>
      <c r="C67" s="737"/>
      <c r="D67" s="737" t="s">
        <v>2852</v>
      </c>
      <c r="E67" s="737" t="s">
        <v>1153</v>
      </c>
      <c r="F67" s="737"/>
      <c r="G67" s="748">
        <v>3.0</v>
      </c>
      <c r="H67" s="1146">
        <f>SUMIFS(BP_SOTIEN,BP_THANG,H$2,BP_KM,$E67)/1000</f>
        <v>8333</v>
      </c>
      <c r="I67" s="1091" t="str">
        <f t="shared" si="566"/>
        <v/>
      </c>
      <c r="J67" s="1091"/>
      <c r="K67" s="1147">
        <f>IF(NOW()&gt;=DATE(YEAR(H$2),MONTH(H$2)+1,DAY(H$2)),SUMIFS(TF_SOTIEN,TF_THANG,H$2,TF_KM,$E67)/1000, N67)</f>
        <v>8333</v>
      </c>
      <c r="L67" s="1091" t="str">
        <f t="shared" si="567"/>
        <v/>
      </c>
      <c r="M67" s="1091"/>
      <c r="N67" s="1147">
        <f>IF(NOW()&gt;=DATE(YEAR(H$2),MONTH(H$2)+1,DAY(H$2)),SUMIFS(AC_SOTIEN,AC_THANG,H$2,AC_KM,$E67),SUMIFS(TF_SOTIEN,TF_THANG,H$2,TF_KM,$E67))/ 1000</f>
        <v>0</v>
      </c>
      <c r="O67" s="1091">
        <f t="shared" si="568"/>
        <v>0</v>
      </c>
      <c r="P67" s="1091">
        <f t="shared" si="702"/>
        <v>0</v>
      </c>
      <c r="Q67" s="1147">
        <f t="shared" si="8"/>
        <v>-8333</v>
      </c>
      <c r="R67" s="1091">
        <f t="shared" si="9"/>
        <v>-1</v>
      </c>
      <c r="S67" s="1147">
        <f t="shared" si="10"/>
        <v>-8333</v>
      </c>
      <c r="T67" s="1091">
        <f t="shared" si="11"/>
        <v>-1</v>
      </c>
      <c r="U67" s="1146">
        <f>SUMIFS(BP_SOTIEN,BP_THANG,U$2,BP_KM,$E67)/1000</f>
        <v>8333</v>
      </c>
      <c r="V67" s="1091" t="str">
        <f t="shared" si="569"/>
        <v/>
      </c>
      <c r="W67" s="1091"/>
      <c r="X67" s="1147">
        <f>IF(NOW()&gt;=DATE(YEAR(U$2),MONTH(U$2)+1,DAY(U$2)),SUMIFS(TF_SOTIEN,TF_THANG,U$2,TF_KM,$E67)/1000, AA67)</f>
        <v>0</v>
      </c>
      <c r="Y67" s="1091" t="str">
        <f t="shared" si="570"/>
        <v/>
      </c>
      <c r="Z67" s="1091"/>
      <c r="AA67" s="1147">
        <f>IF(NOW()&gt;=DATE(YEAR(U$2),MONTH(U$2)+1,DAY(U$2)),SUMIFS(AC_SOTIEN,AC_THANG,U$2,AC_KM,$E67),SUMIFS(TF_SOTIEN,TF_THANG,U$2,TF_KM,$E67))/ 1000</f>
        <v>0</v>
      </c>
      <c r="AB67" s="1091" t="str">
        <f t="shared" si="571"/>
        <v/>
      </c>
      <c r="AC67" s="1091">
        <f t="shared" si="703"/>
        <v>0</v>
      </c>
      <c r="AD67" s="1147">
        <f t="shared" si="15"/>
        <v>-8333</v>
      </c>
      <c r="AE67" s="1091">
        <f t="shared" si="16"/>
        <v>-1</v>
      </c>
      <c r="AF67" s="1147">
        <f t="shared" si="17"/>
        <v>0</v>
      </c>
      <c r="AG67" s="1091" t="str">
        <f t="shared" si="18"/>
        <v/>
      </c>
      <c r="AH67" s="1146">
        <f>SUMIFS(BP_SOTIEN,BP_THANG,AH$2,BP_KM,$E67)/1000</f>
        <v>8333</v>
      </c>
      <c r="AI67" s="1091" t="str">
        <f t="shared" si="572"/>
        <v/>
      </c>
      <c r="AJ67" s="1091"/>
      <c r="AK67" s="1147">
        <f>IF(NOW()&gt;=DATE(YEAR(AH$2),MONTH(AH$2)+1,DAY(AH$2)),SUMIFS(TF_SOTIEN,TF_THANG,AH$2,TF_KM,$E67)/1000, AN67)</f>
        <v>0</v>
      </c>
      <c r="AL67" s="1091" t="str">
        <f t="shared" si="573"/>
        <v/>
      </c>
      <c r="AM67" s="1091"/>
      <c r="AN67" s="1147">
        <f>IF(NOW()&gt;=DATE(YEAR(AH$2),MONTH(AH$2)+1,DAY(AH$2)),SUMIFS(AC_SOTIEN,AC_THANG,AH$2,AC_KM,$E67),SUMIFS(TF_SOTIEN,TF_THANG,AH$2,TF_KM,$E67))/ 1000</f>
        <v>0</v>
      </c>
      <c r="AO67" s="1091" t="str">
        <f t="shared" si="574"/>
        <v/>
      </c>
      <c r="AP67" s="1091">
        <f t="shared" si="704"/>
        <v>0</v>
      </c>
      <c r="AQ67" s="1147">
        <f t="shared" si="22"/>
        <v>-8333</v>
      </c>
      <c r="AR67" s="1091">
        <f t="shared" si="23"/>
        <v>-1</v>
      </c>
      <c r="AS67" s="1147">
        <f t="shared" si="24"/>
        <v>0</v>
      </c>
      <c r="AT67" s="1091" t="str">
        <f t="shared" si="25"/>
        <v/>
      </c>
      <c r="AU67" s="1146">
        <f t="shared" si="691"/>
        <v>24999</v>
      </c>
      <c r="AV67" s="1091" t="str">
        <f t="shared" si="575"/>
        <v/>
      </c>
      <c r="AW67" s="1091">
        <f t="shared" si="705"/>
        <v>0.02103262543</v>
      </c>
      <c r="AX67" s="1147">
        <f t="shared" si="692"/>
        <v>8333</v>
      </c>
      <c r="AY67" s="1091" t="str">
        <f t="shared" si="576"/>
        <v/>
      </c>
      <c r="AZ67" s="1091">
        <f t="shared" si="706"/>
        <v>0.0119014802</v>
      </c>
      <c r="BA67" s="1147">
        <f t="shared" si="693"/>
        <v>0</v>
      </c>
      <c r="BB67" s="1091">
        <f t="shared" si="577"/>
        <v>0</v>
      </c>
      <c r="BC67" s="1091">
        <f t="shared" si="707"/>
        <v>0</v>
      </c>
      <c r="BD67" s="1147">
        <f t="shared" si="32"/>
        <v>-24999</v>
      </c>
      <c r="BE67" s="1091">
        <f t="shared" si="33"/>
        <v>-1</v>
      </c>
      <c r="BF67" s="1147">
        <f t="shared" si="34"/>
        <v>-8333</v>
      </c>
      <c r="BG67" s="1091">
        <f t="shared" si="35"/>
        <v>-1</v>
      </c>
      <c r="BH67" s="1146">
        <f>SUMIFS(BP_SOTIEN,BP_THANG,BH$2,BP_KM,$E67)/1000</f>
        <v>8333</v>
      </c>
      <c r="BI67" s="1091" t="str">
        <f t="shared" si="578"/>
        <v/>
      </c>
      <c r="BJ67" s="1091"/>
      <c r="BK67" s="1147">
        <f>IF(NOW()&gt;=DATE(YEAR(BH$2),MONTH(BH$2)+1,DAY(BH$2)),SUMIFS(TF_SOTIEN,TF_THANG,BH$2,TF_KM,$E67)/1000, BN67)</f>
        <v>0</v>
      </c>
      <c r="BL67" s="1091" t="str">
        <f t="shared" si="579"/>
        <v/>
      </c>
      <c r="BM67" s="1091"/>
      <c r="BN67" s="1147">
        <f>IF(NOW()&gt;=DATE(YEAR(BH$2),MONTH(BH$2)+1,DAY(BH$2)),SUMIFS(AC_SOTIEN,AC_THANG,BH$2,AC_KM,$E67),SUMIFS(TF_SOTIEN,TF_THANG,BH$2,TF_KM,$E67))/ 1000</f>
        <v>0</v>
      </c>
      <c r="BO67" s="1091" t="str">
        <f t="shared" si="580"/>
        <v/>
      </c>
      <c r="BP67" s="1091">
        <f t="shared" si="708"/>
        <v>0</v>
      </c>
      <c r="BQ67" s="1147">
        <f t="shared" si="39"/>
        <v>-8333</v>
      </c>
      <c r="BR67" s="1091">
        <f t="shared" si="40"/>
        <v>-1</v>
      </c>
      <c r="BS67" s="1147">
        <f t="shared" si="41"/>
        <v>0</v>
      </c>
      <c r="BT67" s="1091" t="str">
        <f t="shared" si="42"/>
        <v/>
      </c>
      <c r="BU67" s="1146">
        <f>SUMIFS(BP_SOTIEN,BP_THANG,BU$2,BP_KM,$E67)/1000</f>
        <v>8333</v>
      </c>
      <c r="BV67" s="1091" t="str">
        <f t="shared" si="581"/>
        <v/>
      </c>
      <c r="BW67" s="1091"/>
      <c r="BX67" s="1147">
        <f>IF(NOW()&gt;=DATE(YEAR(BU$2),MONTH(BU$2)+1,DAY(BU$2)),SUMIFS(TF_SOTIEN,TF_THANG,BU$2,TF_KM,$E67)/1000, CA67)</f>
        <v>0</v>
      </c>
      <c r="BY67" s="1091" t="str">
        <f t="shared" si="582"/>
        <v/>
      </c>
      <c r="BZ67" s="1091"/>
      <c r="CA67" s="1147">
        <f>IF(NOW()&gt;=DATE(YEAR(BU$2),MONTH(BU$2)+1,DAY(BU$2)),SUMIFS(AC_SOTIEN,AC_THANG,BU$2,AC_KM,$E67),SUMIFS(TF_SOTIEN,TF_THANG,BU$2,TF_KM,$E67))/ 1000</f>
        <v>1037</v>
      </c>
      <c r="CB67" s="1091" t="str">
        <f t="shared" si="583"/>
        <v/>
      </c>
      <c r="CC67" s="1091">
        <f t="shared" si="709"/>
        <v>0.004136675553</v>
      </c>
      <c r="CD67" s="1147">
        <f t="shared" si="46"/>
        <v>-7296</v>
      </c>
      <c r="CE67" s="1091">
        <f t="shared" si="47"/>
        <v>-0.8755550222</v>
      </c>
      <c r="CF67" s="1147">
        <f t="shared" si="48"/>
        <v>1037</v>
      </c>
      <c r="CG67" s="1091" t="str">
        <f t="shared" si="49"/>
        <v/>
      </c>
      <c r="CH67" s="1146">
        <f>SUMIFS(BP_SOTIEN,BP_THANG,CH$2,BP_KM,$E67)/1000</f>
        <v>8333</v>
      </c>
      <c r="CI67" s="1091" t="str">
        <f t="shared" si="584"/>
        <v/>
      </c>
      <c r="CJ67" s="1091"/>
      <c r="CK67" s="1147">
        <f>IF(NOW()&gt;=DATE(YEAR(CH$2),MONTH(CH$2)+1,DAY(CH$2)),SUMIFS(TF_SOTIEN,TF_THANG,CH$2,TF_KM,$E67)/1000, CN67)</f>
        <v>8333</v>
      </c>
      <c r="CL67" s="1091" t="str">
        <f t="shared" si="585"/>
        <v/>
      </c>
      <c r="CM67" s="1091"/>
      <c r="CN67" s="1147">
        <f>IF(NOW()&gt;=DATE(YEAR(CH$2),MONTH(CH$2)+1,DAY(CH$2)),SUMIFS(AC_SOTIEN,AC_THANG,CH$2,AC_KM,$E67),SUMIFS(TF_SOTIEN,TF_THANG,CH$2,TF_KM,$E67))/ 1000</f>
        <v>0</v>
      </c>
      <c r="CO67" s="1091" t="str">
        <f t="shared" si="586"/>
        <v/>
      </c>
      <c r="CP67" s="1091" t="str">
        <f t="shared" si="710"/>
        <v/>
      </c>
      <c r="CQ67" s="1147">
        <f t="shared" si="53"/>
        <v>-8333</v>
      </c>
      <c r="CR67" s="1091">
        <f t="shared" si="54"/>
        <v>-1</v>
      </c>
      <c r="CS67" s="1147">
        <f t="shared" si="55"/>
        <v>-8333</v>
      </c>
      <c r="CT67" s="1091">
        <f t="shared" si="56"/>
        <v>-1</v>
      </c>
      <c r="CU67" s="1146">
        <f t="shared" si="694"/>
        <v>24999</v>
      </c>
      <c r="CV67" s="1091" t="str">
        <f t="shared" si="587"/>
        <v/>
      </c>
      <c r="CW67" s="1091">
        <f t="shared" si="711"/>
        <v>0.02123504568</v>
      </c>
      <c r="CX67" s="1147">
        <f t="shared" si="695"/>
        <v>8333</v>
      </c>
      <c r="CY67" s="1091" t="str">
        <f t="shared" si="589"/>
        <v/>
      </c>
      <c r="CZ67" s="1091">
        <f t="shared" si="712"/>
        <v>0.01045024838</v>
      </c>
      <c r="DA67" s="1147">
        <f t="shared" si="696"/>
        <v>1037</v>
      </c>
      <c r="DB67" s="1091" t="str">
        <f t="shared" si="591"/>
        <v/>
      </c>
      <c r="DC67" s="1091">
        <f t="shared" si="713"/>
        <v>0.002241326688</v>
      </c>
      <c r="DD67" s="1147">
        <f t="shared" si="63"/>
        <v>-23962</v>
      </c>
      <c r="DE67" s="1091">
        <f t="shared" si="64"/>
        <v>-0.9585183407</v>
      </c>
      <c r="DF67" s="1147">
        <f t="shared" si="65"/>
        <v>-7296</v>
      </c>
      <c r="DG67" s="1091">
        <f t="shared" si="66"/>
        <v>-0.8755550222</v>
      </c>
      <c r="DH67" s="1146">
        <f t="shared" si="697"/>
        <v>49998</v>
      </c>
      <c r="DI67" s="1091" t="str">
        <f t="shared" si="592"/>
        <v/>
      </c>
      <c r="DJ67" s="1091">
        <f t="shared" si="714"/>
        <v>0.02113335086</v>
      </c>
      <c r="DK67" s="1147">
        <f t="shared" si="216"/>
        <v>16666</v>
      </c>
      <c r="DL67" s="1091" t="str">
        <f t="shared" si="593"/>
        <v/>
      </c>
      <c r="DM67" s="1091">
        <f t="shared" si="715"/>
        <v>0.01112875219</v>
      </c>
      <c r="DN67" s="1147">
        <f t="shared" si="219"/>
        <v>1037</v>
      </c>
      <c r="DO67" s="1091">
        <f t="shared" si="594"/>
        <v>0.00305</v>
      </c>
      <c r="DP67" s="1091">
        <f t="shared" si="716"/>
        <v>0.001120191686</v>
      </c>
      <c r="DQ67" s="1147">
        <f t="shared" si="73"/>
        <v>-48961</v>
      </c>
      <c r="DR67" s="1091">
        <f t="shared" si="74"/>
        <v>-0.9792591704</v>
      </c>
      <c r="DS67" s="1147">
        <f t="shared" si="75"/>
        <v>-15629</v>
      </c>
      <c r="DT67" s="1091">
        <f t="shared" si="76"/>
        <v>-0.9377775111</v>
      </c>
      <c r="DU67" s="1146">
        <f>SUMIFS(BP_SOTIEN,BP_THANG,DU$2,BP_KM,$E67)/1000</f>
        <v>8333</v>
      </c>
      <c r="DV67" s="1091" t="str">
        <f t="shared" si="595"/>
        <v/>
      </c>
      <c r="DW67" s="1091"/>
      <c r="DX67" s="1147">
        <f>IF(NOW()&gt;=DATE(YEAR(DU$2),MONTH(DU$2)+1,DAY(DU$2)),SUMIFS(TF_SOTIEN,TF_THANG,DU$2,TF_KM,$E67)/1000, EA67)</f>
        <v>8333</v>
      </c>
      <c r="DY67" s="1091" t="str">
        <f t="shared" si="596"/>
        <v/>
      </c>
      <c r="DZ67" s="1091"/>
      <c r="EA67" s="1147">
        <f>IF(NOW()&gt;=DATE(YEAR(DU$2),MONTH(DU$2)+1,DAY(DU$2)),SUMIFS(AC_SOTIEN,AC_THANG,DU$2,AC_KM,$E67),SUMIFS(TF_SOTIEN,TF_THANG,DU$2,TF_KM,$E67))/ 1000</f>
        <v>0</v>
      </c>
      <c r="EB67" s="1091" t="str">
        <f t="shared" si="597"/>
        <v/>
      </c>
      <c r="EC67" s="1091" t="str">
        <f t="shared" si="717"/>
        <v/>
      </c>
      <c r="ED67" s="1147">
        <f t="shared" si="80"/>
        <v>-8333</v>
      </c>
      <c r="EE67" s="1091">
        <f t="shared" si="81"/>
        <v>-1</v>
      </c>
      <c r="EF67" s="1147">
        <f t="shared" si="82"/>
        <v>-8333</v>
      </c>
      <c r="EG67" s="1091">
        <f t="shared" si="83"/>
        <v>-1</v>
      </c>
      <c r="EH67" s="1146">
        <f>SUMIFS(BP_SOTIEN,BP_THANG,EH$2,BP_KM,$E67)/1000</f>
        <v>8333</v>
      </c>
      <c r="EI67" s="1091" t="str">
        <f t="shared" si="598"/>
        <v/>
      </c>
      <c r="EJ67" s="1091"/>
      <c r="EK67" s="1147">
        <f>IF(NOW()&gt;=DATE(YEAR(EH$2),MONTH(EH$2)+1,DAY(EH$2)),SUMIFS(TF_SOTIEN,TF_THANG,EH$2,TF_KM,$E67)/1000, EN67)</f>
        <v>8333</v>
      </c>
      <c r="EL67" s="1091" t="str">
        <f t="shared" si="599"/>
        <v/>
      </c>
      <c r="EM67" s="1091"/>
      <c r="EN67" s="1147">
        <f>IF(NOW()&gt;=DATE(YEAR(EH$2),MONTH(EH$2)+1,DAY(EH$2)),SUMIFS(AC_SOTIEN,AC_THANG,EH$2,AC_KM,$E67),SUMIFS(TF_SOTIEN,TF_THANG,EH$2,TF_KM,$E67))/ 1000</f>
        <v>0</v>
      </c>
      <c r="EO67" s="1091" t="str">
        <f t="shared" si="600"/>
        <v/>
      </c>
      <c r="EP67" s="1091" t="str">
        <f t="shared" si="718"/>
        <v/>
      </c>
      <c r="EQ67" s="1147">
        <f t="shared" si="87"/>
        <v>-8333</v>
      </c>
      <c r="ER67" s="1091">
        <f t="shared" si="88"/>
        <v>-1</v>
      </c>
      <c r="ES67" s="1147">
        <f t="shared" si="89"/>
        <v>-8333</v>
      </c>
      <c r="ET67" s="1091">
        <f t="shared" si="90"/>
        <v>-1</v>
      </c>
      <c r="EU67" s="1146">
        <f>SUMIFS(BP_SOTIEN,BP_THANG,EU$2,BP_KM,$E67)/1000</f>
        <v>8333</v>
      </c>
      <c r="EV67" s="1091" t="str">
        <f t="shared" si="601"/>
        <v/>
      </c>
      <c r="EW67" s="1091"/>
      <c r="EX67" s="1147">
        <f>IF(NOW()&gt;=DATE(YEAR(EU$2),MONTH(EU$2)+1,DAY(EU$2)),SUMIFS(TF_SOTIEN,TF_THANG,EU$2,TF_KM,$E67)/1000, FA67)</f>
        <v>8333</v>
      </c>
      <c r="EY67" s="1091" t="str">
        <f t="shared" si="602"/>
        <v/>
      </c>
      <c r="EZ67" s="1091"/>
      <c r="FA67" s="1147">
        <f>IF(NOW()&gt;=DATE(YEAR(EU$2),MONTH(EU$2)+1,DAY(EU$2)),SUMIFS(AC_SOTIEN,AC_THANG,EU$2,AC_KM,$E67),SUMIFS(TF_SOTIEN,TF_THANG,EU$2,TF_KM,$E67))/ 1000</f>
        <v>0</v>
      </c>
      <c r="FB67" s="1091" t="str">
        <f t="shared" si="603"/>
        <v/>
      </c>
      <c r="FC67" s="1091" t="str">
        <f t="shared" si="719"/>
        <v/>
      </c>
      <c r="FD67" s="1147">
        <f t="shared" si="94"/>
        <v>-8333</v>
      </c>
      <c r="FE67" s="1091">
        <f t="shared" si="95"/>
        <v>-1</v>
      </c>
      <c r="FF67" s="1147">
        <f t="shared" si="96"/>
        <v>-8333</v>
      </c>
      <c r="FG67" s="1091">
        <f t="shared" si="97"/>
        <v>-1</v>
      </c>
      <c r="FH67" s="1146">
        <f t="shared" si="698"/>
        <v>24999</v>
      </c>
      <c r="FI67" s="1091" t="str">
        <f t="shared" si="604"/>
        <v/>
      </c>
      <c r="FJ67" s="1091">
        <f t="shared" si="720"/>
        <v>0.02131043989</v>
      </c>
      <c r="FK67" s="1147">
        <f t="shared" si="243"/>
        <v>24999</v>
      </c>
      <c r="FL67" s="1091" t="str">
        <f t="shared" si="605"/>
        <v/>
      </c>
      <c r="FM67" s="1091">
        <f t="shared" si="721"/>
        <v>0.02131043989</v>
      </c>
      <c r="FN67" s="1147">
        <f t="shared" si="246"/>
        <v>0</v>
      </c>
      <c r="FO67" s="1091" t="str">
        <f t="shared" si="606"/>
        <v/>
      </c>
      <c r="FP67" s="1091" t="str">
        <f t="shared" si="722"/>
        <v/>
      </c>
      <c r="FQ67" s="1147">
        <f t="shared" si="104"/>
        <v>-24999</v>
      </c>
      <c r="FR67" s="1091">
        <f t="shared" si="105"/>
        <v>-1</v>
      </c>
      <c r="FS67" s="1147">
        <f t="shared" si="106"/>
        <v>-24999</v>
      </c>
      <c r="FT67" s="1091">
        <f t="shared" si="107"/>
        <v>-1</v>
      </c>
      <c r="FU67" s="1146">
        <f>SUMIFS(BP_SOTIEN,BP_THANG,FU$2,BP_KM,$E67)/1000</f>
        <v>8333</v>
      </c>
      <c r="FV67" s="1091" t="str">
        <f t="shared" si="607"/>
        <v/>
      </c>
      <c r="FW67" s="1091"/>
      <c r="FX67" s="1147">
        <f>IF(NOW()&gt;=DATE(YEAR(FU$2),MONTH(FU$2)+1,DAY(FU$2)),SUMIFS(TF_SOTIEN,TF_THANG,FU$2,TF_KM,$E67)/1000, GA67)</f>
        <v>8333</v>
      </c>
      <c r="FY67" s="1091" t="str">
        <f t="shared" si="608"/>
        <v/>
      </c>
      <c r="FZ67" s="1091"/>
      <c r="GA67" s="1147">
        <f>IF(NOW()&gt;=DATE(YEAR(FU$2),MONTH(FU$2)+1,DAY(FU$2)),SUMIFS(AC_SOTIEN,AC_THANG,FU$2,AC_KM,$E67),SUMIFS(TF_SOTIEN,TF_THANG,FU$2,TF_KM,$E67))/ 1000</f>
        <v>0</v>
      </c>
      <c r="GB67" s="1091" t="str">
        <f t="shared" si="609"/>
        <v/>
      </c>
      <c r="GC67" s="1091" t="str">
        <f t="shared" si="723"/>
        <v/>
      </c>
      <c r="GD67" s="1147">
        <f t="shared" si="111"/>
        <v>-8333</v>
      </c>
      <c r="GE67" s="1091">
        <f t="shared" si="112"/>
        <v>-1</v>
      </c>
      <c r="GF67" s="1147">
        <f t="shared" si="113"/>
        <v>-8333</v>
      </c>
      <c r="GG67" s="1091">
        <f t="shared" si="114"/>
        <v>-1</v>
      </c>
      <c r="GH67" s="1146">
        <f>SUMIFS(BP_SOTIEN,BP_THANG,GH$2,BP_KM,$E67)/1000</f>
        <v>8333</v>
      </c>
      <c r="GI67" s="1091" t="str">
        <f t="shared" si="610"/>
        <v/>
      </c>
      <c r="GJ67" s="1091"/>
      <c r="GK67" s="1147">
        <f>IF(NOW()&gt;=DATE(YEAR(GH$2),MONTH(GH$2)+1,DAY(GH$2)),SUMIFS(TF_SOTIEN,TF_THANG,GH$2,TF_KM,$E67)/1000, GN67)</f>
        <v>8333</v>
      </c>
      <c r="GL67" s="1091" t="str">
        <f t="shared" si="611"/>
        <v/>
      </c>
      <c r="GM67" s="1091"/>
      <c r="GN67" s="1147">
        <f>IF(NOW()&gt;=DATE(YEAR(GH$2),MONTH(GH$2)+1,DAY(GH$2)),SUMIFS(AC_SOTIEN,AC_THANG,GH$2,AC_KM,$E67),SUMIFS(TF_SOTIEN,TF_THANG,GH$2,TF_KM,$E67))/ 1000</f>
        <v>0</v>
      </c>
      <c r="GO67" s="1091" t="str">
        <f t="shared" si="612"/>
        <v/>
      </c>
      <c r="GP67" s="1091" t="str">
        <f t="shared" si="724"/>
        <v/>
      </c>
      <c r="GQ67" s="1147">
        <f t="shared" si="118"/>
        <v>-8333</v>
      </c>
      <c r="GR67" s="1091">
        <f t="shared" si="119"/>
        <v>-1</v>
      </c>
      <c r="GS67" s="1147">
        <f t="shared" si="120"/>
        <v>-8333</v>
      </c>
      <c r="GT67" s="1091">
        <f t="shared" si="121"/>
        <v>-1</v>
      </c>
      <c r="GU67" s="1146">
        <f>SUMIFS(BP_SOTIEN,BP_THANG,GU$2,BP_KM,$E67)/1000</f>
        <v>8333</v>
      </c>
      <c r="GV67" s="1091" t="str">
        <f t="shared" si="613"/>
        <v/>
      </c>
      <c r="GW67" s="1091"/>
      <c r="GX67" s="1147">
        <f>IF(NOW()&gt;=DATE(YEAR(GU$2),MONTH(GU$2)+1,DAY(GU$2)),SUMIFS(TF_SOTIEN,TF_THANG,GU$2,TF_KM,$E67)/1000, HA67)</f>
        <v>8333</v>
      </c>
      <c r="GY67" s="1091" t="str">
        <f t="shared" si="614"/>
        <v/>
      </c>
      <c r="GZ67" s="1091"/>
      <c r="HA67" s="1147">
        <f>IF(NOW()&gt;=DATE(YEAR(GU$2),MONTH(GU$2)+1,DAY(GU$2)),SUMIFS(AC_SOTIEN,AC_THANG,GU$2,AC_KM,$E67),SUMIFS(TF_SOTIEN,TF_THANG,GU$2,TF_KM,$E67))/ 1000</f>
        <v>0</v>
      </c>
      <c r="HB67" s="1091" t="str">
        <f t="shared" si="615"/>
        <v/>
      </c>
      <c r="HC67" s="1091" t="str">
        <f t="shared" si="725"/>
        <v/>
      </c>
      <c r="HD67" s="1147">
        <f t="shared" si="125"/>
        <v>-8333</v>
      </c>
      <c r="HE67" s="1091">
        <f t="shared" si="126"/>
        <v>-1</v>
      </c>
      <c r="HF67" s="1147">
        <f t="shared" si="127"/>
        <v>-8333</v>
      </c>
      <c r="HG67" s="1091">
        <f t="shared" si="128"/>
        <v>-1</v>
      </c>
      <c r="HH67" s="1146">
        <f t="shared" si="699"/>
        <v>24999</v>
      </c>
      <c r="HI67" s="1091" t="str">
        <f t="shared" si="616"/>
        <v/>
      </c>
      <c r="HJ67" s="1091">
        <f t="shared" si="726"/>
        <v>0.02131043989</v>
      </c>
      <c r="HK67" s="1147">
        <f t="shared" si="270"/>
        <v>24999</v>
      </c>
      <c r="HL67" s="1091" t="str">
        <f t="shared" si="617"/>
        <v/>
      </c>
      <c r="HM67" s="1091">
        <f t="shared" si="727"/>
        <v>0.02131043989</v>
      </c>
      <c r="HN67" s="1147">
        <f t="shared" si="273"/>
        <v>0</v>
      </c>
      <c r="HO67" s="1091" t="str">
        <f t="shared" si="618"/>
        <v/>
      </c>
      <c r="HP67" s="1091" t="str">
        <f t="shared" si="728"/>
        <v/>
      </c>
      <c r="HQ67" s="1147">
        <f t="shared" si="135"/>
        <v>-24999</v>
      </c>
      <c r="HR67" s="1091">
        <f t="shared" si="136"/>
        <v>-1</v>
      </c>
      <c r="HS67" s="1147">
        <f t="shared" si="137"/>
        <v>-24999</v>
      </c>
      <c r="HT67" s="1091">
        <f t="shared" si="138"/>
        <v>-1</v>
      </c>
      <c r="HU67" s="1146">
        <f t="shared" si="700"/>
        <v>49998</v>
      </c>
      <c r="HV67" s="1091" t="str">
        <f t="shared" si="619"/>
        <v/>
      </c>
      <c r="HW67" s="1091">
        <f t="shared" si="729"/>
        <v>0.02131043989</v>
      </c>
      <c r="HX67" s="1147">
        <f t="shared" si="279"/>
        <v>49998</v>
      </c>
      <c r="HY67" s="1091" t="str">
        <f t="shared" si="620"/>
        <v/>
      </c>
      <c r="HZ67" s="1091">
        <f t="shared" si="730"/>
        <v>0.02131043989</v>
      </c>
      <c r="IA67" s="1147">
        <f t="shared" si="282"/>
        <v>0</v>
      </c>
      <c r="IB67" s="1091" t="str">
        <f t="shared" si="621"/>
        <v/>
      </c>
      <c r="IC67" s="1091" t="str">
        <f t="shared" si="731"/>
        <v/>
      </c>
      <c r="ID67" s="1147">
        <f t="shared" si="145"/>
        <v>-49998</v>
      </c>
      <c r="IE67" s="1091">
        <f t="shared" si="146"/>
        <v>-1</v>
      </c>
      <c r="IF67" s="1147">
        <f t="shared" si="147"/>
        <v>-49998</v>
      </c>
      <c r="IG67" s="1091">
        <f t="shared" si="148"/>
        <v>-1</v>
      </c>
      <c r="IH67" s="1146">
        <f t="shared" si="701"/>
        <v>99996</v>
      </c>
      <c r="II67" s="1091" t="str">
        <f t="shared" si="622"/>
        <v/>
      </c>
      <c r="IJ67" s="1091">
        <f t="shared" si="732"/>
        <v>0.02122152594</v>
      </c>
      <c r="IK67" s="1147">
        <f t="shared" si="288"/>
        <v>66664</v>
      </c>
      <c r="IL67" s="1091" t="str">
        <f t="shared" si="623"/>
        <v/>
      </c>
      <c r="IM67" s="1091">
        <f t="shared" si="733"/>
        <v>0.01734354138</v>
      </c>
      <c r="IN67" s="1147">
        <f t="shared" si="291"/>
        <v>1037</v>
      </c>
      <c r="IO67" s="1091">
        <f t="shared" si="624"/>
        <v>0.00305</v>
      </c>
      <c r="IP67" s="1091">
        <f t="shared" si="734"/>
        <v>0.001120191686</v>
      </c>
      <c r="IQ67" s="1147">
        <f t="shared" si="155"/>
        <v>-98959</v>
      </c>
      <c r="IR67" s="1091">
        <f t="shared" si="1"/>
        <v>-0.9896295852</v>
      </c>
      <c r="IS67" s="1147">
        <f t="shared" si="156"/>
        <v>-65627</v>
      </c>
      <c r="IT67" s="1091">
        <f t="shared" si="2"/>
        <v>-0.9844443778</v>
      </c>
    </row>
    <row r="68" hidden="1" outlineLevel="1">
      <c r="A68" s="1087"/>
      <c r="B68" s="1087"/>
      <c r="C68" s="1087"/>
      <c r="D68" s="1087" t="s">
        <v>2853</v>
      </c>
      <c r="E68" s="1087" t="s">
        <v>270</v>
      </c>
      <c r="F68" s="1086">
        <v>642.0</v>
      </c>
      <c r="G68" s="1086">
        <v>2.0</v>
      </c>
      <c r="H68" s="1088">
        <f>SUMIFS(BP_SOTIEN,BP_THANG,H$2,BP_KM,$E68)/1000</f>
        <v>45143</v>
      </c>
      <c r="I68" s="1091" t="str">
        <f t="shared" si="566"/>
        <v/>
      </c>
      <c r="J68" s="1091"/>
      <c r="K68" s="1090">
        <f>IF(NOW()&gt;=DATE(YEAR(H$2),MONTH(H$2)+1,DAY(H$2)),SUMIFS(TF_SOTIEN,TF_THANG,H$2,TF_KM,$E68)/1000, N68)</f>
        <v>45143</v>
      </c>
      <c r="L68" s="1091" t="str">
        <f t="shared" si="567"/>
        <v/>
      </c>
      <c r="M68" s="1091"/>
      <c r="N68" s="1090">
        <f>IF(NOW()&gt;=DATE(YEAR(H$2),MONTH(H$2)+1,DAY(H$2)),SUMIFS(AC_SOTIEN,AC_THANG,H$2,AC_KM,$E68),SUMIFS(TF_SOTIEN,TF_THANG,H$2,TF_KM,$E68))/ 1000</f>
        <v>49333.001</v>
      </c>
      <c r="O68" s="1091">
        <f t="shared" si="568"/>
        <v>0.1450970618</v>
      </c>
      <c r="P68" s="1091">
        <f t="shared" si="702"/>
        <v>0.4375104105</v>
      </c>
      <c r="Q68" s="1090">
        <f t="shared" si="8"/>
        <v>4190.001</v>
      </c>
      <c r="R68" s="1091">
        <f t="shared" si="9"/>
        <v>0.09281618413</v>
      </c>
      <c r="S68" s="1090">
        <f t="shared" si="10"/>
        <v>4190.001</v>
      </c>
      <c r="T68" s="1091">
        <f t="shared" si="11"/>
        <v>0.09281618413</v>
      </c>
      <c r="U68" s="1088">
        <f>SUMIFS(BP_SOTIEN,BP_THANG,U$2,BP_KM,$E68)/1000</f>
        <v>45143</v>
      </c>
      <c r="V68" s="1091" t="str">
        <f t="shared" si="569"/>
        <v/>
      </c>
      <c r="W68" s="1091"/>
      <c r="X68" s="1090">
        <f>IF(NOW()&gt;=DATE(YEAR(U$2),MONTH(U$2)+1,DAY(U$2)),SUMIFS(TF_SOTIEN,TF_THANG,U$2,TF_KM,$E68)/1000, AA68)</f>
        <v>54383.332</v>
      </c>
      <c r="Y68" s="1091" t="str">
        <f t="shared" si="570"/>
        <v/>
      </c>
      <c r="Z68" s="1091"/>
      <c r="AA68" s="1090">
        <f>IF(NOW()&gt;=DATE(YEAR(U$2),MONTH(U$2)+1,DAY(U$2)),SUMIFS(AC_SOTIEN,AC_THANG,U$2,AC_KM,$E68),SUMIFS(TF_SOTIEN,TF_THANG,U$2,TF_KM,$E68))/ 1000</f>
        <v>49358.33</v>
      </c>
      <c r="AB68" s="1091" t="str">
        <f t="shared" si="571"/>
        <v/>
      </c>
      <c r="AC68" s="1091">
        <f t="shared" si="703"/>
        <v>0.3425429948</v>
      </c>
      <c r="AD68" s="1090">
        <f t="shared" si="15"/>
        <v>4215.33</v>
      </c>
      <c r="AE68" s="1091">
        <f t="shared" si="16"/>
        <v>0.09337726779</v>
      </c>
      <c r="AF68" s="1090">
        <f t="shared" si="17"/>
        <v>-5025.002</v>
      </c>
      <c r="AG68" s="1091">
        <f t="shared" si="18"/>
        <v>-0.09239967128</v>
      </c>
      <c r="AH68" s="1088">
        <f>SUMIFS(BP_SOTIEN,BP_THANG,AH$2,BP_KM,$E68)/1000</f>
        <v>45143</v>
      </c>
      <c r="AI68" s="1091" t="str">
        <f t="shared" si="572"/>
        <v/>
      </c>
      <c r="AJ68" s="1091"/>
      <c r="AK68" s="1090">
        <f>IF(NOW()&gt;=DATE(YEAR(AH$2),MONTH(AH$2)+1,DAY(AH$2)),SUMIFS(TF_SOTIEN,TF_THANG,AH$2,TF_KM,$E68)/1000, AN68)</f>
        <v>54383.332</v>
      </c>
      <c r="AL68" s="1091" t="str">
        <f t="shared" si="573"/>
        <v/>
      </c>
      <c r="AM68" s="1091"/>
      <c r="AN68" s="1090">
        <f>IF(NOW()&gt;=DATE(YEAR(AH$2),MONTH(AH$2)+1,DAY(AH$2)),SUMIFS(AC_SOTIEN,AC_THANG,AH$2,AC_KM,$E68),SUMIFS(TF_SOTIEN,TF_THANG,AH$2,TF_KM,$E68))/ 1000</f>
        <v>45333.002</v>
      </c>
      <c r="AO68" s="1091" t="str">
        <f t="shared" si="574"/>
        <v/>
      </c>
      <c r="AP68" s="1091">
        <f t="shared" si="704"/>
        <v>0.2198392945</v>
      </c>
      <c r="AQ68" s="1090">
        <f t="shared" si="22"/>
        <v>190.002</v>
      </c>
      <c r="AR68" s="1091">
        <f t="shared" si="23"/>
        <v>0.004208891744</v>
      </c>
      <c r="AS68" s="1090">
        <f t="shared" si="24"/>
        <v>-9050.33</v>
      </c>
      <c r="AT68" s="1091">
        <f t="shared" si="25"/>
        <v>-0.1664173501</v>
      </c>
      <c r="AU68" s="1088">
        <f t="shared" si="691"/>
        <v>135429</v>
      </c>
      <c r="AV68" s="1091" t="str">
        <f t="shared" si="575"/>
        <v/>
      </c>
      <c r="AW68" s="1091">
        <f t="shared" si="705"/>
        <v>0.1139416548</v>
      </c>
      <c r="AX68" s="1090">
        <f t="shared" si="692"/>
        <v>153909.664</v>
      </c>
      <c r="AY68" s="1091" t="str">
        <f t="shared" si="576"/>
        <v/>
      </c>
      <c r="AZ68" s="1091">
        <f t="shared" si="706"/>
        <v>0.2198191309</v>
      </c>
      <c r="BA68" s="1090">
        <f t="shared" si="693"/>
        <v>144024.333</v>
      </c>
      <c r="BB68" s="1091">
        <f t="shared" si="577"/>
        <v>0.4236009794</v>
      </c>
      <c r="BC68" s="1091">
        <f t="shared" si="707"/>
        <v>0.3110260125</v>
      </c>
      <c r="BD68" s="1090">
        <f t="shared" si="32"/>
        <v>8595.333</v>
      </c>
      <c r="BE68" s="1091">
        <f t="shared" si="33"/>
        <v>0.06346744789</v>
      </c>
      <c r="BF68" s="1090">
        <f t="shared" si="34"/>
        <v>-9885.331</v>
      </c>
      <c r="BG68" s="1091">
        <f t="shared" si="35"/>
        <v>-0.0642281371</v>
      </c>
      <c r="BH68" s="1088">
        <f>SUMIFS(BP_SOTIEN,BP_THANG,BH$2,BP_KM,$E68)/1000</f>
        <v>45143</v>
      </c>
      <c r="BI68" s="1091" t="str">
        <f t="shared" si="578"/>
        <v/>
      </c>
      <c r="BJ68" s="1091"/>
      <c r="BK68" s="1090">
        <f>IF(NOW()&gt;=DATE(YEAR(BH$2),MONTH(BH$2)+1,DAY(BH$2)),SUMIFS(TF_SOTIEN,TF_THANG,BH$2,TF_KM,$E68)/1000, BN68)</f>
        <v>54383.332</v>
      </c>
      <c r="BL68" s="1091" t="str">
        <f t="shared" si="579"/>
        <v/>
      </c>
      <c r="BM68" s="1091"/>
      <c r="BN68" s="1090">
        <f>IF(NOW()&gt;=DATE(YEAR(BH$2),MONTH(BH$2)+1,DAY(BH$2)),SUMIFS(AC_SOTIEN,AC_THANG,BH$2,AC_KM,$E68),SUMIFS(TF_SOTIEN,TF_THANG,BH$2,TF_KM,$E68))/ 1000</f>
        <v>48666.666</v>
      </c>
      <c r="BO68" s="1091" t="str">
        <f t="shared" si="580"/>
        <v/>
      </c>
      <c r="BP68" s="1091">
        <f t="shared" si="708"/>
        <v>0.2295727313</v>
      </c>
      <c r="BQ68" s="1090">
        <f t="shared" si="39"/>
        <v>3523.666</v>
      </c>
      <c r="BR68" s="1091">
        <f t="shared" si="40"/>
        <v>0.07805564539</v>
      </c>
      <c r="BS68" s="1090">
        <f t="shared" si="41"/>
        <v>-5716.666</v>
      </c>
      <c r="BT68" s="1091">
        <f t="shared" si="42"/>
        <v>-0.1051179799</v>
      </c>
      <c r="BU68" s="1088">
        <f>SUMIFS(BP_SOTIEN,BP_THANG,BU$2,BP_KM,$E68)/1000</f>
        <v>45143</v>
      </c>
      <c r="BV68" s="1091" t="str">
        <f t="shared" si="581"/>
        <v/>
      </c>
      <c r="BW68" s="1091"/>
      <c r="BX68" s="1090">
        <f>IF(NOW()&gt;=DATE(YEAR(BU$2),MONTH(BU$2)+1,DAY(BU$2)),SUMIFS(TF_SOTIEN,TF_THANG,BU$2,TF_KM,$E68)/1000, CA68)</f>
        <v>48666.666</v>
      </c>
      <c r="BY68" s="1091" t="str">
        <f t="shared" si="582"/>
        <v/>
      </c>
      <c r="BZ68" s="1091"/>
      <c r="CA68" s="1090">
        <f>IF(NOW()&gt;=DATE(YEAR(BU$2),MONTH(BU$2)+1,DAY(BU$2)),SUMIFS(AC_SOTIEN,AC_THANG,BU$2,AC_KM,$E68),SUMIFS(TF_SOTIEN,TF_THANG,BU$2,TF_KM,$E68))/ 1000</f>
        <v>48333</v>
      </c>
      <c r="CB68" s="1091" t="str">
        <f t="shared" si="583"/>
        <v/>
      </c>
      <c r="CC68" s="1091">
        <f t="shared" si="709"/>
        <v>0.1928041847</v>
      </c>
      <c r="CD68" s="1090">
        <f t="shared" si="46"/>
        <v>3190</v>
      </c>
      <c r="CE68" s="1091">
        <f t="shared" si="47"/>
        <v>0.07066433334</v>
      </c>
      <c r="CF68" s="1090">
        <f t="shared" si="48"/>
        <v>-333.666</v>
      </c>
      <c r="CG68" s="1091">
        <f t="shared" si="49"/>
        <v>-0.006856150779</v>
      </c>
      <c r="CH68" s="1088">
        <f>SUMIFS(BP_SOTIEN,BP_THANG,CH$2,BP_KM,$E68)/1000</f>
        <v>45143</v>
      </c>
      <c r="CI68" s="1091" t="str">
        <f t="shared" si="584"/>
        <v/>
      </c>
      <c r="CJ68" s="1091"/>
      <c r="CK68" s="1090">
        <f>IF(NOW()&gt;=DATE(YEAR(CH$2),MONTH(CH$2)+1,DAY(CH$2)),SUMIFS(TF_SOTIEN,TF_THANG,CH$2,TF_KM,$E68)/1000, CN68)</f>
        <v>48666</v>
      </c>
      <c r="CL68" s="1091" t="str">
        <f t="shared" si="585"/>
        <v/>
      </c>
      <c r="CM68" s="1091"/>
      <c r="CN68" s="1090">
        <f>IF(NOW()&gt;=DATE(YEAR(CH$2),MONTH(CH$2)+1,DAY(CH$2)),SUMIFS(AC_SOTIEN,AC_THANG,CH$2,AC_KM,$E68),SUMIFS(TF_SOTIEN,TF_THANG,CH$2,TF_KM,$E68))/ 1000</f>
        <v>0</v>
      </c>
      <c r="CO68" s="1091" t="str">
        <f t="shared" si="586"/>
        <v/>
      </c>
      <c r="CP68" s="1091" t="str">
        <f t="shared" si="710"/>
        <v/>
      </c>
      <c r="CQ68" s="1090">
        <f t="shared" si="53"/>
        <v>-45143</v>
      </c>
      <c r="CR68" s="1091">
        <f t="shared" si="54"/>
        <v>-1</v>
      </c>
      <c r="CS68" s="1090">
        <f t="shared" si="55"/>
        <v>-48666</v>
      </c>
      <c r="CT68" s="1091">
        <f t="shared" si="56"/>
        <v>-1</v>
      </c>
      <c r="CU68" s="1088">
        <f t="shared" si="694"/>
        <v>135429</v>
      </c>
      <c r="CV68" s="1091" t="str">
        <f t="shared" si="587"/>
        <v/>
      </c>
      <c r="CW68" s="1091">
        <f t="shared" si="711"/>
        <v>0.1150382416</v>
      </c>
      <c r="CX68" s="1090">
        <f t="shared" si="695"/>
        <v>151715.998</v>
      </c>
      <c r="CY68" s="1091" t="str">
        <f t="shared" si="589"/>
        <v/>
      </c>
      <c r="CZ68" s="1091">
        <f t="shared" si="712"/>
        <v>0.1902639941</v>
      </c>
      <c r="DA68" s="1090">
        <f t="shared" si="696"/>
        <v>96999.666</v>
      </c>
      <c r="DB68" s="1091" t="str">
        <f t="shared" si="591"/>
        <v/>
      </c>
      <c r="DC68" s="1091">
        <f t="shared" si="713"/>
        <v>0.2096508583</v>
      </c>
      <c r="DD68" s="1090">
        <f t="shared" si="63"/>
        <v>-38429.334</v>
      </c>
      <c r="DE68" s="1091">
        <f t="shared" si="64"/>
        <v>-0.2837600071</v>
      </c>
      <c r="DF68" s="1090">
        <f t="shared" si="65"/>
        <v>-54716.332</v>
      </c>
      <c r="DG68" s="1091">
        <f t="shared" si="66"/>
        <v>-0.3606497187</v>
      </c>
      <c r="DH68" s="1088">
        <f t="shared" si="697"/>
        <v>270858</v>
      </c>
      <c r="DI68" s="1091" t="str">
        <f t="shared" si="592"/>
        <v/>
      </c>
      <c r="DJ68" s="1091">
        <f t="shared" si="714"/>
        <v>0.1144873224</v>
      </c>
      <c r="DK68" s="1090">
        <f t="shared" si="216"/>
        <v>305625.662</v>
      </c>
      <c r="DL68" s="1091" t="str">
        <f t="shared" si="593"/>
        <v/>
      </c>
      <c r="DM68" s="1091">
        <f t="shared" si="715"/>
        <v>0.2040820986</v>
      </c>
      <c r="DN68" s="1090">
        <f t="shared" si="219"/>
        <v>241023.999</v>
      </c>
      <c r="DO68" s="1091">
        <f t="shared" si="594"/>
        <v>0.7088941147</v>
      </c>
      <c r="DP68" s="1091">
        <f t="shared" si="716"/>
        <v>0.2603597685</v>
      </c>
      <c r="DQ68" s="1090">
        <f t="shared" si="73"/>
        <v>-29834.001</v>
      </c>
      <c r="DR68" s="1091">
        <f t="shared" si="74"/>
        <v>-0.1101462796</v>
      </c>
      <c r="DS68" s="1090">
        <f t="shared" si="75"/>
        <v>-64601.663</v>
      </c>
      <c r="DT68" s="1091">
        <f t="shared" si="76"/>
        <v>-0.2113751266</v>
      </c>
      <c r="DU68" s="1088">
        <f>SUMIFS(BP_SOTIEN,BP_THANG,DU$2,BP_KM,$E68)/1000</f>
        <v>45143</v>
      </c>
      <c r="DV68" s="1091" t="str">
        <f t="shared" si="595"/>
        <v/>
      </c>
      <c r="DW68" s="1091"/>
      <c r="DX68" s="1090">
        <f>IF(NOW()&gt;=DATE(YEAR(DU$2),MONTH(DU$2)+1,DAY(DU$2)),SUMIFS(TF_SOTIEN,TF_THANG,DU$2,TF_KM,$E68)/1000, EA68)</f>
        <v>45143</v>
      </c>
      <c r="DY68" s="1091" t="str">
        <f t="shared" si="596"/>
        <v/>
      </c>
      <c r="DZ68" s="1091"/>
      <c r="EA68" s="1090">
        <f>IF(NOW()&gt;=DATE(YEAR(DU$2),MONTH(DU$2)+1,DAY(DU$2)),SUMIFS(AC_SOTIEN,AC_THANG,DU$2,AC_KM,$E68),SUMIFS(TF_SOTIEN,TF_THANG,DU$2,TF_KM,$E68))/ 1000</f>
        <v>0</v>
      </c>
      <c r="EB68" s="1091" t="str">
        <f t="shared" si="597"/>
        <v/>
      </c>
      <c r="EC68" s="1091" t="str">
        <f t="shared" si="717"/>
        <v/>
      </c>
      <c r="ED68" s="1090">
        <f t="shared" si="80"/>
        <v>-45143</v>
      </c>
      <c r="EE68" s="1091">
        <f t="shared" si="81"/>
        <v>-1</v>
      </c>
      <c r="EF68" s="1090">
        <f t="shared" si="82"/>
        <v>-45143</v>
      </c>
      <c r="EG68" s="1091">
        <f t="shared" si="83"/>
        <v>-1</v>
      </c>
      <c r="EH68" s="1088">
        <f>SUMIFS(BP_SOTIEN,BP_THANG,EH$2,BP_KM,$E68)/1000</f>
        <v>45143</v>
      </c>
      <c r="EI68" s="1091" t="str">
        <f t="shared" si="598"/>
        <v/>
      </c>
      <c r="EJ68" s="1091"/>
      <c r="EK68" s="1090">
        <f>IF(NOW()&gt;=DATE(YEAR(EH$2),MONTH(EH$2)+1,DAY(EH$2)),SUMIFS(TF_SOTIEN,TF_THANG,EH$2,TF_KM,$E68)/1000, EN68)</f>
        <v>45143</v>
      </c>
      <c r="EL68" s="1091" t="str">
        <f t="shared" si="599"/>
        <v/>
      </c>
      <c r="EM68" s="1091"/>
      <c r="EN68" s="1090">
        <f>IF(NOW()&gt;=DATE(YEAR(EH$2),MONTH(EH$2)+1,DAY(EH$2)),SUMIFS(AC_SOTIEN,AC_THANG,EH$2,AC_KM,$E68),SUMIFS(TF_SOTIEN,TF_THANG,EH$2,TF_KM,$E68))/ 1000</f>
        <v>0</v>
      </c>
      <c r="EO68" s="1091" t="str">
        <f t="shared" si="600"/>
        <v/>
      </c>
      <c r="EP68" s="1091" t="str">
        <f t="shared" si="718"/>
        <v/>
      </c>
      <c r="EQ68" s="1090">
        <f t="shared" si="87"/>
        <v>-45143</v>
      </c>
      <c r="ER68" s="1091">
        <f t="shared" si="88"/>
        <v>-1</v>
      </c>
      <c r="ES68" s="1090">
        <f t="shared" si="89"/>
        <v>-45143</v>
      </c>
      <c r="ET68" s="1091">
        <f t="shared" si="90"/>
        <v>-1</v>
      </c>
      <c r="EU68" s="1088">
        <f>SUMIFS(BP_SOTIEN,BP_THANG,EU$2,BP_KM,$E68)/1000</f>
        <v>45143</v>
      </c>
      <c r="EV68" s="1091" t="str">
        <f t="shared" si="601"/>
        <v/>
      </c>
      <c r="EW68" s="1091"/>
      <c r="EX68" s="1090">
        <f>IF(NOW()&gt;=DATE(YEAR(EU$2),MONTH(EU$2)+1,DAY(EU$2)),SUMIFS(TF_SOTIEN,TF_THANG,EU$2,TF_KM,$E68)/1000, FA68)</f>
        <v>45143</v>
      </c>
      <c r="EY68" s="1091" t="str">
        <f t="shared" si="602"/>
        <v/>
      </c>
      <c r="EZ68" s="1091"/>
      <c r="FA68" s="1090">
        <f>IF(NOW()&gt;=DATE(YEAR(EU$2),MONTH(EU$2)+1,DAY(EU$2)),SUMIFS(AC_SOTIEN,AC_THANG,EU$2,AC_KM,$E68),SUMIFS(TF_SOTIEN,TF_THANG,EU$2,TF_KM,$E68))/ 1000</f>
        <v>0</v>
      </c>
      <c r="FB68" s="1091" t="str">
        <f t="shared" si="603"/>
        <v/>
      </c>
      <c r="FC68" s="1091" t="str">
        <f t="shared" si="719"/>
        <v/>
      </c>
      <c r="FD68" s="1090">
        <f t="shared" si="94"/>
        <v>-45143</v>
      </c>
      <c r="FE68" s="1091">
        <f t="shared" si="95"/>
        <v>-1</v>
      </c>
      <c r="FF68" s="1090">
        <f t="shared" si="96"/>
        <v>-45143</v>
      </c>
      <c r="FG68" s="1091">
        <f t="shared" si="97"/>
        <v>-1</v>
      </c>
      <c r="FH68" s="1088">
        <f t="shared" si="698"/>
        <v>135429</v>
      </c>
      <c r="FI68" s="1091" t="str">
        <f t="shared" si="604"/>
        <v/>
      </c>
      <c r="FJ68" s="1091">
        <f t="shared" si="720"/>
        <v>0.1154466804</v>
      </c>
      <c r="FK68" s="1090">
        <f t="shared" si="243"/>
        <v>135429</v>
      </c>
      <c r="FL68" s="1091" t="str">
        <f t="shared" si="605"/>
        <v/>
      </c>
      <c r="FM68" s="1091">
        <f t="shared" si="721"/>
        <v>0.1154466804</v>
      </c>
      <c r="FN68" s="1090">
        <f t="shared" si="246"/>
        <v>0</v>
      </c>
      <c r="FO68" s="1091" t="str">
        <f t="shared" si="606"/>
        <v/>
      </c>
      <c r="FP68" s="1091" t="str">
        <f t="shared" si="722"/>
        <v/>
      </c>
      <c r="FQ68" s="1090">
        <f t="shared" si="104"/>
        <v>-135429</v>
      </c>
      <c r="FR68" s="1091">
        <f t="shared" si="105"/>
        <v>-1</v>
      </c>
      <c r="FS68" s="1090">
        <f t="shared" si="106"/>
        <v>-135429</v>
      </c>
      <c r="FT68" s="1091">
        <f t="shared" si="107"/>
        <v>-1</v>
      </c>
      <c r="FU68" s="1088">
        <f>SUMIFS(BP_SOTIEN,BP_THANG,FU$2,BP_KM,$E68)/1000</f>
        <v>45143</v>
      </c>
      <c r="FV68" s="1091" t="str">
        <f t="shared" si="607"/>
        <v/>
      </c>
      <c r="FW68" s="1091"/>
      <c r="FX68" s="1090">
        <f>IF(NOW()&gt;=DATE(YEAR(FU$2),MONTH(FU$2)+1,DAY(FU$2)),SUMIFS(TF_SOTIEN,TF_THANG,FU$2,TF_KM,$E68)/1000, GA68)</f>
        <v>45143</v>
      </c>
      <c r="FY68" s="1091" t="str">
        <f t="shared" si="608"/>
        <v/>
      </c>
      <c r="FZ68" s="1091"/>
      <c r="GA68" s="1090">
        <f>IF(NOW()&gt;=DATE(YEAR(FU$2),MONTH(FU$2)+1,DAY(FU$2)),SUMIFS(AC_SOTIEN,AC_THANG,FU$2,AC_KM,$E68),SUMIFS(TF_SOTIEN,TF_THANG,FU$2,TF_KM,$E68))/ 1000</f>
        <v>0</v>
      </c>
      <c r="GB68" s="1091" t="str">
        <f t="shared" si="609"/>
        <v/>
      </c>
      <c r="GC68" s="1091" t="str">
        <f t="shared" si="723"/>
        <v/>
      </c>
      <c r="GD68" s="1090">
        <f t="shared" si="111"/>
        <v>-45143</v>
      </c>
      <c r="GE68" s="1091">
        <f t="shared" si="112"/>
        <v>-1</v>
      </c>
      <c r="GF68" s="1090">
        <f t="shared" si="113"/>
        <v>-45143</v>
      </c>
      <c r="GG68" s="1091">
        <f t="shared" si="114"/>
        <v>-1</v>
      </c>
      <c r="GH68" s="1088">
        <f>SUMIFS(BP_SOTIEN,BP_THANG,GH$2,BP_KM,$E68)/1000</f>
        <v>45143</v>
      </c>
      <c r="GI68" s="1091" t="str">
        <f t="shared" si="610"/>
        <v/>
      </c>
      <c r="GJ68" s="1091"/>
      <c r="GK68" s="1090">
        <f>IF(NOW()&gt;=DATE(YEAR(GH$2),MONTH(GH$2)+1,DAY(GH$2)),SUMIFS(TF_SOTIEN,TF_THANG,GH$2,TF_KM,$E68)/1000, GN68)</f>
        <v>45143</v>
      </c>
      <c r="GL68" s="1091" t="str">
        <f t="shared" si="611"/>
        <v/>
      </c>
      <c r="GM68" s="1091"/>
      <c r="GN68" s="1090">
        <f>IF(NOW()&gt;=DATE(YEAR(GH$2),MONTH(GH$2)+1,DAY(GH$2)),SUMIFS(AC_SOTIEN,AC_THANG,GH$2,AC_KM,$E68),SUMIFS(TF_SOTIEN,TF_THANG,GH$2,TF_KM,$E68))/ 1000</f>
        <v>0</v>
      </c>
      <c r="GO68" s="1091" t="str">
        <f t="shared" si="612"/>
        <v/>
      </c>
      <c r="GP68" s="1091" t="str">
        <f t="shared" si="724"/>
        <v/>
      </c>
      <c r="GQ68" s="1090">
        <f t="shared" si="118"/>
        <v>-45143</v>
      </c>
      <c r="GR68" s="1091">
        <f t="shared" si="119"/>
        <v>-1</v>
      </c>
      <c r="GS68" s="1090">
        <f t="shared" si="120"/>
        <v>-45143</v>
      </c>
      <c r="GT68" s="1091">
        <f t="shared" si="121"/>
        <v>-1</v>
      </c>
      <c r="GU68" s="1088">
        <f>SUMIFS(BP_SOTIEN,BP_THANG,GU$2,BP_KM,$E68)/1000</f>
        <v>45143</v>
      </c>
      <c r="GV68" s="1091" t="str">
        <f t="shared" si="613"/>
        <v/>
      </c>
      <c r="GW68" s="1091"/>
      <c r="GX68" s="1090">
        <f>IF(NOW()&gt;=DATE(YEAR(GU$2),MONTH(GU$2)+1,DAY(GU$2)),SUMIFS(TF_SOTIEN,TF_THANG,GU$2,TF_KM,$E68)/1000, HA68)</f>
        <v>45143</v>
      </c>
      <c r="GY68" s="1091" t="str">
        <f t="shared" si="614"/>
        <v/>
      </c>
      <c r="GZ68" s="1091"/>
      <c r="HA68" s="1090">
        <f>IF(NOW()&gt;=DATE(YEAR(GU$2),MONTH(GU$2)+1,DAY(GU$2)),SUMIFS(AC_SOTIEN,AC_THANG,GU$2,AC_KM,$E68),SUMIFS(TF_SOTIEN,TF_THANG,GU$2,TF_KM,$E68))/ 1000</f>
        <v>0</v>
      </c>
      <c r="HB68" s="1091" t="str">
        <f t="shared" si="615"/>
        <v/>
      </c>
      <c r="HC68" s="1091" t="str">
        <f t="shared" si="725"/>
        <v/>
      </c>
      <c r="HD68" s="1090">
        <f t="shared" si="125"/>
        <v>-45143</v>
      </c>
      <c r="HE68" s="1091">
        <f t="shared" si="126"/>
        <v>-1</v>
      </c>
      <c r="HF68" s="1090">
        <f t="shared" si="127"/>
        <v>-45143</v>
      </c>
      <c r="HG68" s="1091">
        <f t="shared" si="128"/>
        <v>-1</v>
      </c>
      <c r="HH68" s="1088">
        <f t="shared" si="699"/>
        <v>135429</v>
      </c>
      <c r="HI68" s="1091" t="str">
        <f t="shared" si="616"/>
        <v/>
      </c>
      <c r="HJ68" s="1091">
        <f t="shared" si="726"/>
        <v>0.1154466804</v>
      </c>
      <c r="HK68" s="1090">
        <f t="shared" si="270"/>
        <v>135429</v>
      </c>
      <c r="HL68" s="1091" t="str">
        <f t="shared" si="617"/>
        <v/>
      </c>
      <c r="HM68" s="1091">
        <f t="shared" si="727"/>
        <v>0.1154466804</v>
      </c>
      <c r="HN68" s="1090">
        <f t="shared" si="273"/>
        <v>0</v>
      </c>
      <c r="HO68" s="1091" t="str">
        <f t="shared" si="618"/>
        <v/>
      </c>
      <c r="HP68" s="1091" t="str">
        <f t="shared" si="728"/>
        <v/>
      </c>
      <c r="HQ68" s="1090">
        <f t="shared" si="135"/>
        <v>-135429</v>
      </c>
      <c r="HR68" s="1091">
        <f t="shared" si="136"/>
        <v>-1</v>
      </c>
      <c r="HS68" s="1090">
        <f t="shared" si="137"/>
        <v>-135429</v>
      </c>
      <c r="HT68" s="1091">
        <f t="shared" si="138"/>
        <v>-1</v>
      </c>
      <c r="HU68" s="1088">
        <f t="shared" si="700"/>
        <v>270858</v>
      </c>
      <c r="HV68" s="1091" t="str">
        <f t="shared" si="619"/>
        <v/>
      </c>
      <c r="HW68" s="1091">
        <f t="shared" si="729"/>
        <v>0.1154466804</v>
      </c>
      <c r="HX68" s="1090">
        <f t="shared" si="279"/>
        <v>270858</v>
      </c>
      <c r="HY68" s="1091" t="str">
        <f t="shared" si="620"/>
        <v/>
      </c>
      <c r="HZ68" s="1091">
        <f t="shared" si="730"/>
        <v>0.1154466804</v>
      </c>
      <c r="IA68" s="1090">
        <f t="shared" si="282"/>
        <v>0</v>
      </c>
      <c r="IB68" s="1091" t="str">
        <f t="shared" si="621"/>
        <v/>
      </c>
      <c r="IC68" s="1091" t="str">
        <f t="shared" si="731"/>
        <v/>
      </c>
      <c r="ID68" s="1090">
        <f t="shared" si="145"/>
        <v>-270858</v>
      </c>
      <c r="IE68" s="1091">
        <f t="shared" si="146"/>
        <v>-1</v>
      </c>
      <c r="IF68" s="1090">
        <f t="shared" si="147"/>
        <v>-270858</v>
      </c>
      <c r="IG68" s="1091">
        <f t="shared" si="148"/>
        <v>-1</v>
      </c>
      <c r="IH68" s="1088">
        <f t="shared" si="701"/>
        <v>541716</v>
      </c>
      <c r="II68" s="1091" t="str">
        <f t="shared" si="622"/>
        <v/>
      </c>
      <c r="IJ68" s="1091">
        <f t="shared" si="732"/>
        <v>0.1149650001</v>
      </c>
      <c r="IK68" s="1090">
        <f t="shared" si="288"/>
        <v>576483.662</v>
      </c>
      <c r="IL68" s="1091" t="str">
        <f t="shared" si="623"/>
        <v/>
      </c>
      <c r="IM68" s="1091">
        <f t="shared" si="733"/>
        <v>0.1499800229</v>
      </c>
      <c r="IN68" s="1090">
        <f t="shared" si="291"/>
        <v>241023.999</v>
      </c>
      <c r="IO68" s="1091">
        <f t="shared" si="624"/>
        <v>0.7088941147</v>
      </c>
      <c r="IP68" s="1091">
        <f t="shared" si="734"/>
        <v>0.2603597685</v>
      </c>
      <c r="IQ68" s="1090">
        <f t="shared" si="155"/>
        <v>-300692.001</v>
      </c>
      <c r="IR68" s="1091">
        <f t="shared" si="1"/>
        <v>-0.5550731398</v>
      </c>
      <c r="IS68" s="1090">
        <f t="shared" si="156"/>
        <v>-335459.663</v>
      </c>
      <c r="IT68" s="1091">
        <f t="shared" si="2"/>
        <v>-0.5819066265</v>
      </c>
    </row>
    <row r="69" hidden="1" outlineLevel="1">
      <c r="A69" s="1087"/>
      <c r="B69" s="1087"/>
      <c r="C69" s="1087"/>
      <c r="D69" s="1087" t="s">
        <v>2854</v>
      </c>
      <c r="E69" s="1087"/>
      <c r="F69" s="1086">
        <v>642.0</v>
      </c>
      <c r="G69" s="1086">
        <v>2.0</v>
      </c>
      <c r="H69" s="1088">
        <f>SUM(H70:H86)</f>
        <v>21825</v>
      </c>
      <c r="I69" s="1091" t="str">
        <f t="shared" si="566"/>
        <v/>
      </c>
      <c r="J69" s="1091">
        <f>IFERROR(H69/H$60,"")</f>
        <v>0.054809967</v>
      </c>
      <c r="K69" s="1090">
        <f>SUM(K70:K86)</f>
        <v>21825</v>
      </c>
      <c r="L69" s="1091" t="str">
        <f t="shared" si="567"/>
        <v/>
      </c>
      <c r="M69" s="1091">
        <f>IFERROR(K69/K$60,"")</f>
        <v>0.054809967</v>
      </c>
      <c r="N69" s="1088">
        <f>SUM(N70:N86)</f>
        <v>10171.79</v>
      </c>
      <c r="O69" s="1091">
        <f t="shared" si="568"/>
        <v>0.02991702941</v>
      </c>
      <c r="P69" s="1091">
        <f t="shared" si="702"/>
        <v>0.09020866212</v>
      </c>
      <c r="Q69" s="1130">
        <f t="shared" si="8"/>
        <v>-11653.21</v>
      </c>
      <c r="R69" s="1132">
        <f t="shared" si="9"/>
        <v>-0.5339386025</v>
      </c>
      <c r="S69" s="1130">
        <f t="shared" si="10"/>
        <v>-11653.21</v>
      </c>
      <c r="T69" s="1132">
        <f t="shared" si="11"/>
        <v>-0.5339386025</v>
      </c>
      <c r="U69" s="1088">
        <f>SUM(U70:U86)</f>
        <v>18825</v>
      </c>
      <c r="V69" s="1091" t="str">
        <f t="shared" si="569"/>
        <v/>
      </c>
      <c r="W69" s="1091">
        <f>IFERROR(U69/U$60,"")</f>
        <v>0.04763483251</v>
      </c>
      <c r="X69" s="1090">
        <f>SUM(X70:X86)</f>
        <v>12117.5</v>
      </c>
      <c r="Y69" s="1091" t="str">
        <f t="shared" si="570"/>
        <v/>
      </c>
      <c r="Z69" s="1091">
        <f>IFERROR(X69/X$60,"")</f>
        <v>0.08025604842</v>
      </c>
      <c r="AA69" s="1088">
        <f>SUM(AA70:AA86)</f>
        <v>10329.351</v>
      </c>
      <c r="AB69" s="1091" t="str">
        <f t="shared" si="571"/>
        <v/>
      </c>
      <c r="AC69" s="1091">
        <f t="shared" si="703"/>
        <v>0.07168489747</v>
      </c>
      <c r="AD69" s="1130">
        <f t="shared" si="15"/>
        <v>-8495.649</v>
      </c>
      <c r="AE69" s="1132">
        <f t="shared" si="16"/>
        <v>-0.4512960956</v>
      </c>
      <c r="AF69" s="1130">
        <f t="shared" si="17"/>
        <v>-1788.149</v>
      </c>
      <c r="AG69" s="1132">
        <f t="shared" si="18"/>
        <v>-0.147567485</v>
      </c>
      <c r="AH69" s="1088">
        <f>SUM(AH70:AH86)</f>
        <v>18825</v>
      </c>
      <c r="AI69" s="1091" t="str">
        <f t="shared" si="572"/>
        <v/>
      </c>
      <c r="AJ69" s="1091">
        <f>IFERROR(AH69/AH$60,"")</f>
        <v>0.04763483251</v>
      </c>
      <c r="AK69" s="1090">
        <f>SUM(AK70:AK86)</f>
        <v>12117.5</v>
      </c>
      <c r="AL69" s="1091" t="str">
        <f t="shared" si="573"/>
        <v/>
      </c>
      <c r="AM69" s="1091">
        <f>IFERROR(AK69/AK$60,"")</f>
        <v>0.08025604842</v>
      </c>
      <c r="AN69" s="1088">
        <f>SUM(AN70:AN86)</f>
        <v>18027.056</v>
      </c>
      <c r="AO69" s="1091" t="str">
        <f t="shared" si="574"/>
        <v/>
      </c>
      <c r="AP69" s="1091">
        <f t="shared" si="704"/>
        <v>0.08742097584</v>
      </c>
      <c r="AQ69" s="1130">
        <f t="shared" si="22"/>
        <v>-797.944</v>
      </c>
      <c r="AR69" s="1132">
        <f t="shared" si="23"/>
        <v>-0.04238746348</v>
      </c>
      <c r="AS69" s="1130">
        <f t="shared" si="24"/>
        <v>5909.556</v>
      </c>
      <c r="AT69" s="1132">
        <f t="shared" si="25"/>
        <v>0.4876877244</v>
      </c>
      <c r="AU69" s="1088">
        <f t="shared" si="691"/>
        <v>59475</v>
      </c>
      <c r="AV69" s="1091" t="str">
        <f t="shared" si="575"/>
        <v/>
      </c>
      <c r="AW69" s="1091">
        <f t="shared" si="705"/>
        <v>0.05003861744</v>
      </c>
      <c r="AX69" s="1090">
        <f t="shared" si="692"/>
        <v>46060</v>
      </c>
      <c r="AY69" s="1091" t="str">
        <f t="shared" si="576"/>
        <v/>
      </c>
      <c r="AZ69" s="1091">
        <f t="shared" si="706"/>
        <v>0.06578449272</v>
      </c>
      <c r="BA69" s="1090">
        <f t="shared" si="693"/>
        <v>38528.197</v>
      </c>
      <c r="BB69" s="1091">
        <f t="shared" si="577"/>
        <v>0.1133182265</v>
      </c>
      <c r="BC69" s="1091">
        <f t="shared" si="707"/>
        <v>0.08320310348</v>
      </c>
      <c r="BD69" s="1130">
        <f t="shared" si="32"/>
        <v>-20946.803</v>
      </c>
      <c r="BE69" s="1132">
        <f t="shared" si="33"/>
        <v>-0.3521950904</v>
      </c>
      <c r="BF69" s="1130">
        <f t="shared" si="34"/>
        <v>-7531.803</v>
      </c>
      <c r="BG69" s="1132">
        <f t="shared" si="35"/>
        <v>-0.1635215588</v>
      </c>
      <c r="BH69" s="1088">
        <f>SUM(BH70:BH86)</f>
        <v>18825</v>
      </c>
      <c r="BI69" s="1091" t="str">
        <f t="shared" si="578"/>
        <v/>
      </c>
      <c r="BJ69" s="1091">
        <f>IFERROR(BH69/BH$60,"")</f>
        <v>0.04763483251</v>
      </c>
      <c r="BK69" s="1090">
        <f>SUM(BK70:BK86)</f>
        <v>15538.5</v>
      </c>
      <c r="BL69" s="1091" t="str">
        <f t="shared" si="579"/>
        <v/>
      </c>
      <c r="BM69" s="1091">
        <f>IFERROR(BK69/BK$60,"")</f>
        <v>0.05999656226</v>
      </c>
      <c r="BN69" s="1088">
        <f>SUM(BN70:BN86)</f>
        <v>17382.496</v>
      </c>
      <c r="BO69" s="1091" t="str">
        <f t="shared" si="580"/>
        <v/>
      </c>
      <c r="BP69" s="1091">
        <f t="shared" si="708"/>
        <v>0.08199754394</v>
      </c>
      <c r="BQ69" s="1130">
        <f t="shared" si="39"/>
        <v>-1442.504</v>
      </c>
      <c r="BR69" s="1132">
        <f t="shared" si="40"/>
        <v>-0.07662703851</v>
      </c>
      <c r="BS69" s="1130">
        <f t="shared" si="41"/>
        <v>1843.996</v>
      </c>
      <c r="BT69" s="1132">
        <f t="shared" si="42"/>
        <v>0.1186727162</v>
      </c>
      <c r="BU69" s="1088">
        <f>SUM(BU70:BU86)</f>
        <v>18825</v>
      </c>
      <c r="BV69" s="1091" t="str">
        <f t="shared" si="581"/>
        <v/>
      </c>
      <c r="BW69" s="1091">
        <f>IFERROR(BU69/BU$60,"")</f>
        <v>0.0481422094</v>
      </c>
      <c r="BX69" s="1090">
        <f>SUM(BX70:BX86)</f>
        <v>19281.81</v>
      </c>
      <c r="BY69" s="1091" t="str">
        <f t="shared" si="582"/>
        <v/>
      </c>
      <c r="BZ69" s="1091">
        <f>IFERROR(BX69/BX$60,"")</f>
        <v>0.07235377875</v>
      </c>
      <c r="CA69" s="1088">
        <f>SUM(CA70:CA86)</f>
        <v>18092.625</v>
      </c>
      <c r="CB69" s="1091" t="str">
        <f t="shared" si="583"/>
        <v/>
      </c>
      <c r="CC69" s="1091">
        <f t="shared" si="709"/>
        <v>0.07217292143</v>
      </c>
      <c r="CD69" s="1130">
        <f t="shared" si="46"/>
        <v>-732.375</v>
      </c>
      <c r="CE69" s="1132">
        <f t="shared" si="47"/>
        <v>-0.03890438247</v>
      </c>
      <c r="CF69" s="1130">
        <f t="shared" si="48"/>
        <v>-1189.185</v>
      </c>
      <c r="CG69" s="1132">
        <f t="shared" si="49"/>
        <v>-0.06167392999</v>
      </c>
      <c r="CH69" s="1088">
        <f>SUM(CH70:CH86)</f>
        <v>18825</v>
      </c>
      <c r="CI69" s="1091" t="str">
        <f t="shared" si="584"/>
        <v/>
      </c>
      <c r="CJ69" s="1091">
        <f>IFERROR(CH69/CH$60,"")</f>
        <v>0.0481422094</v>
      </c>
      <c r="CK69" s="1090">
        <f>SUM(CK70:CK86)</f>
        <v>21587</v>
      </c>
      <c r="CL69" s="1091" t="str">
        <f t="shared" si="585"/>
        <v/>
      </c>
      <c r="CM69" s="1091">
        <f>IFERROR(CK69/CK$60,"")</f>
        <v>0.07938907154</v>
      </c>
      <c r="CN69" s="1088">
        <f>SUM(CN70:CN86)</f>
        <v>0</v>
      </c>
      <c r="CO69" s="1091" t="str">
        <f t="shared" si="586"/>
        <v/>
      </c>
      <c r="CP69" s="1091" t="str">
        <f t="shared" si="710"/>
        <v/>
      </c>
      <c r="CQ69" s="1130">
        <f t="shared" si="53"/>
        <v>-18825</v>
      </c>
      <c r="CR69" s="1132">
        <f t="shared" si="54"/>
        <v>-1</v>
      </c>
      <c r="CS69" s="1130">
        <f t="shared" si="55"/>
        <v>-21587</v>
      </c>
      <c r="CT69" s="1132">
        <f t="shared" si="56"/>
        <v>-1</v>
      </c>
      <c r="CU69" s="1088">
        <f t="shared" si="694"/>
        <v>56475</v>
      </c>
      <c r="CV69" s="1091" t="str">
        <f t="shared" si="587"/>
        <v/>
      </c>
      <c r="CW69" s="1091">
        <f t="shared" si="711"/>
        <v>0.04797188707</v>
      </c>
      <c r="CX69" s="1090">
        <f t="shared" si="695"/>
        <v>56407.31</v>
      </c>
      <c r="CY69" s="1091" t="str">
        <f t="shared" si="589"/>
        <v/>
      </c>
      <c r="CZ69" s="1091">
        <f t="shared" si="712"/>
        <v>0.07073927757</v>
      </c>
      <c r="DA69" s="1090">
        <f t="shared" si="696"/>
        <v>35475.121</v>
      </c>
      <c r="DB69" s="1091" t="str">
        <f t="shared" si="591"/>
        <v/>
      </c>
      <c r="DC69" s="1091">
        <f t="shared" si="713"/>
        <v>0.07667438326</v>
      </c>
      <c r="DD69" s="1130">
        <f t="shared" si="63"/>
        <v>-20999.879</v>
      </c>
      <c r="DE69" s="1132">
        <f t="shared" si="64"/>
        <v>-0.371843807</v>
      </c>
      <c r="DF69" s="1130">
        <f t="shared" si="65"/>
        <v>-20932.189</v>
      </c>
      <c r="DG69" s="1132">
        <f t="shared" si="66"/>
        <v>-0.3710900059</v>
      </c>
      <c r="DH69" s="1088">
        <f t="shared" si="697"/>
        <v>115950</v>
      </c>
      <c r="DI69" s="1091" t="str">
        <f t="shared" si="592"/>
        <v/>
      </c>
      <c r="DJ69" s="1091">
        <f t="shared" si="714"/>
        <v>0.04901020105</v>
      </c>
      <c r="DK69" s="1090">
        <f t="shared" si="216"/>
        <v>102467.31</v>
      </c>
      <c r="DL69" s="1091" t="str">
        <f t="shared" si="593"/>
        <v/>
      </c>
      <c r="DM69" s="1091">
        <f t="shared" si="715"/>
        <v>0.06842273493</v>
      </c>
      <c r="DN69" s="1090">
        <f t="shared" si="219"/>
        <v>74003.318</v>
      </c>
      <c r="DO69" s="1091">
        <f t="shared" si="594"/>
        <v>0.2176568176</v>
      </c>
      <c r="DP69" s="1091">
        <f t="shared" si="716"/>
        <v>0.07994011725</v>
      </c>
      <c r="DQ69" s="1130">
        <f t="shared" si="73"/>
        <v>-41946.682</v>
      </c>
      <c r="DR69" s="1132">
        <f t="shared" si="74"/>
        <v>-0.3617652609</v>
      </c>
      <c r="DS69" s="1130">
        <f t="shared" si="75"/>
        <v>-28463.992</v>
      </c>
      <c r="DT69" s="1132">
        <f t="shared" si="76"/>
        <v>-0.2777860764</v>
      </c>
      <c r="DU69" s="1088">
        <f>SUM(DU70:DU86)</f>
        <v>18825</v>
      </c>
      <c r="DV69" s="1091" t="str">
        <f t="shared" si="595"/>
        <v/>
      </c>
      <c r="DW69" s="1091">
        <f>IFERROR(DU69/DU$60,"")</f>
        <v>0.0481422094</v>
      </c>
      <c r="DX69" s="1090">
        <f>SUM(DX70:DX86)</f>
        <v>18825</v>
      </c>
      <c r="DY69" s="1091" t="str">
        <f t="shared" si="596"/>
        <v/>
      </c>
      <c r="DZ69" s="1091">
        <f>IFERROR(DX69/DX$60,"")</f>
        <v>0.0481422094</v>
      </c>
      <c r="EA69" s="1088">
        <f>SUM(EA70:EA86)</f>
        <v>0</v>
      </c>
      <c r="EB69" s="1091" t="str">
        <f t="shared" si="597"/>
        <v/>
      </c>
      <c r="EC69" s="1091" t="str">
        <f t="shared" si="717"/>
        <v/>
      </c>
      <c r="ED69" s="1130">
        <f t="shared" si="80"/>
        <v>-18825</v>
      </c>
      <c r="EE69" s="1132">
        <f t="shared" si="81"/>
        <v>-1</v>
      </c>
      <c r="EF69" s="1130">
        <f t="shared" si="82"/>
        <v>-18825</v>
      </c>
      <c r="EG69" s="1132">
        <f t="shared" si="83"/>
        <v>-1</v>
      </c>
      <c r="EH69" s="1088">
        <f>SUM(EH70:EH86)</f>
        <v>18825</v>
      </c>
      <c r="EI69" s="1091" t="str">
        <f t="shared" si="598"/>
        <v/>
      </c>
      <c r="EJ69" s="1091">
        <f>IFERROR(EH69/EH$60,"")</f>
        <v>0.0481422094</v>
      </c>
      <c r="EK69" s="1090">
        <f>SUM(EK70:EK86)</f>
        <v>18825</v>
      </c>
      <c r="EL69" s="1091" t="str">
        <f t="shared" si="599"/>
        <v/>
      </c>
      <c r="EM69" s="1091">
        <f>IFERROR(EK69/EK$60,"")</f>
        <v>0.0481422094</v>
      </c>
      <c r="EN69" s="1088">
        <f>SUM(EN70:EN86)</f>
        <v>0</v>
      </c>
      <c r="EO69" s="1091" t="str">
        <f t="shared" si="600"/>
        <v/>
      </c>
      <c r="EP69" s="1091" t="str">
        <f t="shared" si="718"/>
        <v/>
      </c>
      <c r="EQ69" s="1130">
        <f t="shared" si="87"/>
        <v>-18825</v>
      </c>
      <c r="ER69" s="1132">
        <f t="shared" si="88"/>
        <v>-1</v>
      </c>
      <c r="ES69" s="1130">
        <f t="shared" si="89"/>
        <v>-18825</v>
      </c>
      <c r="ET69" s="1132">
        <f t="shared" si="90"/>
        <v>-1</v>
      </c>
      <c r="EU69" s="1088">
        <f>SUM(EU70:EU86)</f>
        <v>18825</v>
      </c>
      <c r="EV69" s="1091" t="str">
        <f t="shared" si="601"/>
        <v/>
      </c>
      <c r="EW69" s="1091">
        <f>IFERROR(EU69/EU$60,"")</f>
        <v>0.0481422094</v>
      </c>
      <c r="EX69" s="1090">
        <f>SUM(EX70:EX86)</f>
        <v>18825</v>
      </c>
      <c r="EY69" s="1091" t="str">
        <f t="shared" si="602"/>
        <v/>
      </c>
      <c r="EZ69" s="1091">
        <f>IFERROR(EX69/EX$60,"")</f>
        <v>0.0481422094</v>
      </c>
      <c r="FA69" s="1088">
        <f>SUM(FA70:FA86)</f>
        <v>0</v>
      </c>
      <c r="FB69" s="1091" t="str">
        <f t="shared" si="603"/>
        <v/>
      </c>
      <c r="FC69" s="1091" t="str">
        <f t="shared" si="719"/>
        <v/>
      </c>
      <c r="FD69" s="1130">
        <f t="shared" si="94"/>
        <v>-18825</v>
      </c>
      <c r="FE69" s="1132">
        <f t="shared" si="95"/>
        <v>-1</v>
      </c>
      <c r="FF69" s="1130">
        <f t="shared" si="96"/>
        <v>-18825</v>
      </c>
      <c r="FG69" s="1132">
        <f t="shared" si="97"/>
        <v>-1</v>
      </c>
      <c r="FH69" s="1088">
        <f t="shared" si="698"/>
        <v>56475</v>
      </c>
      <c r="FI69" s="1091" t="str">
        <f t="shared" si="604"/>
        <v/>
      </c>
      <c r="FJ69" s="1091">
        <f t="shared" si="720"/>
        <v>0.0481422094</v>
      </c>
      <c r="FK69" s="1090">
        <f t="shared" si="243"/>
        <v>56475</v>
      </c>
      <c r="FL69" s="1091" t="str">
        <f t="shared" si="605"/>
        <v/>
      </c>
      <c r="FM69" s="1091">
        <f t="shared" si="721"/>
        <v>0.0481422094</v>
      </c>
      <c r="FN69" s="1090">
        <f t="shared" si="246"/>
        <v>0</v>
      </c>
      <c r="FO69" s="1091" t="str">
        <f t="shared" si="606"/>
        <v/>
      </c>
      <c r="FP69" s="1091" t="str">
        <f t="shared" si="722"/>
        <v/>
      </c>
      <c r="FQ69" s="1130">
        <f t="shared" si="104"/>
        <v>-56475</v>
      </c>
      <c r="FR69" s="1132">
        <f t="shared" si="105"/>
        <v>-1</v>
      </c>
      <c r="FS69" s="1130">
        <f t="shared" si="106"/>
        <v>-56475</v>
      </c>
      <c r="FT69" s="1132">
        <f t="shared" si="107"/>
        <v>-1</v>
      </c>
      <c r="FU69" s="1088">
        <f>SUM(FU70:FU86)</f>
        <v>18825</v>
      </c>
      <c r="FV69" s="1091" t="str">
        <f t="shared" si="607"/>
        <v/>
      </c>
      <c r="FW69" s="1091">
        <f>IFERROR(FU69/FU$60,"")</f>
        <v>0.0481422094</v>
      </c>
      <c r="FX69" s="1090">
        <f>SUM(FX70:FX86)</f>
        <v>18825</v>
      </c>
      <c r="FY69" s="1091" t="str">
        <f t="shared" si="608"/>
        <v/>
      </c>
      <c r="FZ69" s="1091">
        <f>IFERROR(FX69/FX$60,"")</f>
        <v>0.0481422094</v>
      </c>
      <c r="GA69" s="1088">
        <f>SUM(GA70:GA86)</f>
        <v>0</v>
      </c>
      <c r="GB69" s="1091" t="str">
        <f t="shared" si="609"/>
        <v/>
      </c>
      <c r="GC69" s="1091" t="str">
        <f t="shared" si="723"/>
        <v/>
      </c>
      <c r="GD69" s="1130">
        <f t="shared" si="111"/>
        <v>-18825</v>
      </c>
      <c r="GE69" s="1132">
        <f t="shared" si="112"/>
        <v>-1</v>
      </c>
      <c r="GF69" s="1130">
        <f t="shared" si="113"/>
        <v>-18825</v>
      </c>
      <c r="GG69" s="1132">
        <f t="shared" si="114"/>
        <v>-1</v>
      </c>
      <c r="GH69" s="1088">
        <f>SUM(GH70:GH86)</f>
        <v>18825</v>
      </c>
      <c r="GI69" s="1091" t="str">
        <f t="shared" si="610"/>
        <v/>
      </c>
      <c r="GJ69" s="1091">
        <f>IFERROR(GH69/GH$60,"")</f>
        <v>0.0481422094</v>
      </c>
      <c r="GK69" s="1090">
        <f>SUM(GK70:GK86)</f>
        <v>18825</v>
      </c>
      <c r="GL69" s="1091" t="str">
        <f t="shared" si="611"/>
        <v/>
      </c>
      <c r="GM69" s="1091">
        <f>IFERROR(GK69/GK$60,"")</f>
        <v>0.0481422094</v>
      </c>
      <c r="GN69" s="1088">
        <f>SUM(GN70:GN86)</f>
        <v>0</v>
      </c>
      <c r="GO69" s="1091" t="str">
        <f t="shared" si="612"/>
        <v/>
      </c>
      <c r="GP69" s="1091" t="str">
        <f t="shared" si="724"/>
        <v/>
      </c>
      <c r="GQ69" s="1130">
        <f t="shared" si="118"/>
        <v>-18825</v>
      </c>
      <c r="GR69" s="1132">
        <f t="shared" si="119"/>
        <v>-1</v>
      </c>
      <c r="GS69" s="1130">
        <f t="shared" si="120"/>
        <v>-18825</v>
      </c>
      <c r="GT69" s="1132">
        <f t="shared" si="121"/>
        <v>-1</v>
      </c>
      <c r="GU69" s="1088">
        <f>SUM(GU70:GU86)</f>
        <v>18825</v>
      </c>
      <c r="GV69" s="1091" t="str">
        <f t="shared" si="613"/>
        <v/>
      </c>
      <c r="GW69" s="1091">
        <f>IFERROR(GU69/GU$60,"")</f>
        <v>0.0481422094</v>
      </c>
      <c r="GX69" s="1090">
        <f>SUM(GX70:GX86)</f>
        <v>18825</v>
      </c>
      <c r="GY69" s="1091" t="str">
        <f t="shared" si="614"/>
        <v/>
      </c>
      <c r="GZ69" s="1091">
        <f>IFERROR(GX69/GX$60,"")</f>
        <v>0.0481422094</v>
      </c>
      <c r="HA69" s="1088">
        <f>SUM(HA70:HA86)</f>
        <v>0</v>
      </c>
      <c r="HB69" s="1091" t="str">
        <f t="shared" si="615"/>
        <v/>
      </c>
      <c r="HC69" s="1091" t="str">
        <f t="shared" si="725"/>
        <v/>
      </c>
      <c r="HD69" s="1130">
        <f t="shared" si="125"/>
        <v>-18825</v>
      </c>
      <c r="HE69" s="1132">
        <f t="shared" si="126"/>
        <v>-1</v>
      </c>
      <c r="HF69" s="1130">
        <f t="shared" si="127"/>
        <v>-18825</v>
      </c>
      <c r="HG69" s="1132">
        <f t="shared" si="128"/>
        <v>-1</v>
      </c>
      <c r="HH69" s="1088">
        <f t="shared" si="699"/>
        <v>56475</v>
      </c>
      <c r="HI69" s="1091" t="str">
        <f t="shared" si="616"/>
        <v/>
      </c>
      <c r="HJ69" s="1091">
        <f t="shared" si="726"/>
        <v>0.0481422094</v>
      </c>
      <c r="HK69" s="1090">
        <f t="shared" si="270"/>
        <v>56475</v>
      </c>
      <c r="HL69" s="1091" t="str">
        <f t="shared" si="617"/>
        <v/>
      </c>
      <c r="HM69" s="1091">
        <f t="shared" si="727"/>
        <v>0.0481422094</v>
      </c>
      <c r="HN69" s="1090">
        <f t="shared" si="273"/>
        <v>0</v>
      </c>
      <c r="HO69" s="1091" t="str">
        <f t="shared" si="618"/>
        <v/>
      </c>
      <c r="HP69" s="1091" t="str">
        <f t="shared" si="728"/>
        <v/>
      </c>
      <c r="HQ69" s="1130">
        <f t="shared" si="135"/>
        <v>-56475</v>
      </c>
      <c r="HR69" s="1132">
        <f t="shared" si="136"/>
        <v>-1</v>
      </c>
      <c r="HS69" s="1130">
        <f t="shared" si="137"/>
        <v>-56475</v>
      </c>
      <c r="HT69" s="1132">
        <f t="shared" si="138"/>
        <v>-1</v>
      </c>
      <c r="HU69" s="1088">
        <f t="shared" si="700"/>
        <v>112950</v>
      </c>
      <c r="HV69" s="1091" t="str">
        <f t="shared" si="619"/>
        <v/>
      </c>
      <c r="HW69" s="1091">
        <f t="shared" si="729"/>
        <v>0.0481422094</v>
      </c>
      <c r="HX69" s="1090">
        <f t="shared" si="279"/>
        <v>112950</v>
      </c>
      <c r="HY69" s="1091" t="str">
        <f t="shared" si="620"/>
        <v/>
      </c>
      <c r="HZ69" s="1091">
        <f t="shared" si="730"/>
        <v>0.0481422094</v>
      </c>
      <c r="IA69" s="1090">
        <f t="shared" si="282"/>
        <v>0</v>
      </c>
      <c r="IB69" s="1091" t="str">
        <f t="shared" si="621"/>
        <v/>
      </c>
      <c r="IC69" s="1091" t="str">
        <f t="shared" si="731"/>
        <v/>
      </c>
      <c r="ID69" s="1130">
        <f t="shared" si="145"/>
        <v>-112950</v>
      </c>
      <c r="IE69" s="1132">
        <f t="shared" si="146"/>
        <v>-1</v>
      </c>
      <c r="IF69" s="1130">
        <f t="shared" si="147"/>
        <v>-112950</v>
      </c>
      <c r="IG69" s="1132">
        <f t="shared" si="148"/>
        <v>-1</v>
      </c>
      <c r="IH69" s="1088">
        <f t="shared" si="701"/>
        <v>228900</v>
      </c>
      <c r="II69" s="1091" t="str">
        <f t="shared" si="622"/>
        <v/>
      </c>
      <c r="IJ69" s="1091">
        <f t="shared" si="732"/>
        <v>0.048578016</v>
      </c>
      <c r="IK69" s="1090">
        <f t="shared" si="288"/>
        <v>215417.31</v>
      </c>
      <c r="IL69" s="1091" t="str">
        <f t="shared" si="623"/>
        <v/>
      </c>
      <c r="IM69" s="1091">
        <f t="shared" si="733"/>
        <v>0.05604372719</v>
      </c>
      <c r="IN69" s="1090">
        <f t="shared" si="291"/>
        <v>74003.318</v>
      </c>
      <c r="IO69" s="1091">
        <f t="shared" si="624"/>
        <v>0.2176568176</v>
      </c>
      <c r="IP69" s="1091">
        <f t="shared" si="734"/>
        <v>0.07994011725</v>
      </c>
      <c r="IQ69" s="1130">
        <f t="shared" si="155"/>
        <v>-154896.682</v>
      </c>
      <c r="IR69" s="1132">
        <f t="shared" si="1"/>
        <v>-0.6767002272</v>
      </c>
      <c r="IS69" s="1130">
        <f t="shared" si="156"/>
        <v>-141413.992</v>
      </c>
      <c r="IT69" s="1132">
        <f t="shared" si="2"/>
        <v>-0.6564653138</v>
      </c>
    </row>
    <row r="70" hidden="1" outlineLevel="1">
      <c r="A70" s="737"/>
      <c r="B70" s="737"/>
      <c r="C70" s="737"/>
      <c r="D70" s="737" t="s">
        <v>2855</v>
      </c>
      <c r="E70" s="737" t="s">
        <v>2215</v>
      </c>
      <c r="F70" s="737"/>
      <c r="G70" s="748">
        <v>3.0</v>
      </c>
      <c r="H70" s="1146">
        <f>SUMIFS(BP_SOTIEN,BP_THANG,H$2,BP_KM,$E70)/1000</f>
        <v>43</v>
      </c>
      <c r="I70" s="1091" t="str">
        <f t="shared" si="566"/>
        <v/>
      </c>
      <c r="J70" s="1091"/>
      <c r="K70" s="1147">
        <f>IF(NOW()&gt;=DATE(YEAR(H$2),MONTH(H$2)+1,DAY(H$2)),SUMIFS(TF_SOTIEN,TF_THANG,H$2,TF_KM,$E70)/1000, N70)</f>
        <v>43</v>
      </c>
      <c r="L70" s="1091" t="str">
        <f t="shared" si="567"/>
        <v/>
      </c>
      <c r="M70" s="1091"/>
      <c r="N70" s="1147">
        <f>IF(NOW()&gt;=DATE(YEAR(H$2),MONTH(H$2)+1,DAY(H$2)),SUMIFS(AC_SOTIEN,AC_THANG,H$2,AC_KM,$E70),SUMIFS(TF_SOTIEN,TF_THANG,H$2,TF_KM,$E70))/ 1000</f>
        <v>0</v>
      </c>
      <c r="O70" s="1091">
        <f t="shared" si="568"/>
        <v>0</v>
      </c>
      <c r="P70" s="1091">
        <f t="shared" ref="P70:P86" si="735">IFERROR(N70/N$69,"")</f>
        <v>0</v>
      </c>
      <c r="Q70" s="1147">
        <f t="shared" si="8"/>
        <v>-43</v>
      </c>
      <c r="R70" s="1091">
        <f t="shared" si="9"/>
        <v>-1</v>
      </c>
      <c r="S70" s="1147">
        <f t="shared" si="10"/>
        <v>-43</v>
      </c>
      <c r="T70" s="1091">
        <f t="shared" si="11"/>
        <v>-1</v>
      </c>
      <c r="U70" s="1146">
        <f>SUMIFS(BP_SOTIEN,BP_THANG,U$2,BP_KM,$E70)/1000</f>
        <v>43</v>
      </c>
      <c r="V70" s="1091" t="str">
        <f t="shared" si="569"/>
        <v/>
      </c>
      <c r="W70" s="1091"/>
      <c r="X70" s="1147">
        <f>IF(NOW()&gt;=DATE(YEAR(U$2),MONTH(U$2)+1,DAY(U$2)),SUMIFS(TF_SOTIEN,TF_THANG,U$2,TF_KM,$E70)/1000, AA70)</f>
        <v>0</v>
      </c>
      <c r="Y70" s="1091" t="str">
        <f t="shared" si="570"/>
        <v/>
      </c>
      <c r="Z70" s="1091"/>
      <c r="AA70" s="1147">
        <f>IF(NOW()&gt;=DATE(YEAR(U$2),MONTH(U$2)+1,DAY(U$2)),SUMIFS(AC_SOTIEN,AC_THANG,U$2,AC_KM,$E70),SUMIFS(TF_SOTIEN,TF_THANG,U$2,TF_KM,$E70))/ 1000</f>
        <v>0</v>
      </c>
      <c r="AB70" s="1091" t="str">
        <f t="shared" si="571"/>
        <v/>
      </c>
      <c r="AC70" s="1091">
        <f t="shared" ref="AC70:AC86" si="736">IFERROR(AA70/AA$69,"")</f>
        <v>0</v>
      </c>
      <c r="AD70" s="1147">
        <f t="shared" si="15"/>
        <v>-43</v>
      </c>
      <c r="AE70" s="1091">
        <f t="shared" si="16"/>
        <v>-1</v>
      </c>
      <c r="AF70" s="1147">
        <f t="shared" si="17"/>
        <v>0</v>
      </c>
      <c r="AG70" s="1091" t="str">
        <f t="shared" si="18"/>
        <v/>
      </c>
      <c r="AH70" s="1146">
        <f>SUMIFS(BP_SOTIEN,BP_THANG,AH$2,BP_KM,$E70)/1000</f>
        <v>43</v>
      </c>
      <c r="AI70" s="1091" t="str">
        <f t="shared" si="572"/>
        <v/>
      </c>
      <c r="AJ70" s="1091"/>
      <c r="AK70" s="1147">
        <f>IF(NOW()&gt;=DATE(YEAR(AH$2),MONTH(AH$2)+1,DAY(AH$2)),SUMIFS(TF_SOTIEN,TF_THANG,AH$2,TF_KM,$E70)/1000, AN70)</f>
        <v>0</v>
      </c>
      <c r="AL70" s="1091" t="str">
        <f t="shared" si="573"/>
        <v/>
      </c>
      <c r="AM70" s="1091"/>
      <c r="AN70" s="1147">
        <f>IF(NOW()&gt;=DATE(YEAR(AH$2),MONTH(AH$2)+1,DAY(AH$2)),SUMIFS(AC_SOTIEN,AC_THANG,AH$2,AC_KM,$E70),SUMIFS(TF_SOTIEN,TF_THANG,AH$2,TF_KM,$E70))/ 1000</f>
        <v>0</v>
      </c>
      <c r="AO70" s="1091" t="str">
        <f t="shared" si="574"/>
        <v/>
      </c>
      <c r="AP70" s="1091">
        <f t="shared" ref="AP70:AP86" si="737">IFERROR(AN70/AN$69,"")</f>
        <v>0</v>
      </c>
      <c r="AQ70" s="1147">
        <f t="shared" si="22"/>
        <v>-43</v>
      </c>
      <c r="AR70" s="1091">
        <f t="shared" si="23"/>
        <v>-1</v>
      </c>
      <c r="AS70" s="1147">
        <f t="shared" si="24"/>
        <v>0</v>
      </c>
      <c r="AT70" s="1091" t="str">
        <f t="shared" si="25"/>
        <v/>
      </c>
      <c r="AU70" s="1146">
        <f t="shared" si="691"/>
        <v>129</v>
      </c>
      <c r="AV70" s="1091" t="str">
        <f t="shared" si="575"/>
        <v/>
      </c>
      <c r="AW70" s="1091">
        <f t="shared" ref="AW70:AW86" si="738">IFERROR(AU70/AU$69,"")</f>
        <v>0.002168978562</v>
      </c>
      <c r="AX70" s="1147">
        <f t="shared" si="692"/>
        <v>43</v>
      </c>
      <c r="AY70" s="1091" t="str">
        <f t="shared" si="576"/>
        <v/>
      </c>
      <c r="AZ70" s="1091">
        <f t="shared" ref="AZ70:AZ86" si="739">IFERROR(AX70/AX$69,"")</f>
        <v>0.0009335649153</v>
      </c>
      <c r="BA70" s="1147">
        <f t="shared" si="693"/>
        <v>0</v>
      </c>
      <c r="BB70" s="1091">
        <f t="shared" si="577"/>
        <v>0</v>
      </c>
      <c r="BC70" s="1091">
        <f t="shared" ref="BC70:BC86" si="740">IFERROR(BA70/BA$69,"")</f>
        <v>0</v>
      </c>
      <c r="BD70" s="1147">
        <f t="shared" si="32"/>
        <v>-129</v>
      </c>
      <c r="BE70" s="1091">
        <f t="shared" si="33"/>
        <v>-1</v>
      </c>
      <c r="BF70" s="1147">
        <f t="shared" si="34"/>
        <v>-43</v>
      </c>
      <c r="BG70" s="1091">
        <f t="shared" si="35"/>
        <v>-1</v>
      </c>
      <c r="BH70" s="1146">
        <f>SUMIFS(BP_SOTIEN,BP_THANG,BH$2,BP_KM,$E70)/1000</f>
        <v>43</v>
      </c>
      <c r="BI70" s="1091" t="str">
        <f t="shared" si="578"/>
        <v/>
      </c>
      <c r="BJ70" s="1091"/>
      <c r="BK70" s="1147">
        <f>IF(NOW()&gt;=DATE(YEAR(BH$2),MONTH(BH$2)+1,DAY(BH$2)),SUMIFS(TF_SOTIEN,TF_THANG,BH$2,TF_KM,$E70)/1000, BN70)</f>
        <v>0</v>
      </c>
      <c r="BL70" s="1091" t="str">
        <f t="shared" si="579"/>
        <v/>
      </c>
      <c r="BM70" s="1091"/>
      <c r="BN70" s="1147">
        <f>IF(NOW()&gt;=DATE(YEAR(BH$2),MONTH(BH$2)+1,DAY(BH$2)),SUMIFS(AC_SOTIEN,AC_THANG,BH$2,AC_KM,$E70),SUMIFS(TF_SOTIEN,TF_THANG,BH$2,TF_KM,$E70))/ 1000</f>
        <v>0</v>
      </c>
      <c r="BO70" s="1091" t="str">
        <f t="shared" si="580"/>
        <v/>
      </c>
      <c r="BP70" s="1091">
        <f t="shared" ref="BP70:BP86" si="741">IFERROR(BN70/BN$69,"")</f>
        <v>0</v>
      </c>
      <c r="BQ70" s="1147">
        <f t="shared" si="39"/>
        <v>-43</v>
      </c>
      <c r="BR70" s="1091">
        <f t="shared" si="40"/>
        <v>-1</v>
      </c>
      <c r="BS70" s="1147">
        <f t="shared" si="41"/>
        <v>0</v>
      </c>
      <c r="BT70" s="1091" t="str">
        <f t="shared" si="42"/>
        <v/>
      </c>
      <c r="BU70" s="1146">
        <f>SUMIFS(BP_SOTIEN,BP_THANG,BU$2,BP_KM,$E70)/1000</f>
        <v>43</v>
      </c>
      <c r="BV70" s="1091" t="str">
        <f t="shared" si="581"/>
        <v/>
      </c>
      <c r="BW70" s="1091"/>
      <c r="BX70" s="1147">
        <f>IF(NOW()&gt;=DATE(YEAR(BU$2),MONTH(BU$2)+1,DAY(BU$2)),SUMIFS(TF_SOTIEN,TF_THANG,BU$2,TF_KM,$E70)/1000, CA70)</f>
        <v>0</v>
      </c>
      <c r="BY70" s="1091" t="str">
        <f t="shared" si="582"/>
        <v/>
      </c>
      <c r="BZ70" s="1091"/>
      <c r="CA70" s="1147">
        <f>IF(NOW()&gt;=DATE(YEAR(BU$2),MONTH(BU$2)+1,DAY(BU$2)),SUMIFS(AC_SOTIEN,AC_THANG,BU$2,AC_KM,$E70),SUMIFS(TF_SOTIEN,TF_THANG,BU$2,TF_KM,$E70))/ 1000</f>
        <v>0</v>
      </c>
      <c r="CB70" s="1091" t="str">
        <f t="shared" si="583"/>
        <v/>
      </c>
      <c r="CC70" s="1091">
        <f t="shared" ref="CC70:CC86" si="742">IFERROR(CA70/CA$69,"")</f>
        <v>0</v>
      </c>
      <c r="CD70" s="1147">
        <f t="shared" si="46"/>
        <v>-43</v>
      </c>
      <c r="CE70" s="1091">
        <f t="shared" si="47"/>
        <v>-1</v>
      </c>
      <c r="CF70" s="1147">
        <f t="shared" si="48"/>
        <v>0</v>
      </c>
      <c r="CG70" s="1091" t="str">
        <f t="shared" si="49"/>
        <v/>
      </c>
      <c r="CH70" s="1146">
        <f>SUMIFS(BP_SOTIEN,BP_THANG,CH$2,BP_KM,$E70)/1000</f>
        <v>43</v>
      </c>
      <c r="CI70" s="1091" t="str">
        <f t="shared" si="584"/>
        <v/>
      </c>
      <c r="CJ70" s="1091"/>
      <c r="CK70" s="1147">
        <f>IF(NOW()&gt;=DATE(YEAR(CH$2),MONTH(CH$2)+1,DAY(CH$2)),SUMIFS(TF_SOTIEN,TF_THANG,CH$2,TF_KM,$E70)/1000, CN70)</f>
        <v>43</v>
      </c>
      <c r="CL70" s="1091" t="str">
        <f t="shared" si="585"/>
        <v/>
      </c>
      <c r="CM70" s="1091"/>
      <c r="CN70" s="1147">
        <f>IF(NOW()&gt;=DATE(YEAR(CH$2),MONTH(CH$2)+1,DAY(CH$2)),SUMIFS(AC_SOTIEN,AC_THANG,CH$2,AC_KM,$E70),SUMIFS(TF_SOTIEN,TF_THANG,CH$2,TF_KM,$E70))/ 1000</f>
        <v>0</v>
      </c>
      <c r="CO70" s="1091" t="str">
        <f t="shared" si="586"/>
        <v/>
      </c>
      <c r="CP70" s="1091" t="str">
        <f t="shared" ref="CP70:CP86" si="743">IFERROR(CN70/CN$69,"")</f>
        <v/>
      </c>
      <c r="CQ70" s="1147">
        <f t="shared" si="53"/>
        <v>-43</v>
      </c>
      <c r="CR70" s="1091">
        <f t="shared" si="54"/>
        <v>-1</v>
      </c>
      <c r="CS70" s="1147">
        <f t="shared" si="55"/>
        <v>-43</v>
      </c>
      <c r="CT70" s="1091">
        <f t="shared" si="56"/>
        <v>-1</v>
      </c>
      <c r="CU70" s="1146">
        <f t="shared" si="694"/>
        <v>129</v>
      </c>
      <c r="CV70" s="1091" t="str">
        <f t="shared" si="587"/>
        <v/>
      </c>
      <c r="CW70" s="1091">
        <f t="shared" ref="CW70:CW86" si="744">IFERROR(CU70/CU$69,"")</f>
        <v>0.002284196547</v>
      </c>
      <c r="CX70" s="1147">
        <f t="shared" si="695"/>
        <v>43</v>
      </c>
      <c r="CY70" s="1091" t="str">
        <f t="shared" si="589"/>
        <v/>
      </c>
      <c r="CZ70" s="1091">
        <f t="shared" ref="CZ70:CZ86" si="745">IFERROR(CX70/CX$69,"")</f>
        <v>0.0007623125442</v>
      </c>
      <c r="DA70" s="1147">
        <f t="shared" si="696"/>
        <v>0</v>
      </c>
      <c r="DB70" s="1091" t="str">
        <f t="shared" si="591"/>
        <v/>
      </c>
      <c r="DC70" s="1091">
        <f t="shared" ref="DC70:DC86" si="746">IFERROR(DA70/DA$69,"")</f>
        <v>0</v>
      </c>
      <c r="DD70" s="1147">
        <f t="shared" si="63"/>
        <v>-129</v>
      </c>
      <c r="DE70" s="1091">
        <f t="shared" si="64"/>
        <v>-1</v>
      </c>
      <c r="DF70" s="1147">
        <f t="shared" si="65"/>
        <v>-43</v>
      </c>
      <c r="DG70" s="1091">
        <f t="shared" si="66"/>
        <v>-1</v>
      </c>
      <c r="DH70" s="1146">
        <f t="shared" si="697"/>
        <v>258</v>
      </c>
      <c r="DI70" s="1091" t="str">
        <f t="shared" si="592"/>
        <v/>
      </c>
      <c r="DJ70" s="1091">
        <f t="shared" ref="DJ70:DJ86" si="747">IFERROR(DH70/DH$69,"")</f>
        <v>0.002225097025</v>
      </c>
      <c r="DK70" s="1147">
        <f t="shared" si="216"/>
        <v>86</v>
      </c>
      <c r="DL70" s="1091" t="str">
        <f t="shared" si="593"/>
        <v/>
      </c>
      <c r="DM70" s="1091">
        <f t="shared" ref="DM70:DM86" si="748">IFERROR(DK70/DK$69,"")</f>
        <v>0.000839292063</v>
      </c>
      <c r="DN70" s="1147">
        <f t="shared" si="219"/>
        <v>0</v>
      </c>
      <c r="DO70" s="1091">
        <f t="shared" si="594"/>
        <v>0</v>
      </c>
      <c r="DP70" s="1091">
        <f t="shared" ref="DP70:DP86" si="749">IFERROR(DN70/DN$69,"")</f>
        <v>0</v>
      </c>
      <c r="DQ70" s="1147">
        <f t="shared" si="73"/>
        <v>-258</v>
      </c>
      <c r="DR70" s="1091">
        <f t="shared" si="74"/>
        <v>-1</v>
      </c>
      <c r="DS70" s="1147">
        <f t="shared" si="75"/>
        <v>-86</v>
      </c>
      <c r="DT70" s="1091">
        <f t="shared" si="76"/>
        <v>-1</v>
      </c>
      <c r="DU70" s="1146">
        <f>SUMIFS(BP_SOTIEN,BP_THANG,DU$2,BP_KM,$E70)/1000</f>
        <v>43</v>
      </c>
      <c r="DV70" s="1091" t="str">
        <f t="shared" si="595"/>
        <v/>
      </c>
      <c r="DW70" s="1091"/>
      <c r="DX70" s="1147">
        <f>IF(NOW()&gt;=DATE(YEAR(DU$2),MONTH(DU$2)+1,DAY(DU$2)),SUMIFS(TF_SOTIEN,TF_THANG,DU$2,TF_KM,$E70)/1000, EA70)</f>
        <v>43</v>
      </c>
      <c r="DY70" s="1091" t="str">
        <f t="shared" si="596"/>
        <v/>
      </c>
      <c r="DZ70" s="1091"/>
      <c r="EA70" s="1147">
        <f>IF(NOW()&gt;=DATE(YEAR(DU$2),MONTH(DU$2)+1,DAY(DU$2)),SUMIFS(AC_SOTIEN,AC_THANG,DU$2,AC_KM,$E70),SUMIFS(TF_SOTIEN,TF_THANG,DU$2,TF_KM,$E70))/ 1000</f>
        <v>0</v>
      </c>
      <c r="EB70" s="1091" t="str">
        <f t="shared" si="597"/>
        <v/>
      </c>
      <c r="EC70" s="1091" t="str">
        <f t="shared" ref="EC70:EC86" si="750">IFERROR(EA70/EA$69,"")</f>
        <v/>
      </c>
      <c r="ED70" s="1147">
        <f t="shared" si="80"/>
        <v>-43</v>
      </c>
      <c r="EE70" s="1091">
        <f t="shared" si="81"/>
        <v>-1</v>
      </c>
      <c r="EF70" s="1147">
        <f t="shared" si="82"/>
        <v>-43</v>
      </c>
      <c r="EG70" s="1091">
        <f t="shared" si="83"/>
        <v>-1</v>
      </c>
      <c r="EH70" s="1146">
        <f>SUMIFS(BP_SOTIEN,BP_THANG,EH$2,BP_KM,$E70)/1000</f>
        <v>43</v>
      </c>
      <c r="EI70" s="1091" t="str">
        <f t="shared" si="598"/>
        <v/>
      </c>
      <c r="EJ70" s="1091"/>
      <c r="EK70" s="1147">
        <f>IF(NOW()&gt;=DATE(YEAR(EH$2),MONTH(EH$2)+1,DAY(EH$2)),SUMIFS(TF_SOTIEN,TF_THANG,EH$2,TF_KM,$E70)/1000, EN70)</f>
        <v>43</v>
      </c>
      <c r="EL70" s="1091" t="str">
        <f t="shared" si="599"/>
        <v/>
      </c>
      <c r="EM70" s="1091"/>
      <c r="EN70" s="1147">
        <f>IF(NOW()&gt;=DATE(YEAR(EH$2),MONTH(EH$2)+1,DAY(EH$2)),SUMIFS(AC_SOTIEN,AC_THANG,EH$2,AC_KM,$E70),SUMIFS(TF_SOTIEN,TF_THANG,EH$2,TF_KM,$E70))/ 1000</f>
        <v>0</v>
      </c>
      <c r="EO70" s="1091" t="str">
        <f t="shared" si="600"/>
        <v/>
      </c>
      <c r="EP70" s="1091" t="str">
        <f t="shared" ref="EP70:EP86" si="751">IFERROR(EN70/EN$69,"")</f>
        <v/>
      </c>
      <c r="EQ70" s="1147">
        <f t="shared" si="87"/>
        <v>-43</v>
      </c>
      <c r="ER70" s="1091">
        <f t="shared" si="88"/>
        <v>-1</v>
      </c>
      <c r="ES70" s="1147">
        <f t="shared" si="89"/>
        <v>-43</v>
      </c>
      <c r="ET70" s="1091">
        <f t="shared" si="90"/>
        <v>-1</v>
      </c>
      <c r="EU70" s="1146">
        <f>SUMIFS(BP_SOTIEN,BP_THANG,EU$2,BP_KM,$E70)/1000</f>
        <v>43</v>
      </c>
      <c r="EV70" s="1091" t="str">
        <f t="shared" si="601"/>
        <v/>
      </c>
      <c r="EW70" s="1091"/>
      <c r="EX70" s="1147">
        <f>IF(NOW()&gt;=DATE(YEAR(EU$2),MONTH(EU$2)+1,DAY(EU$2)),SUMIFS(TF_SOTIEN,TF_THANG,EU$2,TF_KM,$E70)/1000, FA70)</f>
        <v>43</v>
      </c>
      <c r="EY70" s="1091" t="str">
        <f t="shared" si="602"/>
        <v/>
      </c>
      <c r="EZ70" s="1091"/>
      <c r="FA70" s="1147">
        <f>IF(NOW()&gt;=DATE(YEAR(EU$2),MONTH(EU$2)+1,DAY(EU$2)),SUMIFS(AC_SOTIEN,AC_THANG,EU$2,AC_KM,$E70),SUMIFS(TF_SOTIEN,TF_THANG,EU$2,TF_KM,$E70))/ 1000</f>
        <v>0</v>
      </c>
      <c r="FB70" s="1091" t="str">
        <f t="shared" si="603"/>
        <v/>
      </c>
      <c r="FC70" s="1091" t="str">
        <f t="shared" ref="FC70:FC86" si="752">IFERROR(FA70/FA$69,"")</f>
        <v/>
      </c>
      <c r="FD70" s="1147">
        <f t="shared" si="94"/>
        <v>-43</v>
      </c>
      <c r="FE70" s="1091">
        <f t="shared" si="95"/>
        <v>-1</v>
      </c>
      <c r="FF70" s="1147">
        <f t="shared" si="96"/>
        <v>-43</v>
      </c>
      <c r="FG70" s="1091">
        <f t="shared" si="97"/>
        <v>-1</v>
      </c>
      <c r="FH70" s="1146">
        <f t="shared" si="698"/>
        <v>129</v>
      </c>
      <c r="FI70" s="1091" t="str">
        <f t="shared" si="604"/>
        <v/>
      </c>
      <c r="FJ70" s="1091">
        <f t="shared" ref="FJ70:FJ86" si="753">IFERROR(FH70/FH$69,"")</f>
        <v>0.002284196547</v>
      </c>
      <c r="FK70" s="1147">
        <f t="shared" si="243"/>
        <v>129</v>
      </c>
      <c r="FL70" s="1091" t="str">
        <f t="shared" si="605"/>
        <v/>
      </c>
      <c r="FM70" s="1091">
        <f t="shared" ref="FM70:FM86" si="754">IFERROR(FK70/FK$69,"")</f>
        <v>0.002284196547</v>
      </c>
      <c r="FN70" s="1147">
        <f t="shared" si="246"/>
        <v>0</v>
      </c>
      <c r="FO70" s="1091" t="str">
        <f t="shared" si="606"/>
        <v/>
      </c>
      <c r="FP70" s="1091" t="str">
        <f t="shared" ref="FP70:FP86" si="755">IFERROR(FN70/FN$69,"")</f>
        <v/>
      </c>
      <c r="FQ70" s="1147">
        <f t="shared" si="104"/>
        <v>-129</v>
      </c>
      <c r="FR70" s="1091">
        <f t="shared" si="105"/>
        <v>-1</v>
      </c>
      <c r="FS70" s="1147">
        <f t="shared" si="106"/>
        <v>-129</v>
      </c>
      <c r="FT70" s="1091">
        <f t="shared" si="107"/>
        <v>-1</v>
      </c>
      <c r="FU70" s="1146">
        <f>SUMIFS(BP_SOTIEN,BP_THANG,FU$2,BP_KM,$E70)/1000</f>
        <v>43</v>
      </c>
      <c r="FV70" s="1091" t="str">
        <f t="shared" si="607"/>
        <v/>
      </c>
      <c r="FW70" s="1091"/>
      <c r="FX70" s="1147">
        <f>IF(NOW()&gt;=DATE(YEAR(FU$2),MONTH(FU$2)+1,DAY(FU$2)),SUMIFS(TF_SOTIEN,TF_THANG,FU$2,TF_KM,$E70)/1000, GA70)</f>
        <v>43</v>
      </c>
      <c r="FY70" s="1091" t="str">
        <f t="shared" si="608"/>
        <v/>
      </c>
      <c r="FZ70" s="1091"/>
      <c r="GA70" s="1147">
        <f>IF(NOW()&gt;=DATE(YEAR(FU$2),MONTH(FU$2)+1,DAY(FU$2)),SUMIFS(AC_SOTIEN,AC_THANG,FU$2,AC_KM,$E70),SUMIFS(TF_SOTIEN,TF_THANG,FU$2,TF_KM,$E70))/ 1000</f>
        <v>0</v>
      </c>
      <c r="GB70" s="1091" t="str">
        <f t="shared" si="609"/>
        <v/>
      </c>
      <c r="GC70" s="1091" t="str">
        <f t="shared" ref="GC70:GC86" si="756">IFERROR(GA70/GA$69,"")</f>
        <v/>
      </c>
      <c r="GD70" s="1147">
        <f t="shared" si="111"/>
        <v>-43</v>
      </c>
      <c r="GE70" s="1091">
        <f t="shared" si="112"/>
        <v>-1</v>
      </c>
      <c r="GF70" s="1147">
        <f t="shared" si="113"/>
        <v>-43</v>
      </c>
      <c r="GG70" s="1091">
        <f t="shared" si="114"/>
        <v>-1</v>
      </c>
      <c r="GH70" s="1146">
        <f>SUMIFS(BP_SOTIEN,BP_THANG,GH$2,BP_KM,$E70)/1000</f>
        <v>43</v>
      </c>
      <c r="GI70" s="1091" t="str">
        <f t="shared" si="610"/>
        <v/>
      </c>
      <c r="GJ70" s="1091"/>
      <c r="GK70" s="1147">
        <f>IF(NOW()&gt;=DATE(YEAR(GH$2),MONTH(GH$2)+1,DAY(GH$2)),SUMIFS(TF_SOTIEN,TF_THANG,GH$2,TF_KM,$E70)/1000, GN70)</f>
        <v>43</v>
      </c>
      <c r="GL70" s="1091" t="str">
        <f t="shared" si="611"/>
        <v/>
      </c>
      <c r="GM70" s="1091"/>
      <c r="GN70" s="1147">
        <f>IF(NOW()&gt;=DATE(YEAR(GH$2),MONTH(GH$2)+1,DAY(GH$2)),SUMIFS(AC_SOTIEN,AC_THANG,GH$2,AC_KM,$E70),SUMIFS(TF_SOTIEN,TF_THANG,GH$2,TF_KM,$E70))/ 1000</f>
        <v>0</v>
      </c>
      <c r="GO70" s="1091" t="str">
        <f t="shared" si="612"/>
        <v/>
      </c>
      <c r="GP70" s="1091" t="str">
        <f t="shared" ref="GP70:GP86" si="757">IFERROR(GN70/GN$69,"")</f>
        <v/>
      </c>
      <c r="GQ70" s="1147">
        <f t="shared" si="118"/>
        <v>-43</v>
      </c>
      <c r="GR70" s="1091">
        <f t="shared" si="119"/>
        <v>-1</v>
      </c>
      <c r="GS70" s="1147">
        <f t="shared" si="120"/>
        <v>-43</v>
      </c>
      <c r="GT70" s="1091">
        <f t="shared" si="121"/>
        <v>-1</v>
      </c>
      <c r="GU70" s="1146">
        <f>SUMIFS(BP_SOTIEN,BP_THANG,GU$2,BP_KM,$E70)/1000</f>
        <v>43</v>
      </c>
      <c r="GV70" s="1091" t="str">
        <f t="shared" si="613"/>
        <v/>
      </c>
      <c r="GW70" s="1091"/>
      <c r="GX70" s="1147">
        <f>IF(NOW()&gt;=DATE(YEAR(GU$2),MONTH(GU$2)+1,DAY(GU$2)),SUMIFS(TF_SOTIEN,TF_THANG,GU$2,TF_KM,$E70)/1000, HA70)</f>
        <v>43</v>
      </c>
      <c r="GY70" s="1091" t="str">
        <f t="shared" si="614"/>
        <v/>
      </c>
      <c r="GZ70" s="1091"/>
      <c r="HA70" s="1147">
        <f>IF(NOW()&gt;=DATE(YEAR(GU$2),MONTH(GU$2)+1,DAY(GU$2)),SUMIFS(AC_SOTIEN,AC_THANG,GU$2,AC_KM,$E70),SUMIFS(TF_SOTIEN,TF_THANG,GU$2,TF_KM,$E70))/ 1000</f>
        <v>0</v>
      </c>
      <c r="HB70" s="1091" t="str">
        <f t="shared" si="615"/>
        <v/>
      </c>
      <c r="HC70" s="1091" t="str">
        <f t="shared" ref="HC70:HC86" si="758">IFERROR(HA70/HA$69,"")</f>
        <v/>
      </c>
      <c r="HD70" s="1147">
        <f t="shared" si="125"/>
        <v>-43</v>
      </c>
      <c r="HE70" s="1091">
        <f t="shared" si="126"/>
        <v>-1</v>
      </c>
      <c r="HF70" s="1147">
        <f t="shared" si="127"/>
        <v>-43</v>
      </c>
      <c r="HG70" s="1091">
        <f t="shared" si="128"/>
        <v>-1</v>
      </c>
      <c r="HH70" s="1146">
        <f t="shared" si="699"/>
        <v>129</v>
      </c>
      <c r="HI70" s="1091" t="str">
        <f t="shared" si="616"/>
        <v/>
      </c>
      <c r="HJ70" s="1091">
        <f t="shared" ref="HJ70:HJ86" si="759">IFERROR(HH70/HH$69,"")</f>
        <v>0.002284196547</v>
      </c>
      <c r="HK70" s="1147">
        <f t="shared" si="270"/>
        <v>129</v>
      </c>
      <c r="HL70" s="1091" t="str">
        <f t="shared" si="617"/>
        <v/>
      </c>
      <c r="HM70" s="1091">
        <f t="shared" ref="HM70:HM86" si="760">IFERROR(HK70/HK$69,"")</f>
        <v>0.002284196547</v>
      </c>
      <c r="HN70" s="1147">
        <f t="shared" si="273"/>
        <v>0</v>
      </c>
      <c r="HO70" s="1091" t="str">
        <f t="shared" si="618"/>
        <v/>
      </c>
      <c r="HP70" s="1091" t="str">
        <f t="shared" ref="HP70:HP86" si="761">IFERROR(HN70/HN$69,"")</f>
        <v/>
      </c>
      <c r="HQ70" s="1147">
        <f t="shared" si="135"/>
        <v>-129</v>
      </c>
      <c r="HR70" s="1091">
        <f t="shared" si="136"/>
        <v>-1</v>
      </c>
      <c r="HS70" s="1147">
        <f t="shared" si="137"/>
        <v>-129</v>
      </c>
      <c r="HT70" s="1091">
        <f t="shared" si="138"/>
        <v>-1</v>
      </c>
      <c r="HU70" s="1146">
        <f t="shared" si="700"/>
        <v>258</v>
      </c>
      <c r="HV70" s="1091" t="str">
        <f t="shared" si="619"/>
        <v/>
      </c>
      <c r="HW70" s="1091">
        <f t="shared" ref="HW70:HW86" si="762">IFERROR(HU70/HU$69,"")</f>
        <v>0.002284196547</v>
      </c>
      <c r="HX70" s="1147">
        <f t="shared" si="279"/>
        <v>258</v>
      </c>
      <c r="HY70" s="1091" t="str">
        <f t="shared" si="620"/>
        <v/>
      </c>
      <c r="HZ70" s="1091">
        <f t="shared" ref="HZ70:HZ86" si="763">IFERROR(HX70/HX$69,"")</f>
        <v>0.002284196547</v>
      </c>
      <c r="IA70" s="1147">
        <f t="shared" si="282"/>
        <v>0</v>
      </c>
      <c r="IB70" s="1091" t="str">
        <f t="shared" si="621"/>
        <v/>
      </c>
      <c r="IC70" s="1091" t="str">
        <f t="shared" ref="IC70:IC86" si="764">IFERROR(IA70/IA$69,"")</f>
        <v/>
      </c>
      <c r="ID70" s="1147">
        <f t="shared" si="145"/>
        <v>-258</v>
      </c>
      <c r="IE70" s="1091">
        <f t="shared" si="146"/>
        <v>-1</v>
      </c>
      <c r="IF70" s="1147">
        <f t="shared" si="147"/>
        <v>-258</v>
      </c>
      <c r="IG70" s="1091">
        <f t="shared" si="148"/>
        <v>-1</v>
      </c>
      <c r="IH70" s="1146">
        <f t="shared" si="701"/>
        <v>516</v>
      </c>
      <c r="II70" s="1091" t="str">
        <f t="shared" si="622"/>
        <v/>
      </c>
      <c r="IJ70" s="1091">
        <f t="shared" ref="IJ70:IJ86" si="765">IFERROR(IH70/IH$69,"")</f>
        <v>0.002254259502</v>
      </c>
      <c r="IK70" s="1147">
        <f t="shared" si="288"/>
        <v>344</v>
      </c>
      <c r="IL70" s="1091" t="str">
        <f t="shared" si="623"/>
        <v/>
      </c>
      <c r="IM70" s="1091">
        <f t="shared" ref="IM70:IM86" si="766">IFERROR(IK70/IK$69,"")</f>
        <v>0.001596900453</v>
      </c>
      <c r="IN70" s="1147">
        <f t="shared" si="291"/>
        <v>0</v>
      </c>
      <c r="IO70" s="1091">
        <f t="shared" si="624"/>
        <v>0</v>
      </c>
      <c r="IP70" s="1091">
        <f t="shared" ref="IP70:IP86" si="767">IFERROR(IN70/IN$69,"")</f>
        <v>0</v>
      </c>
      <c r="IQ70" s="1147">
        <f t="shared" si="155"/>
        <v>-516</v>
      </c>
      <c r="IR70" s="1091">
        <f t="shared" si="1"/>
        <v>-1</v>
      </c>
      <c r="IS70" s="1147">
        <f t="shared" si="156"/>
        <v>-344</v>
      </c>
      <c r="IT70" s="1091">
        <f t="shared" si="2"/>
        <v>-1</v>
      </c>
    </row>
    <row r="71" hidden="1" outlineLevel="1">
      <c r="A71" s="737"/>
      <c r="B71" s="737"/>
      <c r="C71" s="737"/>
      <c r="D71" s="737" t="s">
        <v>2856</v>
      </c>
      <c r="E71" s="737" t="s">
        <v>419</v>
      </c>
      <c r="F71" s="737"/>
      <c r="G71" s="748">
        <v>3.0</v>
      </c>
      <c r="H71" s="1146">
        <f>SUMIFS(BP_SOTIEN,BP_THANG,H$2,BP_KM,$E71)/1000</f>
        <v>166</v>
      </c>
      <c r="I71" s="1091" t="str">
        <f t="shared" si="566"/>
        <v/>
      </c>
      <c r="J71" s="1091"/>
      <c r="K71" s="1147">
        <f>IF(NOW()&gt;=DATE(YEAR(H$2),MONTH(H$2)+1,DAY(H$2)),SUMIFS(TF_SOTIEN,TF_THANG,H$2,TF_KM,$E71)/1000, N71)</f>
        <v>166</v>
      </c>
      <c r="L71" s="1091" t="str">
        <f t="shared" si="567"/>
        <v/>
      </c>
      <c r="M71" s="1091"/>
      <c r="N71" s="1147">
        <f>IF(NOW()&gt;=DATE(YEAR(H$2),MONTH(H$2)+1,DAY(H$2)),SUMIFS(AC_SOTIEN,AC_THANG,H$2,AC_KM,$E71),SUMIFS(TF_SOTIEN,TF_THANG,H$2,TF_KM,$E71))/ 1000</f>
        <v>0</v>
      </c>
      <c r="O71" s="1091">
        <f t="shared" si="568"/>
        <v>0</v>
      </c>
      <c r="P71" s="1091">
        <f t="shared" si="735"/>
        <v>0</v>
      </c>
      <c r="Q71" s="1147">
        <f t="shared" si="8"/>
        <v>-166</v>
      </c>
      <c r="R71" s="1091">
        <f t="shared" si="9"/>
        <v>-1</v>
      </c>
      <c r="S71" s="1147">
        <f t="shared" si="10"/>
        <v>-166</v>
      </c>
      <c r="T71" s="1091">
        <f t="shared" si="11"/>
        <v>-1</v>
      </c>
      <c r="U71" s="1146">
        <f>SUMIFS(BP_SOTIEN,BP_THANG,U$2,BP_KM,$E71)/1000</f>
        <v>166</v>
      </c>
      <c r="V71" s="1091" t="str">
        <f t="shared" si="569"/>
        <v/>
      </c>
      <c r="W71" s="1091"/>
      <c r="X71" s="1147">
        <f>IF(NOW()&gt;=DATE(YEAR(U$2),MONTH(U$2)+1,DAY(U$2)),SUMIFS(TF_SOTIEN,TF_THANG,U$2,TF_KM,$E71)/1000, AA71)</f>
        <v>137.5</v>
      </c>
      <c r="Y71" s="1091" t="str">
        <f t="shared" si="570"/>
        <v/>
      </c>
      <c r="Z71" s="1091"/>
      <c r="AA71" s="1147">
        <f>IF(NOW()&gt;=DATE(YEAR(U$2),MONTH(U$2)+1,DAY(U$2)),SUMIFS(AC_SOTIEN,AC_THANG,U$2,AC_KM,$E71),SUMIFS(TF_SOTIEN,TF_THANG,U$2,TF_KM,$E71))/ 1000</f>
        <v>361.75</v>
      </c>
      <c r="AB71" s="1091" t="str">
        <f t="shared" si="571"/>
        <v/>
      </c>
      <c r="AC71" s="1091">
        <f t="shared" si="736"/>
        <v>0.03502156137</v>
      </c>
      <c r="AD71" s="1147">
        <f t="shared" si="15"/>
        <v>195.75</v>
      </c>
      <c r="AE71" s="1091">
        <f t="shared" si="16"/>
        <v>1.179216867</v>
      </c>
      <c r="AF71" s="1147">
        <f t="shared" si="17"/>
        <v>224.25</v>
      </c>
      <c r="AG71" s="1091">
        <f t="shared" si="18"/>
        <v>1.630909091</v>
      </c>
      <c r="AH71" s="1146">
        <f>SUMIFS(BP_SOTIEN,BP_THANG,AH$2,BP_KM,$E71)/1000</f>
        <v>166</v>
      </c>
      <c r="AI71" s="1091" t="str">
        <f t="shared" si="572"/>
        <v/>
      </c>
      <c r="AJ71" s="1091"/>
      <c r="AK71" s="1147">
        <f>IF(NOW()&gt;=DATE(YEAR(AH$2),MONTH(AH$2)+1,DAY(AH$2)),SUMIFS(TF_SOTIEN,TF_THANG,AH$2,TF_KM,$E71)/1000, AN71)</f>
        <v>137.5</v>
      </c>
      <c r="AL71" s="1091" t="str">
        <f t="shared" si="573"/>
        <v/>
      </c>
      <c r="AM71" s="1091"/>
      <c r="AN71" s="1147">
        <f>IF(NOW()&gt;=DATE(YEAR(AH$2),MONTH(AH$2)+1,DAY(AH$2)),SUMIFS(AC_SOTIEN,AC_THANG,AH$2,AC_KM,$E71),SUMIFS(TF_SOTIEN,TF_THANG,AH$2,TF_KM,$E71))/ 1000</f>
        <v>1000</v>
      </c>
      <c r="AO71" s="1091" t="str">
        <f t="shared" si="574"/>
        <v/>
      </c>
      <c r="AP71" s="1091">
        <f t="shared" si="737"/>
        <v>0.05547217471</v>
      </c>
      <c r="AQ71" s="1147">
        <f t="shared" si="22"/>
        <v>834</v>
      </c>
      <c r="AR71" s="1091">
        <f t="shared" si="23"/>
        <v>5.024096386</v>
      </c>
      <c r="AS71" s="1147">
        <f t="shared" si="24"/>
        <v>862.5</v>
      </c>
      <c r="AT71" s="1091">
        <f t="shared" si="25"/>
        <v>6.272727273</v>
      </c>
      <c r="AU71" s="1146">
        <f t="shared" si="691"/>
        <v>498</v>
      </c>
      <c r="AV71" s="1091" t="str">
        <f t="shared" si="575"/>
        <v/>
      </c>
      <c r="AW71" s="1091">
        <f t="shared" si="738"/>
        <v>0.008373266078</v>
      </c>
      <c r="AX71" s="1147">
        <f t="shared" si="692"/>
        <v>441</v>
      </c>
      <c r="AY71" s="1091" t="str">
        <f t="shared" si="576"/>
        <v/>
      </c>
      <c r="AZ71" s="1091">
        <f t="shared" si="739"/>
        <v>0.009574468085</v>
      </c>
      <c r="BA71" s="1147">
        <f t="shared" si="693"/>
        <v>1361.75</v>
      </c>
      <c r="BB71" s="1091">
        <f t="shared" si="577"/>
        <v>0.004005147059</v>
      </c>
      <c r="BC71" s="1091">
        <f t="shared" si="740"/>
        <v>0.03534424411</v>
      </c>
      <c r="BD71" s="1147">
        <f t="shared" si="32"/>
        <v>863.75</v>
      </c>
      <c r="BE71" s="1091">
        <f t="shared" si="33"/>
        <v>1.734437751</v>
      </c>
      <c r="BF71" s="1147">
        <f t="shared" si="34"/>
        <v>920.75</v>
      </c>
      <c r="BG71" s="1091">
        <f t="shared" si="35"/>
        <v>2.087868481</v>
      </c>
      <c r="BH71" s="1146">
        <f>SUMIFS(BP_SOTIEN,BP_THANG,BH$2,BP_KM,$E71)/1000</f>
        <v>166</v>
      </c>
      <c r="BI71" s="1091" t="str">
        <f t="shared" si="578"/>
        <v/>
      </c>
      <c r="BJ71" s="1091"/>
      <c r="BK71" s="1147">
        <f>IF(NOW()&gt;=DATE(YEAR(BH$2),MONTH(BH$2)+1,DAY(BH$2)),SUMIFS(TF_SOTIEN,TF_THANG,BH$2,TF_KM,$E71)/1000, BN71)</f>
        <v>137.5</v>
      </c>
      <c r="BL71" s="1091" t="str">
        <f t="shared" si="579"/>
        <v/>
      </c>
      <c r="BM71" s="1091"/>
      <c r="BN71" s="1147">
        <f>IF(NOW()&gt;=DATE(YEAR(BH$2),MONTH(BH$2)+1,DAY(BH$2)),SUMIFS(AC_SOTIEN,AC_THANG,BH$2,AC_KM,$E71),SUMIFS(TF_SOTIEN,TF_THANG,BH$2,TF_KM,$E71))/ 1000</f>
        <v>966</v>
      </c>
      <c r="BO71" s="1091" t="str">
        <f t="shared" si="580"/>
        <v/>
      </c>
      <c r="BP71" s="1091">
        <f t="shared" si="741"/>
        <v>0.05557314669</v>
      </c>
      <c r="BQ71" s="1147">
        <f t="shared" si="39"/>
        <v>800</v>
      </c>
      <c r="BR71" s="1091">
        <f t="shared" si="40"/>
        <v>4.819277108</v>
      </c>
      <c r="BS71" s="1147">
        <f t="shared" si="41"/>
        <v>828.5</v>
      </c>
      <c r="BT71" s="1091">
        <f t="shared" si="42"/>
        <v>6.025454545</v>
      </c>
      <c r="BU71" s="1146">
        <f>SUMIFS(BP_SOTIEN,BP_THANG,BU$2,BP_KM,$E71)/1000</f>
        <v>166</v>
      </c>
      <c r="BV71" s="1091" t="str">
        <f t="shared" si="581"/>
        <v/>
      </c>
      <c r="BW71" s="1091"/>
      <c r="BX71" s="1147">
        <f>IF(NOW()&gt;=DATE(YEAR(BU$2),MONTH(BU$2)+1,DAY(BU$2)),SUMIFS(TF_SOTIEN,TF_THANG,BU$2,TF_KM,$E71)/1000, CA71)</f>
        <v>166</v>
      </c>
      <c r="BY71" s="1091" t="str">
        <f t="shared" si="582"/>
        <v/>
      </c>
      <c r="BZ71" s="1091"/>
      <c r="CA71" s="1147">
        <f>IF(NOW()&gt;=DATE(YEAR(BU$2),MONTH(BU$2)+1,DAY(BU$2)),SUMIFS(AC_SOTIEN,AC_THANG,BU$2,AC_KM,$E71),SUMIFS(TF_SOTIEN,TF_THANG,BU$2,TF_KM,$E71))/ 1000</f>
        <v>0</v>
      </c>
      <c r="CB71" s="1091" t="str">
        <f t="shared" si="583"/>
        <v/>
      </c>
      <c r="CC71" s="1091">
        <f t="shared" si="742"/>
        <v>0</v>
      </c>
      <c r="CD71" s="1147">
        <f t="shared" si="46"/>
        <v>-166</v>
      </c>
      <c r="CE71" s="1091">
        <f t="shared" si="47"/>
        <v>-1</v>
      </c>
      <c r="CF71" s="1147">
        <f t="shared" si="48"/>
        <v>-166</v>
      </c>
      <c r="CG71" s="1091">
        <f t="shared" si="49"/>
        <v>-1</v>
      </c>
      <c r="CH71" s="1146">
        <f>SUMIFS(BP_SOTIEN,BP_THANG,CH$2,BP_KM,$E71)/1000</f>
        <v>166</v>
      </c>
      <c r="CI71" s="1091" t="str">
        <f t="shared" si="584"/>
        <v/>
      </c>
      <c r="CJ71" s="1091"/>
      <c r="CK71" s="1147">
        <f>IF(NOW()&gt;=DATE(YEAR(CH$2),MONTH(CH$2)+1,DAY(CH$2)),SUMIFS(TF_SOTIEN,TF_THANG,CH$2,TF_KM,$E71)/1000, CN71)</f>
        <v>166</v>
      </c>
      <c r="CL71" s="1091" t="str">
        <f t="shared" si="585"/>
        <v/>
      </c>
      <c r="CM71" s="1091"/>
      <c r="CN71" s="1147">
        <f>IF(NOW()&gt;=DATE(YEAR(CH$2),MONTH(CH$2)+1,DAY(CH$2)),SUMIFS(AC_SOTIEN,AC_THANG,CH$2,AC_KM,$E71),SUMIFS(TF_SOTIEN,TF_THANG,CH$2,TF_KM,$E71))/ 1000</f>
        <v>0</v>
      </c>
      <c r="CO71" s="1091" t="str">
        <f t="shared" si="586"/>
        <v/>
      </c>
      <c r="CP71" s="1091" t="str">
        <f t="shared" si="743"/>
        <v/>
      </c>
      <c r="CQ71" s="1147">
        <f t="shared" si="53"/>
        <v>-166</v>
      </c>
      <c r="CR71" s="1091">
        <f t="shared" si="54"/>
        <v>-1</v>
      </c>
      <c r="CS71" s="1147">
        <f t="shared" si="55"/>
        <v>-166</v>
      </c>
      <c r="CT71" s="1091">
        <f t="shared" si="56"/>
        <v>-1</v>
      </c>
      <c r="CU71" s="1146">
        <f t="shared" si="694"/>
        <v>498</v>
      </c>
      <c r="CV71" s="1091" t="str">
        <f t="shared" si="587"/>
        <v/>
      </c>
      <c r="CW71" s="1091">
        <f t="shared" si="744"/>
        <v>0.008818061089</v>
      </c>
      <c r="CX71" s="1147">
        <f t="shared" si="695"/>
        <v>469.5</v>
      </c>
      <c r="CY71" s="1091" t="str">
        <f t="shared" si="589"/>
        <v/>
      </c>
      <c r="CZ71" s="1091">
        <f t="shared" si="745"/>
        <v>0.008323389291</v>
      </c>
      <c r="DA71" s="1147">
        <f t="shared" si="696"/>
        <v>966</v>
      </c>
      <c r="DB71" s="1091" t="str">
        <f t="shared" si="591"/>
        <v/>
      </c>
      <c r="DC71" s="1091">
        <f t="shared" si="746"/>
        <v>0.0272303511</v>
      </c>
      <c r="DD71" s="1147">
        <f t="shared" si="63"/>
        <v>468</v>
      </c>
      <c r="DE71" s="1091">
        <f t="shared" si="64"/>
        <v>0.9397590361</v>
      </c>
      <c r="DF71" s="1147">
        <f t="shared" si="65"/>
        <v>496.5</v>
      </c>
      <c r="DG71" s="1091">
        <f t="shared" si="66"/>
        <v>1.057507987</v>
      </c>
      <c r="DH71" s="1146">
        <f t="shared" si="697"/>
        <v>996</v>
      </c>
      <c r="DI71" s="1091" t="str">
        <f t="shared" si="592"/>
        <v/>
      </c>
      <c r="DJ71" s="1091">
        <f t="shared" si="747"/>
        <v>0.008589909444</v>
      </c>
      <c r="DK71" s="1147">
        <f t="shared" si="216"/>
        <v>910.5</v>
      </c>
      <c r="DL71" s="1091" t="str">
        <f t="shared" si="593"/>
        <v/>
      </c>
      <c r="DM71" s="1091">
        <f t="shared" si="748"/>
        <v>0.008885760737</v>
      </c>
      <c r="DN71" s="1147">
        <f t="shared" si="219"/>
        <v>2327.75</v>
      </c>
      <c r="DO71" s="1091">
        <f t="shared" si="594"/>
        <v>0.006846323529</v>
      </c>
      <c r="DP71" s="1091">
        <f t="shared" si="749"/>
        <v>0.03145467072</v>
      </c>
      <c r="DQ71" s="1147">
        <f t="shared" si="73"/>
        <v>1331.75</v>
      </c>
      <c r="DR71" s="1091">
        <f t="shared" si="74"/>
        <v>1.337098394</v>
      </c>
      <c r="DS71" s="1147">
        <f t="shared" si="75"/>
        <v>1417.25</v>
      </c>
      <c r="DT71" s="1091">
        <f t="shared" si="76"/>
        <v>1.556562328</v>
      </c>
      <c r="DU71" s="1146">
        <f>SUMIFS(BP_SOTIEN,BP_THANG,DU$2,BP_KM,$E71)/1000</f>
        <v>166</v>
      </c>
      <c r="DV71" s="1091" t="str">
        <f t="shared" si="595"/>
        <v/>
      </c>
      <c r="DW71" s="1091"/>
      <c r="DX71" s="1147">
        <f>IF(NOW()&gt;=DATE(YEAR(DU$2),MONTH(DU$2)+1,DAY(DU$2)),SUMIFS(TF_SOTIEN,TF_THANG,DU$2,TF_KM,$E71)/1000, EA71)</f>
        <v>166</v>
      </c>
      <c r="DY71" s="1091" t="str">
        <f t="shared" si="596"/>
        <v/>
      </c>
      <c r="DZ71" s="1091"/>
      <c r="EA71" s="1147">
        <f>IF(NOW()&gt;=DATE(YEAR(DU$2),MONTH(DU$2)+1,DAY(DU$2)),SUMIFS(AC_SOTIEN,AC_THANG,DU$2,AC_KM,$E71),SUMIFS(TF_SOTIEN,TF_THANG,DU$2,TF_KM,$E71))/ 1000</f>
        <v>0</v>
      </c>
      <c r="EB71" s="1091" t="str">
        <f t="shared" si="597"/>
        <v/>
      </c>
      <c r="EC71" s="1091" t="str">
        <f t="shared" si="750"/>
        <v/>
      </c>
      <c r="ED71" s="1147">
        <f t="shared" si="80"/>
        <v>-166</v>
      </c>
      <c r="EE71" s="1091">
        <f t="shared" si="81"/>
        <v>-1</v>
      </c>
      <c r="EF71" s="1147">
        <f t="shared" si="82"/>
        <v>-166</v>
      </c>
      <c r="EG71" s="1091">
        <f t="shared" si="83"/>
        <v>-1</v>
      </c>
      <c r="EH71" s="1146">
        <f>SUMIFS(BP_SOTIEN,BP_THANG,EH$2,BP_KM,$E71)/1000</f>
        <v>166</v>
      </c>
      <c r="EI71" s="1091" t="str">
        <f t="shared" si="598"/>
        <v/>
      </c>
      <c r="EJ71" s="1091"/>
      <c r="EK71" s="1147">
        <f>IF(NOW()&gt;=DATE(YEAR(EH$2),MONTH(EH$2)+1,DAY(EH$2)),SUMIFS(TF_SOTIEN,TF_THANG,EH$2,TF_KM,$E71)/1000, EN71)</f>
        <v>166</v>
      </c>
      <c r="EL71" s="1091" t="str">
        <f t="shared" si="599"/>
        <v/>
      </c>
      <c r="EM71" s="1091"/>
      <c r="EN71" s="1147">
        <f>IF(NOW()&gt;=DATE(YEAR(EH$2),MONTH(EH$2)+1,DAY(EH$2)),SUMIFS(AC_SOTIEN,AC_THANG,EH$2,AC_KM,$E71),SUMIFS(TF_SOTIEN,TF_THANG,EH$2,TF_KM,$E71))/ 1000</f>
        <v>0</v>
      </c>
      <c r="EO71" s="1091" t="str">
        <f t="shared" si="600"/>
        <v/>
      </c>
      <c r="EP71" s="1091" t="str">
        <f t="shared" si="751"/>
        <v/>
      </c>
      <c r="EQ71" s="1147">
        <f t="shared" si="87"/>
        <v>-166</v>
      </c>
      <c r="ER71" s="1091">
        <f t="shared" si="88"/>
        <v>-1</v>
      </c>
      <c r="ES71" s="1147">
        <f t="shared" si="89"/>
        <v>-166</v>
      </c>
      <c r="ET71" s="1091">
        <f t="shared" si="90"/>
        <v>-1</v>
      </c>
      <c r="EU71" s="1146">
        <f>SUMIFS(BP_SOTIEN,BP_THANG,EU$2,BP_KM,$E71)/1000</f>
        <v>166</v>
      </c>
      <c r="EV71" s="1091" t="str">
        <f t="shared" si="601"/>
        <v/>
      </c>
      <c r="EW71" s="1091"/>
      <c r="EX71" s="1147">
        <f>IF(NOW()&gt;=DATE(YEAR(EU$2),MONTH(EU$2)+1,DAY(EU$2)),SUMIFS(TF_SOTIEN,TF_THANG,EU$2,TF_KM,$E71)/1000, FA71)</f>
        <v>166</v>
      </c>
      <c r="EY71" s="1091" t="str">
        <f t="shared" si="602"/>
        <v/>
      </c>
      <c r="EZ71" s="1091"/>
      <c r="FA71" s="1147">
        <f>IF(NOW()&gt;=DATE(YEAR(EU$2),MONTH(EU$2)+1,DAY(EU$2)),SUMIFS(AC_SOTIEN,AC_THANG,EU$2,AC_KM,$E71),SUMIFS(TF_SOTIEN,TF_THANG,EU$2,TF_KM,$E71))/ 1000</f>
        <v>0</v>
      </c>
      <c r="FB71" s="1091" t="str">
        <f t="shared" si="603"/>
        <v/>
      </c>
      <c r="FC71" s="1091" t="str">
        <f t="shared" si="752"/>
        <v/>
      </c>
      <c r="FD71" s="1147">
        <f t="shared" si="94"/>
        <v>-166</v>
      </c>
      <c r="FE71" s="1091">
        <f t="shared" si="95"/>
        <v>-1</v>
      </c>
      <c r="FF71" s="1147">
        <f t="shared" si="96"/>
        <v>-166</v>
      </c>
      <c r="FG71" s="1091">
        <f t="shared" si="97"/>
        <v>-1</v>
      </c>
      <c r="FH71" s="1146">
        <f t="shared" si="698"/>
        <v>498</v>
      </c>
      <c r="FI71" s="1091" t="str">
        <f t="shared" si="604"/>
        <v/>
      </c>
      <c r="FJ71" s="1091">
        <f t="shared" si="753"/>
        <v>0.008818061089</v>
      </c>
      <c r="FK71" s="1147">
        <f t="shared" si="243"/>
        <v>498</v>
      </c>
      <c r="FL71" s="1091" t="str">
        <f t="shared" si="605"/>
        <v/>
      </c>
      <c r="FM71" s="1091">
        <f t="shared" si="754"/>
        <v>0.008818061089</v>
      </c>
      <c r="FN71" s="1147">
        <f t="shared" si="246"/>
        <v>0</v>
      </c>
      <c r="FO71" s="1091" t="str">
        <f t="shared" si="606"/>
        <v/>
      </c>
      <c r="FP71" s="1091" t="str">
        <f t="shared" si="755"/>
        <v/>
      </c>
      <c r="FQ71" s="1147">
        <f t="shared" si="104"/>
        <v>-498</v>
      </c>
      <c r="FR71" s="1091">
        <f t="shared" si="105"/>
        <v>-1</v>
      </c>
      <c r="FS71" s="1147">
        <f t="shared" si="106"/>
        <v>-498</v>
      </c>
      <c r="FT71" s="1091">
        <f t="shared" si="107"/>
        <v>-1</v>
      </c>
      <c r="FU71" s="1146">
        <f>SUMIFS(BP_SOTIEN,BP_THANG,FU$2,BP_KM,$E71)/1000</f>
        <v>166</v>
      </c>
      <c r="FV71" s="1091" t="str">
        <f t="shared" si="607"/>
        <v/>
      </c>
      <c r="FW71" s="1091"/>
      <c r="FX71" s="1147">
        <f>IF(NOW()&gt;=DATE(YEAR(FU$2),MONTH(FU$2)+1,DAY(FU$2)),SUMIFS(TF_SOTIEN,TF_THANG,FU$2,TF_KM,$E71)/1000, GA71)</f>
        <v>166</v>
      </c>
      <c r="FY71" s="1091" t="str">
        <f t="shared" si="608"/>
        <v/>
      </c>
      <c r="FZ71" s="1091"/>
      <c r="GA71" s="1147">
        <f>IF(NOW()&gt;=DATE(YEAR(FU$2),MONTH(FU$2)+1,DAY(FU$2)),SUMIFS(AC_SOTIEN,AC_THANG,FU$2,AC_KM,$E71),SUMIFS(TF_SOTIEN,TF_THANG,FU$2,TF_KM,$E71))/ 1000</f>
        <v>0</v>
      </c>
      <c r="GB71" s="1091" t="str">
        <f t="shared" si="609"/>
        <v/>
      </c>
      <c r="GC71" s="1091" t="str">
        <f t="shared" si="756"/>
        <v/>
      </c>
      <c r="GD71" s="1147">
        <f t="shared" si="111"/>
        <v>-166</v>
      </c>
      <c r="GE71" s="1091">
        <f t="shared" si="112"/>
        <v>-1</v>
      </c>
      <c r="GF71" s="1147">
        <f t="shared" si="113"/>
        <v>-166</v>
      </c>
      <c r="GG71" s="1091">
        <f t="shared" si="114"/>
        <v>-1</v>
      </c>
      <c r="GH71" s="1146">
        <f>SUMIFS(BP_SOTIEN,BP_THANG,GH$2,BP_KM,$E71)/1000</f>
        <v>166</v>
      </c>
      <c r="GI71" s="1091" t="str">
        <f t="shared" si="610"/>
        <v/>
      </c>
      <c r="GJ71" s="1091"/>
      <c r="GK71" s="1147">
        <f>IF(NOW()&gt;=DATE(YEAR(GH$2),MONTH(GH$2)+1,DAY(GH$2)),SUMIFS(TF_SOTIEN,TF_THANG,GH$2,TF_KM,$E71)/1000, GN71)</f>
        <v>166</v>
      </c>
      <c r="GL71" s="1091" t="str">
        <f t="shared" si="611"/>
        <v/>
      </c>
      <c r="GM71" s="1091"/>
      <c r="GN71" s="1147">
        <f>IF(NOW()&gt;=DATE(YEAR(GH$2),MONTH(GH$2)+1,DAY(GH$2)),SUMIFS(AC_SOTIEN,AC_THANG,GH$2,AC_KM,$E71),SUMIFS(TF_SOTIEN,TF_THANG,GH$2,TF_KM,$E71))/ 1000</f>
        <v>0</v>
      </c>
      <c r="GO71" s="1091" t="str">
        <f t="shared" si="612"/>
        <v/>
      </c>
      <c r="GP71" s="1091" t="str">
        <f t="shared" si="757"/>
        <v/>
      </c>
      <c r="GQ71" s="1147">
        <f t="shared" si="118"/>
        <v>-166</v>
      </c>
      <c r="GR71" s="1091">
        <f t="shared" si="119"/>
        <v>-1</v>
      </c>
      <c r="GS71" s="1147">
        <f t="shared" si="120"/>
        <v>-166</v>
      </c>
      <c r="GT71" s="1091">
        <f t="shared" si="121"/>
        <v>-1</v>
      </c>
      <c r="GU71" s="1146">
        <f>SUMIFS(BP_SOTIEN,BP_THANG,GU$2,BP_KM,$E71)/1000</f>
        <v>166</v>
      </c>
      <c r="GV71" s="1091" t="str">
        <f t="shared" si="613"/>
        <v/>
      </c>
      <c r="GW71" s="1091"/>
      <c r="GX71" s="1147">
        <f>IF(NOW()&gt;=DATE(YEAR(GU$2),MONTH(GU$2)+1,DAY(GU$2)),SUMIFS(TF_SOTIEN,TF_THANG,GU$2,TF_KM,$E71)/1000, HA71)</f>
        <v>166</v>
      </c>
      <c r="GY71" s="1091" t="str">
        <f t="shared" si="614"/>
        <v/>
      </c>
      <c r="GZ71" s="1091"/>
      <c r="HA71" s="1147">
        <f>IF(NOW()&gt;=DATE(YEAR(GU$2),MONTH(GU$2)+1,DAY(GU$2)),SUMIFS(AC_SOTIEN,AC_THANG,GU$2,AC_KM,$E71),SUMIFS(TF_SOTIEN,TF_THANG,GU$2,TF_KM,$E71))/ 1000</f>
        <v>0</v>
      </c>
      <c r="HB71" s="1091" t="str">
        <f t="shared" si="615"/>
        <v/>
      </c>
      <c r="HC71" s="1091" t="str">
        <f t="shared" si="758"/>
        <v/>
      </c>
      <c r="HD71" s="1147">
        <f t="shared" si="125"/>
        <v>-166</v>
      </c>
      <c r="HE71" s="1091">
        <f t="shared" si="126"/>
        <v>-1</v>
      </c>
      <c r="HF71" s="1147">
        <f t="shared" si="127"/>
        <v>-166</v>
      </c>
      <c r="HG71" s="1091">
        <f t="shared" si="128"/>
        <v>-1</v>
      </c>
      <c r="HH71" s="1146">
        <f t="shared" si="699"/>
        <v>498</v>
      </c>
      <c r="HI71" s="1091" t="str">
        <f t="shared" si="616"/>
        <v/>
      </c>
      <c r="HJ71" s="1091">
        <f t="shared" si="759"/>
        <v>0.008818061089</v>
      </c>
      <c r="HK71" s="1147">
        <f t="shared" si="270"/>
        <v>498</v>
      </c>
      <c r="HL71" s="1091" t="str">
        <f t="shared" si="617"/>
        <v/>
      </c>
      <c r="HM71" s="1091">
        <f t="shared" si="760"/>
        <v>0.008818061089</v>
      </c>
      <c r="HN71" s="1147">
        <f t="shared" si="273"/>
        <v>0</v>
      </c>
      <c r="HO71" s="1091" t="str">
        <f t="shared" si="618"/>
        <v/>
      </c>
      <c r="HP71" s="1091" t="str">
        <f t="shared" si="761"/>
        <v/>
      </c>
      <c r="HQ71" s="1147">
        <f t="shared" si="135"/>
        <v>-498</v>
      </c>
      <c r="HR71" s="1091">
        <f t="shared" si="136"/>
        <v>-1</v>
      </c>
      <c r="HS71" s="1147">
        <f t="shared" si="137"/>
        <v>-498</v>
      </c>
      <c r="HT71" s="1091">
        <f t="shared" si="138"/>
        <v>-1</v>
      </c>
      <c r="HU71" s="1146">
        <f t="shared" si="700"/>
        <v>996</v>
      </c>
      <c r="HV71" s="1091" t="str">
        <f t="shared" si="619"/>
        <v/>
      </c>
      <c r="HW71" s="1091">
        <f t="shared" si="762"/>
        <v>0.008818061089</v>
      </c>
      <c r="HX71" s="1147">
        <f t="shared" si="279"/>
        <v>996</v>
      </c>
      <c r="HY71" s="1091" t="str">
        <f t="shared" si="620"/>
        <v/>
      </c>
      <c r="HZ71" s="1091">
        <f t="shared" si="763"/>
        <v>0.008818061089</v>
      </c>
      <c r="IA71" s="1147">
        <f t="shared" si="282"/>
        <v>0</v>
      </c>
      <c r="IB71" s="1091" t="str">
        <f t="shared" si="621"/>
        <v/>
      </c>
      <c r="IC71" s="1091" t="str">
        <f t="shared" si="764"/>
        <v/>
      </c>
      <c r="ID71" s="1147">
        <f t="shared" si="145"/>
        <v>-996</v>
      </c>
      <c r="IE71" s="1091">
        <f t="shared" si="146"/>
        <v>-1</v>
      </c>
      <c r="IF71" s="1147">
        <f t="shared" si="147"/>
        <v>-996</v>
      </c>
      <c r="IG71" s="1091">
        <f t="shared" si="148"/>
        <v>-1</v>
      </c>
      <c r="IH71" s="1146">
        <f t="shared" si="701"/>
        <v>1992</v>
      </c>
      <c r="II71" s="1091" t="str">
        <f t="shared" si="622"/>
        <v/>
      </c>
      <c r="IJ71" s="1091">
        <f t="shared" si="765"/>
        <v>0.00870249017</v>
      </c>
      <c r="IK71" s="1147">
        <f t="shared" si="288"/>
        <v>1906.5</v>
      </c>
      <c r="IL71" s="1091" t="str">
        <f t="shared" si="623"/>
        <v/>
      </c>
      <c r="IM71" s="1091">
        <f t="shared" si="766"/>
        <v>0.008850263704</v>
      </c>
      <c r="IN71" s="1147">
        <f t="shared" si="291"/>
        <v>2327.75</v>
      </c>
      <c r="IO71" s="1091">
        <f t="shared" si="624"/>
        <v>0.006846323529</v>
      </c>
      <c r="IP71" s="1091">
        <f t="shared" si="767"/>
        <v>0.03145467072</v>
      </c>
      <c r="IQ71" s="1147">
        <f t="shared" si="155"/>
        <v>335.75</v>
      </c>
      <c r="IR71" s="1091">
        <f t="shared" si="1"/>
        <v>0.1685491968</v>
      </c>
      <c r="IS71" s="1147">
        <f t="shared" si="156"/>
        <v>421.25</v>
      </c>
      <c r="IT71" s="1091">
        <f t="shared" si="2"/>
        <v>0.2209546289</v>
      </c>
    </row>
    <row r="72" hidden="1" outlineLevel="1">
      <c r="A72" s="737"/>
      <c r="B72" s="737"/>
      <c r="C72" s="737"/>
      <c r="D72" s="737" t="s">
        <v>2857</v>
      </c>
      <c r="E72" s="737" t="s">
        <v>573</v>
      </c>
      <c r="F72" s="737"/>
      <c r="G72" s="748">
        <v>3.0</v>
      </c>
      <c r="H72" s="1146">
        <f>SUMIFS(BP_SOTIEN,BP_THANG,H$2,BP_KM,$E72)/1000</f>
        <v>250</v>
      </c>
      <c r="I72" s="1091" t="str">
        <f t="shared" si="566"/>
        <v/>
      </c>
      <c r="J72" s="1091"/>
      <c r="K72" s="1147">
        <f>IF(NOW()&gt;=DATE(YEAR(H$2),MONTH(H$2)+1,DAY(H$2)),SUMIFS(TF_SOTIEN,TF_THANG,H$2,TF_KM,$E72)/1000, N72)</f>
        <v>250</v>
      </c>
      <c r="L72" s="1091" t="str">
        <f t="shared" si="567"/>
        <v/>
      </c>
      <c r="M72" s="1091"/>
      <c r="N72" s="1147">
        <f>IF(NOW()&gt;=DATE(YEAR(H$2),MONTH(H$2)+1,DAY(H$2)),SUMIFS(AC_SOTIEN,AC_THANG,H$2,AC_KM,$E72),SUMIFS(TF_SOTIEN,TF_THANG,H$2,TF_KM,$E72))/ 1000</f>
        <v>0</v>
      </c>
      <c r="O72" s="1091">
        <f t="shared" si="568"/>
        <v>0</v>
      </c>
      <c r="P72" s="1091">
        <f t="shared" si="735"/>
        <v>0</v>
      </c>
      <c r="Q72" s="1147">
        <f t="shared" si="8"/>
        <v>-250</v>
      </c>
      <c r="R72" s="1091">
        <f t="shared" si="9"/>
        <v>-1</v>
      </c>
      <c r="S72" s="1147">
        <f t="shared" si="10"/>
        <v>-250</v>
      </c>
      <c r="T72" s="1091">
        <f t="shared" si="11"/>
        <v>-1</v>
      </c>
      <c r="U72" s="1146">
        <f>SUMIFS(BP_SOTIEN,BP_THANG,U$2,BP_KM,$E72)/1000</f>
        <v>250</v>
      </c>
      <c r="V72" s="1091" t="str">
        <f t="shared" si="569"/>
        <v/>
      </c>
      <c r="W72" s="1091"/>
      <c r="X72" s="1147">
        <f>IF(NOW()&gt;=DATE(YEAR(U$2),MONTH(U$2)+1,DAY(U$2)),SUMIFS(TF_SOTIEN,TF_THANG,U$2,TF_KM,$E72)/1000, AA72)</f>
        <v>0</v>
      </c>
      <c r="Y72" s="1091" t="str">
        <f t="shared" si="570"/>
        <v/>
      </c>
      <c r="Z72" s="1091"/>
      <c r="AA72" s="1147">
        <f>IF(NOW()&gt;=DATE(YEAR(U$2),MONTH(U$2)+1,DAY(U$2)),SUMIFS(AC_SOTIEN,AC_THANG,U$2,AC_KM,$E72),SUMIFS(TF_SOTIEN,TF_THANG,U$2,TF_KM,$E72))/ 1000</f>
        <v>0</v>
      </c>
      <c r="AB72" s="1091" t="str">
        <f t="shared" si="571"/>
        <v/>
      </c>
      <c r="AC72" s="1091">
        <f t="shared" si="736"/>
        <v>0</v>
      </c>
      <c r="AD72" s="1147">
        <f t="shared" si="15"/>
        <v>-250</v>
      </c>
      <c r="AE72" s="1091">
        <f t="shared" si="16"/>
        <v>-1</v>
      </c>
      <c r="AF72" s="1147">
        <f t="shared" si="17"/>
        <v>0</v>
      </c>
      <c r="AG72" s="1091" t="str">
        <f t="shared" si="18"/>
        <v/>
      </c>
      <c r="AH72" s="1146">
        <f>SUMIFS(BP_SOTIEN,BP_THANG,AH$2,BP_KM,$E72)/1000</f>
        <v>250</v>
      </c>
      <c r="AI72" s="1091" t="str">
        <f t="shared" si="572"/>
        <v/>
      </c>
      <c r="AJ72" s="1091"/>
      <c r="AK72" s="1147">
        <f>IF(NOW()&gt;=DATE(YEAR(AH$2),MONTH(AH$2)+1,DAY(AH$2)),SUMIFS(TF_SOTIEN,TF_THANG,AH$2,TF_KM,$E72)/1000, AN72)</f>
        <v>0</v>
      </c>
      <c r="AL72" s="1091" t="str">
        <f t="shared" si="573"/>
        <v/>
      </c>
      <c r="AM72" s="1091"/>
      <c r="AN72" s="1147">
        <f>IF(NOW()&gt;=DATE(YEAR(AH$2),MONTH(AH$2)+1,DAY(AH$2)),SUMIFS(AC_SOTIEN,AC_THANG,AH$2,AC_KM,$E72),SUMIFS(TF_SOTIEN,TF_THANG,AH$2,TF_KM,$E72))/ 1000</f>
        <v>153.999</v>
      </c>
      <c r="AO72" s="1091" t="str">
        <f t="shared" si="574"/>
        <v/>
      </c>
      <c r="AP72" s="1091">
        <f t="shared" si="737"/>
        <v>0.008542659434</v>
      </c>
      <c r="AQ72" s="1147">
        <f t="shared" si="22"/>
        <v>-96.001</v>
      </c>
      <c r="AR72" s="1091">
        <f t="shared" si="23"/>
        <v>-0.384004</v>
      </c>
      <c r="AS72" s="1147">
        <f t="shared" si="24"/>
        <v>153.999</v>
      </c>
      <c r="AT72" s="1091" t="str">
        <f t="shared" si="25"/>
        <v/>
      </c>
      <c r="AU72" s="1146">
        <f t="shared" si="691"/>
        <v>750</v>
      </c>
      <c r="AV72" s="1091" t="str">
        <f t="shared" si="575"/>
        <v/>
      </c>
      <c r="AW72" s="1091">
        <f t="shared" si="738"/>
        <v>0.01261034048</v>
      </c>
      <c r="AX72" s="1147">
        <f t="shared" si="692"/>
        <v>250</v>
      </c>
      <c r="AY72" s="1091" t="str">
        <f t="shared" si="576"/>
        <v/>
      </c>
      <c r="AZ72" s="1091">
        <f t="shared" si="739"/>
        <v>0.005427702996</v>
      </c>
      <c r="BA72" s="1147">
        <f t="shared" si="693"/>
        <v>153.999</v>
      </c>
      <c r="BB72" s="1091">
        <f t="shared" si="577"/>
        <v>0.0004529382353</v>
      </c>
      <c r="BC72" s="1091">
        <f t="shared" si="740"/>
        <v>0.003997046631</v>
      </c>
      <c r="BD72" s="1147">
        <f t="shared" si="32"/>
        <v>-596.001</v>
      </c>
      <c r="BE72" s="1091">
        <f t="shared" si="33"/>
        <v>-0.794668</v>
      </c>
      <c r="BF72" s="1147">
        <f t="shared" si="34"/>
        <v>-96.001</v>
      </c>
      <c r="BG72" s="1091">
        <f t="shared" si="35"/>
        <v>-0.384004</v>
      </c>
      <c r="BH72" s="1146">
        <f>SUMIFS(BP_SOTIEN,BP_THANG,BH$2,BP_KM,$E72)/1000</f>
        <v>250</v>
      </c>
      <c r="BI72" s="1091" t="str">
        <f t="shared" si="578"/>
        <v/>
      </c>
      <c r="BJ72" s="1091"/>
      <c r="BK72" s="1147">
        <f>IF(NOW()&gt;=DATE(YEAR(BH$2),MONTH(BH$2)+1,DAY(BH$2)),SUMIFS(TF_SOTIEN,TF_THANG,BH$2,TF_KM,$E72)/1000, BN72)</f>
        <v>0</v>
      </c>
      <c r="BL72" s="1091" t="str">
        <f t="shared" si="579"/>
        <v/>
      </c>
      <c r="BM72" s="1091"/>
      <c r="BN72" s="1147">
        <f>IF(NOW()&gt;=DATE(YEAR(BH$2),MONTH(BH$2)+1,DAY(BH$2)),SUMIFS(AC_SOTIEN,AC_THANG,BH$2,AC_KM,$E72),SUMIFS(TF_SOTIEN,TF_THANG,BH$2,TF_KM,$E72))/ 1000</f>
        <v>900</v>
      </c>
      <c r="BO72" s="1091" t="str">
        <f t="shared" si="580"/>
        <v/>
      </c>
      <c r="BP72" s="1091">
        <f t="shared" si="741"/>
        <v>0.05177622362</v>
      </c>
      <c r="BQ72" s="1147">
        <f t="shared" si="39"/>
        <v>650</v>
      </c>
      <c r="BR72" s="1091">
        <f t="shared" si="40"/>
        <v>2.6</v>
      </c>
      <c r="BS72" s="1147">
        <f t="shared" si="41"/>
        <v>900</v>
      </c>
      <c r="BT72" s="1091" t="str">
        <f t="shared" si="42"/>
        <v/>
      </c>
      <c r="BU72" s="1146">
        <f>SUMIFS(BP_SOTIEN,BP_THANG,BU$2,BP_KM,$E72)/1000</f>
        <v>250</v>
      </c>
      <c r="BV72" s="1091" t="str">
        <f t="shared" si="581"/>
        <v/>
      </c>
      <c r="BW72" s="1091"/>
      <c r="BX72" s="1147">
        <f>IF(NOW()&gt;=DATE(YEAR(BU$2),MONTH(BU$2)+1,DAY(BU$2)),SUMIFS(TF_SOTIEN,TF_THANG,BU$2,TF_KM,$E72)/1000, CA72)</f>
        <v>0</v>
      </c>
      <c r="BY72" s="1091" t="str">
        <f t="shared" si="582"/>
        <v/>
      </c>
      <c r="BZ72" s="1091"/>
      <c r="CA72" s="1147">
        <f>IF(NOW()&gt;=DATE(YEAR(BU$2),MONTH(BU$2)+1,DAY(BU$2)),SUMIFS(AC_SOTIEN,AC_THANG,BU$2,AC_KM,$E72),SUMIFS(TF_SOTIEN,TF_THANG,BU$2,TF_KM,$E72))/ 1000</f>
        <v>0</v>
      </c>
      <c r="CB72" s="1091" t="str">
        <f t="shared" si="583"/>
        <v/>
      </c>
      <c r="CC72" s="1091">
        <f t="shared" si="742"/>
        <v>0</v>
      </c>
      <c r="CD72" s="1147">
        <f t="shared" si="46"/>
        <v>-250</v>
      </c>
      <c r="CE72" s="1091">
        <f t="shared" si="47"/>
        <v>-1</v>
      </c>
      <c r="CF72" s="1147">
        <f t="shared" si="48"/>
        <v>0</v>
      </c>
      <c r="CG72" s="1091" t="str">
        <f t="shared" si="49"/>
        <v/>
      </c>
      <c r="CH72" s="1146">
        <f>SUMIFS(BP_SOTIEN,BP_THANG,CH$2,BP_KM,$E72)/1000</f>
        <v>250</v>
      </c>
      <c r="CI72" s="1091" t="str">
        <f t="shared" si="584"/>
        <v/>
      </c>
      <c r="CJ72" s="1091"/>
      <c r="CK72" s="1147">
        <f>IF(NOW()&gt;=DATE(YEAR(CH$2),MONTH(CH$2)+1,DAY(CH$2)),SUMIFS(TF_SOTIEN,TF_THANG,CH$2,TF_KM,$E72)/1000, CN72)</f>
        <v>0</v>
      </c>
      <c r="CL72" s="1091" t="str">
        <f t="shared" si="585"/>
        <v/>
      </c>
      <c r="CM72" s="1091"/>
      <c r="CN72" s="1147">
        <f>IF(NOW()&gt;=DATE(YEAR(CH$2),MONTH(CH$2)+1,DAY(CH$2)),SUMIFS(AC_SOTIEN,AC_THANG,CH$2,AC_KM,$E72),SUMIFS(TF_SOTIEN,TF_THANG,CH$2,TF_KM,$E72))/ 1000</f>
        <v>0</v>
      </c>
      <c r="CO72" s="1091" t="str">
        <f t="shared" si="586"/>
        <v/>
      </c>
      <c r="CP72" s="1091" t="str">
        <f t="shared" si="743"/>
        <v/>
      </c>
      <c r="CQ72" s="1147">
        <f t="shared" si="53"/>
        <v>-250</v>
      </c>
      <c r="CR72" s="1091">
        <f t="shared" si="54"/>
        <v>-1</v>
      </c>
      <c r="CS72" s="1147">
        <f t="shared" si="55"/>
        <v>0</v>
      </c>
      <c r="CT72" s="1091" t="str">
        <f t="shared" si="56"/>
        <v/>
      </c>
      <c r="CU72" s="1146">
        <f t="shared" si="694"/>
        <v>750</v>
      </c>
      <c r="CV72" s="1091" t="str">
        <f t="shared" si="587"/>
        <v/>
      </c>
      <c r="CW72" s="1091">
        <f t="shared" si="744"/>
        <v>0.01328021248</v>
      </c>
      <c r="CX72" s="1147">
        <f t="shared" si="695"/>
        <v>0</v>
      </c>
      <c r="CY72" s="1091" t="str">
        <f t="shared" si="589"/>
        <v/>
      </c>
      <c r="CZ72" s="1091">
        <f t="shared" si="745"/>
        <v>0</v>
      </c>
      <c r="DA72" s="1147">
        <f t="shared" si="696"/>
        <v>900</v>
      </c>
      <c r="DB72" s="1091" t="str">
        <f t="shared" si="591"/>
        <v/>
      </c>
      <c r="DC72" s="1091">
        <f t="shared" si="746"/>
        <v>0.02536989233</v>
      </c>
      <c r="DD72" s="1147">
        <f t="shared" si="63"/>
        <v>150</v>
      </c>
      <c r="DE72" s="1091">
        <f t="shared" si="64"/>
        <v>0.2</v>
      </c>
      <c r="DF72" s="1147">
        <f t="shared" si="65"/>
        <v>900</v>
      </c>
      <c r="DG72" s="1091" t="str">
        <f t="shared" si="66"/>
        <v/>
      </c>
      <c r="DH72" s="1146">
        <f t="shared" si="697"/>
        <v>1500</v>
      </c>
      <c r="DI72" s="1091" t="str">
        <f t="shared" si="592"/>
        <v/>
      </c>
      <c r="DJ72" s="1091">
        <f t="shared" si="747"/>
        <v>0.01293661061</v>
      </c>
      <c r="DK72" s="1147">
        <f t="shared" si="216"/>
        <v>250</v>
      </c>
      <c r="DL72" s="1091" t="str">
        <f t="shared" si="593"/>
        <v/>
      </c>
      <c r="DM72" s="1091">
        <f t="shared" si="748"/>
        <v>0.002439802509</v>
      </c>
      <c r="DN72" s="1147">
        <f t="shared" si="219"/>
        <v>1053.999</v>
      </c>
      <c r="DO72" s="1091">
        <f t="shared" si="594"/>
        <v>0.003099997059</v>
      </c>
      <c r="DP72" s="1091">
        <f t="shared" si="749"/>
        <v>0.01424259112</v>
      </c>
      <c r="DQ72" s="1147">
        <f t="shared" si="73"/>
        <v>-446.001</v>
      </c>
      <c r="DR72" s="1091">
        <f t="shared" si="74"/>
        <v>-0.297334</v>
      </c>
      <c r="DS72" s="1147">
        <f t="shared" si="75"/>
        <v>803.999</v>
      </c>
      <c r="DT72" s="1091">
        <f t="shared" si="76"/>
        <v>3.215996</v>
      </c>
      <c r="DU72" s="1146">
        <f>SUMIFS(BP_SOTIEN,BP_THANG,DU$2,BP_KM,$E72)/1000</f>
        <v>250</v>
      </c>
      <c r="DV72" s="1091" t="str">
        <f t="shared" si="595"/>
        <v/>
      </c>
      <c r="DW72" s="1091"/>
      <c r="DX72" s="1147">
        <f>IF(NOW()&gt;=DATE(YEAR(DU$2),MONTH(DU$2)+1,DAY(DU$2)),SUMIFS(TF_SOTIEN,TF_THANG,DU$2,TF_KM,$E72)/1000, EA72)</f>
        <v>250</v>
      </c>
      <c r="DY72" s="1091" t="str">
        <f t="shared" si="596"/>
        <v/>
      </c>
      <c r="DZ72" s="1091"/>
      <c r="EA72" s="1147">
        <f>IF(NOW()&gt;=DATE(YEAR(DU$2),MONTH(DU$2)+1,DAY(DU$2)),SUMIFS(AC_SOTIEN,AC_THANG,DU$2,AC_KM,$E72),SUMIFS(TF_SOTIEN,TF_THANG,DU$2,TF_KM,$E72))/ 1000</f>
        <v>0</v>
      </c>
      <c r="EB72" s="1091" t="str">
        <f t="shared" si="597"/>
        <v/>
      </c>
      <c r="EC72" s="1091" t="str">
        <f t="shared" si="750"/>
        <v/>
      </c>
      <c r="ED72" s="1147">
        <f t="shared" si="80"/>
        <v>-250</v>
      </c>
      <c r="EE72" s="1091">
        <f t="shared" si="81"/>
        <v>-1</v>
      </c>
      <c r="EF72" s="1147">
        <f t="shared" si="82"/>
        <v>-250</v>
      </c>
      <c r="EG72" s="1091">
        <f t="shared" si="83"/>
        <v>-1</v>
      </c>
      <c r="EH72" s="1146">
        <f>SUMIFS(BP_SOTIEN,BP_THANG,EH$2,BP_KM,$E72)/1000</f>
        <v>250</v>
      </c>
      <c r="EI72" s="1091" t="str">
        <f t="shared" si="598"/>
        <v/>
      </c>
      <c r="EJ72" s="1091"/>
      <c r="EK72" s="1147">
        <f>IF(NOW()&gt;=DATE(YEAR(EH$2),MONTH(EH$2)+1,DAY(EH$2)),SUMIFS(TF_SOTIEN,TF_THANG,EH$2,TF_KM,$E72)/1000, EN72)</f>
        <v>250</v>
      </c>
      <c r="EL72" s="1091" t="str">
        <f t="shared" si="599"/>
        <v/>
      </c>
      <c r="EM72" s="1091"/>
      <c r="EN72" s="1147">
        <f>IF(NOW()&gt;=DATE(YEAR(EH$2),MONTH(EH$2)+1,DAY(EH$2)),SUMIFS(AC_SOTIEN,AC_THANG,EH$2,AC_KM,$E72),SUMIFS(TF_SOTIEN,TF_THANG,EH$2,TF_KM,$E72))/ 1000</f>
        <v>0</v>
      </c>
      <c r="EO72" s="1091" t="str">
        <f t="shared" si="600"/>
        <v/>
      </c>
      <c r="EP72" s="1091" t="str">
        <f t="shared" si="751"/>
        <v/>
      </c>
      <c r="EQ72" s="1147">
        <f t="shared" si="87"/>
        <v>-250</v>
      </c>
      <c r="ER72" s="1091">
        <f t="shared" si="88"/>
        <v>-1</v>
      </c>
      <c r="ES72" s="1147">
        <f t="shared" si="89"/>
        <v>-250</v>
      </c>
      <c r="ET72" s="1091">
        <f t="shared" si="90"/>
        <v>-1</v>
      </c>
      <c r="EU72" s="1146">
        <f>SUMIFS(BP_SOTIEN,BP_THANG,EU$2,BP_KM,$E72)/1000</f>
        <v>250</v>
      </c>
      <c r="EV72" s="1091" t="str">
        <f t="shared" si="601"/>
        <v/>
      </c>
      <c r="EW72" s="1091"/>
      <c r="EX72" s="1147">
        <f>IF(NOW()&gt;=DATE(YEAR(EU$2),MONTH(EU$2)+1,DAY(EU$2)),SUMIFS(TF_SOTIEN,TF_THANG,EU$2,TF_KM,$E72)/1000, FA72)</f>
        <v>250</v>
      </c>
      <c r="EY72" s="1091" t="str">
        <f t="shared" si="602"/>
        <v/>
      </c>
      <c r="EZ72" s="1091"/>
      <c r="FA72" s="1147">
        <f>IF(NOW()&gt;=DATE(YEAR(EU$2),MONTH(EU$2)+1,DAY(EU$2)),SUMIFS(AC_SOTIEN,AC_THANG,EU$2,AC_KM,$E72),SUMIFS(TF_SOTIEN,TF_THANG,EU$2,TF_KM,$E72))/ 1000</f>
        <v>0</v>
      </c>
      <c r="FB72" s="1091" t="str">
        <f t="shared" si="603"/>
        <v/>
      </c>
      <c r="FC72" s="1091" t="str">
        <f t="shared" si="752"/>
        <v/>
      </c>
      <c r="FD72" s="1147">
        <f t="shared" si="94"/>
        <v>-250</v>
      </c>
      <c r="FE72" s="1091">
        <f t="shared" si="95"/>
        <v>-1</v>
      </c>
      <c r="FF72" s="1147">
        <f t="shared" si="96"/>
        <v>-250</v>
      </c>
      <c r="FG72" s="1091">
        <f t="shared" si="97"/>
        <v>-1</v>
      </c>
      <c r="FH72" s="1146">
        <f t="shared" si="698"/>
        <v>750</v>
      </c>
      <c r="FI72" s="1091" t="str">
        <f t="shared" si="604"/>
        <v/>
      </c>
      <c r="FJ72" s="1091">
        <f t="shared" si="753"/>
        <v>0.01328021248</v>
      </c>
      <c r="FK72" s="1147">
        <f t="shared" si="243"/>
        <v>750</v>
      </c>
      <c r="FL72" s="1091" t="str">
        <f t="shared" si="605"/>
        <v/>
      </c>
      <c r="FM72" s="1091">
        <f t="shared" si="754"/>
        <v>0.01328021248</v>
      </c>
      <c r="FN72" s="1147">
        <f t="shared" si="246"/>
        <v>0</v>
      </c>
      <c r="FO72" s="1091" t="str">
        <f t="shared" si="606"/>
        <v/>
      </c>
      <c r="FP72" s="1091" t="str">
        <f t="shared" si="755"/>
        <v/>
      </c>
      <c r="FQ72" s="1147">
        <f t="shared" si="104"/>
        <v>-750</v>
      </c>
      <c r="FR72" s="1091">
        <f t="shared" si="105"/>
        <v>-1</v>
      </c>
      <c r="FS72" s="1147">
        <f t="shared" si="106"/>
        <v>-750</v>
      </c>
      <c r="FT72" s="1091">
        <f t="shared" si="107"/>
        <v>-1</v>
      </c>
      <c r="FU72" s="1146">
        <f>SUMIFS(BP_SOTIEN,BP_THANG,FU$2,BP_KM,$E72)/1000</f>
        <v>250</v>
      </c>
      <c r="FV72" s="1091" t="str">
        <f t="shared" si="607"/>
        <v/>
      </c>
      <c r="FW72" s="1091"/>
      <c r="FX72" s="1147">
        <f>IF(NOW()&gt;=DATE(YEAR(FU$2),MONTH(FU$2)+1,DAY(FU$2)),SUMIFS(TF_SOTIEN,TF_THANG,FU$2,TF_KM,$E72)/1000, GA72)</f>
        <v>250</v>
      </c>
      <c r="FY72" s="1091" t="str">
        <f t="shared" si="608"/>
        <v/>
      </c>
      <c r="FZ72" s="1091"/>
      <c r="GA72" s="1147">
        <f>IF(NOW()&gt;=DATE(YEAR(FU$2),MONTH(FU$2)+1,DAY(FU$2)),SUMIFS(AC_SOTIEN,AC_THANG,FU$2,AC_KM,$E72),SUMIFS(TF_SOTIEN,TF_THANG,FU$2,TF_KM,$E72))/ 1000</f>
        <v>0</v>
      </c>
      <c r="GB72" s="1091" t="str">
        <f t="shared" si="609"/>
        <v/>
      </c>
      <c r="GC72" s="1091" t="str">
        <f t="shared" si="756"/>
        <v/>
      </c>
      <c r="GD72" s="1147">
        <f t="shared" si="111"/>
        <v>-250</v>
      </c>
      <c r="GE72" s="1091">
        <f t="shared" si="112"/>
        <v>-1</v>
      </c>
      <c r="GF72" s="1147">
        <f t="shared" si="113"/>
        <v>-250</v>
      </c>
      <c r="GG72" s="1091">
        <f t="shared" si="114"/>
        <v>-1</v>
      </c>
      <c r="GH72" s="1146">
        <f>SUMIFS(BP_SOTIEN,BP_THANG,GH$2,BP_KM,$E72)/1000</f>
        <v>250</v>
      </c>
      <c r="GI72" s="1091" t="str">
        <f t="shared" si="610"/>
        <v/>
      </c>
      <c r="GJ72" s="1091"/>
      <c r="GK72" s="1147">
        <f>IF(NOW()&gt;=DATE(YEAR(GH$2),MONTH(GH$2)+1,DAY(GH$2)),SUMIFS(TF_SOTIEN,TF_THANG,GH$2,TF_KM,$E72)/1000, GN72)</f>
        <v>250</v>
      </c>
      <c r="GL72" s="1091" t="str">
        <f t="shared" si="611"/>
        <v/>
      </c>
      <c r="GM72" s="1091"/>
      <c r="GN72" s="1147">
        <f>IF(NOW()&gt;=DATE(YEAR(GH$2),MONTH(GH$2)+1,DAY(GH$2)),SUMIFS(AC_SOTIEN,AC_THANG,GH$2,AC_KM,$E72),SUMIFS(TF_SOTIEN,TF_THANG,GH$2,TF_KM,$E72))/ 1000</f>
        <v>0</v>
      </c>
      <c r="GO72" s="1091" t="str">
        <f t="shared" si="612"/>
        <v/>
      </c>
      <c r="GP72" s="1091" t="str">
        <f t="shared" si="757"/>
        <v/>
      </c>
      <c r="GQ72" s="1147">
        <f t="shared" si="118"/>
        <v>-250</v>
      </c>
      <c r="GR72" s="1091">
        <f t="shared" si="119"/>
        <v>-1</v>
      </c>
      <c r="GS72" s="1147">
        <f t="shared" si="120"/>
        <v>-250</v>
      </c>
      <c r="GT72" s="1091">
        <f t="shared" si="121"/>
        <v>-1</v>
      </c>
      <c r="GU72" s="1146">
        <f>SUMIFS(BP_SOTIEN,BP_THANG,GU$2,BP_KM,$E72)/1000</f>
        <v>250</v>
      </c>
      <c r="GV72" s="1091" t="str">
        <f t="shared" si="613"/>
        <v/>
      </c>
      <c r="GW72" s="1091"/>
      <c r="GX72" s="1147">
        <f>IF(NOW()&gt;=DATE(YEAR(GU$2),MONTH(GU$2)+1,DAY(GU$2)),SUMIFS(TF_SOTIEN,TF_THANG,GU$2,TF_KM,$E72)/1000, HA72)</f>
        <v>250</v>
      </c>
      <c r="GY72" s="1091" t="str">
        <f t="shared" si="614"/>
        <v/>
      </c>
      <c r="GZ72" s="1091"/>
      <c r="HA72" s="1147">
        <f>IF(NOW()&gt;=DATE(YEAR(GU$2),MONTH(GU$2)+1,DAY(GU$2)),SUMIFS(AC_SOTIEN,AC_THANG,GU$2,AC_KM,$E72),SUMIFS(TF_SOTIEN,TF_THANG,GU$2,TF_KM,$E72))/ 1000</f>
        <v>0</v>
      </c>
      <c r="HB72" s="1091" t="str">
        <f t="shared" si="615"/>
        <v/>
      </c>
      <c r="HC72" s="1091" t="str">
        <f t="shared" si="758"/>
        <v/>
      </c>
      <c r="HD72" s="1147">
        <f t="shared" si="125"/>
        <v>-250</v>
      </c>
      <c r="HE72" s="1091">
        <f t="shared" si="126"/>
        <v>-1</v>
      </c>
      <c r="HF72" s="1147">
        <f t="shared" si="127"/>
        <v>-250</v>
      </c>
      <c r="HG72" s="1091">
        <f t="shared" si="128"/>
        <v>-1</v>
      </c>
      <c r="HH72" s="1146">
        <f t="shared" si="699"/>
        <v>750</v>
      </c>
      <c r="HI72" s="1091" t="str">
        <f t="shared" si="616"/>
        <v/>
      </c>
      <c r="HJ72" s="1091">
        <f t="shared" si="759"/>
        <v>0.01328021248</v>
      </c>
      <c r="HK72" s="1147">
        <f t="shared" si="270"/>
        <v>750</v>
      </c>
      <c r="HL72" s="1091" t="str">
        <f t="shared" si="617"/>
        <v/>
      </c>
      <c r="HM72" s="1091">
        <f t="shared" si="760"/>
        <v>0.01328021248</v>
      </c>
      <c r="HN72" s="1147">
        <f t="shared" si="273"/>
        <v>0</v>
      </c>
      <c r="HO72" s="1091" t="str">
        <f t="shared" si="618"/>
        <v/>
      </c>
      <c r="HP72" s="1091" t="str">
        <f t="shared" si="761"/>
        <v/>
      </c>
      <c r="HQ72" s="1147">
        <f t="shared" si="135"/>
        <v>-750</v>
      </c>
      <c r="HR72" s="1091">
        <f t="shared" si="136"/>
        <v>-1</v>
      </c>
      <c r="HS72" s="1147">
        <f t="shared" si="137"/>
        <v>-750</v>
      </c>
      <c r="HT72" s="1091">
        <f t="shared" si="138"/>
        <v>-1</v>
      </c>
      <c r="HU72" s="1146">
        <f t="shared" si="700"/>
        <v>1500</v>
      </c>
      <c r="HV72" s="1091" t="str">
        <f t="shared" si="619"/>
        <v/>
      </c>
      <c r="HW72" s="1091">
        <f t="shared" si="762"/>
        <v>0.01328021248</v>
      </c>
      <c r="HX72" s="1147">
        <f t="shared" si="279"/>
        <v>1500</v>
      </c>
      <c r="HY72" s="1091" t="str">
        <f t="shared" si="620"/>
        <v/>
      </c>
      <c r="HZ72" s="1091">
        <f t="shared" si="763"/>
        <v>0.01328021248</v>
      </c>
      <c r="IA72" s="1147">
        <f t="shared" si="282"/>
        <v>0</v>
      </c>
      <c r="IB72" s="1091" t="str">
        <f t="shared" si="621"/>
        <v/>
      </c>
      <c r="IC72" s="1091" t="str">
        <f t="shared" si="764"/>
        <v/>
      </c>
      <c r="ID72" s="1147">
        <f t="shared" si="145"/>
        <v>-1500</v>
      </c>
      <c r="IE72" s="1091">
        <f t="shared" si="146"/>
        <v>-1</v>
      </c>
      <c r="IF72" s="1147">
        <f t="shared" si="147"/>
        <v>-1500</v>
      </c>
      <c r="IG72" s="1091">
        <f t="shared" si="148"/>
        <v>-1</v>
      </c>
      <c r="IH72" s="1146">
        <f t="shared" si="701"/>
        <v>3000</v>
      </c>
      <c r="II72" s="1091" t="str">
        <f t="shared" si="622"/>
        <v/>
      </c>
      <c r="IJ72" s="1091">
        <f t="shared" si="765"/>
        <v>0.0131061599</v>
      </c>
      <c r="IK72" s="1147">
        <f t="shared" si="288"/>
        <v>1750</v>
      </c>
      <c r="IL72" s="1091" t="str">
        <f t="shared" si="623"/>
        <v/>
      </c>
      <c r="IM72" s="1091">
        <f t="shared" si="766"/>
        <v>0.008123766841</v>
      </c>
      <c r="IN72" s="1147">
        <f t="shared" si="291"/>
        <v>1053.999</v>
      </c>
      <c r="IO72" s="1091">
        <f t="shared" si="624"/>
        <v>0.003099997059</v>
      </c>
      <c r="IP72" s="1091">
        <f t="shared" si="767"/>
        <v>0.01424259112</v>
      </c>
      <c r="IQ72" s="1147">
        <f t="shared" si="155"/>
        <v>-1946.001</v>
      </c>
      <c r="IR72" s="1091">
        <f t="shared" si="1"/>
        <v>-0.648667</v>
      </c>
      <c r="IS72" s="1147">
        <f t="shared" si="156"/>
        <v>-696.001</v>
      </c>
      <c r="IT72" s="1091">
        <f t="shared" si="2"/>
        <v>-0.3977148571</v>
      </c>
    </row>
    <row r="73" hidden="1" outlineLevel="1">
      <c r="A73" s="737"/>
      <c r="B73" s="737"/>
      <c r="C73" s="737"/>
      <c r="D73" s="737" t="s">
        <v>2858</v>
      </c>
      <c r="E73" s="737" t="s">
        <v>2220</v>
      </c>
      <c r="F73" s="737"/>
      <c r="G73" s="748">
        <v>3.0</v>
      </c>
      <c r="H73" s="1146">
        <f>SUMIFS(BP_SOTIEN,BP_THANG,H$2,BP_KM,$E73)/1000</f>
        <v>416</v>
      </c>
      <c r="I73" s="1091" t="str">
        <f t="shared" si="566"/>
        <v/>
      </c>
      <c r="J73" s="1091"/>
      <c r="K73" s="1147">
        <f>IF(NOW()&gt;=DATE(YEAR(H$2),MONTH(H$2)+1,DAY(H$2)),SUMIFS(TF_SOTIEN,TF_THANG,H$2,TF_KM,$E73)/1000, N73)</f>
        <v>416</v>
      </c>
      <c r="L73" s="1091" t="str">
        <f t="shared" si="567"/>
        <v/>
      </c>
      <c r="M73" s="1091"/>
      <c r="N73" s="1147">
        <f>IF(NOW()&gt;=DATE(YEAR(H$2),MONTH(H$2)+1,DAY(H$2)),SUMIFS(AC_SOTIEN,AC_THANG,H$2,AC_KM,$E73),SUMIFS(TF_SOTIEN,TF_THANG,H$2,TF_KM,$E73))/ 1000</f>
        <v>0</v>
      </c>
      <c r="O73" s="1091">
        <f t="shared" si="568"/>
        <v>0</v>
      </c>
      <c r="P73" s="1091">
        <f t="shared" si="735"/>
        <v>0</v>
      </c>
      <c r="Q73" s="1147">
        <f t="shared" si="8"/>
        <v>-416</v>
      </c>
      <c r="R73" s="1091">
        <f t="shared" si="9"/>
        <v>-1</v>
      </c>
      <c r="S73" s="1147">
        <f t="shared" si="10"/>
        <v>-416</v>
      </c>
      <c r="T73" s="1091">
        <f t="shared" si="11"/>
        <v>-1</v>
      </c>
      <c r="U73" s="1146">
        <f>SUMIFS(BP_SOTIEN,BP_THANG,U$2,BP_KM,$E73)/1000</f>
        <v>416</v>
      </c>
      <c r="V73" s="1091" t="str">
        <f t="shared" si="569"/>
        <v/>
      </c>
      <c r="W73" s="1091"/>
      <c r="X73" s="1147">
        <f>IF(NOW()&gt;=DATE(YEAR(U$2),MONTH(U$2)+1,DAY(U$2)),SUMIFS(TF_SOTIEN,TF_THANG,U$2,TF_KM,$E73)/1000, AA73)</f>
        <v>0</v>
      </c>
      <c r="Y73" s="1091" t="str">
        <f t="shared" si="570"/>
        <v/>
      </c>
      <c r="Z73" s="1091"/>
      <c r="AA73" s="1147">
        <f>IF(NOW()&gt;=DATE(YEAR(U$2),MONTH(U$2)+1,DAY(U$2)),SUMIFS(AC_SOTIEN,AC_THANG,U$2,AC_KM,$E73),SUMIFS(TF_SOTIEN,TF_THANG,U$2,TF_KM,$E73))/ 1000</f>
        <v>0</v>
      </c>
      <c r="AB73" s="1091" t="str">
        <f t="shared" si="571"/>
        <v/>
      </c>
      <c r="AC73" s="1091">
        <f t="shared" si="736"/>
        <v>0</v>
      </c>
      <c r="AD73" s="1147">
        <f t="shared" si="15"/>
        <v>-416</v>
      </c>
      <c r="AE73" s="1091">
        <f t="shared" si="16"/>
        <v>-1</v>
      </c>
      <c r="AF73" s="1147">
        <f t="shared" si="17"/>
        <v>0</v>
      </c>
      <c r="AG73" s="1091" t="str">
        <f t="shared" si="18"/>
        <v/>
      </c>
      <c r="AH73" s="1146">
        <f>SUMIFS(BP_SOTIEN,BP_THANG,AH$2,BP_KM,$E73)/1000</f>
        <v>416</v>
      </c>
      <c r="AI73" s="1091" t="str">
        <f t="shared" si="572"/>
        <v/>
      </c>
      <c r="AJ73" s="1091"/>
      <c r="AK73" s="1147">
        <f>IF(NOW()&gt;=DATE(YEAR(AH$2),MONTH(AH$2)+1,DAY(AH$2)),SUMIFS(TF_SOTIEN,TF_THANG,AH$2,TF_KM,$E73)/1000, AN73)</f>
        <v>0</v>
      </c>
      <c r="AL73" s="1091" t="str">
        <f t="shared" si="573"/>
        <v/>
      </c>
      <c r="AM73" s="1091"/>
      <c r="AN73" s="1147">
        <f>IF(NOW()&gt;=DATE(YEAR(AH$2),MONTH(AH$2)+1,DAY(AH$2)),SUMIFS(AC_SOTIEN,AC_THANG,AH$2,AC_KM,$E73),SUMIFS(TF_SOTIEN,TF_THANG,AH$2,TF_KM,$E73))/ 1000</f>
        <v>0</v>
      </c>
      <c r="AO73" s="1091" t="str">
        <f t="shared" si="574"/>
        <v/>
      </c>
      <c r="AP73" s="1091">
        <f t="shared" si="737"/>
        <v>0</v>
      </c>
      <c r="AQ73" s="1147">
        <f t="shared" si="22"/>
        <v>-416</v>
      </c>
      <c r="AR73" s="1091">
        <f t="shared" si="23"/>
        <v>-1</v>
      </c>
      <c r="AS73" s="1147">
        <f t="shared" si="24"/>
        <v>0</v>
      </c>
      <c r="AT73" s="1091" t="str">
        <f t="shared" si="25"/>
        <v/>
      </c>
      <c r="AU73" s="1146">
        <f t="shared" si="691"/>
        <v>1248</v>
      </c>
      <c r="AV73" s="1091" t="str">
        <f t="shared" si="575"/>
        <v/>
      </c>
      <c r="AW73" s="1091">
        <f t="shared" si="738"/>
        <v>0.02098360656</v>
      </c>
      <c r="AX73" s="1147">
        <f t="shared" si="692"/>
        <v>416</v>
      </c>
      <c r="AY73" s="1091" t="str">
        <f t="shared" si="576"/>
        <v/>
      </c>
      <c r="AZ73" s="1091">
        <f t="shared" si="739"/>
        <v>0.009031697785</v>
      </c>
      <c r="BA73" s="1147">
        <f t="shared" si="693"/>
        <v>0</v>
      </c>
      <c r="BB73" s="1091">
        <f t="shared" si="577"/>
        <v>0</v>
      </c>
      <c r="BC73" s="1091">
        <f t="shared" si="740"/>
        <v>0</v>
      </c>
      <c r="BD73" s="1147">
        <f t="shared" si="32"/>
        <v>-1248</v>
      </c>
      <c r="BE73" s="1091">
        <f t="shared" si="33"/>
        <v>-1</v>
      </c>
      <c r="BF73" s="1147">
        <f t="shared" si="34"/>
        <v>-416</v>
      </c>
      <c r="BG73" s="1091">
        <f t="shared" si="35"/>
        <v>-1</v>
      </c>
      <c r="BH73" s="1146">
        <f>SUMIFS(BP_SOTIEN,BP_THANG,BH$2,BP_KM,$E73)/1000</f>
        <v>416</v>
      </c>
      <c r="BI73" s="1091" t="str">
        <f t="shared" si="578"/>
        <v/>
      </c>
      <c r="BJ73" s="1091"/>
      <c r="BK73" s="1147">
        <f>IF(NOW()&gt;=DATE(YEAR(BH$2),MONTH(BH$2)+1,DAY(BH$2)),SUMIFS(TF_SOTIEN,TF_THANG,BH$2,TF_KM,$E73)/1000, BN73)</f>
        <v>0</v>
      </c>
      <c r="BL73" s="1091" t="str">
        <f t="shared" si="579"/>
        <v/>
      </c>
      <c r="BM73" s="1091"/>
      <c r="BN73" s="1147">
        <f>IF(NOW()&gt;=DATE(YEAR(BH$2),MONTH(BH$2)+1,DAY(BH$2)),SUMIFS(AC_SOTIEN,AC_THANG,BH$2,AC_KM,$E73),SUMIFS(TF_SOTIEN,TF_THANG,BH$2,TF_KM,$E73))/ 1000</f>
        <v>0</v>
      </c>
      <c r="BO73" s="1091" t="str">
        <f t="shared" si="580"/>
        <v/>
      </c>
      <c r="BP73" s="1091">
        <f t="shared" si="741"/>
        <v>0</v>
      </c>
      <c r="BQ73" s="1147">
        <f t="shared" si="39"/>
        <v>-416</v>
      </c>
      <c r="BR73" s="1091">
        <f t="shared" si="40"/>
        <v>-1</v>
      </c>
      <c r="BS73" s="1147">
        <f t="shared" si="41"/>
        <v>0</v>
      </c>
      <c r="BT73" s="1091" t="str">
        <f t="shared" si="42"/>
        <v/>
      </c>
      <c r="BU73" s="1146">
        <f>SUMIFS(BP_SOTIEN,BP_THANG,BU$2,BP_KM,$E73)/1000</f>
        <v>416</v>
      </c>
      <c r="BV73" s="1091" t="str">
        <f t="shared" si="581"/>
        <v/>
      </c>
      <c r="BW73" s="1091"/>
      <c r="BX73" s="1147">
        <f>IF(NOW()&gt;=DATE(YEAR(BU$2),MONTH(BU$2)+1,DAY(BU$2)),SUMIFS(TF_SOTIEN,TF_THANG,BU$2,TF_KM,$E73)/1000, CA73)</f>
        <v>416</v>
      </c>
      <c r="BY73" s="1091" t="str">
        <f t="shared" si="582"/>
        <v/>
      </c>
      <c r="BZ73" s="1091"/>
      <c r="CA73" s="1147">
        <f>IF(NOW()&gt;=DATE(YEAR(BU$2),MONTH(BU$2)+1,DAY(BU$2)),SUMIFS(AC_SOTIEN,AC_THANG,BU$2,AC_KM,$E73),SUMIFS(TF_SOTIEN,TF_THANG,BU$2,TF_KM,$E73))/ 1000</f>
        <v>0</v>
      </c>
      <c r="CB73" s="1091" t="str">
        <f t="shared" si="583"/>
        <v/>
      </c>
      <c r="CC73" s="1091">
        <f t="shared" si="742"/>
        <v>0</v>
      </c>
      <c r="CD73" s="1147">
        <f t="shared" si="46"/>
        <v>-416</v>
      </c>
      <c r="CE73" s="1091">
        <f t="shared" si="47"/>
        <v>-1</v>
      </c>
      <c r="CF73" s="1147">
        <f t="shared" si="48"/>
        <v>-416</v>
      </c>
      <c r="CG73" s="1091">
        <f t="shared" si="49"/>
        <v>-1</v>
      </c>
      <c r="CH73" s="1146">
        <f>SUMIFS(BP_SOTIEN,BP_THANG,CH$2,BP_KM,$E73)/1000</f>
        <v>416</v>
      </c>
      <c r="CI73" s="1091" t="str">
        <f t="shared" si="584"/>
        <v/>
      </c>
      <c r="CJ73" s="1091"/>
      <c r="CK73" s="1147">
        <f>IF(NOW()&gt;=DATE(YEAR(CH$2),MONTH(CH$2)+1,DAY(CH$2)),SUMIFS(TF_SOTIEN,TF_THANG,CH$2,TF_KM,$E73)/1000, CN73)</f>
        <v>416</v>
      </c>
      <c r="CL73" s="1091" t="str">
        <f t="shared" si="585"/>
        <v/>
      </c>
      <c r="CM73" s="1091"/>
      <c r="CN73" s="1147">
        <f>IF(NOW()&gt;=DATE(YEAR(CH$2),MONTH(CH$2)+1,DAY(CH$2)),SUMIFS(AC_SOTIEN,AC_THANG,CH$2,AC_KM,$E73),SUMIFS(TF_SOTIEN,TF_THANG,CH$2,TF_KM,$E73))/ 1000</f>
        <v>0</v>
      </c>
      <c r="CO73" s="1091" t="str">
        <f t="shared" si="586"/>
        <v/>
      </c>
      <c r="CP73" s="1091" t="str">
        <f t="shared" si="743"/>
        <v/>
      </c>
      <c r="CQ73" s="1147">
        <f t="shared" si="53"/>
        <v>-416</v>
      </c>
      <c r="CR73" s="1091">
        <f t="shared" si="54"/>
        <v>-1</v>
      </c>
      <c r="CS73" s="1147">
        <f t="shared" si="55"/>
        <v>-416</v>
      </c>
      <c r="CT73" s="1091">
        <f t="shared" si="56"/>
        <v>-1</v>
      </c>
      <c r="CU73" s="1146">
        <f t="shared" si="694"/>
        <v>1248</v>
      </c>
      <c r="CV73" s="1091" t="str">
        <f t="shared" si="587"/>
        <v/>
      </c>
      <c r="CW73" s="1091">
        <f t="shared" si="744"/>
        <v>0.02209827357</v>
      </c>
      <c r="CX73" s="1147">
        <f t="shared" si="695"/>
        <v>832</v>
      </c>
      <c r="CY73" s="1091" t="str">
        <f t="shared" si="589"/>
        <v/>
      </c>
      <c r="CZ73" s="1091">
        <f t="shared" si="745"/>
        <v>0.01474986132</v>
      </c>
      <c r="DA73" s="1147">
        <f t="shared" si="696"/>
        <v>0</v>
      </c>
      <c r="DB73" s="1091" t="str">
        <f t="shared" si="591"/>
        <v/>
      </c>
      <c r="DC73" s="1091">
        <f t="shared" si="746"/>
        <v>0</v>
      </c>
      <c r="DD73" s="1147">
        <f t="shared" si="63"/>
        <v>-1248</v>
      </c>
      <c r="DE73" s="1091">
        <f t="shared" si="64"/>
        <v>-1</v>
      </c>
      <c r="DF73" s="1147">
        <f t="shared" si="65"/>
        <v>-832</v>
      </c>
      <c r="DG73" s="1091">
        <f t="shared" si="66"/>
        <v>-1</v>
      </c>
      <c r="DH73" s="1146">
        <f t="shared" si="697"/>
        <v>2496</v>
      </c>
      <c r="DI73" s="1091" t="str">
        <f t="shared" si="592"/>
        <v/>
      </c>
      <c r="DJ73" s="1091">
        <f t="shared" si="747"/>
        <v>0.02152652005</v>
      </c>
      <c r="DK73" s="1147">
        <f t="shared" si="216"/>
        <v>1248</v>
      </c>
      <c r="DL73" s="1091" t="str">
        <f t="shared" si="593"/>
        <v/>
      </c>
      <c r="DM73" s="1091">
        <f t="shared" si="748"/>
        <v>0.01217949412</v>
      </c>
      <c r="DN73" s="1147">
        <f t="shared" si="219"/>
        <v>0</v>
      </c>
      <c r="DO73" s="1091">
        <f t="shared" si="594"/>
        <v>0</v>
      </c>
      <c r="DP73" s="1091">
        <f t="shared" si="749"/>
        <v>0</v>
      </c>
      <c r="DQ73" s="1147">
        <f t="shared" si="73"/>
        <v>-2496</v>
      </c>
      <c r="DR73" s="1091">
        <f t="shared" si="74"/>
        <v>-1</v>
      </c>
      <c r="DS73" s="1147">
        <f t="shared" si="75"/>
        <v>-1248</v>
      </c>
      <c r="DT73" s="1091">
        <f t="shared" si="76"/>
        <v>-1</v>
      </c>
      <c r="DU73" s="1146">
        <f>SUMIFS(BP_SOTIEN,BP_THANG,DU$2,BP_KM,$E73)/1000</f>
        <v>416</v>
      </c>
      <c r="DV73" s="1091" t="str">
        <f t="shared" si="595"/>
        <v/>
      </c>
      <c r="DW73" s="1091"/>
      <c r="DX73" s="1147">
        <f>IF(NOW()&gt;=DATE(YEAR(DU$2),MONTH(DU$2)+1,DAY(DU$2)),SUMIFS(TF_SOTIEN,TF_THANG,DU$2,TF_KM,$E73)/1000, EA73)</f>
        <v>416</v>
      </c>
      <c r="DY73" s="1091" t="str">
        <f t="shared" si="596"/>
        <v/>
      </c>
      <c r="DZ73" s="1091"/>
      <c r="EA73" s="1147">
        <f>IF(NOW()&gt;=DATE(YEAR(DU$2),MONTH(DU$2)+1,DAY(DU$2)),SUMIFS(AC_SOTIEN,AC_THANG,DU$2,AC_KM,$E73),SUMIFS(TF_SOTIEN,TF_THANG,DU$2,TF_KM,$E73))/ 1000</f>
        <v>0</v>
      </c>
      <c r="EB73" s="1091" t="str">
        <f t="shared" si="597"/>
        <v/>
      </c>
      <c r="EC73" s="1091" t="str">
        <f t="shared" si="750"/>
        <v/>
      </c>
      <c r="ED73" s="1147">
        <f t="shared" si="80"/>
        <v>-416</v>
      </c>
      <c r="EE73" s="1091">
        <f t="shared" si="81"/>
        <v>-1</v>
      </c>
      <c r="EF73" s="1147">
        <f t="shared" si="82"/>
        <v>-416</v>
      </c>
      <c r="EG73" s="1091">
        <f t="shared" si="83"/>
        <v>-1</v>
      </c>
      <c r="EH73" s="1146">
        <f>SUMIFS(BP_SOTIEN,BP_THANG,EH$2,BP_KM,$E73)/1000</f>
        <v>416</v>
      </c>
      <c r="EI73" s="1091" t="str">
        <f t="shared" si="598"/>
        <v/>
      </c>
      <c r="EJ73" s="1091"/>
      <c r="EK73" s="1147">
        <f>IF(NOW()&gt;=DATE(YEAR(EH$2),MONTH(EH$2)+1,DAY(EH$2)),SUMIFS(TF_SOTIEN,TF_THANG,EH$2,TF_KM,$E73)/1000, EN73)</f>
        <v>416</v>
      </c>
      <c r="EL73" s="1091" t="str">
        <f t="shared" si="599"/>
        <v/>
      </c>
      <c r="EM73" s="1091"/>
      <c r="EN73" s="1147">
        <f>IF(NOW()&gt;=DATE(YEAR(EH$2),MONTH(EH$2)+1,DAY(EH$2)),SUMIFS(AC_SOTIEN,AC_THANG,EH$2,AC_KM,$E73),SUMIFS(TF_SOTIEN,TF_THANG,EH$2,TF_KM,$E73))/ 1000</f>
        <v>0</v>
      </c>
      <c r="EO73" s="1091" t="str">
        <f t="shared" si="600"/>
        <v/>
      </c>
      <c r="EP73" s="1091" t="str">
        <f t="shared" si="751"/>
        <v/>
      </c>
      <c r="EQ73" s="1147">
        <f t="shared" si="87"/>
        <v>-416</v>
      </c>
      <c r="ER73" s="1091">
        <f t="shared" si="88"/>
        <v>-1</v>
      </c>
      <c r="ES73" s="1147">
        <f t="shared" si="89"/>
        <v>-416</v>
      </c>
      <c r="ET73" s="1091">
        <f t="shared" si="90"/>
        <v>-1</v>
      </c>
      <c r="EU73" s="1146">
        <f>SUMIFS(BP_SOTIEN,BP_THANG,EU$2,BP_KM,$E73)/1000</f>
        <v>416</v>
      </c>
      <c r="EV73" s="1091" t="str">
        <f t="shared" si="601"/>
        <v/>
      </c>
      <c r="EW73" s="1091"/>
      <c r="EX73" s="1147">
        <f>IF(NOW()&gt;=DATE(YEAR(EU$2),MONTH(EU$2)+1,DAY(EU$2)),SUMIFS(TF_SOTIEN,TF_THANG,EU$2,TF_KM,$E73)/1000, FA73)</f>
        <v>416</v>
      </c>
      <c r="EY73" s="1091" t="str">
        <f t="shared" si="602"/>
        <v/>
      </c>
      <c r="EZ73" s="1091"/>
      <c r="FA73" s="1147">
        <f>IF(NOW()&gt;=DATE(YEAR(EU$2),MONTH(EU$2)+1,DAY(EU$2)),SUMIFS(AC_SOTIEN,AC_THANG,EU$2,AC_KM,$E73),SUMIFS(TF_SOTIEN,TF_THANG,EU$2,TF_KM,$E73))/ 1000</f>
        <v>0</v>
      </c>
      <c r="FB73" s="1091" t="str">
        <f t="shared" si="603"/>
        <v/>
      </c>
      <c r="FC73" s="1091" t="str">
        <f t="shared" si="752"/>
        <v/>
      </c>
      <c r="FD73" s="1147">
        <f t="shared" si="94"/>
        <v>-416</v>
      </c>
      <c r="FE73" s="1091">
        <f t="shared" si="95"/>
        <v>-1</v>
      </c>
      <c r="FF73" s="1147">
        <f t="shared" si="96"/>
        <v>-416</v>
      </c>
      <c r="FG73" s="1091">
        <f t="shared" si="97"/>
        <v>-1</v>
      </c>
      <c r="FH73" s="1146">
        <f t="shared" si="698"/>
        <v>1248</v>
      </c>
      <c r="FI73" s="1091" t="str">
        <f t="shared" si="604"/>
        <v/>
      </c>
      <c r="FJ73" s="1091">
        <f t="shared" si="753"/>
        <v>0.02209827357</v>
      </c>
      <c r="FK73" s="1147">
        <f t="shared" si="243"/>
        <v>1248</v>
      </c>
      <c r="FL73" s="1091" t="str">
        <f t="shared" si="605"/>
        <v/>
      </c>
      <c r="FM73" s="1091">
        <f t="shared" si="754"/>
        <v>0.02209827357</v>
      </c>
      <c r="FN73" s="1147">
        <f t="shared" si="246"/>
        <v>0</v>
      </c>
      <c r="FO73" s="1091" t="str">
        <f t="shared" si="606"/>
        <v/>
      </c>
      <c r="FP73" s="1091" t="str">
        <f t="shared" si="755"/>
        <v/>
      </c>
      <c r="FQ73" s="1147">
        <f t="shared" si="104"/>
        <v>-1248</v>
      </c>
      <c r="FR73" s="1091">
        <f t="shared" si="105"/>
        <v>-1</v>
      </c>
      <c r="FS73" s="1147">
        <f t="shared" si="106"/>
        <v>-1248</v>
      </c>
      <c r="FT73" s="1091">
        <f t="shared" si="107"/>
        <v>-1</v>
      </c>
      <c r="FU73" s="1146">
        <f>SUMIFS(BP_SOTIEN,BP_THANG,FU$2,BP_KM,$E73)/1000</f>
        <v>416</v>
      </c>
      <c r="FV73" s="1091" t="str">
        <f t="shared" si="607"/>
        <v/>
      </c>
      <c r="FW73" s="1091"/>
      <c r="FX73" s="1147">
        <f>IF(NOW()&gt;=DATE(YEAR(FU$2),MONTH(FU$2)+1,DAY(FU$2)),SUMIFS(TF_SOTIEN,TF_THANG,FU$2,TF_KM,$E73)/1000, GA73)</f>
        <v>416</v>
      </c>
      <c r="FY73" s="1091" t="str">
        <f t="shared" si="608"/>
        <v/>
      </c>
      <c r="FZ73" s="1091"/>
      <c r="GA73" s="1147">
        <f>IF(NOW()&gt;=DATE(YEAR(FU$2),MONTH(FU$2)+1,DAY(FU$2)),SUMIFS(AC_SOTIEN,AC_THANG,FU$2,AC_KM,$E73),SUMIFS(TF_SOTIEN,TF_THANG,FU$2,TF_KM,$E73))/ 1000</f>
        <v>0</v>
      </c>
      <c r="GB73" s="1091" t="str">
        <f t="shared" si="609"/>
        <v/>
      </c>
      <c r="GC73" s="1091" t="str">
        <f t="shared" si="756"/>
        <v/>
      </c>
      <c r="GD73" s="1147">
        <f t="shared" si="111"/>
        <v>-416</v>
      </c>
      <c r="GE73" s="1091">
        <f t="shared" si="112"/>
        <v>-1</v>
      </c>
      <c r="GF73" s="1147">
        <f t="shared" si="113"/>
        <v>-416</v>
      </c>
      <c r="GG73" s="1091">
        <f t="shared" si="114"/>
        <v>-1</v>
      </c>
      <c r="GH73" s="1146">
        <f>SUMIFS(BP_SOTIEN,BP_THANG,GH$2,BP_KM,$E73)/1000</f>
        <v>416</v>
      </c>
      <c r="GI73" s="1091" t="str">
        <f t="shared" si="610"/>
        <v/>
      </c>
      <c r="GJ73" s="1091"/>
      <c r="GK73" s="1147">
        <f>IF(NOW()&gt;=DATE(YEAR(GH$2),MONTH(GH$2)+1,DAY(GH$2)),SUMIFS(TF_SOTIEN,TF_THANG,GH$2,TF_KM,$E73)/1000, GN73)</f>
        <v>416</v>
      </c>
      <c r="GL73" s="1091" t="str">
        <f t="shared" si="611"/>
        <v/>
      </c>
      <c r="GM73" s="1091"/>
      <c r="GN73" s="1147">
        <f>IF(NOW()&gt;=DATE(YEAR(GH$2),MONTH(GH$2)+1,DAY(GH$2)),SUMIFS(AC_SOTIEN,AC_THANG,GH$2,AC_KM,$E73),SUMIFS(TF_SOTIEN,TF_THANG,GH$2,TF_KM,$E73))/ 1000</f>
        <v>0</v>
      </c>
      <c r="GO73" s="1091" t="str">
        <f t="shared" si="612"/>
        <v/>
      </c>
      <c r="GP73" s="1091" t="str">
        <f t="shared" si="757"/>
        <v/>
      </c>
      <c r="GQ73" s="1147">
        <f t="shared" si="118"/>
        <v>-416</v>
      </c>
      <c r="GR73" s="1091">
        <f t="shared" si="119"/>
        <v>-1</v>
      </c>
      <c r="GS73" s="1147">
        <f t="shared" si="120"/>
        <v>-416</v>
      </c>
      <c r="GT73" s="1091">
        <f t="shared" si="121"/>
        <v>-1</v>
      </c>
      <c r="GU73" s="1146">
        <f>SUMIFS(BP_SOTIEN,BP_THANG,GU$2,BP_KM,$E73)/1000</f>
        <v>416</v>
      </c>
      <c r="GV73" s="1091" t="str">
        <f t="shared" si="613"/>
        <v/>
      </c>
      <c r="GW73" s="1091"/>
      <c r="GX73" s="1147">
        <f>IF(NOW()&gt;=DATE(YEAR(GU$2),MONTH(GU$2)+1,DAY(GU$2)),SUMIFS(TF_SOTIEN,TF_THANG,GU$2,TF_KM,$E73)/1000, HA73)</f>
        <v>416</v>
      </c>
      <c r="GY73" s="1091" t="str">
        <f t="shared" si="614"/>
        <v/>
      </c>
      <c r="GZ73" s="1091"/>
      <c r="HA73" s="1147">
        <f>IF(NOW()&gt;=DATE(YEAR(GU$2),MONTH(GU$2)+1,DAY(GU$2)),SUMIFS(AC_SOTIEN,AC_THANG,GU$2,AC_KM,$E73),SUMIFS(TF_SOTIEN,TF_THANG,GU$2,TF_KM,$E73))/ 1000</f>
        <v>0</v>
      </c>
      <c r="HB73" s="1091" t="str">
        <f t="shared" si="615"/>
        <v/>
      </c>
      <c r="HC73" s="1091" t="str">
        <f t="shared" si="758"/>
        <v/>
      </c>
      <c r="HD73" s="1147">
        <f t="shared" si="125"/>
        <v>-416</v>
      </c>
      <c r="HE73" s="1091">
        <f t="shared" si="126"/>
        <v>-1</v>
      </c>
      <c r="HF73" s="1147">
        <f t="shared" si="127"/>
        <v>-416</v>
      </c>
      <c r="HG73" s="1091">
        <f t="shared" si="128"/>
        <v>-1</v>
      </c>
      <c r="HH73" s="1146">
        <f t="shared" si="699"/>
        <v>1248</v>
      </c>
      <c r="HI73" s="1091" t="str">
        <f t="shared" si="616"/>
        <v/>
      </c>
      <c r="HJ73" s="1091">
        <f t="shared" si="759"/>
        <v>0.02209827357</v>
      </c>
      <c r="HK73" s="1147">
        <f t="shared" si="270"/>
        <v>1248</v>
      </c>
      <c r="HL73" s="1091" t="str">
        <f t="shared" si="617"/>
        <v/>
      </c>
      <c r="HM73" s="1091">
        <f t="shared" si="760"/>
        <v>0.02209827357</v>
      </c>
      <c r="HN73" s="1147">
        <f t="shared" si="273"/>
        <v>0</v>
      </c>
      <c r="HO73" s="1091" t="str">
        <f t="shared" si="618"/>
        <v/>
      </c>
      <c r="HP73" s="1091" t="str">
        <f t="shared" si="761"/>
        <v/>
      </c>
      <c r="HQ73" s="1147">
        <f t="shared" si="135"/>
        <v>-1248</v>
      </c>
      <c r="HR73" s="1091">
        <f t="shared" si="136"/>
        <v>-1</v>
      </c>
      <c r="HS73" s="1147">
        <f t="shared" si="137"/>
        <v>-1248</v>
      </c>
      <c r="HT73" s="1091">
        <f t="shared" si="138"/>
        <v>-1</v>
      </c>
      <c r="HU73" s="1146">
        <f t="shared" si="700"/>
        <v>2496</v>
      </c>
      <c r="HV73" s="1091" t="str">
        <f t="shared" si="619"/>
        <v/>
      </c>
      <c r="HW73" s="1091">
        <f t="shared" si="762"/>
        <v>0.02209827357</v>
      </c>
      <c r="HX73" s="1147">
        <f t="shared" si="279"/>
        <v>2496</v>
      </c>
      <c r="HY73" s="1091" t="str">
        <f t="shared" si="620"/>
        <v/>
      </c>
      <c r="HZ73" s="1091">
        <f t="shared" si="763"/>
        <v>0.02209827357</v>
      </c>
      <c r="IA73" s="1147">
        <f t="shared" si="282"/>
        <v>0</v>
      </c>
      <c r="IB73" s="1091" t="str">
        <f t="shared" si="621"/>
        <v/>
      </c>
      <c r="IC73" s="1091" t="str">
        <f t="shared" si="764"/>
        <v/>
      </c>
      <c r="ID73" s="1147">
        <f t="shared" si="145"/>
        <v>-2496</v>
      </c>
      <c r="IE73" s="1091">
        <f t="shared" si="146"/>
        <v>-1</v>
      </c>
      <c r="IF73" s="1147">
        <f t="shared" si="147"/>
        <v>-2496</v>
      </c>
      <c r="IG73" s="1091">
        <f t="shared" si="148"/>
        <v>-1</v>
      </c>
      <c r="IH73" s="1146">
        <f t="shared" si="701"/>
        <v>4992</v>
      </c>
      <c r="II73" s="1091" t="str">
        <f t="shared" si="622"/>
        <v/>
      </c>
      <c r="IJ73" s="1091">
        <f t="shared" si="765"/>
        <v>0.02180865007</v>
      </c>
      <c r="IK73" s="1147">
        <f t="shared" si="288"/>
        <v>3744</v>
      </c>
      <c r="IL73" s="1091" t="str">
        <f t="shared" si="623"/>
        <v/>
      </c>
      <c r="IM73" s="1091">
        <f t="shared" si="766"/>
        <v>0.01738021889</v>
      </c>
      <c r="IN73" s="1147">
        <f t="shared" si="291"/>
        <v>0</v>
      </c>
      <c r="IO73" s="1091">
        <f t="shared" si="624"/>
        <v>0</v>
      </c>
      <c r="IP73" s="1091">
        <f t="shared" si="767"/>
        <v>0</v>
      </c>
      <c r="IQ73" s="1147">
        <f t="shared" si="155"/>
        <v>-4992</v>
      </c>
      <c r="IR73" s="1091">
        <f t="shared" si="1"/>
        <v>-1</v>
      </c>
      <c r="IS73" s="1147">
        <f t="shared" si="156"/>
        <v>-3744</v>
      </c>
      <c r="IT73" s="1091">
        <f t="shared" si="2"/>
        <v>-1</v>
      </c>
    </row>
    <row r="74" hidden="1" outlineLevel="1">
      <c r="A74" s="737"/>
      <c r="B74" s="737"/>
      <c r="C74" s="737"/>
      <c r="D74" s="737" t="s">
        <v>2859</v>
      </c>
      <c r="E74" s="737" t="s">
        <v>2236</v>
      </c>
      <c r="F74" s="737"/>
      <c r="G74" s="748">
        <v>3.0</v>
      </c>
      <c r="H74" s="1146">
        <f>SUMIFS(BP_SOTIEN,BP_THANG,H$2,BP_KM,$E74)/1000</f>
        <v>1666</v>
      </c>
      <c r="I74" s="1091" t="str">
        <f t="shared" si="566"/>
        <v/>
      </c>
      <c r="J74" s="1091"/>
      <c r="K74" s="1147">
        <f>IF(NOW()&gt;=DATE(YEAR(H$2),MONTH(H$2)+1,DAY(H$2)),SUMIFS(TF_SOTIEN,TF_THANG,H$2,TF_KM,$E74)/1000, N74)</f>
        <v>1666</v>
      </c>
      <c r="L74" s="1091" t="str">
        <f t="shared" si="567"/>
        <v/>
      </c>
      <c r="M74" s="1091"/>
      <c r="N74" s="1147">
        <f>IF(NOW()&gt;=DATE(YEAR(H$2),MONTH(H$2)+1,DAY(H$2)),SUMIFS(AC_SOTIEN,AC_THANG,H$2,AC_KM,$E74),SUMIFS(TF_SOTIEN,TF_THANG,H$2,TF_KM,$E74))/ 1000</f>
        <v>0</v>
      </c>
      <c r="O74" s="1091">
        <f t="shared" si="568"/>
        <v>0</v>
      </c>
      <c r="P74" s="1091">
        <f t="shared" si="735"/>
        <v>0</v>
      </c>
      <c r="Q74" s="1147">
        <f t="shared" si="8"/>
        <v>-1666</v>
      </c>
      <c r="R74" s="1091">
        <f t="shared" si="9"/>
        <v>-1</v>
      </c>
      <c r="S74" s="1147">
        <f t="shared" si="10"/>
        <v>-1666</v>
      </c>
      <c r="T74" s="1091">
        <f t="shared" si="11"/>
        <v>-1</v>
      </c>
      <c r="U74" s="1146">
        <f>SUMIFS(BP_SOTIEN,BP_THANG,U$2,BP_KM,$E74)/1000</f>
        <v>1666</v>
      </c>
      <c r="V74" s="1091" t="str">
        <f t="shared" si="569"/>
        <v/>
      </c>
      <c r="W74" s="1091"/>
      <c r="X74" s="1147">
        <f>IF(NOW()&gt;=DATE(YEAR(U$2),MONTH(U$2)+1,DAY(U$2)),SUMIFS(TF_SOTIEN,TF_THANG,U$2,TF_KM,$E74)/1000, AA74)</f>
        <v>0</v>
      </c>
      <c r="Y74" s="1091" t="str">
        <f t="shared" si="570"/>
        <v/>
      </c>
      <c r="Z74" s="1091"/>
      <c r="AA74" s="1147">
        <f>IF(NOW()&gt;=DATE(YEAR(U$2),MONTH(U$2)+1,DAY(U$2)),SUMIFS(AC_SOTIEN,AC_THANG,U$2,AC_KM,$E74),SUMIFS(TF_SOTIEN,TF_THANG,U$2,TF_KM,$E74))/ 1000</f>
        <v>0</v>
      </c>
      <c r="AB74" s="1091" t="str">
        <f t="shared" si="571"/>
        <v/>
      </c>
      <c r="AC74" s="1091">
        <f t="shared" si="736"/>
        <v>0</v>
      </c>
      <c r="AD74" s="1147">
        <f t="shared" si="15"/>
        <v>-1666</v>
      </c>
      <c r="AE74" s="1091">
        <f t="shared" si="16"/>
        <v>-1</v>
      </c>
      <c r="AF74" s="1147">
        <f t="shared" si="17"/>
        <v>0</v>
      </c>
      <c r="AG74" s="1091" t="str">
        <f t="shared" si="18"/>
        <v/>
      </c>
      <c r="AH74" s="1146">
        <f>SUMIFS(BP_SOTIEN,BP_THANG,AH$2,BP_KM,$E74)/1000</f>
        <v>1666</v>
      </c>
      <c r="AI74" s="1091" t="str">
        <f t="shared" si="572"/>
        <v/>
      </c>
      <c r="AJ74" s="1091"/>
      <c r="AK74" s="1147">
        <f>IF(NOW()&gt;=DATE(YEAR(AH$2),MONTH(AH$2)+1,DAY(AH$2)),SUMIFS(TF_SOTIEN,TF_THANG,AH$2,TF_KM,$E74)/1000, AN74)</f>
        <v>0</v>
      </c>
      <c r="AL74" s="1091" t="str">
        <f t="shared" si="573"/>
        <v/>
      </c>
      <c r="AM74" s="1091"/>
      <c r="AN74" s="1147">
        <f>IF(NOW()&gt;=DATE(YEAR(AH$2),MONTH(AH$2)+1,DAY(AH$2)),SUMIFS(AC_SOTIEN,AC_THANG,AH$2,AC_KM,$E74),SUMIFS(TF_SOTIEN,TF_THANG,AH$2,TF_KM,$E74))/ 1000</f>
        <v>0</v>
      </c>
      <c r="AO74" s="1091" t="str">
        <f t="shared" si="574"/>
        <v/>
      </c>
      <c r="AP74" s="1091">
        <f t="shared" si="737"/>
        <v>0</v>
      </c>
      <c r="AQ74" s="1147">
        <f t="shared" si="22"/>
        <v>-1666</v>
      </c>
      <c r="AR74" s="1091">
        <f t="shared" si="23"/>
        <v>-1</v>
      </c>
      <c r="AS74" s="1147">
        <f t="shared" si="24"/>
        <v>0</v>
      </c>
      <c r="AT74" s="1091" t="str">
        <f t="shared" si="25"/>
        <v/>
      </c>
      <c r="AU74" s="1146">
        <f t="shared" si="691"/>
        <v>4998</v>
      </c>
      <c r="AV74" s="1091" t="str">
        <f t="shared" si="575"/>
        <v/>
      </c>
      <c r="AW74" s="1091">
        <f t="shared" si="738"/>
        <v>0.08403530895</v>
      </c>
      <c r="AX74" s="1147">
        <f t="shared" si="692"/>
        <v>1666</v>
      </c>
      <c r="AY74" s="1091" t="str">
        <f t="shared" si="576"/>
        <v/>
      </c>
      <c r="AZ74" s="1091">
        <f t="shared" si="739"/>
        <v>0.03617021277</v>
      </c>
      <c r="BA74" s="1147">
        <f t="shared" si="693"/>
        <v>0</v>
      </c>
      <c r="BB74" s="1091">
        <f t="shared" si="577"/>
        <v>0</v>
      </c>
      <c r="BC74" s="1091">
        <f t="shared" si="740"/>
        <v>0</v>
      </c>
      <c r="BD74" s="1147">
        <f t="shared" si="32"/>
        <v>-4998</v>
      </c>
      <c r="BE74" s="1091">
        <f t="shared" si="33"/>
        <v>-1</v>
      </c>
      <c r="BF74" s="1147">
        <f t="shared" si="34"/>
        <v>-1666</v>
      </c>
      <c r="BG74" s="1091">
        <f t="shared" si="35"/>
        <v>-1</v>
      </c>
      <c r="BH74" s="1146">
        <f>SUMIFS(BP_SOTIEN,BP_THANG,BH$2,BP_KM,$E74)/1000</f>
        <v>1666</v>
      </c>
      <c r="BI74" s="1091" t="str">
        <f t="shared" si="578"/>
        <v/>
      </c>
      <c r="BJ74" s="1091"/>
      <c r="BK74" s="1147">
        <f>IF(NOW()&gt;=DATE(YEAR(BH$2),MONTH(BH$2)+1,DAY(BH$2)),SUMIFS(TF_SOTIEN,TF_THANG,BH$2,TF_KM,$E74)/1000, BN74)</f>
        <v>0</v>
      </c>
      <c r="BL74" s="1091" t="str">
        <f t="shared" si="579"/>
        <v/>
      </c>
      <c r="BM74" s="1091"/>
      <c r="BN74" s="1147">
        <f>IF(NOW()&gt;=DATE(YEAR(BH$2),MONTH(BH$2)+1,DAY(BH$2)),SUMIFS(AC_SOTIEN,AC_THANG,BH$2,AC_KM,$E74),SUMIFS(TF_SOTIEN,TF_THANG,BH$2,TF_KM,$E74))/ 1000</f>
        <v>0</v>
      </c>
      <c r="BO74" s="1091" t="str">
        <f t="shared" si="580"/>
        <v/>
      </c>
      <c r="BP74" s="1091">
        <f t="shared" si="741"/>
        <v>0</v>
      </c>
      <c r="BQ74" s="1147">
        <f t="shared" si="39"/>
        <v>-1666</v>
      </c>
      <c r="BR74" s="1091">
        <f t="shared" si="40"/>
        <v>-1</v>
      </c>
      <c r="BS74" s="1147">
        <f t="shared" si="41"/>
        <v>0</v>
      </c>
      <c r="BT74" s="1091" t="str">
        <f t="shared" si="42"/>
        <v/>
      </c>
      <c r="BU74" s="1146">
        <f>SUMIFS(BP_SOTIEN,BP_THANG,BU$2,BP_KM,$E74)/1000</f>
        <v>1666</v>
      </c>
      <c r="BV74" s="1091" t="str">
        <f t="shared" si="581"/>
        <v/>
      </c>
      <c r="BW74" s="1091"/>
      <c r="BX74" s="1147">
        <f>IF(NOW()&gt;=DATE(YEAR(BU$2),MONTH(BU$2)+1,DAY(BU$2)),SUMIFS(TF_SOTIEN,TF_THANG,BU$2,TF_KM,$E74)/1000, CA74)</f>
        <v>1666</v>
      </c>
      <c r="BY74" s="1091" t="str">
        <f t="shared" si="582"/>
        <v/>
      </c>
      <c r="BZ74" s="1091"/>
      <c r="CA74" s="1147">
        <f>IF(NOW()&gt;=DATE(YEAR(BU$2),MONTH(BU$2)+1,DAY(BU$2)),SUMIFS(AC_SOTIEN,AC_THANG,BU$2,AC_KM,$E74),SUMIFS(TF_SOTIEN,TF_THANG,BU$2,TF_KM,$E74))/ 1000</f>
        <v>0</v>
      </c>
      <c r="CB74" s="1091" t="str">
        <f t="shared" si="583"/>
        <v/>
      </c>
      <c r="CC74" s="1091">
        <f t="shared" si="742"/>
        <v>0</v>
      </c>
      <c r="CD74" s="1147">
        <f t="shared" si="46"/>
        <v>-1666</v>
      </c>
      <c r="CE74" s="1091">
        <f t="shared" si="47"/>
        <v>-1</v>
      </c>
      <c r="CF74" s="1147">
        <f t="shared" si="48"/>
        <v>-1666</v>
      </c>
      <c r="CG74" s="1091">
        <f t="shared" si="49"/>
        <v>-1</v>
      </c>
      <c r="CH74" s="1146">
        <f>SUMIFS(BP_SOTIEN,BP_THANG,CH$2,BP_KM,$E74)/1000</f>
        <v>1666</v>
      </c>
      <c r="CI74" s="1091" t="str">
        <f t="shared" si="584"/>
        <v/>
      </c>
      <c r="CJ74" s="1091"/>
      <c r="CK74" s="1147">
        <f>IF(NOW()&gt;=DATE(YEAR(CH$2),MONTH(CH$2)+1,DAY(CH$2)),SUMIFS(TF_SOTIEN,TF_THANG,CH$2,TF_KM,$E74)/1000, CN74)</f>
        <v>1666</v>
      </c>
      <c r="CL74" s="1091" t="str">
        <f t="shared" si="585"/>
        <v/>
      </c>
      <c r="CM74" s="1091"/>
      <c r="CN74" s="1147">
        <f>IF(NOW()&gt;=DATE(YEAR(CH$2),MONTH(CH$2)+1,DAY(CH$2)),SUMIFS(AC_SOTIEN,AC_THANG,CH$2,AC_KM,$E74),SUMIFS(TF_SOTIEN,TF_THANG,CH$2,TF_KM,$E74))/ 1000</f>
        <v>0</v>
      </c>
      <c r="CO74" s="1091" t="str">
        <f t="shared" si="586"/>
        <v/>
      </c>
      <c r="CP74" s="1091" t="str">
        <f t="shared" si="743"/>
        <v/>
      </c>
      <c r="CQ74" s="1147">
        <f t="shared" si="53"/>
        <v>-1666</v>
      </c>
      <c r="CR74" s="1091">
        <f t="shared" si="54"/>
        <v>-1</v>
      </c>
      <c r="CS74" s="1147">
        <f t="shared" si="55"/>
        <v>-1666</v>
      </c>
      <c r="CT74" s="1091">
        <f t="shared" si="56"/>
        <v>-1</v>
      </c>
      <c r="CU74" s="1146">
        <f t="shared" si="694"/>
        <v>4998</v>
      </c>
      <c r="CV74" s="1091" t="str">
        <f t="shared" si="587"/>
        <v/>
      </c>
      <c r="CW74" s="1091">
        <f t="shared" si="744"/>
        <v>0.08849933599</v>
      </c>
      <c r="CX74" s="1147">
        <f t="shared" si="695"/>
        <v>3332</v>
      </c>
      <c r="CY74" s="1091" t="str">
        <f t="shared" si="589"/>
        <v/>
      </c>
      <c r="CZ74" s="1091">
        <f t="shared" si="745"/>
        <v>0.05907035808</v>
      </c>
      <c r="DA74" s="1147">
        <f t="shared" si="696"/>
        <v>0</v>
      </c>
      <c r="DB74" s="1091" t="str">
        <f t="shared" si="591"/>
        <v/>
      </c>
      <c r="DC74" s="1091">
        <f t="shared" si="746"/>
        <v>0</v>
      </c>
      <c r="DD74" s="1147">
        <f t="shared" si="63"/>
        <v>-4998</v>
      </c>
      <c r="DE74" s="1091">
        <f t="shared" si="64"/>
        <v>-1</v>
      </c>
      <c r="DF74" s="1147">
        <f t="shared" si="65"/>
        <v>-3332</v>
      </c>
      <c r="DG74" s="1091">
        <f t="shared" si="66"/>
        <v>-1</v>
      </c>
      <c r="DH74" s="1146">
        <f t="shared" si="697"/>
        <v>9996</v>
      </c>
      <c r="DI74" s="1091" t="str">
        <f t="shared" si="592"/>
        <v/>
      </c>
      <c r="DJ74" s="1091">
        <f t="shared" si="747"/>
        <v>0.08620957309</v>
      </c>
      <c r="DK74" s="1147">
        <f t="shared" si="216"/>
        <v>4998</v>
      </c>
      <c r="DL74" s="1091" t="str">
        <f t="shared" si="593"/>
        <v/>
      </c>
      <c r="DM74" s="1091">
        <f t="shared" si="748"/>
        <v>0.04877653175</v>
      </c>
      <c r="DN74" s="1147">
        <f t="shared" si="219"/>
        <v>0</v>
      </c>
      <c r="DO74" s="1091">
        <f t="shared" si="594"/>
        <v>0</v>
      </c>
      <c r="DP74" s="1091">
        <f t="shared" si="749"/>
        <v>0</v>
      </c>
      <c r="DQ74" s="1147">
        <f t="shared" si="73"/>
        <v>-9996</v>
      </c>
      <c r="DR74" s="1091">
        <f t="shared" si="74"/>
        <v>-1</v>
      </c>
      <c r="DS74" s="1147">
        <f t="shared" si="75"/>
        <v>-4998</v>
      </c>
      <c r="DT74" s="1091">
        <f t="shared" si="76"/>
        <v>-1</v>
      </c>
      <c r="DU74" s="1146">
        <f>SUMIFS(BP_SOTIEN,BP_THANG,DU$2,BP_KM,$E74)/1000</f>
        <v>1666</v>
      </c>
      <c r="DV74" s="1091" t="str">
        <f t="shared" si="595"/>
        <v/>
      </c>
      <c r="DW74" s="1091"/>
      <c r="DX74" s="1147">
        <f>IF(NOW()&gt;=DATE(YEAR(DU$2),MONTH(DU$2)+1,DAY(DU$2)),SUMIFS(TF_SOTIEN,TF_THANG,DU$2,TF_KM,$E74)/1000, EA74)</f>
        <v>1666</v>
      </c>
      <c r="DY74" s="1091" t="str">
        <f t="shared" si="596"/>
        <v/>
      </c>
      <c r="DZ74" s="1091"/>
      <c r="EA74" s="1147">
        <f>IF(NOW()&gt;=DATE(YEAR(DU$2),MONTH(DU$2)+1,DAY(DU$2)),SUMIFS(AC_SOTIEN,AC_THANG,DU$2,AC_KM,$E74),SUMIFS(TF_SOTIEN,TF_THANG,DU$2,TF_KM,$E74))/ 1000</f>
        <v>0</v>
      </c>
      <c r="EB74" s="1091" t="str">
        <f t="shared" si="597"/>
        <v/>
      </c>
      <c r="EC74" s="1091" t="str">
        <f t="shared" si="750"/>
        <v/>
      </c>
      <c r="ED74" s="1147">
        <f t="shared" si="80"/>
        <v>-1666</v>
      </c>
      <c r="EE74" s="1091">
        <f t="shared" si="81"/>
        <v>-1</v>
      </c>
      <c r="EF74" s="1147">
        <f t="shared" si="82"/>
        <v>-1666</v>
      </c>
      <c r="EG74" s="1091">
        <f t="shared" si="83"/>
        <v>-1</v>
      </c>
      <c r="EH74" s="1146">
        <f>SUMIFS(BP_SOTIEN,BP_THANG,EH$2,BP_KM,$E74)/1000</f>
        <v>1666</v>
      </c>
      <c r="EI74" s="1091" t="str">
        <f t="shared" si="598"/>
        <v/>
      </c>
      <c r="EJ74" s="1091"/>
      <c r="EK74" s="1147">
        <f>IF(NOW()&gt;=DATE(YEAR(EH$2),MONTH(EH$2)+1,DAY(EH$2)),SUMIFS(TF_SOTIEN,TF_THANG,EH$2,TF_KM,$E74)/1000, EN74)</f>
        <v>1666</v>
      </c>
      <c r="EL74" s="1091" t="str">
        <f t="shared" si="599"/>
        <v/>
      </c>
      <c r="EM74" s="1091"/>
      <c r="EN74" s="1147">
        <f>IF(NOW()&gt;=DATE(YEAR(EH$2),MONTH(EH$2)+1,DAY(EH$2)),SUMIFS(AC_SOTIEN,AC_THANG,EH$2,AC_KM,$E74),SUMIFS(TF_SOTIEN,TF_THANG,EH$2,TF_KM,$E74))/ 1000</f>
        <v>0</v>
      </c>
      <c r="EO74" s="1091" t="str">
        <f t="shared" si="600"/>
        <v/>
      </c>
      <c r="EP74" s="1091" t="str">
        <f t="shared" si="751"/>
        <v/>
      </c>
      <c r="EQ74" s="1147">
        <f t="shared" si="87"/>
        <v>-1666</v>
      </c>
      <c r="ER74" s="1091">
        <f t="shared" si="88"/>
        <v>-1</v>
      </c>
      <c r="ES74" s="1147">
        <f t="shared" si="89"/>
        <v>-1666</v>
      </c>
      <c r="ET74" s="1091">
        <f t="shared" si="90"/>
        <v>-1</v>
      </c>
      <c r="EU74" s="1146">
        <f>SUMIFS(BP_SOTIEN,BP_THANG,EU$2,BP_KM,$E74)/1000</f>
        <v>1666</v>
      </c>
      <c r="EV74" s="1091" t="str">
        <f t="shared" si="601"/>
        <v/>
      </c>
      <c r="EW74" s="1091"/>
      <c r="EX74" s="1147">
        <f>IF(NOW()&gt;=DATE(YEAR(EU$2),MONTH(EU$2)+1,DAY(EU$2)),SUMIFS(TF_SOTIEN,TF_THANG,EU$2,TF_KM,$E74)/1000, FA74)</f>
        <v>1666</v>
      </c>
      <c r="EY74" s="1091" t="str">
        <f t="shared" si="602"/>
        <v/>
      </c>
      <c r="EZ74" s="1091"/>
      <c r="FA74" s="1147">
        <f>IF(NOW()&gt;=DATE(YEAR(EU$2),MONTH(EU$2)+1,DAY(EU$2)),SUMIFS(AC_SOTIEN,AC_THANG,EU$2,AC_KM,$E74),SUMIFS(TF_SOTIEN,TF_THANG,EU$2,TF_KM,$E74))/ 1000</f>
        <v>0</v>
      </c>
      <c r="FB74" s="1091" t="str">
        <f t="shared" si="603"/>
        <v/>
      </c>
      <c r="FC74" s="1091" t="str">
        <f t="shared" si="752"/>
        <v/>
      </c>
      <c r="FD74" s="1147">
        <f t="shared" si="94"/>
        <v>-1666</v>
      </c>
      <c r="FE74" s="1091">
        <f t="shared" si="95"/>
        <v>-1</v>
      </c>
      <c r="FF74" s="1147">
        <f t="shared" si="96"/>
        <v>-1666</v>
      </c>
      <c r="FG74" s="1091">
        <f t="shared" si="97"/>
        <v>-1</v>
      </c>
      <c r="FH74" s="1146">
        <f t="shared" si="698"/>
        <v>4998</v>
      </c>
      <c r="FI74" s="1091" t="str">
        <f t="shared" si="604"/>
        <v/>
      </c>
      <c r="FJ74" s="1091">
        <f t="shared" si="753"/>
        <v>0.08849933599</v>
      </c>
      <c r="FK74" s="1147">
        <f t="shared" si="243"/>
        <v>4998</v>
      </c>
      <c r="FL74" s="1091" t="str">
        <f t="shared" si="605"/>
        <v/>
      </c>
      <c r="FM74" s="1091">
        <f t="shared" si="754"/>
        <v>0.08849933599</v>
      </c>
      <c r="FN74" s="1147">
        <f t="shared" si="246"/>
        <v>0</v>
      </c>
      <c r="FO74" s="1091" t="str">
        <f t="shared" si="606"/>
        <v/>
      </c>
      <c r="FP74" s="1091" t="str">
        <f t="shared" si="755"/>
        <v/>
      </c>
      <c r="FQ74" s="1147">
        <f t="shared" si="104"/>
        <v>-4998</v>
      </c>
      <c r="FR74" s="1091">
        <f t="shared" si="105"/>
        <v>-1</v>
      </c>
      <c r="FS74" s="1147">
        <f t="shared" si="106"/>
        <v>-4998</v>
      </c>
      <c r="FT74" s="1091">
        <f t="shared" si="107"/>
        <v>-1</v>
      </c>
      <c r="FU74" s="1146">
        <f>SUMIFS(BP_SOTIEN,BP_THANG,FU$2,BP_KM,$E74)/1000</f>
        <v>1666</v>
      </c>
      <c r="FV74" s="1091" t="str">
        <f t="shared" si="607"/>
        <v/>
      </c>
      <c r="FW74" s="1091"/>
      <c r="FX74" s="1147">
        <f>IF(NOW()&gt;=DATE(YEAR(FU$2),MONTH(FU$2)+1,DAY(FU$2)),SUMIFS(TF_SOTIEN,TF_THANG,FU$2,TF_KM,$E74)/1000, GA74)</f>
        <v>1666</v>
      </c>
      <c r="FY74" s="1091" t="str">
        <f t="shared" si="608"/>
        <v/>
      </c>
      <c r="FZ74" s="1091"/>
      <c r="GA74" s="1147">
        <f>IF(NOW()&gt;=DATE(YEAR(FU$2),MONTH(FU$2)+1,DAY(FU$2)),SUMIFS(AC_SOTIEN,AC_THANG,FU$2,AC_KM,$E74),SUMIFS(TF_SOTIEN,TF_THANG,FU$2,TF_KM,$E74))/ 1000</f>
        <v>0</v>
      </c>
      <c r="GB74" s="1091" t="str">
        <f t="shared" si="609"/>
        <v/>
      </c>
      <c r="GC74" s="1091" t="str">
        <f t="shared" si="756"/>
        <v/>
      </c>
      <c r="GD74" s="1147">
        <f t="shared" si="111"/>
        <v>-1666</v>
      </c>
      <c r="GE74" s="1091">
        <f t="shared" si="112"/>
        <v>-1</v>
      </c>
      <c r="GF74" s="1147">
        <f t="shared" si="113"/>
        <v>-1666</v>
      </c>
      <c r="GG74" s="1091">
        <f t="shared" si="114"/>
        <v>-1</v>
      </c>
      <c r="GH74" s="1146">
        <f>SUMIFS(BP_SOTIEN,BP_THANG,GH$2,BP_KM,$E74)/1000</f>
        <v>1666</v>
      </c>
      <c r="GI74" s="1091" t="str">
        <f t="shared" si="610"/>
        <v/>
      </c>
      <c r="GJ74" s="1091"/>
      <c r="GK74" s="1147">
        <f>IF(NOW()&gt;=DATE(YEAR(GH$2),MONTH(GH$2)+1,DAY(GH$2)),SUMIFS(TF_SOTIEN,TF_THANG,GH$2,TF_KM,$E74)/1000, GN74)</f>
        <v>1666</v>
      </c>
      <c r="GL74" s="1091" t="str">
        <f t="shared" si="611"/>
        <v/>
      </c>
      <c r="GM74" s="1091"/>
      <c r="GN74" s="1147">
        <f>IF(NOW()&gt;=DATE(YEAR(GH$2),MONTH(GH$2)+1,DAY(GH$2)),SUMIFS(AC_SOTIEN,AC_THANG,GH$2,AC_KM,$E74),SUMIFS(TF_SOTIEN,TF_THANG,GH$2,TF_KM,$E74))/ 1000</f>
        <v>0</v>
      </c>
      <c r="GO74" s="1091" t="str">
        <f t="shared" si="612"/>
        <v/>
      </c>
      <c r="GP74" s="1091" t="str">
        <f t="shared" si="757"/>
        <v/>
      </c>
      <c r="GQ74" s="1147">
        <f t="shared" si="118"/>
        <v>-1666</v>
      </c>
      <c r="GR74" s="1091">
        <f t="shared" si="119"/>
        <v>-1</v>
      </c>
      <c r="GS74" s="1147">
        <f t="shared" si="120"/>
        <v>-1666</v>
      </c>
      <c r="GT74" s="1091">
        <f t="shared" si="121"/>
        <v>-1</v>
      </c>
      <c r="GU74" s="1146">
        <f>SUMIFS(BP_SOTIEN,BP_THANG,GU$2,BP_KM,$E74)/1000</f>
        <v>1666</v>
      </c>
      <c r="GV74" s="1091" t="str">
        <f t="shared" si="613"/>
        <v/>
      </c>
      <c r="GW74" s="1091"/>
      <c r="GX74" s="1147">
        <f>IF(NOW()&gt;=DATE(YEAR(GU$2),MONTH(GU$2)+1,DAY(GU$2)),SUMIFS(TF_SOTIEN,TF_THANG,GU$2,TF_KM,$E74)/1000, HA74)</f>
        <v>1666</v>
      </c>
      <c r="GY74" s="1091" t="str">
        <f t="shared" si="614"/>
        <v/>
      </c>
      <c r="GZ74" s="1091"/>
      <c r="HA74" s="1147">
        <f>IF(NOW()&gt;=DATE(YEAR(GU$2),MONTH(GU$2)+1,DAY(GU$2)),SUMIFS(AC_SOTIEN,AC_THANG,GU$2,AC_KM,$E74),SUMIFS(TF_SOTIEN,TF_THANG,GU$2,TF_KM,$E74))/ 1000</f>
        <v>0</v>
      </c>
      <c r="HB74" s="1091" t="str">
        <f t="shared" si="615"/>
        <v/>
      </c>
      <c r="HC74" s="1091" t="str">
        <f t="shared" si="758"/>
        <v/>
      </c>
      <c r="HD74" s="1147">
        <f t="shared" si="125"/>
        <v>-1666</v>
      </c>
      <c r="HE74" s="1091">
        <f t="shared" si="126"/>
        <v>-1</v>
      </c>
      <c r="HF74" s="1147">
        <f t="shared" si="127"/>
        <v>-1666</v>
      </c>
      <c r="HG74" s="1091">
        <f t="shared" si="128"/>
        <v>-1</v>
      </c>
      <c r="HH74" s="1146">
        <f t="shared" si="699"/>
        <v>4998</v>
      </c>
      <c r="HI74" s="1091" t="str">
        <f t="shared" si="616"/>
        <v/>
      </c>
      <c r="HJ74" s="1091">
        <f t="shared" si="759"/>
        <v>0.08849933599</v>
      </c>
      <c r="HK74" s="1147">
        <f t="shared" si="270"/>
        <v>4998</v>
      </c>
      <c r="HL74" s="1091" t="str">
        <f t="shared" si="617"/>
        <v/>
      </c>
      <c r="HM74" s="1091">
        <f t="shared" si="760"/>
        <v>0.08849933599</v>
      </c>
      <c r="HN74" s="1147">
        <f t="shared" si="273"/>
        <v>0</v>
      </c>
      <c r="HO74" s="1091" t="str">
        <f t="shared" si="618"/>
        <v/>
      </c>
      <c r="HP74" s="1091" t="str">
        <f t="shared" si="761"/>
        <v/>
      </c>
      <c r="HQ74" s="1147">
        <f t="shared" si="135"/>
        <v>-4998</v>
      </c>
      <c r="HR74" s="1091">
        <f t="shared" si="136"/>
        <v>-1</v>
      </c>
      <c r="HS74" s="1147">
        <f t="shared" si="137"/>
        <v>-4998</v>
      </c>
      <c r="HT74" s="1091">
        <f t="shared" si="138"/>
        <v>-1</v>
      </c>
      <c r="HU74" s="1146">
        <f t="shared" si="700"/>
        <v>9996</v>
      </c>
      <c r="HV74" s="1091" t="str">
        <f t="shared" si="619"/>
        <v/>
      </c>
      <c r="HW74" s="1091">
        <f t="shared" si="762"/>
        <v>0.08849933599</v>
      </c>
      <c r="HX74" s="1147">
        <f t="shared" si="279"/>
        <v>9996</v>
      </c>
      <c r="HY74" s="1091" t="str">
        <f t="shared" si="620"/>
        <v/>
      </c>
      <c r="HZ74" s="1091">
        <f t="shared" si="763"/>
        <v>0.08849933599</v>
      </c>
      <c r="IA74" s="1147">
        <f t="shared" si="282"/>
        <v>0</v>
      </c>
      <c r="IB74" s="1091" t="str">
        <f t="shared" si="621"/>
        <v/>
      </c>
      <c r="IC74" s="1091" t="str">
        <f t="shared" si="764"/>
        <v/>
      </c>
      <c r="ID74" s="1147">
        <f t="shared" si="145"/>
        <v>-9996</v>
      </c>
      <c r="IE74" s="1091">
        <f t="shared" si="146"/>
        <v>-1</v>
      </c>
      <c r="IF74" s="1147">
        <f t="shared" si="147"/>
        <v>-9996</v>
      </c>
      <c r="IG74" s="1091">
        <f t="shared" si="148"/>
        <v>-1</v>
      </c>
      <c r="IH74" s="1146">
        <f t="shared" si="701"/>
        <v>19992</v>
      </c>
      <c r="II74" s="1091" t="str">
        <f t="shared" si="622"/>
        <v/>
      </c>
      <c r="IJ74" s="1091">
        <f t="shared" si="765"/>
        <v>0.08733944954</v>
      </c>
      <c r="IK74" s="1147">
        <f t="shared" si="288"/>
        <v>14994</v>
      </c>
      <c r="IL74" s="1091" t="str">
        <f t="shared" si="623"/>
        <v/>
      </c>
      <c r="IM74" s="1091">
        <f t="shared" si="766"/>
        <v>0.0696044343</v>
      </c>
      <c r="IN74" s="1147">
        <f t="shared" si="291"/>
        <v>0</v>
      </c>
      <c r="IO74" s="1091">
        <f t="shared" si="624"/>
        <v>0</v>
      </c>
      <c r="IP74" s="1091">
        <f t="shared" si="767"/>
        <v>0</v>
      </c>
      <c r="IQ74" s="1147">
        <f t="shared" si="155"/>
        <v>-19992</v>
      </c>
      <c r="IR74" s="1091">
        <f t="shared" si="1"/>
        <v>-1</v>
      </c>
      <c r="IS74" s="1147">
        <f t="shared" si="156"/>
        <v>-14994</v>
      </c>
      <c r="IT74" s="1091">
        <f t="shared" si="2"/>
        <v>-1</v>
      </c>
    </row>
    <row r="75" hidden="1" outlineLevel="1">
      <c r="A75" s="737"/>
      <c r="B75" s="737"/>
      <c r="C75" s="737"/>
      <c r="D75" s="737" t="s">
        <v>2860</v>
      </c>
      <c r="E75" s="737" t="s">
        <v>413</v>
      </c>
      <c r="F75" s="737"/>
      <c r="G75" s="748">
        <v>3.0</v>
      </c>
      <c r="H75" s="1146">
        <f>SUMIFS(BP_SOTIEN,BP_THANG,H$2,BP_KM,$E75)/1000</f>
        <v>0</v>
      </c>
      <c r="I75" s="1091" t="str">
        <f t="shared" si="566"/>
        <v/>
      </c>
      <c r="J75" s="1091"/>
      <c r="K75" s="1147">
        <f>IF(NOW()&gt;=DATE(YEAR(H$2),MONTH(H$2)+1,DAY(H$2)),SUMIFS(TF_SOTIEN,TF_THANG,H$2,TF_KM,$E75)/1000, N75)</f>
        <v>0</v>
      </c>
      <c r="L75" s="1091" t="str">
        <f t="shared" si="567"/>
        <v/>
      </c>
      <c r="M75" s="1091"/>
      <c r="N75" s="1147">
        <f>IF(NOW()&gt;=DATE(YEAR(H$2),MONTH(H$2)+1,DAY(H$2)),SUMIFS(AC_SOTIEN,AC_THANG,H$2,AC_KM,$E75),SUMIFS(TF_SOTIEN,TF_THANG,H$2,TF_KM,$E75))/ 1000</f>
        <v>0</v>
      </c>
      <c r="O75" s="1091">
        <f t="shared" si="568"/>
        <v>0</v>
      </c>
      <c r="P75" s="1091">
        <f t="shared" si="735"/>
        <v>0</v>
      </c>
      <c r="Q75" s="1147">
        <f t="shared" si="8"/>
        <v>0</v>
      </c>
      <c r="R75" s="1091" t="str">
        <f t="shared" si="9"/>
        <v/>
      </c>
      <c r="S75" s="1147">
        <f t="shared" si="10"/>
        <v>0</v>
      </c>
      <c r="T75" s="1091" t="str">
        <f t="shared" si="11"/>
        <v/>
      </c>
      <c r="U75" s="1146">
        <f>SUMIFS(BP_SOTIEN,BP_THANG,U$2,BP_KM,$E75)/1000</f>
        <v>0</v>
      </c>
      <c r="V75" s="1091" t="str">
        <f t="shared" si="569"/>
        <v/>
      </c>
      <c r="W75" s="1091"/>
      <c r="X75" s="1147">
        <f>IF(NOW()&gt;=DATE(YEAR(U$2),MONTH(U$2)+1,DAY(U$2)),SUMIFS(TF_SOTIEN,TF_THANG,U$2,TF_KM,$E75)/1000, AA75)</f>
        <v>1830</v>
      </c>
      <c r="Y75" s="1091" t="str">
        <f t="shared" si="570"/>
        <v/>
      </c>
      <c r="Z75" s="1091"/>
      <c r="AA75" s="1147">
        <f>IF(NOW()&gt;=DATE(YEAR(U$2),MONTH(U$2)+1,DAY(U$2)),SUMIFS(AC_SOTIEN,AC_THANG,U$2,AC_KM,$E75),SUMIFS(TF_SOTIEN,TF_THANG,U$2,TF_KM,$E75))/ 1000</f>
        <v>1830</v>
      </c>
      <c r="AB75" s="1091" t="str">
        <f t="shared" si="571"/>
        <v/>
      </c>
      <c r="AC75" s="1091">
        <f t="shared" si="736"/>
        <v>0.1771650513</v>
      </c>
      <c r="AD75" s="1147">
        <f t="shared" si="15"/>
        <v>1830</v>
      </c>
      <c r="AE75" s="1091" t="str">
        <f t="shared" si="16"/>
        <v/>
      </c>
      <c r="AF75" s="1147">
        <f t="shared" si="17"/>
        <v>0</v>
      </c>
      <c r="AG75" s="1091">
        <f t="shared" si="18"/>
        <v>0</v>
      </c>
      <c r="AH75" s="1146">
        <f>SUMIFS(BP_SOTIEN,BP_THANG,AH$2,BP_KM,$E75)/1000</f>
        <v>0</v>
      </c>
      <c r="AI75" s="1091" t="str">
        <f t="shared" si="572"/>
        <v/>
      </c>
      <c r="AJ75" s="1091"/>
      <c r="AK75" s="1147">
        <f>IF(NOW()&gt;=DATE(YEAR(AH$2),MONTH(AH$2)+1,DAY(AH$2)),SUMIFS(TF_SOTIEN,TF_THANG,AH$2,TF_KM,$E75)/1000, AN75)</f>
        <v>1830</v>
      </c>
      <c r="AL75" s="1091" t="str">
        <f t="shared" si="573"/>
        <v/>
      </c>
      <c r="AM75" s="1091"/>
      <c r="AN75" s="1147">
        <f>IF(NOW()&gt;=DATE(YEAR(AH$2),MONTH(AH$2)+1,DAY(AH$2)),SUMIFS(AC_SOTIEN,AC_THANG,AH$2,AC_KM,$E75),SUMIFS(TF_SOTIEN,TF_THANG,AH$2,TF_KM,$E75))/ 1000</f>
        <v>500.001</v>
      </c>
      <c r="AO75" s="1091" t="str">
        <f t="shared" si="574"/>
        <v/>
      </c>
      <c r="AP75" s="1091">
        <f t="shared" si="737"/>
        <v>0.02773614283</v>
      </c>
      <c r="AQ75" s="1147">
        <f t="shared" si="22"/>
        <v>500.001</v>
      </c>
      <c r="AR75" s="1091" t="str">
        <f t="shared" si="23"/>
        <v/>
      </c>
      <c r="AS75" s="1147">
        <f t="shared" si="24"/>
        <v>-1329.999</v>
      </c>
      <c r="AT75" s="1091">
        <f t="shared" si="25"/>
        <v>-0.7267754098</v>
      </c>
      <c r="AU75" s="1146">
        <f t="shared" si="691"/>
        <v>0</v>
      </c>
      <c r="AV75" s="1091" t="str">
        <f t="shared" si="575"/>
        <v/>
      </c>
      <c r="AW75" s="1091">
        <f t="shared" si="738"/>
        <v>0</v>
      </c>
      <c r="AX75" s="1147">
        <f t="shared" si="692"/>
        <v>3660</v>
      </c>
      <c r="AY75" s="1091" t="str">
        <f t="shared" si="576"/>
        <v/>
      </c>
      <c r="AZ75" s="1091">
        <f t="shared" si="739"/>
        <v>0.07946157186</v>
      </c>
      <c r="BA75" s="1147">
        <f t="shared" si="693"/>
        <v>2330.001</v>
      </c>
      <c r="BB75" s="1091">
        <f t="shared" si="577"/>
        <v>0.006852944118</v>
      </c>
      <c r="BC75" s="1091">
        <f t="shared" si="740"/>
        <v>0.06047521507</v>
      </c>
      <c r="BD75" s="1147">
        <f t="shared" si="32"/>
        <v>2330.001</v>
      </c>
      <c r="BE75" s="1091" t="str">
        <f t="shared" si="33"/>
        <v/>
      </c>
      <c r="BF75" s="1147">
        <f t="shared" si="34"/>
        <v>-1329.999</v>
      </c>
      <c r="BG75" s="1091">
        <f t="shared" si="35"/>
        <v>-0.3633877049</v>
      </c>
      <c r="BH75" s="1146">
        <f>SUMIFS(BP_SOTIEN,BP_THANG,BH$2,BP_KM,$E75)/1000</f>
        <v>0</v>
      </c>
      <c r="BI75" s="1091" t="str">
        <f t="shared" si="578"/>
        <v/>
      </c>
      <c r="BJ75" s="1091"/>
      <c r="BK75" s="1147">
        <f>IF(NOW()&gt;=DATE(YEAR(BH$2),MONTH(BH$2)+1,DAY(BH$2)),SUMIFS(TF_SOTIEN,TF_THANG,BH$2,TF_KM,$E75)/1000, BN75)</f>
        <v>1830</v>
      </c>
      <c r="BL75" s="1091" t="str">
        <f t="shared" si="579"/>
        <v/>
      </c>
      <c r="BM75" s="1091"/>
      <c r="BN75" s="1147">
        <f>IF(NOW()&gt;=DATE(YEAR(BH$2),MONTH(BH$2)+1,DAY(BH$2)),SUMIFS(AC_SOTIEN,AC_THANG,BH$2,AC_KM,$E75),SUMIFS(TF_SOTIEN,TF_THANG,BH$2,TF_KM,$E75))/ 1000</f>
        <v>0</v>
      </c>
      <c r="BO75" s="1091" t="str">
        <f t="shared" si="580"/>
        <v/>
      </c>
      <c r="BP75" s="1091">
        <f t="shared" si="741"/>
        <v>0</v>
      </c>
      <c r="BQ75" s="1147">
        <f t="shared" si="39"/>
        <v>0</v>
      </c>
      <c r="BR75" s="1091" t="str">
        <f t="shared" si="40"/>
        <v/>
      </c>
      <c r="BS75" s="1147">
        <f t="shared" si="41"/>
        <v>-1830</v>
      </c>
      <c r="BT75" s="1091">
        <f t="shared" si="42"/>
        <v>-1</v>
      </c>
      <c r="BU75" s="1146">
        <f>SUMIFS(BP_SOTIEN,BP_THANG,BU$2,BP_KM,$E75)/1000</f>
        <v>0</v>
      </c>
      <c r="BV75" s="1091" t="str">
        <f t="shared" si="581"/>
        <v/>
      </c>
      <c r="BW75" s="1091"/>
      <c r="BX75" s="1147">
        <f>IF(NOW()&gt;=DATE(YEAR(BU$2),MONTH(BU$2)+1,DAY(BU$2)),SUMIFS(TF_SOTIEN,TF_THANG,BU$2,TF_KM,$E75)/1000, CA75)</f>
        <v>0</v>
      </c>
      <c r="BY75" s="1091" t="str">
        <f t="shared" si="582"/>
        <v/>
      </c>
      <c r="BZ75" s="1091"/>
      <c r="CA75" s="1147">
        <f>IF(NOW()&gt;=DATE(YEAR(BU$2),MONTH(BU$2)+1,DAY(BU$2)),SUMIFS(AC_SOTIEN,AC_THANG,BU$2,AC_KM,$E75),SUMIFS(TF_SOTIEN,TF_THANG,BU$2,TF_KM,$E75))/ 1000</f>
        <v>3050</v>
      </c>
      <c r="CB75" s="1091" t="str">
        <f t="shared" si="583"/>
        <v/>
      </c>
      <c r="CC75" s="1091">
        <f t="shared" si="742"/>
        <v>0.1685769754</v>
      </c>
      <c r="CD75" s="1147">
        <f t="shared" si="46"/>
        <v>3050</v>
      </c>
      <c r="CE75" s="1091" t="str">
        <f t="shared" si="47"/>
        <v/>
      </c>
      <c r="CF75" s="1147">
        <f t="shared" si="48"/>
        <v>3050</v>
      </c>
      <c r="CG75" s="1091" t="str">
        <f t="shared" si="49"/>
        <v/>
      </c>
      <c r="CH75" s="1146">
        <f>SUMIFS(BP_SOTIEN,BP_THANG,CH$2,BP_KM,$E75)/1000</f>
        <v>0</v>
      </c>
      <c r="CI75" s="1091" t="str">
        <f t="shared" si="584"/>
        <v/>
      </c>
      <c r="CJ75" s="1091"/>
      <c r="CK75" s="1147">
        <f>IF(NOW()&gt;=DATE(YEAR(CH$2),MONTH(CH$2)+1,DAY(CH$2)),SUMIFS(TF_SOTIEN,TF_THANG,CH$2,TF_KM,$E75)/1000, CN75)</f>
        <v>0</v>
      </c>
      <c r="CL75" s="1091" t="str">
        <f t="shared" si="585"/>
        <v/>
      </c>
      <c r="CM75" s="1091"/>
      <c r="CN75" s="1147">
        <f>IF(NOW()&gt;=DATE(YEAR(CH$2),MONTH(CH$2)+1,DAY(CH$2)),SUMIFS(AC_SOTIEN,AC_THANG,CH$2,AC_KM,$E75),SUMIFS(TF_SOTIEN,TF_THANG,CH$2,TF_KM,$E75))/ 1000</f>
        <v>0</v>
      </c>
      <c r="CO75" s="1091" t="str">
        <f t="shared" si="586"/>
        <v/>
      </c>
      <c r="CP75" s="1091" t="str">
        <f t="shared" si="743"/>
        <v/>
      </c>
      <c r="CQ75" s="1147">
        <f t="shared" si="53"/>
        <v>0</v>
      </c>
      <c r="CR75" s="1091" t="str">
        <f t="shared" si="54"/>
        <v/>
      </c>
      <c r="CS75" s="1147">
        <f t="shared" si="55"/>
        <v>0</v>
      </c>
      <c r="CT75" s="1091" t="str">
        <f t="shared" si="56"/>
        <v/>
      </c>
      <c r="CU75" s="1146">
        <f t="shared" si="694"/>
        <v>0</v>
      </c>
      <c r="CV75" s="1091" t="str">
        <f t="shared" si="587"/>
        <v/>
      </c>
      <c r="CW75" s="1091">
        <f t="shared" si="744"/>
        <v>0</v>
      </c>
      <c r="CX75" s="1147">
        <f t="shared" si="695"/>
        <v>1830</v>
      </c>
      <c r="CY75" s="1091" t="str">
        <f t="shared" si="589"/>
        <v/>
      </c>
      <c r="CZ75" s="1091">
        <f t="shared" si="745"/>
        <v>0.03244260363</v>
      </c>
      <c r="DA75" s="1147">
        <f t="shared" si="696"/>
        <v>3050</v>
      </c>
      <c r="DB75" s="1091" t="str">
        <f t="shared" si="591"/>
        <v/>
      </c>
      <c r="DC75" s="1091">
        <f t="shared" si="746"/>
        <v>0.08597574621</v>
      </c>
      <c r="DD75" s="1147">
        <f t="shared" si="63"/>
        <v>3050</v>
      </c>
      <c r="DE75" s="1091" t="str">
        <f t="shared" si="64"/>
        <v/>
      </c>
      <c r="DF75" s="1147">
        <f t="shared" si="65"/>
        <v>1220</v>
      </c>
      <c r="DG75" s="1091">
        <f t="shared" si="66"/>
        <v>0.6666666667</v>
      </c>
      <c r="DH75" s="1146">
        <f t="shared" si="697"/>
        <v>0</v>
      </c>
      <c r="DI75" s="1091" t="str">
        <f t="shared" si="592"/>
        <v/>
      </c>
      <c r="DJ75" s="1091">
        <f t="shared" si="747"/>
        <v>0</v>
      </c>
      <c r="DK75" s="1147">
        <f t="shared" si="216"/>
        <v>5490</v>
      </c>
      <c r="DL75" s="1091" t="str">
        <f t="shared" si="593"/>
        <v/>
      </c>
      <c r="DM75" s="1091">
        <f t="shared" si="748"/>
        <v>0.05357806309</v>
      </c>
      <c r="DN75" s="1147">
        <f t="shared" si="219"/>
        <v>5380.001</v>
      </c>
      <c r="DO75" s="1091">
        <f t="shared" si="594"/>
        <v>0.01582353235</v>
      </c>
      <c r="DP75" s="1091">
        <f t="shared" si="749"/>
        <v>0.07269945653</v>
      </c>
      <c r="DQ75" s="1147">
        <f t="shared" si="73"/>
        <v>5380.001</v>
      </c>
      <c r="DR75" s="1091" t="str">
        <f t="shared" si="74"/>
        <v/>
      </c>
      <c r="DS75" s="1147">
        <f t="shared" si="75"/>
        <v>-109.999</v>
      </c>
      <c r="DT75" s="1091">
        <f t="shared" si="76"/>
        <v>-0.02003624772</v>
      </c>
      <c r="DU75" s="1146">
        <f>SUMIFS(BP_SOTIEN,BP_THANG,DU$2,BP_KM,$E75)/1000</f>
        <v>0</v>
      </c>
      <c r="DV75" s="1091" t="str">
        <f t="shared" si="595"/>
        <v/>
      </c>
      <c r="DW75" s="1091"/>
      <c r="DX75" s="1147">
        <f>IF(NOW()&gt;=DATE(YEAR(DU$2),MONTH(DU$2)+1,DAY(DU$2)),SUMIFS(TF_SOTIEN,TF_THANG,DU$2,TF_KM,$E75)/1000, EA75)</f>
        <v>0</v>
      </c>
      <c r="DY75" s="1091" t="str">
        <f t="shared" si="596"/>
        <v/>
      </c>
      <c r="DZ75" s="1091"/>
      <c r="EA75" s="1147">
        <f>IF(NOW()&gt;=DATE(YEAR(DU$2),MONTH(DU$2)+1,DAY(DU$2)),SUMIFS(AC_SOTIEN,AC_THANG,DU$2,AC_KM,$E75),SUMIFS(TF_SOTIEN,TF_THANG,DU$2,TF_KM,$E75))/ 1000</f>
        <v>0</v>
      </c>
      <c r="EB75" s="1091" t="str">
        <f t="shared" si="597"/>
        <v/>
      </c>
      <c r="EC75" s="1091" t="str">
        <f t="shared" si="750"/>
        <v/>
      </c>
      <c r="ED75" s="1147">
        <f t="shared" si="80"/>
        <v>0</v>
      </c>
      <c r="EE75" s="1091" t="str">
        <f t="shared" si="81"/>
        <v/>
      </c>
      <c r="EF75" s="1147">
        <f t="shared" si="82"/>
        <v>0</v>
      </c>
      <c r="EG75" s="1091" t="str">
        <f t="shared" si="83"/>
        <v/>
      </c>
      <c r="EH75" s="1146">
        <f>SUMIFS(BP_SOTIEN,BP_THANG,EH$2,BP_KM,$E75)/1000</f>
        <v>0</v>
      </c>
      <c r="EI75" s="1091" t="str">
        <f t="shared" si="598"/>
        <v/>
      </c>
      <c r="EJ75" s="1091"/>
      <c r="EK75" s="1147">
        <f>IF(NOW()&gt;=DATE(YEAR(EH$2),MONTH(EH$2)+1,DAY(EH$2)),SUMIFS(TF_SOTIEN,TF_THANG,EH$2,TF_KM,$E75)/1000, EN75)</f>
        <v>0</v>
      </c>
      <c r="EL75" s="1091" t="str">
        <f t="shared" si="599"/>
        <v/>
      </c>
      <c r="EM75" s="1091"/>
      <c r="EN75" s="1147">
        <f>IF(NOW()&gt;=DATE(YEAR(EH$2),MONTH(EH$2)+1,DAY(EH$2)),SUMIFS(AC_SOTIEN,AC_THANG,EH$2,AC_KM,$E75),SUMIFS(TF_SOTIEN,TF_THANG,EH$2,TF_KM,$E75))/ 1000</f>
        <v>0</v>
      </c>
      <c r="EO75" s="1091" t="str">
        <f t="shared" si="600"/>
        <v/>
      </c>
      <c r="EP75" s="1091" t="str">
        <f t="shared" si="751"/>
        <v/>
      </c>
      <c r="EQ75" s="1147">
        <f t="shared" si="87"/>
        <v>0</v>
      </c>
      <c r="ER75" s="1091" t="str">
        <f t="shared" si="88"/>
        <v/>
      </c>
      <c r="ES75" s="1147">
        <f t="shared" si="89"/>
        <v>0</v>
      </c>
      <c r="ET75" s="1091" t="str">
        <f t="shared" si="90"/>
        <v/>
      </c>
      <c r="EU75" s="1146">
        <f>SUMIFS(BP_SOTIEN,BP_THANG,EU$2,BP_KM,$E75)/1000</f>
        <v>0</v>
      </c>
      <c r="EV75" s="1091" t="str">
        <f t="shared" si="601"/>
        <v/>
      </c>
      <c r="EW75" s="1091"/>
      <c r="EX75" s="1147">
        <f>IF(NOW()&gt;=DATE(YEAR(EU$2),MONTH(EU$2)+1,DAY(EU$2)),SUMIFS(TF_SOTIEN,TF_THANG,EU$2,TF_KM,$E75)/1000, FA75)</f>
        <v>0</v>
      </c>
      <c r="EY75" s="1091" t="str">
        <f t="shared" si="602"/>
        <v/>
      </c>
      <c r="EZ75" s="1091"/>
      <c r="FA75" s="1147">
        <f>IF(NOW()&gt;=DATE(YEAR(EU$2),MONTH(EU$2)+1,DAY(EU$2)),SUMIFS(AC_SOTIEN,AC_THANG,EU$2,AC_KM,$E75),SUMIFS(TF_SOTIEN,TF_THANG,EU$2,TF_KM,$E75))/ 1000</f>
        <v>0</v>
      </c>
      <c r="FB75" s="1091" t="str">
        <f t="shared" si="603"/>
        <v/>
      </c>
      <c r="FC75" s="1091" t="str">
        <f t="shared" si="752"/>
        <v/>
      </c>
      <c r="FD75" s="1147">
        <f t="shared" si="94"/>
        <v>0</v>
      </c>
      <c r="FE75" s="1091" t="str">
        <f t="shared" si="95"/>
        <v/>
      </c>
      <c r="FF75" s="1147">
        <f t="shared" si="96"/>
        <v>0</v>
      </c>
      <c r="FG75" s="1091" t="str">
        <f t="shared" si="97"/>
        <v/>
      </c>
      <c r="FH75" s="1146">
        <f t="shared" si="698"/>
        <v>0</v>
      </c>
      <c r="FI75" s="1091" t="str">
        <f t="shared" si="604"/>
        <v/>
      </c>
      <c r="FJ75" s="1091">
        <f t="shared" si="753"/>
        <v>0</v>
      </c>
      <c r="FK75" s="1147">
        <f t="shared" si="243"/>
        <v>0</v>
      </c>
      <c r="FL75" s="1091" t="str">
        <f t="shared" si="605"/>
        <v/>
      </c>
      <c r="FM75" s="1091">
        <f t="shared" si="754"/>
        <v>0</v>
      </c>
      <c r="FN75" s="1147">
        <f t="shared" si="246"/>
        <v>0</v>
      </c>
      <c r="FO75" s="1091" t="str">
        <f t="shared" si="606"/>
        <v/>
      </c>
      <c r="FP75" s="1091" t="str">
        <f t="shared" si="755"/>
        <v/>
      </c>
      <c r="FQ75" s="1147">
        <f t="shared" si="104"/>
        <v>0</v>
      </c>
      <c r="FR75" s="1091" t="str">
        <f t="shared" si="105"/>
        <v/>
      </c>
      <c r="FS75" s="1147">
        <f t="shared" si="106"/>
        <v>0</v>
      </c>
      <c r="FT75" s="1091" t="str">
        <f t="shared" si="107"/>
        <v/>
      </c>
      <c r="FU75" s="1146">
        <f>SUMIFS(BP_SOTIEN,BP_THANG,FU$2,BP_KM,$E75)/1000</f>
        <v>0</v>
      </c>
      <c r="FV75" s="1091" t="str">
        <f t="shared" si="607"/>
        <v/>
      </c>
      <c r="FW75" s="1091"/>
      <c r="FX75" s="1147">
        <f>IF(NOW()&gt;=DATE(YEAR(FU$2),MONTH(FU$2)+1,DAY(FU$2)),SUMIFS(TF_SOTIEN,TF_THANG,FU$2,TF_KM,$E75)/1000, GA75)</f>
        <v>0</v>
      </c>
      <c r="FY75" s="1091" t="str">
        <f t="shared" si="608"/>
        <v/>
      </c>
      <c r="FZ75" s="1091"/>
      <c r="GA75" s="1147">
        <f>IF(NOW()&gt;=DATE(YEAR(FU$2),MONTH(FU$2)+1,DAY(FU$2)),SUMIFS(AC_SOTIEN,AC_THANG,FU$2,AC_KM,$E75),SUMIFS(TF_SOTIEN,TF_THANG,FU$2,TF_KM,$E75))/ 1000</f>
        <v>0</v>
      </c>
      <c r="GB75" s="1091" t="str">
        <f t="shared" si="609"/>
        <v/>
      </c>
      <c r="GC75" s="1091" t="str">
        <f t="shared" si="756"/>
        <v/>
      </c>
      <c r="GD75" s="1147">
        <f t="shared" si="111"/>
        <v>0</v>
      </c>
      <c r="GE75" s="1091" t="str">
        <f t="shared" si="112"/>
        <v/>
      </c>
      <c r="GF75" s="1147">
        <f t="shared" si="113"/>
        <v>0</v>
      </c>
      <c r="GG75" s="1091" t="str">
        <f t="shared" si="114"/>
        <v/>
      </c>
      <c r="GH75" s="1146">
        <f>SUMIFS(BP_SOTIEN,BP_THANG,GH$2,BP_KM,$E75)/1000</f>
        <v>0</v>
      </c>
      <c r="GI75" s="1091" t="str">
        <f t="shared" si="610"/>
        <v/>
      </c>
      <c r="GJ75" s="1091"/>
      <c r="GK75" s="1147">
        <f>IF(NOW()&gt;=DATE(YEAR(GH$2),MONTH(GH$2)+1,DAY(GH$2)),SUMIFS(TF_SOTIEN,TF_THANG,GH$2,TF_KM,$E75)/1000, GN75)</f>
        <v>0</v>
      </c>
      <c r="GL75" s="1091" t="str">
        <f t="shared" si="611"/>
        <v/>
      </c>
      <c r="GM75" s="1091"/>
      <c r="GN75" s="1147">
        <f>IF(NOW()&gt;=DATE(YEAR(GH$2),MONTH(GH$2)+1,DAY(GH$2)),SUMIFS(AC_SOTIEN,AC_THANG,GH$2,AC_KM,$E75),SUMIFS(TF_SOTIEN,TF_THANG,GH$2,TF_KM,$E75))/ 1000</f>
        <v>0</v>
      </c>
      <c r="GO75" s="1091" t="str">
        <f t="shared" si="612"/>
        <v/>
      </c>
      <c r="GP75" s="1091" t="str">
        <f t="shared" si="757"/>
        <v/>
      </c>
      <c r="GQ75" s="1147">
        <f t="shared" si="118"/>
        <v>0</v>
      </c>
      <c r="GR75" s="1091" t="str">
        <f t="shared" si="119"/>
        <v/>
      </c>
      <c r="GS75" s="1147">
        <f t="shared" si="120"/>
        <v>0</v>
      </c>
      <c r="GT75" s="1091" t="str">
        <f t="shared" si="121"/>
        <v/>
      </c>
      <c r="GU75" s="1146">
        <f>SUMIFS(BP_SOTIEN,BP_THANG,GU$2,BP_KM,$E75)/1000</f>
        <v>0</v>
      </c>
      <c r="GV75" s="1091" t="str">
        <f t="shared" si="613"/>
        <v/>
      </c>
      <c r="GW75" s="1091"/>
      <c r="GX75" s="1147">
        <f>IF(NOW()&gt;=DATE(YEAR(GU$2),MONTH(GU$2)+1,DAY(GU$2)),SUMIFS(TF_SOTIEN,TF_THANG,GU$2,TF_KM,$E75)/1000, HA75)</f>
        <v>0</v>
      </c>
      <c r="GY75" s="1091" t="str">
        <f t="shared" si="614"/>
        <v/>
      </c>
      <c r="GZ75" s="1091"/>
      <c r="HA75" s="1147">
        <f>IF(NOW()&gt;=DATE(YEAR(GU$2),MONTH(GU$2)+1,DAY(GU$2)),SUMIFS(AC_SOTIEN,AC_THANG,GU$2,AC_KM,$E75),SUMIFS(TF_SOTIEN,TF_THANG,GU$2,TF_KM,$E75))/ 1000</f>
        <v>0</v>
      </c>
      <c r="HB75" s="1091" t="str">
        <f t="shared" si="615"/>
        <v/>
      </c>
      <c r="HC75" s="1091" t="str">
        <f t="shared" si="758"/>
        <v/>
      </c>
      <c r="HD75" s="1147">
        <f t="shared" si="125"/>
        <v>0</v>
      </c>
      <c r="HE75" s="1091" t="str">
        <f t="shared" si="126"/>
        <v/>
      </c>
      <c r="HF75" s="1147">
        <f t="shared" si="127"/>
        <v>0</v>
      </c>
      <c r="HG75" s="1091" t="str">
        <f t="shared" si="128"/>
        <v/>
      </c>
      <c r="HH75" s="1146">
        <f t="shared" si="699"/>
        <v>0</v>
      </c>
      <c r="HI75" s="1091" t="str">
        <f t="shared" si="616"/>
        <v/>
      </c>
      <c r="HJ75" s="1091">
        <f t="shared" si="759"/>
        <v>0</v>
      </c>
      <c r="HK75" s="1147">
        <f t="shared" si="270"/>
        <v>0</v>
      </c>
      <c r="HL75" s="1091" t="str">
        <f t="shared" si="617"/>
        <v/>
      </c>
      <c r="HM75" s="1091">
        <f t="shared" si="760"/>
        <v>0</v>
      </c>
      <c r="HN75" s="1147">
        <f t="shared" si="273"/>
        <v>0</v>
      </c>
      <c r="HO75" s="1091" t="str">
        <f t="shared" si="618"/>
        <v/>
      </c>
      <c r="HP75" s="1091" t="str">
        <f t="shared" si="761"/>
        <v/>
      </c>
      <c r="HQ75" s="1147">
        <f t="shared" si="135"/>
        <v>0</v>
      </c>
      <c r="HR75" s="1091" t="str">
        <f t="shared" si="136"/>
        <v/>
      </c>
      <c r="HS75" s="1147">
        <f t="shared" si="137"/>
        <v>0</v>
      </c>
      <c r="HT75" s="1091" t="str">
        <f t="shared" si="138"/>
        <v/>
      </c>
      <c r="HU75" s="1146">
        <f t="shared" si="700"/>
        <v>0</v>
      </c>
      <c r="HV75" s="1091" t="str">
        <f t="shared" si="619"/>
        <v/>
      </c>
      <c r="HW75" s="1091">
        <f t="shared" si="762"/>
        <v>0</v>
      </c>
      <c r="HX75" s="1147">
        <f t="shared" si="279"/>
        <v>0</v>
      </c>
      <c r="HY75" s="1091" t="str">
        <f t="shared" si="620"/>
        <v/>
      </c>
      <c r="HZ75" s="1091">
        <f t="shared" si="763"/>
        <v>0</v>
      </c>
      <c r="IA75" s="1147">
        <f t="shared" si="282"/>
        <v>0</v>
      </c>
      <c r="IB75" s="1091" t="str">
        <f t="shared" si="621"/>
        <v/>
      </c>
      <c r="IC75" s="1091" t="str">
        <f t="shared" si="764"/>
        <v/>
      </c>
      <c r="ID75" s="1147">
        <f t="shared" si="145"/>
        <v>0</v>
      </c>
      <c r="IE75" s="1091" t="str">
        <f t="shared" si="146"/>
        <v/>
      </c>
      <c r="IF75" s="1147">
        <f t="shared" si="147"/>
        <v>0</v>
      </c>
      <c r="IG75" s="1091" t="str">
        <f t="shared" si="148"/>
        <v/>
      </c>
      <c r="IH75" s="1146">
        <f t="shared" si="701"/>
        <v>0</v>
      </c>
      <c r="II75" s="1091" t="str">
        <f t="shared" si="622"/>
        <v/>
      </c>
      <c r="IJ75" s="1091">
        <f t="shared" si="765"/>
        <v>0</v>
      </c>
      <c r="IK75" s="1147">
        <f t="shared" si="288"/>
        <v>5490</v>
      </c>
      <c r="IL75" s="1091" t="str">
        <f t="shared" si="623"/>
        <v/>
      </c>
      <c r="IM75" s="1091">
        <f t="shared" si="766"/>
        <v>0.02548541712</v>
      </c>
      <c r="IN75" s="1147">
        <f t="shared" si="291"/>
        <v>5380.001</v>
      </c>
      <c r="IO75" s="1091">
        <f t="shared" si="624"/>
        <v>0.01582353235</v>
      </c>
      <c r="IP75" s="1091">
        <f t="shared" si="767"/>
        <v>0.07269945653</v>
      </c>
      <c r="IQ75" s="1147">
        <f t="shared" si="155"/>
        <v>5380.001</v>
      </c>
      <c r="IR75" s="1091" t="str">
        <f t="shared" si="1"/>
        <v/>
      </c>
      <c r="IS75" s="1147">
        <f t="shared" si="156"/>
        <v>-109.999</v>
      </c>
      <c r="IT75" s="1091">
        <f t="shared" si="2"/>
        <v>-0.02003624772</v>
      </c>
    </row>
    <row r="76" hidden="1" outlineLevel="1">
      <c r="A76" s="737"/>
      <c r="B76" s="737"/>
      <c r="C76" s="737"/>
      <c r="D76" s="737" t="s">
        <v>2861</v>
      </c>
      <c r="E76" s="737" t="s">
        <v>262</v>
      </c>
      <c r="F76" s="737"/>
      <c r="G76" s="748">
        <v>3.0</v>
      </c>
      <c r="H76" s="1146">
        <f>SUMIFS(BP_SOTIEN,BP_THANG,H$2,BP_KM,$E76)/1000</f>
        <v>833</v>
      </c>
      <c r="I76" s="1091" t="str">
        <f t="shared" si="566"/>
        <v/>
      </c>
      <c r="J76" s="1091"/>
      <c r="K76" s="1147">
        <f>IF(NOW()&gt;=DATE(YEAR(H$2),MONTH(H$2)+1,DAY(H$2)),SUMIFS(TF_SOTIEN,TF_THANG,H$2,TF_KM,$E76)/1000, N76)</f>
        <v>833</v>
      </c>
      <c r="L76" s="1091" t="str">
        <f t="shared" si="567"/>
        <v/>
      </c>
      <c r="M76" s="1091"/>
      <c r="N76" s="1147">
        <f>IF(NOW()&gt;=DATE(YEAR(H$2),MONTH(H$2)+1,DAY(H$2)),SUMIFS(AC_SOTIEN,AC_THANG,H$2,AC_KM,$E76),SUMIFS(TF_SOTIEN,TF_THANG,H$2,TF_KM,$E76))/ 1000</f>
        <v>1100.001</v>
      </c>
      <c r="O76" s="1091">
        <f t="shared" si="568"/>
        <v>0.003235297059</v>
      </c>
      <c r="P76" s="1091">
        <f t="shared" si="735"/>
        <v>0.108142323</v>
      </c>
      <c r="Q76" s="1147">
        <f t="shared" si="8"/>
        <v>267.001</v>
      </c>
      <c r="R76" s="1091">
        <f t="shared" si="9"/>
        <v>0.3205294118</v>
      </c>
      <c r="S76" s="1147">
        <f t="shared" si="10"/>
        <v>267.001</v>
      </c>
      <c r="T76" s="1091">
        <f t="shared" si="11"/>
        <v>0.3205294118</v>
      </c>
      <c r="U76" s="1146">
        <f>SUMIFS(BP_SOTIEN,BP_THANG,U$2,BP_KM,$E76)/1000</f>
        <v>833</v>
      </c>
      <c r="V76" s="1091" t="str">
        <f t="shared" si="569"/>
        <v/>
      </c>
      <c r="W76" s="1091"/>
      <c r="X76" s="1147">
        <f>IF(NOW()&gt;=DATE(YEAR(U$2),MONTH(U$2)+1,DAY(U$2)),SUMIFS(TF_SOTIEN,TF_THANG,U$2,TF_KM,$E76)/1000, AA76)</f>
        <v>1080</v>
      </c>
      <c r="Y76" s="1091" t="str">
        <f t="shared" si="570"/>
        <v/>
      </c>
      <c r="Z76" s="1091"/>
      <c r="AA76" s="1147">
        <f>IF(NOW()&gt;=DATE(YEAR(U$2),MONTH(U$2)+1,DAY(U$2)),SUMIFS(AC_SOTIEN,AC_THANG,U$2,AC_KM,$E76),SUMIFS(TF_SOTIEN,TF_THANG,U$2,TF_KM,$E76))/ 1000</f>
        <v>1080</v>
      </c>
      <c r="AB76" s="1091" t="str">
        <f t="shared" si="571"/>
        <v/>
      </c>
      <c r="AC76" s="1091">
        <f t="shared" si="736"/>
        <v>0.1045564237</v>
      </c>
      <c r="AD76" s="1147">
        <f t="shared" si="15"/>
        <v>247</v>
      </c>
      <c r="AE76" s="1091">
        <f t="shared" si="16"/>
        <v>0.2965186074</v>
      </c>
      <c r="AF76" s="1147">
        <f t="shared" si="17"/>
        <v>0</v>
      </c>
      <c r="AG76" s="1091">
        <f t="shared" si="18"/>
        <v>0</v>
      </c>
      <c r="AH76" s="1146">
        <f>SUMIFS(BP_SOTIEN,BP_THANG,AH$2,BP_KM,$E76)/1000</f>
        <v>833</v>
      </c>
      <c r="AI76" s="1091" t="str">
        <f t="shared" si="572"/>
        <v/>
      </c>
      <c r="AJ76" s="1091"/>
      <c r="AK76" s="1147">
        <f>IF(NOW()&gt;=DATE(YEAR(AH$2),MONTH(AH$2)+1,DAY(AH$2)),SUMIFS(TF_SOTIEN,TF_THANG,AH$2,TF_KM,$E76)/1000, AN76)</f>
        <v>1080</v>
      </c>
      <c r="AL76" s="1091" t="str">
        <f t="shared" si="573"/>
        <v/>
      </c>
      <c r="AM76" s="1091"/>
      <c r="AN76" s="1147">
        <f>IF(NOW()&gt;=DATE(YEAR(AH$2),MONTH(AH$2)+1,DAY(AH$2)),SUMIFS(AC_SOTIEN,AC_THANG,AH$2,AC_KM,$E76),SUMIFS(TF_SOTIEN,TF_THANG,AH$2,TF_KM,$E76))/ 1000</f>
        <v>1329.927</v>
      </c>
      <c r="AO76" s="1091" t="str">
        <f t="shared" si="574"/>
        <v/>
      </c>
      <c r="AP76" s="1091">
        <f t="shared" si="737"/>
        <v>0.0737739429</v>
      </c>
      <c r="AQ76" s="1147">
        <f t="shared" si="22"/>
        <v>496.927</v>
      </c>
      <c r="AR76" s="1091">
        <f t="shared" si="23"/>
        <v>0.5965510204</v>
      </c>
      <c r="AS76" s="1147">
        <f t="shared" si="24"/>
        <v>249.927</v>
      </c>
      <c r="AT76" s="1091">
        <f t="shared" si="25"/>
        <v>0.2314138889</v>
      </c>
      <c r="AU76" s="1146">
        <f t="shared" si="691"/>
        <v>2499</v>
      </c>
      <c r="AV76" s="1091" t="str">
        <f t="shared" si="575"/>
        <v/>
      </c>
      <c r="AW76" s="1091">
        <f t="shared" si="738"/>
        <v>0.04201765448</v>
      </c>
      <c r="AX76" s="1147">
        <f t="shared" si="692"/>
        <v>2993</v>
      </c>
      <c r="AY76" s="1091" t="str">
        <f t="shared" si="576"/>
        <v/>
      </c>
      <c r="AZ76" s="1091">
        <f t="shared" si="739"/>
        <v>0.06498046027</v>
      </c>
      <c r="BA76" s="1147">
        <f t="shared" si="693"/>
        <v>3509.928</v>
      </c>
      <c r="BB76" s="1091">
        <f t="shared" si="577"/>
        <v>0.01032331765</v>
      </c>
      <c r="BC76" s="1091">
        <f t="shared" si="740"/>
        <v>0.09110024017</v>
      </c>
      <c r="BD76" s="1147">
        <f t="shared" si="32"/>
        <v>1010.928</v>
      </c>
      <c r="BE76" s="1091">
        <f t="shared" si="33"/>
        <v>0.4045330132</v>
      </c>
      <c r="BF76" s="1147">
        <f t="shared" si="34"/>
        <v>516.928</v>
      </c>
      <c r="BG76" s="1091">
        <f t="shared" si="35"/>
        <v>0.1727123288</v>
      </c>
      <c r="BH76" s="1146">
        <f>SUMIFS(BP_SOTIEN,BP_THANG,BH$2,BP_KM,$E76)/1000</f>
        <v>833</v>
      </c>
      <c r="BI76" s="1091" t="str">
        <f t="shared" si="578"/>
        <v/>
      </c>
      <c r="BJ76" s="1091"/>
      <c r="BK76" s="1147">
        <f>IF(NOW()&gt;=DATE(YEAR(BH$2),MONTH(BH$2)+1,DAY(BH$2)),SUMIFS(TF_SOTIEN,TF_THANG,BH$2,TF_KM,$E76)/1000, BN76)</f>
        <v>1500</v>
      </c>
      <c r="BL76" s="1091" t="str">
        <f t="shared" si="579"/>
        <v/>
      </c>
      <c r="BM76" s="1091"/>
      <c r="BN76" s="1147">
        <f>IF(NOW()&gt;=DATE(YEAR(BH$2),MONTH(BH$2)+1,DAY(BH$2)),SUMIFS(AC_SOTIEN,AC_THANG,BH$2,AC_KM,$E76),SUMIFS(TF_SOTIEN,TF_THANG,BH$2,TF_KM,$E76))/ 1000</f>
        <v>3295.999</v>
      </c>
      <c r="BO76" s="1091" t="str">
        <f t="shared" si="580"/>
        <v/>
      </c>
      <c r="BP76" s="1091">
        <f t="shared" si="741"/>
        <v>0.1896159792</v>
      </c>
      <c r="BQ76" s="1147">
        <f t="shared" si="39"/>
        <v>2462.999</v>
      </c>
      <c r="BR76" s="1091">
        <f t="shared" si="40"/>
        <v>2.956781513</v>
      </c>
      <c r="BS76" s="1147">
        <f t="shared" si="41"/>
        <v>1795.999</v>
      </c>
      <c r="BT76" s="1091">
        <f t="shared" si="42"/>
        <v>1.197332667</v>
      </c>
      <c r="BU76" s="1146">
        <f>SUMIFS(BP_SOTIEN,BP_THANG,BU$2,BP_KM,$E76)/1000</f>
        <v>833</v>
      </c>
      <c r="BV76" s="1091" t="str">
        <f t="shared" si="581"/>
        <v/>
      </c>
      <c r="BW76" s="1091"/>
      <c r="BX76" s="1147">
        <f>IF(NOW()&gt;=DATE(YEAR(BU$2),MONTH(BU$2)+1,DAY(BU$2)),SUMIFS(TF_SOTIEN,TF_THANG,BU$2,TF_KM,$E76)/1000, CA76)</f>
        <v>1971.81</v>
      </c>
      <c r="BY76" s="1091" t="str">
        <f t="shared" si="582"/>
        <v/>
      </c>
      <c r="BZ76" s="1091"/>
      <c r="CA76" s="1147">
        <f>IF(NOW()&gt;=DATE(YEAR(BU$2),MONTH(BU$2)+1,DAY(BU$2)),SUMIFS(AC_SOTIEN,AC_THANG,BU$2,AC_KM,$E76),SUMIFS(TF_SOTIEN,TF_THANG,BU$2,TF_KM,$E76))/ 1000</f>
        <v>1971.811</v>
      </c>
      <c r="CB76" s="1091" t="str">
        <f t="shared" si="583"/>
        <v/>
      </c>
      <c r="CC76" s="1091">
        <f t="shared" si="742"/>
        <v>0.1089842408</v>
      </c>
      <c r="CD76" s="1147">
        <f t="shared" si="46"/>
        <v>1138.811</v>
      </c>
      <c r="CE76" s="1091">
        <f t="shared" si="47"/>
        <v>1.367120048</v>
      </c>
      <c r="CF76" s="1147">
        <f t="shared" si="48"/>
        <v>0.001</v>
      </c>
      <c r="CG76" s="1091">
        <f t="shared" si="49"/>
        <v>0.0000005071482546</v>
      </c>
      <c r="CH76" s="1146">
        <f>SUMIFS(BP_SOTIEN,BP_THANG,CH$2,BP_KM,$E76)/1000</f>
        <v>833</v>
      </c>
      <c r="CI76" s="1091" t="str">
        <f t="shared" si="584"/>
        <v/>
      </c>
      <c r="CJ76" s="1091"/>
      <c r="CK76" s="1147">
        <f>IF(NOW()&gt;=DATE(YEAR(CH$2),MONTH(CH$2)+1,DAY(CH$2)),SUMIFS(TF_SOTIEN,TF_THANG,CH$2,TF_KM,$E76)/1000, CN76)</f>
        <v>2000</v>
      </c>
      <c r="CL76" s="1091" t="str">
        <f t="shared" si="585"/>
        <v/>
      </c>
      <c r="CM76" s="1091"/>
      <c r="CN76" s="1147">
        <f>IF(NOW()&gt;=DATE(YEAR(CH$2),MONTH(CH$2)+1,DAY(CH$2)),SUMIFS(AC_SOTIEN,AC_THANG,CH$2,AC_KM,$E76),SUMIFS(TF_SOTIEN,TF_THANG,CH$2,TF_KM,$E76))/ 1000</f>
        <v>0</v>
      </c>
      <c r="CO76" s="1091" t="str">
        <f t="shared" si="586"/>
        <v/>
      </c>
      <c r="CP76" s="1091" t="str">
        <f t="shared" si="743"/>
        <v/>
      </c>
      <c r="CQ76" s="1147">
        <f t="shared" si="53"/>
        <v>-833</v>
      </c>
      <c r="CR76" s="1091">
        <f t="shared" si="54"/>
        <v>-1</v>
      </c>
      <c r="CS76" s="1147">
        <f t="shared" si="55"/>
        <v>-2000</v>
      </c>
      <c r="CT76" s="1091">
        <f t="shared" si="56"/>
        <v>-1</v>
      </c>
      <c r="CU76" s="1146">
        <f t="shared" si="694"/>
        <v>2499</v>
      </c>
      <c r="CV76" s="1091" t="str">
        <f t="shared" si="587"/>
        <v/>
      </c>
      <c r="CW76" s="1091">
        <f t="shared" si="744"/>
        <v>0.04424966799</v>
      </c>
      <c r="CX76" s="1147">
        <f t="shared" si="695"/>
        <v>5471.81</v>
      </c>
      <c r="CY76" s="1091" t="str">
        <f t="shared" si="589"/>
        <v/>
      </c>
      <c r="CZ76" s="1091">
        <f t="shared" si="745"/>
        <v>0.09700533495</v>
      </c>
      <c r="DA76" s="1147">
        <f t="shared" si="696"/>
        <v>5267.81</v>
      </c>
      <c r="DB76" s="1091" t="str">
        <f t="shared" si="591"/>
        <v/>
      </c>
      <c r="DC76" s="1091">
        <f t="shared" si="746"/>
        <v>0.1484930805</v>
      </c>
      <c r="DD76" s="1147">
        <f t="shared" si="63"/>
        <v>2768.81</v>
      </c>
      <c r="DE76" s="1091">
        <f t="shared" si="64"/>
        <v>1.107967187</v>
      </c>
      <c r="DF76" s="1147">
        <f t="shared" si="65"/>
        <v>-204</v>
      </c>
      <c r="DG76" s="1091">
        <f t="shared" si="66"/>
        <v>-0.03728199627</v>
      </c>
      <c r="DH76" s="1146">
        <f t="shared" si="697"/>
        <v>4998</v>
      </c>
      <c r="DI76" s="1091" t="str">
        <f t="shared" si="592"/>
        <v/>
      </c>
      <c r="DJ76" s="1091">
        <f t="shared" si="747"/>
        <v>0.04310478655</v>
      </c>
      <c r="DK76" s="1147">
        <f t="shared" si="216"/>
        <v>8464.81</v>
      </c>
      <c r="DL76" s="1091" t="str">
        <f t="shared" si="593"/>
        <v/>
      </c>
      <c r="DM76" s="1091">
        <f t="shared" si="748"/>
        <v>0.0826098587</v>
      </c>
      <c r="DN76" s="1147">
        <f t="shared" si="219"/>
        <v>8777.738</v>
      </c>
      <c r="DO76" s="1091">
        <f t="shared" si="594"/>
        <v>0.02581687647</v>
      </c>
      <c r="DP76" s="1091">
        <f t="shared" si="749"/>
        <v>0.1186127627</v>
      </c>
      <c r="DQ76" s="1147">
        <f t="shared" si="73"/>
        <v>3779.738</v>
      </c>
      <c r="DR76" s="1091">
        <f t="shared" si="74"/>
        <v>0.7562501</v>
      </c>
      <c r="DS76" s="1147">
        <f t="shared" si="75"/>
        <v>312.928</v>
      </c>
      <c r="DT76" s="1091">
        <f t="shared" si="76"/>
        <v>0.03696810679</v>
      </c>
      <c r="DU76" s="1146">
        <f>SUMIFS(BP_SOTIEN,BP_THANG,DU$2,BP_KM,$E76)/1000</f>
        <v>833</v>
      </c>
      <c r="DV76" s="1091" t="str">
        <f t="shared" si="595"/>
        <v/>
      </c>
      <c r="DW76" s="1091"/>
      <c r="DX76" s="1147">
        <f>IF(NOW()&gt;=DATE(YEAR(DU$2),MONTH(DU$2)+1,DAY(DU$2)),SUMIFS(TF_SOTIEN,TF_THANG,DU$2,TF_KM,$E76)/1000, EA76)</f>
        <v>833</v>
      </c>
      <c r="DY76" s="1091" t="str">
        <f t="shared" si="596"/>
        <v/>
      </c>
      <c r="DZ76" s="1091"/>
      <c r="EA76" s="1147">
        <f>IF(NOW()&gt;=DATE(YEAR(DU$2),MONTH(DU$2)+1,DAY(DU$2)),SUMIFS(AC_SOTIEN,AC_THANG,DU$2,AC_KM,$E76),SUMIFS(TF_SOTIEN,TF_THANG,DU$2,TF_KM,$E76))/ 1000</f>
        <v>0</v>
      </c>
      <c r="EB76" s="1091" t="str">
        <f t="shared" si="597"/>
        <v/>
      </c>
      <c r="EC76" s="1091" t="str">
        <f t="shared" si="750"/>
        <v/>
      </c>
      <c r="ED76" s="1147">
        <f t="shared" si="80"/>
        <v>-833</v>
      </c>
      <c r="EE76" s="1091">
        <f t="shared" si="81"/>
        <v>-1</v>
      </c>
      <c r="EF76" s="1147">
        <f t="shared" si="82"/>
        <v>-833</v>
      </c>
      <c r="EG76" s="1091">
        <f t="shared" si="83"/>
        <v>-1</v>
      </c>
      <c r="EH76" s="1146">
        <f>SUMIFS(BP_SOTIEN,BP_THANG,EH$2,BP_KM,$E76)/1000</f>
        <v>833</v>
      </c>
      <c r="EI76" s="1091" t="str">
        <f t="shared" si="598"/>
        <v/>
      </c>
      <c r="EJ76" s="1091"/>
      <c r="EK76" s="1147">
        <f>IF(NOW()&gt;=DATE(YEAR(EH$2),MONTH(EH$2)+1,DAY(EH$2)),SUMIFS(TF_SOTIEN,TF_THANG,EH$2,TF_KM,$E76)/1000, EN76)</f>
        <v>833</v>
      </c>
      <c r="EL76" s="1091" t="str">
        <f t="shared" si="599"/>
        <v/>
      </c>
      <c r="EM76" s="1091"/>
      <c r="EN76" s="1147">
        <f>IF(NOW()&gt;=DATE(YEAR(EH$2),MONTH(EH$2)+1,DAY(EH$2)),SUMIFS(AC_SOTIEN,AC_THANG,EH$2,AC_KM,$E76),SUMIFS(TF_SOTIEN,TF_THANG,EH$2,TF_KM,$E76))/ 1000</f>
        <v>0</v>
      </c>
      <c r="EO76" s="1091" t="str">
        <f t="shared" si="600"/>
        <v/>
      </c>
      <c r="EP76" s="1091" t="str">
        <f t="shared" si="751"/>
        <v/>
      </c>
      <c r="EQ76" s="1147">
        <f t="shared" si="87"/>
        <v>-833</v>
      </c>
      <c r="ER76" s="1091">
        <f t="shared" si="88"/>
        <v>-1</v>
      </c>
      <c r="ES76" s="1147">
        <f t="shared" si="89"/>
        <v>-833</v>
      </c>
      <c r="ET76" s="1091">
        <f t="shared" si="90"/>
        <v>-1</v>
      </c>
      <c r="EU76" s="1146">
        <f>SUMIFS(BP_SOTIEN,BP_THANG,EU$2,BP_KM,$E76)/1000</f>
        <v>833</v>
      </c>
      <c r="EV76" s="1091" t="str">
        <f t="shared" si="601"/>
        <v/>
      </c>
      <c r="EW76" s="1091"/>
      <c r="EX76" s="1147">
        <f>IF(NOW()&gt;=DATE(YEAR(EU$2),MONTH(EU$2)+1,DAY(EU$2)),SUMIFS(TF_SOTIEN,TF_THANG,EU$2,TF_KM,$E76)/1000, FA76)</f>
        <v>833</v>
      </c>
      <c r="EY76" s="1091" t="str">
        <f t="shared" si="602"/>
        <v/>
      </c>
      <c r="EZ76" s="1091"/>
      <c r="FA76" s="1147">
        <f>IF(NOW()&gt;=DATE(YEAR(EU$2),MONTH(EU$2)+1,DAY(EU$2)),SUMIFS(AC_SOTIEN,AC_THANG,EU$2,AC_KM,$E76),SUMIFS(TF_SOTIEN,TF_THANG,EU$2,TF_KM,$E76))/ 1000</f>
        <v>0</v>
      </c>
      <c r="FB76" s="1091" t="str">
        <f t="shared" si="603"/>
        <v/>
      </c>
      <c r="FC76" s="1091" t="str">
        <f t="shared" si="752"/>
        <v/>
      </c>
      <c r="FD76" s="1147">
        <f t="shared" si="94"/>
        <v>-833</v>
      </c>
      <c r="FE76" s="1091">
        <f t="shared" si="95"/>
        <v>-1</v>
      </c>
      <c r="FF76" s="1147">
        <f t="shared" si="96"/>
        <v>-833</v>
      </c>
      <c r="FG76" s="1091">
        <f t="shared" si="97"/>
        <v>-1</v>
      </c>
      <c r="FH76" s="1146">
        <f t="shared" si="698"/>
        <v>2499</v>
      </c>
      <c r="FI76" s="1091" t="str">
        <f t="shared" si="604"/>
        <v/>
      </c>
      <c r="FJ76" s="1091">
        <f t="shared" si="753"/>
        <v>0.04424966799</v>
      </c>
      <c r="FK76" s="1147">
        <f t="shared" si="243"/>
        <v>2499</v>
      </c>
      <c r="FL76" s="1091" t="str">
        <f t="shared" si="605"/>
        <v/>
      </c>
      <c r="FM76" s="1091">
        <f t="shared" si="754"/>
        <v>0.04424966799</v>
      </c>
      <c r="FN76" s="1147">
        <f t="shared" si="246"/>
        <v>0</v>
      </c>
      <c r="FO76" s="1091" t="str">
        <f t="shared" si="606"/>
        <v/>
      </c>
      <c r="FP76" s="1091" t="str">
        <f t="shared" si="755"/>
        <v/>
      </c>
      <c r="FQ76" s="1147">
        <f t="shared" si="104"/>
        <v>-2499</v>
      </c>
      <c r="FR76" s="1091">
        <f t="shared" si="105"/>
        <v>-1</v>
      </c>
      <c r="FS76" s="1147">
        <f t="shared" si="106"/>
        <v>-2499</v>
      </c>
      <c r="FT76" s="1091">
        <f t="shared" si="107"/>
        <v>-1</v>
      </c>
      <c r="FU76" s="1146">
        <f>SUMIFS(BP_SOTIEN,BP_THANG,FU$2,BP_KM,$E76)/1000</f>
        <v>833</v>
      </c>
      <c r="FV76" s="1091" t="str">
        <f t="shared" si="607"/>
        <v/>
      </c>
      <c r="FW76" s="1091"/>
      <c r="FX76" s="1147">
        <f>IF(NOW()&gt;=DATE(YEAR(FU$2),MONTH(FU$2)+1,DAY(FU$2)),SUMIFS(TF_SOTIEN,TF_THANG,FU$2,TF_KM,$E76)/1000, GA76)</f>
        <v>833</v>
      </c>
      <c r="FY76" s="1091" t="str">
        <f t="shared" si="608"/>
        <v/>
      </c>
      <c r="FZ76" s="1091"/>
      <c r="GA76" s="1147">
        <f>IF(NOW()&gt;=DATE(YEAR(FU$2),MONTH(FU$2)+1,DAY(FU$2)),SUMIFS(AC_SOTIEN,AC_THANG,FU$2,AC_KM,$E76),SUMIFS(TF_SOTIEN,TF_THANG,FU$2,TF_KM,$E76))/ 1000</f>
        <v>0</v>
      </c>
      <c r="GB76" s="1091" t="str">
        <f t="shared" si="609"/>
        <v/>
      </c>
      <c r="GC76" s="1091" t="str">
        <f t="shared" si="756"/>
        <v/>
      </c>
      <c r="GD76" s="1147">
        <f t="shared" si="111"/>
        <v>-833</v>
      </c>
      <c r="GE76" s="1091">
        <f t="shared" si="112"/>
        <v>-1</v>
      </c>
      <c r="GF76" s="1147">
        <f t="shared" si="113"/>
        <v>-833</v>
      </c>
      <c r="GG76" s="1091">
        <f t="shared" si="114"/>
        <v>-1</v>
      </c>
      <c r="GH76" s="1146">
        <f>SUMIFS(BP_SOTIEN,BP_THANG,GH$2,BP_KM,$E76)/1000</f>
        <v>833</v>
      </c>
      <c r="GI76" s="1091" t="str">
        <f t="shared" si="610"/>
        <v/>
      </c>
      <c r="GJ76" s="1091"/>
      <c r="GK76" s="1147">
        <f>IF(NOW()&gt;=DATE(YEAR(GH$2),MONTH(GH$2)+1,DAY(GH$2)),SUMIFS(TF_SOTIEN,TF_THANG,GH$2,TF_KM,$E76)/1000, GN76)</f>
        <v>833</v>
      </c>
      <c r="GL76" s="1091" t="str">
        <f t="shared" si="611"/>
        <v/>
      </c>
      <c r="GM76" s="1091"/>
      <c r="GN76" s="1147">
        <f>IF(NOW()&gt;=DATE(YEAR(GH$2),MONTH(GH$2)+1,DAY(GH$2)),SUMIFS(AC_SOTIEN,AC_THANG,GH$2,AC_KM,$E76),SUMIFS(TF_SOTIEN,TF_THANG,GH$2,TF_KM,$E76))/ 1000</f>
        <v>0</v>
      </c>
      <c r="GO76" s="1091" t="str">
        <f t="shared" si="612"/>
        <v/>
      </c>
      <c r="GP76" s="1091" t="str">
        <f t="shared" si="757"/>
        <v/>
      </c>
      <c r="GQ76" s="1147">
        <f t="shared" si="118"/>
        <v>-833</v>
      </c>
      <c r="GR76" s="1091">
        <f t="shared" si="119"/>
        <v>-1</v>
      </c>
      <c r="GS76" s="1147">
        <f t="shared" si="120"/>
        <v>-833</v>
      </c>
      <c r="GT76" s="1091">
        <f t="shared" si="121"/>
        <v>-1</v>
      </c>
      <c r="GU76" s="1146">
        <f>SUMIFS(BP_SOTIEN,BP_THANG,GU$2,BP_KM,$E76)/1000</f>
        <v>833</v>
      </c>
      <c r="GV76" s="1091" t="str">
        <f t="shared" si="613"/>
        <v/>
      </c>
      <c r="GW76" s="1091"/>
      <c r="GX76" s="1147">
        <f>IF(NOW()&gt;=DATE(YEAR(GU$2),MONTH(GU$2)+1,DAY(GU$2)),SUMIFS(TF_SOTIEN,TF_THANG,GU$2,TF_KM,$E76)/1000, HA76)</f>
        <v>833</v>
      </c>
      <c r="GY76" s="1091" t="str">
        <f t="shared" si="614"/>
        <v/>
      </c>
      <c r="GZ76" s="1091"/>
      <c r="HA76" s="1147">
        <f>IF(NOW()&gt;=DATE(YEAR(GU$2),MONTH(GU$2)+1,DAY(GU$2)),SUMIFS(AC_SOTIEN,AC_THANG,GU$2,AC_KM,$E76),SUMIFS(TF_SOTIEN,TF_THANG,GU$2,TF_KM,$E76))/ 1000</f>
        <v>0</v>
      </c>
      <c r="HB76" s="1091" t="str">
        <f t="shared" si="615"/>
        <v/>
      </c>
      <c r="HC76" s="1091" t="str">
        <f t="shared" si="758"/>
        <v/>
      </c>
      <c r="HD76" s="1147">
        <f t="shared" si="125"/>
        <v>-833</v>
      </c>
      <c r="HE76" s="1091">
        <f t="shared" si="126"/>
        <v>-1</v>
      </c>
      <c r="HF76" s="1147">
        <f t="shared" si="127"/>
        <v>-833</v>
      </c>
      <c r="HG76" s="1091">
        <f t="shared" si="128"/>
        <v>-1</v>
      </c>
      <c r="HH76" s="1146">
        <f t="shared" si="699"/>
        <v>2499</v>
      </c>
      <c r="HI76" s="1091" t="str">
        <f t="shared" si="616"/>
        <v/>
      </c>
      <c r="HJ76" s="1091">
        <f t="shared" si="759"/>
        <v>0.04424966799</v>
      </c>
      <c r="HK76" s="1147">
        <f t="shared" si="270"/>
        <v>2499</v>
      </c>
      <c r="HL76" s="1091" t="str">
        <f t="shared" si="617"/>
        <v/>
      </c>
      <c r="HM76" s="1091">
        <f t="shared" si="760"/>
        <v>0.04424966799</v>
      </c>
      <c r="HN76" s="1147">
        <f t="shared" si="273"/>
        <v>0</v>
      </c>
      <c r="HO76" s="1091" t="str">
        <f t="shared" si="618"/>
        <v/>
      </c>
      <c r="HP76" s="1091" t="str">
        <f t="shared" si="761"/>
        <v/>
      </c>
      <c r="HQ76" s="1147">
        <f t="shared" si="135"/>
        <v>-2499</v>
      </c>
      <c r="HR76" s="1091">
        <f t="shared" si="136"/>
        <v>-1</v>
      </c>
      <c r="HS76" s="1147">
        <f t="shared" si="137"/>
        <v>-2499</v>
      </c>
      <c r="HT76" s="1091">
        <f t="shared" si="138"/>
        <v>-1</v>
      </c>
      <c r="HU76" s="1146">
        <f t="shared" si="700"/>
        <v>4998</v>
      </c>
      <c r="HV76" s="1091" t="str">
        <f t="shared" si="619"/>
        <v/>
      </c>
      <c r="HW76" s="1091">
        <f t="shared" si="762"/>
        <v>0.04424966799</v>
      </c>
      <c r="HX76" s="1147">
        <f t="shared" si="279"/>
        <v>4998</v>
      </c>
      <c r="HY76" s="1091" t="str">
        <f t="shared" si="620"/>
        <v/>
      </c>
      <c r="HZ76" s="1091">
        <f t="shared" si="763"/>
        <v>0.04424966799</v>
      </c>
      <c r="IA76" s="1147">
        <f t="shared" si="282"/>
        <v>0</v>
      </c>
      <c r="IB76" s="1091" t="str">
        <f t="shared" si="621"/>
        <v/>
      </c>
      <c r="IC76" s="1091" t="str">
        <f t="shared" si="764"/>
        <v/>
      </c>
      <c r="ID76" s="1147">
        <f t="shared" si="145"/>
        <v>-4998</v>
      </c>
      <c r="IE76" s="1091">
        <f t="shared" si="146"/>
        <v>-1</v>
      </c>
      <c r="IF76" s="1147">
        <f t="shared" si="147"/>
        <v>-4998</v>
      </c>
      <c r="IG76" s="1091">
        <f t="shared" si="148"/>
        <v>-1</v>
      </c>
      <c r="IH76" s="1146">
        <f t="shared" si="701"/>
        <v>9996</v>
      </c>
      <c r="II76" s="1091" t="str">
        <f t="shared" si="622"/>
        <v/>
      </c>
      <c r="IJ76" s="1091">
        <f t="shared" si="765"/>
        <v>0.04366972477</v>
      </c>
      <c r="IK76" s="1147">
        <f t="shared" si="288"/>
        <v>13462.81</v>
      </c>
      <c r="IL76" s="1091" t="str">
        <f t="shared" si="623"/>
        <v/>
      </c>
      <c r="IM76" s="1091">
        <f t="shared" si="766"/>
        <v>0.06249641684</v>
      </c>
      <c r="IN76" s="1147">
        <f t="shared" si="291"/>
        <v>8777.738</v>
      </c>
      <c r="IO76" s="1091">
        <f t="shared" si="624"/>
        <v>0.02581687647</v>
      </c>
      <c r="IP76" s="1091">
        <f t="shared" si="767"/>
        <v>0.1186127627</v>
      </c>
      <c r="IQ76" s="1147">
        <f t="shared" si="155"/>
        <v>-1218.262</v>
      </c>
      <c r="IR76" s="1091">
        <f t="shared" si="1"/>
        <v>-0.12187495</v>
      </c>
      <c r="IS76" s="1147">
        <f t="shared" si="156"/>
        <v>-4685.072</v>
      </c>
      <c r="IT76" s="1091">
        <f t="shared" si="2"/>
        <v>-0.3480010488</v>
      </c>
    </row>
    <row r="77" hidden="1" outlineLevel="1">
      <c r="A77" s="737"/>
      <c r="B77" s="737"/>
      <c r="C77" s="737"/>
      <c r="D77" s="737" t="s">
        <v>2862</v>
      </c>
      <c r="E77" s="737" t="s">
        <v>2223</v>
      </c>
      <c r="F77" s="737"/>
      <c r="G77" s="748">
        <v>3.0</v>
      </c>
      <c r="H77" s="1146">
        <f>SUMIFS(BP_SOTIEN,BP_THANG,H$2,BP_KM,$E77)/1000</f>
        <v>4166</v>
      </c>
      <c r="I77" s="1091" t="str">
        <f t="shared" si="566"/>
        <v/>
      </c>
      <c r="J77" s="1091"/>
      <c r="K77" s="1147">
        <f>IF(NOW()&gt;=DATE(YEAR(H$2),MONTH(H$2)+1,DAY(H$2)),SUMIFS(TF_SOTIEN,TF_THANG,H$2,TF_KM,$E77)/1000, N77)</f>
        <v>4166</v>
      </c>
      <c r="L77" s="1091" t="str">
        <f t="shared" si="567"/>
        <v/>
      </c>
      <c r="M77" s="1091"/>
      <c r="N77" s="1147">
        <f>IF(NOW()&gt;=DATE(YEAR(H$2),MONTH(H$2)+1,DAY(H$2)),SUMIFS(AC_SOTIEN,AC_THANG,H$2,AC_KM,$E77),SUMIFS(TF_SOTIEN,TF_THANG,H$2,TF_KM,$E77))/ 1000</f>
        <v>0</v>
      </c>
      <c r="O77" s="1091">
        <f t="shared" si="568"/>
        <v>0</v>
      </c>
      <c r="P77" s="1091">
        <f t="shared" si="735"/>
        <v>0</v>
      </c>
      <c r="Q77" s="1147">
        <f t="shared" si="8"/>
        <v>-4166</v>
      </c>
      <c r="R77" s="1091">
        <f t="shared" si="9"/>
        <v>-1</v>
      </c>
      <c r="S77" s="1147">
        <f t="shared" si="10"/>
        <v>-4166</v>
      </c>
      <c r="T77" s="1091">
        <f t="shared" si="11"/>
        <v>-1</v>
      </c>
      <c r="U77" s="1146">
        <f>SUMIFS(BP_SOTIEN,BP_THANG,U$2,BP_KM,$E77)/1000</f>
        <v>4166</v>
      </c>
      <c r="V77" s="1091" t="str">
        <f t="shared" si="569"/>
        <v/>
      </c>
      <c r="W77" s="1091"/>
      <c r="X77" s="1147">
        <f>IF(NOW()&gt;=DATE(YEAR(U$2),MONTH(U$2)+1,DAY(U$2)),SUMIFS(TF_SOTIEN,TF_THANG,U$2,TF_KM,$E77)/1000, AA77)</f>
        <v>0</v>
      </c>
      <c r="Y77" s="1091" t="str">
        <f t="shared" si="570"/>
        <v/>
      </c>
      <c r="Z77" s="1091"/>
      <c r="AA77" s="1147">
        <f>IF(NOW()&gt;=DATE(YEAR(U$2),MONTH(U$2)+1,DAY(U$2)),SUMIFS(AC_SOTIEN,AC_THANG,U$2,AC_KM,$E77),SUMIFS(TF_SOTIEN,TF_THANG,U$2,TF_KM,$E77))/ 1000</f>
        <v>0</v>
      </c>
      <c r="AB77" s="1091" t="str">
        <f t="shared" si="571"/>
        <v/>
      </c>
      <c r="AC77" s="1091">
        <f t="shared" si="736"/>
        <v>0</v>
      </c>
      <c r="AD77" s="1147">
        <f t="shared" si="15"/>
        <v>-4166</v>
      </c>
      <c r="AE77" s="1091">
        <f t="shared" si="16"/>
        <v>-1</v>
      </c>
      <c r="AF77" s="1147">
        <f t="shared" si="17"/>
        <v>0</v>
      </c>
      <c r="AG77" s="1091" t="str">
        <f t="shared" si="18"/>
        <v/>
      </c>
      <c r="AH77" s="1146">
        <f>SUMIFS(BP_SOTIEN,BP_THANG,AH$2,BP_KM,$E77)/1000</f>
        <v>4166</v>
      </c>
      <c r="AI77" s="1091" t="str">
        <f t="shared" si="572"/>
        <v/>
      </c>
      <c r="AJ77" s="1091"/>
      <c r="AK77" s="1147">
        <f>IF(NOW()&gt;=DATE(YEAR(AH$2),MONTH(AH$2)+1,DAY(AH$2)),SUMIFS(TF_SOTIEN,TF_THANG,AH$2,TF_KM,$E77)/1000, AN77)</f>
        <v>0</v>
      </c>
      <c r="AL77" s="1091" t="str">
        <f t="shared" si="573"/>
        <v/>
      </c>
      <c r="AM77" s="1091"/>
      <c r="AN77" s="1147">
        <f>IF(NOW()&gt;=DATE(YEAR(AH$2),MONTH(AH$2)+1,DAY(AH$2)),SUMIFS(AC_SOTIEN,AC_THANG,AH$2,AC_KM,$E77),SUMIFS(TF_SOTIEN,TF_THANG,AH$2,TF_KM,$E77))/ 1000</f>
        <v>0</v>
      </c>
      <c r="AO77" s="1091" t="str">
        <f t="shared" si="574"/>
        <v/>
      </c>
      <c r="AP77" s="1091">
        <f t="shared" si="737"/>
        <v>0</v>
      </c>
      <c r="AQ77" s="1147">
        <f t="shared" si="22"/>
        <v>-4166</v>
      </c>
      <c r="AR77" s="1091">
        <f t="shared" si="23"/>
        <v>-1</v>
      </c>
      <c r="AS77" s="1147">
        <f t="shared" si="24"/>
        <v>0</v>
      </c>
      <c r="AT77" s="1091" t="str">
        <f t="shared" si="25"/>
        <v/>
      </c>
      <c r="AU77" s="1146">
        <f t="shared" si="691"/>
        <v>12498</v>
      </c>
      <c r="AV77" s="1091" t="str">
        <f t="shared" si="575"/>
        <v/>
      </c>
      <c r="AW77" s="1091">
        <f t="shared" si="738"/>
        <v>0.2101387137</v>
      </c>
      <c r="AX77" s="1147">
        <f t="shared" si="692"/>
        <v>4166</v>
      </c>
      <c r="AY77" s="1091" t="str">
        <f t="shared" si="576"/>
        <v/>
      </c>
      <c r="AZ77" s="1091">
        <f t="shared" si="739"/>
        <v>0.09044724273</v>
      </c>
      <c r="BA77" s="1147">
        <f t="shared" si="693"/>
        <v>0</v>
      </c>
      <c r="BB77" s="1091">
        <f t="shared" si="577"/>
        <v>0</v>
      </c>
      <c r="BC77" s="1091">
        <f t="shared" si="740"/>
        <v>0</v>
      </c>
      <c r="BD77" s="1147">
        <f t="shared" si="32"/>
        <v>-12498</v>
      </c>
      <c r="BE77" s="1091">
        <f t="shared" si="33"/>
        <v>-1</v>
      </c>
      <c r="BF77" s="1147">
        <f t="shared" si="34"/>
        <v>-4166</v>
      </c>
      <c r="BG77" s="1091">
        <f t="shared" si="35"/>
        <v>-1</v>
      </c>
      <c r="BH77" s="1146">
        <f>SUMIFS(BP_SOTIEN,BP_THANG,BH$2,BP_KM,$E77)/1000</f>
        <v>4166</v>
      </c>
      <c r="BI77" s="1091" t="str">
        <f t="shared" si="578"/>
        <v/>
      </c>
      <c r="BJ77" s="1091"/>
      <c r="BK77" s="1147">
        <f>IF(NOW()&gt;=DATE(YEAR(BH$2),MONTH(BH$2)+1,DAY(BH$2)),SUMIFS(TF_SOTIEN,TF_THANG,BH$2,TF_KM,$E77)/1000, BN77)</f>
        <v>0</v>
      </c>
      <c r="BL77" s="1091" t="str">
        <f t="shared" si="579"/>
        <v/>
      </c>
      <c r="BM77" s="1091"/>
      <c r="BN77" s="1147">
        <f>IF(NOW()&gt;=DATE(YEAR(BH$2),MONTH(BH$2)+1,DAY(BH$2)),SUMIFS(AC_SOTIEN,AC_THANG,BH$2,AC_KM,$E77),SUMIFS(TF_SOTIEN,TF_THANG,BH$2,TF_KM,$E77))/ 1000</f>
        <v>0</v>
      </c>
      <c r="BO77" s="1091" t="str">
        <f t="shared" si="580"/>
        <v/>
      </c>
      <c r="BP77" s="1091">
        <f t="shared" si="741"/>
        <v>0</v>
      </c>
      <c r="BQ77" s="1147">
        <f t="shared" si="39"/>
        <v>-4166</v>
      </c>
      <c r="BR77" s="1091">
        <f t="shared" si="40"/>
        <v>-1</v>
      </c>
      <c r="BS77" s="1147">
        <f t="shared" si="41"/>
        <v>0</v>
      </c>
      <c r="BT77" s="1091" t="str">
        <f t="shared" si="42"/>
        <v/>
      </c>
      <c r="BU77" s="1146">
        <f>SUMIFS(BP_SOTIEN,BP_THANG,BU$2,BP_KM,$E77)/1000</f>
        <v>4166</v>
      </c>
      <c r="BV77" s="1091" t="str">
        <f t="shared" si="581"/>
        <v/>
      </c>
      <c r="BW77" s="1091"/>
      <c r="BX77" s="1147">
        <f>IF(NOW()&gt;=DATE(YEAR(BU$2),MONTH(BU$2)+1,DAY(BU$2)),SUMIFS(TF_SOTIEN,TF_THANG,BU$2,TF_KM,$E77)/1000, CA77)</f>
        <v>4166</v>
      </c>
      <c r="BY77" s="1091" t="str">
        <f t="shared" si="582"/>
        <v/>
      </c>
      <c r="BZ77" s="1091"/>
      <c r="CA77" s="1147">
        <f>IF(NOW()&gt;=DATE(YEAR(BU$2),MONTH(BU$2)+1,DAY(BU$2)),SUMIFS(AC_SOTIEN,AC_THANG,BU$2,AC_KM,$E77),SUMIFS(TF_SOTIEN,TF_THANG,BU$2,TF_KM,$E77))/ 1000</f>
        <v>0</v>
      </c>
      <c r="CB77" s="1091" t="str">
        <f t="shared" si="583"/>
        <v/>
      </c>
      <c r="CC77" s="1091">
        <f t="shared" si="742"/>
        <v>0</v>
      </c>
      <c r="CD77" s="1147">
        <f t="shared" si="46"/>
        <v>-4166</v>
      </c>
      <c r="CE77" s="1091">
        <f t="shared" si="47"/>
        <v>-1</v>
      </c>
      <c r="CF77" s="1147">
        <f t="shared" si="48"/>
        <v>-4166</v>
      </c>
      <c r="CG77" s="1091">
        <f t="shared" si="49"/>
        <v>-1</v>
      </c>
      <c r="CH77" s="1146">
        <f>SUMIFS(BP_SOTIEN,BP_THANG,CH$2,BP_KM,$E77)/1000</f>
        <v>4166</v>
      </c>
      <c r="CI77" s="1091" t="str">
        <f t="shared" si="584"/>
        <v/>
      </c>
      <c r="CJ77" s="1091"/>
      <c r="CK77" s="1147">
        <f>IF(NOW()&gt;=DATE(YEAR(CH$2),MONTH(CH$2)+1,DAY(CH$2)),SUMIFS(TF_SOTIEN,TF_THANG,CH$2,TF_KM,$E77)/1000, CN77)</f>
        <v>4166</v>
      </c>
      <c r="CL77" s="1091" t="str">
        <f t="shared" si="585"/>
        <v/>
      </c>
      <c r="CM77" s="1091"/>
      <c r="CN77" s="1147">
        <f>IF(NOW()&gt;=DATE(YEAR(CH$2),MONTH(CH$2)+1,DAY(CH$2)),SUMIFS(AC_SOTIEN,AC_THANG,CH$2,AC_KM,$E77),SUMIFS(TF_SOTIEN,TF_THANG,CH$2,TF_KM,$E77))/ 1000</f>
        <v>0</v>
      </c>
      <c r="CO77" s="1091" t="str">
        <f t="shared" si="586"/>
        <v/>
      </c>
      <c r="CP77" s="1091" t="str">
        <f t="shared" si="743"/>
        <v/>
      </c>
      <c r="CQ77" s="1147">
        <f t="shared" si="53"/>
        <v>-4166</v>
      </c>
      <c r="CR77" s="1091">
        <f t="shared" si="54"/>
        <v>-1</v>
      </c>
      <c r="CS77" s="1147">
        <f t="shared" si="55"/>
        <v>-4166</v>
      </c>
      <c r="CT77" s="1091">
        <f t="shared" si="56"/>
        <v>-1</v>
      </c>
      <c r="CU77" s="1146">
        <f t="shared" si="694"/>
        <v>12498</v>
      </c>
      <c r="CV77" s="1091" t="str">
        <f t="shared" si="587"/>
        <v/>
      </c>
      <c r="CW77" s="1091">
        <f t="shared" si="744"/>
        <v>0.2213014608</v>
      </c>
      <c r="CX77" s="1147">
        <f t="shared" si="695"/>
        <v>8332</v>
      </c>
      <c r="CY77" s="1091" t="str">
        <f t="shared" si="589"/>
        <v/>
      </c>
      <c r="CZ77" s="1091">
        <f t="shared" si="745"/>
        <v>0.1477113516</v>
      </c>
      <c r="DA77" s="1147">
        <f t="shared" si="696"/>
        <v>0</v>
      </c>
      <c r="DB77" s="1091" t="str">
        <f t="shared" si="591"/>
        <v/>
      </c>
      <c r="DC77" s="1091">
        <f t="shared" si="746"/>
        <v>0</v>
      </c>
      <c r="DD77" s="1147">
        <f t="shared" si="63"/>
        <v>-12498</v>
      </c>
      <c r="DE77" s="1091">
        <f t="shared" si="64"/>
        <v>-1</v>
      </c>
      <c r="DF77" s="1147">
        <f t="shared" si="65"/>
        <v>-8332</v>
      </c>
      <c r="DG77" s="1091">
        <f t="shared" si="66"/>
        <v>-1</v>
      </c>
      <c r="DH77" s="1146">
        <f t="shared" si="697"/>
        <v>24996</v>
      </c>
      <c r="DI77" s="1091" t="str">
        <f t="shared" si="592"/>
        <v/>
      </c>
      <c r="DJ77" s="1091">
        <f t="shared" si="747"/>
        <v>0.2155756792</v>
      </c>
      <c r="DK77" s="1147">
        <f t="shared" si="216"/>
        <v>12498</v>
      </c>
      <c r="DL77" s="1091" t="str">
        <f t="shared" si="593"/>
        <v/>
      </c>
      <c r="DM77" s="1091">
        <f t="shared" si="748"/>
        <v>0.121970607</v>
      </c>
      <c r="DN77" s="1147">
        <f t="shared" si="219"/>
        <v>0</v>
      </c>
      <c r="DO77" s="1091">
        <f t="shared" si="594"/>
        <v>0</v>
      </c>
      <c r="DP77" s="1091">
        <f t="shared" si="749"/>
        <v>0</v>
      </c>
      <c r="DQ77" s="1147">
        <f t="shared" si="73"/>
        <v>-24996</v>
      </c>
      <c r="DR77" s="1091">
        <f t="shared" si="74"/>
        <v>-1</v>
      </c>
      <c r="DS77" s="1147">
        <f t="shared" si="75"/>
        <v>-12498</v>
      </c>
      <c r="DT77" s="1091">
        <f t="shared" si="76"/>
        <v>-1</v>
      </c>
      <c r="DU77" s="1146">
        <f>SUMIFS(BP_SOTIEN,BP_THANG,DU$2,BP_KM,$E77)/1000</f>
        <v>4166</v>
      </c>
      <c r="DV77" s="1091" t="str">
        <f t="shared" si="595"/>
        <v/>
      </c>
      <c r="DW77" s="1091"/>
      <c r="DX77" s="1147">
        <f>IF(NOW()&gt;=DATE(YEAR(DU$2),MONTH(DU$2)+1,DAY(DU$2)),SUMIFS(TF_SOTIEN,TF_THANG,DU$2,TF_KM,$E77)/1000, EA77)</f>
        <v>4166</v>
      </c>
      <c r="DY77" s="1091" t="str">
        <f t="shared" si="596"/>
        <v/>
      </c>
      <c r="DZ77" s="1091"/>
      <c r="EA77" s="1147">
        <f>IF(NOW()&gt;=DATE(YEAR(DU$2),MONTH(DU$2)+1,DAY(DU$2)),SUMIFS(AC_SOTIEN,AC_THANG,DU$2,AC_KM,$E77),SUMIFS(TF_SOTIEN,TF_THANG,DU$2,TF_KM,$E77))/ 1000</f>
        <v>0</v>
      </c>
      <c r="EB77" s="1091" t="str">
        <f t="shared" si="597"/>
        <v/>
      </c>
      <c r="EC77" s="1091" t="str">
        <f t="shared" si="750"/>
        <v/>
      </c>
      <c r="ED77" s="1147">
        <f t="shared" si="80"/>
        <v>-4166</v>
      </c>
      <c r="EE77" s="1091">
        <f t="shared" si="81"/>
        <v>-1</v>
      </c>
      <c r="EF77" s="1147">
        <f t="shared" si="82"/>
        <v>-4166</v>
      </c>
      <c r="EG77" s="1091">
        <f t="shared" si="83"/>
        <v>-1</v>
      </c>
      <c r="EH77" s="1146">
        <f>SUMIFS(BP_SOTIEN,BP_THANG,EH$2,BP_KM,$E77)/1000</f>
        <v>4166</v>
      </c>
      <c r="EI77" s="1091" t="str">
        <f t="shared" si="598"/>
        <v/>
      </c>
      <c r="EJ77" s="1091"/>
      <c r="EK77" s="1147">
        <f>IF(NOW()&gt;=DATE(YEAR(EH$2),MONTH(EH$2)+1,DAY(EH$2)),SUMIFS(TF_SOTIEN,TF_THANG,EH$2,TF_KM,$E77)/1000, EN77)</f>
        <v>4166</v>
      </c>
      <c r="EL77" s="1091" t="str">
        <f t="shared" si="599"/>
        <v/>
      </c>
      <c r="EM77" s="1091"/>
      <c r="EN77" s="1147">
        <f>IF(NOW()&gt;=DATE(YEAR(EH$2),MONTH(EH$2)+1,DAY(EH$2)),SUMIFS(AC_SOTIEN,AC_THANG,EH$2,AC_KM,$E77),SUMIFS(TF_SOTIEN,TF_THANG,EH$2,TF_KM,$E77))/ 1000</f>
        <v>0</v>
      </c>
      <c r="EO77" s="1091" t="str">
        <f t="shared" si="600"/>
        <v/>
      </c>
      <c r="EP77" s="1091" t="str">
        <f t="shared" si="751"/>
        <v/>
      </c>
      <c r="EQ77" s="1147">
        <f t="shared" si="87"/>
        <v>-4166</v>
      </c>
      <c r="ER77" s="1091">
        <f t="shared" si="88"/>
        <v>-1</v>
      </c>
      <c r="ES77" s="1147">
        <f t="shared" si="89"/>
        <v>-4166</v>
      </c>
      <c r="ET77" s="1091">
        <f t="shared" si="90"/>
        <v>-1</v>
      </c>
      <c r="EU77" s="1146">
        <f>SUMIFS(BP_SOTIEN,BP_THANG,EU$2,BP_KM,$E77)/1000</f>
        <v>4166</v>
      </c>
      <c r="EV77" s="1091" t="str">
        <f t="shared" si="601"/>
        <v/>
      </c>
      <c r="EW77" s="1091"/>
      <c r="EX77" s="1147">
        <f>IF(NOW()&gt;=DATE(YEAR(EU$2),MONTH(EU$2)+1,DAY(EU$2)),SUMIFS(TF_SOTIEN,TF_THANG,EU$2,TF_KM,$E77)/1000, FA77)</f>
        <v>4166</v>
      </c>
      <c r="EY77" s="1091" t="str">
        <f t="shared" si="602"/>
        <v/>
      </c>
      <c r="EZ77" s="1091"/>
      <c r="FA77" s="1147">
        <f>IF(NOW()&gt;=DATE(YEAR(EU$2),MONTH(EU$2)+1,DAY(EU$2)),SUMIFS(AC_SOTIEN,AC_THANG,EU$2,AC_KM,$E77),SUMIFS(TF_SOTIEN,TF_THANG,EU$2,TF_KM,$E77))/ 1000</f>
        <v>0</v>
      </c>
      <c r="FB77" s="1091" t="str">
        <f t="shared" si="603"/>
        <v/>
      </c>
      <c r="FC77" s="1091" t="str">
        <f t="shared" si="752"/>
        <v/>
      </c>
      <c r="FD77" s="1147">
        <f t="shared" si="94"/>
        <v>-4166</v>
      </c>
      <c r="FE77" s="1091">
        <f t="shared" si="95"/>
        <v>-1</v>
      </c>
      <c r="FF77" s="1147">
        <f t="shared" si="96"/>
        <v>-4166</v>
      </c>
      <c r="FG77" s="1091">
        <f t="shared" si="97"/>
        <v>-1</v>
      </c>
      <c r="FH77" s="1146">
        <f t="shared" si="698"/>
        <v>12498</v>
      </c>
      <c r="FI77" s="1091" t="str">
        <f t="shared" si="604"/>
        <v/>
      </c>
      <c r="FJ77" s="1091">
        <f t="shared" si="753"/>
        <v>0.2213014608</v>
      </c>
      <c r="FK77" s="1147">
        <f t="shared" si="243"/>
        <v>12498</v>
      </c>
      <c r="FL77" s="1091" t="str">
        <f t="shared" si="605"/>
        <v/>
      </c>
      <c r="FM77" s="1091">
        <f t="shared" si="754"/>
        <v>0.2213014608</v>
      </c>
      <c r="FN77" s="1147">
        <f t="shared" si="246"/>
        <v>0</v>
      </c>
      <c r="FO77" s="1091" t="str">
        <f t="shared" si="606"/>
        <v/>
      </c>
      <c r="FP77" s="1091" t="str">
        <f t="shared" si="755"/>
        <v/>
      </c>
      <c r="FQ77" s="1147">
        <f t="shared" si="104"/>
        <v>-12498</v>
      </c>
      <c r="FR77" s="1091">
        <f t="shared" si="105"/>
        <v>-1</v>
      </c>
      <c r="FS77" s="1147">
        <f t="shared" si="106"/>
        <v>-12498</v>
      </c>
      <c r="FT77" s="1091">
        <f t="shared" si="107"/>
        <v>-1</v>
      </c>
      <c r="FU77" s="1146">
        <f>SUMIFS(BP_SOTIEN,BP_THANG,FU$2,BP_KM,$E77)/1000</f>
        <v>4166</v>
      </c>
      <c r="FV77" s="1091" t="str">
        <f t="shared" si="607"/>
        <v/>
      </c>
      <c r="FW77" s="1091"/>
      <c r="FX77" s="1147">
        <f>IF(NOW()&gt;=DATE(YEAR(FU$2),MONTH(FU$2)+1,DAY(FU$2)),SUMIFS(TF_SOTIEN,TF_THANG,FU$2,TF_KM,$E77)/1000, GA77)</f>
        <v>4166</v>
      </c>
      <c r="FY77" s="1091" t="str">
        <f t="shared" si="608"/>
        <v/>
      </c>
      <c r="FZ77" s="1091"/>
      <c r="GA77" s="1147">
        <f>IF(NOW()&gt;=DATE(YEAR(FU$2),MONTH(FU$2)+1,DAY(FU$2)),SUMIFS(AC_SOTIEN,AC_THANG,FU$2,AC_KM,$E77),SUMIFS(TF_SOTIEN,TF_THANG,FU$2,TF_KM,$E77))/ 1000</f>
        <v>0</v>
      </c>
      <c r="GB77" s="1091" t="str">
        <f t="shared" si="609"/>
        <v/>
      </c>
      <c r="GC77" s="1091" t="str">
        <f t="shared" si="756"/>
        <v/>
      </c>
      <c r="GD77" s="1147">
        <f t="shared" si="111"/>
        <v>-4166</v>
      </c>
      <c r="GE77" s="1091">
        <f t="shared" si="112"/>
        <v>-1</v>
      </c>
      <c r="GF77" s="1147">
        <f t="shared" si="113"/>
        <v>-4166</v>
      </c>
      <c r="GG77" s="1091">
        <f t="shared" si="114"/>
        <v>-1</v>
      </c>
      <c r="GH77" s="1146">
        <f>SUMIFS(BP_SOTIEN,BP_THANG,GH$2,BP_KM,$E77)/1000</f>
        <v>4166</v>
      </c>
      <c r="GI77" s="1091" t="str">
        <f t="shared" si="610"/>
        <v/>
      </c>
      <c r="GJ77" s="1091"/>
      <c r="GK77" s="1147">
        <f>IF(NOW()&gt;=DATE(YEAR(GH$2),MONTH(GH$2)+1,DAY(GH$2)),SUMIFS(TF_SOTIEN,TF_THANG,GH$2,TF_KM,$E77)/1000, GN77)</f>
        <v>4166</v>
      </c>
      <c r="GL77" s="1091" t="str">
        <f t="shared" si="611"/>
        <v/>
      </c>
      <c r="GM77" s="1091"/>
      <c r="GN77" s="1147">
        <f>IF(NOW()&gt;=DATE(YEAR(GH$2),MONTH(GH$2)+1,DAY(GH$2)),SUMIFS(AC_SOTIEN,AC_THANG,GH$2,AC_KM,$E77),SUMIFS(TF_SOTIEN,TF_THANG,GH$2,TF_KM,$E77))/ 1000</f>
        <v>0</v>
      </c>
      <c r="GO77" s="1091" t="str">
        <f t="shared" si="612"/>
        <v/>
      </c>
      <c r="GP77" s="1091" t="str">
        <f t="shared" si="757"/>
        <v/>
      </c>
      <c r="GQ77" s="1147">
        <f t="shared" si="118"/>
        <v>-4166</v>
      </c>
      <c r="GR77" s="1091">
        <f t="shared" si="119"/>
        <v>-1</v>
      </c>
      <c r="GS77" s="1147">
        <f t="shared" si="120"/>
        <v>-4166</v>
      </c>
      <c r="GT77" s="1091">
        <f t="shared" si="121"/>
        <v>-1</v>
      </c>
      <c r="GU77" s="1146">
        <f>SUMIFS(BP_SOTIEN,BP_THANG,GU$2,BP_KM,$E77)/1000</f>
        <v>4166</v>
      </c>
      <c r="GV77" s="1091" t="str">
        <f t="shared" si="613"/>
        <v/>
      </c>
      <c r="GW77" s="1091"/>
      <c r="GX77" s="1147">
        <f>IF(NOW()&gt;=DATE(YEAR(GU$2),MONTH(GU$2)+1,DAY(GU$2)),SUMIFS(TF_SOTIEN,TF_THANG,GU$2,TF_KM,$E77)/1000, HA77)</f>
        <v>4166</v>
      </c>
      <c r="GY77" s="1091" t="str">
        <f t="shared" si="614"/>
        <v/>
      </c>
      <c r="GZ77" s="1091"/>
      <c r="HA77" s="1147">
        <f>IF(NOW()&gt;=DATE(YEAR(GU$2),MONTH(GU$2)+1,DAY(GU$2)),SUMIFS(AC_SOTIEN,AC_THANG,GU$2,AC_KM,$E77),SUMIFS(TF_SOTIEN,TF_THANG,GU$2,TF_KM,$E77))/ 1000</f>
        <v>0</v>
      </c>
      <c r="HB77" s="1091" t="str">
        <f t="shared" si="615"/>
        <v/>
      </c>
      <c r="HC77" s="1091" t="str">
        <f t="shared" si="758"/>
        <v/>
      </c>
      <c r="HD77" s="1147">
        <f t="shared" si="125"/>
        <v>-4166</v>
      </c>
      <c r="HE77" s="1091">
        <f t="shared" si="126"/>
        <v>-1</v>
      </c>
      <c r="HF77" s="1147">
        <f t="shared" si="127"/>
        <v>-4166</v>
      </c>
      <c r="HG77" s="1091">
        <f t="shared" si="128"/>
        <v>-1</v>
      </c>
      <c r="HH77" s="1146">
        <f t="shared" si="699"/>
        <v>12498</v>
      </c>
      <c r="HI77" s="1091" t="str">
        <f t="shared" si="616"/>
        <v/>
      </c>
      <c r="HJ77" s="1091">
        <f t="shared" si="759"/>
        <v>0.2213014608</v>
      </c>
      <c r="HK77" s="1147">
        <f t="shared" si="270"/>
        <v>12498</v>
      </c>
      <c r="HL77" s="1091" t="str">
        <f t="shared" si="617"/>
        <v/>
      </c>
      <c r="HM77" s="1091">
        <f t="shared" si="760"/>
        <v>0.2213014608</v>
      </c>
      <c r="HN77" s="1147">
        <f t="shared" si="273"/>
        <v>0</v>
      </c>
      <c r="HO77" s="1091" t="str">
        <f t="shared" si="618"/>
        <v/>
      </c>
      <c r="HP77" s="1091" t="str">
        <f t="shared" si="761"/>
        <v/>
      </c>
      <c r="HQ77" s="1147">
        <f t="shared" si="135"/>
        <v>-12498</v>
      </c>
      <c r="HR77" s="1091">
        <f t="shared" si="136"/>
        <v>-1</v>
      </c>
      <c r="HS77" s="1147">
        <f t="shared" si="137"/>
        <v>-12498</v>
      </c>
      <c r="HT77" s="1091">
        <f t="shared" si="138"/>
        <v>-1</v>
      </c>
      <c r="HU77" s="1146">
        <f t="shared" si="700"/>
        <v>24996</v>
      </c>
      <c r="HV77" s="1091" t="str">
        <f t="shared" si="619"/>
        <v/>
      </c>
      <c r="HW77" s="1091">
        <f t="shared" si="762"/>
        <v>0.2213014608</v>
      </c>
      <c r="HX77" s="1147">
        <f t="shared" si="279"/>
        <v>24996</v>
      </c>
      <c r="HY77" s="1091" t="str">
        <f t="shared" si="620"/>
        <v/>
      </c>
      <c r="HZ77" s="1091">
        <f t="shared" si="763"/>
        <v>0.2213014608</v>
      </c>
      <c r="IA77" s="1147">
        <f t="shared" si="282"/>
        <v>0</v>
      </c>
      <c r="IB77" s="1091" t="str">
        <f t="shared" si="621"/>
        <v/>
      </c>
      <c r="IC77" s="1091" t="str">
        <f t="shared" si="764"/>
        <v/>
      </c>
      <c r="ID77" s="1147">
        <f t="shared" si="145"/>
        <v>-24996</v>
      </c>
      <c r="IE77" s="1091">
        <f t="shared" si="146"/>
        <v>-1</v>
      </c>
      <c r="IF77" s="1147">
        <f t="shared" si="147"/>
        <v>-24996</v>
      </c>
      <c r="IG77" s="1091">
        <f t="shared" si="148"/>
        <v>-1</v>
      </c>
      <c r="IH77" s="1146">
        <f t="shared" si="701"/>
        <v>49992</v>
      </c>
      <c r="II77" s="1091" t="str">
        <f t="shared" si="622"/>
        <v/>
      </c>
      <c r="IJ77" s="1091">
        <f t="shared" si="765"/>
        <v>0.2184010485</v>
      </c>
      <c r="IK77" s="1147">
        <f t="shared" si="288"/>
        <v>37494</v>
      </c>
      <c r="IL77" s="1091" t="str">
        <f t="shared" si="623"/>
        <v/>
      </c>
      <c r="IM77" s="1091">
        <f t="shared" si="766"/>
        <v>0.1740528651</v>
      </c>
      <c r="IN77" s="1147">
        <f t="shared" si="291"/>
        <v>0</v>
      </c>
      <c r="IO77" s="1091">
        <f t="shared" si="624"/>
        <v>0</v>
      </c>
      <c r="IP77" s="1091">
        <f t="shared" si="767"/>
        <v>0</v>
      </c>
      <c r="IQ77" s="1147">
        <f t="shared" si="155"/>
        <v>-49992</v>
      </c>
      <c r="IR77" s="1091">
        <f t="shared" si="1"/>
        <v>-1</v>
      </c>
      <c r="IS77" s="1147">
        <f t="shared" si="156"/>
        <v>-37494</v>
      </c>
      <c r="IT77" s="1091">
        <f t="shared" si="2"/>
        <v>-1</v>
      </c>
    </row>
    <row r="78" hidden="1" outlineLevel="1">
      <c r="A78" s="737"/>
      <c r="B78" s="737"/>
      <c r="C78" s="737"/>
      <c r="D78" s="737" t="s">
        <v>2863</v>
      </c>
      <c r="E78" s="737" t="s">
        <v>272</v>
      </c>
      <c r="F78" s="737"/>
      <c r="G78" s="748">
        <v>3.0</v>
      </c>
      <c r="H78" s="1146">
        <f>SUMIFS(BP_SOTIEN,BP_THANG,H$2,BP_KM,$E78)/1000</f>
        <v>6666</v>
      </c>
      <c r="I78" s="1091" t="str">
        <f t="shared" si="566"/>
        <v/>
      </c>
      <c r="J78" s="1091"/>
      <c r="K78" s="1147">
        <f>IF(NOW()&gt;=DATE(YEAR(H$2),MONTH(H$2)+1,DAY(H$2)),SUMIFS(TF_SOTIEN,TF_THANG,H$2,TF_KM,$E78)/1000, N78)</f>
        <v>6666</v>
      </c>
      <c r="L78" s="1091" t="str">
        <f t="shared" si="567"/>
        <v/>
      </c>
      <c r="M78" s="1091"/>
      <c r="N78" s="1147">
        <f>IF(NOW()&gt;=DATE(YEAR(H$2),MONTH(H$2)+1,DAY(H$2)),SUMIFS(AC_SOTIEN,AC_THANG,H$2,AC_KM,$E78),SUMIFS(TF_SOTIEN,TF_THANG,H$2,TF_KM,$E78))/ 1000</f>
        <v>5345.848</v>
      </c>
      <c r="O78" s="1091">
        <f t="shared" si="568"/>
        <v>0.01572308235</v>
      </c>
      <c r="P78" s="1091">
        <f t="shared" si="735"/>
        <v>0.5255562689</v>
      </c>
      <c r="Q78" s="1147">
        <f t="shared" si="8"/>
        <v>-1320.152</v>
      </c>
      <c r="R78" s="1091">
        <f t="shared" si="9"/>
        <v>-0.1980426043</v>
      </c>
      <c r="S78" s="1147">
        <f t="shared" si="10"/>
        <v>-1320.152</v>
      </c>
      <c r="T78" s="1091">
        <f t="shared" si="11"/>
        <v>-0.1980426043</v>
      </c>
      <c r="U78" s="1146">
        <f>SUMIFS(BP_SOTIEN,BP_THANG,U$2,BP_KM,$E78)/1000</f>
        <v>6666</v>
      </c>
      <c r="V78" s="1091" t="str">
        <f t="shared" si="569"/>
        <v/>
      </c>
      <c r="W78" s="1091"/>
      <c r="X78" s="1147">
        <f>IF(NOW()&gt;=DATE(YEAR(U$2),MONTH(U$2)+1,DAY(U$2)),SUMIFS(TF_SOTIEN,TF_THANG,U$2,TF_KM,$E78)/1000, AA78)</f>
        <v>1829</v>
      </c>
      <c r="Y78" s="1091" t="str">
        <f t="shared" si="570"/>
        <v/>
      </c>
      <c r="Z78" s="1091"/>
      <c r="AA78" s="1147">
        <f>IF(NOW()&gt;=DATE(YEAR(U$2),MONTH(U$2)+1,DAY(U$2)),SUMIFS(AC_SOTIEN,AC_THANG,U$2,AC_KM,$E78),SUMIFS(TF_SOTIEN,TF_THANG,U$2,TF_KM,$E78))/ 1000</f>
        <v>1828.999</v>
      </c>
      <c r="AB78" s="1091" t="str">
        <f t="shared" si="571"/>
        <v/>
      </c>
      <c r="AC78" s="1091">
        <f t="shared" si="736"/>
        <v>0.177068143</v>
      </c>
      <c r="AD78" s="1147">
        <f t="shared" si="15"/>
        <v>-4837.001</v>
      </c>
      <c r="AE78" s="1091">
        <f t="shared" si="16"/>
        <v>-0.7256227123</v>
      </c>
      <c r="AF78" s="1147">
        <f t="shared" si="17"/>
        <v>-0.001</v>
      </c>
      <c r="AG78" s="1091">
        <f t="shared" si="18"/>
        <v>-0.0000005467468562</v>
      </c>
      <c r="AH78" s="1146">
        <f>SUMIFS(BP_SOTIEN,BP_THANG,AH$2,BP_KM,$E78)/1000</f>
        <v>6666</v>
      </c>
      <c r="AI78" s="1091" t="str">
        <f t="shared" si="572"/>
        <v/>
      </c>
      <c r="AJ78" s="1091"/>
      <c r="AK78" s="1147">
        <f>IF(NOW()&gt;=DATE(YEAR(AH$2),MONTH(AH$2)+1,DAY(AH$2)),SUMIFS(TF_SOTIEN,TF_THANG,AH$2,TF_KM,$E78)/1000, AN78)</f>
        <v>1829</v>
      </c>
      <c r="AL78" s="1091" t="str">
        <f t="shared" si="573"/>
        <v/>
      </c>
      <c r="AM78" s="1091"/>
      <c r="AN78" s="1147">
        <f>IF(NOW()&gt;=DATE(YEAR(AH$2),MONTH(AH$2)+1,DAY(AH$2)),SUMIFS(AC_SOTIEN,AC_THANG,AH$2,AC_KM,$E78),SUMIFS(TF_SOTIEN,TF_THANG,AH$2,TF_KM,$E78))/ 1000</f>
        <v>6022.356</v>
      </c>
      <c r="AO78" s="1091" t="str">
        <f t="shared" si="574"/>
        <v/>
      </c>
      <c r="AP78" s="1091">
        <f t="shared" si="737"/>
        <v>0.3340731842</v>
      </c>
      <c r="AQ78" s="1147">
        <f t="shared" si="22"/>
        <v>-643.644</v>
      </c>
      <c r="AR78" s="1091">
        <f t="shared" si="23"/>
        <v>-0.09655625563</v>
      </c>
      <c r="AS78" s="1147">
        <f t="shared" si="24"/>
        <v>4193.356</v>
      </c>
      <c r="AT78" s="1091">
        <f t="shared" si="25"/>
        <v>2.29270421</v>
      </c>
      <c r="AU78" s="1146">
        <f t="shared" si="691"/>
        <v>19998</v>
      </c>
      <c r="AV78" s="1091" t="str">
        <f t="shared" si="575"/>
        <v/>
      </c>
      <c r="AW78" s="1091">
        <f t="shared" si="738"/>
        <v>0.3362421185</v>
      </c>
      <c r="AX78" s="1147">
        <f t="shared" si="692"/>
        <v>10324</v>
      </c>
      <c r="AY78" s="1091" t="str">
        <f t="shared" si="576"/>
        <v/>
      </c>
      <c r="AZ78" s="1091">
        <f t="shared" si="739"/>
        <v>0.2241424229</v>
      </c>
      <c r="BA78" s="1147">
        <f t="shared" si="693"/>
        <v>13197.203</v>
      </c>
      <c r="BB78" s="1091">
        <f t="shared" si="577"/>
        <v>0.03881530294</v>
      </c>
      <c r="BC78" s="1091">
        <f t="shared" si="740"/>
        <v>0.3425336254</v>
      </c>
      <c r="BD78" s="1147">
        <f t="shared" si="32"/>
        <v>-6800.797</v>
      </c>
      <c r="BE78" s="1091">
        <f t="shared" si="33"/>
        <v>-0.3400738574</v>
      </c>
      <c r="BF78" s="1147">
        <f t="shared" si="34"/>
        <v>2873.203</v>
      </c>
      <c r="BG78" s="1091">
        <f t="shared" si="35"/>
        <v>0.2783032739</v>
      </c>
      <c r="BH78" s="1146">
        <f>SUMIFS(BP_SOTIEN,BP_THANG,BH$2,BP_KM,$E78)/1000</f>
        <v>6666</v>
      </c>
      <c r="BI78" s="1091" t="str">
        <f t="shared" si="578"/>
        <v/>
      </c>
      <c r="BJ78" s="1091"/>
      <c r="BK78" s="1147">
        <f>IF(NOW()&gt;=DATE(YEAR(BH$2),MONTH(BH$2)+1,DAY(BH$2)),SUMIFS(TF_SOTIEN,TF_THANG,BH$2,TF_KM,$E78)/1000, BN78)</f>
        <v>6000</v>
      </c>
      <c r="BL78" s="1091" t="str">
        <f t="shared" si="579"/>
        <v/>
      </c>
      <c r="BM78" s="1091"/>
      <c r="BN78" s="1147">
        <f>IF(NOW()&gt;=DATE(YEAR(BH$2),MONTH(BH$2)+1,DAY(BH$2)),SUMIFS(AC_SOTIEN,AC_THANG,BH$2,AC_KM,$E78),SUMIFS(TF_SOTIEN,TF_THANG,BH$2,TF_KM,$E78))/ 1000</f>
        <v>7272.5</v>
      </c>
      <c r="BO78" s="1091" t="str">
        <f t="shared" si="580"/>
        <v/>
      </c>
      <c r="BP78" s="1091">
        <f t="shared" si="741"/>
        <v>0.4183806514</v>
      </c>
      <c r="BQ78" s="1147">
        <f t="shared" si="39"/>
        <v>606.5</v>
      </c>
      <c r="BR78" s="1091">
        <f t="shared" si="40"/>
        <v>0.09098409841</v>
      </c>
      <c r="BS78" s="1147">
        <f t="shared" si="41"/>
        <v>1272.5</v>
      </c>
      <c r="BT78" s="1091">
        <f t="shared" si="42"/>
        <v>0.2120833333</v>
      </c>
      <c r="BU78" s="1146">
        <f>SUMIFS(BP_SOTIEN,BP_THANG,BU$2,BP_KM,$E78)/1000</f>
        <v>6666</v>
      </c>
      <c r="BV78" s="1091" t="str">
        <f t="shared" si="581"/>
        <v/>
      </c>
      <c r="BW78" s="1091"/>
      <c r="BX78" s="1147">
        <f>IF(NOW()&gt;=DATE(YEAR(BU$2),MONTH(BU$2)+1,DAY(BU$2)),SUMIFS(TF_SOTIEN,TF_THANG,BU$2,TF_KM,$E78)/1000, CA78)</f>
        <v>6666</v>
      </c>
      <c r="BY78" s="1091" t="str">
        <f t="shared" si="582"/>
        <v/>
      </c>
      <c r="BZ78" s="1091"/>
      <c r="CA78" s="1147">
        <f>IF(NOW()&gt;=DATE(YEAR(BU$2),MONTH(BU$2)+1,DAY(BU$2)),SUMIFS(AC_SOTIEN,AC_THANG,BU$2,AC_KM,$E78),SUMIFS(TF_SOTIEN,TF_THANG,BU$2,TF_KM,$E78))/ 1000</f>
        <v>8868.815</v>
      </c>
      <c r="CB78" s="1091" t="str">
        <f t="shared" si="583"/>
        <v/>
      </c>
      <c r="CC78" s="1091">
        <f t="shared" si="742"/>
        <v>0.4901895109</v>
      </c>
      <c r="CD78" s="1147">
        <f t="shared" si="46"/>
        <v>2202.815</v>
      </c>
      <c r="CE78" s="1091">
        <f t="shared" si="47"/>
        <v>0.3304552955</v>
      </c>
      <c r="CF78" s="1147">
        <f t="shared" si="48"/>
        <v>2202.815</v>
      </c>
      <c r="CG78" s="1091">
        <f t="shared" si="49"/>
        <v>0.3304552955</v>
      </c>
      <c r="CH78" s="1146">
        <f>SUMIFS(BP_SOTIEN,BP_THANG,CH$2,BP_KM,$E78)/1000</f>
        <v>6666</v>
      </c>
      <c r="CI78" s="1091" t="str">
        <f t="shared" si="584"/>
        <v/>
      </c>
      <c r="CJ78" s="1091"/>
      <c r="CK78" s="1147">
        <f>IF(NOW()&gt;=DATE(YEAR(CH$2),MONTH(CH$2)+1,DAY(CH$2)),SUMIFS(TF_SOTIEN,TF_THANG,CH$2,TF_KM,$E78)/1000, CN78)</f>
        <v>9000</v>
      </c>
      <c r="CL78" s="1091" t="str">
        <f t="shared" si="585"/>
        <v/>
      </c>
      <c r="CM78" s="1091"/>
      <c r="CN78" s="1147">
        <f>IF(NOW()&gt;=DATE(YEAR(CH$2),MONTH(CH$2)+1,DAY(CH$2)),SUMIFS(AC_SOTIEN,AC_THANG,CH$2,AC_KM,$E78),SUMIFS(TF_SOTIEN,TF_THANG,CH$2,TF_KM,$E78))/ 1000</f>
        <v>0</v>
      </c>
      <c r="CO78" s="1091" t="str">
        <f t="shared" si="586"/>
        <v/>
      </c>
      <c r="CP78" s="1091" t="str">
        <f t="shared" si="743"/>
        <v/>
      </c>
      <c r="CQ78" s="1147">
        <f t="shared" si="53"/>
        <v>-6666</v>
      </c>
      <c r="CR78" s="1091">
        <f t="shared" si="54"/>
        <v>-1</v>
      </c>
      <c r="CS78" s="1147">
        <f t="shared" si="55"/>
        <v>-9000</v>
      </c>
      <c r="CT78" s="1091">
        <f t="shared" si="56"/>
        <v>-1</v>
      </c>
      <c r="CU78" s="1146">
        <f t="shared" si="694"/>
        <v>19998</v>
      </c>
      <c r="CV78" s="1091" t="str">
        <f t="shared" si="587"/>
        <v/>
      </c>
      <c r="CW78" s="1091">
        <f t="shared" si="744"/>
        <v>0.3541035857</v>
      </c>
      <c r="CX78" s="1147">
        <f t="shared" si="695"/>
        <v>21666</v>
      </c>
      <c r="CY78" s="1091" t="str">
        <f t="shared" si="589"/>
        <v/>
      </c>
      <c r="CZ78" s="1091">
        <f t="shared" si="745"/>
        <v>0.3840991531</v>
      </c>
      <c r="DA78" s="1147">
        <f t="shared" si="696"/>
        <v>16141.315</v>
      </c>
      <c r="DB78" s="1091" t="str">
        <f t="shared" si="591"/>
        <v/>
      </c>
      <c r="DC78" s="1091">
        <f t="shared" si="746"/>
        <v>0.4550038039</v>
      </c>
      <c r="DD78" s="1147">
        <f t="shared" si="63"/>
        <v>-3856.685</v>
      </c>
      <c r="DE78" s="1091">
        <f t="shared" si="64"/>
        <v>-0.1928535354</v>
      </c>
      <c r="DF78" s="1147">
        <f t="shared" si="65"/>
        <v>-5524.685</v>
      </c>
      <c r="DG78" s="1091">
        <f t="shared" si="66"/>
        <v>-0.2549933075</v>
      </c>
      <c r="DH78" s="1146">
        <f t="shared" si="697"/>
        <v>39996</v>
      </c>
      <c r="DI78" s="1091" t="str">
        <f t="shared" si="592"/>
        <v/>
      </c>
      <c r="DJ78" s="1091">
        <f t="shared" si="747"/>
        <v>0.3449417853</v>
      </c>
      <c r="DK78" s="1147">
        <f t="shared" si="216"/>
        <v>31990</v>
      </c>
      <c r="DL78" s="1091" t="str">
        <f t="shared" si="593"/>
        <v/>
      </c>
      <c r="DM78" s="1091">
        <f t="shared" si="748"/>
        <v>0.312197129</v>
      </c>
      <c r="DN78" s="1147">
        <f t="shared" si="219"/>
        <v>29338.518</v>
      </c>
      <c r="DO78" s="1091">
        <f t="shared" si="594"/>
        <v>0.08628975882</v>
      </c>
      <c r="DP78" s="1091">
        <f t="shared" si="749"/>
        <v>0.3964486836</v>
      </c>
      <c r="DQ78" s="1147">
        <f t="shared" si="73"/>
        <v>-10657.482</v>
      </c>
      <c r="DR78" s="1091">
        <f t="shared" si="74"/>
        <v>-0.2664636964</v>
      </c>
      <c r="DS78" s="1147">
        <f t="shared" si="75"/>
        <v>-2651.482</v>
      </c>
      <c r="DT78" s="1091">
        <f t="shared" si="76"/>
        <v>-0.08288471397</v>
      </c>
      <c r="DU78" s="1146">
        <f>SUMIFS(BP_SOTIEN,BP_THANG,DU$2,BP_KM,$E78)/1000</f>
        <v>6666</v>
      </c>
      <c r="DV78" s="1091" t="str">
        <f t="shared" si="595"/>
        <v/>
      </c>
      <c r="DW78" s="1091"/>
      <c r="DX78" s="1147">
        <f>IF(NOW()&gt;=DATE(YEAR(DU$2),MONTH(DU$2)+1,DAY(DU$2)),SUMIFS(TF_SOTIEN,TF_THANG,DU$2,TF_KM,$E78)/1000, EA78)</f>
        <v>6666</v>
      </c>
      <c r="DY78" s="1091" t="str">
        <f t="shared" si="596"/>
        <v/>
      </c>
      <c r="DZ78" s="1091"/>
      <c r="EA78" s="1147">
        <f>IF(NOW()&gt;=DATE(YEAR(DU$2),MONTH(DU$2)+1,DAY(DU$2)),SUMIFS(AC_SOTIEN,AC_THANG,DU$2,AC_KM,$E78),SUMIFS(TF_SOTIEN,TF_THANG,DU$2,TF_KM,$E78))/ 1000</f>
        <v>0</v>
      </c>
      <c r="EB78" s="1091" t="str">
        <f t="shared" si="597"/>
        <v/>
      </c>
      <c r="EC78" s="1091" t="str">
        <f t="shared" si="750"/>
        <v/>
      </c>
      <c r="ED78" s="1147">
        <f t="shared" si="80"/>
        <v>-6666</v>
      </c>
      <c r="EE78" s="1091">
        <f t="shared" si="81"/>
        <v>-1</v>
      </c>
      <c r="EF78" s="1147">
        <f t="shared" si="82"/>
        <v>-6666</v>
      </c>
      <c r="EG78" s="1091">
        <f t="shared" si="83"/>
        <v>-1</v>
      </c>
      <c r="EH78" s="1146">
        <f>SUMIFS(BP_SOTIEN,BP_THANG,EH$2,BP_KM,$E78)/1000</f>
        <v>6666</v>
      </c>
      <c r="EI78" s="1091" t="str">
        <f t="shared" si="598"/>
        <v/>
      </c>
      <c r="EJ78" s="1091"/>
      <c r="EK78" s="1147">
        <f>IF(NOW()&gt;=DATE(YEAR(EH$2),MONTH(EH$2)+1,DAY(EH$2)),SUMIFS(TF_SOTIEN,TF_THANG,EH$2,TF_KM,$E78)/1000, EN78)</f>
        <v>6666</v>
      </c>
      <c r="EL78" s="1091" t="str">
        <f t="shared" si="599"/>
        <v/>
      </c>
      <c r="EM78" s="1091"/>
      <c r="EN78" s="1147">
        <f>IF(NOW()&gt;=DATE(YEAR(EH$2),MONTH(EH$2)+1,DAY(EH$2)),SUMIFS(AC_SOTIEN,AC_THANG,EH$2,AC_KM,$E78),SUMIFS(TF_SOTIEN,TF_THANG,EH$2,TF_KM,$E78))/ 1000</f>
        <v>0</v>
      </c>
      <c r="EO78" s="1091" t="str">
        <f t="shared" si="600"/>
        <v/>
      </c>
      <c r="EP78" s="1091" t="str">
        <f t="shared" si="751"/>
        <v/>
      </c>
      <c r="EQ78" s="1147">
        <f t="shared" si="87"/>
        <v>-6666</v>
      </c>
      <c r="ER78" s="1091">
        <f t="shared" si="88"/>
        <v>-1</v>
      </c>
      <c r="ES78" s="1147">
        <f t="shared" si="89"/>
        <v>-6666</v>
      </c>
      <c r="ET78" s="1091">
        <f t="shared" si="90"/>
        <v>-1</v>
      </c>
      <c r="EU78" s="1146">
        <f>SUMIFS(BP_SOTIEN,BP_THANG,EU$2,BP_KM,$E78)/1000</f>
        <v>6666</v>
      </c>
      <c r="EV78" s="1091" t="str">
        <f t="shared" si="601"/>
        <v/>
      </c>
      <c r="EW78" s="1091"/>
      <c r="EX78" s="1147">
        <f>IF(NOW()&gt;=DATE(YEAR(EU$2),MONTH(EU$2)+1,DAY(EU$2)),SUMIFS(TF_SOTIEN,TF_THANG,EU$2,TF_KM,$E78)/1000, FA78)</f>
        <v>6666</v>
      </c>
      <c r="EY78" s="1091" t="str">
        <f t="shared" si="602"/>
        <v/>
      </c>
      <c r="EZ78" s="1091"/>
      <c r="FA78" s="1147">
        <f>IF(NOW()&gt;=DATE(YEAR(EU$2),MONTH(EU$2)+1,DAY(EU$2)),SUMIFS(AC_SOTIEN,AC_THANG,EU$2,AC_KM,$E78),SUMIFS(TF_SOTIEN,TF_THANG,EU$2,TF_KM,$E78))/ 1000</f>
        <v>0</v>
      </c>
      <c r="FB78" s="1091" t="str">
        <f t="shared" si="603"/>
        <v/>
      </c>
      <c r="FC78" s="1091" t="str">
        <f t="shared" si="752"/>
        <v/>
      </c>
      <c r="FD78" s="1147">
        <f t="shared" si="94"/>
        <v>-6666</v>
      </c>
      <c r="FE78" s="1091">
        <f t="shared" si="95"/>
        <v>-1</v>
      </c>
      <c r="FF78" s="1147">
        <f t="shared" si="96"/>
        <v>-6666</v>
      </c>
      <c r="FG78" s="1091">
        <f t="shared" si="97"/>
        <v>-1</v>
      </c>
      <c r="FH78" s="1146">
        <f t="shared" si="698"/>
        <v>19998</v>
      </c>
      <c r="FI78" s="1091" t="str">
        <f t="shared" si="604"/>
        <v/>
      </c>
      <c r="FJ78" s="1091">
        <f t="shared" si="753"/>
        <v>0.3541035857</v>
      </c>
      <c r="FK78" s="1147">
        <f t="shared" si="243"/>
        <v>19998</v>
      </c>
      <c r="FL78" s="1091" t="str">
        <f t="shared" si="605"/>
        <v/>
      </c>
      <c r="FM78" s="1091">
        <f t="shared" si="754"/>
        <v>0.3541035857</v>
      </c>
      <c r="FN78" s="1147">
        <f t="shared" si="246"/>
        <v>0</v>
      </c>
      <c r="FO78" s="1091" t="str">
        <f t="shared" si="606"/>
        <v/>
      </c>
      <c r="FP78" s="1091" t="str">
        <f t="shared" si="755"/>
        <v/>
      </c>
      <c r="FQ78" s="1147">
        <f t="shared" si="104"/>
        <v>-19998</v>
      </c>
      <c r="FR78" s="1091">
        <f t="shared" si="105"/>
        <v>-1</v>
      </c>
      <c r="FS78" s="1147">
        <f t="shared" si="106"/>
        <v>-19998</v>
      </c>
      <c r="FT78" s="1091">
        <f t="shared" si="107"/>
        <v>-1</v>
      </c>
      <c r="FU78" s="1146">
        <f>SUMIFS(BP_SOTIEN,BP_THANG,FU$2,BP_KM,$E78)/1000</f>
        <v>6666</v>
      </c>
      <c r="FV78" s="1091" t="str">
        <f t="shared" si="607"/>
        <v/>
      </c>
      <c r="FW78" s="1091"/>
      <c r="FX78" s="1147">
        <f>IF(NOW()&gt;=DATE(YEAR(FU$2),MONTH(FU$2)+1,DAY(FU$2)),SUMIFS(TF_SOTIEN,TF_THANG,FU$2,TF_KM,$E78)/1000, GA78)</f>
        <v>6666</v>
      </c>
      <c r="FY78" s="1091" t="str">
        <f t="shared" si="608"/>
        <v/>
      </c>
      <c r="FZ78" s="1091"/>
      <c r="GA78" s="1147">
        <f>IF(NOW()&gt;=DATE(YEAR(FU$2),MONTH(FU$2)+1,DAY(FU$2)),SUMIFS(AC_SOTIEN,AC_THANG,FU$2,AC_KM,$E78),SUMIFS(TF_SOTIEN,TF_THANG,FU$2,TF_KM,$E78))/ 1000</f>
        <v>0</v>
      </c>
      <c r="GB78" s="1091" t="str">
        <f t="shared" si="609"/>
        <v/>
      </c>
      <c r="GC78" s="1091" t="str">
        <f t="shared" si="756"/>
        <v/>
      </c>
      <c r="GD78" s="1147">
        <f t="shared" si="111"/>
        <v>-6666</v>
      </c>
      <c r="GE78" s="1091">
        <f t="shared" si="112"/>
        <v>-1</v>
      </c>
      <c r="GF78" s="1147">
        <f t="shared" si="113"/>
        <v>-6666</v>
      </c>
      <c r="GG78" s="1091">
        <f t="shared" si="114"/>
        <v>-1</v>
      </c>
      <c r="GH78" s="1146">
        <f>SUMIFS(BP_SOTIEN,BP_THANG,GH$2,BP_KM,$E78)/1000</f>
        <v>6666</v>
      </c>
      <c r="GI78" s="1091" t="str">
        <f t="shared" si="610"/>
        <v/>
      </c>
      <c r="GJ78" s="1091"/>
      <c r="GK78" s="1147">
        <f>IF(NOW()&gt;=DATE(YEAR(GH$2),MONTH(GH$2)+1,DAY(GH$2)),SUMIFS(TF_SOTIEN,TF_THANG,GH$2,TF_KM,$E78)/1000, GN78)</f>
        <v>6666</v>
      </c>
      <c r="GL78" s="1091" t="str">
        <f t="shared" si="611"/>
        <v/>
      </c>
      <c r="GM78" s="1091"/>
      <c r="GN78" s="1147">
        <f>IF(NOW()&gt;=DATE(YEAR(GH$2),MONTH(GH$2)+1,DAY(GH$2)),SUMIFS(AC_SOTIEN,AC_THANG,GH$2,AC_KM,$E78),SUMIFS(TF_SOTIEN,TF_THANG,GH$2,TF_KM,$E78))/ 1000</f>
        <v>0</v>
      </c>
      <c r="GO78" s="1091" t="str">
        <f t="shared" si="612"/>
        <v/>
      </c>
      <c r="GP78" s="1091" t="str">
        <f t="shared" si="757"/>
        <v/>
      </c>
      <c r="GQ78" s="1147">
        <f t="shared" si="118"/>
        <v>-6666</v>
      </c>
      <c r="GR78" s="1091">
        <f t="shared" si="119"/>
        <v>-1</v>
      </c>
      <c r="GS78" s="1147">
        <f t="shared" si="120"/>
        <v>-6666</v>
      </c>
      <c r="GT78" s="1091">
        <f t="shared" si="121"/>
        <v>-1</v>
      </c>
      <c r="GU78" s="1146">
        <f>SUMIFS(BP_SOTIEN,BP_THANG,GU$2,BP_KM,$E78)/1000</f>
        <v>6666</v>
      </c>
      <c r="GV78" s="1091" t="str">
        <f t="shared" si="613"/>
        <v/>
      </c>
      <c r="GW78" s="1091"/>
      <c r="GX78" s="1147">
        <f>IF(NOW()&gt;=DATE(YEAR(GU$2),MONTH(GU$2)+1,DAY(GU$2)),SUMIFS(TF_SOTIEN,TF_THANG,GU$2,TF_KM,$E78)/1000, HA78)</f>
        <v>6666</v>
      </c>
      <c r="GY78" s="1091" t="str">
        <f t="shared" si="614"/>
        <v/>
      </c>
      <c r="GZ78" s="1091"/>
      <c r="HA78" s="1147">
        <f>IF(NOW()&gt;=DATE(YEAR(GU$2),MONTH(GU$2)+1,DAY(GU$2)),SUMIFS(AC_SOTIEN,AC_THANG,GU$2,AC_KM,$E78),SUMIFS(TF_SOTIEN,TF_THANG,GU$2,TF_KM,$E78))/ 1000</f>
        <v>0</v>
      </c>
      <c r="HB78" s="1091" t="str">
        <f t="shared" si="615"/>
        <v/>
      </c>
      <c r="HC78" s="1091" t="str">
        <f t="shared" si="758"/>
        <v/>
      </c>
      <c r="HD78" s="1147">
        <f t="shared" si="125"/>
        <v>-6666</v>
      </c>
      <c r="HE78" s="1091">
        <f t="shared" si="126"/>
        <v>-1</v>
      </c>
      <c r="HF78" s="1147">
        <f t="shared" si="127"/>
        <v>-6666</v>
      </c>
      <c r="HG78" s="1091">
        <f t="shared" si="128"/>
        <v>-1</v>
      </c>
      <c r="HH78" s="1146">
        <f t="shared" si="699"/>
        <v>19998</v>
      </c>
      <c r="HI78" s="1091" t="str">
        <f t="shared" si="616"/>
        <v/>
      </c>
      <c r="HJ78" s="1091">
        <f t="shared" si="759"/>
        <v>0.3541035857</v>
      </c>
      <c r="HK78" s="1147">
        <f t="shared" si="270"/>
        <v>19998</v>
      </c>
      <c r="HL78" s="1091" t="str">
        <f t="shared" si="617"/>
        <v/>
      </c>
      <c r="HM78" s="1091">
        <f t="shared" si="760"/>
        <v>0.3541035857</v>
      </c>
      <c r="HN78" s="1147">
        <f t="shared" si="273"/>
        <v>0</v>
      </c>
      <c r="HO78" s="1091" t="str">
        <f t="shared" si="618"/>
        <v/>
      </c>
      <c r="HP78" s="1091" t="str">
        <f t="shared" si="761"/>
        <v/>
      </c>
      <c r="HQ78" s="1147">
        <f t="shared" si="135"/>
        <v>-19998</v>
      </c>
      <c r="HR78" s="1091">
        <f t="shared" si="136"/>
        <v>-1</v>
      </c>
      <c r="HS78" s="1147">
        <f t="shared" si="137"/>
        <v>-19998</v>
      </c>
      <c r="HT78" s="1091">
        <f t="shared" si="138"/>
        <v>-1</v>
      </c>
      <c r="HU78" s="1146">
        <f t="shared" si="700"/>
        <v>39996</v>
      </c>
      <c r="HV78" s="1091" t="str">
        <f t="shared" si="619"/>
        <v/>
      </c>
      <c r="HW78" s="1091">
        <f t="shared" si="762"/>
        <v>0.3541035857</v>
      </c>
      <c r="HX78" s="1147">
        <f t="shared" si="279"/>
        <v>39996</v>
      </c>
      <c r="HY78" s="1091" t="str">
        <f t="shared" si="620"/>
        <v/>
      </c>
      <c r="HZ78" s="1091">
        <f t="shared" si="763"/>
        <v>0.3541035857</v>
      </c>
      <c r="IA78" s="1147">
        <f t="shared" si="282"/>
        <v>0</v>
      </c>
      <c r="IB78" s="1091" t="str">
        <f t="shared" si="621"/>
        <v/>
      </c>
      <c r="IC78" s="1091" t="str">
        <f t="shared" si="764"/>
        <v/>
      </c>
      <c r="ID78" s="1147">
        <f t="shared" si="145"/>
        <v>-39996</v>
      </c>
      <c r="IE78" s="1091">
        <f t="shared" si="146"/>
        <v>-1</v>
      </c>
      <c r="IF78" s="1147">
        <f t="shared" si="147"/>
        <v>-39996</v>
      </c>
      <c r="IG78" s="1091">
        <f t="shared" si="148"/>
        <v>-1</v>
      </c>
      <c r="IH78" s="1146">
        <f t="shared" si="701"/>
        <v>79992</v>
      </c>
      <c r="II78" s="1091" t="str">
        <f t="shared" si="622"/>
        <v/>
      </c>
      <c r="IJ78" s="1091">
        <f t="shared" si="765"/>
        <v>0.3494626474</v>
      </c>
      <c r="IK78" s="1147">
        <f t="shared" si="288"/>
        <v>71986</v>
      </c>
      <c r="IL78" s="1091" t="str">
        <f t="shared" si="623"/>
        <v/>
      </c>
      <c r="IM78" s="1091">
        <f t="shared" si="766"/>
        <v>0.3341699885</v>
      </c>
      <c r="IN78" s="1147">
        <f t="shared" si="291"/>
        <v>29338.518</v>
      </c>
      <c r="IO78" s="1091">
        <f t="shared" si="624"/>
        <v>0.08628975882</v>
      </c>
      <c r="IP78" s="1091">
        <f t="shared" si="767"/>
        <v>0.3964486836</v>
      </c>
      <c r="IQ78" s="1147">
        <f t="shared" si="155"/>
        <v>-50653.482</v>
      </c>
      <c r="IR78" s="1091">
        <f t="shared" si="1"/>
        <v>-0.6332318482</v>
      </c>
      <c r="IS78" s="1147">
        <f t="shared" si="156"/>
        <v>-42647.482</v>
      </c>
      <c r="IT78" s="1091">
        <f t="shared" si="2"/>
        <v>-0.5924413358</v>
      </c>
    </row>
    <row r="79" hidden="1" outlineLevel="1">
      <c r="A79" s="737"/>
      <c r="B79" s="737"/>
      <c r="C79" s="737"/>
      <c r="D79" s="737" t="s">
        <v>2864</v>
      </c>
      <c r="E79" s="737" t="s">
        <v>219</v>
      </c>
      <c r="F79" s="737"/>
      <c r="G79" s="748">
        <v>3.0</v>
      </c>
      <c r="H79" s="1146">
        <f>SUMIFS(BP_SOTIEN,BP_THANG,H$2,BP_KM,$E79)/1000</f>
        <v>0</v>
      </c>
      <c r="I79" s="1091" t="str">
        <f t="shared" si="566"/>
        <v/>
      </c>
      <c r="J79" s="1091"/>
      <c r="K79" s="1147">
        <f>IF(NOW()&gt;=DATE(YEAR(H$2),MONTH(H$2)+1,DAY(H$2)),SUMIFS(TF_SOTIEN,TF_THANG,H$2,TF_KM,$E79)/1000, N79)</f>
        <v>0</v>
      </c>
      <c r="L79" s="1091" t="str">
        <f t="shared" si="567"/>
        <v/>
      </c>
      <c r="M79" s="1091"/>
      <c r="N79" s="1147">
        <f>IF(NOW()&gt;=DATE(YEAR(H$2),MONTH(H$2)+1,DAY(H$2)),SUMIFS(AC_SOTIEN,AC_THANG,H$2,AC_KM,$E79),SUMIFS(TF_SOTIEN,TF_THANG,H$2,TF_KM,$E79))/ 1000</f>
        <v>653.999</v>
      </c>
      <c r="O79" s="1091">
        <f t="shared" si="568"/>
        <v>0.001923526471</v>
      </c>
      <c r="P79" s="1091">
        <f t="shared" si="735"/>
        <v>0.06429536984</v>
      </c>
      <c r="Q79" s="1147">
        <f t="shared" si="8"/>
        <v>653.999</v>
      </c>
      <c r="R79" s="1091" t="str">
        <f t="shared" si="9"/>
        <v/>
      </c>
      <c r="S79" s="1147">
        <f t="shared" si="10"/>
        <v>653.999</v>
      </c>
      <c r="T79" s="1091" t="str">
        <f t="shared" si="11"/>
        <v/>
      </c>
      <c r="U79" s="1146">
        <f>SUMIFS(BP_SOTIEN,BP_THANG,U$2,BP_KM,$E79)/1000</f>
        <v>0</v>
      </c>
      <c r="V79" s="1091" t="str">
        <f t="shared" si="569"/>
        <v/>
      </c>
      <c r="W79" s="1091"/>
      <c r="X79" s="1147">
        <f>IF(NOW()&gt;=DATE(YEAR(U$2),MONTH(U$2)+1,DAY(U$2)),SUMIFS(TF_SOTIEN,TF_THANG,U$2,TF_KM,$E79)/1000, AA79)</f>
        <v>2170</v>
      </c>
      <c r="Y79" s="1091" t="str">
        <f t="shared" si="570"/>
        <v/>
      </c>
      <c r="Z79" s="1091"/>
      <c r="AA79" s="1147">
        <f>IF(NOW()&gt;=DATE(YEAR(U$2),MONTH(U$2)+1,DAY(U$2)),SUMIFS(AC_SOTIEN,AC_THANG,U$2,AC_KM,$E79),SUMIFS(TF_SOTIEN,TF_THANG,U$2,TF_KM,$E79))/ 1000</f>
        <v>195</v>
      </c>
      <c r="AB79" s="1091" t="str">
        <f t="shared" si="571"/>
        <v/>
      </c>
      <c r="AC79" s="1091">
        <f t="shared" si="736"/>
        <v>0.01887824317</v>
      </c>
      <c r="AD79" s="1147">
        <f t="shared" si="15"/>
        <v>195</v>
      </c>
      <c r="AE79" s="1091" t="str">
        <f t="shared" si="16"/>
        <v/>
      </c>
      <c r="AF79" s="1147">
        <f t="shared" si="17"/>
        <v>-1975</v>
      </c>
      <c r="AG79" s="1091">
        <f t="shared" si="18"/>
        <v>-0.9101382488</v>
      </c>
      <c r="AH79" s="1146">
        <f>SUMIFS(BP_SOTIEN,BP_THANG,AH$2,BP_KM,$E79)/1000</f>
        <v>0</v>
      </c>
      <c r="AI79" s="1091" t="str">
        <f t="shared" si="572"/>
        <v/>
      </c>
      <c r="AJ79" s="1091"/>
      <c r="AK79" s="1147">
        <f>IF(NOW()&gt;=DATE(YEAR(AH$2),MONTH(AH$2)+1,DAY(AH$2)),SUMIFS(TF_SOTIEN,TF_THANG,AH$2,TF_KM,$E79)/1000, AN79)</f>
        <v>2170</v>
      </c>
      <c r="AL79" s="1091" t="str">
        <f t="shared" si="573"/>
        <v/>
      </c>
      <c r="AM79" s="1091"/>
      <c r="AN79" s="1147">
        <f>IF(NOW()&gt;=DATE(YEAR(AH$2),MONTH(AH$2)+1,DAY(AH$2)),SUMIFS(AC_SOTIEN,AC_THANG,AH$2,AC_KM,$E79),SUMIFS(TF_SOTIEN,TF_THANG,AH$2,TF_KM,$E79))/ 1000</f>
        <v>387.001</v>
      </c>
      <c r="AO79" s="1091" t="str">
        <f t="shared" si="574"/>
        <v/>
      </c>
      <c r="AP79" s="1091">
        <f t="shared" si="737"/>
        <v>0.02146778709</v>
      </c>
      <c r="AQ79" s="1147">
        <f t="shared" si="22"/>
        <v>387.001</v>
      </c>
      <c r="AR79" s="1091" t="str">
        <f t="shared" si="23"/>
        <v/>
      </c>
      <c r="AS79" s="1147">
        <f t="shared" si="24"/>
        <v>-1782.999</v>
      </c>
      <c r="AT79" s="1091">
        <f t="shared" si="25"/>
        <v>-0.8216585253</v>
      </c>
      <c r="AU79" s="1146">
        <f t="shared" si="691"/>
        <v>0</v>
      </c>
      <c r="AV79" s="1091" t="str">
        <f t="shared" si="575"/>
        <v/>
      </c>
      <c r="AW79" s="1091">
        <f t="shared" si="738"/>
        <v>0</v>
      </c>
      <c r="AX79" s="1147">
        <f t="shared" si="692"/>
        <v>4340</v>
      </c>
      <c r="AY79" s="1091" t="str">
        <f t="shared" si="576"/>
        <v/>
      </c>
      <c r="AZ79" s="1091">
        <f t="shared" si="739"/>
        <v>0.09422492401</v>
      </c>
      <c r="BA79" s="1147">
        <f t="shared" si="693"/>
        <v>1236</v>
      </c>
      <c r="BB79" s="1091">
        <f t="shared" si="577"/>
        <v>0.003635294118</v>
      </c>
      <c r="BC79" s="1091">
        <f t="shared" si="740"/>
        <v>0.03208040075</v>
      </c>
      <c r="BD79" s="1147">
        <f t="shared" si="32"/>
        <v>1236</v>
      </c>
      <c r="BE79" s="1091" t="str">
        <f t="shared" si="33"/>
        <v/>
      </c>
      <c r="BF79" s="1147">
        <f t="shared" si="34"/>
        <v>-3104</v>
      </c>
      <c r="BG79" s="1091">
        <f t="shared" si="35"/>
        <v>-0.7152073733</v>
      </c>
      <c r="BH79" s="1146">
        <f>SUMIFS(BP_SOTIEN,BP_THANG,BH$2,BP_KM,$E79)/1000</f>
        <v>0</v>
      </c>
      <c r="BI79" s="1091" t="str">
        <f t="shared" si="578"/>
        <v/>
      </c>
      <c r="BJ79" s="1091"/>
      <c r="BK79" s="1147">
        <f>IF(NOW()&gt;=DATE(YEAR(BH$2),MONTH(BH$2)+1,DAY(BH$2)),SUMIFS(TF_SOTIEN,TF_THANG,BH$2,TF_KM,$E79)/1000, BN79)</f>
        <v>1000</v>
      </c>
      <c r="BL79" s="1091" t="str">
        <f t="shared" si="579"/>
        <v/>
      </c>
      <c r="BM79" s="1091"/>
      <c r="BN79" s="1147">
        <f>IF(NOW()&gt;=DATE(YEAR(BH$2),MONTH(BH$2)+1,DAY(BH$2)),SUMIFS(AC_SOTIEN,AC_THANG,BH$2,AC_KM,$E79),SUMIFS(TF_SOTIEN,TF_THANG,BH$2,TF_KM,$E79))/ 1000</f>
        <v>933.998</v>
      </c>
      <c r="BO79" s="1091" t="str">
        <f t="shared" si="580"/>
        <v/>
      </c>
      <c r="BP79" s="1091">
        <f t="shared" si="741"/>
        <v>0.05373209923</v>
      </c>
      <c r="BQ79" s="1147">
        <f t="shared" si="39"/>
        <v>933.998</v>
      </c>
      <c r="BR79" s="1091" t="str">
        <f t="shared" si="40"/>
        <v/>
      </c>
      <c r="BS79" s="1147">
        <f t="shared" si="41"/>
        <v>-66.002</v>
      </c>
      <c r="BT79" s="1091">
        <f t="shared" si="42"/>
        <v>-0.066002</v>
      </c>
      <c r="BU79" s="1146">
        <f>SUMIFS(BP_SOTIEN,BP_THANG,BU$2,BP_KM,$E79)/1000</f>
        <v>0</v>
      </c>
      <c r="BV79" s="1091" t="str">
        <f t="shared" si="581"/>
        <v/>
      </c>
      <c r="BW79" s="1091"/>
      <c r="BX79" s="1147">
        <f>IF(NOW()&gt;=DATE(YEAR(BU$2),MONTH(BU$2)+1,DAY(BU$2)),SUMIFS(TF_SOTIEN,TF_THANG,BU$2,TF_KM,$E79)/1000, CA79)</f>
        <v>0</v>
      </c>
      <c r="BY79" s="1091" t="str">
        <f t="shared" si="582"/>
        <v/>
      </c>
      <c r="BZ79" s="1091"/>
      <c r="CA79" s="1147">
        <f>IF(NOW()&gt;=DATE(YEAR(BU$2),MONTH(BU$2)+1,DAY(BU$2)),SUMIFS(AC_SOTIEN,AC_THANG,BU$2,AC_KM,$E79),SUMIFS(TF_SOTIEN,TF_THANG,BU$2,TF_KM,$E79))/ 1000</f>
        <v>540</v>
      </c>
      <c r="CB79" s="1091" t="str">
        <f t="shared" si="583"/>
        <v/>
      </c>
      <c r="CC79" s="1091">
        <f t="shared" si="742"/>
        <v>0.02984641532</v>
      </c>
      <c r="CD79" s="1147">
        <f t="shared" si="46"/>
        <v>540</v>
      </c>
      <c r="CE79" s="1091" t="str">
        <f t="shared" si="47"/>
        <v/>
      </c>
      <c r="CF79" s="1147">
        <f t="shared" si="48"/>
        <v>540</v>
      </c>
      <c r="CG79" s="1091" t="str">
        <f t="shared" si="49"/>
        <v/>
      </c>
      <c r="CH79" s="1146">
        <f>SUMIFS(BP_SOTIEN,BP_THANG,CH$2,BP_KM,$E79)/1000</f>
        <v>0</v>
      </c>
      <c r="CI79" s="1091" t="str">
        <f t="shared" si="584"/>
        <v/>
      </c>
      <c r="CJ79" s="1091"/>
      <c r="CK79" s="1147">
        <f>IF(NOW()&gt;=DATE(YEAR(CH$2),MONTH(CH$2)+1,DAY(CH$2)),SUMIFS(TF_SOTIEN,TF_THANG,CH$2,TF_KM,$E79)/1000, CN79)</f>
        <v>0</v>
      </c>
      <c r="CL79" s="1091" t="str">
        <f t="shared" si="585"/>
        <v/>
      </c>
      <c r="CM79" s="1091"/>
      <c r="CN79" s="1147">
        <f>IF(NOW()&gt;=DATE(YEAR(CH$2),MONTH(CH$2)+1,DAY(CH$2)),SUMIFS(AC_SOTIEN,AC_THANG,CH$2,AC_KM,$E79),SUMIFS(TF_SOTIEN,TF_THANG,CH$2,TF_KM,$E79))/ 1000</f>
        <v>0</v>
      </c>
      <c r="CO79" s="1091" t="str">
        <f t="shared" si="586"/>
        <v/>
      </c>
      <c r="CP79" s="1091" t="str">
        <f t="shared" si="743"/>
        <v/>
      </c>
      <c r="CQ79" s="1147">
        <f t="shared" si="53"/>
        <v>0</v>
      </c>
      <c r="CR79" s="1091" t="str">
        <f t="shared" si="54"/>
        <v/>
      </c>
      <c r="CS79" s="1147">
        <f t="shared" si="55"/>
        <v>0</v>
      </c>
      <c r="CT79" s="1091" t="str">
        <f t="shared" si="56"/>
        <v/>
      </c>
      <c r="CU79" s="1146">
        <f t="shared" si="694"/>
        <v>0</v>
      </c>
      <c r="CV79" s="1091" t="str">
        <f t="shared" si="587"/>
        <v/>
      </c>
      <c r="CW79" s="1091">
        <f t="shared" si="744"/>
        <v>0</v>
      </c>
      <c r="CX79" s="1147">
        <f t="shared" si="695"/>
        <v>1000</v>
      </c>
      <c r="CY79" s="1091" t="str">
        <f t="shared" si="589"/>
        <v/>
      </c>
      <c r="CZ79" s="1091">
        <f t="shared" si="745"/>
        <v>0.0177281987</v>
      </c>
      <c r="DA79" s="1147">
        <f t="shared" si="696"/>
        <v>1473.998</v>
      </c>
      <c r="DB79" s="1091" t="str">
        <f t="shared" si="591"/>
        <v/>
      </c>
      <c r="DC79" s="1091">
        <f t="shared" si="746"/>
        <v>0.0415501895</v>
      </c>
      <c r="DD79" s="1147">
        <f t="shared" si="63"/>
        <v>1473.998</v>
      </c>
      <c r="DE79" s="1091" t="str">
        <f t="shared" si="64"/>
        <v/>
      </c>
      <c r="DF79" s="1147">
        <f t="shared" si="65"/>
        <v>473.998</v>
      </c>
      <c r="DG79" s="1091">
        <f t="shared" si="66"/>
        <v>0.473998</v>
      </c>
      <c r="DH79" s="1146">
        <f t="shared" si="697"/>
        <v>0</v>
      </c>
      <c r="DI79" s="1091" t="str">
        <f t="shared" si="592"/>
        <v/>
      </c>
      <c r="DJ79" s="1091">
        <f t="shared" si="747"/>
        <v>0</v>
      </c>
      <c r="DK79" s="1147">
        <f t="shared" si="216"/>
        <v>5340</v>
      </c>
      <c r="DL79" s="1091" t="str">
        <f t="shared" si="593"/>
        <v/>
      </c>
      <c r="DM79" s="1091">
        <f t="shared" si="748"/>
        <v>0.05211418159</v>
      </c>
      <c r="DN79" s="1147">
        <f t="shared" si="219"/>
        <v>2709.998</v>
      </c>
      <c r="DO79" s="1091">
        <f t="shared" si="594"/>
        <v>0.007970582353</v>
      </c>
      <c r="DP79" s="1091">
        <f t="shared" si="749"/>
        <v>0.03661995264</v>
      </c>
      <c r="DQ79" s="1147">
        <f t="shared" si="73"/>
        <v>2709.998</v>
      </c>
      <c r="DR79" s="1091" t="str">
        <f t="shared" si="74"/>
        <v/>
      </c>
      <c r="DS79" s="1147">
        <f t="shared" si="75"/>
        <v>-2630.002</v>
      </c>
      <c r="DT79" s="1091">
        <f t="shared" si="76"/>
        <v>-0.4925097378</v>
      </c>
      <c r="DU79" s="1146">
        <f>SUMIFS(BP_SOTIEN,BP_THANG,DU$2,BP_KM,$E79)/1000</f>
        <v>0</v>
      </c>
      <c r="DV79" s="1091" t="str">
        <f t="shared" si="595"/>
        <v/>
      </c>
      <c r="DW79" s="1091"/>
      <c r="DX79" s="1147">
        <f>IF(NOW()&gt;=DATE(YEAR(DU$2),MONTH(DU$2)+1,DAY(DU$2)),SUMIFS(TF_SOTIEN,TF_THANG,DU$2,TF_KM,$E79)/1000, EA79)</f>
        <v>0</v>
      </c>
      <c r="DY79" s="1091" t="str">
        <f t="shared" si="596"/>
        <v/>
      </c>
      <c r="DZ79" s="1091"/>
      <c r="EA79" s="1147">
        <f>IF(NOW()&gt;=DATE(YEAR(DU$2),MONTH(DU$2)+1,DAY(DU$2)),SUMIFS(AC_SOTIEN,AC_THANG,DU$2,AC_KM,$E79),SUMIFS(TF_SOTIEN,TF_THANG,DU$2,TF_KM,$E79))/ 1000</f>
        <v>0</v>
      </c>
      <c r="EB79" s="1091" t="str">
        <f t="shared" si="597"/>
        <v/>
      </c>
      <c r="EC79" s="1091" t="str">
        <f t="shared" si="750"/>
        <v/>
      </c>
      <c r="ED79" s="1147">
        <f t="shared" si="80"/>
        <v>0</v>
      </c>
      <c r="EE79" s="1091" t="str">
        <f t="shared" si="81"/>
        <v/>
      </c>
      <c r="EF79" s="1147">
        <f t="shared" si="82"/>
        <v>0</v>
      </c>
      <c r="EG79" s="1091" t="str">
        <f t="shared" si="83"/>
        <v/>
      </c>
      <c r="EH79" s="1146">
        <f>SUMIFS(BP_SOTIEN,BP_THANG,EH$2,BP_KM,$E79)/1000</f>
        <v>0</v>
      </c>
      <c r="EI79" s="1091" t="str">
        <f t="shared" si="598"/>
        <v/>
      </c>
      <c r="EJ79" s="1091"/>
      <c r="EK79" s="1147">
        <f>IF(NOW()&gt;=DATE(YEAR(EH$2),MONTH(EH$2)+1,DAY(EH$2)),SUMIFS(TF_SOTIEN,TF_THANG,EH$2,TF_KM,$E79)/1000, EN79)</f>
        <v>0</v>
      </c>
      <c r="EL79" s="1091" t="str">
        <f t="shared" si="599"/>
        <v/>
      </c>
      <c r="EM79" s="1091"/>
      <c r="EN79" s="1147">
        <f>IF(NOW()&gt;=DATE(YEAR(EH$2),MONTH(EH$2)+1,DAY(EH$2)),SUMIFS(AC_SOTIEN,AC_THANG,EH$2,AC_KM,$E79),SUMIFS(TF_SOTIEN,TF_THANG,EH$2,TF_KM,$E79))/ 1000</f>
        <v>0</v>
      </c>
      <c r="EO79" s="1091" t="str">
        <f t="shared" si="600"/>
        <v/>
      </c>
      <c r="EP79" s="1091" t="str">
        <f t="shared" si="751"/>
        <v/>
      </c>
      <c r="EQ79" s="1147">
        <f t="shared" si="87"/>
        <v>0</v>
      </c>
      <c r="ER79" s="1091" t="str">
        <f t="shared" si="88"/>
        <v/>
      </c>
      <c r="ES79" s="1147">
        <f t="shared" si="89"/>
        <v>0</v>
      </c>
      <c r="ET79" s="1091" t="str">
        <f t="shared" si="90"/>
        <v/>
      </c>
      <c r="EU79" s="1146">
        <f>SUMIFS(BP_SOTIEN,BP_THANG,EU$2,BP_KM,$E79)/1000</f>
        <v>0</v>
      </c>
      <c r="EV79" s="1091" t="str">
        <f t="shared" si="601"/>
        <v/>
      </c>
      <c r="EW79" s="1091"/>
      <c r="EX79" s="1147">
        <f>IF(NOW()&gt;=DATE(YEAR(EU$2),MONTH(EU$2)+1,DAY(EU$2)),SUMIFS(TF_SOTIEN,TF_THANG,EU$2,TF_KM,$E79)/1000, FA79)</f>
        <v>0</v>
      </c>
      <c r="EY79" s="1091" t="str">
        <f t="shared" si="602"/>
        <v/>
      </c>
      <c r="EZ79" s="1091"/>
      <c r="FA79" s="1147">
        <f>IF(NOW()&gt;=DATE(YEAR(EU$2),MONTH(EU$2)+1,DAY(EU$2)),SUMIFS(AC_SOTIEN,AC_THANG,EU$2,AC_KM,$E79),SUMIFS(TF_SOTIEN,TF_THANG,EU$2,TF_KM,$E79))/ 1000</f>
        <v>0</v>
      </c>
      <c r="FB79" s="1091" t="str">
        <f t="shared" si="603"/>
        <v/>
      </c>
      <c r="FC79" s="1091" t="str">
        <f t="shared" si="752"/>
        <v/>
      </c>
      <c r="FD79" s="1147">
        <f t="shared" si="94"/>
        <v>0</v>
      </c>
      <c r="FE79" s="1091" t="str">
        <f t="shared" si="95"/>
        <v/>
      </c>
      <c r="FF79" s="1147">
        <f t="shared" si="96"/>
        <v>0</v>
      </c>
      <c r="FG79" s="1091" t="str">
        <f t="shared" si="97"/>
        <v/>
      </c>
      <c r="FH79" s="1146">
        <f t="shared" si="698"/>
        <v>0</v>
      </c>
      <c r="FI79" s="1091" t="str">
        <f t="shared" si="604"/>
        <v/>
      </c>
      <c r="FJ79" s="1091">
        <f t="shared" si="753"/>
        <v>0</v>
      </c>
      <c r="FK79" s="1147">
        <f t="shared" si="243"/>
        <v>0</v>
      </c>
      <c r="FL79" s="1091" t="str">
        <f t="shared" si="605"/>
        <v/>
      </c>
      <c r="FM79" s="1091">
        <f t="shared" si="754"/>
        <v>0</v>
      </c>
      <c r="FN79" s="1147">
        <f t="shared" si="246"/>
        <v>0</v>
      </c>
      <c r="FO79" s="1091" t="str">
        <f t="shared" si="606"/>
        <v/>
      </c>
      <c r="FP79" s="1091" t="str">
        <f t="shared" si="755"/>
        <v/>
      </c>
      <c r="FQ79" s="1147">
        <f t="shared" si="104"/>
        <v>0</v>
      </c>
      <c r="FR79" s="1091" t="str">
        <f t="shared" si="105"/>
        <v/>
      </c>
      <c r="FS79" s="1147">
        <f t="shared" si="106"/>
        <v>0</v>
      </c>
      <c r="FT79" s="1091" t="str">
        <f t="shared" si="107"/>
        <v/>
      </c>
      <c r="FU79" s="1146">
        <f>SUMIFS(BP_SOTIEN,BP_THANG,FU$2,BP_KM,$E79)/1000</f>
        <v>0</v>
      </c>
      <c r="FV79" s="1091" t="str">
        <f t="shared" si="607"/>
        <v/>
      </c>
      <c r="FW79" s="1091"/>
      <c r="FX79" s="1147">
        <f>IF(NOW()&gt;=DATE(YEAR(FU$2),MONTH(FU$2)+1,DAY(FU$2)),SUMIFS(TF_SOTIEN,TF_THANG,FU$2,TF_KM,$E79)/1000, GA79)</f>
        <v>0</v>
      </c>
      <c r="FY79" s="1091" t="str">
        <f t="shared" si="608"/>
        <v/>
      </c>
      <c r="FZ79" s="1091"/>
      <c r="GA79" s="1147">
        <f>IF(NOW()&gt;=DATE(YEAR(FU$2),MONTH(FU$2)+1,DAY(FU$2)),SUMIFS(AC_SOTIEN,AC_THANG,FU$2,AC_KM,$E79),SUMIFS(TF_SOTIEN,TF_THANG,FU$2,TF_KM,$E79))/ 1000</f>
        <v>0</v>
      </c>
      <c r="GB79" s="1091" t="str">
        <f t="shared" si="609"/>
        <v/>
      </c>
      <c r="GC79" s="1091" t="str">
        <f t="shared" si="756"/>
        <v/>
      </c>
      <c r="GD79" s="1147">
        <f t="shared" si="111"/>
        <v>0</v>
      </c>
      <c r="GE79" s="1091" t="str">
        <f t="shared" si="112"/>
        <v/>
      </c>
      <c r="GF79" s="1147">
        <f t="shared" si="113"/>
        <v>0</v>
      </c>
      <c r="GG79" s="1091" t="str">
        <f t="shared" si="114"/>
        <v/>
      </c>
      <c r="GH79" s="1146">
        <f>SUMIFS(BP_SOTIEN,BP_THANG,GH$2,BP_KM,$E79)/1000</f>
        <v>0</v>
      </c>
      <c r="GI79" s="1091" t="str">
        <f t="shared" si="610"/>
        <v/>
      </c>
      <c r="GJ79" s="1091"/>
      <c r="GK79" s="1147">
        <f>IF(NOW()&gt;=DATE(YEAR(GH$2),MONTH(GH$2)+1,DAY(GH$2)),SUMIFS(TF_SOTIEN,TF_THANG,GH$2,TF_KM,$E79)/1000, GN79)</f>
        <v>0</v>
      </c>
      <c r="GL79" s="1091" t="str">
        <f t="shared" si="611"/>
        <v/>
      </c>
      <c r="GM79" s="1091"/>
      <c r="GN79" s="1147">
        <f>IF(NOW()&gt;=DATE(YEAR(GH$2),MONTH(GH$2)+1,DAY(GH$2)),SUMIFS(AC_SOTIEN,AC_THANG,GH$2,AC_KM,$E79),SUMIFS(TF_SOTIEN,TF_THANG,GH$2,TF_KM,$E79))/ 1000</f>
        <v>0</v>
      </c>
      <c r="GO79" s="1091" t="str">
        <f t="shared" si="612"/>
        <v/>
      </c>
      <c r="GP79" s="1091" t="str">
        <f t="shared" si="757"/>
        <v/>
      </c>
      <c r="GQ79" s="1147">
        <f t="shared" si="118"/>
        <v>0</v>
      </c>
      <c r="GR79" s="1091" t="str">
        <f t="shared" si="119"/>
        <v/>
      </c>
      <c r="GS79" s="1147">
        <f t="shared" si="120"/>
        <v>0</v>
      </c>
      <c r="GT79" s="1091" t="str">
        <f t="shared" si="121"/>
        <v/>
      </c>
      <c r="GU79" s="1146">
        <f>SUMIFS(BP_SOTIEN,BP_THANG,GU$2,BP_KM,$E79)/1000</f>
        <v>0</v>
      </c>
      <c r="GV79" s="1091" t="str">
        <f t="shared" si="613"/>
        <v/>
      </c>
      <c r="GW79" s="1091"/>
      <c r="GX79" s="1147">
        <f>IF(NOW()&gt;=DATE(YEAR(GU$2),MONTH(GU$2)+1,DAY(GU$2)),SUMIFS(TF_SOTIEN,TF_THANG,GU$2,TF_KM,$E79)/1000, HA79)</f>
        <v>0</v>
      </c>
      <c r="GY79" s="1091" t="str">
        <f t="shared" si="614"/>
        <v/>
      </c>
      <c r="GZ79" s="1091"/>
      <c r="HA79" s="1147">
        <f>IF(NOW()&gt;=DATE(YEAR(GU$2),MONTH(GU$2)+1,DAY(GU$2)),SUMIFS(AC_SOTIEN,AC_THANG,GU$2,AC_KM,$E79),SUMIFS(TF_SOTIEN,TF_THANG,GU$2,TF_KM,$E79))/ 1000</f>
        <v>0</v>
      </c>
      <c r="HB79" s="1091" t="str">
        <f t="shared" si="615"/>
        <v/>
      </c>
      <c r="HC79" s="1091" t="str">
        <f t="shared" si="758"/>
        <v/>
      </c>
      <c r="HD79" s="1147">
        <f t="shared" si="125"/>
        <v>0</v>
      </c>
      <c r="HE79" s="1091" t="str">
        <f t="shared" si="126"/>
        <v/>
      </c>
      <c r="HF79" s="1147">
        <f t="shared" si="127"/>
        <v>0</v>
      </c>
      <c r="HG79" s="1091" t="str">
        <f t="shared" si="128"/>
        <v/>
      </c>
      <c r="HH79" s="1146">
        <f t="shared" si="699"/>
        <v>0</v>
      </c>
      <c r="HI79" s="1091" t="str">
        <f t="shared" si="616"/>
        <v/>
      </c>
      <c r="HJ79" s="1091">
        <f t="shared" si="759"/>
        <v>0</v>
      </c>
      <c r="HK79" s="1147">
        <f t="shared" si="270"/>
        <v>0</v>
      </c>
      <c r="HL79" s="1091" t="str">
        <f t="shared" si="617"/>
        <v/>
      </c>
      <c r="HM79" s="1091">
        <f t="shared" si="760"/>
        <v>0</v>
      </c>
      <c r="HN79" s="1147">
        <f t="shared" si="273"/>
        <v>0</v>
      </c>
      <c r="HO79" s="1091" t="str">
        <f t="shared" si="618"/>
        <v/>
      </c>
      <c r="HP79" s="1091" t="str">
        <f t="shared" si="761"/>
        <v/>
      </c>
      <c r="HQ79" s="1147">
        <f t="shared" si="135"/>
        <v>0</v>
      </c>
      <c r="HR79" s="1091" t="str">
        <f t="shared" si="136"/>
        <v/>
      </c>
      <c r="HS79" s="1147">
        <f t="shared" si="137"/>
        <v>0</v>
      </c>
      <c r="HT79" s="1091" t="str">
        <f t="shared" si="138"/>
        <v/>
      </c>
      <c r="HU79" s="1146">
        <f t="shared" si="700"/>
        <v>0</v>
      </c>
      <c r="HV79" s="1091" t="str">
        <f t="shared" si="619"/>
        <v/>
      </c>
      <c r="HW79" s="1091">
        <f t="shared" si="762"/>
        <v>0</v>
      </c>
      <c r="HX79" s="1147">
        <f t="shared" si="279"/>
        <v>0</v>
      </c>
      <c r="HY79" s="1091" t="str">
        <f t="shared" si="620"/>
        <v/>
      </c>
      <c r="HZ79" s="1091">
        <f t="shared" si="763"/>
        <v>0</v>
      </c>
      <c r="IA79" s="1147">
        <f t="shared" si="282"/>
        <v>0</v>
      </c>
      <c r="IB79" s="1091" t="str">
        <f t="shared" si="621"/>
        <v/>
      </c>
      <c r="IC79" s="1091" t="str">
        <f t="shared" si="764"/>
        <v/>
      </c>
      <c r="ID79" s="1147">
        <f t="shared" si="145"/>
        <v>0</v>
      </c>
      <c r="IE79" s="1091" t="str">
        <f t="shared" si="146"/>
        <v/>
      </c>
      <c r="IF79" s="1147">
        <f t="shared" si="147"/>
        <v>0</v>
      </c>
      <c r="IG79" s="1091" t="str">
        <f t="shared" si="148"/>
        <v/>
      </c>
      <c r="IH79" s="1146">
        <f t="shared" si="701"/>
        <v>0</v>
      </c>
      <c r="II79" s="1091" t="str">
        <f t="shared" si="622"/>
        <v/>
      </c>
      <c r="IJ79" s="1091">
        <f t="shared" si="765"/>
        <v>0</v>
      </c>
      <c r="IK79" s="1147">
        <f t="shared" si="288"/>
        <v>5340</v>
      </c>
      <c r="IL79" s="1091" t="str">
        <f t="shared" si="623"/>
        <v/>
      </c>
      <c r="IM79" s="1091">
        <f t="shared" si="766"/>
        <v>0.02478909425</v>
      </c>
      <c r="IN79" s="1147">
        <f t="shared" si="291"/>
        <v>2709.998</v>
      </c>
      <c r="IO79" s="1091">
        <f t="shared" si="624"/>
        <v>0.007970582353</v>
      </c>
      <c r="IP79" s="1091">
        <f t="shared" si="767"/>
        <v>0.03661995264</v>
      </c>
      <c r="IQ79" s="1147">
        <f t="shared" si="155"/>
        <v>2709.998</v>
      </c>
      <c r="IR79" s="1091" t="str">
        <f t="shared" si="1"/>
        <v/>
      </c>
      <c r="IS79" s="1147">
        <f t="shared" si="156"/>
        <v>-2630.002</v>
      </c>
      <c r="IT79" s="1091">
        <f t="shared" si="2"/>
        <v>-0.4925097378</v>
      </c>
    </row>
    <row r="80" hidden="1" outlineLevel="1">
      <c r="A80" s="737"/>
      <c r="B80" s="737"/>
      <c r="C80" s="737"/>
      <c r="D80" s="737" t="s">
        <v>2865</v>
      </c>
      <c r="E80" s="737" t="s">
        <v>222</v>
      </c>
      <c r="F80" s="737"/>
      <c r="G80" s="748">
        <v>3.0</v>
      </c>
      <c r="H80" s="1146">
        <f>SUMIFS(BP_SOTIEN,BP_THANG,H$2,BP_KM,$E80)/1000</f>
        <v>416</v>
      </c>
      <c r="I80" s="1091" t="str">
        <f t="shared" si="566"/>
        <v/>
      </c>
      <c r="J80" s="1091"/>
      <c r="K80" s="1147">
        <f>IF(NOW()&gt;=DATE(YEAR(H$2),MONTH(H$2)+1,DAY(H$2)),SUMIFS(TF_SOTIEN,TF_THANG,H$2,TF_KM,$E80)/1000, N80)</f>
        <v>416</v>
      </c>
      <c r="L80" s="1091" t="str">
        <f t="shared" si="567"/>
        <v/>
      </c>
      <c r="M80" s="1091"/>
      <c r="N80" s="1147">
        <f>IF(NOW()&gt;=DATE(YEAR(H$2),MONTH(H$2)+1,DAY(H$2)),SUMIFS(AC_SOTIEN,AC_THANG,H$2,AC_KM,$E80),SUMIFS(TF_SOTIEN,TF_THANG,H$2,TF_KM,$E80))/ 1000</f>
        <v>464.998</v>
      </c>
      <c r="O80" s="1091">
        <f t="shared" si="568"/>
        <v>0.001367641176</v>
      </c>
      <c r="P80" s="1091">
        <f t="shared" si="735"/>
        <v>0.0457144711</v>
      </c>
      <c r="Q80" s="1147">
        <f t="shared" si="8"/>
        <v>48.998</v>
      </c>
      <c r="R80" s="1091">
        <f t="shared" si="9"/>
        <v>0.1177836538</v>
      </c>
      <c r="S80" s="1147">
        <f t="shared" si="10"/>
        <v>48.998</v>
      </c>
      <c r="T80" s="1091">
        <f t="shared" si="11"/>
        <v>0.1177836538</v>
      </c>
      <c r="U80" s="1146">
        <f>SUMIFS(BP_SOTIEN,BP_THANG,U$2,BP_KM,$E80)/1000</f>
        <v>416</v>
      </c>
      <c r="V80" s="1091" t="str">
        <f t="shared" si="569"/>
        <v/>
      </c>
      <c r="W80" s="1091"/>
      <c r="X80" s="1147">
        <f>IF(NOW()&gt;=DATE(YEAR(U$2),MONTH(U$2)+1,DAY(U$2)),SUMIFS(TF_SOTIEN,TF_THANG,U$2,TF_KM,$E80)/1000, AA80)</f>
        <v>855</v>
      </c>
      <c r="Y80" s="1091" t="str">
        <f t="shared" si="570"/>
        <v/>
      </c>
      <c r="Z80" s="1091"/>
      <c r="AA80" s="1147">
        <f>IF(NOW()&gt;=DATE(YEAR(U$2),MONTH(U$2)+1,DAY(U$2)),SUMIFS(AC_SOTIEN,AC_THANG,U$2,AC_KM,$E80),SUMIFS(TF_SOTIEN,TF_THANG,U$2,TF_KM,$E80))/ 1000</f>
        <v>1130</v>
      </c>
      <c r="AB80" s="1091" t="str">
        <f t="shared" si="571"/>
        <v/>
      </c>
      <c r="AC80" s="1091">
        <f t="shared" si="736"/>
        <v>0.1093969989</v>
      </c>
      <c r="AD80" s="1147">
        <f t="shared" si="15"/>
        <v>714</v>
      </c>
      <c r="AE80" s="1091">
        <f t="shared" si="16"/>
        <v>1.716346154</v>
      </c>
      <c r="AF80" s="1147">
        <f t="shared" si="17"/>
        <v>275</v>
      </c>
      <c r="AG80" s="1091">
        <f t="shared" si="18"/>
        <v>0.3216374269</v>
      </c>
      <c r="AH80" s="1146">
        <f>SUMIFS(BP_SOTIEN,BP_THANG,AH$2,BP_KM,$E80)/1000</f>
        <v>416</v>
      </c>
      <c r="AI80" s="1091" t="str">
        <f t="shared" si="572"/>
        <v/>
      </c>
      <c r="AJ80" s="1091"/>
      <c r="AK80" s="1147">
        <f>IF(NOW()&gt;=DATE(YEAR(AH$2),MONTH(AH$2)+1,DAY(AH$2)),SUMIFS(TF_SOTIEN,TF_THANG,AH$2,TF_KM,$E80)/1000, AN80)</f>
        <v>855</v>
      </c>
      <c r="AL80" s="1091" t="str">
        <f t="shared" si="573"/>
        <v/>
      </c>
      <c r="AM80" s="1091"/>
      <c r="AN80" s="1147">
        <f>IF(NOW()&gt;=DATE(YEAR(AH$2),MONTH(AH$2)+1,DAY(AH$2)),SUMIFS(AC_SOTIEN,AC_THANG,AH$2,AC_KM,$E80),SUMIFS(TF_SOTIEN,TF_THANG,AH$2,TF_KM,$E80))/ 1000</f>
        <v>989.788</v>
      </c>
      <c r="AO80" s="1091" t="str">
        <f t="shared" si="574"/>
        <v/>
      </c>
      <c r="AP80" s="1091">
        <f t="shared" si="737"/>
        <v>0.05490569287</v>
      </c>
      <c r="AQ80" s="1147">
        <f t="shared" si="22"/>
        <v>573.788</v>
      </c>
      <c r="AR80" s="1091">
        <f t="shared" si="23"/>
        <v>1.379298077</v>
      </c>
      <c r="AS80" s="1147">
        <f t="shared" si="24"/>
        <v>134.788</v>
      </c>
      <c r="AT80" s="1091">
        <f t="shared" si="25"/>
        <v>0.1576467836</v>
      </c>
      <c r="AU80" s="1146">
        <f t="shared" si="691"/>
        <v>1248</v>
      </c>
      <c r="AV80" s="1091" t="str">
        <f t="shared" si="575"/>
        <v/>
      </c>
      <c r="AW80" s="1091">
        <f t="shared" si="738"/>
        <v>0.02098360656</v>
      </c>
      <c r="AX80" s="1147">
        <f t="shared" si="692"/>
        <v>2126</v>
      </c>
      <c r="AY80" s="1091" t="str">
        <f t="shared" si="576"/>
        <v/>
      </c>
      <c r="AZ80" s="1091">
        <f t="shared" si="739"/>
        <v>0.04615718628</v>
      </c>
      <c r="BA80" s="1147">
        <f t="shared" si="693"/>
        <v>2584.786</v>
      </c>
      <c r="BB80" s="1091">
        <f t="shared" si="577"/>
        <v>0.007602311765</v>
      </c>
      <c r="BC80" s="1091">
        <f t="shared" si="740"/>
        <v>0.06708816403</v>
      </c>
      <c r="BD80" s="1147">
        <f t="shared" si="32"/>
        <v>1336.786</v>
      </c>
      <c r="BE80" s="1091">
        <f t="shared" si="33"/>
        <v>1.071142628</v>
      </c>
      <c r="BF80" s="1147">
        <f t="shared" si="34"/>
        <v>458.786</v>
      </c>
      <c r="BG80" s="1091">
        <f t="shared" si="35"/>
        <v>0.2157977422</v>
      </c>
      <c r="BH80" s="1146">
        <f>SUMIFS(BP_SOTIEN,BP_THANG,BH$2,BP_KM,$E80)/1000</f>
        <v>416</v>
      </c>
      <c r="BI80" s="1091" t="str">
        <f t="shared" si="578"/>
        <v/>
      </c>
      <c r="BJ80" s="1091"/>
      <c r="BK80" s="1147">
        <f>IF(NOW()&gt;=DATE(YEAR(BH$2),MONTH(BH$2)+1,DAY(BH$2)),SUMIFS(TF_SOTIEN,TF_THANG,BH$2,TF_KM,$E80)/1000, BN80)</f>
        <v>855</v>
      </c>
      <c r="BL80" s="1091" t="str">
        <f t="shared" si="579"/>
        <v/>
      </c>
      <c r="BM80" s="1091"/>
      <c r="BN80" s="1147">
        <f>IF(NOW()&gt;=DATE(YEAR(BH$2),MONTH(BH$2)+1,DAY(BH$2)),SUMIFS(AC_SOTIEN,AC_THANG,BH$2,AC_KM,$E80),SUMIFS(TF_SOTIEN,TF_THANG,BH$2,TF_KM,$E80))/ 1000</f>
        <v>580</v>
      </c>
      <c r="BO80" s="1091" t="str">
        <f t="shared" si="580"/>
        <v/>
      </c>
      <c r="BP80" s="1091">
        <f t="shared" si="741"/>
        <v>0.03336689967</v>
      </c>
      <c r="BQ80" s="1147">
        <f t="shared" si="39"/>
        <v>164</v>
      </c>
      <c r="BR80" s="1091">
        <f t="shared" si="40"/>
        <v>0.3942307692</v>
      </c>
      <c r="BS80" s="1147">
        <f t="shared" si="41"/>
        <v>-275</v>
      </c>
      <c r="BT80" s="1091">
        <f t="shared" si="42"/>
        <v>-0.3216374269</v>
      </c>
      <c r="BU80" s="1146">
        <f>SUMIFS(BP_SOTIEN,BP_THANG,BU$2,BP_KM,$E80)/1000</f>
        <v>416</v>
      </c>
      <c r="BV80" s="1091" t="str">
        <f t="shared" si="581"/>
        <v/>
      </c>
      <c r="BW80" s="1091"/>
      <c r="BX80" s="1147">
        <f>IF(NOW()&gt;=DATE(YEAR(BU$2),MONTH(BU$2)+1,DAY(BU$2)),SUMIFS(TF_SOTIEN,TF_THANG,BU$2,TF_KM,$E80)/1000, CA80)</f>
        <v>650</v>
      </c>
      <c r="BY80" s="1091" t="str">
        <f t="shared" si="582"/>
        <v/>
      </c>
      <c r="BZ80" s="1091"/>
      <c r="CA80" s="1147">
        <f>IF(NOW()&gt;=DATE(YEAR(BU$2),MONTH(BU$2)+1,DAY(BU$2)),SUMIFS(AC_SOTIEN,AC_THANG,BU$2,AC_KM,$E80),SUMIFS(TF_SOTIEN,TF_THANG,BU$2,TF_KM,$E80))/ 1000</f>
        <v>625.999</v>
      </c>
      <c r="CB80" s="1091" t="str">
        <f t="shared" si="583"/>
        <v/>
      </c>
      <c r="CC80" s="1091">
        <f t="shared" si="742"/>
        <v>0.03459967805</v>
      </c>
      <c r="CD80" s="1147">
        <f t="shared" si="46"/>
        <v>209.999</v>
      </c>
      <c r="CE80" s="1091">
        <f t="shared" si="47"/>
        <v>0.5048052885</v>
      </c>
      <c r="CF80" s="1147">
        <f t="shared" si="48"/>
        <v>-24.001</v>
      </c>
      <c r="CG80" s="1091">
        <f t="shared" si="49"/>
        <v>-0.03692461538</v>
      </c>
      <c r="CH80" s="1146">
        <f>SUMIFS(BP_SOTIEN,BP_THANG,CH$2,BP_KM,$E80)/1000</f>
        <v>416</v>
      </c>
      <c r="CI80" s="1091" t="str">
        <f t="shared" si="584"/>
        <v/>
      </c>
      <c r="CJ80" s="1091"/>
      <c r="CK80" s="1147">
        <f>IF(NOW()&gt;=DATE(YEAR(CH$2),MONTH(CH$2)+1,DAY(CH$2)),SUMIFS(TF_SOTIEN,TF_THANG,CH$2,TF_KM,$E80)/1000, CN80)</f>
        <v>650</v>
      </c>
      <c r="CL80" s="1091" t="str">
        <f t="shared" si="585"/>
        <v/>
      </c>
      <c r="CM80" s="1091"/>
      <c r="CN80" s="1147">
        <f>IF(NOW()&gt;=DATE(YEAR(CH$2),MONTH(CH$2)+1,DAY(CH$2)),SUMIFS(AC_SOTIEN,AC_THANG,CH$2,AC_KM,$E80),SUMIFS(TF_SOTIEN,TF_THANG,CH$2,TF_KM,$E80))/ 1000</f>
        <v>0</v>
      </c>
      <c r="CO80" s="1091" t="str">
        <f t="shared" si="586"/>
        <v/>
      </c>
      <c r="CP80" s="1091" t="str">
        <f t="shared" si="743"/>
        <v/>
      </c>
      <c r="CQ80" s="1147">
        <f t="shared" si="53"/>
        <v>-416</v>
      </c>
      <c r="CR80" s="1091">
        <f t="shared" si="54"/>
        <v>-1</v>
      </c>
      <c r="CS80" s="1147">
        <f t="shared" si="55"/>
        <v>-650</v>
      </c>
      <c r="CT80" s="1091">
        <f t="shared" si="56"/>
        <v>-1</v>
      </c>
      <c r="CU80" s="1146">
        <f t="shared" si="694"/>
        <v>1248</v>
      </c>
      <c r="CV80" s="1091" t="str">
        <f t="shared" si="587"/>
        <v/>
      </c>
      <c r="CW80" s="1091">
        <f t="shared" si="744"/>
        <v>0.02209827357</v>
      </c>
      <c r="CX80" s="1147">
        <f t="shared" si="695"/>
        <v>2155</v>
      </c>
      <c r="CY80" s="1091" t="str">
        <f t="shared" si="589"/>
        <v/>
      </c>
      <c r="CZ80" s="1091">
        <f t="shared" si="745"/>
        <v>0.03820426821</v>
      </c>
      <c r="DA80" s="1147">
        <f t="shared" si="696"/>
        <v>1205.999</v>
      </c>
      <c r="DB80" s="1091" t="str">
        <f t="shared" si="591"/>
        <v/>
      </c>
      <c r="DC80" s="1091">
        <f t="shared" si="746"/>
        <v>0.03399562753</v>
      </c>
      <c r="DD80" s="1147">
        <f t="shared" si="63"/>
        <v>-42.001</v>
      </c>
      <c r="DE80" s="1091">
        <f t="shared" si="64"/>
        <v>-0.03365464744</v>
      </c>
      <c r="DF80" s="1147">
        <f t="shared" si="65"/>
        <v>-949.001</v>
      </c>
      <c r="DG80" s="1091">
        <f t="shared" si="66"/>
        <v>-0.4403716937</v>
      </c>
      <c r="DH80" s="1146">
        <f t="shared" si="697"/>
        <v>2496</v>
      </c>
      <c r="DI80" s="1091" t="str">
        <f t="shared" si="592"/>
        <v/>
      </c>
      <c r="DJ80" s="1091">
        <f t="shared" si="747"/>
        <v>0.02152652005</v>
      </c>
      <c r="DK80" s="1147">
        <f t="shared" si="216"/>
        <v>4281</v>
      </c>
      <c r="DL80" s="1091" t="str">
        <f t="shared" si="593"/>
        <v/>
      </c>
      <c r="DM80" s="1091">
        <f t="shared" si="748"/>
        <v>0.04177917816</v>
      </c>
      <c r="DN80" s="1147">
        <f t="shared" si="219"/>
        <v>3790.785</v>
      </c>
      <c r="DO80" s="1091">
        <f t="shared" si="594"/>
        <v>0.01114936765</v>
      </c>
      <c r="DP80" s="1091">
        <f t="shared" si="749"/>
        <v>0.05122452753</v>
      </c>
      <c r="DQ80" s="1147">
        <f t="shared" si="73"/>
        <v>1294.785</v>
      </c>
      <c r="DR80" s="1091">
        <f t="shared" si="74"/>
        <v>0.5187439904</v>
      </c>
      <c r="DS80" s="1147">
        <f t="shared" si="75"/>
        <v>-490.215</v>
      </c>
      <c r="DT80" s="1091">
        <f t="shared" si="76"/>
        <v>-0.1145094604</v>
      </c>
      <c r="DU80" s="1146">
        <f>SUMIFS(BP_SOTIEN,BP_THANG,DU$2,BP_KM,$E80)/1000</f>
        <v>416</v>
      </c>
      <c r="DV80" s="1091" t="str">
        <f t="shared" si="595"/>
        <v/>
      </c>
      <c r="DW80" s="1091"/>
      <c r="DX80" s="1147">
        <f>IF(NOW()&gt;=DATE(YEAR(DU$2),MONTH(DU$2)+1,DAY(DU$2)),SUMIFS(TF_SOTIEN,TF_THANG,DU$2,TF_KM,$E80)/1000, EA80)</f>
        <v>416</v>
      </c>
      <c r="DY80" s="1091" t="str">
        <f t="shared" si="596"/>
        <v/>
      </c>
      <c r="DZ80" s="1091"/>
      <c r="EA80" s="1147">
        <f>IF(NOW()&gt;=DATE(YEAR(DU$2),MONTH(DU$2)+1,DAY(DU$2)),SUMIFS(AC_SOTIEN,AC_THANG,DU$2,AC_KM,$E80),SUMIFS(TF_SOTIEN,TF_THANG,DU$2,TF_KM,$E80))/ 1000</f>
        <v>0</v>
      </c>
      <c r="EB80" s="1091" t="str">
        <f t="shared" si="597"/>
        <v/>
      </c>
      <c r="EC80" s="1091" t="str">
        <f t="shared" si="750"/>
        <v/>
      </c>
      <c r="ED80" s="1147">
        <f t="shared" si="80"/>
        <v>-416</v>
      </c>
      <c r="EE80" s="1091">
        <f t="shared" si="81"/>
        <v>-1</v>
      </c>
      <c r="EF80" s="1147">
        <f t="shared" si="82"/>
        <v>-416</v>
      </c>
      <c r="EG80" s="1091">
        <f t="shared" si="83"/>
        <v>-1</v>
      </c>
      <c r="EH80" s="1146">
        <f>SUMIFS(BP_SOTIEN,BP_THANG,EH$2,BP_KM,$E80)/1000</f>
        <v>416</v>
      </c>
      <c r="EI80" s="1091" t="str">
        <f t="shared" si="598"/>
        <v/>
      </c>
      <c r="EJ80" s="1091"/>
      <c r="EK80" s="1147">
        <f>IF(NOW()&gt;=DATE(YEAR(EH$2),MONTH(EH$2)+1,DAY(EH$2)),SUMIFS(TF_SOTIEN,TF_THANG,EH$2,TF_KM,$E80)/1000, EN80)</f>
        <v>416</v>
      </c>
      <c r="EL80" s="1091" t="str">
        <f t="shared" si="599"/>
        <v/>
      </c>
      <c r="EM80" s="1091"/>
      <c r="EN80" s="1147">
        <f>IF(NOW()&gt;=DATE(YEAR(EH$2),MONTH(EH$2)+1,DAY(EH$2)),SUMIFS(AC_SOTIEN,AC_THANG,EH$2,AC_KM,$E80),SUMIFS(TF_SOTIEN,TF_THANG,EH$2,TF_KM,$E80))/ 1000</f>
        <v>0</v>
      </c>
      <c r="EO80" s="1091" t="str">
        <f t="shared" si="600"/>
        <v/>
      </c>
      <c r="EP80" s="1091" t="str">
        <f t="shared" si="751"/>
        <v/>
      </c>
      <c r="EQ80" s="1147">
        <f t="shared" si="87"/>
        <v>-416</v>
      </c>
      <c r="ER80" s="1091">
        <f t="shared" si="88"/>
        <v>-1</v>
      </c>
      <c r="ES80" s="1147">
        <f t="shared" si="89"/>
        <v>-416</v>
      </c>
      <c r="ET80" s="1091">
        <f t="shared" si="90"/>
        <v>-1</v>
      </c>
      <c r="EU80" s="1146">
        <f>SUMIFS(BP_SOTIEN,BP_THANG,EU$2,BP_KM,$E80)/1000</f>
        <v>416</v>
      </c>
      <c r="EV80" s="1091" t="str">
        <f t="shared" si="601"/>
        <v/>
      </c>
      <c r="EW80" s="1091"/>
      <c r="EX80" s="1147">
        <f>IF(NOW()&gt;=DATE(YEAR(EU$2),MONTH(EU$2)+1,DAY(EU$2)),SUMIFS(TF_SOTIEN,TF_THANG,EU$2,TF_KM,$E80)/1000, FA80)</f>
        <v>416</v>
      </c>
      <c r="EY80" s="1091" t="str">
        <f t="shared" si="602"/>
        <v/>
      </c>
      <c r="EZ80" s="1091"/>
      <c r="FA80" s="1147">
        <f>IF(NOW()&gt;=DATE(YEAR(EU$2),MONTH(EU$2)+1,DAY(EU$2)),SUMIFS(AC_SOTIEN,AC_THANG,EU$2,AC_KM,$E80),SUMIFS(TF_SOTIEN,TF_THANG,EU$2,TF_KM,$E80))/ 1000</f>
        <v>0</v>
      </c>
      <c r="FB80" s="1091" t="str">
        <f t="shared" si="603"/>
        <v/>
      </c>
      <c r="FC80" s="1091" t="str">
        <f t="shared" si="752"/>
        <v/>
      </c>
      <c r="FD80" s="1147">
        <f t="shared" si="94"/>
        <v>-416</v>
      </c>
      <c r="FE80" s="1091">
        <f t="shared" si="95"/>
        <v>-1</v>
      </c>
      <c r="FF80" s="1147">
        <f t="shared" si="96"/>
        <v>-416</v>
      </c>
      <c r="FG80" s="1091">
        <f t="shared" si="97"/>
        <v>-1</v>
      </c>
      <c r="FH80" s="1146">
        <f t="shared" si="698"/>
        <v>1248</v>
      </c>
      <c r="FI80" s="1091" t="str">
        <f t="shared" si="604"/>
        <v/>
      </c>
      <c r="FJ80" s="1091">
        <f t="shared" si="753"/>
        <v>0.02209827357</v>
      </c>
      <c r="FK80" s="1147">
        <f t="shared" si="243"/>
        <v>1248</v>
      </c>
      <c r="FL80" s="1091" t="str">
        <f t="shared" si="605"/>
        <v/>
      </c>
      <c r="FM80" s="1091">
        <f t="shared" si="754"/>
        <v>0.02209827357</v>
      </c>
      <c r="FN80" s="1147">
        <f t="shared" si="246"/>
        <v>0</v>
      </c>
      <c r="FO80" s="1091" t="str">
        <f t="shared" si="606"/>
        <v/>
      </c>
      <c r="FP80" s="1091" t="str">
        <f t="shared" si="755"/>
        <v/>
      </c>
      <c r="FQ80" s="1147">
        <f t="shared" si="104"/>
        <v>-1248</v>
      </c>
      <c r="FR80" s="1091">
        <f t="shared" si="105"/>
        <v>-1</v>
      </c>
      <c r="FS80" s="1147">
        <f t="shared" si="106"/>
        <v>-1248</v>
      </c>
      <c r="FT80" s="1091">
        <f t="shared" si="107"/>
        <v>-1</v>
      </c>
      <c r="FU80" s="1146">
        <f>SUMIFS(BP_SOTIEN,BP_THANG,FU$2,BP_KM,$E80)/1000</f>
        <v>416</v>
      </c>
      <c r="FV80" s="1091" t="str">
        <f t="shared" si="607"/>
        <v/>
      </c>
      <c r="FW80" s="1091"/>
      <c r="FX80" s="1147">
        <f>IF(NOW()&gt;=DATE(YEAR(FU$2),MONTH(FU$2)+1,DAY(FU$2)),SUMIFS(TF_SOTIEN,TF_THANG,FU$2,TF_KM,$E80)/1000, GA80)</f>
        <v>416</v>
      </c>
      <c r="FY80" s="1091" t="str">
        <f t="shared" si="608"/>
        <v/>
      </c>
      <c r="FZ80" s="1091"/>
      <c r="GA80" s="1147">
        <f>IF(NOW()&gt;=DATE(YEAR(FU$2),MONTH(FU$2)+1,DAY(FU$2)),SUMIFS(AC_SOTIEN,AC_THANG,FU$2,AC_KM,$E80),SUMIFS(TF_SOTIEN,TF_THANG,FU$2,TF_KM,$E80))/ 1000</f>
        <v>0</v>
      </c>
      <c r="GB80" s="1091" t="str">
        <f t="shared" si="609"/>
        <v/>
      </c>
      <c r="GC80" s="1091" t="str">
        <f t="shared" si="756"/>
        <v/>
      </c>
      <c r="GD80" s="1147">
        <f t="shared" si="111"/>
        <v>-416</v>
      </c>
      <c r="GE80" s="1091">
        <f t="shared" si="112"/>
        <v>-1</v>
      </c>
      <c r="GF80" s="1147">
        <f t="shared" si="113"/>
        <v>-416</v>
      </c>
      <c r="GG80" s="1091">
        <f t="shared" si="114"/>
        <v>-1</v>
      </c>
      <c r="GH80" s="1146">
        <f>SUMIFS(BP_SOTIEN,BP_THANG,GH$2,BP_KM,$E80)/1000</f>
        <v>416</v>
      </c>
      <c r="GI80" s="1091" t="str">
        <f t="shared" si="610"/>
        <v/>
      </c>
      <c r="GJ80" s="1091"/>
      <c r="GK80" s="1147">
        <f>IF(NOW()&gt;=DATE(YEAR(GH$2),MONTH(GH$2)+1,DAY(GH$2)),SUMIFS(TF_SOTIEN,TF_THANG,GH$2,TF_KM,$E80)/1000, GN80)</f>
        <v>416</v>
      </c>
      <c r="GL80" s="1091" t="str">
        <f t="shared" si="611"/>
        <v/>
      </c>
      <c r="GM80" s="1091"/>
      <c r="GN80" s="1147">
        <f>IF(NOW()&gt;=DATE(YEAR(GH$2),MONTH(GH$2)+1,DAY(GH$2)),SUMIFS(AC_SOTIEN,AC_THANG,GH$2,AC_KM,$E80),SUMIFS(TF_SOTIEN,TF_THANG,GH$2,TF_KM,$E80))/ 1000</f>
        <v>0</v>
      </c>
      <c r="GO80" s="1091" t="str">
        <f t="shared" si="612"/>
        <v/>
      </c>
      <c r="GP80" s="1091" t="str">
        <f t="shared" si="757"/>
        <v/>
      </c>
      <c r="GQ80" s="1147">
        <f t="shared" si="118"/>
        <v>-416</v>
      </c>
      <c r="GR80" s="1091">
        <f t="shared" si="119"/>
        <v>-1</v>
      </c>
      <c r="GS80" s="1147">
        <f t="shared" si="120"/>
        <v>-416</v>
      </c>
      <c r="GT80" s="1091">
        <f t="shared" si="121"/>
        <v>-1</v>
      </c>
      <c r="GU80" s="1146">
        <f>SUMIFS(BP_SOTIEN,BP_THANG,GU$2,BP_KM,$E80)/1000</f>
        <v>416</v>
      </c>
      <c r="GV80" s="1091" t="str">
        <f t="shared" si="613"/>
        <v/>
      </c>
      <c r="GW80" s="1091"/>
      <c r="GX80" s="1147">
        <f>IF(NOW()&gt;=DATE(YEAR(GU$2),MONTH(GU$2)+1,DAY(GU$2)),SUMIFS(TF_SOTIEN,TF_THANG,GU$2,TF_KM,$E80)/1000, HA80)</f>
        <v>416</v>
      </c>
      <c r="GY80" s="1091" t="str">
        <f t="shared" si="614"/>
        <v/>
      </c>
      <c r="GZ80" s="1091"/>
      <c r="HA80" s="1147">
        <f>IF(NOW()&gt;=DATE(YEAR(GU$2),MONTH(GU$2)+1,DAY(GU$2)),SUMIFS(AC_SOTIEN,AC_THANG,GU$2,AC_KM,$E80),SUMIFS(TF_SOTIEN,TF_THANG,GU$2,TF_KM,$E80))/ 1000</f>
        <v>0</v>
      </c>
      <c r="HB80" s="1091" t="str">
        <f t="shared" si="615"/>
        <v/>
      </c>
      <c r="HC80" s="1091" t="str">
        <f t="shared" si="758"/>
        <v/>
      </c>
      <c r="HD80" s="1147">
        <f t="shared" si="125"/>
        <v>-416</v>
      </c>
      <c r="HE80" s="1091">
        <f t="shared" si="126"/>
        <v>-1</v>
      </c>
      <c r="HF80" s="1147">
        <f t="shared" si="127"/>
        <v>-416</v>
      </c>
      <c r="HG80" s="1091">
        <f t="shared" si="128"/>
        <v>-1</v>
      </c>
      <c r="HH80" s="1146">
        <f t="shared" si="699"/>
        <v>1248</v>
      </c>
      <c r="HI80" s="1091" t="str">
        <f t="shared" si="616"/>
        <v/>
      </c>
      <c r="HJ80" s="1091">
        <f t="shared" si="759"/>
        <v>0.02209827357</v>
      </c>
      <c r="HK80" s="1147">
        <f t="shared" si="270"/>
        <v>1248</v>
      </c>
      <c r="HL80" s="1091" t="str">
        <f t="shared" si="617"/>
        <v/>
      </c>
      <c r="HM80" s="1091">
        <f t="shared" si="760"/>
        <v>0.02209827357</v>
      </c>
      <c r="HN80" s="1147">
        <f t="shared" si="273"/>
        <v>0</v>
      </c>
      <c r="HO80" s="1091" t="str">
        <f t="shared" si="618"/>
        <v/>
      </c>
      <c r="HP80" s="1091" t="str">
        <f t="shared" si="761"/>
        <v/>
      </c>
      <c r="HQ80" s="1147">
        <f t="shared" si="135"/>
        <v>-1248</v>
      </c>
      <c r="HR80" s="1091">
        <f t="shared" si="136"/>
        <v>-1</v>
      </c>
      <c r="HS80" s="1147">
        <f t="shared" si="137"/>
        <v>-1248</v>
      </c>
      <c r="HT80" s="1091">
        <f t="shared" si="138"/>
        <v>-1</v>
      </c>
      <c r="HU80" s="1146">
        <f t="shared" si="700"/>
        <v>2496</v>
      </c>
      <c r="HV80" s="1091" t="str">
        <f t="shared" si="619"/>
        <v/>
      </c>
      <c r="HW80" s="1091">
        <f t="shared" si="762"/>
        <v>0.02209827357</v>
      </c>
      <c r="HX80" s="1147">
        <f t="shared" si="279"/>
        <v>2496</v>
      </c>
      <c r="HY80" s="1091" t="str">
        <f t="shared" si="620"/>
        <v/>
      </c>
      <c r="HZ80" s="1091">
        <f t="shared" si="763"/>
        <v>0.02209827357</v>
      </c>
      <c r="IA80" s="1147">
        <f t="shared" si="282"/>
        <v>0</v>
      </c>
      <c r="IB80" s="1091" t="str">
        <f t="shared" si="621"/>
        <v/>
      </c>
      <c r="IC80" s="1091" t="str">
        <f t="shared" si="764"/>
        <v/>
      </c>
      <c r="ID80" s="1147">
        <f t="shared" si="145"/>
        <v>-2496</v>
      </c>
      <c r="IE80" s="1091">
        <f t="shared" si="146"/>
        <v>-1</v>
      </c>
      <c r="IF80" s="1147">
        <f t="shared" si="147"/>
        <v>-2496</v>
      </c>
      <c r="IG80" s="1091">
        <f t="shared" si="148"/>
        <v>-1</v>
      </c>
      <c r="IH80" s="1146">
        <f t="shared" si="701"/>
        <v>4992</v>
      </c>
      <c r="II80" s="1091" t="str">
        <f t="shared" si="622"/>
        <v/>
      </c>
      <c r="IJ80" s="1091">
        <f t="shared" si="765"/>
        <v>0.02180865007</v>
      </c>
      <c r="IK80" s="1147">
        <f t="shared" si="288"/>
        <v>6777</v>
      </c>
      <c r="IL80" s="1091" t="str">
        <f t="shared" si="623"/>
        <v/>
      </c>
      <c r="IM80" s="1091">
        <f t="shared" si="766"/>
        <v>0.03145986736</v>
      </c>
      <c r="IN80" s="1147">
        <f t="shared" si="291"/>
        <v>3790.785</v>
      </c>
      <c r="IO80" s="1091">
        <f t="shared" si="624"/>
        <v>0.01114936765</v>
      </c>
      <c r="IP80" s="1091">
        <f t="shared" si="767"/>
        <v>0.05122452753</v>
      </c>
      <c r="IQ80" s="1147">
        <f t="shared" si="155"/>
        <v>-1201.215</v>
      </c>
      <c r="IR80" s="1091">
        <f t="shared" si="1"/>
        <v>-0.2406280048</v>
      </c>
      <c r="IS80" s="1147">
        <f t="shared" si="156"/>
        <v>-2986.215</v>
      </c>
      <c r="IT80" s="1091">
        <f t="shared" si="2"/>
        <v>-0.4406396636</v>
      </c>
    </row>
    <row r="81" hidden="1" outlineLevel="1">
      <c r="A81" s="737"/>
      <c r="B81" s="737"/>
      <c r="C81" s="737"/>
      <c r="D81" s="737" t="s">
        <v>2866</v>
      </c>
      <c r="E81" s="737" t="s">
        <v>410</v>
      </c>
      <c r="F81" s="737"/>
      <c r="G81" s="748">
        <v>3.0</v>
      </c>
      <c r="H81" s="1146">
        <f>SUMIFS(BP_SOTIEN,BP_THANG,H$2,BP_KM,$E81)/1000</f>
        <v>1250</v>
      </c>
      <c r="I81" s="1091" t="str">
        <f t="shared" si="566"/>
        <v/>
      </c>
      <c r="J81" s="1091"/>
      <c r="K81" s="1147">
        <f>IF(NOW()&gt;=DATE(YEAR(H$2),MONTH(H$2)+1,DAY(H$2)),SUMIFS(TF_SOTIEN,TF_THANG,H$2,TF_KM,$E81)/1000, N81)</f>
        <v>1250</v>
      </c>
      <c r="L81" s="1091" t="str">
        <f t="shared" si="567"/>
        <v/>
      </c>
      <c r="M81" s="1091"/>
      <c r="N81" s="1147">
        <f>IF(NOW()&gt;=DATE(YEAR(H$2),MONTH(H$2)+1,DAY(H$2)),SUMIFS(AC_SOTIEN,AC_THANG,H$2,AC_KM,$E81),SUMIFS(TF_SOTIEN,TF_THANG,H$2,TF_KM,$E81))/ 1000</f>
        <v>0</v>
      </c>
      <c r="O81" s="1091">
        <f t="shared" si="568"/>
        <v>0</v>
      </c>
      <c r="P81" s="1091">
        <f t="shared" si="735"/>
        <v>0</v>
      </c>
      <c r="Q81" s="1147">
        <f t="shared" si="8"/>
        <v>-1250</v>
      </c>
      <c r="R81" s="1091">
        <f t="shared" si="9"/>
        <v>-1</v>
      </c>
      <c r="S81" s="1147">
        <f t="shared" si="10"/>
        <v>-1250</v>
      </c>
      <c r="T81" s="1091">
        <f t="shared" si="11"/>
        <v>-1</v>
      </c>
      <c r="U81" s="1146">
        <f>SUMIFS(BP_SOTIEN,BP_THANG,U$2,BP_KM,$E81)/1000</f>
        <v>1250</v>
      </c>
      <c r="V81" s="1091" t="str">
        <f t="shared" si="569"/>
        <v/>
      </c>
      <c r="W81" s="1091"/>
      <c r="X81" s="1147">
        <f>IF(NOW()&gt;=DATE(YEAR(U$2),MONTH(U$2)+1,DAY(U$2)),SUMIFS(TF_SOTIEN,TF_THANG,U$2,TF_KM,$E81)/1000, AA81)</f>
        <v>1499</v>
      </c>
      <c r="Y81" s="1091" t="str">
        <f t="shared" si="570"/>
        <v/>
      </c>
      <c r="Z81" s="1091"/>
      <c r="AA81" s="1147">
        <f>IF(NOW()&gt;=DATE(YEAR(U$2),MONTH(U$2)+1,DAY(U$2)),SUMIFS(AC_SOTIEN,AC_THANG,U$2,AC_KM,$E81),SUMIFS(TF_SOTIEN,TF_THANG,U$2,TF_KM,$E81))/ 1000</f>
        <v>1499.001</v>
      </c>
      <c r="AB81" s="1091" t="str">
        <f t="shared" si="571"/>
        <v/>
      </c>
      <c r="AC81" s="1091">
        <f t="shared" si="736"/>
        <v>0.1451205405</v>
      </c>
      <c r="AD81" s="1147">
        <f t="shared" si="15"/>
        <v>249.001</v>
      </c>
      <c r="AE81" s="1091">
        <f t="shared" si="16"/>
        <v>0.1992008</v>
      </c>
      <c r="AF81" s="1147">
        <f t="shared" si="17"/>
        <v>0.001</v>
      </c>
      <c r="AG81" s="1091">
        <f t="shared" si="18"/>
        <v>0.0000006671114076</v>
      </c>
      <c r="AH81" s="1146">
        <f>SUMIFS(BP_SOTIEN,BP_THANG,AH$2,BP_KM,$E81)/1000</f>
        <v>1250</v>
      </c>
      <c r="AI81" s="1091" t="str">
        <f t="shared" si="572"/>
        <v/>
      </c>
      <c r="AJ81" s="1091"/>
      <c r="AK81" s="1147">
        <f>IF(NOW()&gt;=DATE(YEAR(AH$2),MONTH(AH$2)+1,DAY(AH$2)),SUMIFS(TF_SOTIEN,TF_THANG,AH$2,TF_KM,$E81)/1000, AN81)</f>
        <v>1499</v>
      </c>
      <c r="AL81" s="1091" t="str">
        <f t="shared" si="573"/>
        <v/>
      </c>
      <c r="AM81" s="1091"/>
      <c r="AN81" s="1147">
        <f>IF(NOW()&gt;=DATE(YEAR(AH$2),MONTH(AH$2)+1,DAY(AH$2)),SUMIFS(AC_SOTIEN,AC_THANG,AH$2,AC_KM,$E81),SUMIFS(TF_SOTIEN,TF_THANG,AH$2,TF_KM,$E81))/ 1000</f>
        <v>997.91</v>
      </c>
      <c r="AO81" s="1091" t="str">
        <f t="shared" si="574"/>
        <v/>
      </c>
      <c r="AP81" s="1091">
        <f t="shared" si="737"/>
        <v>0.05535623787</v>
      </c>
      <c r="AQ81" s="1147">
        <f t="shared" si="22"/>
        <v>-252.09</v>
      </c>
      <c r="AR81" s="1091">
        <f t="shared" si="23"/>
        <v>-0.201672</v>
      </c>
      <c r="AS81" s="1147">
        <f t="shared" si="24"/>
        <v>-501.09</v>
      </c>
      <c r="AT81" s="1091">
        <f t="shared" si="25"/>
        <v>-0.3342828552</v>
      </c>
      <c r="AU81" s="1146">
        <f t="shared" si="691"/>
        <v>3750</v>
      </c>
      <c r="AV81" s="1091" t="str">
        <f t="shared" si="575"/>
        <v/>
      </c>
      <c r="AW81" s="1091">
        <f t="shared" si="738"/>
        <v>0.0630517024</v>
      </c>
      <c r="AX81" s="1147">
        <f t="shared" si="692"/>
        <v>4248</v>
      </c>
      <c r="AY81" s="1091" t="str">
        <f t="shared" si="576"/>
        <v/>
      </c>
      <c r="AZ81" s="1091">
        <f t="shared" si="739"/>
        <v>0.09222752931</v>
      </c>
      <c r="BA81" s="1147">
        <f t="shared" si="693"/>
        <v>2496.911</v>
      </c>
      <c r="BB81" s="1091">
        <f t="shared" si="577"/>
        <v>0.007343855882</v>
      </c>
      <c r="BC81" s="1091">
        <f t="shared" si="740"/>
        <v>0.06480736693</v>
      </c>
      <c r="BD81" s="1147">
        <f t="shared" si="32"/>
        <v>-1253.089</v>
      </c>
      <c r="BE81" s="1091">
        <f t="shared" si="33"/>
        <v>-0.3341570667</v>
      </c>
      <c r="BF81" s="1147">
        <f t="shared" si="34"/>
        <v>-1751.089</v>
      </c>
      <c r="BG81" s="1091">
        <f t="shared" si="35"/>
        <v>-0.4122149247</v>
      </c>
      <c r="BH81" s="1146">
        <f>SUMIFS(BP_SOTIEN,BP_THANG,BH$2,BP_KM,$E81)/1000</f>
        <v>1250</v>
      </c>
      <c r="BI81" s="1091" t="str">
        <f t="shared" si="578"/>
        <v/>
      </c>
      <c r="BJ81" s="1091"/>
      <c r="BK81" s="1147">
        <f>IF(NOW()&gt;=DATE(YEAR(BH$2),MONTH(BH$2)+1,DAY(BH$2)),SUMIFS(TF_SOTIEN,TF_THANG,BH$2,TF_KM,$E81)/1000, BN81)</f>
        <v>1499</v>
      </c>
      <c r="BL81" s="1091" t="str">
        <f t="shared" si="579"/>
        <v/>
      </c>
      <c r="BM81" s="1091"/>
      <c r="BN81" s="1147">
        <f>IF(NOW()&gt;=DATE(YEAR(BH$2),MONTH(BH$2)+1,DAY(BH$2)),SUMIFS(AC_SOTIEN,AC_THANG,BH$2,AC_KM,$E81),SUMIFS(TF_SOTIEN,TF_THANG,BH$2,TF_KM,$E81))/ 1000</f>
        <v>1054</v>
      </c>
      <c r="BO81" s="1091" t="str">
        <f t="shared" si="580"/>
        <v/>
      </c>
      <c r="BP81" s="1091">
        <f t="shared" si="741"/>
        <v>0.06063571077</v>
      </c>
      <c r="BQ81" s="1147">
        <f t="shared" si="39"/>
        <v>-196</v>
      </c>
      <c r="BR81" s="1091">
        <f t="shared" si="40"/>
        <v>-0.1568</v>
      </c>
      <c r="BS81" s="1147">
        <f t="shared" si="41"/>
        <v>-445</v>
      </c>
      <c r="BT81" s="1091">
        <f t="shared" si="42"/>
        <v>-0.2968645764</v>
      </c>
      <c r="BU81" s="1146">
        <f>SUMIFS(BP_SOTIEN,BP_THANG,BU$2,BP_KM,$E81)/1000</f>
        <v>1250</v>
      </c>
      <c r="BV81" s="1091" t="str">
        <f t="shared" si="581"/>
        <v/>
      </c>
      <c r="BW81" s="1091"/>
      <c r="BX81" s="1147">
        <f>IF(NOW()&gt;=DATE(YEAR(BU$2),MONTH(BU$2)+1,DAY(BU$2)),SUMIFS(TF_SOTIEN,TF_THANG,BU$2,TF_KM,$E81)/1000, CA81)</f>
        <v>1250</v>
      </c>
      <c r="BY81" s="1091" t="str">
        <f t="shared" si="582"/>
        <v/>
      </c>
      <c r="BZ81" s="1091"/>
      <c r="CA81" s="1147">
        <f>IF(NOW()&gt;=DATE(YEAR(BU$2),MONTH(BU$2)+1,DAY(BU$2)),SUMIFS(AC_SOTIEN,AC_THANG,BU$2,AC_KM,$E81),SUMIFS(TF_SOTIEN,TF_THANG,BU$2,TF_KM,$E81))/ 1000</f>
        <v>96</v>
      </c>
      <c r="CB81" s="1091" t="str">
        <f t="shared" si="583"/>
        <v/>
      </c>
      <c r="CC81" s="1091">
        <f t="shared" si="742"/>
        <v>0.00530602939</v>
      </c>
      <c r="CD81" s="1147">
        <f t="shared" si="46"/>
        <v>-1154</v>
      </c>
      <c r="CE81" s="1091">
        <f t="shared" si="47"/>
        <v>-0.9232</v>
      </c>
      <c r="CF81" s="1147">
        <f t="shared" si="48"/>
        <v>-1154</v>
      </c>
      <c r="CG81" s="1091">
        <f t="shared" si="49"/>
        <v>-0.9232</v>
      </c>
      <c r="CH81" s="1146">
        <f>SUMIFS(BP_SOTIEN,BP_THANG,CH$2,BP_KM,$E81)/1000</f>
        <v>1250</v>
      </c>
      <c r="CI81" s="1091" t="str">
        <f t="shared" si="584"/>
        <v/>
      </c>
      <c r="CJ81" s="1091"/>
      <c r="CK81" s="1147">
        <f>IF(NOW()&gt;=DATE(YEAR(CH$2),MONTH(CH$2)+1,DAY(CH$2)),SUMIFS(TF_SOTIEN,TF_THANG,CH$2,TF_KM,$E81)/1000, CN81)</f>
        <v>1250</v>
      </c>
      <c r="CL81" s="1091" t="str">
        <f t="shared" si="585"/>
        <v/>
      </c>
      <c r="CM81" s="1091"/>
      <c r="CN81" s="1147">
        <f>IF(NOW()&gt;=DATE(YEAR(CH$2),MONTH(CH$2)+1,DAY(CH$2)),SUMIFS(AC_SOTIEN,AC_THANG,CH$2,AC_KM,$E81),SUMIFS(TF_SOTIEN,TF_THANG,CH$2,TF_KM,$E81))/ 1000</f>
        <v>0</v>
      </c>
      <c r="CO81" s="1091" t="str">
        <f t="shared" si="586"/>
        <v/>
      </c>
      <c r="CP81" s="1091" t="str">
        <f t="shared" si="743"/>
        <v/>
      </c>
      <c r="CQ81" s="1147">
        <f t="shared" si="53"/>
        <v>-1250</v>
      </c>
      <c r="CR81" s="1091">
        <f t="shared" si="54"/>
        <v>-1</v>
      </c>
      <c r="CS81" s="1147">
        <f t="shared" si="55"/>
        <v>-1250</v>
      </c>
      <c r="CT81" s="1091">
        <f t="shared" si="56"/>
        <v>-1</v>
      </c>
      <c r="CU81" s="1146">
        <f t="shared" si="694"/>
        <v>3750</v>
      </c>
      <c r="CV81" s="1091" t="str">
        <f t="shared" si="587"/>
        <v/>
      </c>
      <c r="CW81" s="1091">
        <f t="shared" si="744"/>
        <v>0.06640106242</v>
      </c>
      <c r="CX81" s="1147">
        <f t="shared" si="695"/>
        <v>3999</v>
      </c>
      <c r="CY81" s="1091" t="str">
        <f t="shared" si="589"/>
        <v/>
      </c>
      <c r="CZ81" s="1091">
        <f t="shared" si="745"/>
        <v>0.07089506661</v>
      </c>
      <c r="DA81" s="1147">
        <f t="shared" si="696"/>
        <v>1150</v>
      </c>
      <c r="DB81" s="1091" t="str">
        <f t="shared" si="591"/>
        <v/>
      </c>
      <c r="DC81" s="1091">
        <f t="shared" si="746"/>
        <v>0.03241708464</v>
      </c>
      <c r="DD81" s="1147">
        <f t="shared" si="63"/>
        <v>-2600</v>
      </c>
      <c r="DE81" s="1091">
        <f t="shared" si="64"/>
        <v>-0.6933333333</v>
      </c>
      <c r="DF81" s="1147">
        <f t="shared" si="65"/>
        <v>-2849</v>
      </c>
      <c r="DG81" s="1091">
        <f t="shared" si="66"/>
        <v>-0.712428107</v>
      </c>
      <c r="DH81" s="1146">
        <f t="shared" si="697"/>
        <v>7500</v>
      </c>
      <c r="DI81" s="1091" t="str">
        <f t="shared" si="592"/>
        <v/>
      </c>
      <c r="DJ81" s="1091">
        <f t="shared" si="747"/>
        <v>0.06468305304</v>
      </c>
      <c r="DK81" s="1147">
        <f t="shared" si="216"/>
        <v>8247</v>
      </c>
      <c r="DL81" s="1091" t="str">
        <f t="shared" si="593"/>
        <v/>
      </c>
      <c r="DM81" s="1091">
        <f t="shared" si="748"/>
        <v>0.08048420516</v>
      </c>
      <c r="DN81" s="1147">
        <f t="shared" si="219"/>
        <v>3646.911</v>
      </c>
      <c r="DO81" s="1091">
        <f t="shared" si="594"/>
        <v>0.01072620882</v>
      </c>
      <c r="DP81" s="1091">
        <f t="shared" si="749"/>
        <v>0.04928037146</v>
      </c>
      <c r="DQ81" s="1147">
        <f t="shared" si="73"/>
        <v>-3853.089</v>
      </c>
      <c r="DR81" s="1091">
        <f t="shared" si="74"/>
        <v>-0.5137452</v>
      </c>
      <c r="DS81" s="1147">
        <f t="shared" si="75"/>
        <v>-4600.089</v>
      </c>
      <c r="DT81" s="1091">
        <f t="shared" si="76"/>
        <v>-0.557789378</v>
      </c>
      <c r="DU81" s="1146">
        <f>SUMIFS(BP_SOTIEN,BP_THANG,DU$2,BP_KM,$E81)/1000</f>
        <v>1250</v>
      </c>
      <c r="DV81" s="1091" t="str">
        <f t="shared" si="595"/>
        <v/>
      </c>
      <c r="DW81" s="1091"/>
      <c r="DX81" s="1147">
        <f>IF(NOW()&gt;=DATE(YEAR(DU$2),MONTH(DU$2)+1,DAY(DU$2)),SUMIFS(TF_SOTIEN,TF_THANG,DU$2,TF_KM,$E81)/1000, EA81)</f>
        <v>1250</v>
      </c>
      <c r="DY81" s="1091" t="str">
        <f t="shared" si="596"/>
        <v/>
      </c>
      <c r="DZ81" s="1091"/>
      <c r="EA81" s="1147">
        <f>IF(NOW()&gt;=DATE(YEAR(DU$2),MONTH(DU$2)+1,DAY(DU$2)),SUMIFS(AC_SOTIEN,AC_THANG,DU$2,AC_KM,$E81),SUMIFS(TF_SOTIEN,TF_THANG,DU$2,TF_KM,$E81))/ 1000</f>
        <v>0</v>
      </c>
      <c r="EB81" s="1091" t="str">
        <f t="shared" si="597"/>
        <v/>
      </c>
      <c r="EC81" s="1091" t="str">
        <f t="shared" si="750"/>
        <v/>
      </c>
      <c r="ED81" s="1147">
        <f t="shared" si="80"/>
        <v>-1250</v>
      </c>
      <c r="EE81" s="1091">
        <f t="shared" si="81"/>
        <v>-1</v>
      </c>
      <c r="EF81" s="1147">
        <f t="shared" si="82"/>
        <v>-1250</v>
      </c>
      <c r="EG81" s="1091">
        <f t="shared" si="83"/>
        <v>-1</v>
      </c>
      <c r="EH81" s="1146">
        <f>SUMIFS(BP_SOTIEN,BP_THANG,EH$2,BP_KM,$E81)/1000</f>
        <v>1250</v>
      </c>
      <c r="EI81" s="1091" t="str">
        <f t="shared" si="598"/>
        <v/>
      </c>
      <c r="EJ81" s="1091"/>
      <c r="EK81" s="1147">
        <f>IF(NOW()&gt;=DATE(YEAR(EH$2),MONTH(EH$2)+1,DAY(EH$2)),SUMIFS(TF_SOTIEN,TF_THANG,EH$2,TF_KM,$E81)/1000, EN81)</f>
        <v>1250</v>
      </c>
      <c r="EL81" s="1091" t="str">
        <f t="shared" si="599"/>
        <v/>
      </c>
      <c r="EM81" s="1091"/>
      <c r="EN81" s="1147">
        <f>IF(NOW()&gt;=DATE(YEAR(EH$2),MONTH(EH$2)+1,DAY(EH$2)),SUMIFS(AC_SOTIEN,AC_THANG,EH$2,AC_KM,$E81),SUMIFS(TF_SOTIEN,TF_THANG,EH$2,TF_KM,$E81))/ 1000</f>
        <v>0</v>
      </c>
      <c r="EO81" s="1091" t="str">
        <f t="shared" si="600"/>
        <v/>
      </c>
      <c r="EP81" s="1091" t="str">
        <f t="shared" si="751"/>
        <v/>
      </c>
      <c r="EQ81" s="1147">
        <f t="shared" si="87"/>
        <v>-1250</v>
      </c>
      <c r="ER81" s="1091">
        <f t="shared" si="88"/>
        <v>-1</v>
      </c>
      <c r="ES81" s="1147">
        <f t="shared" si="89"/>
        <v>-1250</v>
      </c>
      <c r="ET81" s="1091">
        <f t="shared" si="90"/>
        <v>-1</v>
      </c>
      <c r="EU81" s="1146">
        <f>SUMIFS(BP_SOTIEN,BP_THANG,EU$2,BP_KM,$E81)/1000</f>
        <v>1250</v>
      </c>
      <c r="EV81" s="1091" t="str">
        <f t="shared" si="601"/>
        <v/>
      </c>
      <c r="EW81" s="1091"/>
      <c r="EX81" s="1147">
        <f>IF(NOW()&gt;=DATE(YEAR(EU$2),MONTH(EU$2)+1,DAY(EU$2)),SUMIFS(TF_SOTIEN,TF_THANG,EU$2,TF_KM,$E81)/1000, FA81)</f>
        <v>1250</v>
      </c>
      <c r="EY81" s="1091" t="str">
        <f t="shared" si="602"/>
        <v/>
      </c>
      <c r="EZ81" s="1091"/>
      <c r="FA81" s="1147">
        <f>IF(NOW()&gt;=DATE(YEAR(EU$2),MONTH(EU$2)+1,DAY(EU$2)),SUMIFS(AC_SOTIEN,AC_THANG,EU$2,AC_KM,$E81),SUMIFS(TF_SOTIEN,TF_THANG,EU$2,TF_KM,$E81))/ 1000</f>
        <v>0</v>
      </c>
      <c r="FB81" s="1091" t="str">
        <f t="shared" si="603"/>
        <v/>
      </c>
      <c r="FC81" s="1091" t="str">
        <f t="shared" si="752"/>
        <v/>
      </c>
      <c r="FD81" s="1147">
        <f t="shared" si="94"/>
        <v>-1250</v>
      </c>
      <c r="FE81" s="1091">
        <f t="shared" si="95"/>
        <v>-1</v>
      </c>
      <c r="FF81" s="1147">
        <f t="shared" si="96"/>
        <v>-1250</v>
      </c>
      <c r="FG81" s="1091">
        <f t="shared" si="97"/>
        <v>-1</v>
      </c>
      <c r="FH81" s="1146">
        <f t="shared" si="698"/>
        <v>3750</v>
      </c>
      <c r="FI81" s="1091" t="str">
        <f t="shared" si="604"/>
        <v/>
      </c>
      <c r="FJ81" s="1091">
        <f t="shared" si="753"/>
        <v>0.06640106242</v>
      </c>
      <c r="FK81" s="1147">
        <f t="shared" si="243"/>
        <v>3750</v>
      </c>
      <c r="FL81" s="1091" t="str">
        <f t="shared" si="605"/>
        <v/>
      </c>
      <c r="FM81" s="1091">
        <f t="shared" si="754"/>
        <v>0.06640106242</v>
      </c>
      <c r="FN81" s="1147">
        <f t="shared" si="246"/>
        <v>0</v>
      </c>
      <c r="FO81" s="1091" t="str">
        <f t="shared" si="606"/>
        <v/>
      </c>
      <c r="FP81" s="1091" t="str">
        <f t="shared" si="755"/>
        <v/>
      </c>
      <c r="FQ81" s="1147">
        <f t="shared" si="104"/>
        <v>-3750</v>
      </c>
      <c r="FR81" s="1091">
        <f t="shared" si="105"/>
        <v>-1</v>
      </c>
      <c r="FS81" s="1147">
        <f t="shared" si="106"/>
        <v>-3750</v>
      </c>
      <c r="FT81" s="1091">
        <f t="shared" si="107"/>
        <v>-1</v>
      </c>
      <c r="FU81" s="1146">
        <f>SUMIFS(BP_SOTIEN,BP_THANG,FU$2,BP_KM,$E81)/1000</f>
        <v>1250</v>
      </c>
      <c r="FV81" s="1091" t="str">
        <f t="shared" si="607"/>
        <v/>
      </c>
      <c r="FW81" s="1091"/>
      <c r="FX81" s="1147">
        <f>IF(NOW()&gt;=DATE(YEAR(FU$2),MONTH(FU$2)+1,DAY(FU$2)),SUMIFS(TF_SOTIEN,TF_THANG,FU$2,TF_KM,$E81)/1000, GA81)</f>
        <v>1250</v>
      </c>
      <c r="FY81" s="1091" t="str">
        <f t="shared" si="608"/>
        <v/>
      </c>
      <c r="FZ81" s="1091"/>
      <c r="GA81" s="1147">
        <f>IF(NOW()&gt;=DATE(YEAR(FU$2),MONTH(FU$2)+1,DAY(FU$2)),SUMIFS(AC_SOTIEN,AC_THANG,FU$2,AC_KM,$E81),SUMIFS(TF_SOTIEN,TF_THANG,FU$2,TF_KM,$E81))/ 1000</f>
        <v>0</v>
      </c>
      <c r="GB81" s="1091" t="str">
        <f t="shared" si="609"/>
        <v/>
      </c>
      <c r="GC81" s="1091" t="str">
        <f t="shared" si="756"/>
        <v/>
      </c>
      <c r="GD81" s="1147">
        <f t="shared" si="111"/>
        <v>-1250</v>
      </c>
      <c r="GE81" s="1091">
        <f t="shared" si="112"/>
        <v>-1</v>
      </c>
      <c r="GF81" s="1147">
        <f t="shared" si="113"/>
        <v>-1250</v>
      </c>
      <c r="GG81" s="1091">
        <f t="shared" si="114"/>
        <v>-1</v>
      </c>
      <c r="GH81" s="1146">
        <f>SUMIFS(BP_SOTIEN,BP_THANG,GH$2,BP_KM,$E81)/1000</f>
        <v>1250</v>
      </c>
      <c r="GI81" s="1091" t="str">
        <f t="shared" si="610"/>
        <v/>
      </c>
      <c r="GJ81" s="1091"/>
      <c r="GK81" s="1147">
        <f>IF(NOW()&gt;=DATE(YEAR(GH$2),MONTH(GH$2)+1,DAY(GH$2)),SUMIFS(TF_SOTIEN,TF_THANG,GH$2,TF_KM,$E81)/1000, GN81)</f>
        <v>1250</v>
      </c>
      <c r="GL81" s="1091" t="str">
        <f t="shared" si="611"/>
        <v/>
      </c>
      <c r="GM81" s="1091"/>
      <c r="GN81" s="1147">
        <f>IF(NOW()&gt;=DATE(YEAR(GH$2),MONTH(GH$2)+1,DAY(GH$2)),SUMIFS(AC_SOTIEN,AC_THANG,GH$2,AC_KM,$E81),SUMIFS(TF_SOTIEN,TF_THANG,GH$2,TF_KM,$E81))/ 1000</f>
        <v>0</v>
      </c>
      <c r="GO81" s="1091" t="str">
        <f t="shared" si="612"/>
        <v/>
      </c>
      <c r="GP81" s="1091" t="str">
        <f t="shared" si="757"/>
        <v/>
      </c>
      <c r="GQ81" s="1147">
        <f t="shared" si="118"/>
        <v>-1250</v>
      </c>
      <c r="GR81" s="1091">
        <f t="shared" si="119"/>
        <v>-1</v>
      </c>
      <c r="GS81" s="1147">
        <f t="shared" si="120"/>
        <v>-1250</v>
      </c>
      <c r="GT81" s="1091">
        <f t="shared" si="121"/>
        <v>-1</v>
      </c>
      <c r="GU81" s="1146">
        <f>SUMIFS(BP_SOTIEN,BP_THANG,GU$2,BP_KM,$E81)/1000</f>
        <v>1250</v>
      </c>
      <c r="GV81" s="1091" t="str">
        <f t="shared" si="613"/>
        <v/>
      </c>
      <c r="GW81" s="1091"/>
      <c r="GX81" s="1147">
        <f>IF(NOW()&gt;=DATE(YEAR(GU$2),MONTH(GU$2)+1,DAY(GU$2)),SUMIFS(TF_SOTIEN,TF_THANG,GU$2,TF_KM,$E81)/1000, HA81)</f>
        <v>1250</v>
      </c>
      <c r="GY81" s="1091" t="str">
        <f t="shared" si="614"/>
        <v/>
      </c>
      <c r="GZ81" s="1091"/>
      <c r="HA81" s="1147">
        <f>IF(NOW()&gt;=DATE(YEAR(GU$2),MONTH(GU$2)+1,DAY(GU$2)),SUMIFS(AC_SOTIEN,AC_THANG,GU$2,AC_KM,$E81),SUMIFS(TF_SOTIEN,TF_THANG,GU$2,TF_KM,$E81))/ 1000</f>
        <v>0</v>
      </c>
      <c r="HB81" s="1091" t="str">
        <f t="shared" si="615"/>
        <v/>
      </c>
      <c r="HC81" s="1091" t="str">
        <f t="shared" si="758"/>
        <v/>
      </c>
      <c r="HD81" s="1147">
        <f t="shared" si="125"/>
        <v>-1250</v>
      </c>
      <c r="HE81" s="1091">
        <f t="shared" si="126"/>
        <v>-1</v>
      </c>
      <c r="HF81" s="1147">
        <f t="shared" si="127"/>
        <v>-1250</v>
      </c>
      <c r="HG81" s="1091">
        <f t="shared" si="128"/>
        <v>-1</v>
      </c>
      <c r="HH81" s="1146">
        <f t="shared" si="699"/>
        <v>3750</v>
      </c>
      <c r="HI81" s="1091" t="str">
        <f t="shared" si="616"/>
        <v/>
      </c>
      <c r="HJ81" s="1091">
        <f t="shared" si="759"/>
        <v>0.06640106242</v>
      </c>
      <c r="HK81" s="1147">
        <f t="shared" si="270"/>
        <v>3750</v>
      </c>
      <c r="HL81" s="1091" t="str">
        <f t="shared" si="617"/>
        <v/>
      </c>
      <c r="HM81" s="1091">
        <f t="shared" si="760"/>
        <v>0.06640106242</v>
      </c>
      <c r="HN81" s="1147">
        <f t="shared" si="273"/>
        <v>0</v>
      </c>
      <c r="HO81" s="1091" t="str">
        <f t="shared" si="618"/>
        <v/>
      </c>
      <c r="HP81" s="1091" t="str">
        <f t="shared" si="761"/>
        <v/>
      </c>
      <c r="HQ81" s="1147">
        <f t="shared" si="135"/>
        <v>-3750</v>
      </c>
      <c r="HR81" s="1091">
        <f t="shared" si="136"/>
        <v>-1</v>
      </c>
      <c r="HS81" s="1147">
        <f t="shared" si="137"/>
        <v>-3750</v>
      </c>
      <c r="HT81" s="1091">
        <f t="shared" si="138"/>
        <v>-1</v>
      </c>
      <c r="HU81" s="1146">
        <f t="shared" si="700"/>
        <v>7500</v>
      </c>
      <c r="HV81" s="1091" t="str">
        <f t="shared" si="619"/>
        <v/>
      </c>
      <c r="HW81" s="1091">
        <f t="shared" si="762"/>
        <v>0.06640106242</v>
      </c>
      <c r="HX81" s="1147">
        <f t="shared" si="279"/>
        <v>7500</v>
      </c>
      <c r="HY81" s="1091" t="str">
        <f t="shared" si="620"/>
        <v/>
      </c>
      <c r="HZ81" s="1091">
        <f t="shared" si="763"/>
        <v>0.06640106242</v>
      </c>
      <c r="IA81" s="1147">
        <f t="shared" si="282"/>
        <v>0</v>
      </c>
      <c r="IB81" s="1091" t="str">
        <f t="shared" si="621"/>
        <v/>
      </c>
      <c r="IC81" s="1091" t="str">
        <f t="shared" si="764"/>
        <v/>
      </c>
      <c r="ID81" s="1147">
        <f t="shared" si="145"/>
        <v>-7500</v>
      </c>
      <c r="IE81" s="1091">
        <f t="shared" si="146"/>
        <v>-1</v>
      </c>
      <c r="IF81" s="1147">
        <f t="shared" si="147"/>
        <v>-7500</v>
      </c>
      <c r="IG81" s="1091">
        <f t="shared" si="148"/>
        <v>-1</v>
      </c>
      <c r="IH81" s="1146">
        <f t="shared" si="701"/>
        <v>15000</v>
      </c>
      <c r="II81" s="1091" t="str">
        <f t="shared" si="622"/>
        <v/>
      </c>
      <c r="IJ81" s="1091">
        <f t="shared" si="765"/>
        <v>0.06553079948</v>
      </c>
      <c r="IK81" s="1147">
        <f t="shared" si="288"/>
        <v>15747</v>
      </c>
      <c r="IL81" s="1091" t="str">
        <f t="shared" si="623"/>
        <v/>
      </c>
      <c r="IM81" s="1091">
        <f t="shared" si="766"/>
        <v>0.07309997511</v>
      </c>
      <c r="IN81" s="1147">
        <f t="shared" si="291"/>
        <v>3646.911</v>
      </c>
      <c r="IO81" s="1091">
        <f t="shared" si="624"/>
        <v>0.01072620882</v>
      </c>
      <c r="IP81" s="1091">
        <f t="shared" si="767"/>
        <v>0.04928037146</v>
      </c>
      <c r="IQ81" s="1147">
        <f t="shared" si="155"/>
        <v>-11353.089</v>
      </c>
      <c r="IR81" s="1091">
        <f t="shared" si="1"/>
        <v>-0.7568726</v>
      </c>
      <c r="IS81" s="1147">
        <f t="shared" si="156"/>
        <v>-12100.089</v>
      </c>
      <c r="IT81" s="1091">
        <f t="shared" si="2"/>
        <v>-0.7684059821</v>
      </c>
    </row>
    <row r="82" hidden="1" outlineLevel="1">
      <c r="A82" s="737"/>
      <c r="B82" s="737"/>
      <c r="C82" s="737"/>
      <c r="D82" s="737" t="s">
        <v>2867</v>
      </c>
      <c r="E82" s="737" t="s">
        <v>226</v>
      </c>
      <c r="F82" s="737"/>
      <c r="G82" s="748">
        <v>3.0</v>
      </c>
      <c r="H82" s="1146">
        <f>SUMIFS(BP_SOTIEN,BP_THANG,H$2,BP_KM,$E82)/1000</f>
        <v>1250</v>
      </c>
      <c r="I82" s="1091" t="str">
        <f t="shared" si="566"/>
        <v/>
      </c>
      <c r="J82" s="1091"/>
      <c r="K82" s="1147">
        <f>IF(NOW()&gt;=DATE(YEAR(H$2),MONTH(H$2)+1,DAY(H$2)),SUMIFS(TF_SOTIEN,TF_THANG,H$2,TF_KM,$E82)/1000, N82)</f>
        <v>1250</v>
      </c>
      <c r="L82" s="1091" t="str">
        <f t="shared" si="567"/>
        <v/>
      </c>
      <c r="M82" s="1091"/>
      <c r="N82" s="1147">
        <f>IF(NOW()&gt;=DATE(YEAR(H$2),MONTH(H$2)+1,DAY(H$2)),SUMIFS(AC_SOTIEN,AC_THANG,H$2,AC_KM,$E82),SUMIFS(TF_SOTIEN,TF_THANG,H$2,TF_KM,$E82))/ 1000</f>
        <v>306.944</v>
      </c>
      <c r="O82" s="1091">
        <f t="shared" si="568"/>
        <v>0.0009027764706</v>
      </c>
      <c r="P82" s="1091">
        <f t="shared" si="735"/>
        <v>0.03017600639</v>
      </c>
      <c r="Q82" s="1147">
        <f t="shared" si="8"/>
        <v>-943.056</v>
      </c>
      <c r="R82" s="1091">
        <f t="shared" si="9"/>
        <v>-0.7544448</v>
      </c>
      <c r="S82" s="1147">
        <f t="shared" si="10"/>
        <v>-943.056</v>
      </c>
      <c r="T82" s="1091">
        <f t="shared" si="11"/>
        <v>-0.7544448</v>
      </c>
      <c r="U82" s="1146">
        <f>SUMIFS(BP_SOTIEN,BP_THANG,U$2,BP_KM,$E82)/1000</f>
        <v>1250</v>
      </c>
      <c r="V82" s="1091" t="str">
        <f t="shared" si="569"/>
        <v/>
      </c>
      <c r="W82" s="1091"/>
      <c r="X82" s="1147">
        <f>IF(NOW()&gt;=DATE(YEAR(U$2),MONTH(U$2)+1,DAY(U$2)),SUMIFS(TF_SOTIEN,TF_THANG,U$2,TF_KM,$E82)/1000, AA82)</f>
        <v>491</v>
      </c>
      <c r="Y82" s="1091" t="str">
        <f t="shared" si="570"/>
        <v/>
      </c>
      <c r="Z82" s="1091"/>
      <c r="AA82" s="1147">
        <f>IF(NOW()&gt;=DATE(YEAR(U$2),MONTH(U$2)+1,DAY(U$2)),SUMIFS(AC_SOTIEN,AC_THANG,U$2,AC_KM,$E82),SUMIFS(TF_SOTIEN,TF_THANG,U$2,TF_KM,$E82))/ 1000</f>
        <v>491</v>
      </c>
      <c r="AB82" s="1091" t="str">
        <f t="shared" si="571"/>
        <v/>
      </c>
      <c r="AC82" s="1091">
        <f t="shared" si="736"/>
        <v>0.0475344482</v>
      </c>
      <c r="AD82" s="1147">
        <f t="shared" si="15"/>
        <v>-759</v>
      </c>
      <c r="AE82" s="1091">
        <f t="shared" si="16"/>
        <v>-0.6072</v>
      </c>
      <c r="AF82" s="1147">
        <f t="shared" si="17"/>
        <v>0</v>
      </c>
      <c r="AG82" s="1091">
        <f t="shared" si="18"/>
        <v>0</v>
      </c>
      <c r="AH82" s="1146">
        <f>SUMIFS(BP_SOTIEN,BP_THANG,AH$2,BP_KM,$E82)/1000</f>
        <v>1250</v>
      </c>
      <c r="AI82" s="1091" t="str">
        <f t="shared" si="572"/>
        <v/>
      </c>
      <c r="AJ82" s="1091"/>
      <c r="AK82" s="1147">
        <f>IF(NOW()&gt;=DATE(YEAR(AH$2),MONTH(AH$2)+1,DAY(AH$2)),SUMIFS(TF_SOTIEN,TF_THANG,AH$2,TF_KM,$E82)/1000, AN82)</f>
        <v>491</v>
      </c>
      <c r="AL82" s="1091" t="str">
        <f t="shared" si="573"/>
        <v/>
      </c>
      <c r="AM82" s="1091"/>
      <c r="AN82" s="1147">
        <f>IF(NOW()&gt;=DATE(YEAR(AH$2),MONTH(AH$2)+1,DAY(AH$2)),SUMIFS(AC_SOTIEN,AC_THANG,AH$2,AC_KM,$E82),SUMIFS(TF_SOTIEN,TF_THANG,AH$2,TF_KM,$E82))/ 1000</f>
        <v>1229.966</v>
      </c>
      <c r="AO82" s="1091" t="str">
        <f t="shared" si="574"/>
        <v/>
      </c>
      <c r="AP82" s="1091">
        <f t="shared" si="737"/>
        <v>0.06822888884</v>
      </c>
      <c r="AQ82" s="1147">
        <f t="shared" si="22"/>
        <v>-20.034</v>
      </c>
      <c r="AR82" s="1091">
        <f t="shared" si="23"/>
        <v>-0.0160272</v>
      </c>
      <c r="AS82" s="1147">
        <f t="shared" si="24"/>
        <v>738.966</v>
      </c>
      <c r="AT82" s="1091">
        <f t="shared" si="25"/>
        <v>1.505022403</v>
      </c>
      <c r="AU82" s="1146">
        <f t="shared" si="691"/>
        <v>3750</v>
      </c>
      <c r="AV82" s="1091" t="str">
        <f t="shared" si="575"/>
        <v/>
      </c>
      <c r="AW82" s="1091">
        <f t="shared" si="738"/>
        <v>0.0630517024</v>
      </c>
      <c r="AX82" s="1147">
        <f t="shared" si="692"/>
        <v>2232</v>
      </c>
      <c r="AY82" s="1091" t="str">
        <f t="shared" si="576"/>
        <v/>
      </c>
      <c r="AZ82" s="1091">
        <f t="shared" si="739"/>
        <v>0.04845853235</v>
      </c>
      <c r="BA82" s="1147">
        <f t="shared" si="693"/>
        <v>2027.91</v>
      </c>
      <c r="BB82" s="1091">
        <f t="shared" si="577"/>
        <v>0.005964441176</v>
      </c>
      <c r="BC82" s="1091">
        <f t="shared" si="740"/>
        <v>0.0526344381</v>
      </c>
      <c r="BD82" s="1147">
        <f t="shared" si="32"/>
        <v>-1722.09</v>
      </c>
      <c r="BE82" s="1091">
        <f t="shared" si="33"/>
        <v>-0.459224</v>
      </c>
      <c r="BF82" s="1147">
        <f t="shared" si="34"/>
        <v>-204.09</v>
      </c>
      <c r="BG82" s="1091">
        <f t="shared" si="35"/>
        <v>-0.09143817204</v>
      </c>
      <c r="BH82" s="1146">
        <f>SUMIFS(BP_SOTIEN,BP_THANG,BH$2,BP_KM,$E82)/1000</f>
        <v>1250</v>
      </c>
      <c r="BI82" s="1091" t="str">
        <f t="shared" si="578"/>
        <v/>
      </c>
      <c r="BJ82" s="1091"/>
      <c r="BK82" s="1147">
        <f>IF(NOW()&gt;=DATE(YEAR(BH$2),MONTH(BH$2)+1,DAY(BH$2)),SUMIFS(TF_SOTIEN,TF_THANG,BH$2,TF_KM,$E82)/1000, BN82)</f>
        <v>491</v>
      </c>
      <c r="BL82" s="1091" t="str">
        <f t="shared" si="579"/>
        <v/>
      </c>
      <c r="BM82" s="1091"/>
      <c r="BN82" s="1147">
        <f>IF(NOW()&gt;=DATE(YEAR(BH$2),MONTH(BH$2)+1,DAY(BH$2)),SUMIFS(AC_SOTIEN,AC_THANG,BH$2,AC_KM,$E82),SUMIFS(TF_SOTIEN,TF_THANG,BH$2,TF_KM,$E82))/ 1000</f>
        <v>1300</v>
      </c>
      <c r="BO82" s="1091" t="str">
        <f t="shared" si="580"/>
        <v/>
      </c>
      <c r="BP82" s="1091">
        <f t="shared" si="741"/>
        <v>0.07478787856</v>
      </c>
      <c r="BQ82" s="1147">
        <f t="shared" si="39"/>
        <v>50</v>
      </c>
      <c r="BR82" s="1091">
        <f t="shared" si="40"/>
        <v>0.04</v>
      </c>
      <c r="BS82" s="1147">
        <f t="shared" si="41"/>
        <v>809</v>
      </c>
      <c r="BT82" s="1091">
        <f t="shared" si="42"/>
        <v>1.647657841</v>
      </c>
      <c r="BU82" s="1146">
        <f>SUMIFS(BP_SOTIEN,BP_THANG,BU$2,BP_KM,$E82)/1000</f>
        <v>1250</v>
      </c>
      <c r="BV82" s="1091" t="str">
        <f t="shared" si="581"/>
        <v/>
      </c>
      <c r="BW82" s="1091"/>
      <c r="BX82" s="1147">
        <f>IF(NOW()&gt;=DATE(YEAR(BU$2),MONTH(BU$2)+1,DAY(BU$2)),SUMIFS(TF_SOTIEN,TF_THANG,BU$2,TF_KM,$E82)/1000, CA82)</f>
        <v>1250</v>
      </c>
      <c r="BY82" s="1091" t="str">
        <f t="shared" si="582"/>
        <v/>
      </c>
      <c r="BZ82" s="1091"/>
      <c r="CA82" s="1147">
        <f>IF(NOW()&gt;=DATE(YEAR(BU$2),MONTH(BU$2)+1,DAY(BU$2)),SUMIFS(AC_SOTIEN,AC_THANG,BU$2,AC_KM,$E82),SUMIFS(TF_SOTIEN,TF_THANG,BU$2,TF_KM,$E82))/ 1000</f>
        <v>600</v>
      </c>
      <c r="CB82" s="1091" t="str">
        <f t="shared" si="583"/>
        <v/>
      </c>
      <c r="CC82" s="1091">
        <f t="shared" si="742"/>
        <v>0.03316268369</v>
      </c>
      <c r="CD82" s="1147">
        <f t="shared" si="46"/>
        <v>-650</v>
      </c>
      <c r="CE82" s="1091">
        <f t="shared" si="47"/>
        <v>-0.52</v>
      </c>
      <c r="CF82" s="1147">
        <f t="shared" si="48"/>
        <v>-650</v>
      </c>
      <c r="CG82" s="1091">
        <f t="shared" si="49"/>
        <v>-0.52</v>
      </c>
      <c r="CH82" s="1146">
        <f>SUMIFS(BP_SOTIEN,BP_THANG,CH$2,BP_KM,$E82)/1000</f>
        <v>1250</v>
      </c>
      <c r="CI82" s="1091" t="str">
        <f t="shared" si="584"/>
        <v/>
      </c>
      <c r="CJ82" s="1091"/>
      <c r="CK82" s="1147">
        <f>IF(NOW()&gt;=DATE(YEAR(CH$2),MONTH(CH$2)+1,DAY(CH$2)),SUMIFS(TF_SOTIEN,TF_THANG,CH$2,TF_KM,$E82)/1000, CN82)</f>
        <v>950</v>
      </c>
      <c r="CL82" s="1091" t="str">
        <f t="shared" si="585"/>
        <v/>
      </c>
      <c r="CM82" s="1091"/>
      <c r="CN82" s="1147">
        <f>IF(NOW()&gt;=DATE(YEAR(CH$2),MONTH(CH$2)+1,DAY(CH$2)),SUMIFS(AC_SOTIEN,AC_THANG,CH$2,AC_KM,$E82),SUMIFS(TF_SOTIEN,TF_THANG,CH$2,TF_KM,$E82))/ 1000</f>
        <v>0</v>
      </c>
      <c r="CO82" s="1091" t="str">
        <f t="shared" si="586"/>
        <v/>
      </c>
      <c r="CP82" s="1091" t="str">
        <f t="shared" si="743"/>
        <v/>
      </c>
      <c r="CQ82" s="1147">
        <f t="shared" si="53"/>
        <v>-1250</v>
      </c>
      <c r="CR82" s="1091">
        <f t="shared" si="54"/>
        <v>-1</v>
      </c>
      <c r="CS82" s="1147">
        <f t="shared" si="55"/>
        <v>-950</v>
      </c>
      <c r="CT82" s="1091">
        <f t="shared" si="56"/>
        <v>-1</v>
      </c>
      <c r="CU82" s="1146">
        <f t="shared" si="694"/>
        <v>3750</v>
      </c>
      <c r="CV82" s="1091" t="str">
        <f t="shared" si="587"/>
        <v/>
      </c>
      <c r="CW82" s="1091">
        <f t="shared" si="744"/>
        <v>0.06640106242</v>
      </c>
      <c r="CX82" s="1147">
        <f t="shared" si="695"/>
        <v>2691</v>
      </c>
      <c r="CY82" s="1091" t="str">
        <f t="shared" si="589"/>
        <v/>
      </c>
      <c r="CZ82" s="1091">
        <f t="shared" si="745"/>
        <v>0.04770658271</v>
      </c>
      <c r="DA82" s="1147">
        <f t="shared" si="696"/>
        <v>1900</v>
      </c>
      <c r="DB82" s="1091" t="str">
        <f t="shared" si="591"/>
        <v/>
      </c>
      <c r="DC82" s="1091">
        <f t="shared" si="746"/>
        <v>0.05355866158</v>
      </c>
      <c r="DD82" s="1147">
        <f t="shared" si="63"/>
        <v>-1850</v>
      </c>
      <c r="DE82" s="1091">
        <f t="shared" si="64"/>
        <v>-0.4933333333</v>
      </c>
      <c r="DF82" s="1147">
        <f t="shared" si="65"/>
        <v>-791</v>
      </c>
      <c r="DG82" s="1091">
        <f t="shared" si="66"/>
        <v>-0.2939427722</v>
      </c>
      <c r="DH82" s="1146">
        <f t="shared" si="697"/>
        <v>7500</v>
      </c>
      <c r="DI82" s="1091" t="str">
        <f t="shared" si="592"/>
        <v/>
      </c>
      <c r="DJ82" s="1091">
        <f t="shared" si="747"/>
        <v>0.06468305304</v>
      </c>
      <c r="DK82" s="1147">
        <f t="shared" si="216"/>
        <v>4923</v>
      </c>
      <c r="DL82" s="1091" t="str">
        <f t="shared" si="593"/>
        <v/>
      </c>
      <c r="DM82" s="1091">
        <f t="shared" si="748"/>
        <v>0.048044591</v>
      </c>
      <c r="DN82" s="1147">
        <f t="shared" si="219"/>
        <v>3927.91</v>
      </c>
      <c r="DO82" s="1091">
        <f t="shared" si="594"/>
        <v>0.01155267647</v>
      </c>
      <c r="DP82" s="1091">
        <f t="shared" si="749"/>
        <v>0.05307748499</v>
      </c>
      <c r="DQ82" s="1147">
        <f t="shared" si="73"/>
        <v>-3572.09</v>
      </c>
      <c r="DR82" s="1091">
        <f t="shared" si="74"/>
        <v>-0.4762786667</v>
      </c>
      <c r="DS82" s="1147">
        <f t="shared" si="75"/>
        <v>-995.09</v>
      </c>
      <c r="DT82" s="1091">
        <f t="shared" si="76"/>
        <v>-0.2021308145</v>
      </c>
      <c r="DU82" s="1146">
        <f>SUMIFS(BP_SOTIEN,BP_THANG,DU$2,BP_KM,$E82)/1000</f>
        <v>1250</v>
      </c>
      <c r="DV82" s="1091" t="str">
        <f t="shared" si="595"/>
        <v/>
      </c>
      <c r="DW82" s="1091"/>
      <c r="DX82" s="1147">
        <f>IF(NOW()&gt;=DATE(YEAR(DU$2),MONTH(DU$2)+1,DAY(DU$2)),SUMIFS(TF_SOTIEN,TF_THANG,DU$2,TF_KM,$E82)/1000, EA82)</f>
        <v>1250</v>
      </c>
      <c r="DY82" s="1091" t="str">
        <f t="shared" si="596"/>
        <v/>
      </c>
      <c r="DZ82" s="1091"/>
      <c r="EA82" s="1147">
        <f>IF(NOW()&gt;=DATE(YEAR(DU$2),MONTH(DU$2)+1,DAY(DU$2)),SUMIFS(AC_SOTIEN,AC_THANG,DU$2,AC_KM,$E82),SUMIFS(TF_SOTIEN,TF_THANG,DU$2,TF_KM,$E82))/ 1000</f>
        <v>0</v>
      </c>
      <c r="EB82" s="1091" t="str">
        <f t="shared" si="597"/>
        <v/>
      </c>
      <c r="EC82" s="1091" t="str">
        <f t="shared" si="750"/>
        <v/>
      </c>
      <c r="ED82" s="1147">
        <f t="shared" si="80"/>
        <v>-1250</v>
      </c>
      <c r="EE82" s="1091">
        <f t="shared" si="81"/>
        <v>-1</v>
      </c>
      <c r="EF82" s="1147">
        <f t="shared" si="82"/>
        <v>-1250</v>
      </c>
      <c r="EG82" s="1091">
        <f t="shared" si="83"/>
        <v>-1</v>
      </c>
      <c r="EH82" s="1146">
        <f>SUMIFS(BP_SOTIEN,BP_THANG,EH$2,BP_KM,$E82)/1000</f>
        <v>1250</v>
      </c>
      <c r="EI82" s="1091" t="str">
        <f t="shared" si="598"/>
        <v/>
      </c>
      <c r="EJ82" s="1091"/>
      <c r="EK82" s="1147">
        <f>IF(NOW()&gt;=DATE(YEAR(EH$2),MONTH(EH$2)+1,DAY(EH$2)),SUMIFS(TF_SOTIEN,TF_THANG,EH$2,TF_KM,$E82)/1000, EN82)</f>
        <v>1250</v>
      </c>
      <c r="EL82" s="1091" t="str">
        <f t="shared" si="599"/>
        <v/>
      </c>
      <c r="EM82" s="1091"/>
      <c r="EN82" s="1147">
        <f>IF(NOW()&gt;=DATE(YEAR(EH$2),MONTH(EH$2)+1,DAY(EH$2)),SUMIFS(AC_SOTIEN,AC_THANG,EH$2,AC_KM,$E82),SUMIFS(TF_SOTIEN,TF_THANG,EH$2,TF_KM,$E82))/ 1000</f>
        <v>0</v>
      </c>
      <c r="EO82" s="1091" t="str">
        <f t="shared" si="600"/>
        <v/>
      </c>
      <c r="EP82" s="1091" t="str">
        <f t="shared" si="751"/>
        <v/>
      </c>
      <c r="EQ82" s="1147">
        <f t="shared" si="87"/>
        <v>-1250</v>
      </c>
      <c r="ER82" s="1091">
        <f t="shared" si="88"/>
        <v>-1</v>
      </c>
      <c r="ES82" s="1147">
        <f t="shared" si="89"/>
        <v>-1250</v>
      </c>
      <c r="ET82" s="1091">
        <f t="shared" si="90"/>
        <v>-1</v>
      </c>
      <c r="EU82" s="1146">
        <f>SUMIFS(BP_SOTIEN,BP_THANG,EU$2,BP_KM,$E82)/1000</f>
        <v>1250</v>
      </c>
      <c r="EV82" s="1091" t="str">
        <f t="shared" si="601"/>
        <v/>
      </c>
      <c r="EW82" s="1091"/>
      <c r="EX82" s="1147">
        <f>IF(NOW()&gt;=DATE(YEAR(EU$2),MONTH(EU$2)+1,DAY(EU$2)),SUMIFS(TF_SOTIEN,TF_THANG,EU$2,TF_KM,$E82)/1000, FA82)</f>
        <v>1250</v>
      </c>
      <c r="EY82" s="1091" t="str">
        <f t="shared" si="602"/>
        <v/>
      </c>
      <c r="EZ82" s="1091"/>
      <c r="FA82" s="1147">
        <f>IF(NOW()&gt;=DATE(YEAR(EU$2),MONTH(EU$2)+1,DAY(EU$2)),SUMIFS(AC_SOTIEN,AC_THANG,EU$2,AC_KM,$E82),SUMIFS(TF_SOTIEN,TF_THANG,EU$2,TF_KM,$E82))/ 1000</f>
        <v>0</v>
      </c>
      <c r="FB82" s="1091" t="str">
        <f t="shared" si="603"/>
        <v/>
      </c>
      <c r="FC82" s="1091" t="str">
        <f t="shared" si="752"/>
        <v/>
      </c>
      <c r="FD82" s="1147">
        <f t="shared" si="94"/>
        <v>-1250</v>
      </c>
      <c r="FE82" s="1091">
        <f t="shared" si="95"/>
        <v>-1</v>
      </c>
      <c r="FF82" s="1147">
        <f t="shared" si="96"/>
        <v>-1250</v>
      </c>
      <c r="FG82" s="1091">
        <f t="shared" si="97"/>
        <v>-1</v>
      </c>
      <c r="FH82" s="1146">
        <f t="shared" si="698"/>
        <v>3750</v>
      </c>
      <c r="FI82" s="1091" t="str">
        <f t="shared" si="604"/>
        <v/>
      </c>
      <c r="FJ82" s="1091">
        <f t="shared" si="753"/>
        <v>0.06640106242</v>
      </c>
      <c r="FK82" s="1147">
        <f t="shared" si="243"/>
        <v>3750</v>
      </c>
      <c r="FL82" s="1091" t="str">
        <f t="shared" si="605"/>
        <v/>
      </c>
      <c r="FM82" s="1091">
        <f t="shared" si="754"/>
        <v>0.06640106242</v>
      </c>
      <c r="FN82" s="1147">
        <f t="shared" si="246"/>
        <v>0</v>
      </c>
      <c r="FO82" s="1091" t="str">
        <f t="shared" si="606"/>
        <v/>
      </c>
      <c r="FP82" s="1091" t="str">
        <f t="shared" si="755"/>
        <v/>
      </c>
      <c r="FQ82" s="1147">
        <f t="shared" si="104"/>
        <v>-3750</v>
      </c>
      <c r="FR82" s="1091">
        <f t="shared" si="105"/>
        <v>-1</v>
      </c>
      <c r="FS82" s="1147">
        <f t="shared" si="106"/>
        <v>-3750</v>
      </c>
      <c r="FT82" s="1091">
        <f t="shared" si="107"/>
        <v>-1</v>
      </c>
      <c r="FU82" s="1146">
        <f>SUMIFS(BP_SOTIEN,BP_THANG,FU$2,BP_KM,$E82)/1000</f>
        <v>1250</v>
      </c>
      <c r="FV82" s="1091" t="str">
        <f t="shared" si="607"/>
        <v/>
      </c>
      <c r="FW82" s="1091"/>
      <c r="FX82" s="1147">
        <f>IF(NOW()&gt;=DATE(YEAR(FU$2),MONTH(FU$2)+1,DAY(FU$2)),SUMIFS(TF_SOTIEN,TF_THANG,FU$2,TF_KM,$E82)/1000, GA82)</f>
        <v>1250</v>
      </c>
      <c r="FY82" s="1091" t="str">
        <f t="shared" si="608"/>
        <v/>
      </c>
      <c r="FZ82" s="1091"/>
      <c r="GA82" s="1147">
        <f>IF(NOW()&gt;=DATE(YEAR(FU$2),MONTH(FU$2)+1,DAY(FU$2)),SUMIFS(AC_SOTIEN,AC_THANG,FU$2,AC_KM,$E82),SUMIFS(TF_SOTIEN,TF_THANG,FU$2,TF_KM,$E82))/ 1000</f>
        <v>0</v>
      </c>
      <c r="GB82" s="1091" t="str">
        <f t="shared" si="609"/>
        <v/>
      </c>
      <c r="GC82" s="1091" t="str">
        <f t="shared" si="756"/>
        <v/>
      </c>
      <c r="GD82" s="1147">
        <f t="shared" si="111"/>
        <v>-1250</v>
      </c>
      <c r="GE82" s="1091">
        <f t="shared" si="112"/>
        <v>-1</v>
      </c>
      <c r="GF82" s="1147">
        <f t="shared" si="113"/>
        <v>-1250</v>
      </c>
      <c r="GG82" s="1091">
        <f t="shared" si="114"/>
        <v>-1</v>
      </c>
      <c r="GH82" s="1146">
        <f>SUMIFS(BP_SOTIEN,BP_THANG,GH$2,BP_KM,$E82)/1000</f>
        <v>1250</v>
      </c>
      <c r="GI82" s="1091" t="str">
        <f t="shared" si="610"/>
        <v/>
      </c>
      <c r="GJ82" s="1091"/>
      <c r="GK82" s="1147">
        <f>IF(NOW()&gt;=DATE(YEAR(GH$2),MONTH(GH$2)+1,DAY(GH$2)),SUMIFS(TF_SOTIEN,TF_THANG,GH$2,TF_KM,$E82)/1000, GN82)</f>
        <v>1250</v>
      </c>
      <c r="GL82" s="1091" t="str">
        <f t="shared" si="611"/>
        <v/>
      </c>
      <c r="GM82" s="1091"/>
      <c r="GN82" s="1147">
        <f>IF(NOW()&gt;=DATE(YEAR(GH$2),MONTH(GH$2)+1,DAY(GH$2)),SUMIFS(AC_SOTIEN,AC_THANG,GH$2,AC_KM,$E82),SUMIFS(TF_SOTIEN,TF_THANG,GH$2,TF_KM,$E82))/ 1000</f>
        <v>0</v>
      </c>
      <c r="GO82" s="1091" t="str">
        <f t="shared" si="612"/>
        <v/>
      </c>
      <c r="GP82" s="1091" t="str">
        <f t="shared" si="757"/>
        <v/>
      </c>
      <c r="GQ82" s="1147">
        <f t="shared" si="118"/>
        <v>-1250</v>
      </c>
      <c r="GR82" s="1091">
        <f t="shared" si="119"/>
        <v>-1</v>
      </c>
      <c r="GS82" s="1147">
        <f t="shared" si="120"/>
        <v>-1250</v>
      </c>
      <c r="GT82" s="1091">
        <f t="shared" si="121"/>
        <v>-1</v>
      </c>
      <c r="GU82" s="1146">
        <f>SUMIFS(BP_SOTIEN,BP_THANG,GU$2,BP_KM,$E82)/1000</f>
        <v>1250</v>
      </c>
      <c r="GV82" s="1091" t="str">
        <f t="shared" si="613"/>
        <v/>
      </c>
      <c r="GW82" s="1091"/>
      <c r="GX82" s="1147">
        <f>IF(NOW()&gt;=DATE(YEAR(GU$2),MONTH(GU$2)+1,DAY(GU$2)),SUMIFS(TF_SOTIEN,TF_THANG,GU$2,TF_KM,$E82)/1000, HA82)</f>
        <v>1250</v>
      </c>
      <c r="GY82" s="1091" t="str">
        <f t="shared" si="614"/>
        <v/>
      </c>
      <c r="GZ82" s="1091"/>
      <c r="HA82" s="1147">
        <f>IF(NOW()&gt;=DATE(YEAR(GU$2),MONTH(GU$2)+1,DAY(GU$2)),SUMIFS(AC_SOTIEN,AC_THANG,GU$2,AC_KM,$E82),SUMIFS(TF_SOTIEN,TF_THANG,GU$2,TF_KM,$E82))/ 1000</f>
        <v>0</v>
      </c>
      <c r="HB82" s="1091" t="str">
        <f t="shared" si="615"/>
        <v/>
      </c>
      <c r="HC82" s="1091" t="str">
        <f t="shared" si="758"/>
        <v/>
      </c>
      <c r="HD82" s="1147">
        <f t="shared" si="125"/>
        <v>-1250</v>
      </c>
      <c r="HE82" s="1091">
        <f t="shared" si="126"/>
        <v>-1</v>
      </c>
      <c r="HF82" s="1147">
        <f t="shared" si="127"/>
        <v>-1250</v>
      </c>
      <c r="HG82" s="1091">
        <f t="shared" si="128"/>
        <v>-1</v>
      </c>
      <c r="HH82" s="1146">
        <f t="shared" si="699"/>
        <v>3750</v>
      </c>
      <c r="HI82" s="1091" t="str">
        <f t="shared" si="616"/>
        <v/>
      </c>
      <c r="HJ82" s="1091">
        <f t="shared" si="759"/>
        <v>0.06640106242</v>
      </c>
      <c r="HK82" s="1147">
        <f t="shared" si="270"/>
        <v>3750</v>
      </c>
      <c r="HL82" s="1091" t="str">
        <f t="shared" si="617"/>
        <v/>
      </c>
      <c r="HM82" s="1091">
        <f t="shared" si="760"/>
        <v>0.06640106242</v>
      </c>
      <c r="HN82" s="1147">
        <f t="shared" si="273"/>
        <v>0</v>
      </c>
      <c r="HO82" s="1091" t="str">
        <f t="shared" si="618"/>
        <v/>
      </c>
      <c r="HP82" s="1091" t="str">
        <f t="shared" si="761"/>
        <v/>
      </c>
      <c r="HQ82" s="1147">
        <f t="shared" si="135"/>
        <v>-3750</v>
      </c>
      <c r="HR82" s="1091">
        <f t="shared" si="136"/>
        <v>-1</v>
      </c>
      <c r="HS82" s="1147">
        <f t="shared" si="137"/>
        <v>-3750</v>
      </c>
      <c r="HT82" s="1091">
        <f t="shared" si="138"/>
        <v>-1</v>
      </c>
      <c r="HU82" s="1146">
        <f t="shared" si="700"/>
        <v>7500</v>
      </c>
      <c r="HV82" s="1091" t="str">
        <f t="shared" si="619"/>
        <v/>
      </c>
      <c r="HW82" s="1091">
        <f t="shared" si="762"/>
        <v>0.06640106242</v>
      </c>
      <c r="HX82" s="1147">
        <f t="shared" si="279"/>
        <v>7500</v>
      </c>
      <c r="HY82" s="1091" t="str">
        <f t="shared" si="620"/>
        <v/>
      </c>
      <c r="HZ82" s="1091">
        <f t="shared" si="763"/>
        <v>0.06640106242</v>
      </c>
      <c r="IA82" s="1147">
        <f t="shared" si="282"/>
        <v>0</v>
      </c>
      <c r="IB82" s="1091" t="str">
        <f t="shared" si="621"/>
        <v/>
      </c>
      <c r="IC82" s="1091" t="str">
        <f t="shared" si="764"/>
        <v/>
      </c>
      <c r="ID82" s="1147">
        <f t="shared" si="145"/>
        <v>-7500</v>
      </c>
      <c r="IE82" s="1091">
        <f t="shared" si="146"/>
        <v>-1</v>
      </c>
      <c r="IF82" s="1147">
        <f t="shared" si="147"/>
        <v>-7500</v>
      </c>
      <c r="IG82" s="1091">
        <f t="shared" si="148"/>
        <v>-1</v>
      </c>
      <c r="IH82" s="1146">
        <f t="shared" si="701"/>
        <v>15000</v>
      </c>
      <c r="II82" s="1091" t="str">
        <f t="shared" si="622"/>
        <v/>
      </c>
      <c r="IJ82" s="1091">
        <f t="shared" si="765"/>
        <v>0.06553079948</v>
      </c>
      <c r="IK82" s="1147">
        <f t="shared" si="288"/>
        <v>12423</v>
      </c>
      <c r="IL82" s="1091" t="str">
        <f t="shared" si="623"/>
        <v/>
      </c>
      <c r="IM82" s="1091">
        <f t="shared" si="766"/>
        <v>0.05766946027</v>
      </c>
      <c r="IN82" s="1147">
        <f t="shared" si="291"/>
        <v>3927.91</v>
      </c>
      <c r="IO82" s="1091">
        <f t="shared" si="624"/>
        <v>0.01155267647</v>
      </c>
      <c r="IP82" s="1091">
        <f t="shared" si="767"/>
        <v>0.05307748499</v>
      </c>
      <c r="IQ82" s="1147">
        <f t="shared" si="155"/>
        <v>-11072.09</v>
      </c>
      <c r="IR82" s="1091">
        <f t="shared" si="1"/>
        <v>-0.7381393333</v>
      </c>
      <c r="IS82" s="1147">
        <f t="shared" si="156"/>
        <v>-8495.09</v>
      </c>
      <c r="IT82" s="1091">
        <f t="shared" si="2"/>
        <v>-0.6838195283</v>
      </c>
    </row>
    <row r="83" hidden="1" outlineLevel="1">
      <c r="A83" s="737"/>
      <c r="B83" s="737"/>
      <c r="C83" s="737"/>
      <c r="D83" s="744" t="s">
        <v>2868</v>
      </c>
      <c r="E83" s="744" t="s">
        <v>206</v>
      </c>
      <c r="F83" s="737"/>
      <c r="G83" s="748">
        <v>3.0</v>
      </c>
      <c r="H83" s="1146">
        <f>SUMIFS(BP_SOTIEN,BP_THANG,H$2,BP_KM,$E83)/1000</f>
        <v>1703</v>
      </c>
      <c r="I83" s="1091" t="str">
        <f t="shared" si="566"/>
        <v/>
      </c>
      <c r="J83" s="1091"/>
      <c r="K83" s="1147">
        <f>IF(NOW()&gt;=DATE(YEAR(H$2),MONTH(H$2)+1,DAY(H$2)),SUMIFS(TF_SOTIEN,TF_THANG,H$2,TF_KM,$E83)/1000, N83)</f>
        <v>1703</v>
      </c>
      <c r="L83" s="1091" t="str">
        <f t="shared" si="567"/>
        <v/>
      </c>
      <c r="M83" s="1091"/>
      <c r="N83" s="1147">
        <f>IF(NOW()&gt;=DATE(YEAR(H$2),MONTH(H$2)+1,DAY(H$2)),SUMIFS(AC_SOTIEN,AC_THANG,H$2,AC_KM,$E83),SUMIFS(TF_SOTIEN,TF_THANG,H$2,TF_KM,$E83))/ 1000</f>
        <v>1300</v>
      </c>
      <c r="O83" s="1091">
        <f t="shared" si="568"/>
        <v>0.003823529412</v>
      </c>
      <c r="P83" s="1091">
        <f t="shared" si="735"/>
        <v>0.1278044474</v>
      </c>
      <c r="Q83" s="1147">
        <f t="shared" si="8"/>
        <v>-403</v>
      </c>
      <c r="R83" s="1091">
        <f t="shared" si="9"/>
        <v>-0.2366412214</v>
      </c>
      <c r="S83" s="1147">
        <f t="shared" si="10"/>
        <v>-403</v>
      </c>
      <c r="T83" s="1091">
        <f t="shared" si="11"/>
        <v>-0.2366412214</v>
      </c>
      <c r="U83" s="1146">
        <f>SUMIFS(BP_SOTIEN,BP_THANG,U$2,BP_KM,$E83)/1000</f>
        <v>1703</v>
      </c>
      <c r="V83" s="1091" t="str">
        <f t="shared" si="569"/>
        <v/>
      </c>
      <c r="W83" s="1091"/>
      <c r="X83" s="1147">
        <f>IF(NOW()&gt;=DATE(YEAR(U$2),MONTH(U$2)+1,DAY(U$2)),SUMIFS(TF_SOTIEN,TF_THANG,U$2,TF_KM,$E83)/1000, AA83)</f>
        <v>1806</v>
      </c>
      <c r="Y83" s="1091" t="str">
        <f t="shared" si="570"/>
        <v/>
      </c>
      <c r="Z83" s="1091"/>
      <c r="AA83" s="1147">
        <f>IF(NOW()&gt;=DATE(YEAR(U$2),MONTH(U$2)+1,DAY(U$2)),SUMIFS(AC_SOTIEN,AC_THANG,U$2,AC_KM,$E83),SUMIFS(TF_SOTIEN,TF_THANG,U$2,TF_KM,$E83))/ 1000</f>
        <v>1443.001</v>
      </c>
      <c r="AB83" s="1091" t="str">
        <f t="shared" si="571"/>
        <v/>
      </c>
      <c r="AC83" s="1091">
        <f t="shared" si="736"/>
        <v>0.1396990963</v>
      </c>
      <c r="AD83" s="1147">
        <f t="shared" si="15"/>
        <v>-259.999</v>
      </c>
      <c r="AE83" s="1091">
        <f t="shared" si="16"/>
        <v>-0.1526711685</v>
      </c>
      <c r="AF83" s="1147">
        <f t="shared" si="17"/>
        <v>-362.999</v>
      </c>
      <c r="AG83" s="1091">
        <f t="shared" si="18"/>
        <v>-0.200996124</v>
      </c>
      <c r="AH83" s="1146">
        <f>SUMIFS(BP_SOTIEN,BP_THANG,AH$2,BP_KM,$E83)/1000</f>
        <v>1703</v>
      </c>
      <c r="AI83" s="1091" t="str">
        <f t="shared" si="572"/>
        <v/>
      </c>
      <c r="AJ83" s="1091"/>
      <c r="AK83" s="1147">
        <f>IF(NOW()&gt;=DATE(YEAR(AH$2),MONTH(AH$2)+1,DAY(AH$2)),SUMIFS(TF_SOTIEN,TF_THANG,AH$2,TF_KM,$E83)/1000, AN83)</f>
        <v>1806</v>
      </c>
      <c r="AL83" s="1091" t="str">
        <f t="shared" si="573"/>
        <v/>
      </c>
      <c r="AM83" s="1091"/>
      <c r="AN83" s="1147">
        <f>IF(NOW()&gt;=DATE(YEAR(AH$2),MONTH(AH$2)+1,DAY(AH$2)),SUMIFS(AC_SOTIEN,AC_THANG,AH$2,AC_KM,$E83),SUMIFS(TF_SOTIEN,TF_THANG,AH$2,TF_KM,$E83))/ 1000</f>
        <v>1706.608</v>
      </c>
      <c r="AO83" s="1091" t="str">
        <f t="shared" si="574"/>
        <v/>
      </c>
      <c r="AP83" s="1091">
        <f t="shared" si="737"/>
        <v>0.09466925714</v>
      </c>
      <c r="AQ83" s="1147">
        <f t="shared" si="22"/>
        <v>3.608</v>
      </c>
      <c r="AR83" s="1091">
        <f t="shared" si="23"/>
        <v>0.00211861421</v>
      </c>
      <c r="AS83" s="1147">
        <f t="shared" si="24"/>
        <v>-99.392</v>
      </c>
      <c r="AT83" s="1091">
        <f t="shared" si="25"/>
        <v>-0.05503433001</v>
      </c>
      <c r="AU83" s="1146">
        <f t="shared" si="691"/>
        <v>5109</v>
      </c>
      <c r="AV83" s="1091" t="str">
        <f t="shared" si="575"/>
        <v/>
      </c>
      <c r="AW83" s="1091">
        <f t="shared" si="738"/>
        <v>0.08590163934</v>
      </c>
      <c r="AX83" s="1147">
        <f t="shared" si="692"/>
        <v>5315</v>
      </c>
      <c r="AY83" s="1091" t="str">
        <f t="shared" si="576"/>
        <v/>
      </c>
      <c r="AZ83" s="1091">
        <f t="shared" si="739"/>
        <v>0.1153929657</v>
      </c>
      <c r="BA83" s="1147">
        <f t="shared" si="693"/>
        <v>4449.609</v>
      </c>
      <c r="BB83" s="1091">
        <f t="shared" si="577"/>
        <v>0.01308708529</v>
      </c>
      <c r="BC83" s="1091">
        <f t="shared" si="740"/>
        <v>0.1154896763</v>
      </c>
      <c r="BD83" s="1147">
        <f t="shared" si="32"/>
        <v>-659.391</v>
      </c>
      <c r="BE83" s="1091">
        <f t="shared" si="33"/>
        <v>-0.1290645919</v>
      </c>
      <c r="BF83" s="1147">
        <f t="shared" si="34"/>
        <v>-865.391</v>
      </c>
      <c r="BG83" s="1091">
        <f t="shared" si="35"/>
        <v>-0.162820508</v>
      </c>
      <c r="BH83" s="1146">
        <f>SUMIFS(BP_SOTIEN,BP_THANG,BH$2,BP_KM,$E83)/1000</f>
        <v>1703</v>
      </c>
      <c r="BI83" s="1091" t="str">
        <f t="shared" si="578"/>
        <v/>
      </c>
      <c r="BJ83" s="1091"/>
      <c r="BK83" s="1147">
        <f>IF(NOW()&gt;=DATE(YEAR(BH$2),MONTH(BH$2)+1,DAY(BH$2)),SUMIFS(TF_SOTIEN,TF_THANG,BH$2,TF_KM,$E83)/1000, BN83)</f>
        <v>1806</v>
      </c>
      <c r="BL83" s="1091" t="str">
        <f t="shared" si="579"/>
        <v/>
      </c>
      <c r="BM83" s="1091"/>
      <c r="BN83" s="1147">
        <f>IF(NOW()&gt;=DATE(YEAR(BH$2),MONTH(BH$2)+1,DAY(BH$2)),SUMIFS(AC_SOTIEN,AC_THANG,BH$2,AC_KM,$E83),SUMIFS(TF_SOTIEN,TF_THANG,BH$2,TF_KM,$E83))/ 1000</f>
        <v>1079.999</v>
      </c>
      <c r="BO83" s="1091" t="str">
        <f t="shared" si="580"/>
        <v/>
      </c>
      <c r="BP83" s="1091">
        <f t="shared" si="741"/>
        <v>0.06213141082</v>
      </c>
      <c r="BQ83" s="1147">
        <f t="shared" si="39"/>
        <v>-623.001</v>
      </c>
      <c r="BR83" s="1091">
        <f t="shared" si="40"/>
        <v>-0.3658256019</v>
      </c>
      <c r="BS83" s="1147">
        <f t="shared" si="41"/>
        <v>-726.001</v>
      </c>
      <c r="BT83" s="1091">
        <f t="shared" si="42"/>
        <v>-0.4019939092</v>
      </c>
      <c r="BU83" s="1146">
        <f>SUMIFS(BP_SOTIEN,BP_THANG,BU$2,BP_KM,$E83)/1000</f>
        <v>1703</v>
      </c>
      <c r="BV83" s="1091" t="str">
        <f t="shared" si="581"/>
        <v/>
      </c>
      <c r="BW83" s="1091"/>
      <c r="BX83" s="1147">
        <f>IF(NOW()&gt;=DATE(YEAR(BU$2),MONTH(BU$2)+1,DAY(BU$2)),SUMIFS(TF_SOTIEN,TF_THANG,BU$2,TF_KM,$E83)/1000, CA83)</f>
        <v>1080</v>
      </c>
      <c r="BY83" s="1091" t="str">
        <f t="shared" si="582"/>
        <v/>
      </c>
      <c r="BZ83" s="1091"/>
      <c r="CA83" s="1147">
        <f>IF(NOW()&gt;=DATE(YEAR(BU$2),MONTH(BU$2)+1,DAY(BU$2)),SUMIFS(AC_SOTIEN,AC_THANG,BU$2,AC_KM,$E83),SUMIFS(TF_SOTIEN,TF_THANG,BU$2,TF_KM,$E83))/ 1000</f>
        <v>1080</v>
      </c>
      <c r="CB83" s="1091" t="str">
        <f t="shared" si="583"/>
        <v/>
      </c>
      <c r="CC83" s="1091">
        <f t="shared" si="742"/>
        <v>0.05969283064</v>
      </c>
      <c r="CD83" s="1147">
        <f t="shared" si="46"/>
        <v>-623</v>
      </c>
      <c r="CE83" s="1091">
        <f t="shared" si="47"/>
        <v>-0.3658250147</v>
      </c>
      <c r="CF83" s="1147">
        <f t="shared" si="48"/>
        <v>0</v>
      </c>
      <c r="CG83" s="1091">
        <f t="shared" si="49"/>
        <v>0</v>
      </c>
      <c r="CH83" s="1146">
        <f>SUMIFS(BP_SOTIEN,BP_THANG,CH$2,BP_KM,$E83)/1000</f>
        <v>1703</v>
      </c>
      <c r="CI83" s="1091" t="str">
        <f t="shared" si="584"/>
        <v/>
      </c>
      <c r="CJ83" s="1091"/>
      <c r="CK83" s="1147">
        <f>IF(NOW()&gt;=DATE(YEAR(CH$2),MONTH(CH$2)+1,DAY(CH$2)),SUMIFS(TF_SOTIEN,TF_THANG,CH$2,TF_KM,$E83)/1000, CN83)</f>
        <v>1280</v>
      </c>
      <c r="CL83" s="1091" t="str">
        <f t="shared" si="585"/>
        <v/>
      </c>
      <c r="CM83" s="1091"/>
      <c r="CN83" s="1147">
        <f>IF(NOW()&gt;=DATE(YEAR(CH$2),MONTH(CH$2)+1,DAY(CH$2)),SUMIFS(AC_SOTIEN,AC_THANG,CH$2,AC_KM,$E83),SUMIFS(TF_SOTIEN,TF_THANG,CH$2,TF_KM,$E83))/ 1000</f>
        <v>0</v>
      </c>
      <c r="CO83" s="1091" t="str">
        <f t="shared" si="586"/>
        <v/>
      </c>
      <c r="CP83" s="1091" t="str">
        <f t="shared" si="743"/>
        <v/>
      </c>
      <c r="CQ83" s="1147">
        <f t="shared" si="53"/>
        <v>-1703</v>
      </c>
      <c r="CR83" s="1091">
        <f t="shared" si="54"/>
        <v>-1</v>
      </c>
      <c r="CS83" s="1147">
        <f t="shared" si="55"/>
        <v>-1280</v>
      </c>
      <c r="CT83" s="1091">
        <f t="shared" si="56"/>
        <v>-1</v>
      </c>
      <c r="CU83" s="1146">
        <f t="shared" si="694"/>
        <v>5109</v>
      </c>
      <c r="CV83" s="1091" t="str">
        <f t="shared" si="587"/>
        <v/>
      </c>
      <c r="CW83" s="1091">
        <f t="shared" si="744"/>
        <v>0.09046480744</v>
      </c>
      <c r="CX83" s="1147">
        <f t="shared" si="695"/>
        <v>4166</v>
      </c>
      <c r="CY83" s="1091" t="str">
        <f t="shared" si="589"/>
        <v/>
      </c>
      <c r="CZ83" s="1091">
        <f t="shared" si="745"/>
        <v>0.0738556758</v>
      </c>
      <c r="DA83" s="1147">
        <f t="shared" si="696"/>
        <v>2159.999</v>
      </c>
      <c r="DB83" s="1091" t="str">
        <f t="shared" si="591"/>
        <v/>
      </c>
      <c r="DC83" s="1091">
        <f t="shared" si="746"/>
        <v>0.06088771339</v>
      </c>
      <c r="DD83" s="1147">
        <f t="shared" si="63"/>
        <v>-2949.001</v>
      </c>
      <c r="DE83" s="1091">
        <f t="shared" si="64"/>
        <v>-0.5772168722</v>
      </c>
      <c r="DF83" s="1147">
        <f t="shared" si="65"/>
        <v>-2006.001</v>
      </c>
      <c r="DG83" s="1091">
        <f t="shared" si="66"/>
        <v>-0.4815172828</v>
      </c>
      <c r="DH83" s="1146">
        <f t="shared" si="697"/>
        <v>10218</v>
      </c>
      <c r="DI83" s="1091" t="str">
        <f t="shared" si="592"/>
        <v/>
      </c>
      <c r="DJ83" s="1091">
        <f t="shared" si="747"/>
        <v>0.08812419146</v>
      </c>
      <c r="DK83" s="1147">
        <f t="shared" si="216"/>
        <v>9481</v>
      </c>
      <c r="DL83" s="1091" t="str">
        <f t="shared" si="593"/>
        <v/>
      </c>
      <c r="DM83" s="1091">
        <f t="shared" si="748"/>
        <v>0.09252707034</v>
      </c>
      <c r="DN83" s="1147">
        <f t="shared" si="219"/>
        <v>6609.608</v>
      </c>
      <c r="DO83" s="1091">
        <f t="shared" si="594"/>
        <v>0.01944002353</v>
      </c>
      <c r="DP83" s="1091">
        <f t="shared" si="749"/>
        <v>0.08931502233</v>
      </c>
      <c r="DQ83" s="1147">
        <f t="shared" si="73"/>
        <v>-3608.392</v>
      </c>
      <c r="DR83" s="1091">
        <f t="shared" si="74"/>
        <v>-0.353140732</v>
      </c>
      <c r="DS83" s="1147">
        <f t="shared" si="75"/>
        <v>-2871.392</v>
      </c>
      <c r="DT83" s="1091">
        <f t="shared" si="76"/>
        <v>-0.3028575045</v>
      </c>
      <c r="DU83" s="1146">
        <f>SUMIFS(BP_SOTIEN,BP_THANG,DU$2,BP_KM,$E83)/1000</f>
        <v>1703</v>
      </c>
      <c r="DV83" s="1091" t="str">
        <f t="shared" si="595"/>
        <v/>
      </c>
      <c r="DW83" s="1091"/>
      <c r="DX83" s="1147">
        <f>IF(NOW()&gt;=DATE(YEAR(DU$2),MONTH(DU$2)+1,DAY(DU$2)),SUMIFS(TF_SOTIEN,TF_THANG,DU$2,TF_KM,$E83)/1000, EA83)</f>
        <v>1703</v>
      </c>
      <c r="DY83" s="1091" t="str">
        <f t="shared" si="596"/>
        <v/>
      </c>
      <c r="DZ83" s="1091"/>
      <c r="EA83" s="1147">
        <f>IF(NOW()&gt;=DATE(YEAR(DU$2),MONTH(DU$2)+1,DAY(DU$2)),SUMIFS(AC_SOTIEN,AC_THANG,DU$2,AC_KM,$E83),SUMIFS(TF_SOTIEN,TF_THANG,DU$2,TF_KM,$E83))/ 1000</f>
        <v>0</v>
      </c>
      <c r="EB83" s="1091" t="str">
        <f t="shared" si="597"/>
        <v/>
      </c>
      <c r="EC83" s="1091" t="str">
        <f t="shared" si="750"/>
        <v/>
      </c>
      <c r="ED83" s="1147">
        <f t="shared" si="80"/>
        <v>-1703</v>
      </c>
      <c r="EE83" s="1091">
        <f t="shared" si="81"/>
        <v>-1</v>
      </c>
      <c r="EF83" s="1147">
        <f t="shared" si="82"/>
        <v>-1703</v>
      </c>
      <c r="EG83" s="1091">
        <f t="shared" si="83"/>
        <v>-1</v>
      </c>
      <c r="EH83" s="1146">
        <f>SUMIFS(BP_SOTIEN,BP_THANG,EH$2,BP_KM,$E83)/1000</f>
        <v>1703</v>
      </c>
      <c r="EI83" s="1091" t="str">
        <f t="shared" si="598"/>
        <v/>
      </c>
      <c r="EJ83" s="1091"/>
      <c r="EK83" s="1147">
        <f>IF(NOW()&gt;=DATE(YEAR(EH$2),MONTH(EH$2)+1,DAY(EH$2)),SUMIFS(TF_SOTIEN,TF_THANG,EH$2,TF_KM,$E83)/1000, EN83)</f>
        <v>1703</v>
      </c>
      <c r="EL83" s="1091" t="str">
        <f t="shared" si="599"/>
        <v/>
      </c>
      <c r="EM83" s="1091"/>
      <c r="EN83" s="1147">
        <f>IF(NOW()&gt;=DATE(YEAR(EH$2),MONTH(EH$2)+1,DAY(EH$2)),SUMIFS(AC_SOTIEN,AC_THANG,EH$2,AC_KM,$E83),SUMIFS(TF_SOTIEN,TF_THANG,EH$2,TF_KM,$E83))/ 1000</f>
        <v>0</v>
      </c>
      <c r="EO83" s="1091" t="str">
        <f t="shared" si="600"/>
        <v/>
      </c>
      <c r="EP83" s="1091" t="str">
        <f t="shared" si="751"/>
        <v/>
      </c>
      <c r="EQ83" s="1147">
        <f t="shared" si="87"/>
        <v>-1703</v>
      </c>
      <c r="ER83" s="1091">
        <f t="shared" si="88"/>
        <v>-1</v>
      </c>
      <c r="ES83" s="1147">
        <f t="shared" si="89"/>
        <v>-1703</v>
      </c>
      <c r="ET83" s="1091">
        <f t="shared" si="90"/>
        <v>-1</v>
      </c>
      <c r="EU83" s="1146">
        <f>SUMIFS(BP_SOTIEN,BP_THANG,EU$2,BP_KM,$E83)/1000</f>
        <v>1703</v>
      </c>
      <c r="EV83" s="1091" t="str">
        <f t="shared" si="601"/>
        <v/>
      </c>
      <c r="EW83" s="1091"/>
      <c r="EX83" s="1147">
        <f>IF(NOW()&gt;=DATE(YEAR(EU$2),MONTH(EU$2)+1,DAY(EU$2)),SUMIFS(TF_SOTIEN,TF_THANG,EU$2,TF_KM,$E83)/1000, FA83)</f>
        <v>1703</v>
      </c>
      <c r="EY83" s="1091" t="str">
        <f t="shared" si="602"/>
        <v/>
      </c>
      <c r="EZ83" s="1091"/>
      <c r="FA83" s="1147">
        <f>IF(NOW()&gt;=DATE(YEAR(EU$2),MONTH(EU$2)+1,DAY(EU$2)),SUMIFS(AC_SOTIEN,AC_THANG,EU$2,AC_KM,$E83),SUMIFS(TF_SOTIEN,TF_THANG,EU$2,TF_KM,$E83))/ 1000</f>
        <v>0</v>
      </c>
      <c r="FB83" s="1091" t="str">
        <f t="shared" si="603"/>
        <v/>
      </c>
      <c r="FC83" s="1091" t="str">
        <f t="shared" si="752"/>
        <v/>
      </c>
      <c r="FD83" s="1147">
        <f t="shared" si="94"/>
        <v>-1703</v>
      </c>
      <c r="FE83" s="1091">
        <f t="shared" si="95"/>
        <v>-1</v>
      </c>
      <c r="FF83" s="1147">
        <f t="shared" si="96"/>
        <v>-1703</v>
      </c>
      <c r="FG83" s="1091">
        <f t="shared" si="97"/>
        <v>-1</v>
      </c>
      <c r="FH83" s="1146">
        <f t="shared" si="698"/>
        <v>5109</v>
      </c>
      <c r="FI83" s="1091" t="str">
        <f t="shared" si="604"/>
        <v/>
      </c>
      <c r="FJ83" s="1091">
        <f t="shared" si="753"/>
        <v>0.09046480744</v>
      </c>
      <c r="FK83" s="1147">
        <f t="shared" si="243"/>
        <v>5109</v>
      </c>
      <c r="FL83" s="1091" t="str">
        <f t="shared" si="605"/>
        <v/>
      </c>
      <c r="FM83" s="1091">
        <f t="shared" si="754"/>
        <v>0.09046480744</v>
      </c>
      <c r="FN83" s="1147">
        <f t="shared" si="246"/>
        <v>0</v>
      </c>
      <c r="FO83" s="1091" t="str">
        <f t="shared" si="606"/>
        <v/>
      </c>
      <c r="FP83" s="1091" t="str">
        <f t="shared" si="755"/>
        <v/>
      </c>
      <c r="FQ83" s="1147">
        <f t="shared" si="104"/>
        <v>-5109</v>
      </c>
      <c r="FR83" s="1091">
        <f t="shared" si="105"/>
        <v>-1</v>
      </c>
      <c r="FS83" s="1147">
        <f t="shared" si="106"/>
        <v>-5109</v>
      </c>
      <c r="FT83" s="1091">
        <f t="shared" si="107"/>
        <v>-1</v>
      </c>
      <c r="FU83" s="1146">
        <f>SUMIFS(BP_SOTIEN,BP_THANG,FU$2,BP_KM,$E83)/1000</f>
        <v>1703</v>
      </c>
      <c r="FV83" s="1091" t="str">
        <f t="shared" si="607"/>
        <v/>
      </c>
      <c r="FW83" s="1091"/>
      <c r="FX83" s="1147">
        <f>IF(NOW()&gt;=DATE(YEAR(FU$2),MONTH(FU$2)+1,DAY(FU$2)),SUMIFS(TF_SOTIEN,TF_THANG,FU$2,TF_KM,$E83)/1000, GA83)</f>
        <v>1703</v>
      </c>
      <c r="FY83" s="1091" t="str">
        <f t="shared" si="608"/>
        <v/>
      </c>
      <c r="FZ83" s="1091"/>
      <c r="GA83" s="1147">
        <f>IF(NOW()&gt;=DATE(YEAR(FU$2),MONTH(FU$2)+1,DAY(FU$2)),SUMIFS(AC_SOTIEN,AC_THANG,FU$2,AC_KM,$E83),SUMIFS(TF_SOTIEN,TF_THANG,FU$2,TF_KM,$E83))/ 1000</f>
        <v>0</v>
      </c>
      <c r="GB83" s="1091" t="str">
        <f t="shared" si="609"/>
        <v/>
      </c>
      <c r="GC83" s="1091" t="str">
        <f t="shared" si="756"/>
        <v/>
      </c>
      <c r="GD83" s="1147">
        <f t="shared" si="111"/>
        <v>-1703</v>
      </c>
      <c r="GE83" s="1091">
        <f t="shared" si="112"/>
        <v>-1</v>
      </c>
      <c r="GF83" s="1147">
        <f t="shared" si="113"/>
        <v>-1703</v>
      </c>
      <c r="GG83" s="1091">
        <f t="shared" si="114"/>
        <v>-1</v>
      </c>
      <c r="GH83" s="1146">
        <f>SUMIFS(BP_SOTIEN,BP_THANG,GH$2,BP_KM,$E83)/1000</f>
        <v>1703</v>
      </c>
      <c r="GI83" s="1091" t="str">
        <f t="shared" si="610"/>
        <v/>
      </c>
      <c r="GJ83" s="1091"/>
      <c r="GK83" s="1147">
        <f>IF(NOW()&gt;=DATE(YEAR(GH$2),MONTH(GH$2)+1,DAY(GH$2)),SUMIFS(TF_SOTIEN,TF_THANG,GH$2,TF_KM,$E83)/1000, GN83)</f>
        <v>1703</v>
      </c>
      <c r="GL83" s="1091" t="str">
        <f t="shared" si="611"/>
        <v/>
      </c>
      <c r="GM83" s="1091"/>
      <c r="GN83" s="1147">
        <f>IF(NOW()&gt;=DATE(YEAR(GH$2),MONTH(GH$2)+1,DAY(GH$2)),SUMIFS(AC_SOTIEN,AC_THANG,GH$2,AC_KM,$E83),SUMIFS(TF_SOTIEN,TF_THANG,GH$2,TF_KM,$E83))/ 1000</f>
        <v>0</v>
      </c>
      <c r="GO83" s="1091" t="str">
        <f t="shared" si="612"/>
        <v/>
      </c>
      <c r="GP83" s="1091" t="str">
        <f t="shared" si="757"/>
        <v/>
      </c>
      <c r="GQ83" s="1147">
        <f t="shared" si="118"/>
        <v>-1703</v>
      </c>
      <c r="GR83" s="1091">
        <f t="shared" si="119"/>
        <v>-1</v>
      </c>
      <c r="GS83" s="1147">
        <f t="shared" si="120"/>
        <v>-1703</v>
      </c>
      <c r="GT83" s="1091">
        <f t="shared" si="121"/>
        <v>-1</v>
      </c>
      <c r="GU83" s="1146">
        <f>SUMIFS(BP_SOTIEN,BP_THANG,GU$2,BP_KM,$E83)/1000</f>
        <v>1703</v>
      </c>
      <c r="GV83" s="1091" t="str">
        <f t="shared" si="613"/>
        <v/>
      </c>
      <c r="GW83" s="1091"/>
      <c r="GX83" s="1147">
        <f>IF(NOW()&gt;=DATE(YEAR(GU$2),MONTH(GU$2)+1,DAY(GU$2)),SUMIFS(TF_SOTIEN,TF_THANG,GU$2,TF_KM,$E83)/1000, HA83)</f>
        <v>1703</v>
      </c>
      <c r="GY83" s="1091" t="str">
        <f t="shared" si="614"/>
        <v/>
      </c>
      <c r="GZ83" s="1091"/>
      <c r="HA83" s="1147">
        <f>IF(NOW()&gt;=DATE(YEAR(GU$2),MONTH(GU$2)+1,DAY(GU$2)),SUMIFS(AC_SOTIEN,AC_THANG,GU$2,AC_KM,$E83),SUMIFS(TF_SOTIEN,TF_THANG,GU$2,TF_KM,$E83))/ 1000</f>
        <v>0</v>
      </c>
      <c r="HB83" s="1091" t="str">
        <f t="shared" si="615"/>
        <v/>
      </c>
      <c r="HC83" s="1091" t="str">
        <f t="shared" si="758"/>
        <v/>
      </c>
      <c r="HD83" s="1147">
        <f t="shared" si="125"/>
        <v>-1703</v>
      </c>
      <c r="HE83" s="1091">
        <f t="shared" si="126"/>
        <v>-1</v>
      </c>
      <c r="HF83" s="1147">
        <f t="shared" si="127"/>
        <v>-1703</v>
      </c>
      <c r="HG83" s="1091">
        <f t="shared" si="128"/>
        <v>-1</v>
      </c>
      <c r="HH83" s="1146">
        <f t="shared" si="699"/>
        <v>5109</v>
      </c>
      <c r="HI83" s="1091" t="str">
        <f t="shared" si="616"/>
        <v/>
      </c>
      <c r="HJ83" s="1091">
        <f t="shared" si="759"/>
        <v>0.09046480744</v>
      </c>
      <c r="HK83" s="1147">
        <f t="shared" si="270"/>
        <v>5109</v>
      </c>
      <c r="HL83" s="1091" t="str">
        <f t="shared" si="617"/>
        <v/>
      </c>
      <c r="HM83" s="1091">
        <f t="shared" si="760"/>
        <v>0.09046480744</v>
      </c>
      <c r="HN83" s="1147">
        <f t="shared" si="273"/>
        <v>0</v>
      </c>
      <c r="HO83" s="1091" t="str">
        <f t="shared" si="618"/>
        <v/>
      </c>
      <c r="HP83" s="1091" t="str">
        <f t="shared" si="761"/>
        <v/>
      </c>
      <c r="HQ83" s="1147">
        <f t="shared" si="135"/>
        <v>-5109</v>
      </c>
      <c r="HR83" s="1091">
        <f t="shared" si="136"/>
        <v>-1</v>
      </c>
      <c r="HS83" s="1147">
        <f t="shared" si="137"/>
        <v>-5109</v>
      </c>
      <c r="HT83" s="1091">
        <f t="shared" si="138"/>
        <v>-1</v>
      </c>
      <c r="HU83" s="1146">
        <f t="shared" si="700"/>
        <v>10218</v>
      </c>
      <c r="HV83" s="1091" t="str">
        <f t="shared" si="619"/>
        <v/>
      </c>
      <c r="HW83" s="1091">
        <f t="shared" si="762"/>
        <v>0.09046480744</v>
      </c>
      <c r="HX83" s="1147">
        <f t="shared" si="279"/>
        <v>10218</v>
      </c>
      <c r="HY83" s="1091" t="str">
        <f t="shared" si="620"/>
        <v/>
      </c>
      <c r="HZ83" s="1091">
        <f t="shared" si="763"/>
        <v>0.09046480744</v>
      </c>
      <c r="IA83" s="1147">
        <f t="shared" si="282"/>
        <v>0</v>
      </c>
      <c r="IB83" s="1091" t="str">
        <f t="shared" si="621"/>
        <v/>
      </c>
      <c r="IC83" s="1091" t="str">
        <f t="shared" si="764"/>
        <v/>
      </c>
      <c r="ID83" s="1147">
        <f t="shared" si="145"/>
        <v>-10218</v>
      </c>
      <c r="IE83" s="1091">
        <f t="shared" si="146"/>
        <v>-1</v>
      </c>
      <c r="IF83" s="1147">
        <f t="shared" si="147"/>
        <v>-10218</v>
      </c>
      <c r="IG83" s="1091">
        <f t="shared" si="148"/>
        <v>-1</v>
      </c>
      <c r="IH83" s="1146">
        <f t="shared" si="701"/>
        <v>20436</v>
      </c>
      <c r="II83" s="1091" t="str">
        <f t="shared" si="622"/>
        <v/>
      </c>
      <c r="IJ83" s="1091">
        <f t="shared" si="765"/>
        <v>0.08927916121</v>
      </c>
      <c r="IK83" s="1147">
        <f t="shared" si="288"/>
        <v>19699</v>
      </c>
      <c r="IL83" s="1091" t="str">
        <f t="shared" si="623"/>
        <v/>
      </c>
      <c r="IM83" s="1091">
        <f t="shared" si="766"/>
        <v>0.09144576172</v>
      </c>
      <c r="IN83" s="1147">
        <f t="shared" si="291"/>
        <v>6609.608</v>
      </c>
      <c r="IO83" s="1091">
        <f t="shared" si="624"/>
        <v>0.01944002353</v>
      </c>
      <c r="IP83" s="1091">
        <f t="shared" si="767"/>
        <v>0.08931502233</v>
      </c>
      <c r="IQ83" s="1147">
        <f t="shared" si="155"/>
        <v>-13826.392</v>
      </c>
      <c r="IR83" s="1091">
        <f t="shared" si="1"/>
        <v>-0.676570366</v>
      </c>
      <c r="IS83" s="1147">
        <f t="shared" si="156"/>
        <v>-13089.392</v>
      </c>
      <c r="IT83" s="1091">
        <f t="shared" si="2"/>
        <v>-0.6644698716</v>
      </c>
    </row>
    <row r="84" hidden="1" outlineLevel="1">
      <c r="A84" s="737"/>
      <c r="B84" s="737"/>
      <c r="C84" s="737"/>
      <c r="D84" s="1148" t="s">
        <v>2869</v>
      </c>
      <c r="E84" s="1148" t="s">
        <v>377</v>
      </c>
      <c r="F84" s="737"/>
      <c r="G84" s="748">
        <v>3.0</v>
      </c>
      <c r="H84" s="1146">
        <f>SUMIFS(BP_SOTIEN,BP_THANG,H$2,BP_KM,$E84)/1000</f>
        <v>0</v>
      </c>
      <c r="I84" s="1091" t="str">
        <f t="shared" si="566"/>
        <v/>
      </c>
      <c r="J84" s="1091"/>
      <c r="K84" s="1147">
        <f>IF(NOW()&gt;=DATE(YEAR(H$2),MONTH(H$2)+1,DAY(H$2)),SUMIFS(TF_SOTIEN,TF_THANG,H$2,TF_KM,$E84)/1000, N84)</f>
        <v>0</v>
      </c>
      <c r="L84" s="1091" t="str">
        <f t="shared" si="567"/>
        <v/>
      </c>
      <c r="M84" s="1091"/>
      <c r="N84" s="1147">
        <f>IF(NOW()&gt;=DATE(YEAR(H$2),MONTH(H$2)+1,DAY(H$2)),SUMIFS(AC_SOTIEN,AC_THANG,H$2,AC_KM,$E84),SUMIFS(TF_SOTIEN,TF_THANG,H$2,TF_KM,$E84))/ 1000</f>
        <v>0</v>
      </c>
      <c r="O84" s="1091">
        <f t="shared" si="568"/>
        <v>0</v>
      </c>
      <c r="P84" s="1091">
        <f t="shared" si="735"/>
        <v>0</v>
      </c>
      <c r="Q84" s="1147">
        <f t="shared" si="8"/>
        <v>0</v>
      </c>
      <c r="R84" s="1091" t="str">
        <f t="shared" si="9"/>
        <v/>
      </c>
      <c r="S84" s="1147">
        <f t="shared" si="10"/>
        <v>0</v>
      </c>
      <c r="T84" s="1091" t="str">
        <f t="shared" si="11"/>
        <v/>
      </c>
      <c r="U84" s="1146">
        <f>SUMIFS(BP_SOTIEN,BP_THANG,U$2,BP_KM,$E84)/1000</f>
        <v>0</v>
      </c>
      <c r="V84" s="1091" t="str">
        <f t="shared" si="569"/>
        <v/>
      </c>
      <c r="W84" s="1091"/>
      <c r="X84" s="1147">
        <f>IF(NOW()&gt;=DATE(YEAR(U$2),MONTH(U$2)+1,DAY(U$2)),SUMIFS(TF_SOTIEN,TF_THANG,U$2,TF_KM,$E84)/1000, AA84)</f>
        <v>420</v>
      </c>
      <c r="Y84" s="1091" t="str">
        <f t="shared" si="570"/>
        <v/>
      </c>
      <c r="Z84" s="1091"/>
      <c r="AA84" s="1147">
        <f>IF(NOW()&gt;=DATE(YEAR(U$2),MONTH(U$2)+1,DAY(U$2)),SUMIFS(AC_SOTIEN,AC_THANG,U$2,AC_KM,$E84),SUMIFS(TF_SOTIEN,TF_THANG,U$2,TF_KM,$E84))/ 1000</f>
        <v>470.6</v>
      </c>
      <c r="AB84" s="1091" t="str">
        <f t="shared" si="571"/>
        <v/>
      </c>
      <c r="AC84" s="1091">
        <f t="shared" si="736"/>
        <v>0.04555949352</v>
      </c>
      <c r="AD84" s="1147">
        <f t="shared" si="15"/>
        <v>470.6</v>
      </c>
      <c r="AE84" s="1091" t="str">
        <f t="shared" si="16"/>
        <v/>
      </c>
      <c r="AF84" s="1147">
        <f t="shared" si="17"/>
        <v>50.6</v>
      </c>
      <c r="AG84" s="1091">
        <f t="shared" si="18"/>
        <v>0.1204761905</v>
      </c>
      <c r="AH84" s="1146">
        <f>SUMIFS(BP_SOTIEN,BP_THANG,AH$2,BP_KM,$E84)/1000</f>
        <v>0</v>
      </c>
      <c r="AI84" s="1091" t="str">
        <f t="shared" si="572"/>
        <v/>
      </c>
      <c r="AJ84" s="1091"/>
      <c r="AK84" s="1147">
        <f>IF(NOW()&gt;=DATE(YEAR(AH$2),MONTH(AH$2)+1,DAY(AH$2)),SUMIFS(TF_SOTIEN,TF_THANG,AH$2,TF_KM,$E84)/1000, AN84)</f>
        <v>420</v>
      </c>
      <c r="AL84" s="1091" t="str">
        <f t="shared" si="573"/>
        <v/>
      </c>
      <c r="AM84" s="1091"/>
      <c r="AN84" s="1147">
        <f>IF(NOW()&gt;=DATE(YEAR(AH$2),MONTH(AH$2)+1,DAY(AH$2)),SUMIFS(AC_SOTIEN,AC_THANG,AH$2,AC_KM,$E84),SUMIFS(TF_SOTIEN,TF_THANG,AH$2,TF_KM,$E84))/ 1000</f>
        <v>2709.5</v>
      </c>
      <c r="AO84" s="1091" t="str">
        <f t="shared" si="574"/>
        <v/>
      </c>
      <c r="AP84" s="1091">
        <f t="shared" si="737"/>
        <v>0.1503018574</v>
      </c>
      <c r="AQ84" s="1147">
        <f t="shared" si="22"/>
        <v>2709.5</v>
      </c>
      <c r="AR84" s="1091" t="str">
        <f t="shared" si="23"/>
        <v/>
      </c>
      <c r="AS84" s="1147">
        <f t="shared" si="24"/>
        <v>2289.5</v>
      </c>
      <c r="AT84" s="1091">
        <f t="shared" si="25"/>
        <v>5.451190476</v>
      </c>
      <c r="AU84" s="1146">
        <f t="shared" si="691"/>
        <v>0</v>
      </c>
      <c r="AV84" s="1091" t="str">
        <f t="shared" si="575"/>
        <v/>
      </c>
      <c r="AW84" s="1091">
        <f t="shared" si="738"/>
        <v>0</v>
      </c>
      <c r="AX84" s="1147">
        <f t="shared" si="692"/>
        <v>840</v>
      </c>
      <c r="AY84" s="1091" t="str">
        <f t="shared" si="576"/>
        <v/>
      </c>
      <c r="AZ84" s="1091">
        <f t="shared" si="739"/>
        <v>0.01823708207</v>
      </c>
      <c r="BA84" s="1147">
        <f t="shared" si="693"/>
        <v>3180.1</v>
      </c>
      <c r="BB84" s="1091">
        <f t="shared" si="577"/>
        <v>0.009353235294</v>
      </c>
      <c r="BC84" s="1091">
        <f t="shared" si="740"/>
        <v>0.08253954889</v>
      </c>
      <c r="BD84" s="1147">
        <f t="shared" si="32"/>
        <v>3180.1</v>
      </c>
      <c r="BE84" s="1091" t="str">
        <f t="shared" si="33"/>
        <v/>
      </c>
      <c r="BF84" s="1147">
        <f t="shared" si="34"/>
        <v>2340.1</v>
      </c>
      <c r="BG84" s="1091">
        <f t="shared" si="35"/>
        <v>2.785833333</v>
      </c>
      <c r="BH84" s="1146">
        <f>SUMIFS(BP_SOTIEN,BP_THANG,BH$2,BP_KM,$E84)/1000</f>
        <v>0</v>
      </c>
      <c r="BI84" s="1091" t="str">
        <f t="shared" si="578"/>
        <v/>
      </c>
      <c r="BJ84" s="1091"/>
      <c r="BK84" s="1147">
        <f>IF(NOW()&gt;=DATE(YEAR(BH$2),MONTH(BH$2)+1,DAY(BH$2)),SUMIFS(TF_SOTIEN,TF_THANG,BH$2,TF_KM,$E84)/1000, BN84)</f>
        <v>420</v>
      </c>
      <c r="BL84" s="1091" t="str">
        <f t="shared" si="579"/>
        <v/>
      </c>
      <c r="BM84" s="1091"/>
      <c r="BN84" s="1147">
        <f>IF(NOW()&gt;=DATE(YEAR(BH$2),MONTH(BH$2)+1,DAY(BH$2)),SUMIFS(AC_SOTIEN,AC_THANG,BH$2,AC_KM,$E84),SUMIFS(TF_SOTIEN,TF_THANG,BH$2,TF_KM,$E84))/ 1000</f>
        <v>0</v>
      </c>
      <c r="BO84" s="1091" t="str">
        <f t="shared" si="580"/>
        <v/>
      </c>
      <c r="BP84" s="1091">
        <f t="shared" si="741"/>
        <v>0</v>
      </c>
      <c r="BQ84" s="1147">
        <f t="shared" si="39"/>
        <v>0</v>
      </c>
      <c r="BR84" s="1091" t="str">
        <f t="shared" si="40"/>
        <v/>
      </c>
      <c r="BS84" s="1147">
        <f t="shared" si="41"/>
        <v>-420</v>
      </c>
      <c r="BT84" s="1091">
        <f t="shared" si="42"/>
        <v>-1</v>
      </c>
      <c r="BU84" s="1146">
        <f>SUMIFS(BP_SOTIEN,BP_THANG,BU$2,BP_KM,$E84)/1000</f>
        <v>0</v>
      </c>
      <c r="BV84" s="1091" t="str">
        <f t="shared" si="581"/>
        <v/>
      </c>
      <c r="BW84" s="1091"/>
      <c r="BX84" s="1147">
        <f>IF(NOW()&gt;=DATE(YEAR(BU$2),MONTH(BU$2)+1,DAY(BU$2)),SUMIFS(TF_SOTIEN,TF_THANG,BU$2,TF_KM,$E84)/1000, CA84)</f>
        <v>0</v>
      </c>
      <c r="BY84" s="1091" t="str">
        <f t="shared" si="582"/>
        <v/>
      </c>
      <c r="BZ84" s="1091"/>
      <c r="CA84" s="1147">
        <f>IF(NOW()&gt;=DATE(YEAR(BU$2),MONTH(BU$2)+1,DAY(BU$2)),SUMIFS(AC_SOTIEN,AC_THANG,BU$2,AC_KM,$E84),SUMIFS(TF_SOTIEN,TF_THANG,BU$2,TF_KM,$E84))/ 1000</f>
        <v>1260</v>
      </c>
      <c r="CB84" s="1091" t="str">
        <f t="shared" si="583"/>
        <v/>
      </c>
      <c r="CC84" s="1091">
        <f t="shared" si="742"/>
        <v>0.06964163575</v>
      </c>
      <c r="CD84" s="1147">
        <f t="shared" si="46"/>
        <v>1260</v>
      </c>
      <c r="CE84" s="1091" t="str">
        <f t="shared" si="47"/>
        <v/>
      </c>
      <c r="CF84" s="1147">
        <f t="shared" si="48"/>
        <v>1260</v>
      </c>
      <c r="CG84" s="1091" t="str">
        <f t="shared" si="49"/>
        <v/>
      </c>
      <c r="CH84" s="1146">
        <f>SUMIFS(BP_SOTIEN,BP_THANG,CH$2,BP_KM,$E84)/1000</f>
        <v>0</v>
      </c>
      <c r="CI84" s="1091" t="str">
        <f t="shared" si="584"/>
        <v/>
      </c>
      <c r="CJ84" s="1091"/>
      <c r="CK84" s="1147">
        <f>IF(NOW()&gt;=DATE(YEAR(CH$2),MONTH(CH$2)+1,DAY(CH$2)),SUMIFS(TF_SOTIEN,TF_THANG,CH$2,TF_KM,$E84)/1000, CN84)</f>
        <v>0</v>
      </c>
      <c r="CL84" s="1091" t="str">
        <f t="shared" si="585"/>
        <v/>
      </c>
      <c r="CM84" s="1091"/>
      <c r="CN84" s="1147">
        <f>IF(NOW()&gt;=DATE(YEAR(CH$2),MONTH(CH$2)+1,DAY(CH$2)),SUMIFS(AC_SOTIEN,AC_THANG,CH$2,AC_KM,$E84),SUMIFS(TF_SOTIEN,TF_THANG,CH$2,TF_KM,$E84))/ 1000</f>
        <v>0</v>
      </c>
      <c r="CO84" s="1091" t="str">
        <f t="shared" si="586"/>
        <v/>
      </c>
      <c r="CP84" s="1091" t="str">
        <f t="shared" si="743"/>
        <v/>
      </c>
      <c r="CQ84" s="1147">
        <f t="shared" si="53"/>
        <v>0</v>
      </c>
      <c r="CR84" s="1091" t="str">
        <f t="shared" si="54"/>
        <v/>
      </c>
      <c r="CS84" s="1147">
        <f t="shared" si="55"/>
        <v>0</v>
      </c>
      <c r="CT84" s="1091" t="str">
        <f t="shared" si="56"/>
        <v/>
      </c>
      <c r="CU84" s="1146">
        <f t="shared" si="694"/>
        <v>0</v>
      </c>
      <c r="CV84" s="1091" t="str">
        <f t="shared" si="587"/>
        <v/>
      </c>
      <c r="CW84" s="1091">
        <f t="shared" si="744"/>
        <v>0</v>
      </c>
      <c r="CX84" s="1147">
        <f t="shared" si="695"/>
        <v>420</v>
      </c>
      <c r="CY84" s="1091" t="str">
        <f t="shared" si="589"/>
        <v/>
      </c>
      <c r="CZ84" s="1091">
        <f t="shared" si="745"/>
        <v>0.007445843455</v>
      </c>
      <c r="DA84" s="1147">
        <f t="shared" si="696"/>
        <v>1260</v>
      </c>
      <c r="DB84" s="1091" t="str">
        <f t="shared" si="591"/>
        <v/>
      </c>
      <c r="DC84" s="1091">
        <f t="shared" si="746"/>
        <v>0.03551784926</v>
      </c>
      <c r="DD84" s="1147">
        <f t="shared" si="63"/>
        <v>1260</v>
      </c>
      <c r="DE84" s="1091" t="str">
        <f t="shared" si="64"/>
        <v/>
      </c>
      <c r="DF84" s="1147">
        <f t="shared" si="65"/>
        <v>840</v>
      </c>
      <c r="DG84" s="1091">
        <f t="shared" si="66"/>
        <v>2</v>
      </c>
      <c r="DH84" s="1146">
        <f t="shared" si="697"/>
        <v>0</v>
      </c>
      <c r="DI84" s="1091" t="str">
        <f t="shared" si="592"/>
        <v/>
      </c>
      <c r="DJ84" s="1091">
        <f t="shared" si="747"/>
        <v>0</v>
      </c>
      <c r="DK84" s="1147">
        <f t="shared" si="216"/>
        <v>1260</v>
      </c>
      <c r="DL84" s="1091" t="str">
        <f t="shared" si="593"/>
        <v/>
      </c>
      <c r="DM84" s="1091">
        <f t="shared" si="748"/>
        <v>0.01229660464</v>
      </c>
      <c r="DN84" s="1147">
        <f t="shared" si="219"/>
        <v>4440.1</v>
      </c>
      <c r="DO84" s="1091">
        <f t="shared" si="594"/>
        <v>0.01305911765</v>
      </c>
      <c r="DP84" s="1091">
        <f t="shared" si="749"/>
        <v>0.05999866114</v>
      </c>
      <c r="DQ84" s="1147">
        <f t="shared" si="73"/>
        <v>4440.1</v>
      </c>
      <c r="DR84" s="1091" t="str">
        <f t="shared" si="74"/>
        <v/>
      </c>
      <c r="DS84" s="1147">
        <f t="shared" si="75"/>
        <v>3180.1</v>
      </c>
      <c r="DT84" s="1091">
        <f t="shared" si="76"/>
        <v>2.523888889</v>
      </c>
      <c r="DU84" s="1146">
        <f>SUMIFS(BP_SOTIEN,BP_THANG,DU$2,BP_KM,$E84)/1000</f>
        <v>0</v>
      </c>
      <c r="DV84" s="1091" t="str">
        <f t="shared" si="595"/>
        <v/>
      </c>
      <c r="DW84" s="1091"/>
      <c r="DX84" s="1147">
        <f>IF(NOW()&gt;=DATE(YEAR(DU$2),MONTH(DU$2)+1,DAY(DU$2)),SUMIFS(TF_SOTIEN,TF_THANG,DU$2,TF_KM,$E84)/1000, EA84)</f>
        <v>0</v>
      </c>
      <c r="DY84" s="1091" t="str">
        <f t="shared" si="596"/>
        <v/>
      </c>
      <c r="DZ84" s="1091"/>
      <c r="EA84" s="1147">
        <f>IF(NOW()&gt;=DATE(YEAR(DU$2),MONTH(DU$2)+1,DAY(DU$2)),SUMIFS(AC_SOTIEN,AC_THANG,DU$2,AC_KM,$E84),SUMIFS(TF_SOTIEN,TF_THANG,DU$2,TF_KM,$E84))/ 1000</f>
        <v>0</v>
      </c>
      <c r="EB84" s="1091" t="str">
        <f t="shared" si="597"/>
        <v/>
      </c>
      <c r="EC84" s="1091" t="str">
        <f t="shared" si="750"/>
        <v/>
      </c>
      <c r="ED84" s="1147">
        <f t="shared" si="80"/>
        <v>0</v>
      </c>
      <c r="EE84" s="1091" t="str">
        <f t="shared" si="81"/>
        <v/>
      </c>
      <c r="EF84" s="1147">
        <f t="shared" si="82"/>
        <v>0</v>
      </c>
      <c r="EG84" s="1091" t="str">
        <f t="shared" si="83"/>
        <v/>
      </c>
      <c r="EH84" s="1146">
        <f>SUMIFS(BP_SOTIEN,BP_THANG,EH$2,BP_KM,$E84)/1000</f>
        <v>0</v>
      </c>
      <c r="EI84" s="1091" t="str">
        <f t="shared" si="598"/>
        <v/>
      </c>
      <c r="EJ84" s="1091"/>
      <c r="EK84" s="1147">
        <f>IF(NOW()&gt;=DATE(YEAR(EH$2),MONTH(EH$2)+1,DAY(EH$2)),SUMIFS(TF_SOTIEN,TF_THANG,EH$2,TF_KM,$E84)/1000, EN84)</f>
        <v>0</v>
      </c>
      <c r="EL84" s="1091" t="str">
        <f t="shared" si="599"/>
        <v/>
      </c>
      <c r="EM84" s="1091"/>
      <c r="EN84" s="1147">
        <f>IF(NOW()&gt;=DATE(YEAR(EH$2),MONTH(EH$2)+1,DAY(EH$2)),SUMIFS(AC_SOTIEN,AC_THANG,EH$2,AC_KM,$E84),SUMIFS(TF_SOTIEN,TF_THANG,EH$2,TF_KM,$E84))/ 1000</f>
        <v>0</v>
      </c>
      <c r="EO84" s="1091" t="str">
        <f t="shared" si="600"/>
        <v/>
      </c>
      <c r="EP84" s="1091" t="str">
        <f t="shared" si="751"/>
        <v/>
      </c>
      <c r="EQ84" s="1147">
        <f t="shared" si="87"/>
        <v>0</v>
      </c>
      <c r="ER84" s="1091" t="str">
        <f t="shared" si="88"/>
        <v/>
      </c>
      <c r="ES84" s="1147">
        <f t="shared" si="89"/>
        <v>0</v>
      </c>
      <c r="ET84" s="1091" t="str">
        <f t="shared" si="90"/>
        <v/>
      </c>
      <c r="EU84" s="1146">
        <f>SUMIFS(BP_SOTIEN,BP_THANG,EU$2,BP_KM,$E84)/1000</f>
        <v>0</v>
      </c>
      <c r="EV84" s="1091" t="str">
        <f t="shared" si="601"/>
        <v/>
      </c>
      <c r="EW84" s="1091"/>
      <c r="EX84" s="1147">
        <f>IF(NOW()&gt;=DATE(YEAR(EU$2),MONTH(EU$2)+1,DAY(EU$2)),SUMIFS(TF_SOTIEN,TF_THANG,EU$2,TF_KM,$E84)/1000, FA84)</f>
        <v>0</v>
      </c>
      <c r="EY84" s="1091" t="str">
        <f t="shared" si="602"/>
        <v/>
      </c>
      <c r="EZ84" s="1091"/>
      <c r="FA84" s="1147">
        <f>IF(NOW()&gt;=DATE(YEAR(EU$2),MONTH(EU$2)+1,DAY(EU$2)),SUMIFS(AC_SOTIEN,AC_THANG,EU$2,AC_KM,$E84),SUMIFS(TF_SOTIEN,TF_THANG,EU$2,TF_KM,$E84))/ 1000</f>
        <v>0</v>
      </c>
      <c r="FB84" s="1091" t="str">
        <f t="shared" si="603"/>
        <v/>
      </c>
      <c r="FC84" s="1091" t="str">
        <f t="shared" si="752"/>
        <v/>
      </c>
      <c r="FD84" s="1147">
        <f t="shared" si="94"/>
        <v>0</v>
      </c>
      <c r="FE84" s="1091" t="str">
        <f t="shared" si="95"/>
        <v/>
      </c>
      <c r="FF84" s="1147">
        <f t="shared" si="96"/>
        <v>0</v>
      </c>
      <c r="FG84" s="1091" t="str">
        <f t="shared" si="97"/>
        <v/>
      </c>
      <c r="FH84" s="1146">
        <f t="shared" si="698"/>
        <v>0</v>
      </c>
      <c r="FI84" s="1091" t="str">
        <f t="shared" si="604"/>
        <v/>
      </c>
      <c r="FJ84" s="1091">
        <f t="shared" si="753"/>
        <v>0</v>
      </c>
      <c r="FK84" s="1147">
        <f t="shared" si="243"/>
        <v>0</v>
      </c>
      <c r="FL84" s="1091" t="str">
        <f t="shared" si="605"/>
        <v/>
      </c>
      <c r="FM84" s="1091">
        <f t="shared" si="754"/>
        <v>0</v>
      </c>
      <c r="FN84" s="1147">
        <f t="shared" si="246"/>
        <v>0</v>
      </c>
      <c r="FO84" s="1091" t="str">
        <f t="shared" si="606"/>
        <v/>
      </c>
      <c r="FP84" s="1091" t="str">
        <f t="shared" si="755"/>
        <v/>
      </c>
      <c r="FQ84" s="1147">
        <f t="shared" si="104"/>
        <v>0</v>
      </c>
      <c r="FR84" s="1091" t="str">
        <f t="shared" si="105"/>
        <v/>
      </c>
      <c r="FS84" s="1147">
        <f t="shared" si="106"/>
        <v>0</v>
      </c>
      <c r="FT84" s="1091" t="str">
        <f t="shared" si="107"/>
        <v/>
      </c>
      <c r="FU84" s="1146">
        <f>SUMIFS(BP_SOTIEN,BP_THANG,FU$2,BP_KM,$E84)/1000</f>
        <v>0</v>
      </c>
      <c r="FV84" s="1091" t="str">
        <f t="shared" si="607"/>
        <v/>
      </c>
      <c r="FW84" s="1091"/>
      <c r="FX84" s="1147">
        <f>IF(NOW()&gt;=DATE(YEAR(FU$2),MONTH(FU$2)+1,DAY(FU$2)),SUMIFS(TF_SOTIEN,TF_THANG,FU$2,TF_KM,$E84)/1000, GA84)</f>
        <v>0</v>
      </c>
      <c r="FY84" s="1091" t="str">
        <f t="shared" si="608"/>
        <v/>
      </c>
      <c r="FZ84" s="1091"/>
      <c r="GA84" s="1147">
        <f>IF(NOW()&gt;=DATE(YEAR(FU$2),MONTH(FU$2)+1,DAY(FU$2)),SUMIFS(AC_SOTIEN,AC_THANG,FU$2,AC_KM,$E84),SUMIFS(TF_SOTIEN,TF_THANG,FU$2,TF_KM,$E84))/ 1000</f>
        <v>0</v>
      </c>
      <c r="GB84" s="1091" t="str">
        <f t="shared" si="609"/>
        <v/>
      </c>
      <c r="GC84" s="1091" t="str">
        <f t="shared" si="756"/>
        <v/>
      </c>
      <c r="GD84" s="1147">
        <f t="shared" si="111"/>
        <v>0</v>
      </c>
      <c r="GE84" s="1091" t="str">
        <f t="shared" si="112"/>
        <v/>
      </c>
      <c r="GF84" s="1147">
        <f t="shared" si="113"/>
        <v>0</v>
      </c>
      <c r="GG84" s="1091" t="str">
        <f t="shared" si="114"/>
        <v/>
      </c>
      <c r="GH84" s="1146">
        <f>SUMIFS(BP_SOTIEN,BP_THANG,GH$2,BP_KM,$E84)/1000</f>
        <v>0</v>
      </c>
      <c r="GI84" s="1091" t="str">
        <f t="shared" si="610"/>
        <v/>
      </c>
      <c r="GJ84" s="1091"/>
      <c r="GK84" s="1147">
        <f>IF(NOW()&gt;=DATE(YEAR(GH$2),MONTH(GH$2)+1,DAY(GH$2)),SUMIFS(TF_SOTIEN,TF_THANG,GH$2,TF_KM,$E84)/1000, GN84)</f>
        <v>0</v>
      </c>
      <c r="GL84" s="1091" t="str">
        <f t="shared" si="611"/>
        <v/>
      </c>
      <c r="GM84" s="1091"/>
      <c r="GN84" s="1147">
        <f>IF(NOW()&gt;=DATE(YEAR(GH$2),MONTH(GH$2)+1,DAY(GH$2)),SUMIFS(AC_SOTIEN,AC_THANG,GH$2,AC_KM,$E84),SUMIFS(TF_SOTIEN,TF_THANG,GH$2,TF_KM,$E84))/ 1000</f>
        <v>0</v>
      </c>
      <c r="GO84" s="1091" t="str">
        <f t="shared" si="612"/>
        <v/>
      </c>
      <c r="GP84" s="1091" t="str">
        <f t="shared" si="757"/>
        <v/>
      </c>
      <c r="GQ84" s="1147">
        <f t="shared" si="118"/>
        <v>0</v>
      </c>
      <c r="GR84" s="1091" t="str">
        <f t="shared" si="119"/>
        <v/>
      </c>
      <c r="GS84" s="1147">
        <f t="shared" si="120"/>
        <v>0</v>
      </c>
      <c r="GT84" s="1091" t="str">
        <f t="shared" si="121"/>
        <v/>
      </c>
      <c r="GU84" s="1146">
        <f>SUMIFS(BP_SOTIEN,BP_THANG,GU$2,BP_KM,$E84)/1000</f>
        <v>0</v>
      </c>
      <c r="GV84" s="1091" t="str">
        <f t="shared" si="613"/>
        <v/>
      </c>
      <c r="GW84" s="1091"/>
      <c r="GX84" s="1147">
        <f>IF(NOW()&gt;=DATE(YEAR(GU$2),MONTH(GU$2)+1,DAY(GU$2)),SUMIFS(TF_SOTIEN,TF_THANG,GU$2,TF_KM,$E84)/1000, HA84)</f>
        <v>0</v>
      </c>
      <c r="GY84" s="1091" t="str">
        <f t="shared" si="614"/>
        <v/>
      </c>
      <c r="GZ84" s="1091"/>
      <c r="HA84" s="1147">
        <f>IF(NOW()&gt;=DATE(YEAR(GU$2),MONTH(GU$2)+1,DAY(GU$2)),SUMIFS(AC_SOTIEN,AC_THANG,GU$2,AC_KM,$E84),SUMIFS(TF_SOTIEN,TF_THANG,GU$2,TF_KM,$E84))/ 1000</f>
        <v>0</v>
      </c>
      <c r="HB84" s="1091" t="str">
        <f t="shared" si="615"/>
        <v/>
      </c>
      <c r="HC84" s="1091" t="str">
        <f t="shared" si="758"/>
        <v/>
      </c>
      <c r="HD84" s="1147">
        <f t="shared" si="125"/>
        <v>0</v>
      </c>
      <c r="HE84" s="1091" t="str">
        <f t="shared" si="126"/>
        <v/>
      </c>
      <c r="HF84" s="1147">
        <f t="shared" si="127"/>
        <v>0</v>
      </c>
      <c r="HG84" s="1091" t="str">
        <f t="shared" si="128"/>
        <v/>
      </c>
      <c r="HH84" s="1146">
        <f t="shared" si="699"/>
        <v>0</v>
      </c>
      <c r="HI84" s="1091" t="str">
        <f t="shared" si="616"/>
        <v/>
      </c>
      <c r="HJ84" s="1091">
        <f t="shared" si="759"/>
        <v>0</v>
      </c>
      <c r="HK84" s="1147">
        <f t="shared" si="270"/>
        <v>0</v>
      </c>
      <c r="HL84" s="1091" t="str">
        <f t="shared" si="617"/>
        <v/>
      </c>
      <c r="HM84" s="1091">
        <f t="shared" si="760"/>
        <v>0</v>
      </c>
      <c r="HN84" s="1147">
        <f t="shared" si="273"/>
        <v>0</v>
      </c>
      <c r="HO84" s="1091" t="str">
        <f t="shared" si="618"/>
        <v/>
      </c>
      <c r="HP84" s="1091" t="str">
        <f t="shared" si="761"/>
        <v/>
      </c>
      <c r="HQ84" s="1147">
        <f t="shared" si="135"/>
        <v>0</v>
      </c>
      <c r="HR84" s="1091" t="str">
        <f t="shared" si="136"/>
        <v/>
      </c>
      <c r="HS84" s="1147">
        <f t="shared" si="137"/>
        <v>0</v>
      </c>
      <c r="HT84" s="1091" t="str">
        <f t="shared" si="138"/>
        <v/>
      </c>
      <c r="HU84" s="1146">
        <f t="shared" si="700"/>
        <v>0</v>
      </c>
      <c r="HV84" s="1091" t="str">
        <f t="shared" si="619"/>
        <v/>
      </c>
      <c r="HW84" s="1091">
        <f t="shared" si="762"/>
        <v>0</v>
      </c>
      <c r="HX84" s="1147">
        <f t="shared" si="279"/>
        <v>0</v>
      </c>
      <c r="HY84" s="1091" t="str">
        <f t="shared" si="620"/>
        <v/>
      </c>
      <c r="HZ84" s="1091">
        <f t="shared" si="763"/>
        <v>0</v>
      </c>
      <c r="IA84" s="1147">
        <f t="shared" si="282"/>
        <v>0</v>
      </c>
      <c r="IB84" s="1091" t="str">
        <f t="shared" si="621"/>
        <v/>
      </c>
      <c r="IC84" s="1091" t="str">
        <f t="shared" si="764"/>
        <v/>
      </c>
      <c r="ID84" s="1147">
        <f t="shared" si="145"/>
        <v>0</v>
      </c>
      <c r="IE84" s="1091" t="str">
        <f t="shared" si="146"/>
        <v/>
      </c>
      <c r="IF84" s="1147">
        <f t="shared" si="147"/>
        <v>0</v>
      </c>
      <c r="IG84" s="1091" t="str">
        <f t="shared" si="148"/>
        <v/>
      </c>
      <c r="IH84" s="1146">
        <f t="shared" si="701"/>
        <v>0</v>
      </c>
      <c r="II84" s="1091" t="str">
        <f t="shared" si="622"/>
        <v/>
      </c>
      <c r="IJ84" s="1091">
        <f t="shared" si="765"/>
        <v>0</v>
      </c>
      <c r="IK84" s="1147">
        <f t="shared" si="288"/>
        <v>1260</v>
      </c>
      <c r="IL84" s="1091" t="str">
        <f t="shared" si="623"/>
        <v/>
      </c>
      <c r="IM84" s="1091">
        <f t="shared" si="766"/>
        <v>0.005849112126</v>
      </c>
      <c r="IN84" s="1147">
        <f t="shared" si="291"/>
        <v>4440.1</v>
      </c>
      <c r="IO84" s="1091">
        <f t="shared" si="624"/>
        <v>0.01305911765</v>
      </c>
      <c r="IP84" s="1091">
        <f t="shared" si="767"/>
        <v>0.05999866114</v>
      </c>
      <c r="IQ84" s="1147">
        <f t="shared" si="155"/>
        <v>4440.1</v>
      </c>
      <c r="IR84" s="1091" t="str">
        <f t="shared" si="1"/>
        <v/>
      </c>
      <c r="IS84" s="1147">
        <f t="shared" si="156"/>
        <v>3180.1</v>
      </c>
      <c r="IT84" s="1091">
        <f t="shared" si="2"/>
        <v>2.523888889</v>
      </c>
    </row>
    <row r="85" hidden="1" outlineLevel="1">
      <c r="A85" s="737"/>
      <c r="B85" s="737"/>
      <c r="C85" s="737"/>
      <c r="D85" s="737" t="s">
        <v>2870</v>
      </c>
      <c r="E85" s="737" t="s">
        <v>307</v>
      </c>
      <c r="F85" s="737"/>
      <c r="G85" s="748">
        <v>3.0</v>
      </c>
      <c r="H85" s="1146">
        <f>SUMIFS(BP_SOTIEN,BP_THANG,H$2,BP_KM,$E85)/1000</f>
        <v>3000</v>
      </c>
      <c r="I85" s="1091" t="str">
        <f t="shared" si="566"/>
        <v/>
      </c>
      <c r="J85" s="1091"/>
      <c r="K85" s="1147">
        <f>IF(NOW()&gt;=DATE(YEAR(H$2),MONTH(H$2)+1,DAY(H$2)),SUMIFS(TF_SOTIEN,TF_THANG,H$2,TF_KM,$E85)/1000, N85)</f>
        <v>3000</v>
      </c>
      <c r="L85" s="1091" t="str">
        <f t="shared" si="567"/>
        <v/>
      </c>
      <c r="M85" s="1091"/>
      <c r="N85" s="1147">
        <f>IF(NOW()&gt;=DATE(YEAR(H$2),MONTH(H$2)+1,DAY(H$2)),SUMIFS(AC_SOTIEN,AC_THANG,H$2,AC_KM,$E85),SUMIFS(TF_SOTIEN,TF_THANG,H$2,TF_KM,$E85))/ 1000</f>
        <v>1000</v>
      </c>
      <c r="O85" s="1091">
        <f t="shared" si="568"/>
        <v>0.002941176471</v>
      </c>
      <c r="P85" s="1091">
        <f t="shared" si="735"/>
        <v>0.09831111338</v>
      </c>
      <c r="Q85" s="1147">
        <f t="shared" si="8"/>
        <v>-2000</v>
      </c>
      <c r="R85" s="1091">
        <f t="shared" si="9"/>
        <v>-0.6666666667</v>
      </c>
      <c r="S85" s="1147">
        <f t="shared" si="10"/>
        <v>-2000</v>
      </c>
      <c r="T85" s="1091">
        <f t="shared" si="11"/>
        <v>-0.6666666667</v>
      </c>
      <c r="U85" s="1146">
        <f>SUMIFS(BP_SOTIEN,BP_THANG,U$2,BP_KM,$E85)/1000</f>
        <v>0</v>
      </c>
      <c r="V85" s="1091" t="str">
        <f t="shared" si="569"/>
        <v/>
      </c>
      <c r="W85" s="1091"/>
      <c r="X85" s="1147">
        <f>IF(NOW()&gt;=DATE(YEAR(U$2),MONTH(U$2)+1,DAY(U$2)),SUMIFS(TF_SOTIEN,TF_THANG,U$2,TF_KM,$E85)/1000, AA85)</f>
        <v>0</v>
      </c>
      <c r="Y85" s="1091" t="str">
        <f t="shared" si="570"/>
        <v/>
      </c>
      <c r="Z85" s="1091"/>
      <c r="AA85" s="1147">
        <f>IF(NOW()&gt;=DATE(YEAR(U$2),MONTH(U$2)+1,DAY(U$2)),SUMIFS(AC_SOTIEN,AC_THANG,U$2,AC_KM,$E85),SUMIFS(TF_SOTIEN,TF_THANG,U$2,TF_KM,$E85))/ 1000</f>
        <v>0</v>
      </c>
      <c r="AB85" s="1091" t="str">
        <f t="shared" si="571"/>
        <v/>
      </c>
      <c r="AC85" s="1091">
        <f t="shared" si="736"/>
        <v>0</v>
      </c>
      <c r="AD85" s="1147">
        <f t="shared" si="15"/>
        <v>0</v>
      </c>
      <c r="AE85" s="1091" t="str">
        <f t="shared" si="16"/>
        <v/>
      </c>
      <c r="AF85" s="1147">
        <f t="shared" si="17"/>
        <v>0</v>
      </c>
      <c r="AG85" s="1091" t="str">
        <f t="shared" si="18"/>
        <v/>
      </c>
      <c r="AH85" s="1146">
        <f>SUMIFS(BP_SOTIEN,BP_THANG,AH$2,BP_KM,$E85)/1000</f>
        <v>0</v>
      </c>
      <c r="AI85" s="1091" t="str">
        <f t="shared" si="572"/>
        <v/>
      </c>
      <c r="AJ85" s="1091"/>
      <c r="AK85" s="1147">
        <f>IF(NOW()&gt;=DATE(YEAR(AH$2),MONTH(AH$2)+1,DAY(AH$2)),SUMIFS(TF_SOTIEN,TF_THANG,AH$2,TF_KM,$E85)/1000, AN85)</f>
        <v>0</v>
      </c>
      <c r="AL85" s="1091" t="str">
        <f t="shared" si="573"/>
        <v/>
      </c>
      <c r="AM85" s="1091"/>
      <c r="AN85" s="1147">
        <f>IF(NOW()&gt;=DATE(YEAR(AH$2),MONTH(AH$2)+1,DAY(AH$2)),SUMIFS(AC_SOTIEN,AC_THANG,AH$2,AC_KM,$E85),SUMIFS(TF_SOTIEN,TF_THANG,AH$2,TF_KM,$E85))/ 1000</f>
        <v>1000</v>
      </c>
      <c r="AO85" s="1091" t="str">
        <f t="shared" si="574"/>
        <v/>
      </c>
      <c r="AP85" s="1091">
        <f t="shared" si="737"/>
        <v>0.05547217471</v>
      </c>
      <c r="AQ85" s="1147">
        <f t="shared" si="22"/>
        <v>1000</v>
      </c>
      <c r="AR85" s="1091" t="str">
        <f t="shared" si="23"/>
        <v/>
      </c>
      <c r="AS85" s="1147">
        <f t="shared" si="24"/>
        <v>1000</v>
      </c>
      <c r="AT85" s="1091" t="str">
        <f t="shared" si="25"/>
        <v/>
      </c>
      <c r="AU85" s="1146">
        <f t="shared" si="691"/>
        <v>3000</v>
      </c>
      <c r="AV85" s="1091" t="str">
        <f t="shared" si="575"/>
        <v/>
      </c>
      <c r="AW85" s="1091">
        <f t="shared" si="738"/>
        <v>0.05044136192</v>
      </c>
      <c r="AX85" s="1147">
        <f t="shared" si="692"/>
        <v>3000</v>
      </c>
      <c r="AY85" s="1091" t="str">
        <f t="shared" si="576"/>
        <v/>
      </c>
      <c r="AZ85" s="1091">
        <f t="shared" si="739"/>
        <v>0.06513243595</v>
      </c>
      <c r="BA85" s="1147">
        <f t="shared" si="693"/>
        <v>2000</v>
      </c>
      <c r="BB85" s="1091">
        <f t="shared" si="577"/>
        <v>0.005882352941</v>
      </c>
      <c r="BC85" s="1091">
        <f t="shared" si="740"/>
        <v>0.05191003358</v>
      </c>
      <c r="BD85" s="1147">
        <f t="shared" si="32"/>
        <v>-1000</v>
      </c>
      <c r="BE85" s="1091">
        <f t="shared" si="33"/>
        <v>-0.3333333333</v>
      </c>
      <c r="BF85" s="1147">
        <f t="shared" si="34"/>
        <v>-1000</v>
      </c>
      <c r="BG85" s="1091">
        <f t="shared" si="35"/>
        <v>-0.3333333333</v>
      </c>
      <c r="BH85" s="1146">
        <f>SUMIFS(BP_SOTIEN,BP_THANG,BH$2,BP_KM,$E85)/1000</f>
        <v>0</v>
      </c>
      <c r="BI85" s="1091" t="str">
        <f t="shared" si="578"/>
        <v/>
      </c>
      <c r="BJ85" s="1091"/>
      <c r="BK85" s="1147">
        <f>IF(NOW()&gt;=DATE(YEAR(BH$2),MONTH(BH$2)+1,DAY(BH$2)),SUMIFS(TF_SOTIEN,TF_THANG,BH$2,TF_KM,$E85)/1000, BN85)</f>
        <v>0</v>
      </c>
      <c r="BL85" s="1091" t="str">
        <f t="shared" si="579"/>
        <v/>
      </c>
      <c r="BM85" s="1091"/>
      <c r="BN85" s="1147">
        <f>IF(NOW()&gt;=DATE(YEAR(BH$2),MONTH(BH$2)+1,DAY(BH$2)),SUMIFS(AC_SOTIEN,AC_THANG,BH$2,AC_KM,$E85),SUMIFS(TF_SOTIEN,TF_THANG,BH$2,TF_KM,$E85))/ 1000</f>
        <v>0</v>
      </c>
      <c r="BO85" s="1091" t="str">
        <f t="shared" si="580"/>
        <v/>
      </c>
      <c r="BP85" s="1091">
        <f t="shared" si="741"/>
        <v>0</v>
      </c>
      <c r="BQ85" s="1147">
        <f t="shared" si="39"/>
        <v>0</v>
      </c>
      <c r="BR85" s="1091" t="str">
        <f t="shared" si="40"/>
        <v/>
      </c>
      <c r="BS85" s="1147">
        <f t="shared" si="41"/>
        <v>0</v>
      </c>
      <c r="BT85" s="1091" t="str">
        <f t="shared" si="42"/>
        <v/>
      </c>
      <c r="BU85" s="1146">
        <f>SUMIFS(BP_SOTIEN,BP_THANG,BU$2,BP_KM,$E85)/1000</f>
        <v>0</v>
      </c>
      <c r="BV85" s="1091" t="str">
        <f t="shared" si="581"/>
        <v/>
      </c>
      <c r="BW85" s="1091"/>
      <c r="BX85" s="1147">
        <f>IF(NOW()&gt;=DATE(YEAR(BU$2),MONTH(BU$2)+1,DAY(BU$2)),SUMIFS(TF_SOTIEN,TF_THANG,BU$2,TF_KM,$E85)/1000, CA85)</f>
        <v>0</v>
      </c>
      <c r="BY85" s="1091" t="str">
        <f t="shared" si="582"/>
        <v/>
      </c>
      <c r="BZ85" s="1091"/>
      <c r="CA85" s="1147">
        <f>IF(NOW()&gt;=DATE(YEAR(BU$2),MONTH(BU$2)+1,DAY(BU$2)),SUMIFS(AC_SOTIEN,AC_THANG,BU$2,AC_KM,$E85),SUMIFS(TF_SOTIEN,TF_THANG,BU$2,TF_KM,$E85))/ 1000</f>
        <v>0</v>
      </c>
      <c r="CB85" s="1091" t="str">
        <f t="shared" si="583"/>
        <v/>
      </c>
      <c r="CC85" s="1091">
        <f t="shared" si="742"/>
        <v>0</v>
      </c>
      <c r="CD85" s="1147">
        <f t="shared" si="46"/>
        <v>0</v>
      </c>
      <c r="CE85" s="1091" t="str">
        <f t="shared" si="47"/>
        <v/>
      </c>
      <c r="CF85" s="1147">
        <f t="shared" si="48"/>
        <v>0</v>
      </c>
      <c r="CG85" s="1091" t="str">
        <f t="shared" si="49"/>
        <v/>
      </c>
      <c r="CH85" s="1146">
        <f>SUMIFS(BP_SOTIEN,BP_THANG,CH$2,BP_KM,$E85)/1000</f>
        <v>0</v>
      </c>
      <c r="CI85" s="1091" t="str">
        <f t="shared" si="584"/>
        <v/>
      </c>
      <c r="CJ85" s="1091"/>
      <c r="CK85" s="1147">
        <f>IF(NOW()&gt;=DATE(YEAR(CH$2),MONTH(CH$2)+1,DAY(CH$2)),SUMIFS(TF_SOTIEN,TF_THANG,CH$2,TF_KM,$E85)/1000, CN85)</f>
        <v>0</v>
      </c>
      <c r="CL85" s="1091" t="str">
        <f t="shared" si="585"/>
        <v/>
      </c>
      <c r="CM85" s="1091"/>
      <c r="CN85" s="1147">
        <f>IF(NOW()&gt;=DATE(YEAR(CH$2),MONTH(CH$2)+1,DAY(CH$2)),SUMIFS(AC_SOTIEN,AC_THANG,CH$2,AC_KM,$E85),SUMIFS(TF_SOTIEN,TF_THANG,CH$2,TF_KM,$E85))/ 1000</f>
        <v>0</v>
      </c>
      <c r="CO85" s="1091" t="str">
        <f t="shared" si="586"/>
        <v/>
      </c>
      <c r="CP85" s="1091" t="str">
        <f t="shared" si="743"/>
        <v/>
      </c>
      <c r="CQ85" s="1147">
        <f t="shared" si="53"/>
        <v>0</v>
      </c>
      <c r="CR85" s="1091" t="str">
        <f t="shared" si="54"/>
        <v/>
      </c>
      <c r="CS85" s="1147">
        <f t="shared" si="55"/>
        <v>0</v>
      </c>
      <c r="CT85" s="1091" t="str">
        <f t="shared" si="56"/>
        <v/>
      </c>
      <c r="CU85" s="1146">
        <f t="shared" si="694"/>
        <v>0</v>
      </c>
      <c r="CV85" s="1091" t="str">
        <f t="shared" si="587"/>
        <v/>
      </c>
      <c r="CW85" s="1091">
        <f t="shared" si="744"/>
        <v>0</v>
      </c>
      <c r="CX85" s="1147">
        <f t="shared" si="695"/>
        <v>0</v>
      </c>
      <c r="CY85" s="1091" t="str">
        <f t="shared" si="589"/>
        <v/>
      </c>
      <c r="CZ85" s="1091">
        <f t="shared" si="745"/>
        <v>0</v>
      </c>
      <c r="DA85" s="1147">
        <f t="shared" si="696"/>
        <v>0</v>
      </c>
      <c r="DB85" s="1091" t="str">
        <f t="shared" si="591"/>
        <v/>
      </c>
      <c r="DC85" s="1091">
        <f t="shared" si="746"/>
        <v>0</v>
      </c>
      <c r="DD85" s="1147">
        <f t="shared" si="63"/>
        <v>0</v>
      </c>
      <c r="DE85" s="1091" t="str">
        <f t="shared" si="64"/>
        <v/>
      </c>
      <c r="DF85" s="1147">
        <f t="shared" si="65"/>
        <v>0</v>
      </c>
      <c r="DG85" s="1091" t="str">
        <f t="shared" si="66"/>
        <v/>
      </c>
      <c r="DH85" s="1146">
        <f t="shared" si="697"/>
        <v>3000</v>
      </c>
      <c r="DI85" s="1091" t="str">
        <f t="shared" si="592"/>
        <v/>
      </c>
      <c r="DJ85" s="1091">
        <f t="shared" si="747"/>
        <v>0.02587322122</v>
      </c>
      <c r="DK85" s="1147">
        <f t="shared" si="216"/>
        <v>3000</v>
      </c>
      <c r="DL85" s="1091" t="str">
        <f t="shared" si="593"/>
        <v/>
      </c>
      <c r="DM85" s="1091">
        <f t="shared" si="748"/>
        <v>0.0292776301</v>
      </c>
      <c r="DN85" s="1147">
        <f t="shared" si="219"/>
        <v>2000</v>
      </c>
      <c r="DO85" s="1091">
        <f t="shared" si="594"/>
        <v>0.005882352941</v>
      </c>
      <c r="DP85" s="1091">
        <f t="shared" si="749"/>
        <v>0.02702581525</v>
      </c>
      <c r="DQ85" s="1147">
        <f t="shared" si="73"/>
        <v>-1000</v>
      </c>
      <c r="DR85" s="1091">
        <f t="shared" si="74"/>
        <v>-0.3333333333</v>
      </c>
      <c r="DS85" s="1147">
        <f t="shared" si="75"/>
        <v>-1000</v>
      </c>
      <c r="DT85" s="1091">
        <f t="shared" si="76"/>
        <v>-0.3333333333</v>
      </c>
      <c r="DU85" s="1146">
        <f>SUMIFS(BP_SOTIEN,BP_THANG,DU$2,BP_KM,$E85)/1000</f>
        <v>0</v>
      </c>
      <c r="DV85" s="1091" t="str">
        <f t="shared" si="595"/>
        <v/>
      </c>
      <c r="DW85" s="1091"/>
      <c r="DX85" s="1147">
        <f>IF(NOW()&gt;=DATE(YEAR(DU$2),MONTH(DU$2)+1,DAY(DU$2)),SUMIFS(TF_SOTIEN,TF_THANG,DU$2,TF_KM,$E85)/1000, EA85)</f>
        <v>0</v>
      </c>
      <c r="DY85" s="1091" t="str">
        <f t="shared" si="596"/>
        <v/>
      </c>
      <c r="DZ85" s="1091"/>
      <c r="EA85" s="1147">
        <f>IF(NOW()&gt;=DATE(YEAR(DU$2),MONTH(DU$2)+1,DAY(DU$2)),SUMIFS(AC_SOTIEN,AC_THANG,DU$2,AC_KM,$E85),SUMIFS(TF_SOTIEN,TF_THANG,DU$2,TF_KM,$E85))/ 1000</f>
        <v>0</v>
      </c>
      <c r="EB85" s="1091" t="str">
        <f t="shared" si="597"/>
        <v/>
      </c>
      <c r="EC85" s="1091" t="str">
        <f t="shared" si="750"/>
        <v/>
      </c>
      <c r="ED85" s="1147">
        <f t="shared" si="80"/>
        <v>0</v>
      </c>
      <c r="EE85" s="1091" t="str">
        <f t="shared" si="81"/>
        <v/>
      </c>
      <c r="EF85" s="1147">
        <f t="shared" si="82"/>
        <v>0</v>
      </c>
      <c r="EG85" s="1091" t="str">
        <f t="shared" si="83"/>
        <v/>
      </c>
      <c r="EH85" s="1146">
        <f>SUMIFS(BP_SOTIEN,BP_THANG,EH$2,BP_KM,$E85)/1000</f>
        <v>0</v>
      </c>
      <c r="EI85" s="1091" t="str">
        <f t="shared" si="598"/>
        <v/>
      </c>
      <c r="EJ85" s="1091"/>
      <c r="EK85" s="1147">
        <f>IF(NOW()&gt;=DATE(YEAR(EH$2),MONTH(EH$2)+1,DAY(EH$2)),SUMIFS(TF_SOTIEN,TF_THANG,EH$2,TF_KM,$E85)/1000, EN85)</f>
        <v>0</v>
      </c>
      <c r="EL85" s="1091" t="str">
        <f t="shared" si="599"/>
        <v/>
      </c>
      <c r="EM85" s="1091"/>
      <c r="EN85" s="1147">
        <f>IF(NOW()&gt;=DATE(YEAR(EH$2),MONTH(EH$2)+1,DAY(EH$2)),SUMIFS(AC_SOTIEN,AC_THANG,EH$2,AC_KM,$E85),SUMIFS(TF_SOTIEN,TF_THANG,EH$2,TF_KM,$E85))/ 1000</f>
        <v>0</v>
      </c>
      <c r="EO85" s="1091" t="str">
        <f t="shared" si="600"/>
        <v/>
      </c>
      <c r="EP85" s="1091" t="str">
        <f t="shared" si="751"/>
        <v/>
      </c>
      <c r="EQ85" s="1147">
        <f t="shared" si="87"/>
        <v>0</v>
      </c>
      <c r="ER85" s="1091" t="str">
        <f t="shared" si="88"/>
        <v/>
      </c>
      <c r="ES85" s="1147">
        <f t="shared" si="89"/>
        <v>0</v>
      </c>
      <c r="ET85" s="1091" t="str">
        <f t="shared" si="90"/>
        <v/>
      </c>
      <c r="EU85" s="1146">
        <f>SUMIFS(BP_SOTIEN,BP_THANG,EU$2,BP_KM,$E85)/1000</f>
        <v>0</v>
      </c>
      <c r="EV85" s="1091" t="str">
        <f t="shared" si="601"/>
        <v/>
      </c>
      <c r="EW85" s="1091"/>
      <c r="EX85" s="1147">
        <f>IF(NOW()&gt;=DATE(YEAR(EU$2),MONTH(EU$2)+1,DAY(EU$2)),SUMIFS(TF_SOTIEN,TF_THANG,EU$2,TF_KM,$E85)/1000, FA85)</f>
        <v>0</v>
      </c>
      <c r="EY85" s="1091" t="str">
        <f t="shared" si="602"/>
        <v/>
      </c>
      <c r="EZ85" s="1091"/>
      <c r="FA85" s="1147">
        <f>IF(NOW()&gt;=DATE(YEAR(EU$2),MONTH(EU$2)+1,DAY(EU$2)),SUMIFS(AC_SOTIEN,AC_THANG,EU$2,AC_KM,$E85),SUMIFS(TF_SOTIEN,TF_THANG,EU$2,TF_KM,$E85))/ 1000</f>
        <v>0</v>
      </c>
      <c r="FB85" s="1091" t="str">
        <f t="shared" si="603"/>
        <v/>
      </c>
      <c r="FC85" s="1091" t="str">
        <f t="shared" si="752"/>
        <v/>
      </c>
      <c r="FD85" s="1147">
        <f t="shared" si="94"/>
        <v>0</v>
      </c>
      <c r="FE85" s="1091" t="str">
        <f t="shared" si="95"/>
        <v/>
      </c>
      <c r="FF85" s="1147">
        <f t="shared" si="96"/>
        <v>0</v>
      </c>
      <c r="FG85" s="1091" t="str">
        <f t="shared" si="97"/>
        <v/>
      </c>
      <c r="FH85" s="1146">
        <f t="shared" si="698"/>
        <v>0</v>
      </c>
      <c r="FI85" s="1091" t="str">
        <f t="shared" si="604"/>
        <v/>
      </c>
      <c r="FJ85" s="1091">
        <f t="shared" si="753"/>
        <v>0</v>
      </c>
      <c r="FK85" s="1147">
        <f t="shared" si="243"/>
        <v>0</v>
      </c>
      <c r="FL85" s="1091" t="str">
        <f t="shared" si="605"/>
        <v/>
      </c>
      <c r="FM85" s="1091">
        <f t="shared" si="754"/>
        <v>0</v>
      </c>
      <c r="FN85" s="1147">
        <f t="shared" si="246"/>
        <v>0</v>
      </c>
      <c r="FO85" s="1091" t="str">
        <f t="shared" si="606"/>
        <v/>
      </c>
      <c r="FP85" s="1091" t="str">
        <f t="shared" si="755"/>
        <v/>
      </c>
      <c r="FQ85" s="1147">
        <f t="shared" si="104"/>
        <v>0</v>
      </c>
      <c r="FR85" s="1091" t="str">
        <f t="shared" si="105"/>
        <v/>
      </c>
      <c r="FS85" s="1147">
        <f t="shared" si="106"/>
        <v>0</v>
      </c>
      <c r="FT85" s="1091" t="str">
        <f t="shared" si="107"/>
        <v/>
      </c>
      <c r="FU85" s="1146">
        <f>SUMIFS(BP_SOTIEN,BP_THANG,FU$2,BP_KM,$E85)/1000</f>
        <v>0</v>
      </c>
      <c r="FV85" s="1091" t="str">
        <f t="shared" si="607"/>
        <v/>
      </c>
      <c r="FW85" s="1091"/>
      <c r="FX85" s="1147">
        <f>IF(NOW()&gt;=DATE(YEAR(FU$2),MONTH(FU$2)+1,DAY(FU$2)),SUMIFS(TF_SOTIEN,TF_THANG,FU$2,TF_KM,$E85)/1000, GA85)</f>
        <v>0</v>
      </c>
      <c r="FY85" s="1091" t="str">
        <f t="shared" si="608"/>
        <v/>
      </c>
      <c r="FZ85" s="1091"/>
      <c r="GA85" s="1147">
        <f>IF(NOW()&gt;=DATE(YEAR(FU$2),MONTH(FU$2)+1,DAY(FU$2)),SUMIFS(AC_SOTIEN,AC_THANG,FU$2,AC_KM,$E85),SUMIFS(TF_SOTIEN,TF_THANG,FU$2,TF_KM,$E85))/ 1000</f>
        <v>0</v>
      </c>
      <c r="GB85" s="1091" t="str">
        <f t="shared" si="609"/>
        <v/>
      </c>
      <c r="GC85" s="1091" t="str">
        <f t="shared" si="756"/>
        <v/>
      </c>
      <c r="GD85" s="1147">
        <f t="shared" si="111"/>
        <v>0</v>
      </c>
      <c r="GE85" s="1091" t="str">
        <f t="shared" si="112"/>
        <v/>
      </c>
      <c r="GF85" s="1147">
        <f t="shared" si="113"/>
        <v>0</v>
      </c>
      <c r="GG85" s="1091" t="str">
        <f t="shared" si="114"/>
        <v/>
      </c>
      <c r="GH85" s="1146">
        <f>SUMIFS(BP_SOTIEN,BP_THANG,GH$2,BP_KM,$E85)/1000</f>
        <v>0</v>
      </c>
      <c r="GI85" s="1091" t="str">
        <f t="shared" si="610"/>
        <v/>
      </c>
      <c r="GJ85" s="1091"/>
      <c r="GK85" s="1147">
        <f>IF(NOW()&gt;=DATE(YEAR(GH$2),MONTH(GH$2)+1,DAY(GH$2)),SUMIFS(TF_SOTIEN,TF_THANG,GH$2,TF_KM,$E85)/1000, GN85)</f>
        <v>0</v>
      </c>
      <c r="GL85" s="1091" t="str">
        <f t="shared" si="611"/>
        <v/>
      </c>
      <c r="GM85" s="1091"/>
      <c r="GN85" s="1147">
        <f>IF(NOW()&gt;=DATE(YEAR(GH$2),MONTH(GH$2)+1,DAY(GH$2)),SUMIFS(AC_SOTIEN,AC_THANG,GH$2,AC_KM,$E85),SUMIFS(TF_SOTIEN,TF_THANG,GH$2,TF_KM,$E85))/ 1000</f>
        <v>0</v>
      </c>
      <c r="GO85" s="1091" t="str">
        <f t="shared" si="612"/>
        <v/>
      </c>
      <c r="GP85" s="1091" t="str">
        <f t="shared" si="757"/>
        <v/>
      </c>
      <c r="GQ85" s="1147">
        <f t="shared" si="118"/>
        <v>0</v>
      </c>
      <c r="GR85" s="1091" t="str">
        <f t="shared" si="119"/>
        <v/>
      </c>
      <c r="GS85" s="1147">
        <f t="shared" si="120"/>
        <v>0</v>
      </c>
      <c r="GT85" s="1091" t="str">
        <f t="shared" si="121"/>
        <v/>
      </c>
      <c r="GU85" s="1146">
        <f>SUMIFS(BP_SOTIEN,BP_THANG,GU$2,BP_KM,$E85)/1000</f>
        <v>0</v>
      </c>
      <c r="GV85" s="1091" t="str">
        <f t="shared" si="613"/>
        <v/>
      </c>
      <c r="GW85" s="1091"/>
      <c r="GX85" s="1147">
        <f>IF(NOW()&gt;=DATE(YEAR(GU$2),MONTH(GU$2)+1,DAY(GU$2)),SUMIFS(TF_SOTIEN,TF_THANG,GU$2,TF_KM,$E85)/1000, HA85)</f>
        <v>0</v>
      </c>
      <c r="GY85" s="1091" t="str">
        <f t="shared" si="614"/>
        <v/>
      </c>
      <c r="GZ85" s="1091"/>
      <c r="HA85" s="1147">
        <f>IF(NOW()&gt;=DATE(YEAR(GU$2),MONTH(GU$2)+1,DAY(GU$2)),SUMIFS(AC_SOTIEN,AC_THANG,GU$2,AC_KM,$E85),SUMIFS(TF_SOTIEN,TF_THANG,GU$2,TF_KM,$E85))/ 1000</f>
        <v>0</v>
      </c>
      <c r="HB85" s="1091" t="str">
        <f t="shared" si="615"/>
        <v/>
      </c>
      <c r="HC85" s="1091" t="str">
        <f t="shared" si="758"/>
        <v/>
      </c>
      <c r="HD85" s="1147">
        <f t="shared" si="125"/>
        <v>0</v>
      </c>
      <c r="HE85" s="1091" t="str">
        <f t="shared" si="126"/>
        <v/>
      </c>
      <c r="HF85" s="1147">
        <f t="shared" si="127"/>
        <v>0</v>
      </c>
      <c r="HG85" s="1091" t="str">
        <f t="shared" si="128"/>
        <v/>
      </c>
      <c r="HH85" s="1146">
        <f t="shared" si="699"/>
        <v>0</v>
      </c>
      <c r="HI85" s="1091" t="str">
        <f t="shared" si="616"/>
        <v/>
      </c>
      <c r="HJ85" s="1091">
        <f t="shared" si="759"/>
        <v>0</v>
      </c>
      <c r="HK85" s="1147">
        <f t="shared" si="270"/>
        <v>0</v>
      </c>
      <c r="HL85" s="1091" t="str">
        <f t="shared" si="617"/>
        <v/>
      </c>
      <c r="HM85" s="1091">
        <f t="shared" si="760"/>
        <v>0</v>
      </c>
      <c r="HN85" s="1147">
        <f t="shared" si="273"/>
        <v>0</v>
      </c>
      <c r="HO85" s="1091" t="str">
        <f t="shared" si="618"/>
        <v/>
      </c>
      <c r="HP85" s="1091" t="str">
        <f t="shared" si="761"/>
        <v/>
      </c>
      <c r="HQ85" s="1147">
        <f t="shared" si="135"/>
        <v>0</v>
      </c>
      <c r="HR85" s="1091" t="str">
        <f t="shared" si="136"/>
        <v/>
      </c>
      <c r="HS85" s="1147">
        <f t="shared" si="137"/>
        <v>0</v>
      </c>
      <c r="HT85" s="1091" t="str">
        <f t="shared" si="138"/>
        <v/>
      </c>
      <c r="HU85" s="1146">
        <f t="shared" si="700"/>
        <v>0</v>
      </c>
      <c r="HV85" s="1091" t="str">
        <f t="shared" si="619"/>
        <v/>
      </c>
      <c r="HW85" s="1091">
        <f t="shared" si="762"/>
        <v>0</v>
      </c>
      <c r="HX85" s="1147">
        <f t="shared" si="279"/>
        <v>0</v>
      </c>
      <c r="HY85" s="1091" t="str">
        <f t="shared" si="620"/>
        <v/>
      </c>
      <c r="HZ85" s="1091">
        <f t="shared" si="763"/>
        <v>0</v>
      </c>
      <c r="IA85" s="1147">
        <f t="shared" si="282"/>
        <v>0</v>
      </c>
      <c r="IB85" s="1091" t="str">
        <f t="shared" si="621"/>
        <v/>
      </c>
      <c r="IC85" s="1091" t="str">
        <f t="shared" si="764"/>
        <v/>
      </c>
      <c r="ID85" s="1147">
        <f t="shared" si="145"/>
        <v>0</v>
      </c>
      <c r="IE85" s="1091" t="str">
        <f t="shared" si="146"/>
        <v/>
      </c>
      <c r="IF85" s="1147">
        <f t="shared" si="147"/>
        <v>0</v>
      </c>
      <c r="IG85" s="1091" t="str">
        <f t="shared" si="148"/>
        <v/>
      </c>
      <c r="IH85" s="1146">
        <f t="shared" si="701"/>
        <v>3000</v>
      </c>
      <c r="II85" s="1091" t="str">
        <f t="shared" si="622"/>
        <v/>
      </c>
      <c r="IJ85" s="1091">
        <f t="shared" si="765"/>
        <v>0.0131061599</v>
      </c>
      <c r="IK85" s="1147">
        <f t="shared" si="288"/>
        <v>3000</v>
      </c>
      <c r="IL85" s="1091" t="str">
        <f t="shared" si="623"/>
        <v/>
      </c>
      <c r="IM85" s="1091">
        <f t="shared" si="766"/>
        <v>0.01392645744</v>
      </c>
      <c r="IN85" s="1147">
        <f t="shared" si="291"/>
        <v>2000</v>
      </c>
      <c r="IO85" s="1091">
        <f t="shared" si="624"/>
        <v>0.005882352941</v>
      </c>
      <c r="IP85" s="1091">
        <f t="shared" si="767"/>
        <v>0.02702581525</v>
      </c>
      <c r="IQ85" s="1147">
        <f t="shared" si="155"/>
        <v>-1000</v>
      </c>
      <c r="IR85" s="1091">
        <f t="shared" si="1"/>
        <v>-0.3333333333</v>
      </c>
      <c r="IS85" s="1147">
        <f t="shared" si="156"/>
        <v>-1000</v>
      </c>
      <c r="IT85" s="1091">
        <f t="shared" si="2"/>
        <v>-0.3333333333</v>
      </c>
    </row>
    <row r="86" hidden="1" outlineLevel="1">
      <c r="A86" s="737"/>
      <c r="B86" s="737"/>
      <c r="C86" s="737"/>
      <c r="D86" s="737"/>
      <c r="E86" s="737"/>
      <c r="F86" s="737"/>
      <c r="G86" s="748">
        <v>3.0</v>
      </c>
      <c r="H86" s="1146">
        <f>SUMIFS(BP_SOTIEN,BP_THANG,H$2,BP_KM,$E86)/1000</f>
        <v>0</v>
      </c>
      <c r="I86" s="1091" t="str">
        <f t="shared" si="566"/>
        <v/>
      </c>
      <c r="J86" s="1091"/>
      <c r="K86" s="1147">
        <f>IF(NOW()&gt;=DATE(YEAR(H$2),MONTH(H$2)+1,DAY(H$2)),SUMIFS(TF_SOTIEN,TF_THANG,H$2,TF_KM,$E86)/1000, N86)</f>
        <v>0</v>
      </c>
      <c r="L86" s="1091" t="str">
        <f t="shared" si="567"/>
        <v/>
      </c>
      <c r="M86" s="1091"/>
      <c r="N86" s="1147">
        <f>IF(NOW()&gt;=DATE(YEAR(H$2),MONTH(H$2)+1,DAY(H$2)),SUMIFS(AC_SOTIEN,AC_THANG,H$2,AC_KM,$E86),SUMIFS(TF_SOTIEN,TF_THANG,H$2,TF_KM,$E86))/ 1000</f>
        <v>0</v>
      </c>
      <c r="O86" s="1091">
        <f t="shared" si="568"/>
        <v>0</v>
      </c>
      <c r="P86" s="1091">
        <f t="shared" si="735"/>
        <v>0</v>
      </c>
      <c r="Q86" s="1147">
        <f t="shared" si="8"/>
        <v>0</v>
      </c>
      <c r="R86" s="1091" t="str">
        <f t="shared" si="9"/>
        <v/>
      </c>
      <c r="S86" s="1147">
        <f t="shared" si="10"/>
        <v>0</v>
      </c>
      <c r="T86" s="1091" t="str">
        <f t="shared" si="11"/>
        <v/>
      </c>
      <c r="U86" s="1146">
        <f>SUMIFS(BP_SOTIEN,BP_THANG,U$2,BP_KM,$E86)/1000</f>
        <v>0</v>
      </c>
      <c r="V86" s="1091" t="str">
        <f t="shared" si="569"/>
        <v/>
      </c>
      <c r="W86" s="1091"/>
      <c r="X86" s="1147">
        <f>IF(NOW()&gt;=DATE(YEAR(U$2),MONTH(U$2)+1,DAY(U$2)),SUMIFS(TF_SOTIEN,TF_THANG,U$2,TF_KM,$E86)/1000, AA86)</f>
        <v>0</v>
      </c>
      <c r="Y86" s="1091" t="str">
        <f t="shared" si="570"/>
        <v/>
      </c>
      <c r="Z86" s="1091"/>
      <c r="AA86" s="1147">
        <f>IF(NOW()&gt;=DATE(YEAR(U$2),MONTH(U$2)+1,DAY(U$2)),SUMIFS(AC_SOTIEN,AC_THANG,U$2,AC_KM,$E86),SUMIFS(TF_SOTIEN,TF_THANG,U$2,TF_KM,$E86))/ 1000</f>
        <v>0</v>
      </c>
      <c r="AB86" s="1091" t="str">
        <f t="shared" si="571"/>
        <v/>
      </c>
      <c r="AC86" s="1091">
        <f t="shared" si="736"/>
        <v>0</v>
      </c>
      <c r="AD86" s="1147">
        <f t="shared" si="15"/>
        <v>0</v>
      </c>
      <c r="AE86" s="1091" t="str">
        <f t="shared" si="16"/>
        <v/>
      </c>
      <c r="AF86" s="1147">
        <f t="shared" si="17"/>
        <v>0</v>
      </c>
      <c r="AG86" s="1091" t="str">
        <f t="shared" si="18"/>
        <v/>
      </c>
      <c r="AH86" s="1146">
        <f>SUMIFS(BP_SOTIEN,BP_THANG,AH$2,BP_KM,$E86)/1000</f>
        <v>0</v>
      </c>
      <c r="AI86" s="1091" t="str">
        <f t="shared" si="572"/>
        <v/>
      </c>
      <c r="AJ86" s="1091"/>
      <c r="AK86" s="1147">
        <f>IF(NOW()&gt;=DATE(YEAR(AH$2),MONTH(AH$2)+1,DAY(AH$2)),SUMIFS(TF_SOTIEN,TF_THANG,AH$2,TF_KM,$E86)/1000, AN86)</f>
        <v>0</v>
      </c>
      <c r="AL86" s="1091" t="str">
        <f t="shared" si="573"/>
        <v/>
      </c>
      <c r="AM86" s="1091"/>
      <c r="AN86" s="1147">
        <f>IF(NOW()&gt;=DATE(YEAR(AH$2),MONTH(AH$2)+1,DAY(AH$2)),SUMIFS(AC_SOTIEN,AC_THANG,AH$2,AC_KM,$E86),SUMIFS(TF_SOTIEN,TF_THANG,AH$2,TF_KM,$E86))/ 1000</f>
        <v>0</v>
      </c>
      <c r="AO86" s="1091" t="str">
        <f t="shared" si="574"/>
        <v/>
      </c>
      <c r="AP86" s="1091">
        <f t="shared" si="737"/>
        <v>0</v>
      </c>
      <c r="AQ86" s="1147">
        <f t="shared" si="22"/>
        <v>0</v>
      </c>
      <c r="AR86" s="1091" t="str">
        <f t="shared" si="23"/>
        <v/>
      </c>
      <c r="AS86" s="1147">
        <f t="shared" si="24"/>
        <v>0</v>
      </c>
      <c r="AT86" s="1091" t="str">
        <f t="shared" si="25"/>
        <v/>
      </c>
      <c r="AU86" s="1146">
        <f t="shared" si="691"/>
        <v>0</v>
      </c>
      <c r="AV86" s="1091" t="str">
        <f t="shared" si="575"/>
        <v/>
      </c>
      <c r="AW86" s="1091">
        <f t="shared" si="738"/>
        <v>0</v>
      </c>
      <c r="AX86" s="1147">
        <f t="shared" si="692"/>
        <v>0</v>
      </c>
      <c r="AY86" s="1091" t="str">
        <f t="shared" si="576"/>
        <v/>
      </c>
      <c r="AZ86" s="1091">
        <f t="shared" si="739"/>
        <v>0</v>
      </c>
      <c r="BA86" s="1147">
        <f t="shared" si="693"/>
        <v>0</v>
      </c>
      <c r="BB86" s="1091">
        <f t="shared" si="577"/>
        <v>0</v>
      </c>
      <c r="BC86" s="1091">
        <f t="shared" si="740"/>
        <v>0</v>
      </c>
      <c r="BD86" s="1147">
        <f t="shared" si="32"/>
        <v>0</v>
      </c>
      <c r="BE86" s="1091" t="str">
        <f t="shared" si="33"/>
        <v/>
      </c>
      <c r="BF86" s="1147">
        <f t="shared" si="34"/>
        <v>0</v>
      </c>
      <c r="BG86" s="1091" t="str">
        <f t="shared" si="35"/>
        <v/>
      </c>
      <c r="BH86" s="1146">
        <f>SUMIFS(BP_SOTIEN,BP_THANG,BH$2,BP_KM,$E86)/1000</f>
        <v>0</v>
      </c>
      <c r="BI86" s="1091" t="str">
        <f t="shared" si="578"/>
        <v/>
      </c>
      <c r="BJ86" s="1091"/>
      <c r="BK86" s="1147">
        <f>IF(NOW()&gt;=DATE(YEAR(BH$2),MONTH(BH$2)+1,DAY(BH$2)),SUMIFS(TF_SOTIEN,TF_THANG,BH$2,TF_KM,$E86)/1000, BN86)</f>
        <v>0</v>
      </c>
      <c r="BL86" s="1091" t="str">
        <f t="shared" si="579"/>
        <v/>
      </c>
      <c r="BM86" s="1091"/>
      <c r="BN86" s="1147">
        <f>IF(NOW()&gt;=DATE(YEAR(BH$2),MONTH(BH$2)+1,DAY(BH$2)),SUMIFS(AC_SOTIEN,AC_THANG,BH$2,AC_KM,$E86),SUMIFS(TF_SOTIEN,TF_THANG,BH$2,TF_KM,$E86))/ 1000</f>
        <v>0</v>
      </c>
      <c r="BO86" s="1091" t="str">
        <f t="shared" si="580"/>
        <v/>
      </c>
      <c r="BP86" s="1091">
        <f t="shared" si="741"/>
        <v>0</v>
      </c>
      <c r="BQ86" s="1147">
        <f t="shared" si="39"/>
        <v>0</v>
      </c>
      <c r="BR86" s="1091" t="str">
        <f t="shared" si="40"/>
        <v/>
      </c>
      <c r="BS86" s="1147">
        <f t="shared" si="41"/>
        <v>0</v>
      </c>
      <c r="BT86" s="1091" t="str">
        <f t="shared" si="42"/>
        <v/>
      </c>
      <c r="BU86" s="1146">
        <f>SUMIFS(BP_SOTIEN,BP_THANG,BU$2,BP_KM,$E86)/1000</f>
        <v>0</v>
      </c>
      <c r="BV86" s="1091" t="str">
        <f t="shared" si="581"/>
        <v/>
      </c>
      <c r="BW86" s="1091"/>
      <c r="BX86" s="1147">
        <f>IF(NOW()&gt;=DATE(YEAR(BU$2),MONTH(BU$2)+1,DAY(BU$2)),SUMIFS(TF_SOTIEN,TF_THANG,BU$2,TF_KM,$E86)/1000, CA86)</f>
        <v>0</v>
      </c>
      <c r="BY86" s="1091" t="str">
        <f t="shared" si="582"/>
        <v/>
      </c>
      <c r="BZ86" s="1091"/>
      <c r="CA86" s="1147">
        <f>IF(NOW()&gt;=DATE(YEAR(BU$2),MONTH(BU$2)+1,DAY(BU$2)),SUMIFS(AC_SOTIEN,AC_THANG,BU$2,AC_KM,$E86),SUMIFS(TF_SOTIEN,TF_THANG,BU$2,TF_KM,$E86))/ 1000</f>
        <v>0</v>
      </c>
      <c r="CB86" s="1091" t="str">
        <f t="shared" si="583"/>
        <v/>
      </c>
      <c r="CC86" s="1091">
        <f t="shared" si="742"/>
        <v>0</v>
      </c>
      <c r="CD86" s="1147">
        <f t="shared" si="46"/>
        <v>0</v>
      </c>
      <c r="CE86" s="1091" t="str">
        <f t="shared" si="47"/>
        <v/>
      </c>
      <c r="CF86" s="1147">
        <f t="shared" si="48"/>
        <v>0</v>
      </c>
      <c r="CG86" s="1091" t="str">
        <f t="shared" si="49"/>
        <v/>
      </c>
      <c r="CH86" s="1146">
        <f>SUMIFS(BP_SOTIEN,BP_THANG,CH$2,BP_KM,$E86)/1000</f>
        <v>0</v>
      </c>
      <c r="CI86" s="1091" t="str">
        <f t="shared" si="584"/>
        <v/>
      </c>
      <c r="CJ86" s="1091"/>
      <c r="CK86" s="1147">
        <f>IF(NOW()&gt;=DATE(YEAR(CH$2),MONTH(CH$2)+1,DAY(CH$2)),SUMIFS(TF_SOTIEN,TF_THANG,CH$2,TF_KM,$E86)/1000, CN86)</f>
        <v>0</v>
      </c>
      <c r="CL86" s="1091" t="str">
        <f t="shared" si="585"/>
        <v/>
      </c>
      <c r="CM86" s="1091"/>
      <c r="CN86" s="1147">
        <f>IF(NOW()&gt;=DATE(YEAR(CH$2),MONTH(CH$2)+1,DAY(CH$2)),SUMIFS(AC_SOTIEN,AC_THANG,CH$2,AC_KM,$E86),SUMIFS(TF_SOTIEN,TF_THANG,CH$2,TF_KM,$E86))/ 1000</f>
        <v>0</v>
      </c>
      <c r="CO86" s="1091" t="str">
        <f t="shared" si="586"/>
        <v/>
      </c>
      <c r="CP86" s="1091" t="str">
        <f t="shared" si="743"/>
        <v/>
      </c>
      <c r="CQ86" s="1147">
        <f t="shared" si="53"/>
        <v>0</v>
      </c>
      <c r="CR86" s="1091" t="str">
        <f t="shared" si="54"/>
        <v/>
      </c>
      <c r="CS86" s="1147">
        <f t="shared" si="55"/>
        <v>0</v>
      </c>
      <c r="CT86" s="1091" t="str">
        <f t="shared" si="56"/>
        <v/>
      </c>
      <c r="CU86" s="1146">
        <f t="shared" si="694"/>
        <v>0</v>
      </c>
      <c r="CV86" s="1091" t="str">
        <f t="shared" si="587"/>
        <v/>
      </c>
      <c r="CW86" s="1091">
        <f t="shared" si="744"/>
        <v>0</v>
      </c>
      <c r="CX86" s="1147">
        <f t="shared" si="695"/>
        <v>0</v>
      </c>
      <c r="CY86" s="1091" t="str">
        <f t="shared" si="589"/>
        <v/>
      </c>
      <c r="CZ86" s="1091">
        <f t="shared" si="745"/>
        <v>0</v>
      </c>
      <c r="DA86" s="1147">
        <f t="shared" si="696"/>
        <v>0</v>
      </c>
      <c r="DB86" s="1091" t="str">
        <f t="shared" si="591"/>
        <v/>
      </c>
      <c r="DC86" s="1091">
        <f t="shared" si="746"/>
        <v>0</v>
      </c>
      <c r="DD86" s="1147">
        <f t="shared" si="63"/>
        <v>0</v>
      </c>
      <c r="DE86" s="1091" t="str">
        <f t="shared" si="64"/>
        <v/>
      </c>
      <c r="DF86" s="1147">
        <f t="shared" si="65"/>
        <v>0</v>
      </c>
      <c r="DG86" s="1091" t="str">
        <f t="shared" si="66"/>
        <v/>
      </c>
      <c r="DH86" s="1146">
        <f t="shared" si="697"/>
        <v>0</v>
      </c>
      <c r="DI86" s="1091" t="str">
        <f t="shared" si="592"/>
        <v/>
      </c>
      <c r="DJ86" s="1091">
        <f t="shared" si="747"/>
        <v>0</v>
      </c>
      <c r="DK86" s="1147">
        <f t="shared" si="216"/>
        <v>0</v>
      </c>
      <c r="DL86" s="1091" t="str">
        <f t="shared" si="593"/>
        <v/>
      </c>
      <c r="DM86" s="1091">
        <f t="shared" si="748"/>
        <v>0</v>
      </c>
      <c r="DN86" s="1147">
        <f t="shared" si="219"/>
        <v>0</v>
      </c>
      <c r="DO86" s="1091">
        <f t="shared" si="594"/>
        <v>0</v>
      </c>
      <c r="DP86" s="1091">
        <f t="shared" si="749"/>
        <v>0</v>
      </c>
      <c r="DQ86" s="1147">
        <f t="shared" si="73"/>
        <v>0</v>
      </c>
      <c r="DR86" s="1091" t="str">
        <f t="shared" si="74"/>
        <v/>
      </c>
      <c r="DS86" s="1147">
        <f t="shared" si="75"/>
        <v>0</v>
      </c>
      <c r="DT86" s="1091" t="str">
        <f t="shared" si="76"/>
        <v/>
      </c>
      <c r="DU86" s="1146">
        <f>SUMIFS(BP_SOTIEN,BP_THANG,DU$2,BP_KM,$E86)/1000</f>
        <v>0</v>
      </c>
      <c r="DV86" s="1091" t="str">
        <f t="shared" si="595"/>
        <v/>
      </c>
      <c r="DW86" s="1091"/>
      <c r="DX86" s="1147">
        <f>IF(NOW()&gt;=DATE(YEAR(DU$2),MONTH(DU$2)+1,DAY(DU$2)),SUMIFS(TF_SOTIEN,TF_THANG,DU$2,TF_KM,$E86)/1000, EA86)</f>
        <v>0</v>
      </c>
      <c r="DY86" s="1091" t="str">
        <f t="shared" si="596"/>
        <v/>
      </c>
      <c r="DZ86" s="1091"/>
      <c r="EA86" s="1147">
        <f>IF(NOW()&gt;=DATE(YEAR(DU$2),MONTH(DU$2)+1,DAY(DU$2)),SUMIFS(AC_SOTIEN,AC_THANG,DU$2,AC_KM,$E86),SUMIFS(TF_SOTIEN,TF_THANG,DU$2,TF_KM,$E86))/ 1000</f>
        <v>0</v>
      </c>
      <c r="EB86" s="1091" t="str">
        <f t="shared" si="597"/>
        <v/>
      </c>
      <c r="EC86" s="1091" t="str">
        <f t="shared" si="750"/>
        <v/>
      </c>
      <c r="ED86" s="1147">
        <f t="shared" si="80"/>
        <v>0</v>
      </c>
      <c r="EE86" s="1091" t="str">
        <f t="shared" si="81"/>
        <v/>
      </c>
      <c r="EF86" s="1147">
        <f t="shared" si="82"/>
        <v>0</v>
      </c>
      <c r="EG86" s="1091" t="str">
        <f t="shared" si="83"/>
        <v/>
      </c>
      <c r="EH86" s="1146">
        <f>SUMIFS(BP_SOTIEN,BP_THANG,EH$2,BP_KM,$E86)/1000</f>
        <v>0</v>
      </c>
      <c r="EI86" s="1091" t="str">
        <f t="shared" si="598"/>
        <v/>
      </c>
      <c r="EJ86" s="1091"/>
      <c r="EK86" s="1147">
        <f>IF(NOW()&gt;=DATE(YEAR(EH$2),MONTH(EH$2)+1,DAY(EH$2)),SUMIFS(TF_SOTIEN,TF_THANG,EH$2,TF_KM,$E86)/1000, EN86)</f>
        <v>0</v>
      </c>
      <c r="EL86" s="1091" t="str">
        <f t="shared" si="599"/>
        <v/>
      </c>
      <c r="EM86" s="1091"/>
      <c r="EN86" s="1147">
        <f>IF(NOW()&gt;=DATE(YEAR(EH$2),MONTH(EH$2)+1,DAY(EH$2)),SUMIFS(AC_SOTIEN,AC_THANG,EH$2,AC_KM,$E86),SUMIFS(TF_SOTIEN,TF_THANG,EH$2,TF_KM,$E86))/ 1000</f>
        <v>0</v>
      </c>
      <c r="EO86" s="1091" t="str">
        <f t="shared" si="600"/>
        <v/>
      </c>
      <c r="EP86" s="1091" t="str">
        <f t="shared" si="751"/>
        <v/>
      </c>
      <c r="EQ86" s="1147">
        <f t="shared" si="87"/>
        <v>0</v>
      </c>
      <c r="ER86" s="1091" t="str">
        <f t="shared" si="88"/>
        <v/>
      </c>
      <c r="ES86" s="1147">
        <f t="shared" si="89"/>
        <v>0</v>
      </c>
      <c r="ET86" s="1091" t="str">
        <f t="shared" si="90"/>
        <v/>
      </c>
      <c r="EU86" s="1146">
        <f>SUMIFS(BP_SOTIEN,BP_THANG,EU$2,BP_KM,$E86)/1000</f>
        <v>0</v>
      </c>
      <c r="EV86" s="1091" t="str">
        <f t="shared" si="601"/>
        <v/>
      </c>
      <c r="EW86" s="1091"/>
      <c r="EX86" s="1147">
        <f>IF(NOW()&gt;=DATE(YEAR(EU$2),MONTH(EU$2)+1,DAY(EU$2)),SUMIFS(TF_SOTIEN,TF_THANG,EU$2,TF_KM,$E86)/1000, FA86)</f>
        <v>0</v>
      </c>
      <c r="EY86" s="1091" t="str">
        <f t="shared" si="602"/>
        <v/>
      </c>
      <c r="EZ86" s="1091"/>
      <c r="FA86" s="1147">
        <f>IF(NOW()&gt;=DATE(YEAR(EU$2),MONTH(EU$2)+1,DAY(EU$2)),SUMIFS(AC_SOTIEN,AC_THANG,EU$2,AC_KM,$E86),SUMIFS(TF_SOTIEN,TF_THANG,EU$2,TF_KM,$E86))/ 1000</f>
        <v>0</v>
      </c>
      <c r="FB86" s="1091" t="str">
        <f t="shared" si="603"/>
        <v/>
      </c>
      <c r="FC86" s="1091" t="str">
        <f t="shared" si="752"/>
        <v/>
      </c>
      <c r="FD86" s="1147">
        <f t="shared" si="94"/>
        <v>0</v>
      </c>
      <c r="FE86" s="1091" t="str">
        <f t="shared" si="95"/>
        <v/>
      </c>
      <c r="FF86" s="1147">
        <f t="shared" si="96"/>
        <v>0</v>
      </c>
      <c r="FG86" s="1091" t="str">
        <f t="shared" si="97"/>
        <v/>
      </c>
      <c r="FH86" s="1146">
        <f t="shared" si="698"/>
        <v>0</v>
      </c>
      <c r="FI86" s="1091" t="str">
        <f t="shared" si="604"/>
        <v/>
      </c>
      <c r="FJ86" s="1091">
        <f t="shared" si="753"/>
        <v>0</v>
      </c>
      <c r="FK86" s="1147">
        <f t="shared" si="243"/>
        <v>0</v>
      </c>
      <c r="FL86" s="1091" t="str">
        <f t="shared" si="605"/>
        <v/>
      </c>
      <c r="FM86" s="1091">
        <f t="shared" si="754"/>
        <v>0</v>
      </c>
      <c r="FN86" s="1147">
        <f t="shared" si="246"/>
        <v>0</v>
      </c>
      <c r="FO86" s="1091" t="str">
        <f t="shared" si="606"/>
        <v/>
      </c>
      <c r="FP86" s="1091" t="str">
        <f t="shared" si="755"/>
        <v/>
      </c>
      <c r="FQ86" s="1147">
        <f t="shared" si="104"/>
        <v>0</v>
      </c>
      <c r="FR86" s="1091" t="str">
        <f t="shared" si="105"/>
        <v/>
      </c>
      <c r="FS86" s="1147">
        <f t="shared" si="106"/>
        <v>0</v>
      </c>
      <c r="FT86" s="1091" t="str">
        <f t="shared" si="107"/>
        <v/>
      </c>
      <c r="FU86" s="1146">
        <f>SUMIFS(BP_SOTIEN,BP_THANG,FU$2,BP_KM,$E86)/1000</f>
        <v>0</v>
      </c>
      <c r="FV86" s="1091" t="str">
        <f t="shared" si="607"/>
        <v/>
      </c>
      <c r="FW86" s="1091"/>
      <c r="FX86" s="1147">
        <f>IF(NOW()&gt;=DATE(YEAR(FU$2),MONTH(FU$2)+1,DAY(FU$2)),SUMIFS(TF_SOTIEN,TF_THANG,FU$2,TF_KM,$E86)/1000, GA86)</f>
        <v>0</v>
      </c>
      <c r="FY86" s="1091" t="str">
        <f t="shared" si="608"/>
        <v/>
      </c>
      <c r="FZ86" s="1091"/>
      <c r="GA86" s="1147">
        <f>IF(NOW()&gt;=DATE(YEAR(FU$2),MONTH(FU$2)+1,DAY(FU$2)),SUMIFS(AC_SOTIEN,AC_THANG,FU$2,AC_KM,$E86),SUMIFS(TF_SOTIEN,TF_THANG,FU$2,TF_KM,$E86))/ 1000</f>
        <v>0</v>
      </c>
      <c r="GB86" s="1091" t="str">
        <f t="shared" si="609"/>
        <v/>
      </c>
      <c r="GC86" s="1091" t="str">
        <f t="shared" si="756"/>
        <v/>
      </c>
      <c r="GD86" s="1147">
        <f t="shared" si="111"/>
        <v>0</v>
      </c>
      <c r="GE86" s="1091" t="str">
        <f t="shared" si="112"/>
        <v/>
      </c>
      <c r="GF86" s="1147">
        <f t="shared" si="113"/>
        <v>0</v>
      </c>
      <c r="GG86" s="1091" t="str">
        <f t="shared" si="114"/>
        <v/>
      </c>
      <c r="GH86" s="1146">
        <f>SUMIFS(BP_SOTIEN,BP_THANG,GH$2,BP_KM,$E86)/1000</f>
        <v>0</v>
      </c>
      <c r="GI86" s="1091" t="str">
        <f t="shared" si="610"/>
        <v/>
      </c>
      <c r="GJ86" s="1091"/>
      <c r="GK86" s="1147">
        <f>IF(NOW()&gt;=DATE(YEAR(GH$2),MONTH(GH$2)+1,DAY(GH$2)),SUMIFS(TF_SOTIEN,TF_THANG,GH$2,TF_KM,$E86)/1000, GN86)</f>
        <v>0</v>
      </c>
      <c r="GL86" s="1091" t="str">
        <f t="shared" si="611"/>
        <v/>
      </c>
      <c r="GM86" s="1091"/>
      <c r="GN86" s="1147">
        <f>IF(NOW()&gt;=DATE(YEAR(GH$2),MONTH(GH$2)+1,DAY(GH$2)),SUMIFS(AC_SOTIEN,AC_THANG,GH$2,AC_KM,$E86),SUMIFS(TF_SOTIEN,TF_THANG,GH$2,TF_KM,$E86))/ 1000</f>
        <v>0</v>
      </c>
      <c r="GO86" s="1091" t="str">
        <f t="shared" si="612"/>
        <v/>
      </c>
      <c r="GP86" s="1091" t="str">
        <f t="shared" si="757"/>
        <v/>
      </c>
      <c r="GQ86" s="1147">
        <f t="shared" si="118"/>
        <v>0</v>
      </c>
      <c r="GR86" s="1091" t="str">
        <f t="shared" si="119"/>
        <v/>
      </c>
      <c r="GS86" s="1147">
        <f t="shared" si="120"/>
        <v>0</v>
      </c>
      <c r="GT86" s="1091" t="str">
        <f t="shared" si="121"/>
        <v/>
      </c>
      <c r="GU86" s="1146">
        <f>SUMIFS(BP_SOTIEN,BP_THANG,GU$2,BP_KM,$E86)/1000</f>
        <v>0</v>
      </c>
      <c r="GV86" s="1091" t="str">
        <f t="shared" si="613"/>
        <v/>
      </c>
      <c r="GW86" s="1091"/>
      <c r="GX86" s="1147">
        <f>IF(NOW()&gt;=DATE(YEAR(GU$2),MONTH(GU$2)+1,DAY(GU$2)),SUMIFS(TF_SOTIEN,TF_THANG,GU$2,TF_KM,$E86)/1000, HA86)</f>
        <v>0</v>
      </c>
      <c r="GY86" s="1091" t="str">
        <f t="shared" si="614"/>
        <v/>
      </c>
      <c r="GZ86" s="1091"/>
      <c r="HA86" s="1147">
        <f>IF(NOW()&gt;=DATE(YEAR(GU$2),MONTH(GU$2)+1,DAY(GU$2)),SUMIFS(AC_SOTIEN,AC_THANG,GU$2,AC_KM,$E86),SUMIFS(TF_SOTIEN,TF_THANG,GU$2,TF_KM,$E86))/ 1000</f>
        <v>0</v>
      </c>
      <c r="HB86" s="1091" t="str">
        <f t="shared" si="615"/>
        <v/>
      </c>
      <c r="HC86" s="1091" t="str">
        <f t="shared" si="758"/>
        <v/>
      </c>
      <c r="HD86" s="1147">
        <f t="shared" si="125"/>
        <v>0</v>
      </c>
      <c r="HE86" s="1091" t="str">
        <f t="shared" si="126"/>
        <v/>
      </c>
      <c r="HF86" s="1147">
        <f t="shared" si="127"/>
        <v>0</v>
      </c>
      <c r="HG86" s="1091" t="str">
        <f t="shared" si="128"/>
        <v/>
      </c>
      <c r="HH86" s="1146">
        <f t="shared" si="699"/>
        <v>0</v>
      </c>
      <c r="HI86" s="1091" t="str">
        <f t="shared" si="616"/>
        <v/>
      </c>
      <c r="HJ86" s="1091">
        <f t="shared" si="759"/>
        <v>0</v>
      </c>
      <c r="HK86" s="1147">
        <f t="shared" si="270"/>
        <v>0</v>
      </c>
      <c r="HL86" s="1091" t="str">
        <f t="shared" si="617"/>
        <v/>
      </c>
      <c r="HM86" s="1091">
        <f t="shared" si="760"/>
        <v>0</v>
      </c>
      <c r="HN86" s="1147">
        <f t="shared" si="273"/>
        <v>0</v>
      </c>
      <c r="HO86" s="1091" t="str">
        <f t="shared" si="618"/>
        <v/>
      </c>
      <c r="HP86" s="1091" t="str">
        <f t="shared" si="761"/>
        <v/>
      </c>
      <c r="HQ86" s="1147">
        <f t="shared" si="135"/>
        <v>0</v>
      </c>
      <c r="HR86" s="1091" t="str">
        <f t="shared" si="136"/>
        <v/>
      </c>
      <c r="HS86" s="1147">
        <f t="shared" si="137"/>
        <v>0</v>
      </c>
      <c r="HT86" s="1091" t="str">
        <f t="shared" si="138"/>
        <v/>
      </c>
      <c r="HU86" s="1146">
        <f t="shared" si="700"/>
        <v>0</v>
      </c>
      <c r="HV86" s="1091" t="str">
        <f t="shared" si="619"/>
        <v/>
      </c>
      <c r="HW86" s="1091">
        <f t="shared" si="762"/>
        <v>0</v>
      </c>
      <c r="HX86" s="1147">
        <f t="shared" si="279"/>
        <v>0</v>
      </c>
      <c r="HY86" s="1091" t="str">
        <f t="shared" si="620"/>
        <v/>
      </c>
      <c r="HZ86" s="1091">
        <f t="shared" si="763"/>
        <v>0</v>
      </c>
      <c r="IA86" s="1147">
        <f t="shared" si="282"/>
        <v>0</v>
      </c>
      <c r="IB86" s="1091" t="str">
        <f t="shared" si="621"/>
        <v/>
      </c>
      <c r="IC86" s="1091" t="str">
        <f t="shared" si="764"/>
        <v/>
      </c>
      <c r="ID86" s="1147">
        <f t="shared" si="145"/>
        <v>0</v>
      </c>
      <c r="IE86" s="1091" t="str">
        <f t="shared" si="146"/>
        <v/>
      </c>
      <c r="IF86" s="1147">
        <f t="shared" si="147"/>
        <v>0</v>
      </c>
      <c r="IG86" s="1091" t="str">
        <f t="shared" si="148"/>
        <v/>
      </c>
      <c r="IH86" s="1146">
        <f t="shared" si="701"/>
        <v>0</v>
      </c>
      <c r="II86" s="1091" t="str">
        <f t="shared" si="622"/>
        <v/>
      </c>
      <c r="IJ86" s="1091">
        <f t="shared" si="765"/>
        <v>0</v>
      </c>
      <c r="IK86" s="1147">
        <f t="shared" si="288"/>
        <v>0</v>
      </c>
      <c r="IL86" s="1091" t="str">
        <f t="shared" si="623"/>
        <v/>
      </c>
      <c r="IM86" s="1091">
        <f t="shared" si="766"/>
        <v>0</v>
      </c>
      <c r="IN86" s="1147">
        <f t="shared" si="291"/>
        <v>0</v>
      </c>
      <c r="IO86" s="1091">
        <f t="shared" si="624"/>
        <v>0</v>
      </c>
      <c r="IP86" s="1091">
        <f t="shared" si="767"/>
        <v>0</v>
      </c>
      <c r="IQ86" s="1147">
        <f t="shared" si="155"/>
        <v>0</v>
      </c>
      <c r="IR86" s="1091" t="str">
        <f t="shared" si="1"/>
        <v/>
      </c>
      <c r="IS86" s="1147">
        <f t="shared" si="156"/>
        <v>0</v>
      </c>
      <c r="IT86" s="1091" t="str">
        <f t="shared" si="2"/>
        <v/>
      </c>
    </row>
    <row r="87" hidden="1" outlineLevel="1">
      <c r="A87" s="737"/>
      <c r="B87" s="737"/>
      <c r="C87" s="737"/>
      <c r="D87" s="737" t="s">
        <v>2871</v>
      </c>
      <c r="E87" s="737" t="s">
        <v>2872</v>
      </c>
      <c r="F87" s="1086">
        <v>642.0</v>
      </c>
      <c r="G87" s="1086">
        <v>2.0</v>
      </c>
      <c r="H87" s="1088">
        <f>SUMIFS(BP_SOTIEN,BP_THANG,H$2,BP_KM,$E87)/1000</f>
        <v>0</v>
      </c>
      <c r="I87" s="1091" t="str">
        <f t="shared" si="566"/>
        <v/>
      </c>
      <c r="J87" s="1091"/>
      <c r="K87" s="1090">
        <f>IF(NOW()&gt;=DATE(YEAR(H$2),MONTH(H$2)+1,DAY(H$2)),SUMIFS(TF_SOTIEN,TF_THANG,H$2,TF_KM,$E87)/1000, N87)</f>
        <v>0</v>
      </c>
      <c r="L87" s="1091" t="str">
        <f t="shared" si="567"/>
        <v/>
      </c>
      <c r="M87" s="1091"/>
      <c r="N87" s="1090">
        <f>IF(NOW()&gt;=DATE(YEAR(H$2),MONTH(H$2)+1,DAY(H$2)),SUMIFS(AC_SOTIEN,AC_THANG,H$2,AC_KM,$E87),SUMIFS(TF_SOTIEN,TF_THANG,H$2,TF_KM,$E87))/ 1000</f>
        <v>0</v>
      </c>
      <c r="O87" s="1091">
        <f t="shared" si="568"/>
        <v>0</v>
      </c>
      <c r="P87" s="1091">
        <f t="shared" ref="P87:P88" si="768">IFERROR(N87/N$60,"")</f>
        <v>0</v>
      </c>
      <c r="Q87" s="1090">
        <f t="shared" si="8"/>
        <v>0</v>
      </c>
      <c r="R87" s="1091" t="str">
        <f t="shared" si="9"/>
        <v/>
      </c>
      <c r="S87" s="1090">
        <f t="shared" si="10"/>
        <v>0</v>
      </c>
      <c r="T87" s="1091" t="str">
        <f t="shared" si="11"/>
        <v/>
      </c>
      <c r="U87" s="1088">
        <f>SUMIFS(BP_SOTIEN,BP_THANG,U$2,BP_KM,$E87)/1000</f>
        <v>0</v>
      </c>
      <c r="V87" s="1091" t="str">
        <f t="shared" si="569"/>
        <v/>
      </c>
      <c r="W87" s="1091"/>
      <c r="X87" s="1090">
        <f>IF(NOW()&gt;=DATE(YEAR(U$2),MONTH(U$2)+1,DAY(U$2)),SUMIFS(TF_SOTIEN,TF_THANG,U$2,TF_KM,$E87)/1000, AA87)</f>
        <v>0</v>
      </c>
      <c r="Y87" s="1091" t="str">
        <f t="shared" si="570"/>
        <v/>
      </c>
      <c r="Z87" s="1091"/>
      <c r="AA87" s="1090">
        <f>IF(NOW()&gt;=DATE(YEAR(U$2),MONTH(U$2)+1,DAY(U$2)),SUMIFS(AC_SOTIEN,AC_THANG,U$2,AC_KM,$E87),SUMIFS(TF_SOTIEN,TF_THANG,U$2,TF_KM,$E87))/ 1000</f>
        <v>0</v>
      </c>
      <c r="AB87" s="1091" t="str">
        <f t="shared" si="571"/>
        <v/>
      </c>
      <c r="AC87" s="1091">
        <f t="shared" ref="AC87:AC88" si="769">IFERROR(AA87/AA$60,"")</f>
        <v>0</v>
      </c>
      <c r="AD87" s="1090">
        <f t="shared" si="15"/>
        <v>0</v>
      </c>
      <c r="AE87" s="1091" t="str">
        <f t="shared" si="16"/>
        <v/>
      </c>
      <c r="AF87" s="1090">
        <f t="shared" si="17"/>
        <v>0</v>
      </c>
      <c r="AG87" s="1091" t="str">
        <f t="shared" si="18"/>
        <v/>
      </c>
      <c r="AH87" s="1088">
        <f>SUMIFS(BP_SOTIEN,BP_THANG,AH$2,BP_KM,$E87)/1000</f>
        <v>0</v>
      </c>
      <c r="AI87" s="1091" t="str">
        <f t="shared" si="572"/>
        <v/>
      </c>
      <c r="AJ87" s="1091"/>
      <c r="AK87" s="1090">
        <f>IF(NOW()&gt;=DATE(YEAR(AH$2),MONTH(AH$2)+1,DAY(AH$2)),SUMIFS(TF_SOTIEN,TF_THANG,AH$2,TF_KM,$E87)/1000, AN87)</f>
        <v>0</v>
      </c>
      <c r="AL87" s="1091" t="str">
        <f t="shared" si="573"/>
        <v/>
      </c>
      <c r="AM87" s="1091"/>
      <c r="AN87" s="1090">
        <f>IF(NOW()&gt;=DATE(YEAR(AH$2),MONTH(AH$2)+1,DAY(AH$2)),SUMIFS(AC_SOTIEN,AC_THANG,AH$2,AC_KM,$E87),SUMIFS(TF_SOTIEN,TF_THANG,AH$2,TF_KM,$E87))/ 1000</f>
        <v>0</v>
      </c>
      <c r="AO87" s="1091" t="str">
        <f t="shared" si="574"/>
        <v/>
      </c>
      <c r="AP87" s="1091">
        <f t="shared" ref="AP87:AP88" si="770">IFERROR(AN87/AN$60,"")</f>
        <v>0</v>
      </c>
      <c r="AQ87" s="1090">
        <f t="shared" si="22"/>
        <v>0</v>
      </c>
      <c r="AR87" s="1091" t="str">
        <f t="shared" si="23"/>
        <v/>
      </c>
      <c r="AS87" s="1090">
        <f t="shared" si="24"/>
        <v>0</v>
      </c>
      <c r="AT87" s="1091" t="str">
        <f t="shared" si="25"/>
        <v/>
      </c>
      <c r="AU87" s="1088">
        <f t="shared" si="691"/>
        <v>0</v>
      </c>
      <c r="AV87" s="1091" t="str">
        <f t="shared" si="575"/>
        <v/>
      </c>
      <c r="AW87" s="1091">
        <f t="shared" ref="AW87:AW88" si="771">IFERROR(AU87/AU$60,"")</f>
        <v>0</v>
      </c>
      <c r="AX87" s="1090">
        <f t="shared" si="692"/>
        <v>0</v>
      </c>
      <c r="AY87" s="1091" t="str">
        <f t="shared" si="576"/>
        <v/>
      </c>
      <c r="AZ87" s="1091">
        <f t="shared" ref="AZ87:AZ88" si="772">IFERROR(AX87/AX$60,"")</f>
        <v>0</v>
      </c>
      <c r="BA87" s="1090">
        <f t="shared" si="693"/>
        <v>0</v>
      </c>
      <c r="BB87" s="1091">
        <f t="shared" si="577"/>
        <v>0</v>
      </c>
      <c r="BC87" s="1091">
        <f t="shared" ref="BC87:BC88" si="773">IFERROR(BA87/BA$60,"")</f>
        <v>0</v>
      </c>
      <c r="BD87" s="1090">
        <f t="shared" si="32"/>
        <v>0</v>
      </c>
      <c r="BE87" s="1091" t="str">
        <f t="shared" si="33"/>
        <v/>
      </c>
      <c r="BF87" s="1090">
        <f t="shared" si="34"/>
        <v>0</v>
      </c>
      <c r="BG87" s="1091" t="str">
        <f t="shared" si="35"/>
        <v/>
      </c>
      <c r="BH87" s="1088">
        <f>SUMIFS(BP_SOTIEN,BP_THANG,BH$2,BP_KM,$E87)/1000</f>
        <v>0</v>
      </c>
      <c r="BI87" s="1091" t="str">
        <f t="shared" si="578"/>
        <v/>
      </c>
      <c r="BJ87" s="1091"/>
      <c r="BK87" s="1090">
        <f>IF(NOW()&gt;=DATE(YEAR(BH$2),MONTH(BH$2)+1,DAY(BH$2)),SUMIFS(TF_SOTIEN,TF_THANG,BH$2,TF_KM,$E87)/1000, BN87)</f>
        <v>0</v>
      </c>
      <c r="BL87" s="1091" t="str">
        <f t="shared" si="579"/>
        <v/>
      </c>
      <c r="BM87" s="1091"/>
      <c r="BN87" s="1090">
        <f>IF(NOW()&gt;=DATE(YEAR(BH$2),MONTH(BH$2)+1,DAY(BH$2)),SUMIFS(AC_SOTIEN,AC_THANG,BH$2,AC_KM,$E87),SUMIFS(TF_SOTIEN,TF_THANG,BH$2,TF_KM,$E87))/ 1000</f>
        <v>0</v>
      </c>
      <c r="BO87" s="1091" t="str">
        <f t="shared" si="580"/>
        <v/>
      </c>
      <c r="BP87" s="1091">
        <f t="shared" ref="BP87:BP88" si="774">IFERROR(BN87/BN$60,"")</f>
        <v>0</v>
      </c>
      <c r="BQ87" s="1090">
        <f t="shared" si="39"/>
        <v>0</v>
      </c>
      <c r="BR87" s="1091" t="str">
        <f t="shared" si="40"/>
        <v/>
      </c>
      <c r="BS87" s="1090">
        <f t="shared" si="41"/>
        <v>0</v>
      </c>
      <c r="BT87" s="1091" t="str">
        <f t="shared" si="42"/>
        <v/>
      </c>
      <c r="BU87" s="1088">
        <f>SUMIFS(BP_SOTIEN,BP_THANG,BU$2,BP_KM,$E87)/1000</f>
        <v>0</v>
      </c>
      <c r="BV87" s="1091" t="str">
        <f t="shared" si="581"/>
        <v/>
      </c>
      <c r="BW87" s="1091"/>
      <c r="BX87" s="1090">
        <f>IF(NOW()&gt;=DATE(YEAR(BU$2),MONTH(BU$2)+1,DAY(BU$2)),SUMIFS(TF_SOTIEN,TF_THANG,BU$2,TF_KM,$E87)/1000, CA87)</f>
        <v>0</v>
      </c>
      <c r="BY87" s="1091" t="str">
        <f t="shared" si="582"/>
        <v/>
      </c>
      <c r="BZ87" s="1091"/>
      <c r="CA87" s="1090">
        <f>IF(NOW()&gt;=DATE(YEAR(BU$2),MONTH(BU$2)+1,DAY(BU$2)),SUMIFS(AC_SOTIEN,AC_THANG,BU$2,AC_KM,$E87),SUMIFS(TF_SOTIEN,TF_THANG,BU$2,TF_KM,$E87))/ 1000</f>
        <v>0</v>
      </c>
      <c r="CB87" s="1091" t="str">
        <f t="shared" si="583"/>
        <v/>
      </c>
      <c r="CC87" s="1091">
        <f t="shared" ref="CC87:CC88" si="775">IFERROR(CA87/CA$60,"")</f>
        <v>0</v>
      </c>
      <c r="CD87" s="1090">
        <f t="shared" si="46"/>
        <v>0</v>
      </c>
      <c r="CE87" s="1091" t="str">
        <f t="shared" si="47"/>
        <v/>
      </c>
      <c r="CF87" s="1090">
        <f t="shared" si="48"/>
        <v>0</v>
      </c>
      <c r="CG87" s="1091" t="str">
        <f t="shared" si="49"/>
        <v/>
      </c>
      <c r="CH87" s="1088">
        <f>SUMIFS(BP_SOTIEN,BP_THANG,CH$2,BP_KM,$E87)/1000</f>
        <v>0</v>
      </c>
      <c r="CI87" s="1091" t="str">
        <f t="shared" si="584"/>
        <v/>
      </c>
      <c r="CJ87" s="1091"/>
      <c r="CK87" s="1090">
        <f>IF(NOW()&gt;=DATE(YEAR(CH$2),MONTH(CH$2)+1,DAY(CH$2)),SUMIFS(TF_SOTIEN,TF_THANG,CH$2,TF_KM,$E87)/1000, CN87)</f>
        <v>0</v>
      </c>
      <c r="CL87" s="1091" t="str">
        <f t="shared" si="585"/>
        <v/>
      </c>
      <c r="CM87" s="1091"/>
      <c r="CN87" s="1090">
        <f>IF(NOW()&gt;=DATE(YEAR(CH$2),MONTH(CH$2)+1,DAY(CH$2)),SUMIFS(AC_SOTIEN,AC_THANG,CH$2,AC_KM,$E87),SUMIFS(TF_SOTIEN,TF_THANG,CH$2,TF_KM,$E87))/ 1000</f>
        <v>0</v>
      </c>
      <c r="CO87" s="1091" t="str">
        <f t="shared" si="586"/>
        <v/>
      </c>
      <c r="CP87" s="1091" t="str">
        <f t="shared" ref="CP87:CP88" si="776">IFERROR(CN87/CN$60,"")</f>
        <v/>
      </c>
      <c r="CQ87" s="1090">
        <f t="shared" si="53"/>
        <v>0</v>
      </c>
      <c r="CR87" s="1091" t="str">
        <f t="shared" si="54"/>
        <v/>
      </c>
      <c r="CS87" s="1090">
        <f t="shared" si="55"/>
        <v>0</v>
      </c>
      <c r="CT87" s="1091" t="str">
        <f t="shared" si="56"/>
        <v/>
      </c>
      <c r="CU87" s="1088">
        <f t="shared" si="694"/>
        <v>0</v>
      </c>
      <c r="CV87" s="1091" t="str">
        <f t="shared" si="587"/>
        <v/>
      </c>
      <c r="CW87" s="1091">
        <f t="shared" ref="CW87:CW88" si="777">IFERROR(CU87/CU$60,"")</f>
        <v>0</v>
      </c>
      <c r="CX87" s="1090">
        <f t="shared" si="695"/>
        <v>0</v>
      </c>
      <c r="CY87" s="1091" t="str">
        <f t="shared" si="589"/>
        <v/>
      </c>
      <c r="CZ87" s="1091">
        <f t="shared" ref="CZ87:CZ88" si="778">IFERROR(CX87/CX$60,"")</f>
        <v>0</v>
      </c>
      <c r="DA87" s="1090">
        <f t="shared" si="696"/>
        <v>0</v>
      </c>
      <c r="DB87" s="1091" t="str">
        <f t="shared" si="591"/>
        <v/>
      </c>
      <c r="DC87" s="1091">
        <f t="shared" ref="DC87:DC88" si="779">IFERROR(DA87/DA$60,"")</f>
        <v>0</v>
      </c>
      <c r="DD87" s="1090">
        <f t="shared" si="63"/>
        <v>0</v>
      </c>
      <c r="DE87" s="1091" t="str">
        <f t="shared" si="64"/>
        <v/>
      </c>
      <c r="DF87" s="1090">
        <f t="shared" si="65"/>
        <v>0</v>
      </c>
      <c r="DG87" s="1091" t="str">
        <f t="shared" si="66"/>
        <v/>
      </c>
      <c r="DH87" s="1088">
        <f t="shared" si="697"/>
        <v>0</v>
      </c>
      <c r="DI87" s="1091" t="str">
        <f t="shared" si="592"/>
        <v/>
      </c>
      <c r="DJ87" s="1091">
        <f t="shared" ref="DJ87:DJ88" si="780">IFERROR(DH87/DH$60,"")</f>
        <v>0</v>
      </c>
      <c r="DK87" s="1090">
        <f t="shared" si="216"/>
        <v>0</v>
      </c>
      <c r="DL87" s="1091" t="str">
        <f t="shared" si="593"/>
        <v/>
      </c>
      <c r="DM87" s="1091">
        <f t="shared" ref="DM87:DM88" si="781">IFERROR(DK87/DK$60,"")</f>
        <v>0</v>
      </c>
      <c r="DN87" s="1090">
        <f t="shared" si="219"/>
        <v>0</v>
      </c>
      <c r="DO87" s="1091">
        <f t="shared" si="594"/>
        <v>0</v>
      </c>
      <c r="DP87" s="1091">
        <f t="shared" ref="DP87:DP88" si="782">IFERROR(DN87/DN$60,"")</f>
        <v>0</v>
      </c>
      <c r="DQ87" s="1090">
        <f t="shared" si="73"/>
        <v>0</v>
      </c>
      <c r="DR87" s="1091" t="str">
        <f t="shared" si="74"/>
        <v/>
      </c>
      <c r="DS87" s="1090">
        <f t="shared" si="75"/>
        <v>0</v>
      </c>
      <c r="DT87" s="1091" t="str">
        <f t="shared" si="76"/>
        <v/>
      </c>
      <c r="DU87" s="1088">
        <f>SUMIFS(BP_SOTIEN,BP_THANG,DU$2,BP_KM,$E87)/1000</f>
        <v>0</v>
      </c>
      <c r="DV87" s="1091" t="str">
        <f t="shared" si="595"/>
        <v/>
      </c>
      <c r="DW87" s="1091"/>
      <c r="DX87" s="1090">
        <f>IF(NOW()&gt;=DATE(YEAR(DU$2),MONTH(DU$2)+1,DAY(DU$2)),SUMIFS(TF_SOTIEN,TF_THANG,DU$2,TF_KM,$E87)/1000, EA87)</f>
        <v>0</v>
      </c>
      <c r="DY87" s="1091" t="str">
        <f t="shared" si="596"/>
        <v/>
      </c>
      <c r="DZ87" s="1091"/>
      <c r="EA87" s="1090">
        <f>IF(NOW()&gt;=DATE(YEAR(DU$2),MONTH(DU$2)+1,DAY(DU$2)),SUMIFS(AC_SOTIEN,AC_THANG,DU$2,AC_KM,$E87),SUMIFS(TF_SOTIEN,TF_THANG,DU$2,TF_KM,$E87))/ 1000</f>
        <v>0</v>
      </c>
      <c r="EB87" s="1091" t="str">
        <f t="shared" si="597"/>
        <v/>
      </c>
      <c r="EC87" s="1091" t="str">
        <f t="shared" ref="EC87:EC88" si="783">IFERROR(EA87/EA$60,"")</f>
        <v/>
      </c>
      <c r="ED87" s="1090">
        <f t="shared" si="80"/>
        <v>0</v>
      </c>
      <c r="EE87" s="1091" t="str">
        <f t="shared" si="81"/>
        <v/>
      </c>
      <c r="EF87" s="1090">
        <f t="shared" si="82"/>
        <v>0</v>
      </c>
      <c r="EG87" s="1091" t="str">
        <f t="shared" si="83"/>
        <v/>
      </c>
      <c r="EH87" s="1088">
        <f>SUMIFS(BP_SOTIEN,BP_THANG,EH$2,BP_KM,$E87)/1000</f>
        <v>0</v>
      </c>
      <c r="EI87" s="1091" t="str">
        <f t="shared" si="598"/>
        <v/>
      </c>
      <c r="EJ87" s="1091"/>
      <c r="EK87" s="1090">
        <f>IF(NOW()&gt;=DATE(YEAR(EH$2),MONTH(EH$2)+1,DAY(EH$2)),SUMIFS(TF_SOTIEN,TF_THANG,EH$2,TF_KM,$E87)/1000, EN87)</f>
        <v>0</v>
      </c>
      <c r="EL87" s="1091" t="str">
        <f t="shared" si="599"/>
        <v/>
      </c>
      <c r="EM87" s="1091"/>
      <c r="EN87" s="1090">
        <f>IF(NOW()&gt;=DATE(YEAR(EH$2),MONTH(EH$2)+1,DAY(EH$2)),SUMIFS(AC_SOTIEN,AC_THANG,EH$2,AC_KM,$E87),SUMIFS(TF_SOTIEN,TF_THANG,EH$2,TF_KM,$E87))/ 1000</f>
        <v>0</v>
      </c>
      <c r="EO87" s="1091" t="str">
        <f t="shared" si="600"/>
        <v/>
      </c>
      <c r="EP87" s="1091" t="str">
        <f t="shared" ref="EP87:EP88" si="784">IFERROR(EN87/EN$60,"")</f>
        <v/>
      </c>
      <c r="EQ87" s="1090">
        <f t="shared" si="87"/>
        <v>0</v>
      </c>
      <c r="ER87" s="1091" t="str">
        <f t="shared" si="88"/>
        <v/>
      </c>
      <c r="ES87" s="1090">
        <f t="shared" si="89"/>
        <v>0</v>
      </c>
      <c r="ET87" s="1091" t="str">
        <f t="shared" si="90"/>
        <v/>
      </c>
      <c r="EU87" s="1088">
        <f>SUMIFS(BP_SOTIEN,BP_THANG,EU$2,BP_KM,$E87)/1000</f>
        <v>0</v>
      </c>
      <c r="EV87" s="1091" t="str">
        <f t="shared" si="601"/>
        <v/>
      </c>
      <c r="EW87" s="1091"/>
      <c r="EX87" s="1090">
        <f>IF(NOW()&gt;=DATE(YEAR(EU$2),MONTH(EU$2)+1,DAY(EU$2)),SUMIFS(TF_SOTIEN,TF_THANG,EU$2,TF_KM,$E87)/1000, FA87)</f>
        <v>0</v>
      </c>
      <c r="EY87" s="1091" t="str">
        <f t="shared" si="602"/>
        <v/>
      </c>
      <c r="EZ87" s="1091"/>
      <c r="FA87" s="1090">
        <f>IF(NOW()&gt;=DATE(YEAR(EU$2),MONTH(EU$2)+1,DAY(EU$2)),SUMIFS(AC_SOTIEN,AC_THANG,EU$2,AC_KM,$E87),SUMIFS(TF_SOTIEN,TF_THANG,EU$2,TF_KM,$E87))/ 1000</f>
        <v>0</v>
      </c>
      <c r="FB87" s="1091" t="str">
        <f t="shared" si="603"/>
        <v/>
      </c>
      <c r="FC87" s="1091" t="str">
        <f t="shared" ref="FC87:FC88" si="785">IFERROR(FA87/FA$60,"")</f>
        <v/>
      </c>
      <c r="FD87" s="1090">
        <f t="shared" si="94"/>
        <v>0</v>
      </c>
      <c r="FE87" s="1091" t="str">
        <f t="shared" si="95"/>
        <v/>
      </c>
      <c r="FF87" s="1090">
        <f t="shared" si="96"/>
        <v>0</v>
      </c>
      <c r="FG87" s="1091" t="str">
        <f t="shared" si="97"/>
        <v/>
      </c>
      <c r="FH87" s="1088">
        <f t="shared" si="698"/>
        <v>0</v>
      </c>
      <c r="FI87" s="1091" t="str">
        <f t="shared" si="604"/>
        <v/>
      </c>
      <c r="FJ87" s="1091">
        <f t="shared" ref="FJ87:FJ88" si="786">IFERROR(FH87/FH$60,"")</f>
        <v>0</v>
      </c>
      <c r="FK87" s="1090">
        <f t="shared" si="243"/>
        <v>0</v>
      </c>
      <c r="FL87" s="1091" t="str">
        <f t="shared" si="605"/>
        <v/>
      </c>
      <c r="FM87" s="1091">
        <f t="shared" ref="FM87:FM88" si="787">IFERROR(FK87/FK$60,"")</f>
        <v>0</v>
      </c>
      <c r="FN87" s="1090">
        <f t="shared" si="246"/>
        <v>0</v>
      </c>
      <c r="FO87" s="1091" t="str">
        <f t="shared" si="606"/>
        <v/>
      </c>
      <c r="FP87" s="1091" t="str">
        <f t="shared" ref="FP87:FP88" si="788">IFERROR(FN87/FN$60,"")</f>
        <v/>
      </c>
      <c r="FQ87" s="1090">
        <f t="shared" si="104"/>
        <v>0</v>
      </c>
      <c r="FR87" s="1091" t="str">
        <f t="shared" si="105"/>
        <v/>
      </c>
      <c r="FS87" s="1090">
        <f t="shared" si="106"/>
        <v>0</v>
      </c>
      <c r="FT87" s="1091" t="str">
        <f t="shared" si="107"/>
        <v/>
      </c>
      <c r="FU87" s="1088">
        <f>SUMIFS(BP_SOTIEN,BP_THANG,FU$2,BP_KM,$E87)/1000</f>
        <v>0</v>
      </c>
      <c r="FV87" s="1091" t="str">
        <f t="shared" si="607"/>
        <v/>
      </c>
      <c r="FW87" s="1091"/>
      <c r="FX87" s="1090">
        <f>IF(NOW()&gt;=DATE(YEAR(FU$2),MONTH(FU$2)+1,DAY(FU$2)),SUMIFS(TF_SOTIEN,TF_THANG,FU$2,TF_KM,$E87)/1000, GA87)</f>
        <v>0</v>
      </c>
      <c r="FY87" s="1091" t="str">
        <f t="shared" si="608"/>
        <v/>
      </c>
      <c r="FZ87" s="1091"/>
      <c r="GA87" s="1090">
        <f>IF(NOW()&gt;=DATE(YEAR(FU$2),MONTH(FU$2)+1,DAY(FU$2)),SUMIFS(AC_SOTIEN,AC_THANG,FU$2,AC_KM,$E87),SUMIFS(TF_SOTIEN,TF_THANG,FU$2,TF_KM,$E87))/ 1000</f>
        <v>0</v>
      </c>
      <c r="GB87" s="1091" t="str">
        <f t="shared" si="609"/>
        <v/>
      </c>
      <c r="GC87" s="1091" t="str">
        <f t="shared" ref="GC87:GC88" si="789">IFERROR(GA87/GA$60,"")</f>
        <v/>
      </c>
      <c r="GD87" s="1090">
        <f t="shared" si="111"/>
        <v>0</v>
      </c>
      <c r="GE87" s="1091" t="str">
        <f t="shared" si="112"/>
        <v/>
      </c>
      <c r="GF87" s="1090">
        <f t="shared" si="113"/>
        <v>0</v>
      </c>
      <c r="GG87" s="1091" t="str">
        <f t="shared" si="114"/>
        <v/>
      </c>
      <c r="GH87" s="1088">
        <f>SUMIFS(BP_SOTIEN,BP_THANG,GH$2,BP_KM,$E87)/1000</f>
        <v>0</v>
      </c>
      <c r="GI87" s="1091" t="str">
        <f t="shared" si="610"/>
        <v/>
      </c>
      <c r="GJ87" s="1091"/>
      <c r="GK87" s="1090">
        <f>IF(NOW()&gt;=DATE(YEAR(GH$2),MONTH(GH$2)+1,DAY(GH$2)),SUMIFS(TF_SOTIEN,TF_THANG,GH$2,TF_KM,$E87)/1000, GN87)</f>
        <v>0</v>
      </c>
      <c r="GL87" s="1091" t="str">
        <f t="shared" si="611"/>
        <v/>
      </c>
      <c r="GM87" s="1091"/>
      <c r="GN87" s="1090">
        <f>IF(NOW()&gt;=DATE(YEAR(GH$2),MONTH(GH$2)+1,DAY(GH$2)),SUMIFS(AC_SOTIEN,AC_THANG,GH$2,AC_KM,$E87),SUMIFS(TF_SOTIEN,TF_THANG,GH$2,TF_KM,$E87))/ 1000</f>
        <v>0</v>
      </c>
      <c r="GO87" s="1091" t="str">
        <f t="shared" si="612"/>
        <v/>
      </c>
      <c r="GP87" s="1091" t="str">
        <f t="shared" ref="GP87:GP88" si="790">IFERROR(GN87/GN$60,"")</f>
        <v/>
      </c>
      <c r="GQ87" s="1090">
        <f t="shared" si="118"/>
        <v>0</v>
      </c>
      <c r="GR87" s="1091" t="str">
        <f t="shared" si="119"/>
        <v/>
      </c>
      <c r="GS87" s="1090">
        <f t="shared" si="120"/>
        <v>0</v>
      </c>
      <c r="GT87" s="1091" t="str">
        <f t="shared" si="121"/>
        <v/>
      </c>
      <c r="GU87" s="1088">
        <f>SUMIFS(BP_SOTIEN,BP_THANG,GU$2,BP_KM,$E87)/1000</f>
        <v>0</v>
      </c>
      <c r="GV87" s="1091" t="str">
        <f t="shared" si="613"/>
        <v/>
      </c>
      <c r="GW87" s="1091"/>
      <c r="GX87" s="1090">
        <f>IF(NOW()&gt;=DATE(YEAR(GU$2),MONTH(GU$2)+1,DAY(GU$2)),SUMIFS(TF_SOTIEN,TF_THANG,GU$2,TF_KM,$E87)/1000, HA87)</f>
        <v>0</v>
      </c>
      <c r="GY87" s="1091" t="str">
        <f t="shared" si="614"/>
        <v/>
      </c>
      <c r="GZ87" s="1091"/>
      <c r="HA87" s="1090">
        <f>IF(NOW()&gt;=DATE(YEAR(GU$2),MONTH(GU$2)+1,DAY(GU$2)),SUMIFS(AC_SOTIEN,AC_THANG,GU$2,AC_KM,$E87),SUMIFS(TF_SOTIEN,TF_THANG,GU$2,TF_KM,$E87))/ 1000</f>
        <v>0</v>
      </c>
      <c r="HB87" s="1091" t="str">
        <f t="shared" si="615"/>
        <v/>
      </c>
      <c r="HC87" s="1091" t="str">
        <f t="shared" ref="HC87:HC88" si="791">IFERROR(HA87/HA$60,"")</f>
        <v/>
      </c>
      <c r="HD87" s="1090">
        <f t="shared" si="125"/>
        <v>0</v>
      </c>
      <c r="HE87" s="1091" t="str">
        <f t="shared" si="126"/>
        <v/>
      </c>
      <c r="HF87" s="1090">
        <f t="shared" si="127"/>
        <v>0</v>
      </c>
      <c r="HG87" s="1091" t="str">
        <f t="shared" si="128"/>
        <v/>
      </c>
      <c r="HH87" s="1088">
        <f t="shared" si="699"/>
        <v>0</v>
      </c>
      <c r="HI87" s="1091" t="str">
        <f t="shared" si="616"/>
        <v/>
      </c>
      <c r="HJ87" s="1091">
        <f t="shared" ref="HJ87:HJ88" si="792">IFERROR(HH87/HH$60,"")</f>
        <v>0</v>
      </c>
      <c r="HK87" s="1090">
        <f t="shared" si="270"/>
        <v>0</v>
      </c>
      <c r="HL87" s="1091" t="str">
        <f t="shared" si="617"/>
        <v/>
      </c>
      <c r="HM87" s="1091">
        <f t="shared" ref="HM87:HM88" si="793">IFERROR(HK87/HK$60,"")</f>
        <v>0</v>
      </c>
      <c r="HN87" s="1090">
        <f t="shared" si="273"/>
        <v>0</v>
      </c>
      <c r="HO87" s="1091" t="str">
        <f t="shared" si="618"/>
        <v/>
      </c>
      <c r="HP87" s="1091" t="str">
        <f t="shared" ref="HP87:HP88" si="794">IFERROR(HN87/HN$60,"")</f>
        <v/>
      </c>
      <c r="HQ87" s="1090">
        <f t="shared" si="135"/>
        <v>0</v>
      </c>
      <c r="HR87" s="1091" t="str">
        <f t="shared" si="136"/>
        <v/>
      </c>
      <c r="HS87" s="1090">
        <f t="shared" si="137"/>
        <v>0</v>
      </c>
      <c r="HT87" s="1091" t="str">
        <f t="shared" si="138"/>
        <v/>
      </c>
      <c r="HU87" s="1088">
        <f t="shared" si="700"/>
        <v>0</v>
      </c>
      <c r="HV87" s="1091" t="str">
        <f t="shared" si="619"/>
        <v/>
      </c>
      <c r="HW87" s="1091">
        <f t="shared" ref="HW87:HW88" si="795">IFERROR(HU87/HU$60,"")</f>
        <v>0</v>
      </c>
      <c r="HX87" s="1090">
        <f t="shared" si="279"/>
        <v>0</v>
      </c>
      <c r="HY87" s="1091" t="str">
        <f t="shared" si="620"/>
        <v/>
      </c>
      <c r="HZ87" s="1091">
        <f t="shared" ref="HZ87:HZ88" si="796">IFERROR(HX87/HX$60,"")</f>
        <v>0</v>
      </c>
      <c r="IA87" s="1090">
        <f t="shared" si="282"/>
        <v>0</v>
      </c>
      <c r="IB87" s="1091" t="str">
        <f t="shared" si="621"/>
        <v/>
      </c>
      <c r="IC87" s="1091" t="str">
        <f t="shared" ref="IC87:IC88" si="797">IFERROR(IA87/IA$60,"")</f>
        <v/>
      </c>
      <c r="ID87" s="1090">
        <f t="shared" si="145"/>
        <v>0</v>
      </c>
      <c r="IE87" s="1091" t="str">
        <f t="shared" si="146"/>
        <v/>
      </c>
      <c r="IF87" s="1090">
        <f t="shared" si="147"/>
        <v>0</v>
      </c>
      <c r="IG87" s="1091" t="str">
        <f t="shared" si="148"/>
        <v/>
      </c>
      <c r="IH87" s="1088">
        <f t="shared" si="701"/>
        <v>0</v>
      </c>
      <c r="II87" s="1091" t="str">
        <f t="shared" si="622"/>
        <v/>
      </c>
      <c r="IJ87" s="1091">
        <f t="shared" ref="IJ87:IJ88" si="798">IFERROR(IH87/IH$60,"")</f>
        <v>0</v>
      </c>
      <c r="IK87" s="1090">
        <f t="shared" si="288"/>
        <v>0</v>
      </c>
      <c r="IL87" s="1091" t="str">
        <f t="shared" si="623"/>
        <v/>
      </c>
      <c r="IM87" s="1091">
        <f t="shared" ref="IM87:IM88" si="799">IFERROR(IK87/IK$60,"")</f>
        <v>0</v>
      </c>
      <c r="IN87" s="1090">
        <f t="shared" si="291"/>
        <v>0</v>
      </c>
      <c r="IO87" s="1091">
        <f t="shared" si="624"/>
        <v>0</v>
      </c>
      <c r="IP87" s="1091">
        <f t="shared" ref="IP87:IP88" si="800">IFERROR(IN87/IN$60,"")</f>
        <v>0</v>
      </c>
      <c r="IQ87" s="1090">
        <f t="shared" si="155"/>
        <v>0</v>
      </c>
      <c r="IR87" s="1091" t="str">
        <f t="shared" si="1"/>
        <v/>
      </c>
      <c r="IS87" s="1090">
        <f t="shared" si="156"/>
        <v>0</v>
      </c>
      <c r="IT87" s="1091" t="str">
        <f t="shared" si="2"/>
        <v/>
      </c>
    </row>
    <row r="88" hidden="1" outlineLevel="1">
      <c r="A88" s="737"/>
      <c r="B88" s="737"/>
      <c r="C88" s="737"/>
      <c r="D88" s="737" t="s">
        <v>2873</v>
      </c>
      <c r="E88" s="737" t="s">
        <v>382</v>
      </c>
      <c r="F88" s="1086">
        <v>642.0</v>
      </c>
      <c r="G88" s="1086">
        <v>2.0</v>
      </c>
      <c r="H88" s="1088">
        <f>SUMIFS(BP_SOTIEN,BP_THANG,H$2,BP_KM,$E88)/1000</f>
        <v>4165</v>
      </c>
      <c r="I88" s="1091" t="str">
        <f t="shared" si="566"/>
        <v/>
      </c>
      <c r="J88" s="1091"/>
      <c r="K88" s="1090">
        <f>IF(NOW()&gt;=DATE(YEAR(H$2),MONTH(H$2)+1,DAY(H$2)),SUMIFS(TF_SOTIEN,TF_THANG,H$2,TF_KM,$E88)/1000, N88)</f>
        <v>4165</v>
      </c>
      <c r="L88" s="1091" t="str">
        <f t="shared" si="567"/>
        <v/>
      </c>
      <c r="M88" s="1091"/>
      <c r="N88" s="1090">
        <f>IF(NOW()&gt;=DATE(YEAR(H$2),MONTH(H$2)+1,DAY(H$2)),SUMIFS(AC_SOTIEN,AC_THANG,H$2,AC_KM,$E88),SUMIFS(TF_SOTIEN,TF_THANG,H$2,TF_KM,$E88))/ 1000</f>
        <v>0</v>
      </c>
      <c r="O88" s="1091">
        <f t="shared" si="568"/>
        <v>0</v>
      </c>
      <c r="P88" s="1091">
        <f t="shared" si="768"/>
        <v>0</v>
      </c>
      <c r="Q88" s="1090">
        <f t="shared" si="8"/>
        <v>-4165</v>
      </c>
      <c r="R88" s="1091">
        <f t="shared" si="9"/>
        <v>-1</v>
      </c>
      <c r="S88" s="1090">
        <f t="shared" si="10"/>
        <v>-4165</v>
      </c>
      <c r="T88" s="1091">
        <f t="shared" si="11"/>
        <v>-1</v>
      </c>
      <c r="U88" s="1088">
        <f>SUMIFS(BP_SOTIEN,BP_THANG,U$2,BP_KM,$E88)/1000</f>
        <v>4165</v>
      </c>
      <c r="V88" s="1091" t="str">
        <f t="shared" si="569"/>
        <v/>
      </c>
      <c r="W88" s="1091"/>
      <c r="X88" s="1090">
        <f>IF(NOW()&gt;=DATE(YEAR(U$2),MONTH(U$2)+1,DAY(U$2)),SUMIFS(TF_SOTIEN,TF_THANG,U$2,TF_KM,$E88)/1000, AA88)</f>
        <v>0</v>
      </c>
      <c r="Y88" s="1091" t="str">
        <f t="shared" si="570"/>
        <v/>
      </c>
      <c r="Z88" s="1091"/>
      <c r="AA88" s="1090">
        <f>IF(NOW()&gt;=DATE(YEAR(U$2),MONTH(U$2)+1,DAY(U$2)),SUMIFS(AC_SOTIEN,AC_THANG,U$2,AC_KM,$E88),SUMIFS(TF_SOTIEN,TF_THANG,U$2,TF_KM,$E88))/ 1000</f>
        <v>310</v>
      </c>
      <c r="AB88" s="1091" t="str">
        <f t="shared" si="571"/>
        <v/>
      </c>
      <c r="AC88" s="1091">
        <f t="shared" si="769"/>
        <v>0.002151376037</v>
      </c>
      <c r="AD88" s="1090">
        <f t="shared" si="15"/>
        <v>-3855</v>
      </c>
      <c r="AE88" s="1091">
        <f t="shared" si="16"/>
        <v>-0.9255702281</v>
      </c>
      <c r="AF88" s="1090">
        <f t="shared" si="17"/>
        <v>310</v>
      </c>
      <c r="AG88" s="1091" t="str">
        <f t="shared" si="18"/>
        <v/>
      </c>
      <c r="AH88" s="1088">
        <f>SUMIFS(BP_SOTIEN,BP_THANG,AH$2,BP_KM,$E88)/1000</f>
        <v>4165</v>
      </c>
      <c r="AI88" s="1091" t="str">
        <f t="shared" si="572"/>
        <v/>
      </c>
      <c r="AJ88" s="1091"/>
      <c r="AK88" s="1090">
        <f>IF(NOW()&gt;=DATE(YEAR(AH$2),MONTH(AH$2)+1,DAY(AH$2)),SUMIFS(TF_SOTIEN,TF_THANG,AH$2,TF_KM,$E88)/1000, AN88)</f>
        <v>0</v>
      </c>
      <c r="AL88" s="1091" t="str">
        <f t="shared" si="573"/>
        <v/>
      </c>
      <c r="AM88" s="1091"/>
      <c r="AN88" s="1090">
        <f>IF(NOW()&gt;=DATE(YEAR(AH$2),MONTH(AH$2)+1,DAY(AH$2)),SUMIFS(AC_SOTIEN,AC_THANG,AH$2,AC_KM,$E88),SUMIFS(TF_SOTIEN,TF_THANG,AH$2,TF_KM,$E88))/ 1000</f>
        <v>8320.678</v>
      </c>
      <c r="AO88" s="1091" t="str">
        <f t="shared" si="574"/>
        <v/>
      </c>
      <c r="AP88" s="1091">
        <f t="shared" si="770"/>
        <v>0.04035055921</v>
      </c>
      <c r="AQ88" s="1090">
        <f t="shared" si="22"/>
        <v>4155.678</v>
      </c>
      <c r="AR88" s="1091">
        <f t="shared" si="23"/>
        <v>0.9977618247</v>
      </c>
      <c r="AS88" s="1090">
        <f t="shared" si="24"/>
        <v>8320.678</v>
      </c>
      <c r="AT88" s="1091" t="str">
        <f t="shared" si="25"/>
        <v/>
      </c>
      <c r="AU88" s="1088">
        <f t="shared" si="691"/>
        <v>12495</v>
      </c>
      <c r="AV88" s="1091" t="str">
        <f t="shared" si="575"/>
        <v/>
      </c>
      <c r="AW88" s="1091">
        <f t="shared" si="771"/>
        <v>0.01051252669</v>
      </c>
      <c r="AX88" s="1090">
        <f t="shared" si="692"/>
        <v>4165</v>
      </c>
      <c r="AY88" s="1091" t="str">
        <f t="shared" si="576"/>
        <v/>
      </c>
      <c r="AZ88" s="1091">
        <f t="shared" si="772"/>
        <v>0.005948597746</v>
      </c>
      <c r="BA88" s="1090">
        <f t="shared" si="693"/>
        <v>8630.678</v>
      </c>
      <c r="BB88" s="1091">
        <f t="shared" si="577"/>
        <v>0.02538434706</v>
      </c>
      <c r="BC88" s="1091">
        <f t="shared" si="773"/>
        <v>0.01863827666</v>
      </c>
      <c r="BD88" s="1090">
        <f t="shared" si="32"/>
        <v>-3864.322</v>
      </c>
      <c r="BE88" s="1091">
        <f t="shared" si="33"/>
        <v>-0.3092694678</v>
      </c>
      <c r="BF88" s="1090">
        <f t="shared" si="34"/>
        <v>4465.678</v>
      </c>
      <c r="BG88" s="1091">
        <f t="shared" si="35"/>
        <v>1.072191597</v>
      </c>
      <c r="BH88" s="1088">
        <f>SUMIFS(BP_SOTIEN,BP_THANG,BH$2,BP_KM,$E88)/1000</f>
        <v>4165</v>
      </c>
      <c r="BI88" s="1091" t="str">
        <f t="shared" si="578"/>
        <v/>
      </c>
      <c r="BJ88" s="1091"/>
      <c r="BK88" s="1090">
        <f>IF(NOW()&gt;=DATE(YEAR(BH$2),MONTH(BH$2)+1,DAY(BH$2)),SUMIFS(TF_SOTIEN,TF_THANG,BH$2,TF_KM,$E88)/1000, BN88)</f>
        <v>0</v>
      </c>
      <c r="BL88" s="1091" t="str">
        <f t="shared" si="579"/>
        <v/>
      </c>
      <c r="BM88" s="1091"/>
      <c r="BN88" s="1090">
        <f>IF(NOW()&gt;=DATE(YEAR(BH$2),MONTH(BH$2)+1,DAY(BH$2)),SUMIFS(AC_SOTIEN,AC_THANG,BH$2,AC_KM,$E88),SUMIFS(TF_SOTIEN,TF_THANG,BH$2,TF_KM,$E88))/ 1000</f>
        <v>160</v>
      </c>
      <c r="BO88" s="1091" t="str">
        <f t="shared" si="580"/>
        <v/>
      </c>
      <c r="BP88" s="1091">
        <f t="shared" si="774"/>
        <v>0.0007547596749</v>
      </c>
      <c r="BQ88" s="1090">
        <f t="shared" si="39"/>
        <v>-4005</v>
      </c>
      <c r="BR88" s="1091">
        <f t="shared" si="40"/>
        <v>-0.9615846339</v>
      </c>
      <c r="BS88" s="1090">
        <f t="shared" si="41"/>
        <v>160</v>
      </c>
      <c r="BT88" s="1091" t="str">
        <f t="shared" si="42"/>
        <v/>
      </c>
      <c r="BU88" s="1088">
        <f>SUMIFS(BP_SOTIEN,BP_THANG,BU$2,BP_KM,$E88)/1000</f>
        <v>0</v>
      </c>
      <c r="BV88" s="1091" t="str">
        <f t="shared" si="581"/>
        <v/>
      </c>
      <c r="BW88" s="1091"/>
      <c r="BX88" s="1090">
        <f>IF(NOW()&gt;=DATE(YEAR(BU$2),MONTH(BU$2)+1,DAY(BU$2)),SUMIFS(TF_SOTIEN,TF_THANG,BU$2,TF_KM,$E88)/1000, CA88)</f>
        <v>0</v>
      </c>
      <c r="BY88" s="1091" t="str">
        <f t="shared" si="582"/>
        <v/>
      </c>
      <c r="BZ88" s="1091"/>
      <c r="CA88" s="1090">
        <f>IF(NOW()&gt;=DATE(YEAR(BU$2),MONTH(BU$2)+1,DAY(BU$2)),SUMIFS(AC_SOTIEN,AC_THANG,BU$2,AC_KM,$E88),SUMIFS(TF_SOTIEN,TF_THANG,BU$2,TF_KM,$E88))/ 1000</f>
        <v>5541</v>
      </c>
      <c r="CB88" s="1091" t="str">
        <f t="shared" si="583"/>
        <v/>
      </c>
      <c r="CC88" s="1091">
        <f t="shared" si="775"/>
        <v>0.0221034901</v>
      </c>
      <c r="CD88" s="1090">
        <f t="shared" si="46"/>
        <v>5541</v>
      </c>
      <c r="CE88" s="1091" t="str">
        <f t="shared" si="47"/>
        <v/>
      </c>
      <c r="CF88" s="1090">
        <f t="shared" si="48"/>
        <v>5541</v>
      </c>
      <c r="CG88" s="1091" t="str">
        <f t="shared" si="49"/>
        <v/>
      </c>
      <c r="CH88" s="1088">
        <f>SUMIFS(BP_SOTIEN,BP_THANG,CH$2,BP_KM,$E88)/1000</f>
        <v>0</v>
      </c>
      <c r="CI88" s="1091" t="str">
        <f t="shared" si="584"/>
        <v/>
      </c>
      <c r="CJ88" s="1091"/>
      <c r="CK88" s="1090">
        <f>IF(NOW()&gt;=DATE(YEAR(CH$2),MONTH(CH$2)+1,DAY(CH$2)),SUMIFS(TF_SOTIEN,TF_THANG,CH$2,TF_KM,$E88)/1000, CN88)</f>
        <v>0</v>
      </c>
      <c r="CL88" s="1091" t="str">
        <f t="shared" si="585"/>
        <v/>
      </c>
      <c r="CM88" s="1091"/>
      <c r="CN88" s="1090">
        <f>IF(NOW()&gt;=DATE(YEAR(CH$2),MONTH(CH$2)+1,DAY(CH$2)),SUMIFS(AC_SOTIEN,AC_THANG,CH$2,AC_KM,$E88),SUMIFS(TF_SOTIEN,TF_THANG,CH$2,TF_KM,$E88))/ 1000</f>
        <v>0</v>
      </c>
      <c r="CO88" s="1091" t="str">
        <f t="shared" si="586"/>
        <v/>
      </c>
      <c r="CP88" s="1091" t="str">
        <f t="shared" si="776"/>
        <v/>
      </c>
      <c r="CQ88" s="1090">
        <f t="shared" si="53"/>
        <v>0</v>
      </c>
      <c r="CR88" s="1091" t="str">
        <f t="shared" si="54"/>
        <v/>
      </c>
      <c r="CS88" s="1090">
        <f t="shared" si="55"/>
        <v>0</v>
      </c>
      <c r="CT88" s="1091" t="str">
        <f t="shared" si="56"/>
        <v/>
      </c>
      <c r="CU88" s="1088">
        <f t="shared" si="694"/>
        <v>4165</v>
      </c>
      <c r="CV88" s="1091" t="str">
        <f t="shared" si="587"/>
        <v/>
      </c>
      <c r="CW88" s="1091">
        <f t="shared" si="777"/>
        <v>0.003537900127</v>
      </c>
      <c r="CX88" s="1090">
        <f t="shared" si="695"/>
        <v>0</v>
      </c>
      <c r="CY88" s="1091" t="str">
        <f t="shared" si="589"/>
        <v/>
      </c>
      <c r="CZ88" s="1091">
        <f t="shared" si="778"/>
        <v>0</v>
      </c>
      <c r="DA88" s="1090">
        <f t="shared" si="696"/>
        <v>5701</v>
      </c>
      <c r="DB88" s="1091" t="str">
        <f t="shared" si="591"/>
        <v/>
      </c>
      <c r="DC88" s="1091">
        <f t="shared" si="779"/>
        <v>0.01232189339</v>
      </c>
      <c r="DD88" s="1090">
        <f t="shared" si="63"/>
        <v>1536</v>
      </c>
      <c r="DE88" s="1091">
        <f t="shared" si="64"/>
        <v>0.368787515</v>
      </c>
      <c r="DF88" s="1090">
        <f t="shared" si="65"/>
        <v>5701</v>
      </c>
      <c r="DG88" s="1091" t="str">
        <f t="shared" si="66"/>
        <v/>
      </c>
      <c r="DH88" s="1088">
        <f t="shared" si="697"/>
        <v>16660</v>
      </c>
      <c r="DI88" s="1091" t="str">
        <f t="shared" si="592"/>
        <v/>
      </c>
      <c r="DJ88" s="1091">
        <f t="shared" si="780"/>
        <v>0.007041914183</v>
      </c>
      <c r="DK88" s="1090">
        <f t="shared" si="216"/>
        <v>4165</v>
      </c>
      <c r="DL88" s="1091" t="str">
        <f t="shared" si="593"/>
        <v/>
      </c>
      <c r="DM88" s="1091">
        <f t="shared" si="781"/>
        <v>0.002781186419</v>
      </c>
      <c r="DN88" s="1090">
        <f t="shared" si="219"/>
        <v>14331.678</v>
      </c>
      <c r="DO88" s="1091">
        <f t="shared" si="594"/>
        <v>0.04215199412</v>
      </c>
      <c r="DP88" s="1091">
        <f t="shared" si="782"/>
        <v>0.01548141422</v>
      </c>
      <c r="DQ88" s="1090">
        <f t="shared" si="73"/>
        <v>-2328.322</v>
      </c>
      <c r="DR88" s="1091">
        <f t="shared" si="74"/>
        <v>-0.1397552221</v>
      </c>
      <c r="DS88" s="1090">
        <f t="shared" si="75"/>
        <v>10166.678</v>
      </c>
      <c r="DT88" s="1091">
        <f t="shared" si="76"/>
        <v>2.440979112</v>
      </c>
      <c r="DU88" s="1088">
        <f>SUMIFS(BP_SOTIEN,BP_THANG,DU$2,BP_KM,$E88)/1000</f>
        <v>0</v>
      </c>
      <c r="DV88" s="1091" t="str">
        <f t="shared" si="595"/>
        <v/>
      </c>
      <c r="DW88" s="1091"/>
      <c r="DX88" s="1090">
        <f>IF(NOW()&gt;=DATE(YEAR(DU$2),MONTH(DU$2)+1,DAY(DU$2)),SUMIFS(TF_SOTIEN,TF_THANG,DU$2,TF_KM,$E88)/1000, EA88)</f>
        <v>0</v>
      </c>
      <c r="DY88" s="1091" t="str">
        <f t="shared" si="596"/>
        <v/>
      </c>
      <c r="DZ88" s="1091"/>
      <c r="EA88" s="1090">
        <f>IF(NOW()&gt;=DATE(YEAR(DU$2),MONTH(DU$2)+1,DAY(DU$2)),SUMIFS(AC_SOTIEN,AC_THANG,DU$2,AC_KM,$E88),SUMIFS(TF_SOTIEN,TF_THANG,DU$2,TF_KM,$E88))/ 1000</f>
        <v>0</v>
      </c>
      <c r="EB88" s="1091" t="str">
        <f t="shared" si="597"/>
        <v/>
      </c>
      <c r="EC88" s="1091" t="str">
        <f t="shared" si="783"/>
        <v/>
      </c>
      <c r="ED88" s="1090">
        <f t="shared" si="80"/>
        <v>0</v>
      </c>
      <c r="EE88" s="1091" t="str">
        <f t="shared" si="81"/>
        <v/>
      </c>
      <c r="EF88" s="1090">
        <f t="shared" si="82"/>
        <v>0</v>
      </c>
      <c r="EG88" s="1091" t="str">
        <f t="shared" si="83"/>
        <v/>
      </c>
      <c r="EH88" s="1088">
        <f>SUMIFS(BP_SOTIEN,BP_THANG,EH$2,BP_KM,$E88)/1000</f>
        <v>0</v>
      </c>
      <c r="EI88" s="1091" t="str">
        <f t="shared" si="598"/>
        <v/>
      </c>
      <c r="EJ88" s="1091"/>
      <c r="EK88" s="1090">
        <f>IF(NOW()&gt;=DATE(YEAR(EH$2),MONTH(EH$2)+1,DAY(EH$2)),SUMIFS(TF_SOTIEN,TF_THANG,EH$2,TF_KM,$E88)/1000, EN88)</f>
        <v>0</v>
      </c>
      <c r="EL88" s="1091" t="str">
        <f t="shared" si="599"/>
        <v/>
      </c>
      <c r="EM88" s="1091"/>
      <c r="EN88" s="1090">
        <f>IF(NOW()&gt;=DATE(YEAR(EH$2),MONTH(EH$2)+1,DAY(EH$2)),SUMIFS(AC_SOTIEN,AC_THANG,EH$2,AC_KM,$E88),SUMIFS(TF_SOTIEN,TF_THANG,EH$2,TF_KM,$E88))/ 1000</f>
        <v>0</v>
      </c>
      <c r="EO88" s="1091" t="str">
        <f t="shared" si="600"/>
        <v/>
      </c>
      <c r="EP88" s="1091" t="str">
        <f t="shared" si="784"/>
        <v/>
      </c>
      <c r="EQ88" s="1090">
        <f t="shared" si="87"/>
        <v>0</v>
      </c>
      <c r="ER88" s="1091" t="str">
        <f t="shared" si="88"/>
        <v/>
      </c>
      <c r="ES88" s="1090">
        <f t="shared" si="89"/>
        <v>0</v>
      </c>
      <c r="ET88" s="1091" t="str">
        <f t="shared" si="90"/>
        <v/>
      </c>
      <c r="EU88" s="1088">
        <f>SUMIFS(BP_SOTIEN,BP_THANG,EU$2,BP_KM,$E88)/1000</f>
        <v>0</v>
      </c>
      <c r="EV88" s="1091" t="str">
        <f t="shared" si="601"/>
        <v/>
      </c>
      <c r="EW88" s="1091"/>
      <c r="EX88" s="1090">
        <f>IF(NOW()&gt;=DATE(YEAR(EU$2),MONTH(EU$2)+1,DAY(EU$2)),SUMIFS(TF_SOTIEN,TF_THANG,EU$2,TF_KM,$E88)/1000, FA88)</f>
        <v>0</v>
      </c>
      <c r="EY88" s="1091" t="str">
        <f t="shared" si="602"/>
        <v/>
      </c>
      <c r="EZ88" s="1091"/>
      <c r="FA88" s="1090">
        <f>IF(NOW()&gt;=DATE(YEAR(EU$2),MONTH(EU$2)+1,DAY(EU$2)),SUMIFS(AC_SOTIEN,AC_THANG,EU$2,AC_KM,$E88),SUMIFS(TF_SOTIEN,TF_THANG,EU$2,TF_KM,$E88))/ 1000</f>
        <v>0</v>
      </c>
      <c r="FB88" s="1091" t="str">
        <f t="shared" si="603"/>
        <v/>
      </c>
      <c r="FC88" s="1091" t="str">
        <f t="shared" si="785"/>
        <v/>
      </c>
      <c r="FD88" s="1090">
        <f t="shared" si="94"/>
        <v>0</v>
      </c>
      <c r="FE88" s="1091" t="str">
        <f t="shared" si="95"/>
        <v/>
      </c>
      <c r="FF88" s="1090">
        <f t="shared" si="96"/>
        <v>0</v>
      </c>
      <c r="FG88" s="1091" t="str">
        <f t="shared" si="97"/>
        <v/>
      </c>
      <c r="FH88" s="1088">
        <f t="shared" si="698"/>
        <v>0</v>
      </c>
      <c r="FI88" s="1091" t="str">
        <f t="shared" si="604"/>
        <v/>
      </c>
      <c r="FJ88" s="1091">
        <f t="shared" si="786"/>
        <v>0</v>
      </c>
      <c r="FK88" s="1090">
        <f t="shared" si="243"/>
        <v>0</v>
      </c>
      <c r="FL88" s="1091" t="str">
        <f t="shared" si="605"/>
        <v/>
      </c>
      <c r="FM88" s="1091">
        <f t="shared" si="787"/>
        <v>0</v>
      </c>
      <c r="FN88" s="1090">
        <f t="shared" si="246"/>
        <v>0</v>
      </c>
      <c r="FO88" s="1091" t="str">
        <f t="shared" si="606"/>
        <v/>
      </c>
      <c r="FP88" s="1091" t="str">
        <f t="shared" si="788"/>
        <v/>
      </c>
      <c r="FQ88" s="1090">
        <f t="shared" si="104"/>
        <v>0</v>
      </c>
      <c r="FR88" s="1091" t="str">
        <f t="shared" si="105"/>
        <v/>
      </c>
      <c r="FS88" s="1090">
        <f t="shared" si="106"/>
        <v>0</v>
      </c>
      <c r="FT88" s="1091" t="str">
        <f t="shared" si="107"/>
        <v/>
      </c>
      <c r="FU88" s="1088">
        <f>SUMIFS(BP_SOTIEN,BP_THANG,FU$2,BP_KM,$E88)/1000</f>
        <v>0</v>
      </c>
      <c r="FV88" s="1091" t="str">
        <f t="shared" si="607"/>
        <v/>
      </c>
      <c r="FW88" s="1091"/>
      <c r="FX88" s="1090">
        <f>IF(NOW()&gt;=DATE(YEAR(FU$2),MONTH(FU$2)+1,DAY(FU$2)),SUMIFS(TF_SOTIEN,TF_THANG,FU$2,TF_KM,$E88)/1000, GA88)</f>
        <v>0</v>
      </c>
      <c r="FY88" s="1091" t="str">
        <f t="shared" si="608"/>
        <v/>
      </c>
      <c r="FZ88" s="1091"/>
      <c r="GA88" s="1090">
        <f>IF(NOW()&gt;=DATE(YEAR(FU$2),MONTH(FU$2)+1,DAY(FU$2)),SUMIFS(AC_SOTIEN,AC_THANG,FU$2,AC_KM,$E88),SUMIFS(TF_SOTIEN,TF_THANG,FU$2,TF_KM,$E88))/ 1000</f>
        <v>0</v>
      </c>
      <c r="GB88" s="1091" t="str">
        <f t="shared" si="609"/>
        <v/>
      </c>
      <c r="GC88" s="1091" t="str">
        <f t="shared" si="789"/>
        <v/>
      </c>
      <c r="GD88" s="1090">
        <f t="shared" si="111"/>
        <v>0</v>
      </c>
      <c r="GE88" s="1091" t="str">
        <f t="shared" si="112"/>
        <v/>
      </c>
      <c r="GF88" s="1090">
        <f t="shared" si="113"/>
        <v>0</v>
      </c>
      <c r="GG88" s="1091" t="str">
        <f t="shared" si="114"/>
        <v/>
      </c>
      <c r="GH88" s="1088">
        <f>SUMIFS(BP_SOTIEN,BP_THANG,GH$2,BP_KM,$E88)/1000</f>
        <v>0</v>
      </c>
      <c r="GI88" s="1091" t="str">
        <f t="shared" si="610"/>
        <v/>
      </c>
      <c r="GJ88" s="1091"/>
      <c r="GK88" s="1090">
        <f>IF(NOW()&gt;=DATE(YEAR(GH$2),MONTH(GH$2)+1,DAY(GH$2)),SUMIFS(TF_SOTIEN,TF_THANG,GH$2,TF_KM,$E88)/1000, GN88)</f>
        <v>0</v>
      </c>
      <c r="GL88" s="1091" t="str">
        <f t="shared" si="611"/>
        <v/>
      </c>
      <c r="GM88" s="1091"/>
      <c r="GN88" s="1090">
        <f>IF(NOW()&gt;=DATE(YEAR(GH$2),MONTH(GH$2)+1,DAY(GH$2)),SUMIFS(AC_SOTIEN,AC_THANG,GH$2,AC_KM,$E88),SUMIFS(TF_SOTIEN,TF_THANG,GH$2,TF_KM,$E88))/ 1000</f>
        <v>0</v>
      </c>
      <c r="GO88" s="1091" t="str">
        <f t="shared" si="612"/>
        <v/>
      </c>
      <c r="GP88" s="1091" t="str">
        <f t="shared" si="790"/>
        <v/>
      </c>
      <c r="GQ88" s="1090">
        <f t="shared" si="118"/>
        <v>0</v>
      </c>
      <c r="GR88" s="1091" t="str">
        <f t="shared" si="119"/>
        <v/>
      </c>
      <c r="GS88" s="1090">
        <f t="shared" si="120"/>
        <v>0</v>
      </c>
      <c r="GT88" s="1091" t="str">
        <f t="shared" si="121"/>
        <v/>
      </c>
      <c r="GU88" s="1088">
        <f>SUMIFS(BP_SOTIEN,BP_THANG,GU$2,BP_KM,$E88)/1000</f>
        <v>0</v>
      </c>
      <c r="GV88" s="1091" t="str">
        <f t="shared" si="613"/>
        <v/>
      </c>
      <c r="GW88" s="1091"/>
      <c r="GX88" s="1090">
        <f>IF(NOW()&gt;=DATE(YEAR(GU$2),MONTH(GU$2)+1,DAY(GU$2)),SUMIFS(TF_SOTIEN,TF_THANG,GU$2,TF_KM,$E88)/1000, HA88)</f>
        <v>0</v>
      </c>
      <c r="GY88" s="1091" t="str">
        <f t="shared" si="614"/>
        <v/>
      </c>
      <c r="GZ88" s="1091"/>
      <c r="HA88" s="1090">
        <f>IF(NOW()&gt;=DATE(YEAR(GU$2),MONTH(GU$2)+1,DAY(GU$2)),SUMIFS(AC_SOTIEN,AC_THANG,GU$2,AC_KM,$E88),SUMIFS(TF_SOTIEN,TF_THANG,GU$2,TF_KM,$E88))/ 1000</f>
        <v>0</v>
      </c>
      <c r="HB88" s="1091" t="str">
        <f t="shared" si="615"/>
        <v/>
      </c>
      <c r="HC88" s="1091" t="str">
        <f t="shared" si="791"/>
        <v/>
      </c>
      <c r="HD88" s="1090">
        <f t="shared" si="125"/>
        <v>0</v>
      </c>
      <c r="HE88" s="1091" t="str">
        <f t="shared" si="126"/>
        <v/>
      </c>
      <c r="HF88" s="1090">
        <f t="shared" si="127"/>
        <v>0</v>
      </c>
      <c r="HG88" s="1091" t="str">
        <f t="shared" si="128"/>
        <v/>
      </c>
      <c r="HH88" s="1088">
        <f t="shared" si="699"/>
        <v>0</v>
      </c>
      <c r="HI88" s="1091" t="str">
        <f t="shared" si="616"/>
        <v/>
      </c>
      <c r="HJ88" s="1091">
        <f t="shared" si="792"/>
        <v>0</v>
      </c>
      <c r="HK88" s="1090">
        <f t="shared" si="270"/>
        <v>0</v>
      </c>
      <c r="HL88" s="1091" t="str">
        <f t="shared" si="617"/>
        <v/>
      </c>
      <c r="HM88" s="1091">
        <f t="shared" si="793"/>
        <v>0</v>
      </c>
      <c r="HN88" s="1090">
        <f t="shared" si="273"/>
        <v>0</v>
      </c>
      <c r="HO88" s="1091" t="str">
        <f t="shared" si="618"/>
        <v/>
      </c>
      <c r="HP88" s="1091" t="str">
        <f t="shared" si="794"/>
        <v/>
      </c>
      <c r="HQ88" s="1090">
        <f t="shared" si="135"/>
        <v>0</v>
      </c>
      <c r="HR88" s="1091" t="str">
        <f t="shared" si="136"/>
        <v/>
      </c>
      <c r="HS88" s="1090">
        <f t="shared" si="137"/>
        <v>0</v>
      </c>
      <c r="HT88" s="1091" t="str">
        <f t="shared" si="138"/>
        <v/>
      </c>
      <c r="HU88" s="1088">
        <f t="shared" si="700"/>
        <v>0</v>
      </c>
      <c r="HV88" s="1091" t="str">
        <f t="shared" si="619"/>
        <v/>
      </c>
      <c r="HW88" s="1091">
        <f t="shared" si="795"/>
        <v>0</v>
      </c>
      <c r="HX88" s="1090">
        <f t="shared" si="279"/>
        <v>0</v>
      </c>
      <c r="HY88" s="1091" t="str">
        <f t="shared" si="620"/>
        <v/>
      </c>
      <c r="HZ88" s="1091">
        <f t="shared" si="796"/>
        <v>0</v>
      </c>
      <c r="IA88" s="1090">
        <f t="shared" si="282"/>
        <v>0</v>
      </c>
      <c r="IB88" s="1091" t="str">
        <f t="shared" si="621"/>
        <v/>
      </c>
      <c r="IC88" s="1091" t="str">
        <f t="shared" si="797"/>
        <v/>
      </c>
      <c r="ID88" s="1090">
        <f t="shared" si="145"/>
        <v>0</v>
      </c>
      <c r="IE88" s="1091" t="str">
        <f t="shared" si="146"/>
        <v/>
      </c>
      <c r="IF88" s="1090">
        <f t="shared" si="147"/>
        <v>0</v>
      </c>
      <c r="IG88" s="1091" t="str">
        <f t="shared" si="148"/>
        <v/>
      </c>
      <c r="IH88" s="1088">
        <f t="shared" si="701"/>
        <v>16660</v>
      </c>
      <c r="II88" s="1091" t="str">
        <f t="shared" si="622"/>
        <v/>
      </c>
      <c r="IJ88" s="1091">
        <f t="shared" si="798"/>
        <v>0.003535647647</v>
      </c>
      <c r="IK88" s="1090">
        <f t="shared" si="288"/>
        <v>4165</v>
      </c>
      <c r="IL88" s="1091" t="str">
        <f t="shared" si="623"/>
        <v/>
      </c>
      <c r="IM88" s="1091">
        <f t="shared" si="799"/>
        <v>0.001083581091</v>
      </c>
      <c r="IN88" s="1090">
        <f t="shared" si="291"/>
        <v>14331.678</v>
      </c>
      <c r="IO88" s="1091">
        <f t="shared" si="624"/>
        <v>0.04215199412</v>
      </c>
      <c r="IP88" s="1091">
        <f t="shared" si="800"/>
        <v>0.01548141422</v>
      </c>
      <c r="IQ88" s="1090">
        <f t="shared" si="155"/>
        <v>-2328.322</v>
      </c>
      <c r="IR88" s="1091">
        <f t="shared" si="1"/>
        <v>-0.1397552221</v>
      </c>
      <c r="IS88" s="1090">
        <f t="shared" si="156"/>
        <v>10166.678</v>
      </c>
      <c r="IT88" s="1091">
        <f t="shared" si="2"/>
        <v>2.440979112</v>
      </c>
    </row>
    <row r="89">
      <c r="A89" s="1149" t="s">
        <v>2874</v>
      </c>
      <c r="B89" s="1150"/>
      <c r="C89" s="1150"/>
      <c r="D89" s="1150"/>
      <c r="E89" s="1150"/>
      <c r="F89" s="1150"/>
      <c r="G89" s="1150"/>
      <c r="H89" s="1151">
        <f>H60+H42+H41</f>
        <v>451364</v>
      </c>
      <c r="I89" s="1152" t="str">
        <f t="shared" si="566"/>
        <v/>
      </c>
      <c r="J89" s="3"/>
      <c r="K89" s="1151">
        <f>K60+K42+K41</f>
        <v>451364</v>
      </c>
      <c r="L89" s="1152" t="str">
        <f t="shared" si="567"/>
        <v/>
      </c>
      <c r="M89" s="3"/>
      <c r="N89" s="1151">
        <f>N60+N42+N41</f>
        <v>829084.07</v>
      </c>
      <c r="O89" s="1152">
        <f t="shared" si="568"/>
        <v>2.438482559</v>
      </c>
      <c r="P89" s="3"/>
      <c r="Q89" s="1153">
        <f t="shared" si="8"/>
        <v>377720.07</v>
      </c>
      <c r="R89" s="1154">
        <f t="shared" si="9"/>
        <v>0.8368413741</v>
      </c>
      <c r="S89" s="1153">
        <f t="shared" si="10"/>
        <v>377720.07</v>
      </c>
      <c r="T89" s="1154">
        <f t="shared" si="11"/>
        <v>0.8368413741</v>
      </c>
      <c r="U89" s="1151">
        <f>U60+U42+U41</f>
        <v>448364</v>
      </c>
      <c r="V89" s="1152" t="str">
        <f t="shared" si="569"/>
        <v/>
      </c>
      <c r="W89" s="3"/>
      <c r="X89" s="1151">
        <f>X60+X42+X41</f>
        <v>240717.972</v>
      </c>
      <c r="Y89" s="1152" t="str">
        <f t="shared" si="570"/>
        <v/>
      </c>
      <c r="Z89" s="3"/>
      <c r="AA89" s="1151">
        <f>AA60+AA42+AA41</f>
        <v>311482.391</v>
      </c>
      <c r="AB89" s="1152" t="str">
        <f t="shared" si="571"/>
        <v/>
      </c>
      <c r="AC89" s="3"/>
      <c r="AD89" s="1153">
        <f t="shared" si="15"/>
        <v>-136881.609</v>
      </c>
      <c r="AE89" s="1154">
        <f t="shared" si="16"/>
        <v>-0.3052912567</v>
      </c>
      <c r="AF89" s="1153">
        <f t="shared" si="17"/>
        <v>70764.419</v>
      </c>
      <c r="AG89" s="1154">
        <f t="shared" si="18"/>
        <v>0.293972313</v>
      </c>
      <c r="AH89" s="1151">
        <f>AH60+AH42+AH41</f>
        <v>448364</v>
      </c>
      <c r="AI89" s="1152" t="str">
        <f t="shared" si="572"/>
        <v/>
      </c>
      <c r="AJ89" s="3"/>
      <c r="AK89" s="1151">
        <f>AK60+AK42+AK41</f>
        <v>380077.972</v>
      </c>
      <c r="AL89" s="1152" t="str">
        <f t="shared" si="573"/>
        <v/>
      </c>
      <c r="AM89" s="3"/>
      <c r="AN89" s="1151">
        <f>AN60+AN42+AN41</f>
        <v>815508.526</v>
      </c>
      <c r="AO89" s="1152" t="str">
        <f t="shared" si="574"/>
        <v/>
      </c>
      <c r="AP89" s="3"/>
      <c r="AQ89" s="1153">
        <f t="shared" si="22"/>
        <v>367144.526</v>
      </c>
      <c r="AR89" s="1154">
        <f t="shared" si="23"/>
        <v>0.8188537126</v>
      </c>
      <c r="AS89" s="1153">
        <f t="shared" si="24"/>
        <v>435430.554</v>
      </c>
      <c r="AT89" s="1154">
        <f t="shared" si="25"/>
        <v>1.145634807</v>
      </c>
      <c r="AU89" s="1151">
        <f t="shared" si="691"/>
        <v>1348092</v>
      </c>
      <c r="AV89" s="1152" t="str">
        <f t="shared" si="575"/>
        <v/>
      </c>
      <c r="AW89" s="3"/>
      <c r="AX89" s="1151">
        <f t="shared" si="692"/>
        <v>1072159.944</v>
      </c>
      <c r="AY89" s="1152" t="str">
        <f t="shared" si="576"/>
        <v/>
      </c>
      <c r="AZ89" s="3"/>
      <c r="BA89" s="1151">
        <f t="shared" si="693"/>
        <v>1956074.987</v>
      </c>
      <c r="BB89" s="1152">
        <f t="shared" si="577"/>
        <v>5.753161726</v>
      </c>
      <c r="BC89" s="3"/>
      <c r="BD89" s="1153">
        <f t="shared" si="32"/>
        <v>607982.987</v>
      </c>
      <c r="BE89" s="1154">
        <f t="shared" si="33"/>
        <v>0.4509951747</v>
      </c>
      <c r="BF89" s="1153">
        <f t="shared" si="34"/>
        <v>883915.043</v>
      </c>
      <c r="BG89" s="1154">
        <f t="shared" si="35"/>
        <v>0.8244246094</v>
      </c>
      <c r="BH89" s="1151">
        <f>BH60+BH42+BH41</f>
        <v>8105364</v>
      </c>
      <c r="BI89" s="1152" t="str">
        <f t="shared" si="578"/>
        <v/>
      </c>
      <c r="BJ89" s="3"/>
      <c r="BK89" s="1151">
        <f>BK60+BK42+BK41</f>
        <v>589920.506</v>
      </c>
      <c r="BL89" s="1152" t="str">
        <f t="shared" si="579"/>
        <v/>
      </c>
      <c r="BM89" s="3"/>
      <c r="BN89" s="1151">
        <f>BN60+BN42+BN41</f>
        <v>1397101.091</v>
      </c>
      <c r="BO89" s="1152" t="str">
        <f t="shared" si="580"/>
        <v/>
      </c>
      <c r="BP89" s="3"/>
      <c r="BQ89" s="1153">
        <f t="shared" si="39"/>
        <v>-6708262.909</v>
      </c>
      <c r="BR89" s="1154">
        <f t="shared" si="40"/>
        <v>-0.8276325294</v>
      </c>
      <c r="BS89" s="1153">
        <f t="shared" si="41"/>
        <v>807180.585</v>
      </c>
      <c r="BT89" s="1154">
        <f t="shared" si="42"/>
        <v>1.368287043</v>
      </c>
      <c r="BU89" s="1151">
        <f>BU60+BU42+BU41</f>
        <v>8101199</v>
      </c>
      <c r="BV89" s="1152" t="str">
        <f t="shared" si="581"/>
        <v/>
      </c>
      <c r="BW89" s="3"/>
      <c r="BX89" s="1151">
        <f>BX60+BX42+BX41</f>
        <v>1055850.412</v>
      </c>
      <c r="BY89" s="1152" t="str">
        <f t="shared" si="582"/>
        <v/>
      </c>
      <c r="BZ89" s="3"/>
      <c r="CA89" s="1151">
        <f>CA60+CA42+CA41</f>
        <v>788310.917</v>
      </c>
      <c r="CB89" s="1152" t="str">
        <f t="shared" si="583"/>
        <v/>
      </c>
      <c r="CC89" s="3"/>
      <c r="CD89" s="1153">
        <f t="shared" si="46"/>
        <v>-7312888.083</v>
      </c>
      <c r="CE89" s="1154">
        <f t="shared" si="47"/>
        <v>-0.9026920685</v>
      </c>
      <c r="CF89" s="1153">
        <f t="shared" si="48"/>
        <v>-267539.495</v>
      </c>
      <c r="CG89" s="1154">
        <f t="shared" si="49"/>
        <v>-0.2533876882</v>
      </c>
      <c r="CH89" s="1151">
        <f>CH60+CH42+CH41</f>
        <v>8101199</v>
      </c>
      <c r="CI89" s="1152" t="str">
        <f t="shared" si="584"/>
        <v/>
      </c>
      <c r="CJ89" s="3"/>
      <c r="CK89" s="1151">
        <f>CK60+CK42+CK41</f>
        <v>6734084</v>
      </c>
      <c r="CL89" s="1152" t="str">
        <f t="shared" si="585"/>
        <v/>
      </c>
      <c r="CM89" s="3"/>
      <c r="CN89" s="1151">
        <f>CN60+CN42+CN41</f>
        <v>0</v>
      </c>
      <c r="CO89" s="1152" t="str">
        <f t="shared" si="586"/>
        <v/>
      </c>
      <c r="CP89" s="3"/>
      <c r="CQ89" s="1153">
        <f t="shared" si="53"/>
        <v>-8101199</v>
      </c>
      <c r="CR89" s="1154">
        <f t="shared" si="54"/>
        <v>-1</v>
      </c>
      <c r="CS89" s="1153">
        <f t="shared" si="55"/>
        <v>-6734084</v>
      </c>
      <c r="CT89" s="1154">
        <f t="shared" si="56"/>
        <v>-1</v>
      </c>
      <c r="CU89" s="1151">
        <f t="shared" si="694"/>
        <v>24307762</v>
      </c>
      <c r="CV89" s="1152" t="str">
        <f t="shared" si="587"/>
        <v/>
      </c>
      <c r="CW89" s="3"/>
      <c r="CX89" s="1151">
        <f t="shared" si="695"/>
        <v>8379854.918</v>
      </c>
      <c r="CY89" s="1152" t="str">
        <f t="shared" si="589"/>
        <v/>
      </c>
      <c r="CZ89" s="3"/>
      <c r="DA89" s="1151">
        <f t="shared" si="696"/>
        <v>2185412.008</v>
      </c>
      <c r="DB89" s="1152" t="str">
        <f t="shared" si="591"/>
        <v/>
      </c>
      <c r="DC89" s="3"/>
      <c r="DD89" s="1153">
        <f t="shared" si="63"/>
        <v>-22122349.99</v>
      </c>
      <c r="DE89" s="1154">
        <f t="shared" si="64"/>
        <v>-0.9100940676</v>
      </c>
      <c r="DF89" s="1153">
        <f t="shared" si="65"/>
        <v>-6194442.91</v>
      </c>
      <c r="DG89" s="1154">
        <f t="shared" si="66"/>
        <v>-0.7392064625</v>
      </c>
      <c r="DH89" s="1151">
        <f t="shared" si="697"/>
        <v>25655854</v>
      </c>
      <c r="DI89" s="1152" t="str">
        <f t="shared" si="592"/>
        <v/>
      </c>
      <c r="DJ89" s="3"/>
      <c r="DK89" s="1151">
        <f t="shared" si="216"/>
        <v>9452014.862</v>
      </c>
      <c r="DL89" s="1152" t="str">
        <f t="shared" si="593"/>
        <v/>
      </c>
      <c r="DM89" s="3"/>
      <c r="DN89" s="1151">
        <f t="shared" si="219"/>
        <v>4141486.995</v>
      </c>
      <c r="DO89" s="1152">
        <f t="shared" si="594"/>
        <v>12.1808441</v>
      </c>
      <c r="DP89" s="3"/>
      <c r="DQ89" s="1153">
        <f t="shared" si="73"/>
        <v>-21514367.01</v>
      </c>
      <c r="DR89" s="1154">
        <f t="shared" si="74"/>
        <v>-0.83857536</v>
      </c>
      <c r="DS89" s="1153">
        <f t="shared" si="75"/>
        <v>-5310527.867</v>
      </c>
      <c r="DT89" s="1154">
        <f t="shared" si="76"/>
        <v>-0.5618408291</v>
      </c>
      <c r="DU89" s="1151">
        <f>DU60+DU42+DU41</f>
        <v>8101199</v>
      </c>
      <c r="DV89" s="1152" t="str">
        <f t="shared" si="595"/>
        <v/>
      </c>
      <c r="DW89" s="3"/>
      <c r="DX89" s="1151">
        <f>DX60+DX42+DX41</f>
        <v>8101199</v>
      </c>
      <c r="DY89" s="1152" t="str">
        <f t="shared" si="596"/>
        <v/>
      </c>
      <c r="DZ89" s="3"/>
      <c r="EA89" s="1151">
        <f>EA60+EA42+EA41</f>
        <v>0</v>
      </c>
      <c r="EB89" s="1152" t="str">
        <f t="shared" si="597"/>
        <v/>
      </c>
      <c r="EC89" s="3"/>
      <c r="ED89" s="1153">
        <f t="shared" si="80"/>
        <v>-8101199</v>
      </c>
      <c r="EE89" s="1154">
        <f t="shared" si="81"/>
        <v>-1</v>
      </c>
      <c r="EF89" s="1153">
        <f t="shared" si="82"/>
        <v>-8101199</v>
      </c>
      <c r="EG89" s="1154">
        <f t="shared" si="83"/>
        <v>-1</v>
      </c>
      <c r="EH89" s="1151">
        <f>EH60+EH42+EH41</f>
        <v>8101199</v>
      </c>
      <c r="EI89" s="1152" t="str">
        <f t="shared" si="598"/>
        <v/>
      </c>
      <c r="EJ89" s="3"/>
      <c r="EK89" s="1151">
        <f>EK60+EK42+EK41</f>
        <v>8101199</v>
      </c>
      <c r="EL89" s="1152" t="str">
        <f t="shared" si="599"/>
        <v/>
      </c>
      <c r="EM89" s="3"/>
      <c r="EN89" s="1151">
        <f>EN60+EN42+EN41</f>
        <v>0</v>
      </c>
      <c r="EO89" s="1152" t="str">
        <f t="shared" si="600"/>
        <v/>
      </c>
      <c r="EP89" s="3"/>
      <c r="EQ89" s="1153">
        <f t="shared" si="87"/>
        <v>-8101199</v>
      </c>
      <c r="ER89" s="1154">
        <f t="shared" si="88"/>
        <v>-1</v>
      </c>
      <c r="ES89" s="1153">
        <f t="shared" si="89"/>
        <v>-8101199</v>
      </c>
      <c r="ET89" s="1154">
        <f t="shared" si="90"/>
        <v>-1</v>
      </c>
      <c r="EU89" s="1151">
        <f>EU60+EU42+EU41</f>
        <v>8101199</v>
      </c>
      <c r="EV89" s="1152" t="str">
        <f t="shared" si="601"/>
        <v/>
      </c>
      <c r="EW89" s="3"/>
      <c r="EX89" s="1151">
        <f>EX60+EX42+EX41</f>
        <v>8101199</v>
      </c>
      <c r="EY89" s="1152" t="str">
        <f t="shared" si="602"/>
        <v/>
      </c>
      <c r="EZ89" s="3"/>
      <c r="FA89" s="1151">
        <f>FA60+FA42+FA41</f>
        <v>0</v>
      </c>
      <c r="FB89" s="1152" t="str">
        <f t="shared" si="603"/>
        <v/>
      </c>
      <c r="FC89" s="3"/>
      <c r="FD89" s="1153">
        <f t="shared" si="94"/>
        <v>-8101199</v>
      </c>
      <c r="FE89" s="1154">
        <f t="shared" si="95"/>
        <v>-1</v>
      </c>
      <c r="FF89" s="1153">
        <f t="shared" si="96"/>
        <v>-8101199</v>
      </c>
      <c r="FG89" s="1154">
        <f t="shared" si="97"/>
        <v>-1</v>
      </c>
      <c r="FH89" s="1151">
        <f t="shared" si="698"/>
        <v>24303597</v>
      </c>
      <c r="FI89" s="1152" t="str">
        <f t="shared" si="604"/>
        <v/>
      </c>
      <c r="FJ89" s="3"/>
      <c r="FK89" s="1151">
        <f t="shared" si="243"/>
        <v>24303597</v>
      </c>
      <c r="FL89" s="1152" t="str">
        <f t="shared" si="605"/>
        <v/>
      </c>
      <c r="FM89" s="3"/>
      <c r="FN89" s="1151">
        <f t="shared" si="246"/>
        <v>0</v>
      </c>
      <c r="FO89" s="1152" t="str">
        <f t="shared" si="606"/>
        <v/>
      </c>
      <c r="FP89" s="3"/>
      <c r="FQ89" s="1153">
        <f t="shared" si="104"/>
        <v>-24303597</v>
      </c>
      <c r="FR89" s="1154">
        <f t="shared" si="105"/>
        <v>-1</v>
      </c>
      <c r="FS89" s="1153">
        <f t="shared" si="106"/>
        <v>-24303597</v>
      </c>
      <c r="FT89" s="1154">
        <f t="shared" si="107"/>
        <v>-1</v>
      </c>
      <c r="FU89" s="1151">
        <f>FU60+FU42+FU41</f>
        <v>8101199</v>
      </c>
      <c r="FV89" s="1152" t="str">
        <f t="shared" si="607"/>
        <v/>
      </c>
      <c r="FW89" s="3"/>
      <c r="FX89" s="1151">
        <f>FX60+FX42+FX41</f>
        <v>8101199</v>
      </c>
      <c r="FY89" s="1152" t="str">
        <f t="shared" si="608"/>
        <v/>
      </c>
      <c r="FZ89" s="3"/>
      <c r="GA89" s="1151">
        <f>GA60+GA42+GA41</f>
        <v>0</v>
      </c>
      <c r="GB89" s="1152" t="str">
        <f t="shared" si="609"/>
        <v/>
      </c>
      <c r="GC89" s="3"/>
      <c r="GD89" s="1153">
        <f t="shared" si="111"/>
        <v>-8101199</v>
      </c>
      <c r="GE89" s="1154">
        <f t="shared" si="112"/>
        <v>-1</v>
      </c>
      <c r="GF89" s="1153">
        <f t="shared" si="113"/>
        <v>-8101199</v>
      </c>
      <c r="GG89" s="1154">
        <f t="shared" si="114"/>
        <v>-1</v>
      </c>
      <c r="GH89" s="1151">
        <f>GH60+GH42+GH41</f>
        <v>8101199</v>
      </c>
      <c r="GI89" s="1152" t="str">
        <f t="shared" si="610"/>
        <v/>
      </c>
      <c r="GJ89" s="3"/>
      <c r="GK89" s="1151">
        <f>GK60+GK42+GK41</f>
        <v>8101199</v>
      </c>
      <c r="GL89" s="1152" t="str">
        <f t="shared" si="611"/>
        <v/>
      </c>
      <c r="GM89" s="3"/>
      <c r="GN89" s="1151">
        <f>GN60+GN42+GN41</f>
        <v>0</v>
      </c>
      <c r="GO89" s="1152" t="str">
        <f t="shared" si="612"/>
        <v/>
      </c>
      <c r="GP89" s="3"/>
      <c r="GQ89" s="1153">
        <f t="shared" si="118"/>
        <v>-8101199</v>
      </c>
      <c r="GR89" s="1154">
        <f t="shared" si="119"/>
        <v>-1</v>
      </c>
      <c r="GS89" s="1153">
        <f t="shared" si="120"/>
        <v>-8101199</v>
      </c>
      <c r="GT89" s="1154">
        <f t="shared" si="121"/>
        <v>-1</v>
      </c>
      <c r="GU89" s="1151">
        <f>GU60+GU42+GU41</f>
        <v>8101199</v>
      </c>
      <c r="GV89" s="1152" t="str">
        <f t="shared" si="613"/>
        <v/>
      </c>
      <c r="GW89" s="3"/>
      <c r="GX89" s="1151">
        <f>GX60+GX42+GX41</f>
        <v>8101199</v>
      </c>
      <c r="GY89" s="1152" t="str">
        <f t="shared" si="614"/>
        <v/>
      </c>
      <c r="GZ89" s="3"/>
      <c r="HA89" s="1151">
        <f>HA60+HA42+HA41</f>
        <v>0</v>
      </c>
      <c r="HB89" s="1152" t="str">
        <f t="shared" si="615"/>
        <v/>
      </c>
      <c r="HC89" s="3"/>
      <c r="HD89" s="1153">
        <f t="shared" si="125"/>
        <v>-8101199</v>
      </c>
      <c r="HE89" s="1154">
        <f t="shared" si="126"/>
        <v>-1</v>
      </c>
      <c r="HF89" s="1153">
        <f t="shared" si="127"/>
        <v>-8101199</v>
      </c>
      <c r="HG89" s="1154">
        <f t="shared" si="128"/>
        <v>-1</v>
      </c>
      <c r="HH89" s="1151">
        <f t="shared" si="699"/>
        <v>24303597</v>
      </c>
      <c r="HI89" s="1152" t="str">
        <f t="shared" si="616"/>
        <v/>
      </c>
      <c r="HJ89" s="3"/>
      <c r="HK89" s="1151">
        <f t="shared" si="270"/>
        <v>24303597</v>
      </c>
      <c r="HL89" s="1152" t="str">
        <f t="shared" si="617"/>
        <v/>
      </c>
      <c r="HM89" s="3"/>
      <c r="HN89" s="1151">
        <f t="shared" si="273"/>
        <v>0</v>
      </c>
      <c r="HO89" s="1152" t="str">
        <f t="shared" si="618"/>
        <v/>
      </c>
      <c r="HP89" s="3"/>
      <c r="HQ89" s="1153">
        <f t="shared" si="135"/>
        <v>-24303597</v>
      </c>
      <c r="HR89" s="1154">
        <f t="shared" si="136"/>
        <v>-1</v>
      </c>
      <c r="HS89" s="1153">
        <f t="shared" si="137"/>
        <v>-24303597</v>
      </c>
      <c r="HT89" s="1154">
        <f t="shared" si="138"/>
        <v>-1</v>
      </c>
      <c r="HU89" s="1151">
        <f t="shared" si="700"/>
        <v>48607194</v>
      </c>
      <c r="HV89" s="1152" t="str">
        <f t="shared" si="619"/>
        <v/>
      </c>
      <c r="HW89" s="3"/>
      <c r="HX89" s="1151">
        <f t="shared" si="279"/>
        <v>48607194</v>
      </c>
      <c r="HY89" s="1152" t="str">
        <f t="shared" si="620"/>
        <v/>
      </c>
      <c r="HZ89" s="3"/>
      <c r="IA89" s="1151">
        <f t="shared" si="282"/>
        <v>0</v>
      </c>
      <c r="IB89" s="1152" t="str">
        <f t="shared" si="621"/>
        <v/>
      </c>
      <c r="IC89" s="3"/>
      <c r="ID89" s="1153">
        <f t="shared" si="145"/>
        <v>-48607194</v>
      </c>
      <c r="IE89" s="1154">
        <f t="shared" si="146"/>
        <v>-1</v>
      </c>
      <c r="IF89" s="1153">
        <f t="shared" si="147"/>
        <v>-48607194</v>
      </c>
      <c r="IG89" s="1154">
        <f t="shared" si="148"/>
        <v>-1</v>
      </c>
      <c r="IH89" s="1151">
        <f t="shared" si="701"/>
        <v>74263048</v>
      </c>
      <c r="II89" s="1152" t="str">
        <f t="shared" si="622"/>
        <v/>
      </c>
      <c r="IJ89" s="3"/>
      <c r="IK89" s="1151">
        <f t="shared" si="288"/>
        <v>58059208.86</v>
      </c>
      <c r="IL89" s="1152" t="str">
        <f t="shared" si="623"/>
        <v/>
      </c>
      <c r="IM89" s="3"/>
      <c r="IN89" s="1151">
        <f t="shared" si="291"/>
        <v>4141486.995</v>
      </c>
      <c r="IO89" s="1152">
        <f t="shared" si="624"/>
        <v>12.1808441</v>
      </c>
      <c r="IP89" s="3"/>
      <c r="IQ89" s="1153">
        <f t="shared" si="155"/>
        <v>-70121561.01</v>
      </c>
      <c r="IR89" s="1154">
        <f t="shared" si="1"/>
        <v>-0.9442321975</v>
      </c>
      <c r="IS89" s="1153">
        <f t="shared" si="156"/>
        <v>-53917721.87</v>
      </c>
      <c r="IT89" s="1154">
        <f t="shared" si="2"/>
        <v>-0.9286678707</v>
      </c>
    </row>
    <row r="90">
      <c r="A90" s="1155" t="s">
        <v>2875</v>
      </c>
      <c r="B90" s="1156"/>
      <c r="C90" s="1156"/>
      <c r="D90" s="1156"/>
      <c r="E90" s="1156"/>
      <c r="F90" s="1156"/>
      <c r="G90" s="1157">
        <v>1.0</v>
      </c>
      <c r="H90" s="1158">
        <f>H31+H40-H89</f>
        <v>-451364</v>
      </c>
      <c r="I90" s="1159" t="str">
        <f t="shared" si="566"/>
        <v/>
      </c>
      <c r="J90" s="3"/>
      <c r="K90" s="1160">
        <f>K31+K40-K89</f>
        <v>-451364</v>
      </c>
      <c r="L90" s="1159" t="str">
        <f t="shared" si="567"/>
        <v/>
      </c>
      <c r="M90" s="3"/>
      <c r="N90" s="1160">
        <f>N31+N40-N89</f>
        <v>-489084.07</v>
      </c>
      <c r="O90" s="1159">
        <f t="shared" si="568"/>
        <v>-1.438482559</v>
      </c>
      <c r="P90" s="3"/>
      <c r="Q90" s="1161">
        <f t="shared" si="8"/>
        <v>-37720.07</v>
      </c>
      <c r="R90" s="1162">
        <f t="shared" si="9"/>
        <v>0.08356907064</v>
      </c>
      <c r="S90" s="1161">
        <f t="shared" si="10"/>
        <v>-37720.07</v>
      </c>
      <c r="T90" s="1162">
        <f t="shared" si="11"/>
        <v>0.08356907064</v>
      </c>
      <c r="U90" s="1158">
        <f>U31+U40-U89</f>
        <v>-448364</v>
      </c>
      <c r="V90" s="1159" t="str">
        <f t="shared" si="569"/>
        <v/>
      </c>
      <c r="W90" s="3"/>
      <c r="X90" s="1160">
        <f>X31+X40-X89</f>
        <v>-240717.972</v>
      </c>
      <c r="Y90" s="1159" t="str">
        <f t="shared" si="570"/>
        <v/>
      </c>
      <c r="Z90" s="3"/>
      <c r="AA90" s="1160">
        <f>AA31+AA40-AA89</f>
        <v>-311482.391</v>
      </c>
      <c r="AB90" s="1159" t="str">
        <f t="shared" si="571"/>
        <v/>
      </c>
      <c r="AC90" s="3"/>
      <c r="AD90" s="1161">
        <f t="shared" si="15"/>
        <v>136881.609</v>
      </c>
      <c r="AE90" s="1162">
        <f t="shared" si="16"/>
        <v>-0.3052912567</v>
      </c>
      <c r="AF90" s="1161">
        <f t="shared" si="17"/>
        <v>-70764.419</v>
      </c>
      <c r="AG90" s="1162">
        <f t="shared" si="18"/>
        <v>0.293972313</v>
      </c>
      <c r="AH90" s="1158">
        <f>AH31+AH40-AH89</f>
        <v>-448364</v>
      </c>
      <c r="AI90" s="1159" t="str">
        <f t="shared" si="572"/>
        <v/>
      </c>
      <c r="AJ90" s="3"/>
      <c r="AK90" s="1160">
        <f>AK31+AK40-AK89</f>
        <v>-380077.972</v>
      </c>
      <c r="AL90" s="1159" t="str">
        <f t="shared" si="573"/>
        <v/>
      </c>
      <c r="AM90" s="3"/>
      <c r="AN90" s="1160">
        <f>AN31+AN40-AN89</f>
        <v>-815508.526</v>
      </c>
      <c r="AO90" s="1159" t="str">
        <f t="shared" si="574"/>
        <v/>
      </c>
      <c r="AP90" s="3"/>
      <c r="AQ90" s="1161">
        <f t="shared" si="22"/>
        <v>-367144.526</v>
      </c>
      <c r="AR90" s="1162">
        <f t="shared" si="23"/>
        <v>0.8188537126</v>
      </c>
      <c r="AS90" s="1161">
        <f t="shared" si="24"/>
        <v>-435430.554</v>
      </c>
      <c r="AT90" s="1162">
        <f t="shared" si="25"/>
        <v>1.145634807</v>
      </c>
      <c r="AU90" s="1158">
        <f t="shared" si="691"/>
        <v>-1348092</v>
      </c>
      <c r="AV90" s="1159" t="str">
        <f t="shared" si="575"/>
        <v/>
      </c>
      <c r="AW90" s="3"/>
      <c r="AX90" s="1160">
        <f t="shared" si="692"/>
        <v>-1072159.944</v>
      </c>
      <c r="AY90" s="1159" t="str">
        <f t="shared" si="576"/>
        <v/>
      </c>
      <c r="AZ90" s="3"/>
      <c r="BA90" s="1160">
        <f t="shared" si="693"/>
        <v>-1616074.987</v>
      </c>
      <c r="BB90" s="1159">
        <f t="shared" si="577"/>
        <v>-4.753161726</v>
      </c>
      <c r="BC90" s="3"/>
      <c r="BD90" s="1161">
        <f t="shared" si="32"/>
        <v>-267982.987</v>
      </c>
      <c r="BE90" s="1162">
        <f t="shared" si="33"/>
        <v>0.1987868684</v>
      </c>
      <c r="BF90" s="1161">
        <f t="shared" si="34"/>
        <v>-543915.043</v>
      </c>
      <c r="BG90" s="1162">
        <f t="shared" si="35"/>
        <v>0.5073077446</v>
      </c>
      <c r="BH90" s="1158">
        <f>BH31+BH40-BH89</f>
        <v>-8105364</v>
      </c>
      <c r="BI90" s="1159" t="str">
        <f t="shared" si="578"/>
        <v/>
      </c>
      <c r="BJ90" s="3"/>
      <c r="BK90" s="1160">
        <f>BK31+BK40-BK89</f>
        <v>-589920.506</v>
      </c>
      <c r="BL90" s="1159" t="str">
        <f t="shared" si="579"/>
        <v/>
      </c>
      <c r="BM90" s="3"/>
      <c r="BN90" s="1160">
        <f>BN31+BN40-BN89</f>
        <v>-1397101.091</v>
      </c>
      <c r="BO90" s="1159" t="str">
        <f t="shared" si="580"/>
        <v/>
      </c>
      <c r="BP90" s="3"/>
      <c r="BQ90" s="1161">
        <f t="shared" si="39"/>
        <v>6708262.909</v>
      </c>
      <c r="BR90" s="1162">
        <f t="shared" si="40"/>
        <v>-0.8276325294</v>
      </c>
      <c r="BS90" s="1161">
        <f t="shared" si="41"/>
        <v>-807180.585</v>
      </c>
      <c r="BT90" s="1162">
        <f t="shared" si="42"/>
        <v>1.368287043</v>
      </c>
      <c r="BU90" s="1158">
        <f>BU31+BU40-BU89</f>
        <v>-8101199</v>
      </c>
      <c r="BV90" s="1159" t="str">
        <f t="shared" si="581"/>
        <v/>
      </c>
      <c r="BW90" s="3"/>
      <c r="BX90" s="1160">
        <f>BX31+BX40-BX89</f>
        <v>-1055850.412</v>
      </c>
      <c r="BY90" s="1159" t="str">
        <f t="shared" si="582"/>
        <v/>
      </c>
      <c r="BZ90" s="3"/>
      <c r="CA90" s="1160">
        <f>CA31+CA40-CA89</f>
        <v>-788310.917</v>
      </c>
      <c r="CB90" s="1159" t="str">
        <f t="shared" si="583"/>
        <v/>
      </c>
      <c r="CC90" s="3"/>
      <c r="CD90" s="1161">
        <f t="shared" si="46"/>
        <v>7312888.083</v>
      </c>
      <c r="CE90" s="1162">
        <f t="shared" si="47"/>
        <v>-0.9026920685</v>
      </c>
      <c r="CF90" s="1161">
        <f t="shared" si="48"/>
        <v>267539.495</v>
      </c>
      <c r="CG90" s="1162">
        <f t="shared" si="49"/>
        <v>-0.2533876882</v>
      </c>
      <c r="CH90" s="1158">
        <f>CH31+CH40-CH89</f>
        <v>-8101199</v>
      </c>
      <c r="CI90" s="1159" t="str">
        <f t="shared" si="584"/>
        <v/>
      </c>
      <c r="CJ90" s="3"/>
      <c r="CK90" s="1160">
        <f>CK31+CK40-CK89</f>
        <v>-6734084</v>
      </c>
      <c r="CL90" s="1159" t="str">
        <f t="shared" si="585"/>
        <v/>
      </c>
      <c r="CM90" s="3"/>
      <c r="CN90" s="1160">
        <f>CN31+CN40-CN89</f>
        <v>0</v>
      </c>
      <c r="CO90" s="1159" t="str">
        <f t="shared" si="586"/>
        <v/>
      </c>
      <c r="CP90" s="3"/>
      <c r="CQ90" s="1161">
        <f t="shared" si="53"/>
        <v>8101199</v>
      </c>
      <c r="CR90" s="1162">
        <f t="shared" si="54"/>
        <v>-1</v>
      </c>
      <c r="CS90" s="1161">
        <f t="shared" si="55"/>
        <v>6734084</v>
      </c>
      <c r="CT90" s="1162">
        <f t="shared" si="56"/>
        <v>-1</v>
      </c>
      <c r="CU90" s="1158">
        <f t="shared" si="694"/>
        <v>-24307762</v>
      </c>
      <c r="CV90" s="1159" t="str">
        <f t="shared" si="587"/>
        <v/>
      </c>
      <c r="CW90" s="3"/>
      <c r="CX90" s="1160">
        <f t="shared" si="695"/>
        <v>-8379854.918</v>
      </c>
      <c r="CY90" s="1159" t="str">
        <f t="shared" si="589"/>
        <v/>
      </c>
      <c r="CZ90" s="3"/>
      <c r="DA90" s="1160">
        <f t="shared" si="696"/>
        <v>-2185412.008</v>
      </c>
      <c r="DB90" s="1159" t="str">
        <f t="shared" si="591"/>
        <v/>
      </c>
      <c r="DC90" s="3"/>
      <c r="DD90" s="1161">
        <f t="shared" si="63"/>
        <v>22122349.99</v>
      </c>
      <c r="DE90" s="1162">
        <f t="shared" si="64"/>
        <v>-0.9100940676</v>
      </c>
      <c r="DF90" s="1161">
        <f t="shared" si="65"/>
        <v>6194442.91</v>
      </c>
      <c r="DG90" s="1162">
        <f t="shared" si="66"/>
        <v>-0.7392064625</v>
      </c>
      <c r="DH90" s="1158">
        <f t="shared" si="697"/>
        <v>-25655854</v>
      </c>
      <c r="DI90" s="1159" t="str">
        <f t="shared" si="592"/>
        <v/>
      </c>
      <c r="DJ90" s="3"/>
      <c r="DK90" s="1160">
        <f t="shared" si="216"/>
        <v>-9452014.862</v>
      </c>
      <c r="DL90" s="1159" t="str">
        <f t="shared" si="593"/>
        <v/>
      </c>
      <c r="DM90" s="3"/>
      <c r="DN90" s="1160">
        <f t="shared" si="219"/>
        <v>-3801486.995</v>
      </c>
      <c r="DO90" s="1159">
        <f t="shared" si="594"/>
        <v>-11.1808441</v>
      </c>
      <c r="DP90" s="3"/>
      <c r="DQ90" s="1161">
        <f t="shared" si="73"/>
        <v>21854367.01</v>
      </c>
      <c r="DR90" s="1162">
        <f t="shared" si="74"/>
        <v>-0.8518276961</v>
      </c>
      <c r="DS90" s="1161">
        <f t="shared" si="75"/>
        <v>5650527.867</v>
      </c>
      <c r="DT90" s="1162">
        <f t="shared" si="76"/>
        <v>-0.5978119956</v>
      </c>
      <c r="DU90" s="1158">
        <f>DU31+DU40-DU89</f>
        <v>-8101199</v>
      </c>
      <c r="DV90" s="1159" t="str">
        <f t="shared" si="595"/>
        <v/>
      </c>
      <c r="DW90" s="3"/>
      <c r="DX90" s="1160">
        <f>DX31+DX40-DX89</f>
        <v>-8101199</v>
      </c>
      <c r="DY90" s="1159" t="str">
        <f t="shared" si="596"/>
        <v/>
      </c>
      <c r="DZ90" s="3"/>
      <c r="EA90" s="1160">
        <f>EA31+EA40-EA89</f>
        <v>0</v>
      </c>
      <c r="EB90" s="1159" t="str">
        <f t="shared" si="597"/>
        <v/>
      </c>
      <c r="EC90" s="3"/>
      <c r="ED90" s="1161">
        <f t="shared" si="80"/>
        <v>8101199</v>
      </c>
      <c r="EE90" s="1162">
        <f t="shared" si="81"/>
        <v>-1</v>
      </c>
      <c r="EF90" s="1161">
        <f t="shared" si="82"/>
        <v>8101199</v>
      </c>
      <c r="EG90" s="1162">
        <f t="shared" si="83"/>
        <v>-1</v>
      </c>
      <c r="EH90" s="1158">
        <f>EH31+EH40-EH89</f>
        <v>-8101199</v>
      </c>
      <c r="EI90" s="1159" t="str">
        <f t="shared" si="598"/>
        <v/>
      </c>
      <c r="EJ90" s="3"/>
      <c r="EK90" s="1160">
        <f>EK31+EK40-EK89</f>
        <v>-8101199</v>
      </c>
      <c r="EL90" s="1159" t="str">
        <f t="shared" si="599"/>
        <v/>
      </c>
      <c r="EM90" s="3"/>
      <c r="EN90" s="1160">
        <f>EN31+EN40-EN89</f>
        <v>0</v>
      </c>
      <c r="EO90" s="1159" t="str">
        <f t="shared" si="600"/>
        <v/>
      </c>
      <c r="EP90" s="3"/>
      <c r="EQ90" s="1161">
        <f t="shared" si="87"/>
        <v>8101199</v>
      </c>
      <c r="ER90" s="1162">
        <f t="shared" si="88"/>
        <v>-1</v>
      </c>
      <c r="ES90" s="1161">
        <f t="shared" si="89"/>
        <v>8101199</v>
      </c>
      <c r="ET90" s="1162">
        <f t="shared" si="90"/>
        <v>-1</v>
      </c>
      <c r="EU90" s="1158">
        <f>EU31+EU40-EU89</f>
        <v>-8101199</v>
      </c>
      <c r="EV90" s="1159" t="str">
        <f t="shared" si="601"/>
        <v/>
      </c>
      <c r="EW90" s="3"/>
      <c r="EX90" s="1160">
        <f>EX31+EX40-EX89</f>
        <v>-8101199</v>
      </c>
      <c r="EY90" s="1159" t="str">
        <f t="shared" si="602"/>
        <v/>
      </c>
      <c r="EZ90" s="3"/>
      <c r="FA90" s="1160">
        <f>FA31+FA40-FA89</f>
        <v>0</v>
      </c>
      <c r="FB90" s="1159" t="str">
        <f t="shared" si="603"/>
        <v/>
      </c>
      <c r="FC90" s="3"/>
      <c r="FD90" s="1161">
        <f t="shared" si="94"/>
        <v>8101199</v>
      </c>
      <c r="FE90" s="1162">
        <f t="shared" si="95"/>
        <v>-1</v>
      </c>
      <c r="FF90" s="1161">
        <f t="shared" si="96"/>
        <v>8101199</v>
      </c>
      <c r="FG90" s="1162">
        <f t="shared" si="97"/>
        <v>-1</v>
      </c>
      <c r="FH90" s="1158">
        <f t="shared" si="698"/>
        <v>-24303597</v>
      </c>
      <c r="FI90" s="1159" t="str">
        <f t="shared" si="604"/>
        <v/>
      </c>
      <c r="FJ90" s="3"/>
      <c r="FK90" s="1160">
        <f t="shared" si="243"/>
        <v>-24303597</v>
      </c>
      <c r="FL90" s="1159" t="str">
        <f t="shared" si="605"/>
        <v/>
      </c>
      <c r="FM90" s="3"/>
      <c r="FN90" s="1160">
        <f t="shared" si="246"/>
        <v>0</v>
      </c>
      <c r="FO90" s="1159" t="str">
        <f t="shared" si="606"/>
        <v/>
      </c>
      <c r="FP90" s="3"/>
      <c r="FQ90" s="1161">
        <f t="shared" si="104"/>
        <v>24303597</v>
      </c>
      <c r="FR90" s="1162">
        <f t="shared" si="105"/>
        <v>-1</v>
      </c>
      <c r="FS90" s="1161">
        <f t="shared" si="106"/>
        <v>24303597</v>
      </c>
      <c r="FT90" s="1162">
        <f t="shared" si="107"/>
        <v>-1</v>
      </c>
      <c r="FU90" s="1158">
        <f>FU31+FU40-FU89</f>
        <v>-8101199</v>
      </c>
      <c r="FV90" s="1159" t="str">
        <f t="shared" si="607"/>
        <v/>
      </c>
      <c r="FW90" s="3"/>
      <c r="FX90" s="1160">
        <f>FX31+FX40-FX89</f>
        <v>-8101199</v>
      </c>
      <c r="FY90" s="1159" t="str">
        <f t="shared" si="608"/>
        <v/>
      </c>
      <c r="FZ90" s="3"/>
      <c r="GA90" s="1160">
        <f>GA31+GA40-GA89</f>
        <v>0</v>
      </c>
      <c r="GB90" s="1159" t="str">
        <f t="shared" si="609"/>
        <v/>
      </c>
      <c r="GC90" s="3"/>
      <c r="GD90" s="1161">
        <f t="shared" si="111"/>
        <v>8101199</v>
      </c>
      <c r="GE90" s="1162">
        <f t="shared" si="112"/>
        <v>-1</v>
      </c>
      <c r="GF90" s="1161">
        <f t="shared" si="113"/>
        <v>8101199</v>
      </c>
      <c r="GG90" s="1162">
        <f t="shared" si="114"/>
        <v>-1</v>
      </c>
      <c r="GH90" s="1158">
        <f>GH31+GH40-GH89</f>
        <v>-8101199</v>
      </c>
      <c r="GI90" s="1159" t="str">
        <f t="shared" si="610"/>
        <v/>
      </c>
      <c r="GJ90" s="3"/>
      <c r="GK90" s="1160">
        <f>GK31+GK40-GK89</f>
        <v>-8101199</v>
      </c>
      <c r="GL90" s="1159" t="str">
        <f t="shared" si="611"/>
        <v/>
      </c>
      <c r="GM90" s="3"/>
      <c r="GN90" s="1160">
        <f>GN31+GN40-GN89</f>
        <v>0</v>
      </c>
      <c r="GO90" s="1159" t="str">
        <f t="shared" si="612"/>
        <v/>
      </c>
      <c r="GP90" s="3"/>
      <c r="GQ90" s="1161">
        <f t="shared" si="118"/>
        <v>8101199</v>
      </c>
      <c r="GR90" s="1162">
        <f t="shared" si="119"/>
        <v>-1</v>
      </c>
      <c r="GS90" s="1161">
        <f t="shared" si="120"/>
        <v>8101199</v>
      </c>
      <c r="GT90" s="1162">
        <f t="shared" si="121"/>
        <v>-1</v>
      </c>
      <c r="GU90" s="1158">
        <f>GU31+GU40-GU89</f>
        <v>-8101199</v>
      </c>
      <c r="GV90" s="1159" t="str">
        <f t="shared" si="613"/>
        <v/>
      </c>
      <c r="GW90" s="3"/>
      <c r="GX90" s="1160">
        <f>GX31+GX40-GX89</f>
        <v>-8101199</v>
      </c>
      <c r="GY90" s="1159" t="str">
        <f t="shared" si="614"/>
        <v/>
      </c>
      <c r="GZ90" s="3"/>
      <c r="HA90" s="1160">
        <f>HA31+HA40-HA89</f>
        <v>0</v>
      </c>
      <c r="HB90" s="1159" t="str">
        <f t="shared" si="615"/>
        <v/>
      </c>
      <c r="HC90" s="3"/>
      <c r="HD90" s="1161">
        <f t="shared" si="125"/>
        <v>8101199</v>
      </c>
      <c r="HE90" s="1162">
        <f t="shared" si="126"/>
        <v>-1</v>
      </c>
      <c r="HF90" s="1161">
        <f t="shared" si="127"/>
        <v>8101199</v>
      </c>
      <c r="HG90" s="1162">
        <f t="shared" si="128"/>
        <v>-1</v>
      </c>
      <c r="HH90" s="1158">
        <f t="shared" si="699"/>
        <v>-24303597</v>
      </c>
      <c r="HI90" s="1159" t="str">
        <f t="shared" si="616"/>
        <v/>
      </c>
      <c r="HJ90" s="3"/>
      <c r="HK90" s="1160">
        <f t="shared" si="270"/>
        <v>-24303597</v>
      </c>
      <c r="HL90" s="1159" t="str">
        <f t="shared" si="617"/>
        <v/>
      </c>
      <c r="HM90" s="3"/>
      <c r="HN90" s="1160">
        <f t="shared" si="273"/>
        <v>0</v>
      </c>
      <c r="HO90" s="1159" t="str">
        <f t="shared" si="618"/>
        <v/>
      </c>
      <c r="HP90" s="3"/>
      <c r="HQ90" s="1161">
        <f t="shared" si="135"/>
        <v>24303597</v>
      </c>
      <c r="HR90" s="1162">
        <f t="shared" si="136"/>
        <v>-1</v>
      </c>
      <c r="HS90" s="1161">
        <f t="shared" si="137"/>
        <v>24303597</v>
      </c>
      <c r="HT90" s="1162">
        <f t="shared" si="138"/>
        <v>-1</v>
      </c>
      <c r="HU90" s="1158">
        <f t="shared" si="700"/>
        <v>-48607194</v>
      </c>
      <c r="HV90" s="1159" t="str">
        <f t="shared" si="619"/>
        <v/>
      </c>
      <c r="HW90" s="3"/>
      <c r="HX90" s="1160">
        <f t="shared" si="279"/>
        <v>-48607194</v>
      </c>
      <c r="HY90" s="1159" t="str">
        <f t="shared" si="620"/>
        <v/>
      </c>
      <c r="HZ90" s="3"/>
      <c r="IA90" s="1160">
        <f t="shared" si="282"/>
        <v>0</v>
      </c>
      <c r="IB90" s="1159" t="str">
        <f t="shared" si="621"/>
        <v/>
      </c>
      <c r="IC90" s="3"/>
      <c r="ID90" s="1161">
        <f t="shared" si="145"/>
        <v>48607194</v>
      </c>
      <c r="IE90" s="1162">
        <f t="shared" si="146"/>
        <v>-1</v>
      </c>
      <c r="IF90" s="1161">
        <f t="shared" si="147"/>
        <v>48607194</v>
      </c>
      <c r="IG90" s="1162">
        <f t="shared" si="148"/>
        <v>-1</v>
      </c>
      <c r="IH90" s="1158">
        <f t="shared" si="701"/>
        <v>-74263048</v>
      </c>
      <c r="II90" s="1159" t="str">
        <f t="shared" si="622"/>
        <v/>
      </c>
      <c r="IJ90" s="3"/>
      <c r="IK90" s="1160">
        <f t="shared" si="288"/>
        <v>-58059208.86</v>
      </c>
      <c r="IL90" s="1159" t="str">
        <f t="shared" si="623"/>
        <v/>
      </c>
      <c r="IM90" s="3"/>
      <c r="IN90" s="1160">
        <f t="shared" si="291"/>
        <v>-3801486.995</v>
      </c>
      <c r="IO90" s="1159">
        <f t="shared" si="624"/>
        <v>-11.1808441</v>
      </c>
      <c r="IP90" s="3"/>
      <c r="IQ90" s="1161">
        <f t="shared" si="155"/>
        <v>70461561.01</v>
      </c>
      <c r="IR90" s="1162">
        <f t="shared" si="1"/>
        <v>-0.9488105175</v>
      </c>
      <c r="IS90" s="1161">
        <f t="shared" si="156"/>
        <v>54257721.87</v>
      </c>
      <c r="IT90" s="1162">
        <f t="shared" si="2"/>
        <v>-0.9345239615</v>
      </c>
    </row>
    <row r="91">
      <c r="A91" s="1135"/>
      <c r="B91" s="1135"/>
      <c r="C91" s="1135"/>
      <c r="D91" s="1135" t="s">
        <v>2876</v>
      </c>
      <c r="E91" s="1135" t="s">
        <v>2877</v>
      </c>
      <c r="F91" s="1136">
        <v>711.0</v>
      </c>
      <c r="G91" s="1136">
        <v>2.0</v>
      </c>
      <c r="H91" s="1137">
        <f>SUMIFS(BP_SOTIEN,BP_THANG,H$2,BP_KM,$E91)/1000</f>
        <v>0</v>
      </c>
      <c r="I91" s="1138" t="str">
        <f t="shared" si="566"/>
        <v/>
      </c>
      <c r="J91" s="3"/>
      <c r="K91" s="1139">
        <f>IF(NOW()&gt;=DATE(YEAR(H$2),MONTH(H$2)+1,DAY(H$2)),SUMIFS(TF_SOTIEN,TF_THANG,H$2,TF_KM,$E91)/1000, N91)</f>
        <v>0</v>
      </c>
      <c r="L91" s="1138" t="str">
        <f t="shared" si="567"/>
        <v/>
      </c>
      <c r="M91" s="3"/>
      <c r="N91" s="1139">
        <f>IF(NOW()&gt;=DATE(YEAR(H$2),MONTH(H$2)+1,DAY(H$2)),SUMIFS(AC_SOTIEN,AC_THANG,H$2,AC_KM,$E91),SUMIFS(TF_SOTIEN,TF_THANG,H$2,TF_KM,$E91))/ 1000</f>
        <v>0</v>
      </c>
      <c r="O91" s="1138">
        <f t="shared" si="568"/>
        <v>0</v>
      </c>
      <c r="P91" s="3"/>
      <c r="Q91" s="1163">
        <f t="shared" si="8"/>
        <v>0</v>
      </c>
      <c r="R91" s="1140" t="str">
        <f t="shared" si="9"/>
        <v/>
      </c>
      <c r="S91" s="1163">
        <f t="shared" si="10"/>
        <v>0</v>
      </c>
      <c r="T91" s="1140" t="str">
        <f t="shared" si="11"/>
        <v/>
      </c>
      <c r="U91" s="1137">
        <f>SUMIFS(BP_SOTIEN,BP_THANG,U$2,BP_KM,$E91)/1000</f>
        <v>0</v>
      </c>
      <c r="V91" s="1138" t="str">
        <f t="shared" si="569"/>
        <v/>
      </c>
      <c r="W91" s="3"/>
      <c r="X91" s="1139">
        <f>IF(NOW()&gt;=DATE(YEAR(U$2),MONTH(U$2)+1,DAY(U$2)),SUMIFS(TF_SOTIEN,TF_THANG,U$2,TF_KM,$E91)/1000, AA91)</f>
        <v>0</v>
      </c>
      <c r="Y91" s="1138" t="str">
        <f t="shared" si="570"/>
        <v/>
      </c>
      <c r="Z91" s="3"/>
      <c r="AA91" s="1139">
        <f>IF(NOW()&gt;=DATE(YEAR(U$2),MONTH(U$2)+1,DAY(U$2)),SUMIFS(AC_SOTIEN,AC_THANG,U$2,AC_KM,$E91),SUMIFS(TF_SOTIEN,TF_THANG,U$2,TF_KM,$E91))/ 1000</f>
        <v>0</v>
      </c>
      <c r="AB91" s="1138" t="str">
        <f t="shared" si="571"/>
        <v/>
      </c>
      <c r="AC91" s="3"/>
      <c r="AD91" s="1163">
        <f t="shared" si="15"/>
        <v>0</v>
      </c>
      <c r="AE91" s="1140" t="str">
        <f t="shared" si="16"/>
        <v/>
      </c>
      <c r="AF91" s="1163">
        <f t="shared" si="17"/>
        <v>0</v>
      </c>
      <c r="AG91" s="1140" t="str">
        <f t="shared" si="18"/>
        <v/>
      </c>
      <c r="AH91" s="1137">
        <f>SUMIFS(BP_SOTIEN,BP_THANG,AH$2,BP_KM,$E91)/1000</f>
        <v>0</v>
      </c>
      <c r="AI91" s="1138" t="str">
        <f t="shared" si="572"/>
        <v/>
      </c>
      <c r="AJ91" s="3"/>
      <c r="AK91" s="1139">
        <f>IF(NOW()&gt;=DATE(YEAR(AH$2),MONTH(AH$2)+1,DAY(AH$2)),SUMIFS(TF_SOTIEN,TF_THANG,AH$2,TF_KM,$E91)/1000, AN91)</f>
        <v>0</v>
      </c>
      <c r="AL91" s="1138" t="str">
        <f t="shared" si="573"/>
        <v/>
      </c>
      <c r="AM91" s="3"/>
      <c r="AN91" s="1139">
        <f>IF(NOW()&gt;=DATE(YEAR(AH$2),MONTH(AH$2)+1,DAY(AH$2)),SUMIFS(AC_SOTIEN,AC_THANG,AH$2,AC_KM,$E91),SUMIFS(TF_SOTIEN,TF_THANG,AH$2,TF_KM,$E91))/ 1000</f>
        <v>0</v>
      </c>
      <c r="AO91" s="1138" t="str">
        <f t="shared" si="574"/>
        <v/>
      </c>
      <c r="AP91" s="3"/>
      <c r="AQ91" s="1163">
        <f t="shared" si="22"/>
        <v>0</v>
      </c>
      <c r="AR91" s="1140" t="str">
        <f t="shared" si="23"/>
        <v/>
      </c>
      <c r="AS91" s="1163">
        <f t="shared" si="24"/>
        <v>0</v>
      </c>
      <c r="AT91" s="1140" t="str">
        <f t="shared" si="25"/>
        <v/>
      </c>
      <c r="AU91" s="1137">
        <f t="shared" si="691"/>
        <v>0</v>
      </c>
      <c r="AV91" s="1138" t="str">
        <f t="shared" si="575"/>
        <v/>
      </c>
      <c r="AW91" s="3"/>
      <c r="AX91" s="1139">
        <f t="shared" si="692"/>
        <v>0</v>
      </c>
      <c r="AY91" s="1138" t="str">
        <f t="shared" si="576"/>
        <v/>
      </c>
      <c r="AZ91" s="3"/>
      <c r="BA91" s="1139">
        <f t="shared" si="693"/>
        <v>0</v>
      </c>
      <c r="BB91" s="1138">
        <f t="shared" si="577"/>
        <v>0</v>
      </c>
      <c r="BC91" s="3"/>
      <c r="BD91" s="1163">
        <f t="shared" si="32"/>
        <v>0</v>
      </c>
      <c r="BE91" s="1140" t="str">
        <f t="shared" si="33"/>
        <v/>
      </c>
      <c r="BF91" s="1163">
        <f t="shared" si="34"/>
        <v>0</v>
      </c>
      <c r="BG91" s="1140" t="str">
        <f t="shared" si="35"/>
        <v/>
      </c>
      <c r="BH91" s="1137">
        <f>SUMIFS(BP_SOTIEN,BP_THANG,BH$2,BP_KM,$E91)/1000</f>
        <v>0</v>
      </c>
      <c r="BI91" s="1138" t="str">
        <f t="shared" si="578"/>
        <v/>
      </c>
      <c r="BJ91" s="3"/>
      <c r="BK91" s="1139">
        <f>IF(NOW()&gt;=DATE(YEAR(BH$2),MONTH(BH$2)+1,DAY(BH$2)),SUMIFS(TF_SOTIEN,TF_THANG,BH$2,TF_KM,$E91)/1000, BN91)</f>
        <v>0</v>
      </c>
      <c r="BL91" s="1138" t="str">
        <f t="shared" si="579"/>
        <v/>
      </c>
      <c r="BM91" s="3"/>
      <c r="BN91" s="1139">
        <f>IF(NOW()&gt;=DATE(YEAR(BH$2),MONTH(BH$2)+1,DAY(BH$2)),SUMIFS(AC_SOTIEN,AC_THANG,BH$2,AC_KM,$E91),SUMIFS(TF_SOTIEN,TF_THANG,BH$2,TF_KM,$E91))/ 1000</f>
        <v>0</v>
      </c>
      <c r="BO91" s="1138" t="str">
        <f t="shared" si="580"/>
        <v/>
      </c>
      <c r="BP91" s="3"/>
      <c r="BQ91" s="1163">
        <f t="shared" si="39"/>
        <v>0</v>
      </c>
      <c r="BR91" s="1140" t="str">
        <f t="shared" si="40"/>
        <v/>
      </c>
      <c r="BS91" s="1163">
        <f t="shared" si="41"/>
        <v>0</v>
      </c>
      <c r="BT91" s="1140" t="str">
        <f t="shared" si="42"/>
        <v/>
      </c>
      <c r="BU91" s="1137">
        <f>SUMIFS(BP_SOTIEN,BP_THANG,BU$2,BP_KM,$E91)/1000</f>
        <v>0</v>
      </c>
      <c r="BV91" s="1138" t="str">
        <f t="shared" si="581"/>
        <v/>
      </c>
      <c r="BW91" s="3"/>
      <c r="BX91" s="1139">
        <f>IF(NOW()&gt;=DATE(YEAR(BU$2),MONTH(BU$2)+1,DAY(BU$2)),SUMIFS(TF_SOTIEN,TF_THANG,BU$2,TF_KM,$E91)/1000, CA91)</f>
        <v>0</v>
      </c>
      <c r="BY91" s="1138" t="str">
        <f t="shared" si="582"/>
        <v/>
      </c>
      <c r="BZ91" s="3"/>
      <c r="CA91" s="1139">
        <f>IF(NOW()&gt;=DATE(YEAR(BU$2),MONTH(BU$2)+1,DAY(BU$2)),SUMIFS(AC_SOTIEN,AC_THANG,BU$2,AC_KM,$E91),SUMIFS(TF_SOTIEN,TF_THANG,BU$2,TF_KM,$E91))/ 1000</f>
        <v>0</v>
      </c>
      <c r="CB91" s="1138" t="str">
        <f t="shared" si="583"/>
        <v/>
      </c>
      <c r="CC91" s="3"/>
      <c r="CD91" s="1163">
        <f t="shared" si="46"/>
        <v>0</v>
      </c>
      <c r="CE91" s="1140" t="str">
        <f t="shared" si="47"/>
        <v/>
      </c>
      <c r="CF91" s="1163">
        <f t="shared" si="48"/>
        <v>0</v>
      </c>
      <c r="CG91" s="1140" t="str">
        <f t="shared" si="49"/>
        <v/>
      </c>
      <c r="CH91" s="1137">
        <f>SUMIFS(BP_SOTIEN,BP_THANG,CH$2,BP_KM,$E91)/1000</f>
        <v>0</v>
      </c>
      <c r="CI91" s="1138" t="str">
        <f t="shared" si="584"/>
        <v/>
      </c>
      <c r="CJ91" s="3"/>
      <c r="CK91" s="1139">
        <f>IF(NOW()&gt;=DATE(YEAR(CH$2),MONTH(CH$2)+1,DAY(CH$2)),SUMIFS(TF_SOTIEN,TF_THANG,CH$2,TF_KM,$E91)/1000, CN91)</f>
        <v>0</v>
      </c>
      <c r="CL91" s="1138" t="str">
        <f t="shared" si="585"/>
        <v/>
      </c>
      <c r="CM91" s="3"/>
      <c r="CN91" s="1139">
        <f>IF(NOW()&gt;=DATE(YEAR(CH$2),MONTH(CH$2)+1,DAY(CH$2)),SUMIFS(AC_SOTIEN,AC_THANG,CH$2,AC_KM,$E91),SUMIFS(TF_SOTIEN,TF_THANG,CH$2,TF_KM,$E91))/ 1000</f>
        <v>0</v>
      </c>
      <c r="CO91" s="1138" t="str">
        <f t="shared" si="586"/>
        <v/>
      </c>
      <c r="CP91" s="3"/>
      <c r="CQ91" s="1163">
        <f t="shared" si="53"/>
        <v>0</v>
      </c>
      <c r="CR91" s="1140" t="str">
        <f t="shared" si="54"/>
        <v/>
      </c>
      <c r="CS91" s="1163">
        <f t="shared" si="55"/>
        <v>0</v>
      </c>
      <c r="CT91" s="1140" t="str">
        <f t="shared" si="56"/>
        <v/>
      </c>
      <c r="CU91" s="1137">
        <f t="shared" si="694"/>
        <v>0</v>
      </c>
      <c r="CV91" s="1138" t="str">
        <f t="shared" si="587"/>
        <v/>
      </c>
      <c r="CW91" s="3"/>
      <c r="CX91" s="1139">
        <f t="shared" si="695"/>
        <v>0</v>
      </c>
      <c r="CY91" s="1138" t="str">
        <f t="shared" si="589"/>
        <v/>
      </c>
      <c r="CZ91" s="3"/>
      <c r="DA91" s="1139">
        <f t="shared" si="696"/>
        <v>0</v>
      </c>
      <c r="DB91" s="1138" t="str">
        <f t="shared" si="591"/>
        <v/>
      </c>
      <c r="DC91" s="3"/>
      <c r="DD91" s="1163">
        <f t="shared" si="63"/>
        <v>0</v>
      </c>
      <c r="DE91" s="1140" t="str">
        <f t="shared" si="64"/>
        <v/>
      </c>
      <c r="DF91" s="1163">
        <f t="shared" si="65"/>
        <v>0</v>
      </c>
      <c r="DG91" s="1140" t="str">
        <f t="shared" si="66"/>
        <v/>
      </c>
      <c r="DH91" s="1137">
        <f t="shared" si="697"/>
        <v>0</v>
      </c>
      <c r="DI91" s="1138" t="str">
        <f t="shared" si="592"/>
        <v/>
      </c>
      <c r="DJ91" s="3"/>
      <c r="DK91" s="1139">
        <f t="shared" si="216"/>
        <v>0</v>
      </c>
      <c r="DL91" s="1138" t="str">
        <f t="shared" si="593"/>
        <v/>
      </c>
      <c r="DM91" s="3"/>
      <c r="DN91" s="1139">
        <f t="shared" si="219"/>
        <v>0</v>
      </c>
      <c r="DO91" s="1138">
        <f t="shared" si="594"/>
        <v>0</v>
      </c>
      <c r="DP91" s="3"/>
      <c r="DQ91" s="1163">
        <f t="shared" si="73"/>
        <v>0</v>
      </c>
      <c r="DR91" s="1140" t="str">
        <f t="shared" si="74"/>
        <v/>
      </c>
      <c r="DS91" s="1163">
        <f t="shared" si="75"/>
        <v>0</v>
      </c>
      <c r="DT91" s="1140" t="str">
        <f t="shared" si="76"/>
        <v/>
      </c>
      <c r="DU91" s="1137">
        <f>SUMIFS(BP_SOTIEN,BP_THANG,DU$2,BP_KM,$E91)/1000</f>
        <v>0</v>
      </c>
      <c r="DV91" s="1138" t="str">
        <f t="shared" si="595"/>
        <v/>
      </c>
      <c r="DW91" s="3"/>
      <c r="DX91" s="1139">
        <f>IF(NOW()&gt;=DATE(YEAR(DU$2),MONTH(DU$2)+1,DAY(DU$2)),SUMIFS(TF_SOTIEN,TF_THANG,DU$2,TF_KM,$E91)/1000, EA91)</f>
        <v>0</v>
      </c>
      <c r="DY91" s="1138" t="str">
        <f t="shared" si="596"/>
        <v/>
      </c>
      <c r="DZ91" s="3"/>
      <c r="EA91" s="1139">
        <f>IF(NOW()&gt;=DATE(YEAR(DU$2),MONTH(DU$2)+1,DAY(DU$2)),SUMIFS(AC_SOTIEN,AC_THANG,DU$2,AC_KM,$E91),SUMIFS(TF_SOTIEN,TF_THANG,DU$2,TF_KM,$E91))/ 1000</f>
        <v>0</v>
      </c>
      <c r="EB91" s="1138" t="str">
        <f t="shared" si="597"/>
        <v/>
      </c>
      <c r="EC91" s="3"/>
      <c r="ED91" s="1163">
        <f t="shared" si="80"/>
        <v>0</v>
      </c>
      <c r="EE91" s="1140" t="str">
        <f t="shared" si="81"/>
        <v/>
      </c>
      <c r="EF91" s="1163">
        <f t="shared" si="82"/>
        <v>0</v>
      </c>
      <c r="EG91" s="1140" t="str">
        <f t="shared" si="83"/>
        <v/>
      </c>
      <c r="EH91" s="1137">
        <f>SUMIFS(BP_SOTIEN,BP_THANG,EH$2,BP_KM,$E91)/1000</f>
        <v>0</v>
      </c>
      <c r="EI91" s="1138" t="str">
        <f t="shared" si="598"/>
        <v/>
      </c>
      <c r="EJ91" s="3"/>
      <c r="EK91" s="1139">
        <f>IF(NOW()&gt;=DATE(YEAR(EH$2),MONTH(EH$2)+1,DAY(EH$2)),SUMIFS(TF_SOTIEN,TF_THANG,EH$2,TF_KM,$E91)/1000, EN91)</f>
        <v>0</v>
      </c>
      <c r="EL91" s="1138" t="str">
        <f t="shared" si="599"/>
        <v/>
      </c>
      <c r="EM91" s="3"/>
      <c r="EN91" s="1139">
        <f>IF(NOW()&gt;=DATE(YEAR(EH$2),MONTH(EH$2)+1,DAY(EH$2)),SUMIFS(AC_SOTIEN,AC_THANG,EH$2,AC_KM,$E91),SUMIFS(TF_SOTIEN,TF_THANG,EH$2,TF_KM,$E91))/ 1000</f>
        <v>0</v>
      </c>
      <c r="EO91" s="1138" t="str">
        <f t="shared" si="600"/>
        <v/>
      </c>
      <c r="EP91" s="3"/>
      <c r="EQ91" s="1163">
        <f t="shared" si="87"/>
        <v>0</v>
      </c>
      <c r="ER91" s="1140" t="str">
        <f t="shared" si="88"/>
        <v/>
      </c>
      <c r="ES91" s="1163">
        <f t="shared" si="89"/>
        <v>0</v>
      </c>
      <c r="ET91" s="1140" t="str">
        <f t="shared" si="90"/>
        <v/>
      </c>
      <c r="EU91" s="1137">
        <f>SUMIFS(BP_SOTIEN,BP_THANG,EU$2,BP_KM,$E91)/1000</f>
        <v>0</v>
      </c>
      <c r="EV91" s="1138" t="str">
        <f t="shared" si="601"/>
        <v/>
      </c>
      <c r="EW91" s="3"/>
      <c r="EX91" s="1139">
        <f>IF(NOW()&gt;=DATE(YEAR(EU$2),MONTH(EU$2)+1,DAY(EU$2)),SUMIFS(TF_SOTIEN,TF_THANG,EU$2,TF_KM,$E91)/1000, FA91)</f>
        <v>0</v>
      </c>
      <c r="EY91" s="1138" t="str">
        <f t="shared" si="602"/>
        <v/>
      </c>
      <c r="EZ91" s="3"/>
      <c r="FA91" s="1139">
        <f>IF(NOW()&gt;=DATE(YEAR(EU$2),MONTH(EU$2)+1,DAY(EU$2)),SUMIFS(AC_SOTIEN,AC_THANG,EU$2,AC_KM,$E91),SUMIFS(TF_SOTIEN,TF_THANG,EU$2,TF_KM,$E91))/ 1000</f>
        <v>0</v>
      </c>
      <c r="FB91" s="1138" t="str">
        <f t="shared" si="603"/>
        <v/>
      </c>
      <c r="FC91" s="3"/>
      <c r="FD91" s="1163">
        <f t="shared" si="94"/>
        <v>0</v>
      </c>
      <c r="FE91" s="1140" t="str">
        <f t="shared" si="95"/>
        <v/>
      </c>
      <c r="FF91" s="1163">
        <f t="shared" si="96"/>
        <v>0</v>
      </c>
      <c r="FG91" s="1140" t="str">
        <f t="shared" si="97"/>
        <v/>
      </c>
      <c r="FH91" s="1137">
        <f t="shared" si="698"/>
        <v>0</v>
      </c>
      <c r="FI91" s="1138" t="str">
        <f t="shared" si="604"/>
        <v/>
      </c>
      <c r="FJ91" s="3"/>
      <c r="FK91" s="1139">
        <f t="shared" si="243"/>
        <v>0</v>
      </c>
      <c r="FL91" s="1138" t="str">
        <f t="shared" si="605"/>
        <v/>
      </c>
      <c r="FM91" s="3"/>
      <c r="FN91" s="1139">
        <f t="shared" si="246"/>
        <v>0</v>
      </c>
      <c r="FO91" s="1138" t="str">
        <f t="shared" si="606"/>
        <v/>
      </c>
      <c r="FP91" s="3"/>
      <c r="FQ91" s="1163">
        <f t="shared" si="104"/>
        <v>0</v>
      </c>
      <c r="FR91" s="1140" t="str">
        <f t="shared" si="105"/>
        <v/>
      </c>
      <c r="FS91" s="1163">
        <f t="shared" si="106"/>
        <v>0</v>
      </c>
      <c r="FT91" s="1140" t="str">
        <f t="shared" si="107"/>
        <v/>
      </c>
      <c r="FU91" s="1137">
        <f>SUMIFS(BP_SOTIEN,BP_THANG,FU$2,BP_KM,$E91)/1000</f>
        <v>0</v>
      </c>
      <c r="FV91" s="1138" t="str">
        <f t="shared" si="607"/>
        <v/>
      </c>
      <c r="FW91" s="3"/>
      <c r="FX91" s="1139">
        <f>IF(NOW()&gt;=DATE(YEAR(FU$2),MONTH(FU$2)+1,DAY(FU$2)),SUMIFS(TF_SOTIEN,TF_THANG,FU$2,TF_KM,$E91)/1000, GA91)</f>
        <v>0</v>
      </c>
      <c r="FY91" s="1138" t="str">
        <f t="shared" si="608"/>
        <v/>
      </c>
      <c r="FZ91" s="3"/>
      <c r="GA91" s="1139">
        <f>IF(NOW()&gt;=DATE(YEAR(FU$2),MONTH(FU$2)+1,DAY(FU$2)),SUMIFS(AC_SOTIEN,AC_THANG,FU$2,AC_KM,$E91),SUMIFS(TF_SOTIEN,TF_THANG,FU$2,TF_KM,$E91))/ 1000</f>
        <v>0</v>
      </c>
      <c r="GB91" s="1138" t="str">
        <f t="shared" si="609"/>
        <v/>
      </c>
      <c r="GC91" s="3"/>
      <c r="GD91" s="1163">
        <f t="shared" si="111"/>
        <v>0</v>
      </c>
      <c r="GE91" s="1140" t="str">
        <f t="shared" si="112"/>
        <v/>
      </c>
      <c r="GF91" s="1163">
        <f t="shared" si="113"/>
        <v>0</v>
      </c>
      <c r="GG91" s="1140" t="str">
        <f t="shared" si="114"/>
        <v/>
      </c>
      <c r="GH91" s="1137">
        <f>SUMIFS(BP_SOTIEN,BP_THANG,GH$2,BP_KM,$E91)/1000</f>
        <v>0</v>
      </c>
      <c r="GI91" s="1138" t="str">
        <f t="shared" si="610"/>
        <v/>
      </c>
      <c r="GJ91" s="3"/>
      <c r="GK91" s="1139">
        <f>IF(NOW()&gt;=DATE(YEAR(GH$2),MONTH(GH$2)+1,DAY(GH$2)),SUMIFS(TF_SOTIEN,TF_THANG,GH$2,TF_KM,$E91)/1000, GN91)</f>
        <v>0</v>
      </c>
      <c r="GL91" s="1138" t="str">
        <f t="shared" si="611"/>
        <v/>
      </c>
      <c r="GM91" s="3"/>
      <c r="GN91" s="1139">
        <f>IF(NOW()&gt;=DATE(YEAR(GH$2),MONTH(GH$2)+1,DAY(GH$2)),SUMIFS(AC_SOTIEN,AC_THANG,GH$2,AC_KM,$E91),SUMIFS(TF_SOTIEN,TF_THANG,GH$2,TF_KM,$E91))/ 1000</f>
        <v>0</v>
      </c>
      <c r="GO91" s="1138" t="str">
        <f t="shared" si="612"/>
        <v/>
      </c>
      <c r="GP91" s="3"/>
      <c r="GQ91" s="1163">
        <f t="shared" si="118"/>
        <v>0</v>
      </c>
      <c r="GR91" s="1140" t="str">
        <f t="shared" si="119"/>
        <v/>
      </c>
      <c r="GS91" s="1163">
        <f t="shared" si="120"/>
        <v>0</v>
      </c>
      <c r="GT91" s="1140" t="str">
        <f t="shared" si="121"/>
        <v/>
      </c>
      <c r="GU91" s="1137">
        <f>SUMIFS(BP_SOTIEN,BP_THANG,GU$2,BP_KM,$E91)/1000</f>
        <v>0</v>
      </c>
      <c r="GV91" s="1138" t="str">
        <f t="shared" si="613"/>
        <v/>
      </c>
      <c r="GW91" s="3"/>
      <c r="GX91" s="1139">
        <f>IF(NOW()&gt;=DATE(YEAR(GU$2),MONTH(GU$2)+1,DAY(GU$2)),SUMIFS(TF_SOTIEN,TF_THANG,GU$2,TF_KM,$E91)/1000, HA91)</f>
        <v>0</v>
      </c>
      <c r="GY91" s="1138" t="str">
        <f t="shared" si="614"/>
        <v/>
      </c>
      <c r="GZ91" s="3"/>
      <c r="HA91" s="1139">
        <f>IF(NOW()&gt;=DATE(YEAR(GU$2),MONTH(GU$2)+1,DAY(GU$2)),SUMIFS(AC_SOTIEN,AC_THANG,GU$2,AC_KM,$E91),SUMIFS(TF_SOTIEN,TF_THANG,GU$2,TF_KM,$E91))/ 1000</f>
        <v>0</v>
      </c>
      <c r="HB91" s="1138" t="str">
        <f t="shared" si="615"/>
        <v/>
      </c>
      <c r="HC91" s="3"/>
      <c r="HD91" s="1163">
        <f t="shared" si="125"/>
        <v>0</v>
      </c>
      <c r="HE91" s="1140" t="str">
        <f t="shared" si="126"/>
        <v/>
      </c>
      <c r="HF91" s="1163">
        <f t="shared" si="127"/>
        <v>0</v>
      </c>
      <c r="HG91" s="1140" t="str">
        <f t="shared" si="128"/>
        <v/>
      </c>
      <c r="HH91" s="1137">
        <f t="shared" si="699"/>
        <v>0</v>
      </c>
      <c r="HI91" s="1138" t="str">
        <f t="shared" si="616"/>
        <v/>
      </c>
      <c r="HJ91" s="3"/>
      <c r="HK91" s="1139">
        <f t="shared" si="270"/>
        <v>0</v>
      </c>
      <c r="HL91" s="1138" t="str">
        <f t="shared" si="617"/>
        <v/>
      </c>
      <c r="HM91" s="3"/>
      <c r="HN91" s="1139">
        <f t="shared" si="273"/>
        <v>0</v>
      </c>
      <c r="HO91" s="1138" t="str">
        <f t="shared" si="618"/>
        <v/>
      </c>
      <c r="HP91" s="3"/>
      <c r="HQ91" s="1163">
        <f t="shared" si="135"/>
        <v>0</v>
      </c>
      <c r="HR91" s="1140" t="str">
        <f t="shared" si="136"/>
        <v/>
      </c>
      <c r="HS91" s="1163">
        <f t="shared" si="137"/>
        <v>0</v>
      </c>
      <c r="HT91" s="1140" t="str">
        <f t="shared" si="138"/>
        <v/>
      </c>
      <c r="HU91" s="1137">
        <f t="shared" si="700"/>
        <v>0</v>
      </c>
      <c r="HV91" s="1138" t="str">
        <f t="shared" si="619"/>
        <v/>
      </c>
      <c r="HW91" s="3"/>
      <c r="HX91" s="1139">
        <f t="shared" si="279"/>
        <v>0</v>
      </c>
      <c r="HY91" s="1138" t="str">
        <f t="shared" si="620"/>
        <v/>
      </c>
      <c r="HZ91" s="3"/>
      <c r="IA91" s="1139">
        <f t="shared" si="282"/>
        <v>0</v>
      </c>
      <c r="IB91" s="1138" t="str">
        <f t="shared" si="621"/>
        <v/>
      </c>
      <c r="IC91" s="3"/>
      <c r="ID91" s="1163">
        <f t="shared" si="145"/>
        <v>0</v>
      </c>
      <c r="IE91" s="1140" t="str">
        <f t="shared" si="146"/>
        <v/>
      </c>
      <c r="IF91" s="1163">
        <f t="shared" si="147"/>
        <v>0</v>
      </c>
      <c r="IG91" s="1140" t="str">
        <f t="shared" si="148"/>
        <v/>
      </c>
      <c r="IH91" s="1137">
        <f t="shared" si="701"/>
        <v>0</v>
      </c>
      <c r="II91" s="1138" t="str">
        <f t="shared" si="622"/>
        <v/>
      </c>
      <c r="IJ91" s="3"/>
      <c r="IK91" s="1139">
        <f t="shared" si="288"/>
        <v>0</v>
      </c>
      <c r="IL91" s="1138" t="str">
        <f t="shared" si="623"/>
        <v/>
      </c>
      <c r="IM91" s="3"/>
      <c r="IN91" s="1139">
        <f t="shared" si="291"/>
        <v>0</v>
      </c>
      <c r="IO91" s="1138">
        <f t="shared" si="624"/>
        <v>0</v>
      </c>
      <c r="IP91" s="3"/>
      <c r="IQ91" s="1163">
        <f t="shared" si="155"/>
        <v>0</v>
      </c>
      <c r="IR91" s="1140" t="str">
        <f t="shared" si="1"/>
        <v/>
      </c>
      <c r="IS91" s="1163">
        <f t="shared" si="156"/>
        <v>0</v>
      </c>
      <c r="IT91" s="1140" t="str">
        <f t="shared" si="2"/>
        <v/>
      </c>
    </row>
    <row r="92">
      <c r="A92" s="1108"/>
      <c r="B92" s="1108"/>
      <c r="C92" s="1108"/>
      <c r="D92" s="1108" t="s">
        <v>2090</v>
      </c>
      <c r="E92" s="1108" t="s">
        <v>380</v>
      </c>
      <c r="F92" s="1141">
        <v>811.0</v>
      </c>
      <c r="G92" s="1141">
        <v>2.0</v>
      </c>
      <c r="H92" s="1110">
        <f>SUMIFS(BP_SOTIEN,BP_THANG,H$2,BP_KM,$E92)/1000</f>
        <v>0</v>
      </c>
      <c r="I92" s="1111" t="str">
        <f t="shared" si="566"/>
        <v/>
      </c>
      <c r="J92" s="3"/>
      <c r="K92" s="1142">
        <f>IF(NOW()&gt;=DATE(YEAR(H$2),MONTH(H$2)+1,DAY(H$2)),SUMIFS(TF_SOTIEN,TF_THANG,H$2,TF_KM,$E92)/1000, N92)</f>
        <v>0</v>
      </c>
      <c r="L92" s="1111" t="str">
        <f t="shared" si="567"/>
        <v/>
      </c>
      <c r="M92" s="3"/>
      <c r="N92" s="1142">
        <f>IF(NOW()&gt;=DATE(YEAR(H$2),MONTH(H$2)+1,DAY(H$2)),SUMIFS(AC_SOTIEN,AC_THANG,H$2,AC_KM,$E92),SUMIFS(TF_SOTIEN,TF_THANG,H$2,TF_KM,$E92))/ 1000</f>
        <v>0</v>
      </c>
      <c r="O92" s="1111">
        <f t="shared" si="568"/>
        <v>0</v>
      </c>
      <c r="P92" s="3"/>
      <c r="Q92" s="1143">
        <f t="shared" si="8"/>
        <v>0</v>
      </c>
      <c r="R92" s="1112" t="str">
        <f t="shared" si="9"/>
        <v/>
      </c>
      <c r="S92" s="1143">
        <f t="shared" si="10"/>
        <v>0</v>
      </c>
      <c r="T92" s="1144" t="str">
        <f t="shared" si="11"/>
        <v/>
      </c>
      <c r="U92" s="1110">
        <f>SUMIFS(BP_SOTIEN,BP_THANG,U$2,BP_KM,$E92)/1000</f>
        <v>0</v>
      </c>
      <c r="V92" s="1111" t="str">
        <f t="shared" si="569"/>
        <v/>
      </c>
      <c r="W92" s="3"/>
      <c r="X92" s="1142">
        <f>IF(NOW()&gt;=DATE(YEAR(U$2),MONTH(U$2)+1,DAY(U$2)),SUMIFS(TF_SOTIEN,TF_THANG,U$2,TF_KM,$E92)/1000, AA92)</f>
        <v>503.6</v>
      </c>
      <c r="Y92" s="1111" t="str">
        <f t="shared" si="570"/>
        <v/>
      </c>
      <c r="Z92" s="3"/>
      <c r="AA92" s="1142">
        <f>IF(NOW()&gt;=DATE(YEAR(U$2),MONTH(U$2)+1,DAY(U$2)),SUMIFS(AC_SOTIEN,AC_THANG,U$2,AC_KM,$E92),SUMIFS(TF_SOTIEN,TF_THANG,U$2,TF_KM,$E92))/ 1000</f>
        <v>160.001</v>
      </c>
      <c r="AB92" s="1111" t="str">
        <f t="shared" si="571"/>
        <v/>
      </c>
      <c r="AC92" s="3"/>
      <c r="AD92" s="1143">
        <f t="shared" si="15"/>
        <v>160.001</v>
      </c>
      <c r="AE92" s="1112" t="str">
        <f t="shared" si="16"/>
        <v/>
      </c>
      <c r="AF92" s="1143">
        <f t="shared" si="17"/>
        <v>-343.599</v>
      </c>
      <c r="AG92" s="1144">
        <f t="shared" si="18"/>
        <v>-0.6822855441</v>
      </c>
      <c r="AH92" s="1110">
        <f>SUMIFS(BP_SOTIEN,BP_THANG,AH$2,BP_KM,$E92)/1000</f>
        <v>0</v>
      </c>
      <c r="AI92" s="1111" t="str">
        <f t="shared" si="572"/>
        <v/>
      </c>
      <c r="AJ92" s="3"/>
      <c r="AK92" s="1142">
        <f>IF(NOW()&gt;=DATE(YEAR(AH$2),MONTH(AH$2)+1,DAY(AH$2)),SUMIFS(TF_SOTIEN,TF_THANG,AH$2,TF_KM,$E92)/1000, AN92)</f>
        <v>503.6</v>
      </c>
      <c r="AL92" s="1111" t="str">
        <f t="shared" si="573"/>
        <v/>
      </c>
      <c r="AM92" s="3"/>
      <c r="AN92" s="1142">
        <f>IF(NOW()&gt;=DATE(YEAR(AH$2),MONTH(AH$2)+1,DAY(AH$2)),SUMIFS(AC_SOTIEN,AC_THANG,AH$2,AC_KM,$E92),SUMIFS(TF_SOTIEN,TF_THANG,AH$2,TF_KM,$E92))/ 1000</f>
        <v>0</v>
      </c>
      <c r="AO92" s="1111" t="str">
        <f t="shared" si="574"/>
        <v/>
      </c>
      <c r="AP92" s="3"/>
      <c r="AQ92" s="1143">
        <f t="shared" si="22"/>
        <v>0</v>
      </c>
      <c r="AR92" s="1112" t="str">
        <f t="shared" si="23"/>
        <v/>
      </c>
      <c r="AS92" s="1143">
        <f t="shared" si="24"/>
        <v>-503.6</v>
      </c>
      <c r="AT92" s="1144">
        <f t="shared" si="25"/>
        <v>-1</v>
      </c>
      <c r="AU92" s="1110">
        <f t="shared" si="691"/>
        <v>0</v>
      </c>
      <c r="AV92" s="1111" t="str">
        <f t="shared" si="575"/>
        <v/>
      </c>
      <c r="AW92" s="3"/>
      <c r="AX92" s="1142">
        <f t="shared" si="692"/>
        <v>1007.2</v>
      </c>
      <c r="AY92" s="1111" t="str">
        <f t="shared" si="576"/>
        <v/>
      </c>
      <c r="AZ92" s="3"/>
      <c r="BA92" s="1142">
        <f t="shared" si="693"/>
        <v>160.001</v>
      </c>
      <c r="BB92" s="1111">
        <f t="shared" si="577"/>
        <v>0.0004705911765</v>
      </c>
      <c r="BC92" s="3"/>
      <c r="BD92" s="1143">
        <f t="shared" si="32"/>
        <v>160.001</v>
      </c>
      <c r="BE92" s="1112" t="str">
        <f t="shared" si="33"/>
        <v/>
      </c>
      <c r="BF92" s="1143">
        <f t="shared" si="34"/>
        <v>-847.199</v>
      </c>
      <c r="BG92" s="1144">
        <f t="shared" si="35"/>
        <v>-0.841142772</v>
      </c>
      <c r="BH92" s="1110">
        <f>SUMIFS(BP_SOTIEN,BP_THANG,BH$2,BP_KM,$E92)/1000</f>
        <v>0</v>
      </c>
      <c r="BI92" s="1111" t="str">
        <f t="shared" si="578"/>
        <v/>
      </c>
      <c r="BJ92" s="3"/>
      <c r="BK92" s="1142">
        <f>IF(NOW()&gt;=DATE(YEAR(BH$2),MONTH(BH$2)+1,DAY(BH$2)),SUMIFS(TF_SOTIEN,TF_THANG,BH$2,TF_KM,$E92)/1000, BN92)</f>
        <v>503.6</v>
      </c>
      <c r="BL92" s="1111" t="str">
        <f t="shared" si="579"/>
        <v/>
      </c>
      <c r="BM92" s="3"/>
      <c r="BN92" s="1142">
        <f>IF(NOW()&gt;=DATE(YEAR(BH$2),MONTH(BH$2)+1,DAY(BH$2)),SUMIFS(AC_SOTIEN,AC_THANG,BH$2,AC_KM,$E92),SUMIFS(TF_SOTIEN,TF_THANG,BH$2,TF_KM,$E92))/ 1000</f>
        <v>0</v>
      </c>
      <c r="BO92" s="1111" t="str">
        <f t="shared" si="580"/>
        <v/>
      </c>
      <c r="BP92" s="3"/>
      <c r="BQ92" s="1143">
        <f t="shared" si="39"/>
        <v>0</v>
      </c>
      <c r="BR92" s="1112" t="str">
        <f t="shared" si="40"/>
        <v/>
      </c>
      <c r="BS92" s="1143">
        <f t="shared" si="41"/>
        <v>-503.6</v>
      </c>
      <c r="BT92" s="1144">
        <f t="shared" si="42"/>
        <v>-1</v>
      </c>
      <c r="BU92" s="1110">
        <f>SUMIFS(BP_SOTIEN,BP_THANG,BU$2,BP_KM,$E92)/1000</f>
        <v>4165</v>
      </c>
      <c r="BV92" s="1111" t="str">
        <f t="shared" si="581"/>
        <v/>
      </c>
      <c r="BW92" s="3"/>
      <c r="BX92" s="1142">
        <f>IF(NOW()&gt;=DATE(YEAR(BU$2),MONTH(BU$2)+1,DAY(BU$2)),SUMIFS(TF_SOTIEN,TF_THANG,BU$2,TF_KM,$E92)/1000, CA92)</f>
        <v>4165</v>
      </c>
      <c r="BY92" s="1111" t="str">
        <f t="shared" si="582"/>
        <v/>
      </c>
      <c r="BZ92" s="3"/>
      <c r="CA92" s="1142">
        <f>IF(NOW()&gt;=DATE(YEAR(BU$2),MONTH(BU$2)+1,DAY(BU$2)),SUMIFS(AC_SOTIEN,AC_THANG,BU$2,AC_KM,$E92),SUMIFS(TF_SOTIEN,TF_THANG,BU$2,TF_KM,$E92))/ 1000</f>
        <v>0</v>
      </c>
      <c r="CB92" s="1111" t="str">
        <f t="shared" si="583"/>
        <v/>
      </c>
      <c r="CC92" s="3"/>
      <c r="CD92" s="1143">
        <f t="shared" si="46"/>
        <v>-4165</v>
      </c>
      <c r="CE92" s="1112">
        <f t="shared" si="47"/>
        <v>-1</v>
      </c>
      <c r="CF92" s="1143">
        <f t="shared" si="48"/>
        <v>-4165</v>
      </c>
      <c r="CG92" s="1144">
        <f t="shared" si="49"/>
        <v>-1</v>
      </c>
      <c r="CH92" s="1110">
        <f>SUMIFS(BP_SOTIEN,BP_THANG,CH$2,BP_KM,$E92)/1000</f>
        <v>4165</v>
      </c>
      <c r="CI92" s="1111" t="str">
        <f t="shared" si="584"/>
        <v/>
      </c>
      <c r="CJ92" s="3"/>
      <c r="CK92" s="1142">
        <f>IF(NOW()&gt;=DATE(YEAR(CH$2),MONTH(CH$2)+1,DAY(CH$2)),SUMIFS(TF_SOTIEN,TF_THANG,CH$2,TF_KM,$E92)/1000, CN92)</f>
        <v>4165</v>
      </c>
      <c r="CL92" s="1111" t="str">
        <f t="shared" si="585"/>
        <v/>
      </c>
      <c r="CM92" s="3"/>
      <c r="CN92" s="1142">
        <f>IF(NOW()&gt;=DATE(YEAR(CH$2),MONTH(CH$2)+1,DAY(CH$2)),SUMIFS(AC_SOTIEN,AC_THANG,CH$2,AC_KM,$E92),SUMIFS(TF_SOTIEN,TF_THANG,CH$2,TF_KM,$E92))/ 1000</f>
        <v>0</v>
      </c>
      <c r="CO92" s="1111" t="str">
        <f t="shared" si="586"/>
        <v/>
      </c>
      <c r="CP92" s="3"/>
      <c r="CQ92" s="1143">
        <f t="shared" si="53"/>
        <v>-4165</v>
      </c>
      <c r="CR92" s="1112">
        <f t="shared" si="54"/>
        <v>-1</v>
      </c>
      <c r="CS92" s="1143">
        <f t="shared" si="55"/>
        <v>-4165</v>
      </c>
      <c r="CT92" s="1144">
        <f t="shared" si="56"/>
        <v>-1</v>
      </c>
      <c r="CU92" s="1110">
        <f t="shared" si="694"/>
        <v>8330</v>
      </c>
      <c r="CV92" s="1111" t="str">
        <f t="shared" si="587"/>
        <v/>
      </c>
      <c r="CW92" s="3"/>
      <c r="CX92" s="1142">
        <f t="shared" si="695"/>
        <v>8833.6</v>
      </c>
      <c r="CY92" s="1111" t="str">
        <f t="shared" si="589"/>
        <v/>
      </c>
      <c r="CZ92" s="3"/>
      <c r="DA92" s="1142">
        <f t="shared" si="696"/>
        <v>0</v>
      </c>
      <c r="DB92" s="1111" t="str">
        <f t="shared" si="591"/>
        <v/>
      </c>
      <c r="DC92" s="3"/>
      <c r="DD92" s="1143">
        <f t="shared" si="63"/>
        <v>-8330</v>
      </c>
      <c r="DE92" s="1112">
        <f t="shared" si="64"/>
        <v>-1</v>
      </c>
      <c r="DF92" s="1143">
        <f t="shared" si="65"/>
        <v>-8833.6</v>
      </c>
      <c r="DG92" s="1144">
        <f t="shared" si="66"/>
        <v>-1</v>
      </c>
      <c r="DH92" s="1110">
        <f t="shared" si="697"/>
        <v>8330</v>
      </c>
      <c r="DI92" s="1111" t="str">
        <f t="shared" si="592"/>
        <v/>
      </c>
      <c r="DJ92" s="3"/>
      <c r="DK92" s="1142">
        <f t="shared" si="216"/>
        <v>9840.8</v>
      </c>
      <c r="DL92" s="1111" t="str">
        <f t="shared" si="593"/>
        <v/>
      </c>
      <c r="DM92" s="3"/>
      <c r="DN92" s="1142">
        <f t="shared" si="219"/>
        <v>160.001</v>
      </c>
      <c r="DO92" s="1111">
        <f t="shared" si="594"/>
        <v>0.0004705911765</v>
      </c>
      <c r="DP92" s="3"/>
      <c r="DQ92" s="1143">
        <f t="shared" si="73"/>
        <v>-8169.999</v>
      </c>
      <c r="DR92" s="1112">
        <f t="shared" si="74"/>
        <v>-0.9807921969</v>
      </c>
      <c r="DS92" s="1143">
        <f t="shared" si="75"/>
        <v>-9680.799</v>
      </c>
      <c r="DT92" s="1144">
        <f t="shared" si="76"/>
        <v>-0.9837410576</v>
      </c>
      <c r="DU92" s="1110">
        <f>SUMIFS(BP_SOTIEN,BP_THANG,DU$2,BP_KM,$E92)/1000</f>
        <v>4165</v>
      </c>
      <c r="DV92" s="1111" t="str">
        <f t="shared" si="595"/>
        <v/>
      </c>
      <c r="DW92" s="3"/>
      <c r="DX92" s="1142">
        <f>IF(NOW()&gt;=DATE(YEAR(DU$2),MONTH(DU$2)+1,DAY(DU$2)),SUMIFS(TF_SOTIEN,TF_THANG,DU$2,TF_KM,$E92)/1000, EA92)</f>
        <v>4165</v>
      </c>
      <c r="DY92" s="1111" t="str">
        <f t="shared" si="596"/>
        <v/>
      </c>
      <c r="DZ92" s="3"/>
      <c r="EA92" s="1142">
        <f>IF(NOW()&gt;=DATE(YEAR(DU$2),MONTH(DU$2)+1,DAY(DU$2)),SUMIFS(AC_SOTIEN,AC_THANG,DU$2,AC_KM,$E92),SUMIFS(TF_SOTIEN,TF_THANG,DU$2,TF_KM,$E92))/ 1000</f>
        <v>0</v>
      </c>
      <c r="EB92" s="1111" t="str">
        <f t="shared" si="597"/>
        <v/>
      </c>
      <c r="EC92" s="3"/>
      <c r="ED92" s="1143">
        <f t="shared" si="80"/>
        <v>-4165</v>
      </c>
      <c r="EE92" s="1112">
        <f t="shared" si="81"/>
        <v>-1</v>
      </c>
      <c r="EF92" s="1143">
        <f t="shared" si="82"/>
        <v>-4165</v>
      </c>
      <c r="EG92" s="1144">
        <f t="shared" si="83"/>
        <v>-1</v>
      </c>
      <c r="EH92" s="1110">
        <f>SUMIFS(BP_SOTIEN,BP_THANG,EH$2,BP_KM,$E92)/1000</f>
        <v>4165</v>
      </c>
      <c r="EI92" s="1111" t="str">
        <f t="shared" si="598"/>
        <v/>
      </c>
      <c r="EJ92" s="3"/>
      <c r="EK92" s="1142">
        <f>IF(NOW()&gt;=DATE(YEAR(EH$2),MONTH(EH$2)+1,DAY(EH$2)),SUMIFS(TF_SOTIEN,TF_THANG,EH$2,TF_KM,$E92)/1000, EN92)</f>
        <v>4165</v>
      </c>
      <c r="EL92" s="1111" t="str">
        <f t="shared" si="599"/>
        <v/>
      </c>
      <c r="EM92" s="3"/>
      <c r="EN92" s="1142">
        <f>IF(NOW()&gt;=DATE(YEAR(EH$2),MONTH(EH$2)+1,DAY(EH$2)),SUMIFS(AC_SOTIEN,AC_THANG,EH$2,AC_KM,$E92),SUMIFS(TF_SOTIEN,TF_THANG,EH$2,TF_KM,$E92))/ 1000</f>
        <v>0</v>
      </c>
      <c r="EO92" s="1111" t="str">
        <f t="shared" si="600"/>
        <v/>
      </c>
      <c r="EP92" s="3"/>
      <c r="EQ92" s="1143">
        <f t="shared" si="87"/>
        <v>-4165</v>
      </c>
      <c r="ER92" s="1112">
        <f t="shared" si="88"/>
        <v>-1</v>
      </c>
      <c r="ES92" s="1143">
        <f t="shared" si="89"/>
        <v>-4165</v>
      </c>
      <c r="ET92" s="1144">
        <f t="shared" si="90"/>
        <v>-1</v>
      </c>
      <c r="EU92" s="1110">
        <f>SUMIFS(BP_SOTIEN,BP_THANG,EU$2,BP_KM,$E92)/1000</f>
        <v>4165</v>
      </c>
      <c r="EV92" s="1111" t="str">
        <f t="shared" si="601"/>
        <v/>
      </c>
      <c r="EW92" s="3"/>
      <c r="EX92" s="1142">
        <f>IF(NOW()&gt;=DATE(YEAR(EU$2),MONTH(EU$2)+1,DAY(EU$2)),SUMIFS(TF_SOTIEN,TF_THANG,EU$2,TF_KM,$E92)/1000, FA92)</f>
        <v>4165</v>
      </c>
      <c r="EY92" s="1111" t="str">
        <f t="shared" si="602"/>
        <v/>
      </c>
      <c r="EZ92" s="3"/>
      <c r="FA92" s="1142">
        <f>IF(NOW()&gt;=DATE(YEAR(EU$2),MONTH(EU$2)+1,DAY(EU$2)),SUMIFS(AC_SOTIEN,AC_THANG,EU$2,AC_KM,$E92),SUMIFS(TF_SOTIEN,TF_THANG,EU$2,TF_KM,$E92))/ 1000</f>
        <v>0</v>
      </c>
      <c r="FB92" s="1111" t="str">
        <f t="shared" si="603"/>
        <v/>
      </c>
      <c r="FC92" s="3"/>
      <c r="FD92" s="1143">
        <f t="shared" si="94"/>
        <v>-4165</v>
      </c>
      <c r="FE92" s="1112">
        <f t="shared" si="95"/>
        <v>-1</v>
      </c>
      <c r="FF92" s="1143">
        <f t="shared" si="96"/>
        <v>-4165</v>
      </c>
      <c r="FG92" s="1144">
        <f t="shared" si="97"/>
        <v>-1</v>
      </c>
      <c r="FH92" s="1110">
        <f t="shared" si="698"/>
        <v>12495</v>
      </c>
      <c r="FI92" s="1111" t="str">
        <f t="shared" si="604"/>
        <v/>
      </c>
      <c r="FJ92" s="3"/>
      <c r="FK92" s="1142">
        <f t="shared" si="243"/>
        <v>12495</v>
      </c>
      <c r="FL92" s="1111" t="str">
        <f t="shared" si="605"/>
        <v/>
      </c>
      <c r="FM92" s="3"/>
      <c r="FN92" s="1142">
        <f t="shared" si="246"/>
        <v>0</v>
      </c>
      <c r="FO92" s="1111" t="str">
        <f t="shared" si="606"/>
        <v/>
      </c>
      <c r="FP92" s="3"/>
      <c r="FQ92" s="1143">
        <f t="shared" si="104"/>
        <v>-12495</v>
      </c>
      <c r="FR92" s="1112">
        <f t="shared" si="105"/>
        <v>-1</v>
      </c>
      <c r="FS92" s="1143">
        <f t="shared" si="106"/>
        <v>-12495</v>
      </c>
      <c r="FT92" s="1144">
        <f t="shared" si="107"/>
        <v>-1</v>
      </c>
      <c r="FU92" s="1110">
        <f>SUMIFS(BP_SOTIEN,BP_THANG,FU$2,BP_KM,$E92)/1000</f>
        <v>4165</v>
      </c>
      <c r="FV92" s="1111" t="str">
        <f t="shared" si="607"/>
        <v/>
      </c>
      <c r="FW92" s="3"/>
      <c r="FX92" s="1142">
        <f>IF(NOW()&gt;=DATE(YEAR(FU$2),MONTH(FU$2)+1,DAY(FU$2)),SUMIFS(TF_SOTIEN,TF_THANG,FU$2,TF_KM,$E92)/1000, GA92)</f>
        <v>4165</v>
      </c>
      <c r="FY92" s="1111" t="str">
        <f t="shared" si="608"/>
        <v/>
      </c>
      <c r="FZ92" s="3"/>
      <c r="GA92" s="1142">
        <f>IF(NOW()&gt;=DATE(YEAR(FU$2),MONTH(FU$2)+1,DAY(FU$2)),SUMIFS(AC_SOTIEN,AC_THANG,FU$2,AC_KM,$E92),SUMIFS(TF_SOTIEN,TF_THANG,FU$2,TF_KM,$E92))/ 1000</f>
        <v>0</v>
      </c>
      <c r="GB92" s="1111" t="str">
        <f t="shared" si="609"/>
        <v/>
      </c>
      <c r="GC92" s="3"/>
      <c r="GD92" s="1143">
        <f t="shared" si="111"/>
        <v>-4165</v>
      </c>
      <c r="GE92" s="1112">
        <f t="shared" si="112"/>
        <v>-1</v>
      </c>
      <c r="GF92" s="1143">
        <f t="shared" si="113"/>
        <v>-4165</v>
      </c>
      <c r="GG92" s="1144">
        <f t="shared" si="114"/>
        <v>-1</v>
      </c>
      <c r="GH92" s="1110">
        <f>SUMIFS(BP_SOTIEN,BP_THANG,GH$2,BP_KM,$E92)/1000</f>
        <v>4165</v>
      </c>
      <c r="GI92" s="1111" t="str">
        <f t="shared" si="610"/>
        <v/>
      </c>
      <c r="GJ92" s="3"/>
      <c r="GK92" s="1142">
        <f>IF(NOW()&gt;=DATE(YEAR(GH$2),MONTH(GH$2)+1,DAY(GH$2)),SUMIFS(TF_SOTIEN,TF_THANG,GH$2,TF_KM,$E92)/1000, GN92)</f>
        <v>4165</v>
      </c>
      <c r="GL92" s="1111" t="str">
        <f t="shared" si="611"/>
        <v/>
      </c>
      <c r="GM92" s="3"/>
      <c r="GN92" s="1142">
        <f>IF(NOW()&gt;=DATE(YEAR(GH$2),MONTH(GH$2)+1,DAY(GH$2)),SUMIFS(AC_SOTIEN,AC_THANG,GH$2,AC_KM,$E92),SUMIFS(TF_SOTIEN,TF_THANG,GH$2,TF_KM,$E92))/ 1000</f>
        <v>0</v>
      </c>
      <c r="GO92" s="1111" t="str">
        <f t="shared" si="612"/>
        <v/>
      </c>
      <c r="GP92" s="3"/>
      <c r="GQ92" s="1143">
        <f t="shared" si="118"/>
        <v>-4165</v>
      </c>
      <c r="GR92" s="1112">
        <f t="shared" si="119"/>
        <v>-1</v>
      </c>
      <c r="GS92" s="1143">
        <f t="shared" si="120"/>
        <v>-4165</v>
      </c>
      <c r="GT92" s="1144">
        <f t="shared" si="121"/>
        <v>-1</v>
      </c>
      <c r="GU92" s="1110">
        <f>SUMIFS(BP_SOTIEN,BP_THANG,GU$2,BP_KM,$E92)/1000</f>
        <v>4165</v>
      </c>
      <c r="GV92" s="1111" t="str">
        <f t="shared" si="613"/>
        <v/>
      </c>
      <c r="GW92" s="3"/>
      <c r="GX92" s="1142">
        <f>IF(NOW()&gt;=DATE(YEAR(GU$2),MONTH(GU$2)+1,DAY(GU$2)),SUMIFS(TF_SOTIEN,TF_THANG,GU$2,TF_KM,$E92)/1000, HA92)</f>
        <v>4165</v>
      </c>
      <c r="GY92" s="1111" t="str">
        <f t="shared" si="614"/>
        <v/>
      </c>
      <c r="GZ92" s="3"/>
      <c r="HA92" s="1142">
        <f>IF(NOW()&gt;=DATE(YEAR(GU$2),MONTH(GU$2)+1,DAY(GU$2)),SUMIFS(AC_SOTIEN,AC_THANG,GU$2,AC_KM,$E92),SUMIFS(TF_SOTIEN,TF_THANG,GU$2,TF_KM,$E92))/ 1000</f>
        <v>0</v>
      </c>
      <c r="HB92" s="1111" t="str">
        <f t="shared" si="615"/>
        <v/>
      </c>
      <c r="HC92" s="3"/>
      <c r="HD92" s="1143">
        <f t="shared" si="125"/>
        <v>-4165</v>
      </c>
      <c r="HE92" s="1112">
        <f t="shared" si="126"/>
        <v>-1</v>
      </c>
      <c r="HF92" s="1143">
        <f t="shared" si="127"/>
        <v>-4165</v>
      </c>
      <c r="HG92" s="1144">
        <f t="shared" si="128"/>
        <v>-1</v>
      </c>
      <c r="HH92" s="1110">
        <f t="shared" si="699"/>
        <v>12495</v>
      </c>
      <c r="HI92" s="1111" t="str">
        <f t="shared" si="616"/>
        <v/>
      </c>
      <c r="HJ92" s="3"/>
      <c r="HK92" s="1142">
        <f t="shared" si="270"/>
        <v>12495</v>
      </c>
      <c r="HL92" s="1111" t="str">
        <f t="shared" si="617"/>
        <v/>
      </c>
      <c r="HM92" s="3"/>
      <c r="HN92" s="1142">
        <f t="shared" si="273"/>
        <v>0</v>
      </c>
      <c r="HO92" s="1111" t="str">
        <f t="shared" si="618"/>
        <v/>
      </c>
      <c r="HP92" s="3"/>
      <c r="HQ92" s="1143">
        <f t="shared" si="135"/>
        <v>-12495</v>
      </c>
      <c r="HR92" s="1112">
        <f t="shared" si="136"/>
        <v>-1</v>
      </c>
      <c r="HS92" s="1143">
        <f t="shared" si="137"/>
        <v>-12495</v>
      </c>
      <c r="HT92" s="1144">
        <f t="shared" si="138"/>
        <v>-1</v>
      </c>
      <c r="HU92" s="1110">
        <f t="shared" si="700"/>
        <v>24990</v>
      </c>
      <c r="HV92" s="1111" t="str">
        <f t="shared" si="619"/>
        <v/>
      </c>
      <c r="HW92" s="3"/>
      <c r="HX92" s="1142">
        <f t="shared" si="279"/>
        <v>24990</v>
      </c>
      <c r="HY92" s="1111" t="str">
        <f t="shared" si="620"/>
        <v/>
      </c>
      <c r="HZ92" s="3"/>
      <c r="IA92" s="1142">
        <f t="shared" si="282"/>
        <v>0</v>
      </c>
      <c r="IB92" s="1111" t="str">
        <f t="shared" si="621"/>
        <v/>
      </c>
      <c r="IC92" s="3"/>
      <c r="ID92" s="1143">
        <f t="shared" si="145"/>
        <v>-24990</v>
      </c>
      <c r="IE92" s="1112">
        <f t="shared" si="146"/>
        <v>-1</v>
      </c>
      <c r="IF92" s="1143">
        <f t="shared" si="147"/>
        <v>-24990</v>
      </c>
      <c r="IG92" s="1144">
        <f t="shared" si="148"/>
        <v>-1</v>
      </c>
      <c r="IH92" s="1110">
        <f t="shared" si="701"/>
        <v>33320</v>
      </c>
      <c r="II92" s="1111" t="str">
        <f t="shared" si="622"/>
        <v/>
      </c>
      <c r="IJ92" s="3"/>
      <c r="IK92" s="1142">
        <f t="shared" si="288"/>
        <v>34830.8</v>
      </c>
      <c r="IL92" s="1111" t="str">
        <f t="shared" si="623"/>
        <v/>
      </c>
      <c r="IM92" s="3"/>
      <c r="IN92" s="1142">
        <f t="shared" si="291"/>
        <v>160.001</v>
      </c>
      <c r="IO92" s="1111">
        <f t="shared" si="624"/>
        <v>0.0004705911765</v>
      </c>
      <c r="IP92" s="3"/>
      <c r="IQ92" s="1143">
        <f t="shared" si="155"/>
        <v>-33159.999</v>
      </c>
      <c r="IR92" s="1112">
        <f t="shared" si="1"/>
        <v>-0.9951980492</v>
      </c>
      <c r="IS92" s="1143">
        <f t="shared" si="156"/>
        <v>-34670.799</v>
      </c>
      <c r="IT92" s="1144">
        <f t="shared" si="2"/>
        <v>-0.9954063358</v>
      </c>
    </row>
    <row r="93">
      <c r="A93" s="1156"/>
      <c r="B93" s="1156"/>
      <c r="C93" s="1156"/>
      <c r="D93" s="1156" t="s">
        <v>2878</v>
      </c>
      <c r="E93" s="1156"/>
      <c r="F93" s="1156"/>
      <c r="G93" s="1156"/>
      <c r="H93" s="1158">
        <f>H91-H92</f>
        <v>0</v>
      </c>
      <c r="I93" s="1159" t="str">
        <f t="shared" si="566"/>
        <v/>
      </c>
      <c r="J93" s="3"/>
      <c r="K93" s="1160">
        <f>K91-K92</f>
        <v>0</v>
      </c>
      <c r="L93" s="1159" t="str">
        <f t="shared" si="567"/>
        <v/>
      </c>
      <c r="M93" s="3"/>
      <c r="N93" s="1160">
        <f>N91-N92</f>
        <v>0</v>
      </c>
      <c r="O93" s="1159">
        <f t="shared" si="568"/>
        <v>0</v>
      </c>
      <c r="P93" s="3"/>
      <c r="Q93" s="1161">
        <f t="shared" si="8"/>
        <v>0</v>
      </c>
      <c r="R93" s="1164" t="str">
        <f t="shared" si="9"/>
        <v/>
      </c>
      <c r="S93" s="1161">
        <f t="shared" si="10"/>
        <v>0</v>
      </c>
      <c r="T93" s="1162" t="str">
        <f t="shared" si="11"/>
        <v/>
      </c>
      <c r="U93" s="1158">
        <f>U91-U92</f>
        <v>0</v>
      </c>
      <c r="V93" s="1159" t="str">
        <f t="shared" si="569"/>
        <v/>
      </c>
      <c r="W93" s="3"/>
      <c r="X93" s="1160">
        <f>X91-X92</f>
        <v>-503.6</v>
      </c>
      <c r="Y93" s="1159" t="str">
        <f t="shared" si="570"/>
        <v/>
      </c>
      <c r="Z93" s="3"/>
      <c r="AA93" s="1160">
        <f>AA91-AA92</f>
        <v>-160.001</v>
      </c>
      <c r="AB93" s="1159" t="str">
        <f t="shared" si="571"/>
        <v/>
      </c>
      <c r="AC93" s="3"/>
      <c r="AD93" s="1161">
        <f t="shared" si="15"/>
        <v>-160.001</v>
      </c>
      <c r="AE93" s="1164" t="str">
        <f t="shared" si="16"/>
        <v/>
      </c>
      <c r="AF93" s="1161">
        <f t="shared" si="17"/>
        <v>343.599</v>
      </c>
      <c r="AG93" s="1162">
        <f t="shared" si="18"/>
        <v>-0.6822855441</v>
      </c>
      <c r="AH93" s="1158">
        <f>AH91-AH92</f>
        <v>0</v>
      </c>
      <c r="AI93" s="1159" t="str">
        <f t="shared" si="572"/>
        <v/>
      </c>
      <c r="AJ93" s="3"/>
      <c r="AK93" s="1160">
        <f>AK91-AK92</f>
        <v>-503.6</v>
      </c>
      <c r="AL93" s="1159" t="str">
        <f t="shared" si="573"/>
        <v/>
      </c>
      <c r="AM93" s="3"/>
      <c r="AN93" s="1160">
        <f>AN91-AN92</f>
        <v>0</v>
      </c>
      <c r="AO93" s="1159" t="str">
        <f t="shared" si="574"/>
        <v/>
      </c>
      <c r="AP93" s="3"/>
      <c r="AQ93" s="1161">
        <f t="shared" si="22"/>
        <v>0</v>
      </c>
      <c r="AR93" s="1164" t="str">
        <f t="shared" si="23"/>
        <v/>
      </c>
      <c r="AS93" s="1161">
        <f t="shared" si="24"/>
        <v>503.6</v>
      </c>
      <c r="AT93" s="1162">
        <f t="shared" si="25"/>
        <v>-1</v>
      </c>
      <c r="AU93" s="1158">
        <f t="shared" si="691"/>
        <v>0</v>
      </c>
      <c r="AV93" s="1159" t="str">
        <f t="shared" si="575"/>
        <v/>
      </c>
      <c r="AW93" s="3"/>
      <c r="AX93" s="1160">
        <f t="shared" si="692"/>
        <v>-1007.2</v>
      </c>
      <c r="AY93" s="1159" t="str">
        <f t="shared" si="576"/>
        <v/>
      </c>
      <c r="AZ93" s="3"/>
      <c r="BA93" s="1160">
        <f t="shared" si="693"/>
        <v>-160.001</v>
      </c>
      <c r="BB93" s="1159">
        <f t="shared" si="577"/>
        <v>-0.0004705911765</v>
      </c>
      <c r="BC93" s="3"/>
      <c r="BD93" s="1161">
        <f t="shared" si="32"/>
        <v>-160.001</v>
      </c>
      <c r="BE93" s="1164" t="str">
        <f t="shared" si="33"/>
        <v/>
      </c>
      <c r="BF93" s="1161">
        <f t="shared" si="34"/>
        <v>847.199</v>
      </c>
      <c r="BG93" s="1162">
        <f t="shared" si="35"/>
        <v>-0.841142772</v>
      </c>
      <c r="BH93" s="1158">
        <f>BH91-BH92</f>
        <v>0</v>
      </c>
      <c r="BI93" s="1159" t="str">
        <f t="shared" si="578"/>
        <v/>
      </c>
      <c r="BJ93" s="3"/>
      <c r="BK93" s="1160">
        <f>BK91-BK92</f>
        <v>-503.6</v>
      </c>
      <c r="BL93" s="1159" t="str">
        <f t="shared" si="579"/>
        <v/>
      </c>
      <c r="BM93" s="3"/>
      <c r="BN93" s="1160">
        <f>BN91-BN92</f>
        <v>0</v>
      </c>
      <c r="BO93" s="1159" t="str">
        <f t="shared" si="580"/>
        <v/>
      </c>
      <c r="BP93" s="3"/>
      <c r="BQ93" s="1161">
        <f t="shared" si="39"/>
        <v>0</v>
      </c>
      <c r="BR93" s="1164" t="str">
        <f t="shared" si="40"/>
        <v/>
      </c>
      <c r="BS93" s="1161">
        <f t="shared" si="41"/>
        <v>503.6</v>
      </c>
      <c r="BT93" s="1162">
        <f t="shared" si="42"/>
        <v>-1</v>
      </c>
      <c r="BU93" s="1158">
        <f>BU91-BU92</f>
        <v>-4165</v>
      </c>
      <c r="BV93" s="1159" t="str">
        <f t="shared" si="581"/>
        <v/>
      </c>
      <c r="BW93" s="3"/>
      <c r="BX93" s="1160">
        <f>BX91-BX92</f>
        <v>-4165</v>
      </c>
      <c r="BY93" s="1159" t="str">
        <f t="shared" si="582"/>
        <v/>
      </c>
      <c r="BZ93" s="3"/>
      <c r="CA93" s="1160">
        <f>CA91-CA92</f>
        <v>0</v>
      </c>
      <c r="CB93" s="1159" t="str">
        <f t="shared" si="583"/>
        <v/>
      </c>
      <c r="CC93" s="3"/>
      <c r="CD93" s="1161">
        <f t="shared" si="46"/>
        <v>4165</v>
      </c>
      <c r="CE93" s="1164">
        <f t="shared" si="47"/>
        <v>-1</v>
      </c>
      <c r="CF93" s="1161">
        <f t="shared" si="48"/>
        <v>4165</v>
      </c>
      <c r="CG93" s="1162">
        <f t="shared" si="49"/>
        <v>-1</v>
      </c>
      <c r="CH93" s="1158">
        <f>CH91-CH92</f>
        <v>-4165</v>
      </c>
      <c r="CI93" s="1159" t="str">
        <f t="shared" si="584"/>
        <v/>
      </c>
      <c r="CJ93" s="3"/>
      <c r="CK93" s="1160">
        <f>CK91-CK92</f>
        <v>-4165</v>
      </c>
      <c r="CL93" s="1159" t="str">
        <f t="shared" si="585"/>
        <v/>
      </c>
      <c r="CM93" s="3"/>
      <c r="CN93" s="1160">
        <f>CN91-CN92</f>
        <v>0</v>
      </c>
      <c r="CO93" s="1159" t="str">
        <f t="shared" si="586"/>
        <v/>
      </c>
      <c r="CP93" s="3"/>
      <c r="CQ93" s="1161">
        <f t="shared" si="53"/>
        <v>4165</v>
      </c>
      <c r="CR93" s="1164">
        <f t="shared" si="54"/>
        <v>-1</v>
      </c>
      <c r="CS93" s="1161">
        <f t="shared" si="55"/>
        <v>4165</v>
      </c>
      <c r="CT93" s="1162">
        <f t="shared" si="56"/>
        <v>-1</v>
      </c>
      <c r="CU93" s="1158">
        <f t="shared" si="694"/>
        <v>-8330</v>
      </c>
      <c r="CV93" s="1159" t="str">
        <f t="shared" si="587"/>
        <v/>
      </c>
      <c r="CW93" s="3"/>
      <c r="CX93" s="1160">
        <f t="shared" si="695"/>
        <v>-8833.6</v>
      </c>
      <c r="CY93" s="1159" t="str">
        <f t="shared" si="589"/>
        <v/>
      </c>
      <c r="CZ93" s="3"/>
      <c r="DA93" s="1160">
        <f t="shared" si="696"/>
        <v>0</v>
      </c>
      <c r="DB93" s="1159" t="str">
        <f t="shared" si="591"/>
        <v/>
      </c>
      <c r="DC93" s="3"/>
      <c r="DD93" s="1161">
        <f t="shared" si="63"/>
        <v>8330</v>
      </c>
      <c r="DE93" s="1164">
        <f t="shared" si="64"/>
        <v>-1</v>
      </c>
      <c r="DF93" s="1161">
        <f t="shared" si="65"/>
        <v>8833.6</v>
      </c>
      <c r="DG93" s="1162">
        <f t="shared" si="66"/>
        <v>-1</v>
      </c>
      <c r="DH93" s="1158">
        <f t="shared" si="697"/>
        <v>-8330</v>
      </c>
      <c r="DI93" s="1159" t="str">
        <f t="shared" si="592"/>
        <v/>
      </c>
      <c r="DJ93" s="3"/>
      <c r="DK93" s="1160">
        <f t="shared" si="216"/>
        <v>-9840.8</v>
      </c>
      <c r="DL93" s="1159" t="str">
        <f t="shared" si="593"/>
        <v/>
      </c>
      <c r="DM93" s="3"/>
      <c r="DN93" s="1160">
        <f t="shared" si="219"/>
        <v>-160.001</v>
      </c>
      <c r="DO93" s="1159">
        <f t="shared" si="594"/>
        <v>-0.0004705911765</v>
      </c>
      <c r="DP93" s="3"/>
      <c r="DQ93" s="1161">
        <f t="shared" si="73"/>
        <v>8169.999</v>
      </c>
      <c r="DR93" s="1164">
        <f t="shared" si="74"/>
        <v>-0.9807921969</v>
      </c>
      <c r="DS93" s="1161">
        <f t="shared" si="75"/>
        <v>9680.799</v>
      </c>
      <c r="DT93" s="1162">
        <f t="shared" si="76"/>
        <v>-0.9837410576</v>
      </c>
      <c r="DU93" s="1158">
        <f>DU91-DU92</f>
        <v>-4165</v>
      </c>
      <c r="DV93" s="1159" t="str">
        <f t="shared" si="595"/>
        <v/>
      </c>
      <c r="DW93" s="3"/>
      <c r="DX93" s="1160">
        <f>DX91-DX92</f>
        <v>-4165</v>
      </c>
      <c r="DY93" s="1159" t="str">
        <f t="shared" si="596"/>
        <v/>
      </c>
      <c r="DZ93" s="3"/>
      <c r="EA93" s="1160">
        <f>EA91-EA92</f>
        <v>0</v>
      </c>
      <c r="EB93" s="1159" t="str">
        <f t="shared" si="597"/>
        <v/>
      </c>
      <c r="EC93" s="3"/>
      <c r="ED93" s="1161">
        <f t="shared" si="80"/>
        <v>4165</v>
      </c>
      <c r="EE93" s="1164">
        <f t="shared" si="81"/>
        <v>-1</v>
      </c>
      <c r="EF93" s="1161">
        <f t="shared" si="82"/>
        <v>4165</v>
      </c>
      <c r="EG93" s="1162">
        <f t="shared" si="83"/>
        <v>-1</v>
      </c>
      <c r="EH93" s="1158">
        <f>EH91-EH92</f>
        <v>-4165</v>
      </c>
      <c r="EI93" s="1159" t="str">
        <f t="shared" si="598"/>
        <v/>
      </c>
      <c r="EJ93" s="3"/>
      <c r="EK93" s="1160">
        <f>EK91-EK92</f>
        <v>-4165</v>
      </c>
      <c r="EL93" s="1159" t="str">
        <f t="shared" si="599"/>
        <v/>
      </c>
      <c r="EM93" s="3"/>
      <c r="EN93" s="1160">
        <f>EN91-EN92</f>
        <v>0</v>
      </c>
      <c r="EO93" s="1159" t="str">
        <f t="shared" si="600"/>
        <v/>
      </c>
      <c r="EP93" s="3"/>
      <c r="EQ93" s="1161">
        <f t="shared" si="87"/>
        <v>4165</v>
      </c>
      <c r="ER93" s="1164">
        <f t="shared" si="88"/>
        <v>-1</v>
      </c>
      <c r="ES93" s="1161">
        <f t="shared" si="89"/>
        <v>4165</v>
      </c>
      <c r="ET93" s="1162">
        <f t="shared" si="90"/>
        <v>-1</v>
      </c>
      <c r="EU93" s="1158">
        <f>EU91-EU92</f>
        <v>-4165</v>
      </c>
      <c r="EV93" s="1159" t="str">
        <f t="shared" si="601"/>
        <v/>
      </c>
      <c r="EW93" s="3"/>
      <c r="EX93" s="1160">
        <f>EX91-EX92</f>
        <v>-4165</v>
      </c>
      <c r="EY93" s="1159" t="str">
        <f t="shared" si="602"/>
        <v/>
      </c>
      <c r="EZ93" s="3"/>
      <c r="FA93" s="1160">
        <f>FA91-FA92</f>
        <v>0</v>
      </c>
      <c r="FB93" s="1159" t="str">
        <f t="shared" si="603"/>
        <v/>
      </c>
      <c r="FC93" s="3"/>
      <c r="FD93" s="1161">
        <f t="shared" si="94"/>
        <v>4165</v>
      </c>
      <c r="FE93" s="1164">
        <f t="shared" si="95"/>
        <v>-1</v>
      </c>
      <c r="FF93" s="1161">
        <f t="shared" si="96"/>
        <v>4165</v>
      </c>
      <c r="FG93" s="1162">
        <f t="shared" si="97"/>
        <v>-1</v>
      </c>
      <c r="FH93" s="1158">
        <f t="shared" si="698"/>
        <v>-12495</v>
      </c>
      <c r="FI93" s="1159" t="str">
        <f t="shared" si="604"/>
        <v/>
      </c>
      <c r="FJ93" s="3"/>
      <c r="FK93" s="1160">
        <f t="shared" si="243"/>
        <v>-12495</v>
      </c>
      <c r="FL93" s="1159" t="str">
        <f t="shared" si="605"/>
        <v/>
      </c>
      <c r="FM93" s="3"/>
      <c r="FN93" s="1160">
        <f t="shared" si="246"/>
        <v>0</v>
      </c>
      <c r="FO93" s="1159" t="str">
        <f t="shared" si="606"/>
        <v/>
      </c>
      <c r="FP93" s="3"/>
      <c r="FQ93" s="1161">
        <f t="shared" si="104"/>
        <v>12495</v>
      </c>
      <c r="FR93" s="1164">
        <f t="shared" si="105"/>
        <v>-1</v>
      </c>
      <c r="FS93" s="1161">
        <f t="shared" si="106"/>
        <v>12495</v>
      </c>
      <c r="FT93" s="1162">
        <f t="shared" si="107"/>
        <v>-1</v>
      </c>
      <c r="FU93" s="1158">
        <f>FU91-FU92</f>
        <v>-4165</v>
      </c>
      <c r="FV93" s="1159" t="str">
        <f t="shared" si="607"/>
        <v/>
      </c>
      <c r="FW93" s="3"/>
      <c r="FX93" s="1160">
        <f>FX91-FX92</f>
        <v>-4165</v>
      </c>
      <c r="FY93" s="1159" t="str">
        <f t="shared" si="608"/>
        <v/>
      </c>
      <c r="FZ93" s="3"/>
      <c r="GA93" s="1160">
        <f>GA91-GA92</f>
        <v>0</v>
      </c>
      <c r="GB93" s="1159" t="str">
        <f t="shared" si="609"/>
        <v/>
      </c>
      <c r="GC93" s="3"/>
      <c r="GD93" s="1161">
        <f t="shared" si="111"/>
        <v>4165</v>
      </c>
      <c r="GE93" s="1164">
        <f t="shared" si="112"/>
        <v>-1</v>
      </c>
      <c r="GF93" s="1161">
        <f t="shared" si="113"/>
        <v>4165</v>
      </c>
      <c r="GG93" s="1162">
        <f t="shared" si="114"/>
        <v>-1</v>
      </c>
      <c r="GH93" s="1158">
        <f>GH91-GH92</f>
        <v>-4165</v>
      </c>
      <c r="GI93" s="1159" t="str">
        <f t="shared" si="610"/>
        <v/>
      </c>
      <c r="GJ93" s="3"/>
      <c r="GK93" s="1160">
        <f>GK91-GK92</f>
        <v>-4165</v>
      </c>
      <c r="GL93" s="1159" t="str">
        <f t="shared" si="611"/>
        <v/>
      </c>
      <c r="GM93" s="3"/>
      <c r="GN93" s="1160">
        <f>GN91-GN92</f>
        <v>0</v>
      </c>
      <c r="GO93" s="1159" t="str">
        <f t="shared" si="612"/>
        <v/>
      </c>
      <c r="GP93" s="3"/>
      <c r="GQ93" s="1161">
        <f t="shared" si="118"/>
        <v>4165</v>
      </c>
      <c r="GR93" s="1164">
        <f t="shared" si="119"/>
        <v>-1</v>
      </c>
      <c r="GS93" s="1161">
        <f t="shared" si="120"/>
        <v>4165</v>
      </c>
      <c r="GT93" s="1162">
        <f t="shared" si="121"/>
        <v>-1</v>
      </c>
      <c r="GU93" s="1158">
        <f>GU91-GU92</f>
        <v>-4165</v>
      </c>
      <c r="GV93" s="1159" t="str">
        <f t="shared" si="613"/>
        <v/>
      </c>
      <c r="GW93" s="3"/>
      <c r="GX93" s="1160">
        <f>GX91-GX92</f>
        <v>-4165</v>
      </c>
      <c r="GY93" s="1159" t="str">
        <f t="shared" si="614"/>
        <v/>
      </c>
      <c r="GZ93" s="3"/>
      <c r="HA93" s="1160">
        <f>HA91-HA92</f>
        <v>0</v>
      </c>
      <c r="HB93" s="1159" t="str">
        <f t="shared" si="615"/>
        <v/>
      </c>
      <c r="HC93" s="3"/>
      <c r="HD93" s="1161">
        <f t="shared" si="125"/>
        <v>4165</v>
      </c>
      <c r="HE93" s="1164">
        <f t="shared" si="126"/>
        <v>-1</v>
      </c>
      <c r="HF93" s="1161">
        <f t="shared" si="127"/>
        <v>4165</v>
      </c>
      <c r="HG93" s="1162">
        <f t="shared" si="128"/>
        <v>-1</v>
      </c>
      <c r="HH93" s="1158">
        <f t="shared" si="699"/>
        <v>-12495</v>
      </c>
      <c r="HI93" s="1159" t="str">
        <f t="shared" si="616"/>
        <v/>
      </c>
      <c r="HJ93" s="3"/>
      <c r="HK93" s="1160">
        <f t="shared" si="270"/>
        <v>-12495</v>
      </c>
      <c r="HL93" s="1159" t="str">
        <f t="shared" si="617"/>
        <v/>
      </c>
      <c r="HM93" s="3"/>
      <c r="HN93" s="1160">
        <f t="shared" si="273"/>
        <v>0</v>
      </c>
      <c r="HO93" s="1159" t="str">
        <f t="shared" si="618"/>
        <v/>
      </c>
      <c r="HP93" s="3"/>
      <c r="HQ93" s="1161">
        <f t="shared" si="135"/>
        <v>12495</v>
      </c>
      <c r="HR93" s="1164">
        <f t="shared" si="136"/>
        <v>-1</v>
      </c>
      <c r="HS93" s="1161">
        <f t="shared" si="137"/>
        <v>12495</v>
      </c>
      <c r="HT93" s="1162">
        <f t="shared" si="138"/>
        <v>-1</v>
      </c>
      <c r="HU93" s="1158">
        <f t="shared" si="700"/>
        <v>-24990</v>
      </c>
      <c r="HV93" s="1159" t="str">
        <f t="shared" si="619"/>
        <v/>
      </c>
      <c r="HW93" s="3"/>
      <c r="HX93" s="1160">
        <f t="shared" si="279"/>
        <v>-24990</v>
      </c>
      <c r="HY93" s="1159" t="str">
        <f t="shared" si="620"/>
        <v/>
      </c>
      <c r="HZ93" s="3"/>
      <c r="IA93" s="1160">
        <f t="shared" si="282"/>
        <v>0</v>
      </c>
      <c r="IB93" s="1159" t="str">
        <f t="shared" si="621"/>
        <v/>
      </c>
      <c r="IC93" s="3"/>
      <c r="ID93" s="1161">
        <f t="shared" si="145"/>
        <v>24990</v>
      </c>
      <c r="IE93" s="1164">
        <f t="shared" si="146"/>
        <v>-1</v>
      </c>
      <c r="IF93" s="1161">
        <f t="shared" si="147"/>
        <v>24990</v>
      </c>
      <c r="IG93" s="1162">
        <f t="shared" si="148"/>
        <v>-1</v>
      </c>
      <c r="IH93" s="1158">
        <f t="shared" si="701"/>
        <v>-33320</v>
      </c>
      <c r="II93" s="1159" t="str">
        <f t="shared" si="622"/>
        <v/>
      </c>
      <c r="IJ93" s="3"/>
      <c r="IK93" s="1160">
        <f t="shared" si="288"/>
        <v>-34830.8</v>
      </c>
      <c r="IL93" s="1159" t="str">
        <f t="shared" si="623"/>
        <v/>
      </c>
      <c r="IM93" s="3"/>
      <c r="IN93" s="1160">
        <f t="shared" si="291"/>
        <v>-160.001</v>
      </c>
      <c r="IO93" s="1159">
        <f t="shared" si="624"/>
        <v>-0.0004705911765</v>
      </c>
      <c r="IP93" s="3"/>
      <c r="IQ93" s="1161">
        <f t="shared" si="155"/>
        <v>33159.999</v>
      </c>
      <c r="IR93" s="1164">
        <f t="shared" si="1"/>
        <v>-0.9951980492</v>
      </c>
      <c r="IS93" s="1161">
        <f t="shared" si="156"/>
        <v>34670.799</v>
      </c>
      <c r="IT93" s="1162">
        <f t="shared" si="2"/>
        <v>-0.9954063358</v>
      </c>
    </row>
    <row r="94">
      <c r="A94" s="1155" t="s">
        <v>2879</v>
      </c>
      <c r="B94" s="1156"/>
      <c r="C94" s="1156"/>
      <c r="D94" s="1156"/>
      <c r="E94" s="1156"/>
      <c r="F94" s="1156"/>
      <c r="G94" s="1156"/>
      <c r="H94" s="1158">
        <f>H90+H93</f>
        <v>-451364</v>
      </c>
      <c r="I94" s="1159" t="str">
        <f t="shared" si="566"/>
        <v/>
      </c>
      <c r="J94" s="3"/>
      <c r="K94" s="1160">
        <f>K90+K93</f>
        <v>-451364</v>
      </c>
      <c r="L94" s="1159" t="str">
        <f t="shared" si="567"/>
        <v/>
      </c>
      <c r="M94" s="3"/>
      <c r="N94" s="1160">
        <f>N90+N93</f>
        <v>-489084.07</v>
      </c>
      <c r="O94" s="1159">
        <f t="shared" si="568"/>
        <v>-1.438482559</v>
      </c>
      <c r="P94" s="3"/>
      <c r="Q94" s="1161">
        <f t="shared" si="8"/>
        <v>-37720.07</v>
      </c>
      <c r="R94" s="1162">
        <f t="shared" si="9"/>
        <v>0.08356907064</v>
      </c>
      <c r="S94" s="1161">
        <f t="shared" si="10"/>
        <v>-37720.07</v>
      </c>
      <c r="T94" s="1162">
        <f t="shared" si="11"/>
        <v>0.08356907064</v>
      </c>
      <c r="U94" s="1158">
        <f>U90+U93</f>
        <v>-448364</v>
      </c>
      <c r="V94" s="1159" t="str">
        <f t="shared" si="569"/>
        <v/>
      </c>
      <c r="W94" s="3"/>
      <c r="X94" s="1160">
        <f>X90+X93</f>
        <v>-241221.572</v>
      </c>
      <c r="Y94" s="1159" t="str">
        <f t="shared" si="570"/>
        <v/>
      </c>
      <c r="Z94" s="3"/>
      <c r="AA94" s="1160">
        <f>AA90+AA93</f>
        <v>-311642.392</v>
      </c>
      <c r="AB94" s="1159" t="str">
        <f t="shared" si="571"/>
        <v/>
      </c>
      <c r="AC94" s="3"/>
      <c r="AD94" s="1161">
        <f t="shared" si="15"/>
        <v>136721.608</v>
      </c>
      <c r="AE94" s="1162">
        <f t="shared" si="16"/>
        <v>-0.3049344015</v>
      </c>
      <c r="AF94" s="1161">
        <f t="shared" si="17"/>
        <v>-70420.82</v>
      </c>
      <c r="AG94" s="1162">
        <f t="shared" si="18"/>
        <v>0.2919341725</v>
      </c>
      <c r="AH94" s="1158">
        <f>AH90+AH93</f>
        <v>-448364</v>
      </c>
      <c r="AI94" s="1159" t="str">
        <f t="shared" si="572"/>
        <v/>
      </c>
      <c r="AJ94" s="3"/>
      <c r="AK94" s="1160">
        <f>AK90+AK93</f>
        <v>-380581.572</v>
      </c>
      <c r="AL94" s="1159" t="str">
        <f t="shared" si="573"/>
        <v/>
      </c>
      <c r="AM94" s="3"/>
      <c r="AN94" s="1160">
        <f>AN90+AN93</f>
        <v>-815508.526</v>
      </c>
      <c r="AO94" s="1159" t="str">
        <f t="shared" si="574"/>
        <v/>
      </c>
      <c r="AP94" s="3"/>
      <c r="AQ94" s="1161">
        <f t="shared" si="22"/>
        <v>-367144.526</v>
      </c>
      <c r="AR94" s="1162">
        <f t="shared" si="23"/>
        <v>0.8188537126</v>
      </c>
      <c r="AS94" s="1161">
        <f t="shared" si="24"/>
        <v>-434926.954</v>
      </c>
      <c r="AT94" s="1162">
        <f t="shared" si="25"/>
        <v>1.142795621</v>
      </c>
      <c r="AU94" s="1158">
        <f t="shared" si="691"/>
        <v>-1348092</v>
      </c>
      <c r="AV94" s="1159" t="str">
        <f t="shared" si="575"/>
        <v/>
      </c>
      <c r="AW94" s="3"/>
      <c r="AX94" s="1160">
        <f t="shared" si="692"/>
        <v>-1073167.144</v>
      </c>
      <c r="AY94" s="1159" t="str">
        <f t="shared" si="576"/>
        <v/>
      </c>
      <c r="AZ94" s="3"/>
      <c r="BA94" s="1160">
        <f t="shared" si="693"/>
        <v>-1616234.988</v>
      </c>
      <c r="BB94" s="1159">
        <f t="shared" si="577"/>
        <v>-4.753632318</v>
      </c>
      <c r="BC94" s="3"/>
      <c r="BD94" s="1161">
        <f t="shared" si="32"/>
        <v>-268142.988</v>
      </c>
      <c r="BE94" s="1162">
        <f t="shared" si="33"/>
        <v>0.1989055554</v>
      </c>
      <c r="BF94" s="1161">
        <f t="shared" si="34"/>
        <v>-543067.844</v>
      </c>
      <c r="BG94" s="1162">
        <f t="shared" si="35"/>
        <v>0.5060421827</v>
      </c>
      <c r="BH94" s="1158">
        <f>BH90+BH93</f>
        <v>-8105364</v>
      </c>
      <c r="BI94" s="1159" t="str">
        <f t="shared" si="578"/>
        <v/>
      </c>
      <c r="BJ94" s="3"/>
      <c r="BK94" s="1160">
        <f>BK90+BK93</f>
        <v>-590424.106</v>
      </c>
      <c r="BL94" s="1159" t="str">
        <f t="shared" si="579"/>
        <v/>
      </c>
      <c r="BM94" s="3"/>
      <c r="BN94" s="1160">
        <f>BN90+BN93</f>
        <v>-1397101.091</v>
      </c>
      <c r="BO94" s="1159" t="str">
        <f t="shared" si="580"/>
        <v/>
      </c>
      <c r="BP94" s="3"/>
      <c r="BQ94" s="1161">
        <f t="shared" si="39"/>
        <v>6708262.909</v>
      </c>
      <c r="BR94" s="1162">
        <f t="shared" si="40"/>
        <v>-0.8276325294</v>
      </c>
      <c r="BS94" s="1161">
        <f t="shared" si="41"/>
        <v>-806676.985</v>
      </c>
      <c r="BT94" s="1162">
        <f t="shared" si="42"/>
        <v>1.366267022</v>
      </c>
      <c r="BU94" s="1158">
        <f>BU90+BU93</f>
        <v>-8105364</v>
      </c>
      <c r="BV94" s="1159" t="str">
        <f t="shared" si="581"/>
        <v/>
      </c>
      <c r="BW94" s="3"/>
      <c r="BX94" s="1160">
        <f>BX90+BX93</f>
        <v>-1060015.412</v>
      </c>
      <c r="BY94" s="1159" t="str">
        <f t="shared" si="582"/>
        <v/>
      </c>
      <c r="BZ94" s="3"/>
      <c r="CA94" s="1160">
        <f>CA90+CA93</f>
        <v>-788310.917</v>
      </c>
      <c r="CB94" s="1159" t="str">
        <f t="shared" si="583"/>
        <v/>
      </c>
      <c r="CC94" s="3"/>
      <c r="CD94" s="1161">
        <f t="shared" si="46"/>
        <v>7317053.083</v>
      </c>
      <c r="CE94" s="1162">
        <f t="shared" si="47"/>
        <v>-0.9027420709</v>
      </c>
      <c r="CF94" s="1161">
        <f t="shared" si="48"/>
        <v>271704.495</v>
      </c>
      <c r="CG94" s="1162">
        <f t="shared" si="49"/>
        <v>-0.2563212685</v>
      </c>
      <c r="CH94" s="1158">
        <f>CH90+CH93</f>
        <v>-8105364</v>
      </c>
      <c r="CI94" s="1159" t="str">
        <f t="shared" si="584"/>
        <v/>
      </c>
      <c r="CJ94" s="3"/>
      <c r="CK94" s="1160">
        <f>CK90+CK93</f>
        <v>-6738249</v>
      </c>
      <c r="CL94" s="1159" t="str">
        <f t="shared" si="585"/>
        <v/>
      </c>
      <c r="CM94" s="3"/>
      <c r="CN94" s="1160">
        <f>CN90+CN93</f>
        <v>0</v>
      </c>
      <c r="CO94" s="1159" t="str">
        <f t="shared" si="586"/>
        <v/>
      </c>
      <c r="CP94" s="3"/>
      <c r="CQ94" s="1161">
        <f t="shared" si="53"/>
        <v>8105364</v>
      </c>
      <c r="CR94" s="1162">
        <f t="shared" si="54"/>
        <v>-1</v>
      </c>
      <c r="CS94" s="1161">
        <f t="shared" si="55"/>
        <v>6738249</v>
      </c>
      <c r="CT94" s="1162">
        <f t="shared" si="56"/>
        <v>-1</v>
      </c>
      <c r="CU94" s="1158">
        <f t="shared" si="694"/>
        <v>-24316092</v>
      </c>
      <c r="CV94" s="1159" t="str">
        <f t="shared" si="587"/>
        <v/>
      </c>
      <c r="CW94" s="3"/>
      <c r="CX94" s="1160">
        <f t="shared" si="695"/>
        <v>-8388688.518</v>
      </c>
      <c r="CY94" s="1159" t="str">
        <f t="shared" si="589"/>
        <v/>
      </c>
      <c r="CZ94" s="3"/>
      <c r="DA94" s="1160">
        <f t="shared" si="696"/>
        <v>-2185412.008</v>
      </c>
      <c r="DB94" s="1159" t="str">
        <f t="shared" si="591"/>
        <v/>
      </c>
      <c r="DC94" s="3"/>
      <c r="DD94" s="1161">
        <f t="shared" si="63"/>
        <v>22130679.99</v>
      </c>
      <c r="DE94" s="1162">
        <f t="shared" si="64"/>
        <v>-0.9101248668</v>
      </c>
      <c r="DF94" s="1161">
        <f t="shared" si="65"/>
        <v>6203276.51</v>
      </c>
      <c r="DG94" s="1162">
        <f t="shared" si="66"/>
        <v>-0.7394810877</v>
      </c>
      <c r="DH94" s="1158">
        <f t="shared" si="697"/>
        <v>-25664184</v>
      </c>
      <c r="DI94" s="1159" t="str">
        <f t="shared" si="592"/>
        <v/>
      </c>
      <c r="DJ94" s="3"/>
      <c r="DK94" s="1160">
        <f t="shared" si="216"/>
        <v>-9461855.662</v>
      </c>
      <c r="DL94" s="1159" t="str">
        <f t="shared" si="593"/>
        <v/>
      </c>
      <c r="DM94" s="3"/>
      <c r="DN94" s="1160">
        <f t="shared" si="219"/>
        <v>-3801646.996</v>
      </c>
      <c r="DO94" s="1159">
        <f t="shared" si="594"/>
        <v>-11.18131469</v>
      </c>
      <c r="DP94" s="3"/>
      <c r="DQ94" s="1161">
        <f t="shared" si="73"/>
        <v>21862537</v>
      </c>
      <c r="DR94" s="1162">
        <f t="shared" si="74"/>
        <v>-0.851869555</v>
      </c>
      <c r="DS94" s="1161">
        <f t="shared" si="75"/>
        <v>5660208.666</v>
      </c>
      <c r="DT94" s="1162">
        <f t="shared" si="76"/>
        <v>-0.598213381</v>
      </c>
      <c r="DU94" s="1158">
        <f>DU90+DU93</f>
        <v>-8105364</v>
      </c>
      <c r="DV94" s="1159" t="str">
        <f t="shared" si="595"/>
        <v/>
      </c>
      <c r="DW94" s="3"/>
      <c r="DX94" s="1160">
        <f>DX90+DX93</f>
        <v>-8105364</v>
      </c>
      <c r="DY94" s="1159" t="str">
        <f t="shared" si="596"/>
        <v/>
      </c>
      <c r="DZ94" s="3"/>
      <c r="EA94" s="1160">
        <f>EA90+EA93</f>
        <v>0</v>
      </c>
      <c r="EB94" s="1159" t="str">
        <f t="shared" si="597"/>
        <v/>
      </c>
      <c r="EC94" s="3"/>
      <c r="ED94" s="1161">
        <f t="shared" si="80"/>
        <v>8105364</v>
      </c>
      <c r="EE94" s="1162">
        <f t="shared" si="81"/>
        <v>-1</v>
      </c>
      <c r="EF94" s="1161">
        <f t="shared" si="82"/>
        <v>8105364</v>
      </c>
      <c r="EG94" s="1162">
        <f t="shared" si="83"/>
        <v>-1</v>
      </c>
      <c r="EH94" s="1158">
        <f>EH90+EH93</f>
        <v>-8105364</v>
      </c>
      <c r="EI94" s="1159" t="str">
        <f t="shared" si="598"/>
        <v/>
      </c>
      <c r="EJ94" s="3"/>
      <c r="EK94" s="1160">
        <f>EK90+EK93</f>
        <v>-8105364</v>
      </c>
      <c r="EL94" s="1159" t="str">
        <f t="shared" si="599"/>
        <v/>
      </c>
      <c r="EM94" s="3"/>
      <c r="EN94" s="1160">
        <f>EN90+EN93</f>
        <v>0</v>
      </c>
      <c r="EO94" s="1159" t="str">
        <f t="shared" si="600"/>
        <v/>
      </c>
      <c r="EP94" s="3"/>
      <c r="EQ94" s="1161">
        <f t="shared" si="87"/>
        <v>8105364</v>
      </c>
      <c r="ER94" s="1162">
        <f t="shared" si="88"/>
        <v>-1</v>
      </c>
      <c r="ES94" s="1161">
        <f t="shared" si="89"/>
        <v>8105364</v>
      </c>
      <c r="ET94" s="1162">
        <f t="shared" si="90"/>
        <v>-1</v>
      </c>
      <c r="EU94" s="1158">
        <f>EU90+EU93</f>
        <v>-8105364</v>
      </c>
      <c r="EV94" s="1159" t="str">
        <f t="shared" si="601"/>
        <v/>
      </c>
      <c r="EW94" s="3"/>
      <c r="EX94" s="1160">
        <f>EX90+EX93</f>
        <v>-8105364</v>
      </c>
      <c r="EY94" s="1159" t="str">
        <f t="shared" si="602"/>
        <v/>
      </c>
      <c r="EZ94" s="3"/>
      <c r="FA94" s="1160">
        <f>FA90+FA93</f>
        <v>0</v>
      </c>
      <c r="FB94" s="1159" t="str">
        <f t="shared" si="603"/>
        <v/>
      </c>
      <c r="FC94" s="3"/>
      <c r="FD94" s="1161">
        <f t="shared" si="94"/>
        <v>8105364</v>
      </c>
      <c r="FE94" s="1162">
        <f t="shared" si="95"/>
        <v>-1</v>
      </c>
      <c r="FF94" s="1161">
        <f t="shared" si="96"/>
        <v>8105364</v>
      </c>
      <c r="FG94" s="1162">
        <f t="shared" si="97"/>
        <v>-1</v>
      </c>
      <c r="FH94" s="1158">
        <f t="shared" si="698"/>
        <v>-24316092</v>
      </c>
      <c r="FI94" s="1159" t="str">
        <f t="shared" si="604"/>
        <v/>
      </c>
      <c r="FJ94" s="3"/>
      <c r="FK94" s="1160">
        <f t="shared" si="243"/>
        <v>-24316092</v>
      </c>
      <c r="FL94" s="1159" t="str">
        <f t="shared" si="605"/>
        <v/>
      </c>
      <c r="FM94" s="3"/>
      <c r="FN94" s="1160">
        <f t="shared" si="246"/>
        <v>0</v>
      </c>
      <c r="FO94" s="1159" t="str">
        <f t="shared" si="606"/>
        <v/>
      </c>
      <c r="FP94" s="3"/>
      <c r="FQ94" s="1161">
        <f t="shared" si="104"/>
        <v>24316092</v>
      </c>
      <c r="FR94" s="1162">
        <f t="shared" si="105"/>
        <v>-1</v>
      </c>
      <c r="FS94" s="1161">
        <f t="shared" si="106"/>
        <v>24316092</v>
      </c>
      <c r="FT94" s="1162">
        <f t="shared" si="107"/>
        <v>-1</v>
      </c>
      <c r="FU94" s="1158">
        <f>FU90+FU93</f>
        <v>-8105364</v>
      </c>
      <c r="FV94" s="1159" t="str">
        <f t="shared" si="607"/>
        <v/>
      </c>
      <c r="FW94" s="3"/>
      <c r="FX94" s="1160">
        <f>FX90+FX93</f>
        <v>-8105364</v>
      </c>
      <c r="FY94" s="1159" t="str">
        <f t="shared" si="608"/>
        <v/>
      </c>
      <c r="FZ94" s="3"/>
      <c r="GA94" s="1160">
        <f>GA90+GA93</f>
        <v>0</v>
      </c>
      <c r="GB94" s="1159" t="str">
        <f t="shared" si="609"/>
        <v/>
      </c>
      <c r="GC94" s="3"/>
      <c r="GD94" s="1161">
        <f t="shared" si="111"/>
        <v>8105364</v>
      </c>
      <c r="GE94" s="1162">
        <f t="shared" si="112"/>
        <v>-1</v>
      </c>
      <c r="GF94" s="1161">
        <f t="shared" si="113"/>
        <v>8105364</v>
      </c>
      <c r="GG94" s="1162">
        <f t="shared" si="114"/>
        <v>-1</v>
      </c>
      <c r="GH94" s="1158">
        <f>GH90+GH93</f>
        <v>-8105364</v>
      </c>
      <c r="GI94" s="1159" t="str">
        <f t="shared" si="610"/>
        <v/>
      </c>
      <c r="GJ94" s="3"/>
      <c r="GK94" s="1160">
        <f>GK90+GK93</f>
        <v>-8105364</v>
      </c>
      <c r="GL94" s="1159" t="str">
        <f t="shared" si="611"/>
        <v/>
      </c>
      <c r="GM94" s="3"/>
      <c r="GN94" s="1160">
        <f>GN90+GN93</f>
        <v>0</v>
      </c>
      <c r="GO94" s="1159" t="str">
        <f t="shared" si="612"/>
        <v/>
      </c>
      <c r="GP94" s="3"/>
      <c r="GQ94" s="1161">
        <f t="shared" si="118"/>
        <v>8105364</v>
      </c>
      <c r="GR94" s="1162">
        <f t="shared" si="119"/>
        <v>-1</v>
      </c>
      <c r="GS94" s="1161">
        <f t="shared" si="120"/>
        <v>8105364</v>
      </c>
      <c r="GT94" s="1162">
        <f t="shared" si="121"/>
        <v>-1</v>
      </c>
      <c r="GU94" s="1158">
        <f>GU90+GU93</f>
        <v>-8105364</v>
      </c>
      <c r="GV94" s="1159" t="str">
        <f t="shared" si="613"/>
        <v/>
      </c>
      <c r="GW94" s="3"/>
      <c r="GX94" s="1160">
        <f>GX90+GX93</f>
        <v>-8105364</v>
      </c>
      <c r="GY94" s="1159" t="str">
        <f t="shared" si="614"/>
        <v/>
      </c>
      <c r="GZ94" s="3"/>
      <c r="HA94" s="1160">
        <f>HA90+HA93</f>
        <v>0</v>
      </c>
      <c r="HB94" s="1159" t="str">
        <f t="shared" si="615"/>
        <v/>
      </c>
      <c r="HC94" s="3"/>
      <c r="HD94" s="1161">
        <f t="shared" si="125"/>
        <v>8105364</v>
      </c>
      <c r="HE94" s="1162">
        <f t="shared" si="126"/>
        <v>-1</v>
      </c>
      <c r="HF94" s="1161">
        <f t="shared" si="127"/>
        <v>8105364</v>
      </c>
      <c r="HG94" s="1162">
        <f t="shared" si="128"/>
        <v>-1</v>
      </c>
      <c r="HH94" s="1158">
        <f t="shared" si="699"/>
        <v>-24316092</v>
      </c>
      <c r="HI94" s="1159" t="str">
        <f t="shared" si="616"/>
        <v/>
      </c>
      <c r="HJ94" s="3"/>
      <c r="HK94" s="1160">
        <f t="shared" si="270"/>
        <v>-24316092</v>
      </c>
      <c r="HL94" s="1159" t="str">
        <f t="shared" si="617"/>
        <v/>
      </c>
      <c r="HM94" s="3"/>
      <c r="HN94" s="1160">
        <f t="shared" si="273"/>
        <v>0</v>
      </c>
      <c r="HO94" s="1159" t="str">
        <f t="shared" si="618"/>
        <v/>
      </c>
      <c r="HP94" s="3"/>
      <c r="HQ94" s="1161">
        <f t="shared" si="135"/>
        <v>24316092</v>
      </c>
      <c r="HR94" s="1162">
        <f t="shared" si="136"/>
        <v>-1</v>
      </c>
      <c r="HS94" s="1161">
        <f t="shared" si="137"/>
        <v>24316092</v>
      </c>
      <c r="HT94" s="1162">
        <f t="shared" si="138"/>
        <v>-1</v>
      </c>
      <c r="HU94" s="1158">
        <f t="shared" si="700"/>
        <v>-48632184</v>
      </c>
      <c r="HV94" s="1159" t="str">
        <f t="shared" si="619"/>
        <v/>
      </c>
      <c r="HW94" s="3"/>
      <c r="HX94" s="1160">
        <f t="shared" si="279"/>
        <v>-48632184</v>
      </c>
      <c r="HY94" s="1159" t="str">
        <f t="shared" si="620"/>
        <v/>
      </c>
      <c r="HZ94" s="3"/>
      <c r="IA94" s="1160">
        <f t="shared" si="282"/>
        <v>0</v>
      </c>
      <c r="IB94" s="1159" t="str">
        <f t="shared" si="621"/>
        <v/>
      </c>
      <c r="IC94" s="3"/>
      <c r="ID94" s="1161">
        <f t="shared" si="145"/>
        <v>48632184</v>
      </c>
      <c r="IE94" s="1162">
        <f t="shared" si="146"/>
        <v>-1</v>
      </c>
      <c r="IF94" s="1161">
        <f t="shared" si="147"/>
        <v>48632184</v>
      </c>
      <c r="IG94" s="1162">
        <f t="shared" si="148"/>
        <v>-1</v>
      </c>
      <c r="IH94" s="1158">
        <f t="shared" si="701"/>
        <v>-74296368</v>
      </c>
      <c r="II94" s="1159" t="str">
        <f t="shared" si="622"/>
        <v/>
      </c>
      <c r="IJ94" s="3"/>
      <c r="IK94" s="1160">
        <f t="shared" si="288"/>
        <v>-58094039.66</v>
      </c>
      <c r="IL94" s="1159" t="str">
        <f t="shared" si="623"/>
        <v/>
      </c>
      <c r="IM94" s="3"/>
      <c r="IN94" s="1160">
        <f t="shared" si="291"/>
        <v>-3801646.996</v>
      </c>
      <c r="IO94" s="1159">
        <f t="shared" si="624"/>
        <v>-11.18131469</v>
      </c>
      <c r="IP94" s="3"/>
      <c r="IQ94" s="1161">
        <f t="shared" si="155"/>
        <v>70494721</v>
      </c>
      <c r="IR94" s="1162">
        <f t="shared" si="1"/>
        <v>-0.9488313211</v>
      </c>
      <c r="IS94" s="1161">
        <f t="shared" si="156"/>
        <v>54292392.67</v>
      </c>
      <c r="IT94" s="1162">
        <f t="shared" si="2"/>
        <v>-0.9345604641</v>
      </c>
    </row>
    <row r="95">
      <c r="A95" s="1107" t="s">
        <v>2880</v>
      </c>
      <c r="B95" s="1108"/>
      <c r="C95" s="1108"/>
      <c r="D95" s="1108"/>
      <c r="E95" s="1108" t="s">
        <v>2881</v>
      </c>
      <c r="F95" s="1108"/>
      <c r="G95" s="1141">
        <v>1.0</v>
      </c>
      <c r="H95" s="1110">
        <f>H94*0.14</f>
        <v>-63190.96</v>
      </c>
      <c r="I95" s="1111" t="str">
        <f t="shared" si="566"/>
        <v/>
      </c>
      <c r="J95" s="3"/>
      <c r="K95" s="1142">
        <f>K94*0.14</f>
        <v>-63190.96</v>
      </c>
      <c r="L95" s="1111" t="str">
        <f t="shared" si="567"/>
        <v/>
      </c>
      <c r="M95" s="3"/>
      <c r="N95" s="1142">
        <f>N94*0.14</f>
        <v>-68471.7698</v>
      </c>
      <c r="O95" s="1111">
        <f t="shared" si="568"/>
        <v>-0.2013875582</v>
      </c>
      <c r="P95" s="3"/>
      <c r="Q95" s="1143">
        <f t="shared" si="8"/>
        <v>-5280.8098</v>
      </c>
      <c r="R95" s="1144">
        <f t="shared" si="9"/>
        <v>0.08356907064</v>
      </c>
      <c r="S95" s="1143">
        <f t="shared" si="10"/>
        <v>-5280.8098</v>
      </c>
      <c r="T95" s="1112">
        <f t="shared" si="11"/>
        <v>0.08356907064</v>
      </c>
      <c r="U95" s="1110" t="str">
        <f>IF(U94&gt;0,U94*0.14,"")</f>
        <v/>
      </c>
      <c r="V95" s="1111" t="str">
        <f t="shared" si="569"/>
        <v/>
      </c>
      <c r="W95" s="3"/>
      <c r="X95" s="1110" t="str">
        <f>IF(X94&gt;0,X94*0.14,"")</f>
        <v/>
      </c>
      <c r="Y95" s="1111" t="str">
        <f t="shared" si="570"/>
        <v/>
      </c>
      <c r="Z95" s="3"/>
      <c r="AA95" s="1110" t="str">
        <f>IF(AA94&gt;0,AA94*0.14,"")</f>
        <v/>
      </c>
      <c r="AB95" s="1111" t="str">
        <f t="shared" si="571"/>
        <v/>
      </c>
      <c r="AC95" s="3"/>
      <c r="AD95" s="1143">
        <f t="shared" si="15"/>
        <v>0</v>
      </c>
      <c r="AE95" s="1144" t="str">
        <f t="shared" si="16"/>
        <v/>
      </c>
      <c r="AF95" s="1143">
        <f t="shared" si="17"/>
        <v>0</v>
      </c>
      <c r="AG95" s="1112" t="str">
        <f t="shared" si="18"/>
        <v/>
      </c>
      <c r="AH95" s="1110" t="str">
        <f>IF(AH94&gt;0,AH94*0.14,"")</f>
        <v/>
      </c>
      <c r="AI95" s="1111" t="str">
        <f t="shared" si="572"/>
        <v/>
      </c>
      <c r="AJ95" s="3"/>
      <c r="AK95" s="1110" t="str">
        <f>IF(AK94&gt;0,AK94*0.14,"")</f>
        <v/>
      </c>
      <c r="AL95" s="1111" t="str">
        <f t="shared" si="573"/>
        <v/>
      </c>
      <c r="AM95" s="3"/>
      <c r="AN95" s="1110" t="str">
        <f>IF(AN94&gt;0,AN94*0.14,"")</f>
        <v/>
      </c>
      <c r="AO95" s="1111" t="str">
        <f t="shared" si="574"/>
        <v/>
      </c>
      <c r="AP95" s="3"/>
      <c r="AQ95" s="1143">
        <f t="shared" si="22"/>
        <v>0</v>
      </c>
      <c r="AR95" s="1144" t="str">
        <f t="shared" si="23"/>
        <v/>
      </c>
      <c r="AS95" s="1143">
        <f t="shared" si="24"/>
        <v>0</v>
      </c>
      <c r="AT95" s="1112" t="str">
        <f t="shared" si="25"/>
        <v/>
      </c>
      <c r="AU95" s="1110" t="str">
        <f>IF(AU94&gt;0,AU94*0.14,"")</f>
        <v/>
      </c>
      <c r="AV95" s="1111" t="str">
        <f t="shared" si="575"/>
        <v/>
      </c>
      <c r="AW95" s="3"/>
      <c r="AX95" s="1110" t="str">
        <f>IF(AX94&gt;0,AX94*0.14,"")</f>
        <v/>
      </c>
      <c r="AY95" s="1111" t="str">
        <f t="shared" si="576"/>
        <v/>
      </c>
      <c r="AZ95" s="3"/>
      <c r="BA95" s="1110" t="str">
        <f>IF(BA94&gt;0,BA94*0.14,"")</f>
        <v/>
      </c>
      <c r="BB95" s="1111">
        <f t="shared" si="577"/>
        <v>0</v>
      </c>
      <c r="BC95" s="3"/>
      <c r="BD95" s="1143">
        <f t="shared" si="32"/>
        <v>0</v>
      </c>
      <c r="BE95" s="1144" t="str">
        <f t="shared" si="33"/>
        <v/>
      </c>
      <c r="BF95" s="1143">
        <f t="shared" si="34"/>
        <v>0</v>
      </c>
      <c r="BG95" s="1112" t="str">
        <f t="shared" si="35"/>
        <v/>
      </c>
      <c r="BH95" s="1110" t="str">
        <f>IF(BH94&gt;0,BH94*0.14,"")</f>
        <v/>
      </c>
      <c r="BI95" s="1111" t="str">
        <f t="shared" si="578"/>
        <v/>
      </c>
      <c r="BJ95" s="3"/>
      <c r="BK95" s="1110" t="str">
        <f>IF(BK94&gt;0,BK94*0.14,"")</f>
        <v/>
      </c>
      <c r="BL95" s="1111" t="str">
        <f t="shared" si="579"/>
        <v/>
      </c>
      <c r="BM95" s="3"/>
      <c r="BN95" s="1110" t="str">
        <f>IF(BN94&gt;0,BN94*0.14,"")</f>
        <v/>
      </c>
      <c r="BO95" s="1111" t="str">
        <f t="shared" si="580"/>
        <v/>
      </c>
      <c r="BP95" s="3"/>
      <c r="BQ95" s="1143">
        <f t="shared" si="39"/>
        <v>0</v>
      </c>
      <c r="BR95" s="1144" t="str">
        <f t="shared" si="40"/>
        <v/>
      </c>
      <c r="BS95" s="1143">
        <f t="shared" si="41"/>
        <v>0</v>
      </c>
      <c r="BT95" s="1112" t="str">
        <f t="shared" si="42"/>
        <v/>
      </c>
      <c r="BU95" s="1110" t="str">
        <f>IF(BU94&gt;0,BU94*0.14,"")</f>
        <v/>
      </c>
      <c r="BV95" s="1111" t="str">
        <f t="shared" si="581"/>
        <v/>
      </c>
      <c r="BW95" s="3"/>
      <c r="BX95" s="1110" t="str">
        <f>IF(BX94&gt;0,BX94*0.14,"")</f>
        <v/>
      </c>
      <c r="BY95" s="1111" t="str">
        <f t="shared" si="582"/>
        <v/>
      </c>
      <c r="BZ95" s="3"/>
      <c r="CA95" s="1110" t="str">
        <f>IF(CA94&gt;0,CA94*0.14,"")</f>
        <v/>
      </c>
      <c r="CB95" s="1111" t="str">
        <f t="shared" si="583"/>
        <v/>
      </c>
      <c r="CC95" s="3"/>
      <c r="CD95" s="1143">
        <f t="shared" si="46"/>
        <v>0</v>
      </c>
      <c r="CE95" s="1144" t="str">
        <f t="shared" si="47"/>
        <v/>
      </c>
      <c r="CF95" s="1143">
        <f t="shared" si="48"/>
        <v>0</v>
      </c>
      <c r="CG95" s="1112" t="str">
        <f t="shared" si="49"/>
        <v/>
      </c>
      <c r="CH95" s="1110" t="str">
        <f>IF(CH94&gt;0,CH94*0.14,"")</f>
        <v/>
      </c>
      <c r="CI95" s="1111" t="str">
        <f t="shared" si="584"/>
        <v/>
      </c>
      <c r="CJ95" s="3"/>
      <c r="CK95" s="1110" t="str">
        <f>IF(CK94&gt;0,CK94*0.14,"")</f>
        <v/>
      </c>
      <c r="CL95" s="1111" t="str">
        <f t="shared" si="585"/>
        <v/>
      </c>
      <c r="CM95" s="3"/>
      <c r="CN95" s="1110" t="str">
        <f>IF(CN94&gt;0,CN94*0.14,"")</f>
        <v/>
      </c>
      <c r="CO95" s="1111" t="str">
        <f t="shared" si="586"/>
        <v/>
      </c>
      <c r="CP95" s="3"/>
      <c r="CQ95" s="1143">
        <f t="shared" si="53"/>
        <v>0</v>
      </c>
      <c r="CR95" s="1144" t="str">
        <f t="shared" si="54"/>
        <v/>
      </c>
      <c r="CS95" s="1143">
        <f t="shared" si="55"/>
        <v>0</v>
      </c>
      <c r="CT95" s="1112" t="str">
        <f t="shared" si="56"/>
        <v/>
      </c>
      <c r="CU95" s="1110" t="str">
        <f>IF(CU94&gt;0,CU94*0.14,"")</f>
        <v/>
      </c>
      <c r="CV95" s="1111" t="str">
        <f t="shared" si="587"/>
        <v/>
      </c>
      <c r="CW95" s="3"/>
      <c r="CX95" s="1110" t="str">
        <f>IF(CX94&gt;0,CX94*0.14,"")</f>
        <v/>
      </c>
      <c r="CY95" s="1111" t="str">
        <f t="shared" si="589"/>
        <v/>
      </c>
      <c r="CZ95" s="3"/>
      <c r="DA95" s="1110" t="str">
        <f>IF(DA94&gt;0,DA94*0.14,"")</f>
        <v/>
      </c>
      <c r="DB95" s="1111" t="str">
        <f t="shared" si="591"/>
        <v/>
      </c>
      <c r="DC95" s="3"/>
      <c r="DD95" s="1143">
        <f t="shared" si="63"/>
        <v>0</v>
      </c>
      <c r="DE95" s="1144" t="str">
        <f t="shared" si="64"/>
        <v/>
      </c>
      <c r="DF95" s="1143">
        <f t="shared" si="65"/>
        <v>0</v>
      </c>
      <c r="DG95" s="1112" t="str">
        <f t="shared" si="66"/>
        <v/>
      </c>
      <c r="DH95" s="1110" t="str">
        <f>IF(DH94&gt;0,DH94*0.14,"")</f>
        <v/>
      </c>
      <c r="DI95" s="1111" t="str">
        <f t="shared" si="592"/>
        <v/>
      </c>
      <c r="DJ95" s="3"/>
      <c r="DK95" s="1110" t="str">
        <f>IF(DK94&gt;0,DK94*0.14,"")</f>
        <v/>
      </c>
      <c r="DL95" s="1111" t="str">
        <f t="shared" si="593"/>
        <v/>
      </c>
      <c r="DM95" s="3"/>
      <c r="DN95" s="1110" t="str">
        <f>IF(DN94&gt;0,DN94*0.14,"")</f>
        <v/>
      </c>
      <c r="DO95" s="1111">
        <f t="shared" si="594"/>
        <v>0</v>
      </c>
      <c r="DP95" s="3"/>
      <c r="DQ95" s="1143">
        <f t="shared" si="73"/>
        <v>0</v>
      </c>
      <c r="DR95" s="1144" t="str">
        <f t="shared" si="74"/>
        <v/>
      </c>
      <c r="DS95" s="1143">
        <f t="shared" si="75"/>
        <v>0</v>
      </c>
      <c r="DT95" s="1112" t="str">
        <f t="shared" si="76"/>
        <v/>
      </c>
      <c r="DU95" s="1110" t="str">
        <f>IF(DU94&gt;0,DU94*0.14,"")</f>
        <v/>
      </c>
      <c r="DV95" s="1111" t="str">
        <f t="shared" si="595"/>
        <v/>
      </c>
      <c r="DW95" s="3"/>
      <c r="DX95" s="1110" t="str">
        <f>IF(DX94&gt;0,DX94*0.14,"")</f>
        <v/>
      </c>
      <c r="DY95" s="1111" t="str">
        <f t="shared" si="596"/>
        <v/>
      </c>
      <c r="DZ95" s="3"/>
      <c r="EA95" s="1110" t="str">
        <f>IF(EA94&gt;0,EA94*0.14,"")</f>
        <v/>
      </c>
      <c r="EB95" s="1111" t="str">
        <f t="shared" si="597"/>
        <v/>
      </c>
      <c r="EC95" s="3"/>
      <c r="ED95" s="1143">
        <f t="shared" si="80"/>
        <v>0</v>
      </c>
      <c r="EE95" s="1144" t="str">
        <f t="shared" si="81"/>
        <v/>
      </c>
      <c r="EF95" s="1143">
        <f t="shared" si="82"/>
        <v>0</v>
      </c>
      <c r="EG95" s="1112" t="str">
        <f t="shared" si="83"/>
        <v/>
      </c>
      <c r="EH95" s="1110" t="str">
        <f>IF(EH94&gt;0,EH94*0.14,"")</f>
        <v/>
      </c>
      <c r="EI95" s="1111" t="str">
        <f t="shared" si="598"/>
        <v/>
      </c>
      <c r="EJ95" s="3"/>
      <c r="EK95" s="1110" t="str">
        <f>IF(EK94&gt;0,EK94*0.14,"")</f>
        <v/>
      </c>
      <c r="EL95" s="1111" t="str">
        <f t="shared" si="599"/>
        <v/>
      </c>
      <c r="EM95" s="3"/>
      <c r="EN95" s="1110" t="str">
        <f>IF(EN94&gt;0,EN94*0.14,"")</f>
        <v/>
      </c>
      <c r="EO95" s="1111" t="str">
        <f t="shared" si="600"/>
        <v/>
      </c>
      <c r="EP95" s="3"/>
      <c r="EQ95" s="1143">
        <f t="shared" si="87"/>
        <v>0</v>
      </c>
      <c r="ER95" s="1144" t="str">
        <f t="shared" si="88"/>
        <v/>
      </c>
      <c r="ES95" s="1143">
        <f t="shared" si="89"/>
        <v>0</v>
      </c>
      <c r="ET95" s="1112" t="str">
        <f t="shared" si="90"/>
        <v/>
      </c>
      <c r="EU95" s="1110" t="str">
        <f>IF(EU94&gt;0,EU94*0.14,"")</f>
        <v/>
      </c>
      <c r="EV95" s="1111" t="str">
        <f t="shared" si="601"/>
        <v/>
      </c>
      <c r="EW95" s="3"/>
      <c r="EX95" s="1110" t="str">
        <f>IF(EX94&gt;0,EX94*0.14,"")</f>
        <v/>
      </c>
      <c r="EY95" s="1111" t="str">
        <f t="shared" si="602"/>
        <v/>
      </c>
      <c r="EZ95" s="3"/>
      <c r="FA95" s="1110" t="str">
        <f>IF(FA94&gt;0,FA94*0.14,"")</f>
        <v/>
      </c>
      <c r="FB95" s="1111" t="str">
        <f t="shared" si="603"/>
        <v/>
      </c>
      <c r="FC95" s="3"/>
      <c r="FD95" s="1143">
        <f t="shared" si="94"/>
        <v>0</v>
      </c>
      <c r="FE95" s="1144" t="str">
        <f t="shared" si="95"/>
        <v/>
      </c>
      <c r="FF95" s="1143">
        <f t="shared" si="96"/>
        <v>0</v>
      </c>
      <c r="FG95" s="1112" t="str">
        <f t="shared" si="97"/>
        <v/>
      </c>
      <c r="FH95" s="1110">
        <f t="shared" si="698"/>
        <v>0</v>
      </c>
      <c r="FI95" s="1111" t="str">
        <f t="shared" si="604"/>
        <v/>
      </c>
      <c r="FJ95" s="3"/>
      <c r="FK95" s="1142">
        <f t="shared" si="243"/>
        <v>0</v>
      </c>
      <c r="FL95" s="1111" t="str">
        <f t="shared" si="605"/>
        <v/>
      </c>
      <c r="FM95" s="3"/>
      <c r="FN95" s="1142">
        <f t="shared" si="246"/>
        <v>0</v>
      </c>
      <c r="FO95" s="1111" t="str">
        <f t="shared" si="606"/>
        <v/>
      </c>
      <c r="FP95" s="3"/>
      <c r="FQ95" s="1143">
        <f t="shared" si="104"/>
        <v>0</v>
      </c>
      <c r="FR95" s="1144" t="str">
        <f t="shared" si="105"/>
        <v/>
      </c>
      <c r="FS95" s="1143">
        <f t="shared" si="106"/>
        <v>0</v>
      </c>
      <c r="FT95" s="1112" t="str">
        <f t="shared" si="107"/>
        <v/>
      </c>
      <c r="FU95" s="1110" t="str">
        <f>IF(FU94&gt;0,FU94*0.14,"")</f>
        <v/>
      </c>
      <c r="FV95" s="1111" t="str">
        <f t="shared" si="607"/>
        <v/>
      </c>
      <c r="FW95" s="3"/>
      <c r="FX95" s="1110" t="str">
        <f>IF(FX94&gt;0,FX94*0.14,"")</f>
        <v/>
      </c>
      <c r="FY95" s="1111" t="str">
        <f t="shared" si="608"/>
        <v/>
      </c>
      <c r="FZ95" s="3"/>
      <c r="GA95" s="1110" t="str">
        <f>IF(GA94&gt;0,GA94*0.14,"")</f>
        <v/>
      </c>
      <c r="GB95" s="1111" t="str">
        <f t="shared" si="609"/>
        <v/>
      </c>
      <c r="GC95" s="3"/>
      <c r="GD95" s="1143">
        <f t="shared" si="111"/>
        <v>0</v>
      </c>
      <c r="GE95" s="1144" t="str">
        <f t="shared" si="112"/>
        <v/>
      </c>
      <c r="GF95" s="1143">
        <f t="shared" si="113"/>
        <v>0</v>
      </c>
      <c r="GG95" s="1112" t="str">
        <f t="shared" si="114"/>
        <v/>
      </c>
      <c r="GH95" s="1110" t="str">
        <f>IF(GH94&gt;0,GH94*0.14,"")</f>
        <v/>
      </c>
      <c r="GI95" s="1111" t="str">
        <f t="shared" si="610"/>
        <v/>
      </c>
      <c r="GJ95" s="3"/>
      <c r="GK95" s="1110" t="str">
        <f>IF(GK94&gt;0,GK94*0.14,"")</f>
        <v/>
      </c>
      <c r="GL95" s="1111" t="str">
        <f t="shared" si="611"/>
        <v/>
      </c>
      <c r="GM95" s="3"/>
      <c r="GN95" s="1110" t="str">
        <f>IF(GN94&gt;0,GN94*0.14,"")</f>
        <v/>
      </c>
      <c r="GO95" s="1111" t="str">
        <f t="shared" si="612"/>
        <v/>
      </c>
      <c r="GP95" s="3"/>
      <c r="GQ95" s="1143">
        <f t="shared" si="118"/>
        <v>0</v>
      </c>
      <c r="GR95" s="1144" t="str">
        <f t="shared" si="119"/>
        <v/>
      </c>
      <c r="GS95" s="1143">
        <f t="shared" si="120"/>
        <v>0</v>
      </c>
      <c r="GT95" s="1112" t="str">
        <f t="shared" si="121"/>
        <v/>
      </c>
      <c r="GU95" s="1110" t="str">
        <f>IF(GU94&gt;0,GU94*0.14,"")</f>
        <v/>
      </c>
      <c r="GV95" s="1111" t="str">
        <f t="shared" si="613"/>
        <v/>
      </c>
      <c r="GW95" s="3"/>
      <c r="GX95" s="1110" t="str">
        <f>IF(GX94&gt;0,GX94*0.14,"")</f>
        <v/>
      </c>
      <c r="GY95" s="1111" t="str">
        <f t="shared" si="614"/>
        <v/>
      </c>
      <c r="GZ95" s="3"/>
      <c r="HA95" s="1110" t="str">
        <f>IF(HA94&gt;0,HA94*0.14,"")</f>
        <v/>
      </c>
      <c r="HB95" s="1111" t="str">
        <f t="shared" si="615"/>
        <v/>
      </c>
      <c r="HC95" s="3"/>
      <c r="HD95" s="1143">
        <f t="shared" si="125"/>
        <v>0</v>
      </c>
      <c r="HE95" s="1144" t="str">
        <f t="shared" si="126"/>
        <v/>
      </c>
      <c r="HF95" s="1143">
        <f t="shared" si="127"/>
        <v>0</v>
      </c>
      <c r="HG95" s="1112" t="str">
        <f t="shared" si="128"/>
        <v/>
      </c>
      <c r="HH95" s="1110">
        <f t="shared" si="699"/>
        <v>0</v>
      </c>
      <c r="HI95" s="1111" t="str">
        <f t="shared" si="616"/>
        <v/>
      </c>
      <c r="HJ95" s="3"/>
      <c r="HK95" s="1142">
        <f t="shared" si="270"/>
        <v>0</v>
      </c>
      <c r="HL95" s="1111" t="str">
        <f t="shared" si="617"/>
        <v/>
      </c>
      <c r="HM95" s="3"/>
      <c r="HN95" s="1142">
        <f t="shared" si="273"/>
        <v>0</v>
      </c>
      <c r="HO95" s="1111" t="str">
        <f t="shared" si="618"/>
        <v/>
      </c>
      <c r="HP95" s="3"/>
      <c r="HQ95" s="1143">
        <f t="shared" si="135"/>
        <v>0</v>
      </c>
      <c r="HR95" s="1144" t="str">
        <f t="shared" si="136"/>
        <v/>
      </c>
      <c r="HS95" s="1143">
        <f t="shared" si="137"/>
        <v>0</v>
      </c>
      <c r="HT95" s="1112" t="str">
        <f t="shared" si="138"/>
        <v/>
      </c>
      <c r="HU95" s="1110">
        <f t="shared" si="700"/>
        <v>0</v>
      </c>
      <c r="HV95" s="1111" t="str">
        <f t="shared" si="619"/>
        <v/>
      </c>
      <c r="HW95" s="3"/>
      <c r="HX95" s="1142">
        <f t="shared" si="279"/>
        <v>0</v>
      </c>
      <c r="HY95" s="1111" t="str">
        <f t="shared" si="620"/>
        <v/>
      </c>
      <c r="HZ95" s="3"/>
      <c r="IA95" s="1142">
        <f t="shared" si="282"/>
        <v>0</v>
      </c>
      <c r="IB95" s="1111" t="str">
        <f t="shared" si="621"/>
        <v/>
      </c>
      <c r="IC95" s="3"/>
      <c r="ID95" s="1143">
        <f t="shared" si="145"/>
        <v>0</v>
      </c>
      <c r="IE95" s="1144" t="str">
        <f t="shared" si="146"/>
        <v/>
      </c>
      <c r="IF95" s="1143">
        <f t="shared" si="147"/>
        <v>0</v>
      </c>
      <c r="IG95" s="1112" t="str">
        <f t="shared" si="148"/>
        <v/>
      </c>
      <c r="IH95" s="1110">
        <f t="shared" si="701"/>
        <v>0</v>
      </c>
      <c r="II95" s="1111" t="str">
        <f t="shared" si="622"/>
        <v/>
      </c>
      <c r="IJ95" s="3"/>
      <c r="IK95" s="1142">
        <f t="shared" si="288"/>
        <v>0</v>
      </c>
      <c r="IL95" s="1111" t="str">
        <f t="shared" si="623"/>
        <v/>
      </c>
      <c r="IM95" s="3"/>
      <c r="IN95" s="1142">
        <f t="shared" si="291"/>
        <v>0</v>
      </c>
      <c r="IO95" s="1111">
        <f t="shared" si="624"/>
        <v>0</v>
      </c>
      <c r="IP95" s="3"/>
      <c r="IQ95" s="1143">
        <f t="shared" si="155"/>
        <v>0</v>
      </c>
      <c r="IR95" s="1144" t="str">
        <f t="shared" si="1"/>
        <v/>
      </c>
      <c r="IS95" s="1143">
        <f t="shared" si="156"/>
        <v>0</v>
      </c>
      <c r="IT95" s="1112" t="str">
        <f t="shared" si="2"/>
        <v/>
      </c>
    </row>
    <row r="96">
      <c r="A96" s="1155" t="s">
        <v>2882</v>
      </c>
      <c r="B96" s="1156"/>
      <c r="C96" s="1156"/>
      <c r="D96" s="1156"/>
      <c r="E96" s="1156"/>
      <c r="F96" s="1156"/>
      <c r="G96" s="1156"/>
      <c r="H96" s="1158">
        <f>H94-H95</f>
        <v>-388173.04</v>
      </c>
      <c r="I96" s="1159" t="str">
        <f t="shared" si="566"/>
        <v/>
      </c>
      <c r="J96" s="3"/>
      <c r="K96" s="1160">
        <f>K94-K95</f>
        <v>-388173.04</v>
      </c>
      <c r="L96" s="1159" t="str">
        <f t="shared" si="567"/>
        <v/>
      </c>
      <c r="M96" s="3"/>
      <c r="N96" s="1160">
        <f>N94-N95</f>
        <v>-420612.3002</v>
      </c>
      <c r="O96" s="1159">
        <f t="shared" si="568"/>
        <v>-1.237095001</v>
      </c>
      <c r="P96" s="3"/>
      <c r="Q96" s="1161">
        <f t="shared" si="8"/>
        <v>-32439.2602</v>
      </c>
      <c r="R96" s="1162">
        <f t="shared" si="9"/>
        <v>0.08356907064</v>
      </c>
      <c r="S96" s="1161">
        <f t="shared" si="10"/>
        <v>-32439.2602</v>
      </c>
      <c r="T96" s="1162">
        <f t="shared" si="11"/>
        <v>0.08356907064</v>
      </c>
      <c r="U96" s="1158">
        <f>U94-U95</f>
        <v>-448364</v>
      </c>
      <c r="V96" s="1159" t="str">
        <f t="shared" si="569"/>
        <v/>
      </c>
      <c r="W96" s="3"/>
      <c r="X96" s="1160">
        <f>X94-X95</f>
        <v>-241221.572</v>
      </c>
      <c r="Y96" s="1159" t="str">
        <f t="shared" si="570"/>
        <v/>
      </c>
      <c r="Z96" s="3"/>
      <c r="AA96" s="1160">
        <f>AA94-AA95</f>
        <v>-311642.392</v>
      </c>
      <c r="AB96" s="1159" t="str">
        <f t="shared" si="571"/>
        <v/>
      </c>
      <c r="AC96" s="3"/>
      <c r="AD96" s="1161">
        <f t="shared" si="15"/>
        <v>136721.608</v>
      </c>
      <c r="AE96" s="1162">
        <f t="shared" si="16"/>
        <v>-0.3049344015</v>
      </c>
      <c r="AF96" s="1161">
        <f t="shared" si="17"/>
        <v>-70420.82</v>
      </c>
      <c r="AG96" s="1162">
        <f t="shared" si="18"/>
        <v>0.2919341725</v>
      </c>
      <c r="AH96" s="1158">
        <f>AH94-AH95</f>
        <v>-448364</v>
      </c>
      <c r="AI96" s="1159" t="str">
        <f t="shared" si="572"/>
        <v/>
      </c>
      <c r="AJ96" s="3"/>
      <c r="AK96" s="1160">
        <f>AK94-AK95</f>
        <v>-380581.572</v>
      </c>
      <c r="AL96" s="1159" t="str">
        <f t="shared" si="573"/>
        <v/>
      </c>
      <c r="AM96" s="3"/>
      <c r="AN96" s="1160">
        <f>AN94-AN95</f>
        <v>-815508.526</v>
      </c>
      <c r="AO96" s="1159" t="str">
        <f t="shared" si="574"/>
        <v/>
      </c>
      <c r="AP96" s="3"/>
      <c r="AQ96" s="1161">
        <f t="shared" si="22"/>
        <v>-367144.526</v>
      </c>
      <c r="AR96" s="1162">
        <f t="shared" si="23"/>
        <v>0.8188537126</v>
      </c>
      <c r="AS96" s="1161">
        <f t="shared" si="24"/>
        <v>-434926.954</v>
      </c>
      <c r="AT96" s="1162">
        <f t="shared" si="25"/>
        <v>1.142795621</v>
      </c>
      <c r="AU96" s="1158">
        <f t="shared" ref="AU96:AU97" si="801">SUMIF(H$3:AT$3,AU$3,H96:AT96)</f>
        <v>-1284901.04</v>
      </c>
      <c r="AV96" s="1159" t="str">
        <f t="shared" si="575"/>
        <v/>
      </c>
      <c r="AW96" s="3"/>
      <c r="AX96" s="1160">
        <f t="shared" ref="AX96:AX97" si="802">SUMIF(H$3:AT$3,AX$3,H96:AT96)</f>
        <v>-1009976.184</v>
      </c>
      <c r="AY96" s="1159" t="str">
        <f t="shared" si="576"/>
        <v/>
      </c>
      <c r="AZ96" s="3"/>
      <c r="BA96" s="1160">
        <f t="shared" ref="BA96:BA97" si="803">SUMIF(H$3:AT$3,"AC",H96:AT96)+SUMIF(H$3:AT$3,"TF",H96:AT96)</f>
        <v>-1547763.218</v>
      </c>
      <c r="BB96" s="1159">
        <f t="shared" si="577"/>
        <v>-4.552244759</v>
      </c>
      <c r="BC96" s="3"/>
      <c r="BD96" s="1161">
        <f t="shared" si="32"/>
        <v>-262862.1782</v>
      </c>
      <c r="BE96" s="1162">
        <f t="shared" si="33"/>
        <v>0.2045777613</v>
      </c>
      <c r="BF96" s="1161">
        <f t="shared" si="34"/>
        <v>-537787.0342</v>
      </c>
      <c r="BG96" s="1162">
        <f t="shared" si="35"/>
        <v>0.532474966</v>
      </c>
      <c r="BH96" s="1158">
        <f>BH94-BH95</f>
        <v>-8105364</v>
      </c>
      <c r="BI96" s="1159" t="str">
        <f t="shared" si="578"/>
        <v/>
      </c>
      <c r="BJ96" s="3"/>
      <c r="BK96" s="1160">
        <f>BK94-BK95</f>
        <v>-590424.106</v>
      </c>
      <c r="BL96" s="1159" t="str">
        <f t="shared" si="579"/>
        <v/>
      </c>
      <c r="BM96" s="3"/>
      <c r="BN96" s="1160">
        <f>BN94-BN95</f>
        <v>-1397101.091</v>
      </c>
      <c r="BO96" s="1159" t="str">
        <f t="shared" si="580"/>
        <v/>
      </c>
      <c r="BP96" s="3"/>
      <c r="BQ96" s="1161">
        <f t="shared" si="39"/>
        <v>6708262.909</v>
      </c>
      <c r="BR96" s="1162">
        <f t="shared" si="40"/>
        <v>-0.8276325294</v>
      </c>
      <c r="BS96" s="1161">
        <f t="shared" si="41"/>
        <v>-806676.985</v>
      </c>
      <c r="BT96" s="1162">
        <f t="shared" si="42"/>
        <v>1.366267022</v>
      </c>
      <c r="BU96" s="1158">
        <f>BU94-BU95</f>
        <v>-8105364</v>
      </c>
      <c r="BV96" s="1159" t="str">
        <f t="shared" si="581"/>
        <v/>
      </c>
      <c r="BW96" s="3"/>
      <c r="BX96" s="1160">
        <f>BX94-BX95</f>
        <v>-1060015.412</v>
      </c>
      <c r="BY96" s="1159" t="str">
        <f t="shared" si="582"/>
        <v/>
      </c>
      <c r="BZ96" s="3"/>
      <c r="CA96" s="1160">
        <f>CA94-CA95</f>
        <v>-788310.917</v>
      </c>
      <c r="CB96" s="1159" t="str">
        <f t="shared" si="583"/>
        <v/>
      </c>
      <c r="CC96" s="3"/>
      <c r="CD96" s="1161">
        <f t="shared" si="46"/>
        <v>7317053.083</v>
      </c>
      <c r="CE96" s="1162">
        <f t="shared" si="47"/>
        <v>-0.9027420709</v>
      </c>
      <c r="CF96" s="1161">
        <f t="shared" si="48"/>
        <v>271704.495</v>
      </c>
      <c r="CG96" s="1162">
        <f t="shared" si="49"/>
        <v>-0.2563212685</v>
      </c>
      <c r="CH96" s="1158">
        <f>CH94-CH95</f>
        <v>-8105364</v>
      </c>
      <c r="CI96" s="1159" t="str">
        <f t="shared" si="584"/>
        <v/>
      </c>
      <c r="CJ96" s="3"/>
      <c r="CK96" s="1160">
        <f>CK94-CK95</f>
        <v>-6738249</v>
      </c>
      <c r="CL96" s="1159" t="str">
        <f t="shared" si="585"/>
        <v/>
      </c>
      <c r="CM96" s="3"/>
      <c r="CN96" s="1160">
        <f>CN94-CN95</f>
        <v>0</v>
      </c>
      <c r="CO96" s="1159" t="str">
        <f t="shared" si="586"/>
        <v/>
      </c>
      <c r="CP96" s="3"/>
      <c r="CQ96" s="1161">
        <f t="shared" si="53"/>
        <v>8105364</v>
      </c>
      <c r="CR96" s="1162">
        <f t="shared" si="54"/>
        <v>-1</v>
      </c>
      <c r="CS96" s="1161">
        <f t="shared" si="55"/>
        <v>6738249</v>
      </c>
      <c r="CT96" s="1162">
        <f t="shared" si="56"/>
        <v>-1</v>
      </c>
      <c r="CU96" s="1158">
        <f t="shared" ref="CU96:CU97" si="804">SUMIF(BH$3:CT$3,CU$3,BH96:CT96)</f>
        <v>-24316092</v>
      </c>
      <c r="CV96" s="1159" t="str">
        <f t="shared" si="587"/>
        <v/>
      </c>
      <c r="CW96" s="3"/>
      <c r="CX96" s="1160">
        <f t="shared" ref="CX96:CX97" si="805">SUMIF(BH$3:CT$3,CX$3,BH96:CT96)</f>
        <v>-8388688.518</v>
      </c>
      <c r="CY96" s="1159" t="str">
        <f t="shared" si="589"/>
        <v/>
      </c>
      <c r="CZ96" s="3"/>
      <c r="DA96" s="1160">
        <f t="shared" ref="DA96:DA97" si="806">SUMIF(BH$3:CT$3,"AC",BH96:CT96)+SUMIF(BH$3:CT$3,"TF",BH96:CT96)</f>
        <v>-2185412.008</v>
      </c>
      <c r="DB96" s="1159" t="str">
        <f t="shared" si="591"/>
        <v/>
      </c>
      <c r="DC96" s="3"/>
      <c r="DD96" s="1161">
        <f t="shared" si="63"/>
        <v>22130679.99</v>
      </c>
      <c r="DE96" s="1162">
        <f t="shared" si="64"/>
        <v>-0.9101248668</v>
      </c>
      <c r="DF96" s="1161">
        <f t="shared" si="65"/>
        <v>6203276.51</v>
      </c>
      <c r="DG96" s="1162">
        <f t="shared" si="66"/>
        <v>-0.7394810877</v>
      </c>
      <c r="DH96" s="1158">
        <f t="shared" ref="DH96:DH97" si="807">AU96+CU96</f>
        <v>-25600993.04</v>
      </c>
      <c r="DI96" s="1159" t="str">
        <f t="shared" si="592"/>
        <v/>
      </c>
      <c r="DJ96" s="3"/>
      <c r="DK96" s="1160">
        <f t="shared" ref="DK96:DK97" si="808">AX96+CX96</f>
        <v>-9398664.702</v>
      </c>
      <c r="DL96" s="1159" t="str">
        <f t="shared" si="593"/>
        <v/>
      </c>
      <c r="DM96" s="3"/>
      <c r="DN96" s="1160">
        <f t="shared" ref="DN96:DN97" si="809">BA96+DA96</f>
        <v>-3733175.226</v>
      </c>
      <c r="DO96" s="1159">
        <f t="shared" si="594"/>
        <v>-10.97992714</v>
      </c>
      <c r="DP96" s="3"/>
      <c r="DQ96" s="1161">
        <f t="shared" si="73"/>
        <v>21867817.81</v>
      </c>
      <c r="DR96" s="1162">
        <f t="shared" si="74"/>
        <v>-0.8541784992</v>
      </c>
      <c r="DS96" s="1161">
        <f t="shared" si="75"/>
        <v>5665489.476</v>
      </c>
      <c r="DT96" s="1162">
        <f t="shared" si="76"/>
        <v>-0.6027972755</v>
      </c>
      <c r="DU96" s="1158">
        <f>DU94-DU95</f>
        <v>-8105364</v>
      </c>
      <c r="DV96" s="1159" t="str">
        <f t="shared" si="595"/>
        <v/>
      </c>
      <c r="DW96" s="3"/>
      <c r="DX96" s="1160">
        <f>DX94-DX95</f>
        <v>-8105364</v>
      </c>
      <c r="DY96" s="1159" t="str">
        <f t="shared" si="596"/>
        <v/>
      </c>
      <c r="DZ96" s="3"/>
      <c r="EA96" s="1160">
        <f>EA94-EA95</f>
        <v>0</v>
      </c>
      <c r="EB96" s="1159" t="str">
        <f t="shared" si="597"/>
        <v/>
      </c>
      <c r="EC96" s="3"/>
      <c r="ED96" s="1161">
        <f t="shared" si="80"/>
        <v>8105364</v>
      </c>
      <c r="EE96" s="1162">
        <f t="shared" si="81"/>
        <v>-1</v>
      </c>
      <c r="EF96" s="1161">
        <f t="shared" si="82"/>
        <v>8105364</v>
      </c>
      <c r="EG96" s="1162">
        <f t="shared" si="83"/>
        <v>-1</v>
      </c>
      <c r="EH96" s="1158">
        <f>EH94-EH95</f>
        <v>-8105364</v>
      </c>
      <c r="EI96" s="1159" t="str">
        <f t="shared" si="598"/>
        <v/>
      </c>
      <c r="EJ96" s="3"/>
      <c r="EK96" s="1160">
        <f>EK94-EK95</f>
        <v>-8105364</v>
      </c>
      <c r="EL96" s="1159" t="str">
        <f t="shared" si="599"/>
        <v/>
      </c>
      <c r="EM96" s="3"/>
      <c r="EN96" s="1160">
        <f>EN94-EN95</f>
        <v>0</v>
      </c>
      <c r="EO96" s="1159" t="str">
        <f t="shared" si="600"/>
        <v/>
      </c>
      <c r="EP96" s="3"/>
      <c r="EQ96" s="1161">
        <f t="shared" si="87"/>
        <v>8105364</v>
      </c>
      <c r="ER96" s="1162">
        <f t="shared" si="88"/>
        <v>-1</v>
      </c>
      <c r="ES96" s="1161">
        <f t="shared" si="89"/>
        <v>8105364</v>
      </c>
      <c r="ET96" s="1162">
        <f t="shared" si="90"/>
        <v>-1</v>
      </c>
      <c r="EU96" s="1158">
        <f>EU94-EU95</f>
        <v>-8105364</v>
      </c>
      <c r="EV96" s="1159" t="str">
        <f t="shared" si="601"/>
        <v/>
      </c>
      <c r="EW96" s="3"/>
      <c r="EX96" s="1160">
        <f>EX94-EX95</f>
        <v>-8105364</v>
      </c>
      <c r="EY96" s="1159" t="str">
        <f t="shared" si="602"/>
        <v/>
      </c>
      <c r="EZ96" s="3"/>
      <c r="FA96" s="1160">
        <f>FA94-FA95</f>
        <v>0</v>
      </c>
      <c r="FB96" s="1159" t="str">
        <f t="shared" si="603"/>
        <v/>
      </c>
      <c r="FC96" s="3"/>
      <c r="FD96" s="1161">
        <f t="shared" si="94"/>
        <v>8105364</v>
      </c>
      <c r="FE96" s="1162">
        <f t="shared" si="95"/>
        <v>-1</v>
      </c>
      <c r="FF96" s="1161">
        <f t="shared" si="96"/>
        <v>8105364</v>
      </c>
      <c r="FG96" s="1162">
        <f t="shared" si="97"/>
        <v>-1</v>
      </c>
      <c r="FH96" s="1158">
        <f t="shared" si="698"/>
        <v>-24316092</v>
      </c>
      <c r="FI96" s="1159" t="str">
        <f t="shared" si="604"/>
        <v/>
      </c>
      <c r="FJ96" s="3"/>
      <c r="FK96" s="1160">
        <f t="shared" si="243"/>
        <v>-24316092</v>
      </c>
      <c r="FL96" s="1159" t="str">
        <f t="shared" si="605"/>
        <v/>
      </c>
      <c r="FM96" s="3"/>
      <c r="FN96" s="1160">
        <f t="shared" si="246"/>
        <v>0</v>
      </c>
      <c r="FO96" s="1159" t="str">
        <f t="shared" si="606"/>
        <v/>
      </c>
      <c r="FP96" s="3"/>
      <c r="FQ96" s="1161">
        <f t="shared" si="104"/>
        <v>24316092</v>
      </c>
      <c r="FR96" s="1162">
        <f t="shared" si="105"/>
        <v>-1</v>
      </c>
      <c r="FS96" s="1161">
        <f t="shared" si="106"/>
        <v>24316092</v>
      </c>
      <c r="FT96" s="1162">
        <f t="shared" si="107"/>
        <v>-1</v>
      </c>
      <c r="FU96" s="1158">
        <f>FU94-FU95</f>
        <v>-8105364</v>
      </c>
      <c r="FV96" s="1159" t="str">
        <f t="shared" si="607"/>
        <v/>
      </c>
      <c r="FW96" s="3"/>
      <c r="FX96" s="1160">
        <f>FX94-FX95</f>
        <v>-8105364</v>
      </c>
      <c r="FY96" s="1159" t="str">
        <f t="shared" si="608"/>
        <v/>
      </c>
      <c r="FZ96" s="3"/>
      <c r="GA96" s="1160">
        <f>GA94-GA95</f>
        <v>0</v>
      </c>
      <c r="GB96" s="1159" t="str">
        <f t="shared" si="609"/>
        <v/>
      </c>
      <c r="GC96" s="3"/>
      <c r="GD96" s="1161">
        <f t="shared" si="111"/>
        <v>8105364</v>
      </c>
      <c r="GE96" s="1162">
        <f t="shared" si="112"/>
        <v>-1</v>
      </c>
      <c r="GF96" s="1161">
        <f t="shared" si="113"/>
        <v>8105364</v>
      </c>
      <c r="GG96" s="1162">
        <f t="shared" si="114"/>
        <v>-1</v>
      </c>
      <c r="GH96" s="1158">
        <f>GH94-GH95</f>
        <v>-8105364</v>
      </c>
      <c r="GI96" s="1159" t="str">
        <f t="shared" si="610"/>
        <v/>
      </c>
      <c r="GJ96" s="3"/>
      <c r="GK96" s="1160">
        <f>GK94-GK95</f>
        <v>-8105364</v>
      </c>
      <c r="GL96" s="1159" t="str">
        <f t="shared" si="611"/>
        <v/>
      </c>
      <c r="GM96" s="3"/>
      <c r="GN96" s="1160">
        <f>GN94-GN95</f>
        <v>0</v>
      </c>
      <c r="GO96" s="1159" t="str">
        <f t="shared" si="612"/>
        <v/>
      </c>
      <c r="GP96" s="3"/>
      <c r="GQ96" s="1161">
        <f t="shared" si="118"/>
        <v>8105364</v>
      </c>
      <c r="GR96" s="1162">
        <f t="shared" si="119"/>
        <v>-1</v>
      </c>
      <c r="GS96" s="1161">
        <f t="shared" si="120"/>
        <v>8105364</v>
      </c>
      <c r="GT96" s="1162">
        <f t="shared" si="121"/>
        <v>-1</v>
      </c>
      <c r="GU96" s="1158">
        <f>GU94-GU95</f>
        <v>-8105364</v>
      </c>
      <c r="GV96" s="1159" t="str">
        <f t="shared" si="613"/>
        <v/>
      </c>
      <c r="GW96" s="3"/>
      <c r="GX96" s="1160">
        <f>GX94-GX95</f>
        <v>-8105364</v>
      </c>
      <c r="GY96" s="1159" t="str">
        <f t="shared" si="614"/>
        <v/>
      </c>
      <c r="GZ96" s="3"/>
      <c r="HA96" s="1160">
        <f>HA94-HA95</f>
        <v>0</v>
      </c>
      <c r="HB96" s="1159" t="str">
        <f t="shared" si="615"/>
        <v/>
      </c>
      <c r="HC96" s="3"/>
      <c r="HD96" s="1161">
        <f t="shared" si="125"/>
        <v>8105364</v>
      </c>
      <c r="HE96" s="1162">
        <f t="shared" si="126"/>
        <v>-1</v>
      </c>
      <c r="HF96" s="1161">
        <f t="shared" si="127"/>
        <v>8105364</v>
      </c>
      <c r="HG96" s="1162">
        <f t="shared" si="128"/>
        <v>-1</v>
      </c>
      <c r="HH96" s="1158">
        <f t="shared" si="699"/>
        <v>-24316092</v>
      </c>
      <c r="HI96" s="1159" t="str">
        <f t="shared" si="616"/>
        <v/>
      </c>
      <c r="HJ96" s="3"/>
      <c r="HK96" s="1160">
        <f t="shared" si="270"/>
        <v>-24316092</v>
      </c>
      <c r="HL96" s="1159" t="str">
        <f t="shared" si="617"/>
        <v/>
      </c>
      <c r="HM96" s="3"/>
      <c r="HN96" s="1160">
        <f t="shared" si="273"/>
        <v>0</v>
      </c>
      <c r="HO96" s="1159" t="str">
        <f t="shared" si="618"/>
        <v/>
      </c>
      <c r="HP96" s="3"/>
      <c r="HQ96" s="1161">
        <f t="shared" si="135"/>
        <v>24316092</v>
      </c>
      <c r="HR96" s="1162">
        <f t="shared" si="136"/>
        <v>-1</v>
      </c>
      <c r="HS96" s="1161">
        <f t="shared" si="137"/>
        <v>24316092</v>
      </c>
      <c r="HT96" s="1162">
        <f t="shared" si="138"/>
        <v>-1</v>
      </c>
      <c r="HU96" s="1158">
        <f t="shared" si="700"/>
        <v>-48632184</v>
      </c>
      <c r="HV96" s="1159" t="str">
        <f t="shared" si="619"/>
        <v/>
      </c>
      <c r="HW96" s="3"/>
      <c r="HX96" s="1160">
        <f t="shared" si="279"/>
        <v>-48632184</v>
      </c>
      <c r="HY96" s="1159" t="str">
        <f t="shared" si="620"/>
        <v/>
      </c>
      <c r="HZ96" s="3"/>
      <c r="IA96" s="1160">
        <f t="shared" si="282"/>
        <v>0</v>
      </c>
      <c r="IB96" s="1159" t="str">
        <f t="shared" si="621"/>
        <v/>
      </c>
      <c r="IC96" s="3"/>
      <c r="ID96" s="1161">
        <f t="shared" si="145"/>
        <v>48632184</v>
      </c>
      <c r="IE96" s="1162">
        <f t="shared" si="146"/>
        <v>-1</v>
      </c>
      <c r="IF96" s="1161">
        <f t="shared" si="147"/>
        <v>48632184</v>
      </c>
      <c r="IG96" s="1162">
        <f t="shared" si="148"/>
        <v>-1</v>
      </c>
      <c r="IH96" s="1158">
        <f t="shared" si="701"/>
        <v>-74233177.04</v>
      </c>
      <c r="II96" s="1159" t="str">
        <f t="shared" si="622"/>
        <v/>
      </c>
      <c r="IJ96" s="3"/>
      <c r="IK96" s="1160">
        <f t="shared" si="288"/>
        <v>-58030848.7</v>
      </c>
      <c r="IL96" s="1159" t="str">
        <f t="shared" si="623"/>
        <v/>
      </c>
      <c r="IM96" s="3"/>
      <c r="IN96" s="1160">
        <f t="shared" si="291"/>
        <v>-3733175.226</v>
      </c>
      <c r="IO96" s="1159">
        <f t="shared" si="624"/>
        <v>-10.97992714</v>
      </c>
      <c r="IP96" s="3"/>
      <c r="IQ96" s="1161">
        <f t="shared" si="155"/>
        <v>70500001.81</v>
      </c>
      <c r="IR96" s="1162">
        <f t="shared" si="1"/>
        <v>-0.9497101515</v>
      </c>
      <c r="IS96" s="1161">
        <f t="shared" si="156"/>
        <v>54297673.48</v>
      </c>
      <c r="IT96" s="1162">
        <f t="shared" si="2"/>
        <v>-0.9356691258</v>
      </c>
    </row>
    <row r="97" outlineLevel="1">
      <c r="A97" s="1087"/>
      <c r="B97" s="1087"/>
      <c r="C97" s="1087"/>
      <c r="D97" s="1087" t="s">
        <v>2091</v>
      </c>
      <c r="E97" s="656" t="s">
        <v>203</v>
      </c>
      <c r="F97" s="1087"/>
      <c r="G97" s="1086">
        <v>2.0</v>
      </c>
      <c r="H97" s="1088">
        <f>SUMIFS(BP_SOTIEN,BP_THANG,H$2,BP_KM,$E97)/1000</f>
        <v>0</v>
      </c>
      <c r="I97" s="1091" t="str">
        <f t="shared" si="566"/>
        <v/>
      </c>
      <c r="J97" s="1091"/>
      <c r="K97" s="1090">
        <f>IF(NOW()&gt;=DATE(YEAR(H$2),MONTH(H$2)+1,DAY(H$2)),SUMIFS(TF_SOTIEN,TF_THANG,H$2,TF_KM,$E97)/1000, N97)</f>
        <v>0</v>
      </c>
      <c r="L97" s="1091" t="str">
        <f t="shared" si="567"/>
        <v/>
      </c>
      <c r="M97" s="1091"/>
      <c r="N97" s="1090">
        <f>IF(NOW()&gt;=DATE(YEAR(H$2),MONTH(H$2)+1,DAY(H$2)),SUMIFS(AC_SOTIEN,AC_THANG,H$2,AC_KM,$E97),SUMIFS(TF_SOTIEN,TF_THANG,H$2,TF_KM,$E97))/ 1000</f>
        <v>24000</v>
      </c>
      <c r="O97" s="1091">
        <f t="shared" si="568"/>
        <v>0.07058823529</v>
      </c>
      <c r="P97" s="1091">
        <f>IFERROR(N97/N$42,"")</f>
        <v>0.03350431666</v>
      </c>
      <c r="Q97" s="1090">
        <f t="shared" si="8"/>
        <v>24000</v>
      </c>
      <c r="R97" s="1091" t="str">
        <f t="shared" si="9"/>
        <v/>
      </c>
      <c r="S97" s="1090">
        <f t="shared" si="10"/>
        <v>24000</v>
      </c>
      <c r="T97" s="1091" t="str">
        <f t="shared" si="11"/>
        <v/>
      </c>
      <c r="U97" s="1088">
        <f>SUMIFS(BP_SOTIEN,BP_THANG,U$2,BP_KM,$E97)/1000</f>
        <v>0</v>
      </c>
      <c r="V97" s="1091" t="str">
        <f t="shared" si="569"/>
        <v/>
      </c>
      <c r="W97" s="1091"/>
      <c r="X97" s="1090">
        <f>IF(NOW()&gt;=DATE(YEAR(U$2),MONTH(U$2)+1,DAY(U$2)),SUMIFS(TF_SOTIEN,TF_THANG,U$2,TF_KM,$E97)/1000, AA97)</f>
        <v>0</v>
      </c>
      <c r="Y97" s="1091" t="str">
        <f t="shared" si="570"/>
        <v/>
      </c>
      <c r="Z97" s="1091"/>
      <c r="AA97" s="1090">
        <f>IF(NOW()&gt;=DATE(YEAR(U$2),MONTH(U$2)+1,DAY(U$2)),SUMIFS(AC_SOTIEN,AC_THANG,U$2,AC_KM,$E97),SUMIFS(TF_SOTIEN,TF_THANG,U$2,TF_KM,$E97))/ 1000</f>
        <v>12110</v>
      </c>
      <c r="AB97" s="1091" t="str">
        <f t="shared" si="571"/>
        <v/>
      </c>
      <c r="AC97" s="1091">
        <f>IFERROR(AA97/AA$42,"")</f>
        <v>0.07234663763</v>
      </c>
      <c r="AD97" s="1090">
        <f t="shared" si="15"/>
        <v>12110</v>
      </c>
      <c r="AE97" s="1091" t="str">
        <f t="shared" si="16"/>
        <v/>
      </c>
      <c r="AF97" s="1090">
        <f t="shared" si="17"/>
        <v>12110</v>
      </c>
      <c r="AG97" s="1091" t="str">
        <f t="shared" si="18"/>
        <v/>
      </c>
      <c r="AH97" s="1088">
        <f>SUMIFS(BP_SOTIEN,BP_THANG,AH$2,BP_KM,$E97)/1000</f>
        <v>0</v>
      </c>
      <c r="AI97" s="1091" t="str">
        <f t="shared" si="572"/>
        <v/>
      </c>
      <c r="AJ97" s="1091"/>
      <c r="AK97" s="1090">
        <f>IF(NOW()&gt;=DATE(YEAR(AH$2),MONTH(AH$2)+1,DAY(AH$2)),SUMIFS(TF_SOTIEN,TF_THANG,AH$2,TF_KM,$E97)/1000, AN97)</f>
        <v>0</v>
      </c>
      <c r="AL97" s="1091" t="str">
        <f t="shared" si="573"/>
        <v/>
      </c>
      <c r="AM97" s="1091"/>
      <c r="AN97" s="1090">
        <f>IF(NOW()&gt;=DATE(YEAR(AH$2),MONTH(AH$2)+1,DAY(AH$2)),SUMIFS(AC_SOTIEN,AC_THANG,AH$2,AC_KM,$E97),SUMIFS(TF_SOTIEN,TF_THANG,AH$2,TF_KM,$E97))/ 1000</f>
        <v>42400</v>
      </c>
      <c r="AO97" s="1091" t="str">
        <f t="shared" si="574"/>
        <v/>
      </c>
      <c r="AP97" s="1091">
        <f>IFERROR(AN97/AN$42,"")</f>
        <v>0.0695881896</v>
      </c>
      <c r="AQ97" s="1090">
        <f t="shared" si="22"/>
        <v>42400</v>
      </c>
      <c r="AR97" s="1091" t="str">
        <f t="shared" si="23"/>
        <v/>
      </c>
      <c r="AS97" s="1090">
        <f t="shared" si="24"/>
        <v>42400</v>
      </c>
      <c r="AT97" s="1091" t="str">
        <f t="shared" si="25"/>
        <v/>
      </c>
      <c r="AU97" s="1088">
        <f t="shared" si="801"/>
        <v>0</v>
      </c>
      <c r="AV97" s="1091" t="str">
        <f t="shared" si="575"/>
        <v/>
      </c>
      <c r="AW97" s="1091">
        <f>IFERROR(AU97/AU$42,"")</f>
        <v>0</v>
      </c>
      <c r="AX97" s="1090">
        <f t="shared" si="802"/>
        <v>0</v>
      </c>
      <c r="AY97" s="1091" t="str">
        <f t="shared" si="576"/>
        <v/>
      </c>
      <c r="AZ97" s="1091">
        <f>IFERROR(AX97/AX$42,"")</f>
        <v>0</v>
      </c>
      <c r="BA97" s="1090">
        <f t="shared" si="803"/>
        <v>78510</v>
      </c>
      <c r="BB97" s="1091">
        <f t="shared" si="577"/>
        <v>0.2309117647</v>
      </c>
      <c r="BC97" s="1091">
        <f>IFERROR(BA97/BA$42,"")</f>
        <v>0.05258494175</v>
      </c>
      <c r="BD97" s="1090">
        <f t="shared" si="32"/>
        <v>78510</v>
      </c>
      <c r="BE97" s="1091" t="str">
        <f t="shared" si="33"/>
        <v/>
      </c>
      <c r="BF97" s="1090">
        <f t="shared" si="34"/>
        <v>78510</v>
      </c>
      <c r="BG97" s="1091" t="str">
        <f t="shared" si="35"/>
        <v/>
      </c>
      <c r="BH97" s="1088">
        <f>SUMIFS(BP_SOTIEN,BP_THANG,BH$2,BP_KM,$E97)/1000</f>
        <v>0</v>
      </c>
      <c r="BI97" s="1091" t="str">
        <f t="shared" si="578"/>
        <v/>
      </c>
      <c r="BJ97" s="1091"/>
      <c r="BK97" s="1090">
        <f>IF(NOW()&gt;=DATE(YEAR(BH$2),MONTH(BH$2)+1,DAY(BH$2)),SUMIFS(TF_SOTIEN,TF_THANG,BH$2,TF_KM,$E97)/1000, BN97)</f>
        <v>0</v>
      </c>
      <c r="BL97" s="1091" t="str">
        <f t="shared" si="579"/>
        <v/>
      </c>
      <c r="BM97" s="1091"/>
      <c r="BN97" s="1090">
        <f>IF(NOW()&gt;=DATE(YEAR(BH$2),MONTH(BH$2)+1,DAY(BH$2)),SUMIFS(AC_SOTIEN,AC_THANG,BH$2,AC_KM,$E97),SUMIFS(TF_SOTIEN,TF_THANG,BH$2,TF_KM,$E97))/ 1000</f>
        <v>202643.2</v>
      </c>
      <c r="BO97" s="1091" t="str">
        <f t="shared" si="580"/>
        <v/>
      </c>
      <c r="BP97" s="1091">
        <f>IFERROR(BN97/BN$42,"")</f>
        <v>0.1709906024</v>
      </c>
      <c r="BQ97" s="1090">
        <f t="shared" si="39"/>
        <v>202643.2</v>
      </c>
      <c r="BR97" s="1091" t="str">
        <f t="shared" si="40"/>
        <v/>
      </c>
      <c r="BS97" s="1090">
        <f t="shared" si="41"/>
        <v>202643.2</v>
      </c>
      <c r="BT97" s="1091" t="str">
        <f t="shared" si="42"/>
        <v/>
      </c>
      <c r="BU97" s="1088">
        <f>SUMIFS(BP_SOTIEN,BP_THANG,BU$2,BP_KM,$E97)/1000</f>
        <v>0</v>
      </c>
      <c r="BV97" s="1091" t="str">
        <f t="shared" si="581"/>
        <v/>
      </c>
      <c r="BW97" s="1091"/>
      <c r="BX97" s="1090">
        <f>IF(NOW()&gt;=DATE(YEAR(BU$2),MONTH(BU$2)+1,DAY(BU$2)),SUMIFS(TF_SOTIEN,TF_THANG,BU$2,TF_KM,$E97)/1000, CA97)</f>
        <v>0</v>
      </c>
      <c r="BY97" s="1091" t="str">
        <f t="shared" si="582"/>
        <v/>
      </c>
      <c r="BZ97" s="1091"/>
      <c r="CA97" s="1090">
        <f>IF(NOW()&gt;=DATE(YEAR(BU$2),MONTH(BU$2)+1,DAY(BU$2)),SUMIFS(AC_SOTIEN,AC_THANG,BU$2,AC_KM,$E97),SUMIFS(TF_SOTIEN,TF_THANG,BU$2,TF_KM,$E97))/ 1000</f>
        <v>42028.16</v>
      </c>
      <c r="CB97" s="1091" t="str">
        <f t="shared" si="583"/>
        <v/>
      </c>
      <c r="CC97" s="1091">
        <f>IFERROR(CA97/CA$42,"")</f>
        <v>0.07817352404</v>
      </c>
      <c r="CD97" s="1090">
        <f t="shared" si="46"/>
        <v>42028.16</v>
      </c>
      <c r="CE97" s="1091" t="str">
        <f t="shared" si="47"/>
        <v/>
      </c>
      <c r="CF97" s="1090">
        <f t="shared" si="48"/>
        <v>42028.16</v>
      </c>
      <c r="CG97" s="1091" t="str">
        <f t="shared" si="49"/>
        <v/>
      </c>
      <c r="CH97" s="1088">
        <f>SUMIFS(BP_SOTIEN,BP_THANG,CH$2,BP_KM,$E97)/1000</f>
        <v>0</v>
      </c>
      <c r="CI97" s="1091" t="str">
        <f t="shared" si="584"/>
        <v/>
      </c>
      <c r="CJ97" s="1091"/>
      <c r="CK97" s="1090">
        <f>IF(NOW()&gt;=DATE(YEAR(CH$2),MONTH(CH$2)+1,DAY(CH$2)),SUMIFS(TF_SOTIEN,TF_THANG,CH$2,TF_KM,$E97)/1000, CN97)</f>
        <v>0</v>
      </c>
      <c r="CL97" s="1091" t="str">
        <f t="shared" si="585"/>
        <v/>
      </c>
      <c r="CM97" s="1091"/>
      <c r="CN97" s="1090">
        <f>IF(NOW()&gt;=DATE(YEAR(CH$2),MONTH(CH$2)+1,DAY(CH$2)),SUMIFS(AC_SOTIEN,AC_THANG,CH$2,AC_KM,$E97),SUMIFS(TF_SOTIEN,TF_THANG,CH$2,TF_KM,$E97))/ 1000</f>
        <v>0</v>
      </c>
      <c r="CO97" s="1091" t="str">
        <f t="shared" si="586"/>
        <v/>
      </c>
      <c r="CP97" s="1091" t="str">
        <f>IFERROR(CN97/CN$42,"")</f>
        <v/>
      </c>
      <c r="CQ97" s="1090">
        <f t="shared" si="53"/>
        <v>0</v>
      </c>
      <c r="CR97" s="1091" t="str">
        <f t="shared" si="54"/>
        <v/>
      </c>
      <c r="CS97" s="1090">
        <f t="shared" si="55"/>
        <v>0</v>
      </c>
      <c r="CT97" s="1091" t="str">
        <f t="shared" si="56"/>
        <v/>
      </c>
      <c r="CU97" s="1088">
        <f t="shared" si="804"/>
        <v>0</v>
      </c>
      <c r="CV97" s="1091" t="str">
        <f t="shared" si="587"/>
        <v/>
      </c>
      <c r="CW97" s="1091">
        <f>IFERROR(CU97/CU$42,"")</f>
        <v>0</v>
      </c>
      <c r="CX97" s="1090">
        <f t="shared" si="805"/>
        <v>0</v>
      </c>
      <c r="CY97" s="1091" t="str">
        <f t="shared" si="589"/>
        <v/>
      </c>
      <c r="CZ97" s="1091">
        <f>IFERROR(CX97/CX$42,"")</f>
        <v>0</v>
      </c>
      <c r="DA97" s="1090">
        <f t="shared" si="806"/>
        <v>244671.36</v>
      </c>
      <c r="DB97" s="1091" t="str">
        <f t="shared" si="591"/>
        <v/>
      </c>
      <c r="DC97" s="1091">
        <f>IFERROR(DA97/DA$42,"")</f>
        <v>0.1420245747</v>
      </c>
      <c r="DD97" s="1090">
        <f t="shared" si="63"/>
        <v>244671.36</v>
      </c>
      <c r="DE97" s="1091" t="str">
        <f t="shared" si="64"/>
        <v/>
      </c>
      <c r="DF97" s="1090">
        <f t="shared" si="65"/>
        <v>244671.36</v>
      </c>
      <c r="DG97" s="1091" t="str">
        <f t="shared" si="66"/>
        <v/>
      </c>
      <c r="DH97" s="1088">
        <f t="shared" si="807"/>
        <v>0</v>
      </c>
      <c r="DI97" s="1091" t="str">
        <f t="shared" si="592"/>
        <v/>
      </c>
      <c r="DJ97" s="1091">
        <f>IFERROR(DH97/DH$42,"")</f>
        <v>0</v>
      </c>
      <c r="DK97" s="1090">
        <f t="shared" si="808"/>
        <v>0</v>
      </c>
      <c r="DL97" s="1091" t="str">
        <f t="shared" si="593"/>
        <v/>
      </c>
      <c r="DM97" s="1091">
        <f>IFERROR(DK97/DK$42,"")</f>
        <v>0</v>
      </c>
      <c r="DN97" s="1090">
        <f t="shared" si="809"/>
        <v>323181.36</v>
      </c>
      <c r="DO97" s="1091">
        <f t="shared" si="594"/>
        <v>0.9505334118</v>
      </c>
      <c r="DP97" s="1091">
        <f>IFERROR(DN97/DN$42,"")</f>
        <v>0.1004994484</v>
      </c>
      <c r="DQ97" s="1090">
        <f t="shared" si="73"/>
        <v>323181.36</v>
      </c>
      <c r="DR97" s="1091" t="str">
        <f t="shared" si="74"/>
        <v/>
      </c>
      <c r="DS97" s="1090">
        <f t="shared" si="75"/>
        <v>323181.36</v>
      </c>
      <c r="DT97" s="1091" t="str">
        <f t="shared" si="76"/>
        <v/>
      </c>
      <c r="DU97" s="1088">
        <f>SUMIFS(BP_SOTIEN,BP_THANG,DU$2,BP_KM,$E97)/1000</f>
        <v>0</v>
      </c>
      <c r="DV97" s="1091" t="str">
        <f t="shared" si="595"/>
        <v/>
      </c>
      <c r="DW97" s="1091"/>
      <c r="DX97" s="1090">
        <f>IF(NOW()&gt;=DATE(YEAR(DU$2),MONTH(DU$2)+1,DAY(DU$2)),SUMIFS(TF_SOTIEN,TF_THANG,DU$2,TF_KM,$E97)/1000, EA97)</f>
        <v>0</v>
      </c>
      <c r="DY97" s="1091" t="str">
        <f t="shared" si="596"/>
        <v/>
      </c>
      <c r="DZ97" s="1091"/>
      <c r="EA97" s="1090">
        <f>IF(NOW()&gt;=DATE(YEAR(DU$2),MONTH(DU$2)+1,DAY(DU$2)),SUMIFS(AC_SOTIEN,AC_THANG,DU$2,AC_KM,$E97),SUMIFS(TF_SOTIEN,TF_THANG,DU$2,TF_KM,$E97))/ 1000</f>
        <v>0</v>
      </c>
      <c r="EB97" s="1091" t="str">
        <f t="shared" si="597"/>
        <v/>
      </c>
      <c r="EC97" s="1091" t="str">
        <f>IFERROR(EA97/EA$42,"")</f>
        <v/>
      </c>
      <c r="ED97" s="1090">
        <f t="shared" si="80"/>
        <v>0</v>
      </c>
      <c r="EE97" s="1091" t="str">
        <f t="shared" si="81"/>
        <v/>
      </c>
      <c r="EF97" s="1090">
        <f t="shared" si="82"/>
        <v>0</v>
      </c>
      <c r="EG97" s="1091" t="str">
        <f t="shared" si="83"/>
        <v/>
      </c>
      <c r="EH97" s="1088">
        <f>SUMIFS(BP_SOTIEN,BP_THANG,EH$2,BP_KM,$E97)/1000</f>
        <v>0</v>
      </c>
      <c r="EI97" s="1091" t="str">
        <f t="shared" si="598"/>
        <v/>
      </c>
      <c r="EJ97" s="1091"/>
      <c r="EK97" s="1090">
        <f>IF(NOW()&gt;=DATE(YEAR(EH$2),MONTH(EH$2)+1,DAY(EH$2)),SUMIFS(TF_SOTIEN,TF_THANG,EH$2,TF_KM,$E97)/1000, EN97)</f>
        <v>0</v>
      </c>
      <c r="EL97" s="1091" t="str">
        <f t="shared" si="599"/>
        <v/>
      </c>
      <c r="EM97" s="1091"/>
      <c r="EN97" s="1090">
        <f>IF(NOW()&gt;=DATE(YEAR(EH$2),MONTH(EH$2)+1,DAY(EH$2)),SUMIFS(AC_SOTIEN,AC_THANG,EH$2,AC_KM,$E97),SUMIFS(TF_SOTIEN,TF_THANG,EH$2,TF_KM,$E97))/ 1000</f>
        <v>0</v>
      </c>
      <c r="EO97" s="1091" t="str">
        <f t="shared" si="600"/>
        <v/>
      </c>
      <c r="EP97" s="1091" t="str">
        <f>IFERROR(EN97/EN$42,"")</f>
        <v/>
      </c>
      <c r="EQ97" s="1090">
        <f t="shared" si="87"/>
        <v>0</v>
      </c>
      <c r="ER97" s="1091" t="str">
        <f t="shared" si="88"/>
        <v/>
      </c>
      <c r="ES97" s="1090">
        <f t="shared" si="89"/>
        <v>0</v>
      </c>
      <c r="ET97" s="1091" t="str">
        <f t="shared" si="90"/>
        <v/>
      </c>
      <c r="EU97" s="1088">
        <f>SUMIFS(BP_SOTIEN,BP_THANG,EU$2,BP_KM,$E97)/1000</f>
        <v>0</v>
      </c>
      <c r="EV97" s="1091" t="str">
        <f t="shared" si="601"/>
        <v/>
      </c>
      <c r="EW97" s="1091"/>
      <c r="EX97" s="1090">
        <f>IF(NOW()&gt;=DATE(YEAR(EU$2),MONTH(EU$2)+1,DAY(EU$2)),SUMIFS(TF_SOTIEN,TF_THANG,EU$2,TF_KM,$E97)/1000, FA97)</f>
        <v>0</v>
      </c>
      <c r="EY97" s="1091" t="str">
        <f t="shared" si="602"/>
        <v/>
      </c>
      <c r="EZ97" s="1091"/>
      <c r="FA97" s="1090">
        <f>IF(NOW()&gt;=DATE(YEAR(EU$2),MONTH(EU$2)+1,DAY(EU$2)),SUMIFS(AC_SOTIEN,AC_THANG,EU$2,AC_KM,$E97),SUMIFS(TF_SOTIEN,TF_THANG,EU$2,TF_KM,$E97))/ 1000</f>
        <v>0</v>
      </c>
      <c r="FB97" s="1091" t="str">
        <f t="shared" si="603"/>
        <v/>
      </c>
      <c r="FC97" s="1091" t="str">
        <f>IFERROR(FA97/FA$42,"")</f>
        <v/>
      </c>
      <c r="FD97" s="1090">
        <f t="shared" si="94"/>
        <v>0</v>
      </c>
      <c r="FE97" s="1091" t="str">
        <f t="shared" si="95"/>
        <v/>
      </c>
      <c r="FF97" s="1090">
        <f t="shared" si="96"/>
        <v>0</v>
      </c>
      <c r="FG97" s="1091" t="str">
        <f t="shared" si="97"/>
        <v/>
      </c>
      <c r="FH97" s="1088">
        <f t="shared" si="698"/>
        <v>0</v>
      </c>
      <c r="FI97" s="1091" t="str">
        <f t="shared" si="604"/>
        <v/>
      </c>
      <c r="FJ97" s="1091">
        <f>IFERROR(FH97/FH$42,"")</f>
        <v>0</v>
      </c>
      <c r="FK97" s="1090">
        <f t="shared" si="243"/>
        <v>0</v>
      </c>
      <c r="FL97" s="1091" t="str">
        <f t="shared" si="605"/>
        <v/>
      </c>
      <c r="FM97" s="1091">
        <f>IFERROR(FK97/FK$42,"")</f>
        <v>0</v>
      </c>
      <c r="FN97" s="1090">
        <f t="shared" si="246"/>
        <v>0</v>
      </c>
      <c r="FO97" s="1091" t="str">
        <f t="shared" si="606"/>
        <v/>
      </c>
      <c r="FP97" s="1091" t="str">
        <f>IFERROR(FN97/FN$42,"")</f>
        <v/>
      </c>
      <c r="FQ97" s="1090">
        <f t="shared" si="104"/>
        <v>0</v>
      </c>
      <c r="FR97" s="1091" t="str">
        <f t="shared" si="105"/>
        <v/>
      </c>
      <c r="FS97" s="1090">
        <f t="shared" si="106"/>
        <v>0</v>
      </c>
      <c r="FT97" s="1091" t="str">
        <f t="shared" si="107"/>
        <v/>
      </c>
      <c r="FU97" s="1088">
        <f>SUMIFS(BP_SOTIEN,BP_THANG,FU$2,BP_KM,$E97)/1000</f>
        <v>0</v>
      </c>
      <c r="FV97" s="1091" t="str">
        <f t="shared" si="607"/>
        <v/>
      </c>
      <c r="FW97" s="1091"/>
      <c r="FX97" s="1090">
        <f>IF(NOW()&gt;=DATE(YEAR(FU$2),MONTH(FU$2)+1,DAY(FU$2)),SUMIFS(TF_SOTIEN,TF_THANG,FU$2,TF_KM,$E97)/1000, GA97)</f>
        <v>0</v>
      </c>
      <c r="FY97" s="1091" t="str">
        <f t="shared" si="608"/>
        <v/>
      </c>
      <c r="FZ97" s="1091"/>
      <c r="GA97" s="1090">
        <f>IF(NOW()&gt;=DATE(YEAR(FU$2),MONTH(FU$2)+1,DAY(FU$2)),SUMIFS(AC_SOTIEN,AC_THANG,FU$2,AC_KM,$E97),SUMIFS(TF_SOTIEN,TF_THANG,FU$2,TF_KM,$E97))/ 1000</f>
        <v>0</v>
      </c>
      <c r="GB97" s="1091" t="str">
        <f t="shared" si="609"/>
        <v/>
      </c>
      <c r="GC97" s="1091" t="str">
        <f>IFERROR(GA97/GA$42,"")</f>
        <v/>
      </c>
      <c r="GD97" s="1090">
        <f t="shared" si="111"/>
        <v>0</v>
      </c>
      <c r="GE97" s="1091" t="str">
        <f t="shared" si="112"/>
        <v/>
      </c>
      <c r="GF97" s="1090">
        <f t="shared" si="113"/>
        <v>0</v>
      </c>
      <c r="GG97" s="1091" t="str">
        <f t="shared" si="114"/>
        <v/>
      </c>
      <c r="GH97" s="1088">
        <f>SUMIFS(BP_SOTIEN,BP_THANG,GH$2,BP_KM,$E97)/1000</f>
        <v>0</v>
      </c>
      <c r="GI97" s="1091" t="str">
        <f t="shared" si="610"/>
        <v/>
      </c>
      <c r="GJ97" s="1091"/>
      <c r="GK97" s="1090">
        <f>IF(NOW()&gt;=DATE(YEAR(GH$2),MONTH(GH$2)+1,DAY(GH$2)),SUMIFS(TF_SOTIEN,TF_THANG,GH$2,TF_KM,$E97)/1000, GN97)</f>
        <v>0</v>
      </c>
      <c r="GL97" s="1091" t="str">
        <f t="shared" si="611"/>
        <v/>
      </c>
      <c r="GM97" s="1091"/>
      <c r="GN97" s="1090">
        <f>IF(NOW()&gt;=DATE(YEAR(GH$2),MONTH(GH$2)+1,DAY(GH$2)),SUMIFS(AC_SOTIEN,AC_THANG,GH$2,AC_KM,$E97),SUMIFS(TF_SOTIEN,TF_THANG,GH$2,TF_KM,$E97))/ 1000</f>
        <v>0</v>
      </c>
      <c r="GO97" s="1091" t="str">
        <f t="shared" si="612"/>
        <v/>
      </c>
      <c r="GP97" s="1091" t="str">
        <f>IFERROR(GN97/GN$42,"")</f>
        <v/>
      </c>
      <c r="GQ97" s="1090">
        <f t="shared" si="118"/>
        <v>0</v>
      </c>
      <c r="GR97" s="1091" t="str">
        <f t="shared" si="119"/>
        <v/>
      </c>
      <c r="GS97" s="1090">
        <f t="shared" si="120"/>
        <v>0</v>
      </c>
      <c r="GT97" s="1091" t="str">
        <f t="shared" si="121"/>
        <v/>
      </c>
      <c r="GU97" s="1088">
        <f>SUMIFS(BP_SOTIEN,BP_THANG,GU$2,BP_KM,$E97)/1000</f>
        <v>0</v>
      </c>
      <c r="GV97" s="1091" t="str">
        <f t="shared" si="613"/>
        <v/>
      </c>
      <c r="GW97" s="1091"/>
      <c r="GX97" s="1090">
        <f>IF(NOW()&gt;=DATE(YEAR(GU$2),MONTH(GU$2)+1,DAY(GU$2)),SUMIFS(TF_SOTIEN,TF_THANG,GU$2,TF_KM,$E97)/1000, HA97)</f>
        <v>0</v>
      </c>
      <c r="GY97" s="1091" t="str">
        <f t="shared" si="614"/>
        <v/>
      </c>
      <c r="GZ97" s="1091"/>
      <c r="HA97" s="1090">
        <f>IF(NOW()&gt;=DATE(YEAR(GU$2),MONTH(GU$2)+1,DAY(GU$2)),SUMIFS(AC_SOTIEN,AC_THANG,GU$2,AC_KM,$E97),SUMIFS(TF_SOTIEN,TF_THANG,GU$2,TF_KM,$E97))/ 1000</f>
        <v>0</v>
      </c>
      <c r="HB97" s="1091" t="str">
        <f t="shared" si="615"/>
        <v/>
      </c>
      <c r="HC97" s="1091" t="str">
        <f>IFERROR(HA97/HA$42,"")</f>
        <v/>
      </c>
      <c r="HD97" s="1090">
        <f t="shared" si="125"/>
        <v>0</v>
      </c>
      <c r="HE97" s="1091" t="str">
        <f t="shared" si="126"/>
        <v/>
      </c>
      <c r="HF97" s="1090">
        <f t="shared" si="127"/>
        <v>0</v>
      </c>
      <c r="HG97" s="1091" t="str">
        <f t="shared" si="128"/>
        <v/>
      </c>
      <c r="HH97" s="1088">
        <f t="shared" si="699"/>
        <v>0</v>
      </c>
      <c r="HI97" s="1091" t="str">
        <f t="shared" si="616"/>
        <v/>
      </c>
      <c r="HJ97" s="1091">
        <f>IFERROR(HH97/HH$42,"")</f>
        <v>0</v>
      </c>
      <c r="HK97" s="1090">
        <f t="shared" si="270"/>
        <v>0</v>
      </c>
      <c r="HL97" s="1091" t="str">
        <f t="shared" si="617"/>
        <v/>
      </c>
      <c r="HM97" s="1091">
        <f>IFERROR(HK97/HK$42,"")</f>
        <v>0</v>
      </c>
      <c r="HN97" s="1090">
        <f t="shared" si="273"/>
        <v>0</v>
      </c>
      <c r="HO97" s="1091" t="str">
        <f t="shared" si="618"/>
        <v/>
      </c>
      <c r="HP97" s="1091" t="str">
        <f>IFERROR(HN97/HN$42,"")</f>
        <v/>
      </c>
      <c r="HQ97" s="1090">
        <f t="shared" si="135"/>
        <v>0</v>
      </c>
      <c r="HR97" s="1091" t="str">
        <f t="shared" si="136"/>
        <v/>
      </c>
      <c r="HS97" s="1090">
        <f t="shared" si="137"/>
        <v>0</v>
      </c>
      <c r="HT97" s="1091" t="str">
        <f t="shared" si="138"/>
        <v/>
      </c>
      <c r="HU97" s="1088">
        <f t="shared" si="700"/>
        <v>0</v>
      </c>
      <c r="HV97" s="1091" t="str">
        <f t="shared" si="619"/>
        <v/>
      </c>
      <c r="HW97" s="1091">
        <f>IFERROR(HU97/HU$42,"")</f>
        <v>0</v>
      </c>
      <c r="HX97" s="1090">
        <f t="shared" si="279"/>
        <v>0</v>
      </c>
      <c r="HY97" s="1091" t="str">
        <f t="shared" si="620"/>
        <v/>
      </c>
      <c r="HZ97" s="1091">
        <f>IFERROR(HX97/HX$42,"")</f>
        <v>0</v>
      </c>
      <c r="IA97" s="1090">
        <f t="shared" si="282"/>
        <v>0</v>
      </c>
      <c r="IB97" s="1091" t="str">
        <f t="shared" si="621"/>
        <v/>
      </c>
      <c r="IC97" s="1091" t="str">
        <f>IFERROR(IA97/IA$42,"")</f>
        <v/>
      </c>
      <c r="ID97" s="1090">
        <f t="shared" si="145"/>
        <v>0</v>
      </c>
      <c r="IE97" s="1091" t="str">
        <f t="shared" si="146"/>
        <v/>
      </c>
      <c r="IF97" s="1090">
        <f t="shared" si="147"/>
        <v>0</v>
      </c>
      <c r="IG97" s="1091" t="str">
        <f t="shared" si="148"/>
        <v/>
      </c>
      <c r="IH97" s="1088">
        <f t="shared" si="701"/>
        <v>0</v>
      </c>
      <c r="II97" s="1091" t="str">
        <f t="shared" si="622"/>
        <v/>
      </c>
      <c r="IJ97" s="1091">
        <f>IFERROR(IH97/IH$42,"")</f>
        <v>0</v>
      </c>
      <c r="IK97" s="1090">
        <f t="shared" si="288"/>
        <v>0</v>
      </c>
      <c r="IL97" s="1091" t="str">
        <f t="shared" si="623"/>
        <v/>
      </c>
      <c r="IM97" s="1091">
        <f>IFERROR(IK97/IK$42,"")</f>
        <v>0</v>
      </c>
      <c r="IN97" s="1090">
        <f t="shared" si="291"/>
        <v>323181.36</v>
      </c>
      <c r="IO97" s="1091">
        <f t="shared" si="624"/>
        <v>0.9505334118</v>
      </c>
      <c r="IP97" s="1091">
        <f>IFERROR(IN97/IN$42,"")</f>
        <v>0.1004994484</v>
      </c>
      <c r="IQ97" s="1090">
        <f t="shared" si="155"/>
        <v>323181.36</v>
      </c>
      <c r="IR97" s="1091" t="str">
        <f t="shared" si="1"/>
        <v/>
      </c>
      <c r="IS97" s="1090">
        <f t="shared" si="156"/>
        <v>323181.36</v>
      </c>
      <c r="IT97" s="1091" t="str">
        <f t="shared" si="2"/>
        <v/>
      </c>
    </row>
  </sheetData>
  <mergeCells count="1254">
    <mergeCell ref="DS3:DT3"/>
    <mergeCell ref="DU3:DW3"/>
    <mergeCell ref="DA3:DC3"/>
    <mergeCell ref="DD3:DE3"/>
    <mergeCell ref="DF3:DG3"/>
    <mergeCell ref="DH3:DJ3"/>
    <mergeCell ref="DK3:DM3"/>
    <mergeCell ref="DN3:DP3"/>
    <mergeCell ref="DQ3:DR3"/>
    <mergeCell ref="EQ3:ER3"/>
    <mergeCell ref="ES3:ET3"/>
    <mergeCell ref="DX3:DZ3"/>
    <mergeCell ref="EA3:EC3"/>
    <mergeCell ref="ED3:EE3"/>
    <mergeCell ref="EF3:EG3"/>
    <mergeCell ref="EH3:EJ3"/>
    <mergeCell ref="EK3:EM3"/>
    <mergeCell ref="EN3:EP3"/>
    <mergeCell ref="FN3:FP3"/>
    <mergeCell ref="FQ3:FR3"/>
    <mergeCell ref="EU3:EW3"/>
    <mergeCell ref="EX3:EZ3"/>
    <mergeCell ref="FA3:FC3"/>
    <mergeCell ref="FD3:FE3"/>
    <mergeCell ref="FF3:FG3"/>
    <mergeCell ref="FH3:FJ3"/>
    <mergeCell ref="FK3:FM3"/>
    <mergeCell ref="GK3:GM3"/>
    <mergeCell ref="GN3:GP3"/>
    <mergeCell ref="FS3:FT3"/>
    <mergeCell ref="FU3:FW3"/>
    <mergeCell ref="FX3:FZ3"/>
    <mergeCell ref="GA3:GC3"/>
    <mergeCell ref="GD3:GE3"/>
    <mergeCell ref="GF3:GG3"/>
    <mergeCell ref="GH3:GJ3"/>
    <mergeCell ref="IK3:IM3"/>
    <mergeCell ref="IN3:IP3"/>
    <mergeCell ref="IQ3:IR3"/>
    <mergeCell ref="IS3:IT3"/>
    <mergeCell ref="GH2:GT2"/>
    <mergeCell ref="GU2:HG2"/>
    <mergeCell ref="HH2:HT2"/>
    <mergeCell ref="HU2:IG2"/>
    <mergeCell ref="IH2:IT2"/>
    <mergeCell ref="GQ3:GR3"/>
    <mergeCell ref="GS3:GT3"/>
    <mergeCell ref="GU3:GW3"/>
    <mergeCell ref="GX3:GZ3"/>
    <mergeCell ref="HF3:HG3"/>
    <mergeCell ref="HH3:HJ3"/>
    <mergeCell ref="HK3:HM3"/>
    <mergeCell ref="HN3:HP3"/>
    <mergeCell ref="HQ3:HR3"/>
    <mergeCell ref="HS3:HT3"/>
    <mergeCell ref="HU3:HW3"/>
    <mergeCell ref="HX3:HZ3"/>
    <mergeCell ref="IA3:IC3"/>
    <mergeCell ref="ID3:IE3"/>
    <mergeCell ref="IF3:IG3"/>
    <mergeCell ref="IH3:IJ3"/>
    <mergeCell ref="DY5:DZ5"/>
    <mergeCell ref="EB5:EC5"/>
    <mergeCell ref="EI5:EJ5"/>
    <mergeCell ref="EL5:EM5"/>
    <mergeCell ref="EO5:EP5"/>
    <mergeCell ref="EV5:EW5"/>
    <mergeCell ref="EY5:EZ5"/>
    <mergeCell ref="FB5:FC5"/>
    <mergeCell ref="FI5:FJ5"/>
    <mergeCell ref="FL5:FM5"/>
    <mergeCell ref="FO5:FP5"/>
    <mergeCell ref="FV5:FW5"/>
    <mergeCell ref="FY5:FZ5"/>
    <mergeCell ref="GB5:GC5"/>
    <mergeCell ref="IL5:IM5"/>
    <mergeCell ref="IO5:IP5"/>
    <mergeCell ref="HI5:HJ5"/>
    <mergeCell ref="HL5:HM5"/>
    <mergeCell ref="HO5:HP5"/>
    <mergeCell ref="HV5:HW5"/>
    <mergeCell ref="HY5:HZ5"/>
    <mergeCell ref="IB5:IC5"/>
    <mergeCell ref="II5:IJ5"/>
    <mergeCell ref="H2:T2"/>
    <mergeCell ref="U2:AG2"/>
    <mergeCell ref="AH2:AT2"/>
    <mergeCell ref="AU2:BG2"/>
    <mergeCell ref="BH2:BT2"/>
    <mergeCell ref="BU2:CG2"/>
    <mergeCell ref="CH2:CT2"/>
    <mergeCell ref="H3:J3"/>
    <mergeCell ref="K3:M3"/>
    <mergeCell ref="N3:P3"/>
    <mergeCell ref="Q3:R3"/>
    <mergeCell ref="S3:T3"/>
    <mergeCell ref="U3:W3"/>
    <mergeCell ref="X3:Z3"/>
    <mergeCell ref="AA3:AC3"/>
    <mergeCell ref="AD3:AE3"/>
    <mergeCell ref="AF3:AG3"/>
    <mergeCell ref="AH3:AJ3"/>
    <mergeCell ref="AK3:AM3"/>
    <mergeCell ref="AN3:AP3"/>
    <mergeCell ref="AQ3:AR3"/>
    <mergeCell ref="AS3:AT3"/>
    <mergeCell ref="AU3:AW3"/>
    <mergeCell ref="AX3:AZ3"/>
    <mergeCell ref="BA3:BC3"/>
    <mergeCell ref="BD3:BE3"/>
    <mergeCell ref="BF3:BG3"/>
    <mergeCell ref="BH3:BJ3"/>
    <mergeCell ref="BK3:BM3"/>
    <mergeCell ref="BN3:BP3"/>
    <mergeCell ref="BQ3:BR3"/>
    <mergeCell ref="BS3:BT3"/>
    <mergeCell ref="BU3:BW3"/>
    <mergeCell ref="BX3:BZ3"/>
    <mergeCell ref="CA3:CC3"/>
    <mergeCell ref="CU2:DG2"/>
    <mergeCell ref="DH2:DT2"/>
    <mergeCell ref="DU2:EG2"/>
    <mergeCell ref="EH2:ET2"/>
    <mergeCell ref="EU2:FG2"/>
    <mergeCell ref="FH2:FT2"/>
    <mergeCell ref="FU2:GG2"/>
    <mergeCell ref="HA3:HC3"/>
    <mergeCell ref="HD3:HE3"/>
    <mergeCell ref="AY5:AZ5"/>
    <mergeCell ref="AY6:AZ6"/>
    <mergeCell ref="BI5:BJ5"/>
    <mergeCell ref="BI6:BJ6"/>
    <mergeCell ref="AL5:AM5"/>
    <mergeCell ref="AV5:AW5"/>
    <mergeCell ref="BB5:BC5"/>
    <mergeCell ref="BL5:BM5"/>
    <mergeCell ref="AL6:AM6"/>
    <mergeCell ref="AV6:AW6"/>
    <mergeCell ref="BB6:BC6"/>
    <mergeCell ref="BL6:BM6"/>
    <mergeCell ref="CB5:CC5"/>
    <mergeCell ref="CB6:CC6"/>
    <mergeCell ref="CL5:CM5"/>
    <mergeCell ref="CL6:CM6"/>
    <mergeCell ref="BO5:BP5"/>
    <mergeCell ref="BY5:BZ5"/>
    <mergeCell ref="CI5:CJ5"/>
    <mergeCell ref="CO5:CP5"/>
    <mergeCell ref="BO6:BP6"/>
    <mergeCell ref="BY6:BZ6"/>
    <mergeCell ref="CI6:CJ6"/>
    <mergeCell ref="CO6:CP6"/>
    <mergeCell ref="DL5:DM5"/>
    <mergeCell ref="DL6:DM6"/>
    <mergeCell ref="DL7:DM7"/>
    <mergeCell ref="CV5:CW5"/>
    <mergeCell ref="CY5:CZ5"/>
    <mergeCell ref="DB5:DC5"/>
    <mergeCell ref="DI5:DJ5"/>
    <mergeCell ref="DO5:DP5"/>
    <mergeCell ref="DI6:DJ6"/>
    <mergeCell ref="DO6:DP6"/>
    <mergeCell ref="CV7:CW7"/>
    <mergeCell ref="CY7:CZ7"/>
    <mergeCell ref="DB7:DC7"/>
    <mergeCell ref="DI7:DJ7"/>
    <mergeCell ref="DO7:DP7"/>
    <mergeCell ref="DV7:DW7"/>
    <mergeCell ref="DY7:DZ7"/>
    <mergeCell ref="EB7:EC7"/>
    <mergeCell ref="EI7:EJ7"/>
    <mergeCell ref="EL7:EM7"/>
    <mergeCell ref="EO7:EP7"/>
    <mergeCell ref="EV7:EW7"/>
    <mergeCell ref="EY7:EZ7"/>
    <mergeCell ref="FB7:FC7"/>
    <mergeCell ref="FI7:FJ7"/>
    <mergeCell ref="FL7:FM7"/>
    <mergeCell ref="FO7:FP7"/>
    <mergeCell ref="FV7:FW7"/>
    <mergeCell ref="FY7:FZ7"/>
    <mergeCell ref="GB7:GC7"/>
    <mergeCell ref="GI7:GJ7"/>
    <mergeCell ref="HO7:HP7"/>
    <mergeCell ref="HV7:HW7"/>
    <mergeCell ref="HY7:HZ7"/>
    <mergeCell ref="IB7:IC7"/>
    <mergeCell ref="II7:IJ7"/>
    <mergeCell ref="IL7:IM7"/>
    <mergeCell ref="IO7:IP7"/>
    <mergeCell ref="GL7:GM7"/>
    <mergeCell ref="GO7:GP7"/>
    <mergeCell ref="GV7:GW7"/>
    <mergeCell ref="GY7:GZ7"/>
    <mergeCell ref="HB7:HC7"/>
    <mergeCell ref="HI7:HJ7"/>
    <mergeCell ref="HL7:HM7"/>
    <mergeCell ref="FY6:FZ6"/>
    <mergeCell ref="GB6:GC6"/>
    <mergeCell ref="EV6:EW6"/>
    <mergeCell ref="EY6:EZ6"/>
    <mergeCell ref="FB6:FC6"/>
    <mergeCell ref="FI6:FJ6"/>
    <mergeCell ref="FL6:FM6"/>
    <mergeCell ref="FO6:FP6"/>
    <mergeCell ref="FV6:FW6"/>
    <mergeCell ref="GY5:GZ5"/>
    <mergeCell ref="GY6:GZ6"/>
    <mergeCell ref="GI5:GJ5"/>
    <mergeCell ref="GL5:GM5"/>
    <mergeCell ref="GV5:GW5"/>
    <mergeCell ref="HB5:HC5"/>
    <mergeCell ref="GI6:GJ6"/>
    <mergeCell ref="GL6:GM6"/>
    <mergeCell ref="GV6:GW6"/>
    <mergeCell ref="II6:IJ6"/>
    <mergeCell ref="IL6:IM6"/>
    <mergeCell ref="IO6:IP6"/>
    <mergeCell ref="HB6:HC6"/>
    <mergeCell ref="HI6:HJ6"/>
    <mergeCell ref="HL6:HM6"/>
    <mergeCell ref="HO6:HP6"/>
    <mergeCell ref="HV6:HW6"/>
    <mergeCell ref="HY6:HZ6"/>
    <mergeCell ref="IB6:IC6"/>
    <mergeCell ref="CU3:CW3"/>
    <mergeCell ref="CX3:CZ3"/>
    <mergeCell ref="CV6:CW6"/>
    <mergeCell ref="CY6:CZ6"/>
    <mergeCell ref="DB6:DC6"/>
    <mergeCell ref="CD3:CE3"/>
    <mergeCell ref="CF3:CG3"/>
    <mergeCell ref="CH3:CJ3"/>
    <mergeCell ref="CK3:CM3"/>
    <mergeCell ref="CN3:CP3"/>
    <mergeCell ref="CQ3:CR3"/>
    <mergeCell ref="CS3:CT3"/>
    <mergeCell ref="L5:M5"/>
    <mergeCell ref="L6:M6"/>
    <mergeCell ref="AO5:AP5"/>
    <mergeCell ref="AO6:AP6"/>
    <mergeCell ref="BV5:BW5"/>
    <mergeCell ref="BV6:BW6"/>
    <mergeCell ref="DV5:DW5"/>
    <mergeCell ref="DV6:DW6"/>
    <mergeCell ref="DY6:DZ6"/>
    <mergeCell ref="EB6:EC6"/>
    <mergeCell ref="EI6:EJ6"/>
    <mergeCell ref="EL6:EM6"/>
    <mergeCell ref="EO6:EP6"/>
    <mergeCell ref="GO5:GP5"/>
    <mergeCell ref="GO6:GP6"/>
    <mergeCell ref="AY7:AZ7"/>
    <mergeCell ref="BB7:BC7"/>
    <mergeCell ref="BI7:BJ7"/>
    <mergeCell ref="BL7:BM7"/>
    <mergeCell ref="BO7:BP7"/>
    <mergeCell ref="BV7:BW7"/>
    <mergeCell ref="BY7:BZ7"/>
    <mergeCell ref="AV7:AW7"/>
    <mergeCell ref="AV8:AW8"/>
    <mergeCell ref="AY8:AZ8"/>
    <mergeCell ref="BB8:BC8"/>
    <mergeCell ref="BI8:BJ8"/>
    <mergeCell ref="BL8:BM8"/>
    <mergeCell ref="BO8:BP8"/>
    <mergeCell ref="CY8:CZ8"/>
    <mergeCell ref="DB8:DC8"/>
    <mergeCell ref="DI8:DJ8"/>
    <mergeCell ref="DL8:DM8"/>
    <mergeCell ref="DO8:DP8"/>
    <mergeCell ref="DV8:DW8"/>
    <mergeCell ref="DY8:DZ8"/>
    <mergeCell ref="EB8:EC8"/>
    <mergeCell ref="EI8:EJ8"/>
    <mergeCell ref="EL8:EM8"/>
    <mergeCell ref="EO8:EP8"/>
    <mergeCell ref="EV8:EW8"/>
    <mergeCell ref="EY8:EZ8"/>
    <mergeCell ref="FB8:FC8"/>
    <mergeCell ref="FI8:FJ8"/>
    <mergeCell ref="FL8:FM8"/>
    <mergeCell ref="FO8:FP8"/>
    <mergeCell ref="FV8:FW8"/>
    <mergeCell ref="FY8:FZ8"/>
    <mergeCell ref="GB8:GC8"/>
    <mergeCell ref="GI8:GJ8"/>
    <mergeCell ref="HO8:HP8"/>
    <mergeCell ref="HV8:HW8"/>
    <mergeCell ref="HY8:HZ8"/>
    <mergeCell ref="IB8:IC8"/>
    <mergeCell ref="II8:IJ8"/>
    <mergeCell ref="IL8:IM8"/>
    <mergeCell ref="IO8:IP8"/>
    <mergeCell ref="GL8:GM8"/>
    <mergeCell ref="GO8:GP8"/>
    <mergeCell ref="GV8:GW8"/>
    <mergeCell ref="GY8:GZ8"/>
    <mergeCell ref="HB8:HC8"/>
    <mergeCell ref="HI8:HJ8"/>
    <mergeCell ref="HL8:HM8"/>
    <mergeCell ref="BB9:BC9"/>
    <mergeCell ref="BI9:BJ9"/>
    <mergeCell ref="BL9:BM9"/>
    <mergeCell ref="BO9:BP9"/>
    <mergeCell ref="BV9:BW9"/>
    <mergeCell ref="BY9:BZ9"/>
    <mergeCell ref="CB9:CC9"/>
    <mergeCell ref="CI9:CJ9"/>
    <mergeCell ref="CL9:CM9"/>
    <mergeCell ref="CY9:CZ9"/>
    <mergeCell ref="DB9:DC9"/>
    <mergeCell ref="DI9:DJ9"/>
    <mergeCell ref="DL9:DM9"/>
    <mergeCell ref="DO9:DP9"/>
    <mergeCell ref="DV9:DW9"/>
    <mergeCell ref="DY9:DZ9"/>
    <mergeCell ref="EB9:EC9"/>
    <mergeCell ref="EI9:EJ9"/>
    <mergeCell ref="EL9:EM9"/>
    <mergeCell ref="EO9:EP9"/>
    <mergeCell ref="EV9:EW9"/>
    <mergeCell ref="EY9:EZ9"/>
    <mergeCell ref="FB9:FC9"/>
    <mergeCell ref="FI9:FJ9"/>
    <mergeCell ref="FL9:FM9"/>
    <mergeCell ref="FO9:FP9"/>
    <mergeCell ref="FV9:FW9"/>
    <mergeCell ref="FY9:FZ9"/>
    <mergeCell ref="GB9:GC9"/>
    <mergeCell ref="GI9:GJ9"/>
    <mergeCell ref="GL9:GM9"/>
    <mergeCell ref="GO9:GP9"/>
    <mergeCell ref="GV9:GW9"/>
    <mergeCell ref="GY9:GZ9"/>
    <mergeCell ref="HB9:HC9"/>
    <mergeCell ref="IL9:IM9"/>
    <mergeCell ref="IO9:IP9"/>
    <mergeCell ref="HI9:HJ9"/>
    <mergeCell ref="HL9:HM9"/>
    <mergeCell ref="HO9:HP9"/>
    <mergeCell ref="HV9:HW9"/>
    <mergeCell ref="HY9:HZ9"/>
    <mergeCell ref="IB9:IC9"/>
    <mergeCell ref="II9:IJ9"/>
    <mergeCell ref="IB10:IC10"/>
    <mergeCell ref="II10:IJ10"/>
    <mergeCell ref="IL10:IM10"/>
    <mergeCell ref="IO10:IP10"/>
    <mergeCell ref="GY10:GZ10"/>
    <mergeCell ref="HB10:HC10"/>
    <mergeCell ref="HI10:HJ10"/>
    <mergeCell ref="HL10:HM10"/>
    <mergeCell ref="HO10:HP10"/>
    <mergeCell ref="HV10:HW10"/>
    <mergeCell ref="HY10:HZ10"/>
    <mergeCell ref="FY10:FZ10"/>
    <mergeCell ref="FY11:FZ11"/>
    <mergeCell ref="GI10:GJ10"/>
    <mergeCell ref="GI11:GJ11"/>
    <mergeCell ref="GO10:GP10"/>
    <mergeCell ref="GO11:GP11"/>
    <mergeCell ref="FV10:FW10"/>
    <mergeCell ref="GB10:GC10"/>
    <mergeCell ref="GL10:GM10"/>
    <mergeCell ref="GV10:GW10"/>
    <mergeCell ref="FV11:FW11"/>
    <mergeCell ref="GB11:GC11"/>
    <mergeCell ref="GL11:GM11"/>
    <mergeCell ref="HY11:HZ11"/>
    <mergeCell ref="IB11:IC11"/>
    <mergeCell ref="II11:IJ11"/>
    <mergeCell ref="IL11:IM11"/>
    <mergeCell ref="IO11:IP11"/>
    <mergeCell ref="GV11:GW11"/>
    <mergeCell ref="GY11:GZ11"/>
    <mergeCell ref="HB11:HC11"/>
    <mergeCell ref="HI11:HJ11"/>
    <mergeCell ref="HL11:HM11"/>
    <mergeCell ref="HO11:HP11"/>
    <mergeCell ref="HV11:HW11"/>
    <mergeCell ref="V10:W10"/>
    <mergeCell ref="V11:W11"/>
    <mergeCell ref="Y8:Z8"/>
    <mergeCell ref="Y9:Z9"/>
    <mergeCell ref="I10:J10"/>
    <mergeCell ref="O10:P10"/>
    <mergeCell ref="Y10:Z10"/>
    <mergeCell ref="I11:J11"/>
    <mergeCell ref="O11:P11"/>
    <mergeCell ref="Y11:Z11"/>
    <mergeCell ref="AV10:AW10"/>
    <mergeCell ref="AV11:AW11"/>
    <mergeCell ref="AB9:AC9"/>
    <mergeCell ref="AB10:AC10"/>
    <mergeCell ref="AI10:AJ10"/>
    <mergeCell ref="AO10:AP10"/>
    <mergeCell ref="AY10:AZ10"/>
    <mergeCell ref="AI11:AJ11"/>
    <mergeCell ref="AO11:AP11"/>
    <mergeCell ref="AY11:AZ11"/>
    <mergeCell ref="BO10:BP10"/>
    <mergeCell ref="BO11:BP11"/>
    <mergeCell ref="BB10:BC10"/>
    <mergeCell ref="BL10:BM10"/>
    <mergeCell ref="BV10:BW10"/>
    <mergeCell ref="BY10:BZ10"/>
    <mergeCell ref="CB10:CC10"/>
    <mergeCell ref="BB11:BC11"/>
    <mergeCell ref="BL11:BM11"/>
    <mergeCell ref="I5:J5"/>
    <mergeCell ref="O5:P5"/>
    <mergeCell ref="Y5:Z5"/>
    <mergeCell ref="AI5:AJ5"/>
    <mergeCell ref="O6:P6"/>
    <mergeCell ref="Y6:Z6"/>
    <mergeCell ref="AI6:AJ6"/>
    <mergeCell ref="CB7:CC7"/>
    <mergeCell ref="CI7:CJ7"/>
    <mergeCell ref="CL7:CM7"/>
    <mergeCell ref="CO7:CP7"/>
    <mergeCell ref="AB5:AC5"/>
    <mergeCell ref="AB6:AC6"/>
    <mergeCell ref="AB7:AC7"/>
    <mergeCell ref="AI7:AJ7"/>
    <mergeCell ref="AO7:AP7"/>
    <mergeCell ref="AI8:AJ8"/>
    <mergeCell ref="AO8:AP8"/>
    <mergeCell ref="L8:M8"/>
    <mergeCell ref="L9:M9"/>
    <mergeCell ref="I6:J6"/>
    <mergeCell ref="I7:J7"/>
    <mergeCell ref="L7:M7"/>
    <mergeCell ref="O7:P7"/>
    <mergeCell ref="I8:J8"/>
    <mergeCell ref="O8:P8"/>
    <mergeCell ref="I9:J9"/>
    <mergeCell ref="O9:P9"/>
    <mergeCell ref="AL7:AM7"/>
    <mergeCell ref="AL8:AM8"/>
    <mergeCell ref="AI9:AJ9"/>
    <mergeCell ref="AL9:AM9"/>
    <mergeCell ref="AO9:AP9"/>
    <mergeCell ref="AV9:AW9"/>
    <mergeCell ref="AY9:AZ9"/>
    <mergeCell ref="CV8:CW8"/>
    <mergeCell ref="CV9:CW9"/>
    <mergeCell ref="BV8:BW8"/>
    <mergeCell ref="BY8:BZ8"/>
    <mergeCell ref="CB8:CC8"/>
    <mergeCell ref="CI8:CJ8"/>
    <mergeCell ref="CL8:CM8"/>
    <mergeCell ref="CO8:CP8"/>
    <mergeCell ref="CO9:CP9"/>
    <mergeCell ref="DV11:DW11"/>
    <mergeCell ref="DY11:DZ11"/>
    <mergeCell ref="CO11:CP11"/>
    <mergeCell ref="CV11:CW11"/>
    <mergeCell ref="CY11:CZ11"/>
    <mergeCell ref="DB11:DC11"/>
    <mergeCell ref="DI11:DJ11"/>
    <mergeCell ref="DL11:DM11"/>
    <mergeCell ref="DO11:DP11"/>
    <mergeCell ref="EI10:EJ10"/>
    <mergeCell ref="EI11:EJ11"/>
    <mergeCell ref="DL10:DM10"/>
    <mergeCell ref="DO10:DP10"/>
    <mergeCell ref="DV10:DW10"/>
    <mergeCell ref="DY10:DZ10"/>
    <mergeCell ref="EB10:EC10"/>
    <mergeCell ref="EL10:EM10"/>
    <mergeCell ref="EB11:EC11"/>
    <mergeCell ref="V9:W9"/>
    <mergeCell ref="V12:W12"/>
    <mergeCell ref="I13:J13"/>
    <mergeCell ref="L13:M13"/>
    <mergeCell ref="O13:P13"/>
    <mergeCell ref="V13:W13"/>
    <mergeCell ref="Y13:Z13"/>
    <mergeCell ref="AB13:AC13"/>
    <mergeCell ref="AI13:AJ13"/>
    <mergeCell ref="AL13:AM13"/>
    <mergeCell ref="AO13:AP13"/>
    <mergeCell ref="V5:W5"/>
    <mergeCell ref="V6:W6"/>
    <mergeCell ref="V7:W7"/>
    <mergeCell ref="Y7:Z7"/>
    <mergeCell ref="V8:W8"/>
    <mergeCell ref="AB8:AC8"/>
    <mergeCell ref="Y12:Z12"/>
    <mergeCell ref="DV12:DW12"/>
    <mergeCell ref="DY12:DZ12"/>
    <mergeCell ref="CO12:CP12"/>
    <mergeCell ref="CV12:CW12"/>
    <mergeCell ref="CY12:CZ12"/>
    <mergeCell ref="DB12:DC12"/>
    <mergeCell ref="DI12:DJ12"/>
    <mergeCell ref="DL12:DM12"/>
    <mergeCell ref="DO12:DP12"/>
    <mergeCell ref="EO11:EP11"/>
    <mergeCell ref="EV11:EW11"/>
    <mergeCell ref="EY11:EZ11"/>
    <mergeCell ref="FB11:FC11"/>
    <mergeCell ref="FI11:FJ11"/>
    <mergeCell ref="FL11:FM11"/>
    <mergeCell ref="FO11:FP11"/>
    <mergeCell ref="EL11:EM11"/>
    <mergeCell ref="EB12:EC12"/>
    <mergeCell ref="EI12:EJ12"/>
    <mergeCell ref="EL12:EM12"/>
    <mergeCell ref="EO12:EP12"/>
    <mergeCell ref="EV12:EW12"/>
    <mergeCell ref="EY12:EZ12"/>
    <mergeCell ref="FL12:FM12"/>
    <mergeCell ref="FO12:FP12"/>
    <mergeCell ref="FV12:FW12"/>
    <mergeCell ref="FY12:FZ12"/>
    <mergeCell ref="GB12:GC12"/>
    <mergeCell ref="GI12:GJ12"/>
    <mergeCell ref="GL12:GM12"/>
    <mergeCell ref="GO12:GP12"/>
    <mergeCell ref="GV12:GW12"/>
    <mergeCell ref="GY12:GZ12"/>
    <mergeCell ref="HB12:HC12"/>
    <mergeCell ref="HI12:HJ12"/>
    <mergeCell ref="HL12:HM12"/>
    <mergeCell ref="HO12:HP12"/>
    <mergeCell ref="IL12:IM12"/>
    <mergeCell ref="IL13:IM13"/>
    <mergeCell ref="HV12:HW12"/>
    <mergeCell ref="HY12:HZ12"/>
    <mergeCell ref="IB12:IC12"/>
    <mergeCell ref="II12:IJ12"/>
    <mergeCell ref="IO12:IP12"/>
    <mergeCell ref="IB13:IC13"/>
    <mergeCell ref="II13:IJ13"/>
    <mergeCell ref="IO13:IP13"/>
    <mergeCell ref="CI10:CJ10"/>
    <mergeCell ref="CL10:CM10"/>
    <mergeCell ref="CO10:CP10"/>
    <mergeCell ref="CV10:CW10"/>
    <mergeCell ref="CY10:CZ10"/>
    <mergeCell ref="DB10:DC10"/>
    <mergeCell ref="DI10:DJ10"/>
    <mergeCell ref="EO10:EP10"/>
    <mergeCell ref="EV10:EW10"/>
    <mergeCell ref="EY10:EZ10"/>
    <mergeCell ref="FB10:FC10"/>
    <mergeCell ref="FI10:FJ10"/>
    <mergeCell ref="FL10:FM10"/>
    <mergeCell ref="FO10:FP10"/>
    <mergeCell ref="L10:M10"/>
    <mergeCell ref="L11:M11"/>
    <mergeCell ref="I12:J12"/>
    <mergeCell ref="L12:M12"/>
    <mergeCell ref="O12:P12"/>
    <mergeCell ref="AB11:AC11"/>
    <mergeCell ref="AB12:AC12"/>
    <mergeCell ref="AL10:AM10"/>
    <mergeCell ref="AL11:AM11"/>
    <mergeCell ref="AI12:AJ12"/>
    <mergeCell ref="AL12:AM12"/>
    <mergeCell ref="AO12:AP12"/>
    <mergeCell ref="AV12:AW12"/>
    <mergeCell ref="AY12:AZ12"/>
    <mergeCell ref="BI10:BJ10"/>
    <mergeCell ref="BI11:BJ11"/>
    <mergeCell ref="BV11:BW11"/>
    <mergeCell ref="BY11:BZ11"/>
    <mergeCell ref="CB11:CC11"/>
    <mergeCell ref="CI11:CJ11"/>
    <mergeCell ref="CL11:CM11"/>
    <mergeCell ref="FB12:FC12"/>
    <mergeCell ref="FI12:FJ12"/>
    <mergeCell ref="BB12:BC12"/>
    <mergeCell ref="BI12:BJ12"/>
    <mergeCell ref="BL12:BM12"/>
    <mergeCell ref="BO12:BP12"/>
    <mergeCell ref="BV12:BW12"/>
    <mergeCell ref="BY12:BZ12"/>
    <mergeCell ref="CB12:CC12"/>
    <mergeCell ref="BY13:BZ13"/>
    <mergeCell ref="CB13:CC13"/>
    <mergeCell ref="AV13:AW13"/>
    <mergeCell ref="AY13:AZ13"/>
    <mergeCell ref="BB13:BC13"/>
    <mergeCell ref="BI13:BJ13"/>
    <mergeCell ref="BL13:BM13"/>
    <mergeCell ref="BO13:BP13"/>
    <mergeCell ref="BV13:BW13"/>
    <mergeCell ref="CI12:CJ12"/>
    <mergeCell ref="CL12:CM12"/>
    <mergeCell ref="CI13:CJ13"/>
    <mergeCell ref="CL13:CM13"/>
    <mergeCell ref="CO13:CP13"/>
    <mergeCell ref="CV13:CW13"/>
    <mergeCell ref="CY13:CZ13"/>
    <mergeCell ref="DB13:DC13"/>
    <mergeCell ref="DI13:DJ13"/>
    <mergeCell ref="DL13:DM13"/>
    <mergeCell ref="DO13:DP13"/>
    <mergeCell ref="DV13:DW13"/>
    <mergeCell ref="DY13:DZ13"/>
    <mergeCell ref="EB13:EC13"/>
    <mergeCell ref="EI13:EJ13"/>
    <mergeCell ref="EL13:EM13"/>
    <mergeCell ref="EO13:EP13"/>
    <mergeCell ref="EV13:EW13"/>
    <mergeCell ref="EY13:EZ13"/>
    <mergeCell ref="FB13:FC13"/>
    <mergeCell ref="FI13:FJ13"/>
    <mergeCell ref="HV13:HW13"/>
    <mergeCell ref="HY13:HZ13"/>
    <mergeCell ref="DY22:DZ22"/>
    <mergeCell ref="EB22:EC22"/>
    <mergeCell ref="EI22:EJ22"/>
    <mergeCell ref="EL22:EM22"/>
    <mergeCell ref="EO22:EP22"/>
    <mergeCell ref="EV22:EW22"/>
    <mergeCell ref="EY22:EZ22"/>
    <mergeCell ref="HV22:HW22"/>
    <mergeCell ref="HY22:HZ22"/>
    <mergeCell ref="IB22:IC22"/>
    <mergeCell ref="II22:IJ22"/>
    <mergeCell ref="IL22:IM22"/>
    <mergeCell ref="IO22:IP22"/>
    <mergeCell ref="FB22:FC22"/>
    <mergeCell ref="FI22:FJ22"/>
    <mergeCell ref="FL22:FM22"/>
    <mergeCell ref="FO22:FP22"/>
    <mergeCell ref="FV22:FW22"/>
    <mergeCell ref="FY22:FZ22"/>
    <mergeCell ref="GB22:GC22"/>
    <mergeCell ref="AL22:AM22"/>
    <mergeCell ref="AO22:AP22"/>
    <mergeCell ref="AV22:AW22"/>
    <mergeCell ref="AY22:AZ22"/>
    <mergeCell ref="BB22:BC22"/>
    <mergeCell ref="BI22:BJ22"/>
    <mergeCell ref="BL22:BM22"/>
    <mergeCell ref="I22:J22"/>
    <mergeCell ref="L22:M22"/>
    <mergeCell ref="O22:P22"/>
    <mergeCell ref="V22:W22"/>
    <mergeCell ref="Y22:Z22"/>
    <mergeCell ref="AB22:AC22"/>
    <mergeCell ref="AI22:AJ22"/>
    <mergeCell ref="DB31:DC31"/>
    <mergeCell ref="DI31:DJ31"/>
    <mergeCell ref="BY31:BZ31"/>
    <mergeCell ref="CB31:CC31"/>
    <mergeCell ref="CI31:CJ31"/>
    <mergeCell ref="CL31:CM31"/>
    <mergeCell ref="CO31:CP31"/>
    <mergeCell ref="CV31:CW31"/>
    <mergeCell ref="CY31:CZ31"/>
    <mergeCell ref="EO31:EP31"/>
    <mergeCell ref="EV31:EW31"/>
    <mergeCell ref="DL31:DM31"/>
    <mergeCell ref="DO31:DP31"/>
    <mergeCell ref="DV31:DW31"/>
    <mergeCell ref="DY31:DZ31"/>
    <mergeCell ref="EB31:EC31"/>
    <mergeCell ref="EI31:EJ31"/>
    <mergeCell ref="EL31:EM31"/>
    <mergeCell ref="GB31:GC31"/>
    <mergeCell ref="GI31:GJ31"/>
    <mergeCell ref="HV31:HW31"/>
    <mergeCell ref="HY31:HZ31"/>
    <mergeCell ref="IB31:IC31"/>
    <mergeCell ref="II31:IJ31"/>
    <mergeCell ref="IL31:IM31"/>
    <mergeCell ref="IO31:IP31"/>
    <mergeCell ref="EY31:EZ31"/>
    <mergeCell ref="FB31:FC31"/>
    <mergeCell ref="FI31:FJ31"/>
    <mergeCell ref="FL31:FM31"/>
    <mergeCell ref="FO31:FP31"/>
    <mergeCell ref="FV31:FW31"/>
    <mergeCell ref="FY31:FZ31"/>
    <mergeCell ref="GO13:GP13"/>
    <mergeCell ref="GV13:GW13"/>
    <mergeCell ref="GY13:GZ13"/>
    <mergeCell ref="HB13:HC13"/>
    <mergeCell ref="HI13:HJ13"/>
    <mergeCell ref="HL13:HM13"/>
    <mergeCell ref="HO13:HP13"/>
    <mergeCell ref="FL13:FM13"/>
    <mergeCell ref="FO13:FP13"/>
    <mergeCell ref="FV13:FW13"/>
    <mergeCell ref="FY13:FZ13"/>
    <mergeCell ref="GB13:GC13"/>
    <mergeCell ref="GI13:GJ13"/>
    <mergeCell ref="GL13:GM13"/>
    <mergeCell ref="BO22:BP22"/>
    <mergeCell ref="BV22:BW22"/>
    <mergeCell ref="BY22:BZ22"/>
    <mergeCell ref="CB22:CC22"/>
    <mergeCell ref="CI22:CJ22"/>
    <mergeCell ref="CL22:CM22"/>
    <mergeCell ref="CO22:CP22"/>
    <mergeCell ref="CV22:CW22"/>
    <mergeCell ref="CY22:CZ22"/>
    <mergeCell ref="DB22:DC22"/>
    <mergeCell ref="DI22:DJ22"/>
    <mergeCell ref="DL22:DM22"/>
    <mergeCell ref="DO22:DP22"/>
    <mergeCell ref="DV22:DW22"/>
    <mergeCell ref="HL22:HM22"/>
    <mergeCell ref="HO22:HP22"/>
    <mergeCell ref="GI22:GJ22"/>
    <mergeCell ref="GL22:GM22"/>
    <mergeCell ref="GO22:GP22"/>
    <mergeCell ref="GV22:GW22"/>
    <mergeCell ref="GY22:GZ22"/>
    <mergeCell ref="HB22:HC22"/>
    <mergeCell ref="HI22:HJ22"/>
    <mergeCell ref="GL31:GM31"/>
    <mergeCell ref="GO31:GP31"/>
    <mergeCell ref="GV31:GW31"/>
    <mergeCell ref="GY31:GZ31"/>
    <mergeCell ref="HB31:HC31"/>
    <mergeCell ref="HI31:HJ31"/>
    <mergeCell ref="HL31:HM31"/>
    <mergeCell ref="HO31:HP31"/>
    <mergeCell ref="I31:J31"/>
    <mergeCell ref="L31:M31"/>
    <mergeCell ref="O31:P31"/>
    <mergeCell ref="V31:W31"/>
    <mergeCell ref="Y31:Z31"/>
    <mergeCell ref="AB31:AC31"/>
    <mergeCell ref="AI31:AJ31"/>
    <mergeCell ref="DY40:DZ40"/>
    <mergeCell ref="EB40:EC40"/>
    <mergeCell ref="EI40:EJ40"/>
    <mergeCell ref="EL40:EM40"/>
    <mergeCell ref="EO40:EP40"/>
    <mergeCell ref="EV40:EW40"/>
    <mergeCell ref="EY40:EZ40"/>
    <mergeCell ref="FB40:FC40"/>
    <mergeCell ref="FI40:FJ40"/>
    <mergeCell ref="FL40:FM40"/>
    <mergeCell ref="FO40:FP40"/>
    <mergeCell ref="FV40:FW40"/>
    <mergeCell ref="FY40:FZ40"/>
    <mergeCell ref="GB40:GC40"/>
    <mergeCell ref="HV40:HW40"/>
    <mergeCell ref="HY40:HZ40"/>
    <mergeCell ref="IB40:IC40"/>
    <mergeCell ref="II40:IJ40"/>
    <mergeCell ref="IL40:IM40"/>
    <mergeCell ref="IO40:IP40"/>
    <mergeCell ref="GO40:GP40"/>
    <mergeCell ref="GV40:GW40"/>
    <mergeCell ref="GY40:GZ40"/>
    <mergeCell ref="HB40:HC40"/>
    <mergeCell ref="HI40:HJ40"/>
    <mergeCell ref="HL40:HM40"/>
    <mergeCell ref="HO40:HP40"/>
    <mergeCell ref="BO31:BP31"/>
    <mergeCell ref="BV31:BW31"/>
    <mergeCell ref="AL31:AM31"/>
    <mergeCell ref="AO31:AP31"/>
    <mergeCell ref="AV31:AW31"/>
    <mergeCell ref="AY31:AZ31"/>
    <mergeCell ref="BB31:BC31"/>
    <mergeCell ref="BI31:BJ31"/>
    <mergeCell ref="BL31:BM31"/>
    <mergeCell ref="AL40:AM40"/>
    <mergeCell ref="AO40:AP40"/>
    <mergeCell ref="AV40:AW40"/>
    <mergeCell ref="AY40:AZ40"/>
    <mergeCell ref="BB40:BC40"/>
    <mergeCell ref="BI40:BJ40"/>
    <mergeCell ref="BL40:BM40"/>
    <mergeCell ref="BO40:BP40"/>
    <mergeCell ref="BV40:BW40"/>
    <mergeCell ref="BY40:BZ40"/>
    <mergeCell ref="CB40:CC40"/>
    <mergeCell ref="CI40:CJ40"/>
    <mergeCell ref="CL40:CM40"/>
    <mergeCell ref="CO40:CP40"/>
    <mergeCell ref="CV40:CW40"/>
    <mergeCell ref="CY40:CZ40"/>
    <mergeCell ref="DB40:DC40"/>
    <mergeCell ref="DI40:DJ40"/>
    <mergeCell ref="DL40:DM40"/>
    <mergeCell ref="DO40:DP40"/>
    <mergeCell ref="DV40:DW40"/>
    <mergeCell ref="GI40:GJ40"/>
    <mergeCell ref="GL40:GM40"/>
    <mergeCell ref="I40:J40"/>
    <mergeCell ref="L40:M40"/>
    <mergeCell ref="O40:P40"/>
    <mergeCell ref="V40:W40"/>
    <mergeCell ref="Y40:Z40"/>
    <mergeCell ref="AB40:AC40"/>
    <mergeCell ref="AI40:AJ40"/>
    <mergeCell ref="AL89:AM89"/>
    <mergeCell ref="AO89:AP89"/>
    <mergeCell ref="AV89:AW89"/>
    <mergeCell ref="AY89:AZ89"/>
    <mergeCell ref="BB89:BC89"/>
    <mergeCell ref="BI89:BJ89"/>
    <mergeCell ref="BL89:BM89"/>
    <mergeCell ref="BO89:BP89"/>
    <mergeCell ref="BV89:BW89"/>
    <mergeCell ref="BY89:BZ89"/>
    <mergeCell ref="CB89:CC89"/>
    <mergeCell ref="CI89:CJ89"/>
    <mergeCell ref="CL89:CM89"/>
    <mergeCell ref="CO89:CP89"/>
    <mergeCell ref="CV89:CW89"/>
    <mergeCell ref="CY89:CZ89"/>
    <mergeCell ref="DB89:DC89"/>
    <mergeCell ref="DI89:DJ89"/>
    <mergeCell ref="DL89:DM89"/>
    <mergeCell ref="DO89:DP89"/>
    <mergeCell ref="DV89:DW89"/>
    <mergeCell ref="DY89:DZ89"/>
    <mergeCell ref="EB89:EC89"/>
    <mergeCell ref="EI89:EJ89"/>
    <mergeCell ref="EL89:EM89"/>
    <mergeCell ref="EO89:EP89"/>
    <mergeCell ref="EV89:EW89"/>
    <mergeCell ref="EY89:EZ89"/>
    <mergeCell ref="FB89:FC89"/>
    <mergeCell ref="FI89:FJ89"/>
    <mergeCell ref="FL89:FM89"/>
    <mergeCell ref="FO89:FP89"/>
    <mergeCell ref="FV89:FW89"/>
    <mergeCell ref="FY89:FZ89"/>
    <mergeCell ref="GB89:GC89"/>
    <mergeCell ref="HL89:HM89"/>
    <mergeCell ref="HO89:HP89"/>
    <mergeCell ref="HV89:HW89"/>
    <mergeCell ref="HY89:HZ89"/>
    <mergeCell ref="IB89:IC89"/>
    <mergeCell ref="II89:IJ89"/>
    <mergeCell ref="IL89:IM89"/>
    <mergeCell ref="IO89:IP89"/>
    <mergeCell ref="GI89:GJ89"/>
    <mergeCell ref="GL89:GM89"/>
    <mergeCell ref="GO89:GP89"/>
    <mergeCell ref="GV89:GW89"/>
    <mergeCell ref="GY89:GZ89"/>
    <mergeCell ref="HB89:HC89"/>
    <mergeCell ref="HI89:HJ89"/>
    <mergeCell ref="DV90:DW90"/>
    <mergeCell ref="DY90:DZ90"/>
    <mergeCell ref="EB90:EC90"/>
    <mergeCell ref="EI90:EJ90"/>
    <mergeCell ref="EL90:EM90"/>
    <mergeCell ref="EO90:EP90"/>
    <mergeCell ref="EV90:EW90"/>
    <mergeCell ref="EY90:EZ90"/>
    <mergeCell ref="FB90:FC90"/>
    <mergeCell ref="FI90:FJ90"/>
    <mergeCell ref="FL90:FM90"/>
    <mergeCell ref="FO90:FP90"/>
    <mergeCell ref="FV90:FW90"/>
    <mergeCell ref="FY90:FZ90"/>
    <mergeCell ref="GB90:GC90"/>
    <mergeCell ref="GI90:GJ90"/>
    <mergeCell ref="GL90:GM90"/>
    <mergeCell ref="GO90:GP90"/>
    <mergeCell ref="GV90:GW90"/>
    <mergeCell ref="GY90:GZ90"/>
    <mergeCell ref="HB90:HC90"/>
    <mergeCell ref="IL90:IM90"/>
    <mergeCell ref="IO90:IP90"/>
    <mergeCell ref="HI90:HJ90"/>
    <mergeCell ref="HL90:HM90"/>
    <mergeCell ref="HO90:HP90"/>
    <mergeCell ref="HV90:HW90"/>
    <mergeCell ref="HY90:HZ90"/>
    <mergeCell ref="IB90:IC90"/>
    <mergeCell ref="II90:IJ90"/>
    <mergeCell ref="CB91:CC91"/>
    <mergeCell ref="CI91:CJ91"/>
    <mergeCell ref="AY91:AZ91"/>
    <mergeCell ref="BB91:BC91"/>
    <mergeCell ref="BI91:BJ91"/>
    <mergeCell ref="BL91:BM91"/>
    <mergeCell ref="BO91:BP91"/>
    <mergeCell ref="BV91:BW91"/>
    <mergeCell ref="BY91:BZ91"/>
    <mergeCell ref="CL91:CM91"/>
    <mergeCell ref="CO91:CP91"/>
    <mergeCell ref="CV91:CW91"/>
    <mergeCell ref="CY91:CZ91"/>
    <mergeCell ref="DB91:DC91"/>
    <mergeCell ref="DI91:DJ91"/>
    <mergeCell ref="DL91:DM91"/>
    <mergeCell ref="DO91:DP91"/>
    <mergeCell ref="DV91:DW91"/>
    <mergeCell ref="DY91:DZ91"/>
    <mergeCell ref="EB91:EC91"/>
    <mergeCell ref="EI91:EJ91"/>
    <mergeCell ref="EL91:EM91"/>
    <mergeCell ref="EO91:EP91"/>
    <mergeCell ref="EV91:EW91"/>
    <mergeCell ref="EY91:EZ91"/>
    <mergeCell ref="FB91:FC91"/>
    <mergeCell ref="FI91:FJ91"/>
    <mergeCell ref="FL91:FM91"/>
    <mergeCell ref="FO91:FP91"/>
    <mergeCell ref="FV91:FW91"/>
    <mergeCell ref="FY91:FZ91"/>
    <mergeCell ref="GB91:GC91"/>
    <mergeCell ref="GI91:GJ91"/>
    <mergeCell ref="GL91:GM91"/>
    <mergeCell ref="GO91:GP91"/>
    <mergeCell ref="GV91:GW91"/>
    <mergeCell ref="GY91:GZ91"/>
    <mergeCell ref="II91:IJ91"/>
    <mergeCell ref="IL91:IM91"/>
    <mergeCell ref="IO91:IP91"/>
    <mergeCell ref="HB91:HC91"/>
    <mergeCell ref="HI91:HJ91"/>
    <mergeCell ref="HL91:HM91"/>
    <mergeCell ref="HO91:HP91"/>
    <mergeCell ref="HV91:HW91"/>
    <mergeCell ref="HY91:HZ91"/>
    <mergeCell ref="IB91:IC91"/>
    <mergeCell ref="BV92:BW92"/>
    <mergeCell ref="BY92:BZ92"/>
    <mergeCell ref="CB92:CC92"/>
    <mergeCell ref="CI92:CJ92"/>
    <mergeCell ref="CL92:CM92"/>
    <mergeCell ref="CO92:CP92"/>
    <mergeCell ref="CV92:CW92"/>
    <mergeCell ref="CY92:CZ92"/>
    <mergeCell ref="DB92:DC92"/>
    <mergeCell ref="DV92:DW92"/>
    <mergeCell ref="DY92:DZ92"/>
    <mergeCell ref="EB92:EC92"/>
    <mergeCell ref="EI92:EJ92"/>
    <mergeCell ref="EL92:EM92"/>
    <mergeCell ref="EO92:EP92"/>
    <mergeCell ref="EV92:EW92"/>
    <mergeCell ref="EY92:EZ92"/>
    <mergeCell ref="FB92:FC92"/>
    <mergeCell ref="FI92:FJ92"/>
    <mergeCell ref="FL92:FM92"/>
    <mergeCell ref="FO92:FP92"/>
    <mergeCell ref="FV92:FW92"/>
    <mergeCell ref="FY92:FZ92"/>
    <mergeCell ref="GB92:GC92"/>
    <mergeCell ref="GI92:GJ92"/>
    <mergeCell ref="GL92:GM92"/>
    <mergeCell ref="GO92:GP92"/>
    <mergeCell ref="GV92:GW92"/>
    <mergeCell ref="IB92:IC92"/>
    <mergeCell ref="II92:IJ92"/>
    <mergeCell ref="IL92:IM92"/>
    <mergeCell ref="IO92:IP92"/>
    <mergeCell ref="GY92:GZ92"/>
    <mergeCell ref="HB92:HC92"/>
    <mergeCell ref="HI92:HJ92"/>
    <mergeCell ref="HL92:HM92"/>
    <mergeCell ref="HO92:HP92"/>
    <mergeCell ref="HV92:HW92"/>
    <mergeCell ref="HY92:HZ92"/>
    <mergeCell ref="AB89:AC89"/>
    <mergeCell ref="AB90:AC90"/>
    <mergeCell ref="AB91:AC91"/>
    <mergeCell ref="AI91:AJ91"/>
    <mergeCell ref="AO91:AP91"/>
    <mergeCell ref="AI92:AJ92"/>
    <mergeCell ref="AO92:AP92"/>
    <mergeCell ref="V89:W89"/>
    <mergeCell ref="V90:W90"/>
    <mergeCell ref="V91:W91"/>
    <mergeCell ref="Y91:Z91"/>
    <mergeCell ref="V92:W92"/>
    <mergeCell ref="Y92:Z92"/>
    <mergeCell ref="AB92:AC92"/>
    <mergeCell ref="GI93:GJ93"/>
    <mergeCell ref="GL93:GM93"/>
    <mergeCell ref="GI94:GJ94"/>
    <mergeCell ref="GL94:GM94"/>
    <mergeCell ref="L93:M93"/>
    <mergeCell ref="L94:M94"/>
    <mergeCell ref="AO93:AP93"/>
    <mergeCell ref="AO94:AP94"/>
    <mergeCell ref="BV93:BW93"/>
    <mergeCell ref="BV94:BW94"/>
    <mergeCell ref="CY93:CZ93"/>
    <mergeCell ref="CY94:CZ94"/>
    <mergeCell ref="DY94:DZ94"/>
    <mergeCell ref="EB94:EC94"/>
    <mergeCell ref="EI94:EJ94"/>
    <mergeCell ref="EL94:EM94"/>
    <mergeCell ref="EO94:EP94"/>
    <mergeCell ref="V93:W93"/>
    <mergeCell ref="V94:W94"/>
    <mergeCell ref="V95:W95"/>
    <mergeCell ref="Y95:Z95"/>
    <mergeCell ref="V96:W96"/>
    <mergeCell ref="Y96:Z96"/>
    <mergeCell ref="AB96:AC96"/>
    <mergeCell ref="AV95:AW95"/>
    <mergeCell ref="AV96:AW96"/>
    <mergeCell ref="AB93:AC93"/>
    <mergeCell ref="AB94:AC94"/>
    <mergeCell ref="AB95:AC95"/>
    <mergeCell ref="AI95:AJ95"/>
    <mergeCell ref="AO95:AP95"/>
    <mergeCell ref="AI96:AJ96"/>
    <mergeCell ref="AO96:AP96"/>
    <mergeCell ref="CY96:CZ96"/>
    <mergeCell ref="DB96:DC96"/>
    <mergeCell ref="BV96:BW96"/>
    <mergeCell ref="BY96:BZ96"/>
    <mergeCell ref="CB96:CC96"/>
    <mergeCell ref="CI96:CJ96"/>
    <mergeCell ref="CL96:CM96"/>
    <mergeCell ref="CO96:CP96"/>
    <mergeCell ref="CV96:CW96"/>
    <mergeCell ref="DV95:DW95"/>
    <mergeCell ref="DV96:DW96"/>
    <mergeCell ref="EB95:EC95"/>
    <mergeCell ref="EB96:EC96"/>
    <mergeCell ref="DI95:DJ95"/>
    <mergeCell ref="DO95:DP95"/>
    <mergeCell ref="DY95:DZ95"/>
    <mergeCell ref="EI95:EJ95"/>
    <mergeCell ref="DI96:DJ96"/>
    <mergeCell ref="DO96:DP96"/>
    <mergeCell ref="DY96:DZ96"/>
    <mergeCell ref="EI96:EJ96"/>
    <mergeCell ref="FI96:FJ96"/>
    <mergeCell ref="FL96:FM96"/>
    <mergeCell ref="FO96:FP96"/>
    <mergeCell ref="FV96:FW96"/>
    <mergeCell ref="FY96:FZ96"/>
    <mergeCell ref="GB96:GC96"/>
    <mergeCell ref="GI96:GJ96"/>
    <mergeCell ref="HO96:HP96"/>
    <mergeCell ref="HV96:HW96"/>
    <mergeCell ref="HY96:HZ96"/>
    <mergeCell ref="IB96:IC96"/>
    <mergeCell ref="II96:IJ96"/>
    <mergeCell ref="IL96:IM96"/>
    <mergeCell ref="IO96:IP96"/>
    <mergeCell ref="GL96:GM96"/>
    <mergeCell ref="GO96:GP96"/>
    <mergeCell ref="GV96:GW96"/>
    <mergeCell ref="GY96:GZ96"/>
    <mergeCell ref="HB96:HC96"/>
    <mergeCell ref="HI96:HJ96"/>
    <mergeCell ref="HL96:HM96"/>
    <mergeCell ref="I94:J94"/>
    <mergeCell ref="I95:J95"/>
    <mergeCell ref="L95:M95"/>
    <mergeCell ref="O95:P95"/>
    <mergeCell ref="I96:J96"/>
    <mergeCell ref="L96:M96"/>
    <mergeCell ref="O96:P96"/>
    <mergeCell ref="I93:J93"/>
    <mergeCell ref="O93:P93"/>
    <mergeCell ref="Y93:Z93"/>
    <mergeCell ref="AI93:AJ93"/>
    <mergeCell ref="O94:P94"/>
    <mergeCell ref="Y94:Z94"/>
    <mergeCell ref="AI94:AJ94"/>
    <mergeCell ref="AY95:AZ95"/>
    <mergeCell ref="BB95:BC95"/>
    <mergeCell ref="BI95:BJ95"/>
    <mergeCell ref="BL95:BM95"/>
    <mergeCell ref="BO95:BP95"/>
    <mergeCell ref="BV95:BW95"/>
    <mergeCell ref="BY95:BZ95"/>
    <mergeCell ref="CB95:CC95"/>
    <mergeCell ref="CI95:CJ95"/>
    <mergeCell ref="CL95:CM95"/>
    <mergeCell ref="CO95:CP95"/>
    <mergeCell ref="CV95:CW95"/>
    <mergeCell ref="CY95:CZ95"/>
    <mergeCell ref="DB95:DC95"/>
    <mergeCell ref="FY95:FZ95"/>
    <mergeCell ref="GB95:GC95"/>
    <mergeCell ref="GI95:GJ95"/>
    <mergeCell ref="GL95:GM95"/>
    <mergeCell ref="AL95:AM95"/>
    <mergeCell ref="AL96:AM96"/>
    <mergeCell ref="AY96:AZ96"/>
    <mergeCell ref="BB96:BC96"/>
    <mergeCell ref="BI96:BJ96"/>
    <mergeCell ref="BL96:BM96"/>
    <mergeCell ref="BO96:BP96"/>
    <mergeCell ref="DL95:DM95"/>
    <mergeCell ref="DL96:DM96"/>
    <mergeCell ref="EL96:EM96"/>
    <mergeCell ref="EO96:EP96"/>
    <mergeCell ref="EV96:EW96"/>
    <mergeCell ref="EY96:EZ96"/>
    <mergeCell ref="FB96:FC96"/>
    <mergeCell ref="L89:M89"/>
    <mergeCell ref="L90:M90"/>
    <mergeCell ref="I91:J91"/>
    <mergeCell ref="L91:M91"/>
    <mergeCell ref="O91:P91"/>
    <mergeCell ref="I92:J92"/>
    <mergeCell ref="L92:M92"/>
    <mergeCell ref="O92:P92"/>
    <mergeCell ref="I89:J89"/>
    <mergeCell ref="O89:P89"/>
    <mergeCell ref="Y89:Z89"/>
    <mergeCell ref="AI89:AJ89"/>
    <mergeCell ref="I90:J90"/>
    <mergeCell ref="O90:P90"/>
    <mergeCell ref="Y90:Z90"/>
    <mergeCell ref="AI90:AJ90"/>
    <mergeCell ref="AL90:AM90"/>
    <mergeCell ref="AO90:AP90"/>
    <mergeCell ref="AV90:AW90"/>
    <mergeCell ref="AY90:AZ90"/>
    <mergeCell ref="BB90:BC90"/>
    <mergeCell ref="BI90:BJ90"/>
    <mergeCell ref="BL90:BM90"/>
    <mergeCell ref="BO90:BP90"/>
    <mergeCell ref="BV90:BW90"/>
    <mergeCell ref="BY90:BZ90"/>
    <mergeCell ref="CB90:CC90"/>
    <mergeCell ref="CI90:CJ90"/>
    <mergeCell ref="CL90:CM90"/>
    <mergeCell ref="AL91:AM91"/>
    <mergeCell ref="AL92:AM92"/>
    <mergeCell ref="AV91:AW91"/>
    <mergeCell ref="AV92:AW92"/>
    <mergeCell ref="AY92:AZ92"/>
    <mergeCell ref="BB92:BC92"/>
    <mergeCell ref="BI92:BJ92"/>
    <mergeCell ref="BL92:BM92"/>
    <mergeCell ref="BO92:BP92"/>
    <mergeCell ref="DI92:DJ92"/>
    <mergeCell ref="DL92:DM92"/>
    <mergeCell ref="DO92:DP92"/>
    <mergeCell ref="CO90:CP90"/>
    <mergeCell ref="CV90:CW90"/>
    <mergeCell ref="CY90:CZ90"/>
    <mergeCell ref="DB90:DC90"/>
    <mergeCell ref="DI90:DJ90"/>
    <mergeCell ref="DL90:DM90"/>
    <mergeCell ref="DO90:DP90"/>
    <mergeCell ref="DY93:DZ93"/>
    <mergeCell ref="EB93:EC93"/>
    <mergeCell ref="EI93:EJ93"/>
    <mergeCell ref="EL93:EM93"/>
    <mergeCell ref="EO93:EP93"/>
    <mergeCell ref="EV93:EW93"/>
    <mergeCell ref="EY93:EZ93"/>
    <mergeCell ref="FB93:FC93"/>
    <mergeCell ref="FI93:FJ93"/>
    <mergeCell ref="FL93:FM93"/>
    <mergeCell ref="FO93:FP93"/>
    <mergeCell ref="FV93:FW93"/>
    <mergeCell ref="FY93:FZ93"/>
    <mergeCell ref="GB93:GC93"/>
    <mergeCell ref="HV93:HW93"/>
    <mergeCell ref="HY93:HZ93"/>
    <mergeCell ref="IB93:IC93"/>
    <mergeCell ref="II93:IJ93"/>
    <mergeCell ref="IL93:IM93"/>
    <mergeCell ref="IO93:IP93"/>
    <mergeCell ref="GO93:GP93"/>
    <mergeCell ref="GV93:GW93"/>
    <mergeCell ref="GY93:GZ93"/>
    <mergeCell ref="HB93:HC93"/>
    <mergeCell ref="HI93:HJ93"/>
    <mergeCell ref="HL93:HM93"/>
    <mergeCell ref="HO93:HP93"/>
    <mergeCell ref="AY93:AZ93"/>
    <mergeCell ref="AY94:AZ94"/>
    <mergeCell ref="BI93:BJ93"/>
    <mergeCell ref="BI94:BJ94"/>
    <mergeCell ref="AL93:AM93"/>
    <mergeCell ref="AV93:AW93"/>
    <mergeCell ref="BB93:BC93"/>
    <mergeCell ref="BL93:BM93"/>
    <mergeCell ref="AL94:AM94"/>
    <mergeCell ref="AV94:AW94"/>
    <mergeCell ref="BB94:BC94"/>
    <mergeCell ref="BL94:BM94"/>
    <mergeCell ref="CB93:CC93"/>
    <mergeCell ref="CB94:CC94"/>
    <mergeCell ref="CL93:CM93"/>
    <mergeCell ref="CL94:CM94"/>
    <mergeCell ref="BO93:BP93"/>
    <mergeCell ref="BY93:BZ93"/>
    <mergeCell ref="CI93:CJ93"/>
    <mergeCell ref="CO93:CP93"/>
    <mergeCell ref="BO94:BP94"/>
    <mergeCell ref="BY94:BZ94"/>
    <mergeCell ref="CI94:CJ94"/>
    <mergeCell ref="CO94:CP94"/>
    <mergeCell ref="DI93:DJ93"/>
    <mergeCell ref="DI94:DJ94"/>
    <mergeCell ref="DO93:DP93"/>
    <mergeCell ref="DO94:DP94"/>
    <mergeCell ref="CV93:CW93"/>
    <mergeCell ref="DB93:DC93"/>
    <mergeCell ref="DL93:DM93"/>
    <mergeCell ref="DV93:DW93"/>
    <mergeCell ref="CV94:CW94"/>
    <mergeCell ref="DB94:DC94"/>
    <mergeCell ref="DL94:DM94"/>
    <mergeCell ref="DV94:DW94"/>
    <mergeCell ref="EV94:EW94"/>
    <mergeCell ref="EY94:EZ94"/>
    <mergeCell ref="FB94:FC94"/>
    <mergeCell ref="FI94:FJ94"/>
    <mergeCell ref="FL94:FM94"/>
    <mergeCell ref="FO94:FP94"/>
    <mergeCell ref="FV94:FW94"/>
    <mergeCell ref="HL94:HM94"/>
    <mergeCell ref="HO94:HP94"/>
    <mergeCell ref="HV94:HW94"/>
    <mergeCell ref="HY94:HZ94"/>
    <mergeCell ref="IB94:IC94"/>
    <mergeCell ref="II94:IJ94"/>
    <mergeCell ref="IL94:IM94"/>
    <mergeCell ref="IO94:IP94"/>
    <mergeCell ref="FY94:FZ94"/>
    <mergeCell ref="GB94:GC94"/>
    <mergeCell ref="GO94:GP94"/>
    <mergeCell ref="GV94:GW94"/>
    <mergeCell ref="GY94:GZ94"/>
    <mergeCell ref="HB94:HC94"/>
    <mergeCell ref="HI94:HJ94"/>
    <mergeCell ref="EL95:EM95"/>
    <mergeCell ref="EO95:EP95"/>
    <mergeCell ref="EV95:EW95"/>
    <mergeCell ref="EY95:EZ95"/>
    <mergeCell ref="FB95:FC95"/>
    <mergeCell ref="FI95:FJ95"/>
    <mergeCell ref="FL95:FM95"/>
    <mergeCell ref="HL95:HM95"/>
    <mergeCell ref="HO95:HP95"/>
    <mergeCell ref="HV95:HW95"/>
    <mergeCell ref="HY95:HZ95"/>
    <mergeCell ref="IB95:IC95"/>
    <mergeCell ref="II95:IJ95"/>
    <mergeCell ref="IL95:IM95"/>
    <mergeCell ref="IO95:IP95"/>
    <mergeCell ref="FO95:FP95"/>
    <mergeCell ref="FV95:FW95"/>
    <mergeCell ref="GO95:GP95"/>
    <mergeCell ref="GV95:GW95"/>
    <mergeCell ref="GY95:GZ95"/>
    <mergeCell ref="HB95:HC95"/>
    <mergeCell ref="HI95:HJ95"/>
  </mergeCells>
  <dataValidations>
    <dataValidation type="list" allowBlank="1" showErrorMessage="1" sqref="C5:C12 C14:C20 C23:C29 C32:C38">
      <formula1>'THAM CHIẾU'!$R$3:$R$86</formula1>
    </dataValidation>
    <dataValidation type="list" allowBlank="1" showErrorMessage="1" sqref="C21 C30 C39">
      <formula1>MA_DUAN</formula1>
    </dataValidation>
    <dataValidation type="list" allowBlank="1" showErrorMessage="1" sqref="E5:E97">
      <formula1>MA_KM</formula1>
    </dataValidation>
  </dataValidation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9.0" ySplit="2.0" topLeftCell="J3" activePane="bottomRight" state="frozen"/>
      <selection activeCell="J1" sqref="J1" pane="topRight"/>
      <selection activeCell="A3" sqref="A3" pane="bottomLeft"/>
      <selection activeCell="J3" sqref="J3" pane="bottomRight"/>
    </sheetView>
  </sheetViews>
  <sheetFormatPr customHeight="1" defaultColWidth="14.43" defaultRowHeight="15.0" outlineLevelCol="1" outlineLevelRow="1"/>
  <cols>
    <col collapsed="1" customWidth="1" min="1" max="1" width="5.86"/>
    <col customWidth="1" hidden="1" min="2" max="2" width="15.29" outlineLevel="1"/>
    <col customWidth="1" min="3" max="3" width="20.14"/>
    <col customWidth="1" min="4" max="4" width="33.0"/>
    <col customWidth="1" min="5" max="5" width="15.14"/>
    <col customWidth="1" min="6" max="6" width="7.71"/>
    <col customWidth="1" hidden="1" min="7" max="7" width="5.43"/>
    <col customWidth="1" min="9" max="9" width="8.29"/>
    <col customWidth="1" min="10" max="10" width="15.57"/>
  </cols>
  <sheetData>
    <row r="1">
      <c r="A1" s="1203"/>
      <c r="B1" s="1204" t="s">
        <v>2209</v>
      </c>
      <c r="C1" s="1204" t="s">
        <v>1799</v>
      </c>
      <c r="D1" s="1203"/>
      <c r="E1" s="1205"/>
      <c r="F1" s="15" t="s">
        <v>2805</v>
      </c>
      <c r="G1" s="1203"/>
      <c r="H1" s="1206" t="s">
        <v>2895</v>
      </c>
      <c r="J1" s="1207" t="s">
        <v>1914</v>
      </c>
      <c r="K1" s="1207" t="s">
        <v>2896</v>
      </c>
      <c r="L1" s="1208" t="s">
        <v>2806</v>
      </c>
      <c r="M1" s="1208" t="s">
        <v>2807</v>
      </c>
      <c r="N1" s="1208" t="s">
        <v>2809</v>
      </c>
      <c r="O1" s="1208" t="s">
        <v>2810</v>
      </c>
      <c r="P1" s="1209" t="s">
        <v>2897</v>
      </c>
      <c r="Q1" s="1210" t="s">
        <v>2898</v>
      </c>
      <c r="R1" s="1210" t="s">
        <v>2899</v>
      </c>
      <c r="S1" s="1210" t="s">
        <v>2900</v>
      </c>
      <c r="T1" s="1210" t="s">
        <v>2901</v>
      </c>
      <c r="U1" s="1210" t="s">
        <v>2902</v>
      </c>
      <c r="V1" s="1210" t="s">
        <v>2903</v>
      </c>
      <c r="W1" s="1210" t="s">
        <v>2904</v>
      </c>
      <c r="X1" s="1210" t="s">
        <v>2905</v>
      </c>
      <c r="Y1" s="1210" t="s">
        <v>2906</v>
      </c>
      <c r="Z1" s="1210" t="s">
        <v>2907</v>
      </c>
      <c r="AA1" s="1210" t="s">
        <v>2908</v>
      </c>
    </row>
    <row r="2">
      <c r="A2" s="1211" t="s">
        <v>2818</v>
      </c>
      <c r="B2" s="1212"/>
      <c r="C2" s="1212"/>
      <c r="D2" s="1212"/>
      <c r="E2" s="1213"/>
      <c r="F2" s="1212"/>
      <c r="G2" s="1212"/>
      <c r="H2" s="1214">
        <f>SUM(H3:H17)</f>
        <v>37608435</v>
      </c>
      <c r="I2" s="1214">
        <f>SUMIF($G$3:$G$17,"1",I$3:I$17)</f>
        <v>0</v>
      </c>
      <c r="J2" s="1214">
        <f t="shared" ref="J2:AA2" si="1">SUM(J3:J17)</f>
        <v>37608435</v>
      </c>
      <c r="K2" s="1214">
        <f t="shared" si="1"/>
        <v>0</v>
      </c>
      <c r="L2" s="1214">
        <f t="shared" si="1"/>
        <v>14354465</v>
      </c>
      <c r="M2" s="1214">
        <f t="shared" si="1"/>
        <v>23253970</v>
      </c>
      <c r="N2" s="1214">
        <f t="shared" si="1"/>
        <v>0</v>
      </c>
      <c r="O2" s="1214">
        <f t="shared" si="1"/>
        <v>0</v>
      </c>
      <c r="P2" s="1214">
        <f t="shared" si="1"/>
        <v>3418460</v>
      </c>
      <c r="Q2" s="1214">
        <f t="shared" si="1"/>
        <v>1930000</v>
      </c>
      <c r="R2" s="1214">
        <f t="shared" si="1"/>
        <v>9006005</v>
      </c>
      <c r="S2" s="1214">
        <f t="shared" si="1"/>
        <v>18172670</v>
      </c>
      <c r="T2" s="1214">
        <f t="shared" si="1"/>
        <v>3863100</v>
      </c>
      <c r="U2" s="1214">
        <f t="shared" si="1"/>
        <v>1218200</v>
      </c>
      <c r="V2" s="1214">
        <f t="shared" si="1"/>
        <v>0</v>
      </c>
      <c r="W2" s="1214">
        <f t="shared" si="1"/>
        <v>0</v>
      </c>
      <c r="X2" s="1214">
        <f t="shared" si="1"/>
        <v>0</v>
      </c>
      <c r="Y2" s="1214">
        <f t="shared" si="1"/>
        <v>0</v>
      </c>
      <c r="Z2" s="1214">
        <f t="shared" si="1"/>
        <v>0</v>
      </c>
      <c r="AA2" s="1214">
        <f t="shared" si="1"/>
        <v>0</v>
      </c>
    </row>
    <row r="3">
      <c r="A3" s="1215">
        <f t="shared" ref="A3:A17" si="2">IF(C3="","",COUNTA(D$3:D3))</f>
        <v>1</v>
      </c>
      <c r="B3" s="1216" t="s">
        <v>2066</v>
      </c>
      <c r="C3" s="1087" t="s">
        <v>215</v>
      </c>
      <c r="D3" s="1216" t="str">
        <f>IF(C3="","", VLOOKUP(C3,DM_DUAN,2,0))</f>
        <v>Phước Đông Garden</v>
      </c>
      <c r="E3" s="1217" t="s">
        <v>198</v>
      </c>
      <c r="F3" s="1218"/>
      <c r="G3" s="1218">
        <v>2.0</v>
      </c>
      <c r="H3" s="1219">
        <f t="shared" ref="H3:H17" si="3">SUM(J3:K3)</f>
        <v>0</v>
      </c>
      <c r="I3" s="1220">
        <f t="shared" ref="I3:I17" si="4">IFERROR(H3/$H$2,"")</f>
        <v>0</v>
      </c>
      <c r="J3" s="1221">
        <f t="shared" ref="J3:J17" si="5">SUM(L3:M3)</f>
        <v>0</v>
      </c>
      <c r="K3" s="1221">
        <f t="shared" ref="K3:K17" si="6">SUM(N3:O3)</f>
        <v>0</v>
      </c>
      <c r="L3" s="1222">
        <f t="shared" ref="L3:L17" si="7">SUM(P3:R3)</f>
        <v>0</v>
      </c>
      <c r="M3" s="1222">
        <f t="shared" ref="M3:M17" si="8">SUM(S3:U3)</f>
        <v>0</v>
      </c>
      <c r="N3" s="1222">
        <f t="shared" ref="N3:N17" si="9">SUM(V3:X3)</f>
        <v>0</v>
      </c>
      <c r="O3" s="1222">
        <f t="shared" ref="O3:O17" si="10">SUM(Y3:AA3)</f>
        <v>0</v>
      </c>
      <c r="P3" s="1223">
        <f>IF(NOW()&gt;=DATE(YEAR(P$1),MONTH(P$1)+1,DAY(P$1)),SUMIFS(AC_SOTIEN,AC_DA,$C3,AC_THANG,P$1,AC_KM,$E3),SUMIFS(TF_SOTIEN,TF_DA,$C3,TF_THANG,P$1,TF_KM,$E3))/ 1000</f>
        <v>0</v>
      </c>
      <c r="Q3" s="1223">
        <f>IF(NOW()&gt;=DATE(YEAR(Q$1),MONTH(Q$1)+1,DAY(Q$1)),SUMIFS(AC_SOTIEN,AC_DA,$C3,AC_THANG,Q$1,AC_KM,$E3),SUMIFS(TF_SOTIEN,TF_DA,$C3,TF_THANG,Q$1,TF_KM,$E3))/ 1000</f>
        <v>0</v>
      </c>
      <c r="R3" s="1223">
        <f>IF(NOW()&gt;=DATE(YEAR(R$1),MONTH(R$1)+1,DAY(R$1)),SUMIFS(AC_SOTIEN,AC_DA,$C3,AC_THANG,R$1,AC_KM,$E3),SUMIFS(TF_SOTIEN,TF_DA,$C3,TF_THANG,R$1,TF_KM,$E3))/ 1000</f>
        <v>0</v>
      </c>
      <c r="S3" s="1223">
        <f>IF(NOW()&gt;=DATE(YEAR(S$1),MONTH(S$1)+1,DAY(S$1)),SUMIFS(AC_SOTIEN,AC_DA,$C3,AC_THANG,S$1,AC_KM,$E3),SUMIFS(TF_SOTIEN,TF_DA,$C3,TF_THANG,S$1,TF_KM,$E3))/ 1000</f>
        <v>0</v>
      </c>
      <c r="T3" s="1223">
        <f>IF(NOW()&gt;=DATE(YEAR(T$1),MONTH(T$1)+1,DAY(T$1)),SUMIFS(AC_SOTIEN,AC_DA,$C3,AC_THANG,T$1,AC_KM,$E3),SUMIFS(TF_SOTIEN,TF_DA,$C3,TF_THANG,T$1,TF_KM,$E3))/ 1000</f>
        <v>0</v>
      </c>
      <c r="U3" s="1223">
        <f>IF(NOW()&gt;=DATE(YEAR(U$1),MONTH(U$1)+1,DAY(U$1)),SUMIFS(AC_SOTIEN,AC_DA,$C3,AC_THANG,U$1,AC_KM,$E3),SUMIFS(TF_SOTIEN,TF_DA,$C3,TF_THANG,U$1,TF_KM,$E3))/ 1000</f>
        <v>0</v>
      </c>
      <c r="V3" s="1223">
        <f>IF(NOW()&gt;=DATE(YEAR(V$1),MONTH(V$1)+1,DAY(V$1)),SUMIFS(AC_SOTIEN,AC_DA,$C3,AC_THANG,V$1,AC_KM,$E3),SUMIFS(TF_SOTIEN,TF_DA,$C3,TF_THANG,V$1,TF_KM,$E3))/ 1000</f>
        <v>0</v>
      </c>
      <c r="W3" s="1223">
        <f>IF(NOW()&gt;=DATE(YEAR(W$1),MONTH(W$1)+1,DAY(W$1)),SUMIFS(AC_SOTIEN,AC_DA,$C3,AC_THANG,W$1,AC_KM,$E3),SUMIFS(TF_SOTIEN,TF_DA,$C3,TF_THANG,W$1,TF_KM,$E3))/ 1000</f>
        <v>0</v>
      </c>
      <c r="X3" s="1223">
        <f>IF(NOW()&gt;=DATE(YEAR(X$1),MONTH(X$1)+1,DAY(X$1)),SUMIFS(AC_SOTIEN,AC_DA,$C3,AC_THANG,X$1,AC_KM,$E3),SUMIFS(TF_SOTIEN,TF_DA,$C3,TF_THANG,X$1,TF_KM,$E3))/ 1000</f>
        <v>0</v>
      </c>
      <c r="Y3" s="1223">
        <f>IF(NOW()&gt;=DATE(YEAR(Y$1),MONTH(Y$1)+1,DAY(Y$1)),SUMIFS(AC_SOTIEN,AC_DA,$C3,AC_THANG,Y$1,AC_KM,$E3),SUMIFS(TF_SOTIEN,TF_DA,$C3,TF_THANG,Y$1,TF_KM,$E3))/ 1000</f>
        <v>0</v>
      </c>
      <c r="Z3" s="1223">
        <f>IF(NOW()&gt;=DATE(YEAR(Z$1),MONTH(Z$1)+1,DAY(Z$1)),SUMIFS(AC_SOTIEN,AC_DA,$C3,AC_THANG,Z$1,AC_KM,$E3),SUMIFS(TF_SOTIEN,TF_DA,$C3,TF_THANG,Z$1,TF_KM,$E3))/ 1000</f>
        <v>0</v>
      </c>
      <c r="AA3" s="1223">
        <f>IF(NOW()&gt;=DATE(YEAR(AA$1),MONTH(AA$1)+1,DAY(AA$1)),SUMIFS(AC_SOTIEN,AC_DA,$C3,AC_THANG,AA$1,AC_KM,$E3),SUMIFS(TF_SOTIEN,TF_DA,$C3,TF_THANG,AA$1,TF_KM,$E3))/ 1000</f>
        <v>0</v>
      </c>
    </row>
    <row r="4">
      <c r="A4" s="1215">
        <f t="shared" si="2"/>
        <v>2</v>
      </c>
      <c r="B4" s="1216" t="s">
        <v>2067</v>
      </c>
      <c r="C4" s="1087" t="s">
        <v>404</v>
      </c>
      <c r="D4" s="1216" t="str">
        <f>IF(C4="","", VLOOKUP(C4,DM_DUAN,2,0))</f>
        <v>Hamil ton Garden</v>
      </c>
      <c r="E4" s="1217" t="s">
        <v>198</v>
      </c>
      <c r="F4" s="1218"/>
      <c r="G4" s="1218">
        <v>2.0</v>
      </c>
      <c r="H4" s="1219">
        <f t="shared" si="3"/>
        <v>0</v>
      </c>
      <c r="I4" s="1220">
        <f t="shared" si="4"/>
        <v>0</v>
      </c>
      <c r="J4" s="1221">
        <f t="shared" si="5"/>
        <v>0</v>
      </c>
      <c r="K4" s="1221">
        <f t="shared" si="6"/>
        <v>0</v>
      </c>
      <c r="L4" s="1222">
        <f t="shared" si="7"/>
        <v>0</v>
      </c>
      <c r="M4" s="1222">
        <f t="shared" si="8"/>
        <v>0</v>
      </c>
      <c r="N4" s="1222">
        <f t="shared" si="9"/>
        <v>0</v>
      </c>
      <c r="O4" s="1222">
        <f t="shared" si="10"/>
        <v>0</v>
      </c>
      <c r="P4" s="1223">
        <f>IF(NOW()&gt;=DATE(YEAR(P$1),MONTH(P$1)+1,DAY(P$1)),SUMIFS(AC_SOTIEN,AC_DA,$C4,AC_THANG,P$1,AC_KM,$E4),SUMIFS(TF_SOTIEN,TF_DA,$C4,TF_THANG,P$1,TF_KM,$E4))/ 1000</f>
        <v>0</v>
      </c>
      <c r="Q4" s="1223">
        <f>IF(NOW()&gt;=DATE(YEAR(Q$1),MONTH(Q$1)+1,DAY(Q$1)),SUMIFS(AC_SOTIEN,AC_DA,$C4,AC_THANG,Q$1,AC_KM,$E4),SUMIFS(TF_SOTIEN,TF_DA,$C4,TF_THANG,Q$1,TF_KM,$E4))/ 1000</f>
        <v>0</v>
      </c>
      <c r="R4" s="1223">
        <f>IF(NOW()&gt;=DATE(YEAR(R$1),MONTH(R$1)+1,DAY(R$1)),SUMIFS(AC_SOTIEN,AC_DA,$C4,AC_THANG,R$1,AC_KM,$E4),SUMIFS(TF_SOTIEN,TF_DA,$C4,TF_THANG,R$1,TF_KM,$E4))/ 1000</f>
        <v>0</v>
      </c>
      <c r="S4" s="1223">
        <f>IF(NOW()&gt;=DATE(YEAR(S$1),MONTH(S$1)+1,DAY(S$1)),SUMIFS(AC_SOTIEN,AC_DA,$C4,AC_THANG,S$1,AC_KM,$E4),SUMIFS(TF_SOTIEN,TF_DA,$C4,TF_THANG,S$1,TF_KM,$E4))/ 1000</f>
        <v>0</v>
      </c>
      <c r="T4" s="1223">
        <f>IF(NOW()&gt;=DATE(YEAR(T$1),MONTH(T$1)+1,DAY(T$1)),SUMIFS(AC_SOTIEN,AC_DA,$C4,AC_THANG,T$1,AC_KM,$E4),SUMIFS(TF_SOTIEN,TF_DA,$C4,TF_THANG,T$1,TF_KM,$E4))/ 1000</f>
        <v>0</v>
      </c>
      <c r="U4" s="1223">
        <f>IF(NOW()&gt;=DATE(YEAR(U$1),MONTH(U$1)+1,DAY(U$1)),SUMIFS(AC_SOTIEN,AC_DA,$C4,AC_THANG,U$1,AC_KM,$E4),SUMIFS(TF_SOTIEN,TF_DA,$C4,TF_THANG,U$1,TF_KM,$E4))/ 1000</f>
        <v>0</v>
      </c>
      <c r="V4" s="1223">
        <f>IF(NOW()&gt;=DATE(YEAR(V$1),MONTH(V$1)+1,DAY(V$1)),SUMIFS(AC_SOTIEN,AC_DA,$C4,AC_THANG,V$1,AC_KM,$E4),SUMIFS(TF_SOTIEN,TF_DA,$C4,TF_THANG,V$1,TF_KM,$E4))/ 1000</f>
        <v>0</v>
      </c>
      <c r="W4" s="1223">
        <f>IF(NOW()&gt;=DATE(YEAR(W$1),MONTH(W$1)+1,DAY(W$1)),SUMIFS(AC_SOTIEN,AC_DA,$C4,AC_THANG,W$1,AC_KM,$E4),SUMIFS(TF_SOTIEN,TF_DA,$C4,TF_THANG,W$1,TF_KM,$E4))/ 1000</f>
        <v>0</v>
      </c>
      <c r="X4" s="1223">
        <f>IF(NOW()&gt;=DATE(YEAR(X$1),MONTH(X$1)+1,DAY(X$1)),SUMIFS(AC_SOTIEN,AC_DA,$C4,AC_THANG,X$1,AC_KM,$E4),SUMIFS(TF_SOTIEN,TF_DA,$C4,TF_THANG,X$1,TF_KM,$E4))/ 1000</f>
        <v>0</v>
      </c>
      <c r="Y4" s="1223">
        <f>IF(NOW()&gt;=DATE(YEAR(Y$1),MONTH(Y$1)+1,DAY(Y$1)),SUMIFS(AC_SOTIEN,AC_DA,$C4,AC_THANG,Y$1,AC_KM,$E4),SUMIFS(TF_SOTIEN,TF_DA,$C4,TF_THANG,Y$1,TF_KM,$E4))/ 1000</f>
        <v>0</v>
      </c>
      <c r="Z4" s="1223">
        <f>IF(NOW()&gt;=DATE(YEAR(Z$1),MONTH(Z$1)+1,DAY(Z$1)),SUMIFS(AC_SOTIEN,AC_DA,$C4,AC_THANG,Z$1,AC_KM,$E4),SUMIFS(TF_SOTIEN,TF_DA,$C4,TF_THANG,Z$1,TF_KM,$E4))/ 1000</f>
        <v>0</v>
      </c>
      <c r="AA4" s="1223">
        <f>IF(NOW()&gt;=DATE(YEAR(AA$1),MONTH(AA$1)+1,DAY(AA$1)),SUMIFS(AC_SOTIEN,AC_DA,$C4,AC_THANG,AA$1,AC_KM,$E4),SUMIFS(TF_SOTIEN,TF_DA,$C4,TF_THANG,AA$1,TF_KM,$E4))/ 1000</f>
        <v>0</v>
      </c>
    </row>
    <row r="5">
      <c r="A5" s="1215">
        <f t="shared" si="2"/>
        <v>3</v>
      </c>
      <c r="B5" s="1216" t="s">
        <v>2068</v>
      </c>
      <c r="C5" s="1087" t="s">
        <v>533</v>
      </c>
      <c r="D5" s="1216" t="str">
        <f>IF(C5="","", VLOOKUP(C5,DM_DUAN,2,0))</f>
        <v>The sol city</v>
      </c>
      <c r="E5" s="1217" t="s">
        <v>198</v>
      </c>
      <c r="F5" s="1218"/>
      <c r="G5" s="1218">
        <v>2.0</v>
      </c>
      <c r="H5" s="1219">
        <f t="shared" si="3"/>
        <v>0</v>
      </c>
      <c r="I5" s="1220">
        <f t="shared" si="4"/>
        <v>0</v>
      </c>
      <c r="J5" s="1221">
        <f t="shared" si="5"/>
        <v>0</v>
      </c>
      <c r="K5" s="1221">
        <f t="shared" si="6"/>
        <v>0</v>
      </c>
      <c r="L5" s="1222">
        <f t="shared" si="7"/>
        <v>0</v>
      </c>
      <c r="M5" s="1222">
        <f t="shared" si="8"/>
        <v>0</v>
      </c>
      <c r="N5" s="1222">
        <f t="shared" si="9"/>
        <v>0</v>
      </c>
      <c r="O5" s="1222">
        <f t="shared" si="10"/>
        <v>0</v>
      </c>
      <c r="P5" s="1223">
        <f>IF(NOW()&gt;=DATE(YEAR(P$1),MONTH(P$1)+1,DAY(P$1)),SUMIFS(AC_SOTIEN,AC_DA,$C5,AC_THANG,P$1,AC_KM,$E5),SUMIFS(TF_SOTIEN,TF_DA,$C5,TF_THANG,P$1,TF_KM,$E5))/ 1000</f>
        <v>0</v>
      </c>
      <c r="Q5" s="1223">
        <f>IF(NOW()&gt;=DATE(YEAR(Q$1),MONTH(Q$1)+1,DAY(Q$1)),SUMIFS(AC_SOTIEN,AC_DA,$C5,AC_THANG,Q$1,AC_KM,$E5),SUMIFS(TF_SOTIEN,TF_DA,$C5,TF_THANG,Q$1,TF_KM,$E5))/ 1000</f>
        <v>0</v>
      </c>
      <c r="R5" s="1223">
        <f>IF(NOW()&gt;=DATE(YEAR(R$1),MONTH(R$1)+1,DAY(R$1)),SUMIFS(AC_SOTIEN,AC_DA,$C5,AC_THANG,R$1,AC_KM,$E5),SUMIFS(TF_SOTIEN,TF_DA,$C5,TF_THANG,R$1,TF_KM,$E5))/ 1000</f>
        <v>0</v>
      </c>
      <c r="S5" s="1223">
        <f>IF(NOW()&gt;=DATE(YEAR(S$1),MONTH(S$1)+1,DAY(S$1)),SUMIFS(AC_SOTIEN,AC_DA,$C5,AC_THANG,S$1,AC_KM,$E5),SUMIFS(TF_SOTIEN,TF_DA,$C5,TF_THANG,S$1,TF_KM,$E5))/ 1000</f>
        <v>0</v>
      </c>
      <c r="T5" s="1223">
        <f>IF(NOW()&gt;=DATE(YEAR(T$1),MONTH(T$1)+1,DAY(T$1)),SUMIFS(AC_SOTIEN,AC_DA,$C5,AC_THANG,T$1,AC_KM,$E5),SUMIFS(TF_SOTIEN,TF_DA,$C5,TF_THANG,T$1,TF_KM,$E5))/ 1000</f>
        <v>0</v>
      </c>
      <c r="U5" s="1223">
        <f>IF(NOW()&gt;=DATE(YEAR(U$1),MONTH(U$1)+1,DAY(U$1)),SUMIFS(AC_SOTIEN,AC_DA,$C5,AC_THANG,U$1,AC_KM,$E5),SUMIFS(TF_SOTIEN,TF_DA,$C5,TF_THANG,U$1,TF_KM,$E5))/ 1000</f>
        <v>0</v>
      </c>
      <c r="V5" s="1223">
        <f>IF(NOW()&gt;=DATE(YEAR(V$1),MONTH(V$1)+1,DAY(V$1)),SUMIFS(AC_SOTIEN,AC_DA,$C5,AC_THANG,V$1,AC_KM,$E5),SUMIFS(TF_SOTIEN,TF_DA,$C5,TF_THANG,V$1,TF_KM,$E5))/ 1000</f>
        <v>0</v>
      </c>
      <c r="W5" s="1223">
        <f>IF(NOW()&gt;=DATE(YEAR(W$1),MONTH(W$1)+1,DAY(W$1)),SUMIFS(AC_SOTIEN,AC_DA,$C5,AC_THANG,W$1,AC_KM,$E5),SUMIFS(TF_SOTIEN,TF_DA,$C5,TF_THANG,W$1,TF_KM,$E5))/ 1000</f>
        <v>0</v>
      </c>
      <c r="X5" s="1223">
        <f>IF(NOW()&gt;=DATE(YEAR(X$1),MONTH(X$1)+1,DAY(X$1)),SUMIFS(AC_SOTIEN,AC_DA,$C5,AC_THANG,X$1,AC_KM,$E5),SUMIFS(TF_SOTIEN,TF_DA,$C5,TF_THANG,X$1,TF_KM,$E5))/ 1000</f>
        <v>0</v>
      </c>
      <c r="Y5" s="1223">
        <f>IF(NOW()&gt;=DATE(YEAR(Y$1),MONTH(Y$1)+1,DAY(Y$1)),SUMIFS(AC_SOTIEN,AC_DA,$C5,AC_THANG,Y$1,AC_KM,$E5),SUMIFS(TF_SOTIEN,TF_DA,$C5,TF_THANG,Y$1,TF_KM,$E5))/ 1000</f>
        <v>0</v>
      </c>
      <c r="Z5" s="1223">
        <f>IF(NOW()&gt;=DATE(YEAR(Z$1),MONTH(Z$1)+1,DAY(Z$1)),SUMIFS(AC_SOTIEN,AC_DA,$C5,AC_THANG,Z$1,AC_KM,$E5),SUMIFS(TF_SOTIEN,TF_DA,$C5,TF_THANG,Z$1,TF_KM,$E5))/ 1000</f>
        <v>0</v>
      </c>
      <c r="AA5" s="1223">
        <f>IF(NOW()&gt;=DATE(YEAR(AA$1),MONTH(AA$1)+1,DAY(AA$1)),SUMIFS(AC_SOTIEN,AC_DA,$C5,AC_THANG,AA$1,AC_KM,$E5),SUMIFS(TF_SOTIEN,TF_DA,$C5,TF_THANG,AA$1,TF_KM,$E5))/ 1000</f>
        <v>0</v>
      </c>
    </row>
    <row r="6">
      <c r="A6" s="1215">
        <f t="shared" si="2"/>
        <v>4</v>
      </c>
      <c r="B6" s="1216" t="s">
        <v>2069</v>
      </c>
      <c r="C6" s="1087" t="s">
        <v>175</v>
      </c>
      <c r="D6" s="1216" t="str">
        <f>IF(C6="","", VLOOKUP(C6,DM_DUAN,2,0))</f>
        <v>Phước hội Hồ Tràm</v>
      </c>
      <c r="E6" s="1217" t="s">
        <v>198</v>
      </c>
      <c r="F6" s="1218"/>
      <c r="G6" s="1218">
        <v>2.0</v>
      </c>
      <c r="H6" s="1219">
        <f t="shared" si="3"/>
        <v>8438145</v>
      </c>
      <c r="I6" s="1220">
        <f t="shared" si="4"/>
        <v>0.2243684163</v>
      </c>
      <c r="J6" s="1221">
        <f t="shared" si="5"/>
        <v>8438145</v>
      </c>
      <c r="K6" s="1221">
        <f t="shared" si="6"/>
        <v>0</v>
      </c>
      <c r="L6" s="1222">
        <f t="shared" si="7"/>
        <v>8438145</v>
      </c>
      <c r="M6" s="1222">
        <f t="shared" si="8"/>
        <v>0</v>
      </c>
      <c r="N6" s="1222">
        <f t="shared" si="9"/>
        <v>0</v>
      </c>
      <c r="O6" s="1222">
        <f t="shared" si="10"/>
        <v>0</v>
      </c>
      <c r="P6" s="1223">
        <f>IF(NOW()&gt;=DATE(YEAR(P$1),MONTH(P$1)+1,DAY(P$1)),SUMIFS(AC_SOTIEN,AC_DA,$C6,AC_THANG,P$1,AC_KM,$E6),SUMIFS(TF_SOTIEN,TF_DA,$C6,TF_THANG,P$1,TF_KM,$E6))/ 1000</f>
        <v>3418460</v>
      </c>
      <c r="Q6" s="1223">
        <f>IF(NOW()&gt;=DATE(YEAR(Q$1),MONTH(Q$1)+1,DAY(Q$1)),SUMIFS(AC_SOTIEN,AC_DA,$C6,AC_THANG,Q$1,AC_KM,$E6),SUMIFS(TF_SOTIEN,TF_DA,$C6,TF_THANG,Q$1,TF_KM,$E6))/ 1000</f>
        <v>1930000</v>
      </c>
      <c r="R6" s="1223">
        <f>IF(NOW()&gt;=DATE(YEAR(R$1),MONTH(R$1)+1,DAY(R$1)),SUMIFS(AC_SOTIEN,AC_DA,$C6,AC_THANG,R$1,AC_KM,$E6),SUMIFS(TF_SOTIEN,TF_DA,$C6,TF_THANG,R$1,TF_KM,$E6))/ 1000</f>
        <v>3089685</v>
      </c>
      <c r="S6" s="1223">
        <f>IF(NOW()&gt;=DATE(YEAR(S$1),MONTH(S$1)+1,DAY(S$1)),SUMIFS(AC_SOTIEN,AC_DA,$C6,AC_THANG,S$1,AC_KM,$E6),SUMIFS(TF_SOTIEN,TF_DA,$C6,TF_THANG,S$1,TF_KM,$E6))/ 1000</f>
        <v>0</v>
      </c>
      <c r="T6" s="1223">
        <f>IF(NOW()&gt;=DATE(YEAR(T$1),MONTH(T$1)+1,DAY(T$1)),SUMIFS(AC_SOTIEN,AC_DA,$C6,AC_THANG,T$1,AC_KM,$E6),SUMIFS(TF_SOTIEN,TF_DA,$C6,TF_THANG,T$1,TF_KM,$E6))/ 1000</f>
        <v>0</v>
      </c>
      <c r="U6" s="1223">
        <f>IF(NOW()&gt;=DATE(YEAR(U$1),MONTH(U$1)+1,DAY(U$1)),SUMIFS(AC_SOTIEN,AC_DA,$C6,AC_THANG,U$1,AC_KM,$E6),SUMIFS(TF_SOTIEN,TF_DA,$C6,TF_THANG,U$1,TF_KM,$E6))/ 1000</f>
        <v>0</v>
      </c>
      <c r="V6" s="1223">
        <f>IF(NOW()&gt;=DATE(YEAR(V$1),MONTH(V$1)+1,DAY(V$1)),SUMIFS(AC_SOTIEN,AC_DA,$C6,AC_THANG,V$1,AC_KM,$E6),SUMIFS(TF_SOTIEN,TF_DA,$C6,TF_THANG,V$1,TF_KM,$E6))/ 1000</f>
        <v>0</v>
      </c>
      <c r="W6" s="1223">
        <f>IF(NOW()&gt;=DATE(YEAR(W$1),MONTH(W$1)+1,DAY(W$1)),SUMIFS(AC_SOTIEN,AC_DA,$C6,AC_THANG,W$1,AC_KM,$E6),SUMIFS(TF_SOTIEN,TF_DA,$C6,TF_THANG,W$1,TF_KM,$E6))/ 1000</f>
        <v>0</v>
      </c>
      <c r="X6" s="1223">
        <f>IF(NOW()&gt;=DATE(YEAR(X$1),MONTH(X$1)+1,DAY(X$1)),SUMIFS(AC_SOTIEN,AC_DA,$C6,AC_THANG,X$1,AC_KM,$E6),SUMIFS(TF_SOTIEN,TF_DA,$C6,TF_THANG,X$1,TF_KM,$E6))/ 1000</f>
        <v>0</v>
      </c>
      <c r="Y6" s="1223">
        <f>IF(NOW()&gt;=DATE(YEAR(Y$1),MONTH(Y$1)+1,DAY(Y$1)),SUMIFS(AC_SOTIEN,AC_DA,$C6,AC_THANG,Y$1,AC_KM,$E6),SUMIFS(TF_SOTIEN,TF_DA,$C6,TF_THANG,Y$1,TF_KM,$E6))/ 1000</f>
        <v>0</v>
      </c>
      <c r="Z6" s="1223">
        <f>IF(NOW()&gt;=DATE(YEAR(Z$1),MONTH(Z$1)+1,DAY(Z$1)),SUMIFS(AC_SOTIEN,AC_DA,$C6,AC_THANG,Z$1,AC_KM,$E6),SUMIFS(TF_SOTIEN,TF_DA,$C6,TF_THANG,Z$1,TF_KM,$E6))/ 1000</f>
        <v>0</v>
      </c>
      <c r="AA6" s="1223">
        <f>IF(NOW()&gt;=DATE(YEAR(AA$1),MONTH(AA$1)+1,DAY(AA$1)),SUMIFS(AC_SOTIEN,AC_DA,$C6,AC_THANG,AA$1,AC_KM,$E6),SUMIFS(TF_SOTIEN,TF_DA,$C6,TF_THANG,AA$1,TF_KM,$E6))/ 1000</f>
        <v>0</v>
      </c>
    </row>
    <row r="7">
      <c r="A7" s="1215">
        <f t="shared" si="2"/>
        <v>5</v>
      </c>
      <c r="B7" s="1216" t="s">
        <v>2070</v>
      </c>
      <c r="C7" s="1087" t="s">
        <v>2067</v>
      </c>
      <c r="D7" s="1216" t="str">
        <f>IF(C7="","", VLOOKUP(C7,DM_DUAN,2,0))</f>
        <v>NAM PHONG</v>
      </c>
      <c r="E7" s="1217" t="s">
        <v>198</v>
      </c>
      <c r="F7" s="1218"/>
      <c r="G7" s="1218">
        <v>2.0</v>
      </c>
      <c r="H7" s="1219">
        <f t="shared" si="3"/>
        <v>0</v>
      </c>
      <c r="I7" s="1220">
        <f t="shared" si="4"/>
        <v>0</v>
      </c>
      <c r="J7" s="1221">
        <f t="shared" si="5"/>
        <v>0</v>
      </c>
      <c r="K7" s="1221">
        <f t="shared" si="6"/>
        <v>0</v>
      </c>
      <c r="L7" s="1222">
        <f t="shared" si="7"/>
        <v>0</v>
      </c>
      <c r="M7" s="1222">
        <f t="shared" si="8"/>
        <v>0</v>
      </c>
      <c r="N7" s="1222">
        <f t="shared" si="9"/>
        <v>0</v>
      </c>
      <c r="O7" s="1222">
        <f t="shared" si="10"/>
        <v>0</v>
      </c>
      <c r="P7" s="1223">
        <f>IF(NOW()&gt;=DATE(YEAR(P$1),MONTH(P$1)+1,DAY(P$1)),SUMIFS(AC_SOTIEN,AC_DA,$C7,AC_THANG,P$1,AC_KM,$E7),SUMIFS(TF_SOTIEN,TF_DA,$C7,TF_THANG,P$1,TF_KM,$E7))/ 1000</f>
        <v>0</v>
      </c>
      <c r="Q7" s="1223">
        <f>IF(NOW()&gt;=DATE(YEAR(Q$1),MONTH(Q$1)+1,DAY(Q$1)),SUMIFS(AC_SOTIEN,AC_DA,$C7,AC_THANG,Q$1,AC_KM,$E7),SUMIFS(TF_SOTIEN,TF_DA,$C7,TF_THANG,Q$1,TF_KM,$E7))/ 1000</f>
        <v>0</v>
      </c>
      <c r="R7" s="1223">
        <f>IF(NOW()&gt;=DATE(YEAR(R$1),MONTH(R$1)+1,DAY(R$1)),SUMIFS(AC_SOTIEN,AC_DA,$C7,AC_THANG,R$1,AC_KM,$E7),SUMIFS(TF_SOTIEN,TF_DA,$C7,TF_THANG,R$1,TF_KM,$E7))/ 1000</f>
        <v>0</v>
      </c>
      <c r="S7" s="1223">
        <f>IF(NOW()&gt;=DATE(YEAR(S$1),MONTH(S$1)+1,DAY(S$1)),SUMIFS(AC_SOTIEN,AC_DA,$C7,AC_THANG,S$1,AC_KM,$E7),SUMIFS(TF_SOTIEN,TF_DA,$C7,TF_THANG,S$1,TF_KM,$E7))/ 1000</f>
        <v>0</v>
      </c>
      <c r="T7" s="1223">
        <f>IF(NOW()&gt;=DATE(YEAR(T$1),MONTH(T$1)+1,DAY(T$1)),SUMIFS(AC_SOTIEN,AC_DA,$C7,AC_THANG,T$1,AC_KM,$E7),SUMIFS(TF_SOTIEN,TF_DA,$C7,TF_THANG,T$1,TF_KM,$E7))/ 1000</f>
        <v>0</v>
      </c>
      <c r="U7" s="1223">
        <f>IF(NOW()&gt;=DATE(YEAR(U$1),MONTH(U$1)+1,DAY(U$1)),SUMIFS(AC_SOTIEN,AC_DA,$C7,AC_THANG,U$1,AC_KM,$E7),SUMIFS(TF_SOTIEN,TF_DA,$C7,TF_THANG,U$1,TF_KM,$E7))/ 1000</f>
        <v>0</v>
      </c>
      <c r="V7" s="1223">
        <f>IF(NOW()&gt;=DATE(YEAR(V$1),MONTH(V$1)+1,DAY(V$1)),SUMIFS(AC_SOTIEN,AC_DA,$C7,AC_THANG,V$1,AC_KM,$E7),SUMIFS(TF_SOTIEN,TF_DA,$C7,TF_THANG,V$1,TF_KM,$E7))/ 1000</f>
        <v>0</v>
      </c>
      <c r="W7" s="1223">
        <f>IF(NOW()&gt;=DATE(YEAR(W$1),MONTH(W$1)+1,DAY(W$1)),SUMIFS(AC_SOTIEN,AC_DA,$C7,AC_THANG,W$1,AC_KM,$E7),SUMIFS(TF_SOTIEN,TF_DA,$C7,TF_THANG,W$1,TF_KM,$E7))/ 1000</f>
        <v>0</v>
      </c>
      <c r="X7" s="1223">
        <f>IF(NOW()&gt;=DATE(YEAR(X$1),MONTH(X$1)+1,DAY(X$1)),SUMIFS(AC_SOTIEN,AC_DA,$C7,AC_THANG,X$1,AC_KM,$E7),SUMIFS(TF_SOTIEN,TF_DA,$C7,TF_THANG,X$1,TF_KM,$E7))/ 1000</f>
        <v>0</v>
      </c>
      <c r="Y7" s="1223">
        <f>IF(NOW()&gt;=DATE(YEAR(Y$1),MONTH(Y$1)+1,DAY(Y$1)),SUMIFS(AC_SOTIEN,AC_DA,$C7,AC_THANG,Y$1,AC_KM,$E7),SUMIFS(TF_SOTIEN,TF_DA,$C7,TF_THANG,Y$1,TF_KM,$E7))/ 1000</f>
        <v>0</v>
      </c>
      <c r="Z7" s="1223">
        <f>IF(NOW()&gt;=DATE(YEAR(Z$1),MONTH(Z$1)+1,DAY(Z$1)),SUMIFS(AC_SOTIEN,AC_DA,$C7,AC_THANG,Z$1,AC_KM,$E7),SUMIFS(TF_SOTIEN,TF_DA,$C7,TF_THANG,Z$1,TF_KM,$E7))/ 1000</f>
        <v>0</v>
      </c>
      <c r="AA7" s="1223">
        <f>IF(NOW()&gt;=DATE(YEAR(AA$1),MONTH(AA$1)+1,DAY(AA$1)),SUMIFS(AC_SOTIEN,AC_DA,$C7,AC_THANG,AA$1,AC_KM,$E7),SUMIFS(TF_SOTIEN,TF_DA,$C7,TF_THANG,AA$1,TF_KM,$E7))/ 1000</f>
        <v>0</v>
      </c>
    </row>
    <row r="8">
      <c r="A8" s="1215">
        <f t="shared" si="2"/>
        <v>6</v>
      </c>
      <c r="B8" s="1216" t="s">
        <v>2071</v>
      </c>
      <c r="C8" s="656" t="s">
        <v>638</v>
      </c>
      <c r="D8" s="1216" t="str">
        <f>IF(C8="","", VLOOKUP(C8,DM_DUAN,2,0))</f>
        <v>Sản phẩm Phước Vinh</v>
      </c>
      <c r="E8" s="1217" t="s">
        <v>198</v>
      </c>
      <c r="F8" s="1218"/>
      <c r="G8" s="1218">
        <v>2.0</v>
      </c>
      <c r="H8" s="1219">
        <f t="shared" si="3"/>
        <v>7885000</v>
      </c>
      <c r="I8" s="1220">
        <f t="shared" si="4"/>
        <v>0.2096604126</v>
      </c>
      <c r="J8" s="1221">
        <f t="shared" si="5"/>
        <v>7885000</v>
      </c>
      <c r="K8" s="1221">
        <f t="shared" si="6"/>
        <v>0</v>
      </c>
      <c r="L8" s="1222">
        <f t="shared" si="7"/>
        <v>0</v>
      </c>
      <c r="M8" s="1222">
        <f t="shared" si="8"/>
        <v>7885000</v>
      </c>
      <c r="N8" s="1222">
        <f t="shared" si="9"/>
        <v>0</v>
      </c>
      <c r="O8" s="1222">
        <f t="shared" si="10"/>
        <v>0</v>
      </c>
      <c r="P8" s="1223">
        <f>IF(NOW()&gt;=DATE(YEAR(P$1),MONTH(P$1)+1,DAY(P$1)),SUMIFS(AC_SOTIEN,AC_DA,$C8,AC_THANG,P$1,AC_KM,$E8),SUMIFS(TF_SOTIEN,TF_DA,$C8,TF_THANG,P$1,TF_KM,$E8))/ 1000</f>
        <v>0</v>
      </c>
      <c r="Q8" s="1223">
        <f>IF(NOW()&gt;=DATE(YEAR(Q$1),MONTH(Q$1)+1,DAY(Q$1)),SUMIFS(AC_SOTIEN,AC_DA,$C8,AC_THANG,Q$1,AC_KM,$E8),SUMIFS(TF_SOTIEN,TF_DA,$C8,TF_THANG,Q$1,TF_KM,$E8))/ 1000</f>
        <v>0</v>
      </c>
      <c r="R8" s="1223">
        <f>IF(NOW()&gt;=DATE(YEAR(R$1),MONTH(R$1)+1,DAY(R$1)),SUMIFS(AC_SOTIEN,AC_DA,$C8,AC_THANG,R$1,AC_KM,$E8),SUMIFS(TF_SOTIEN,TF_DA,$C8,TF_THANG,R$1,TF_KM,$E8))/ 1000</f>
        <v>0</v>
      </c>
      <c r="S8" s="1223">
        <f>IF(NOW()&gt;=DATE(YEAR(S$1),MONTH(S$1)+1,DAY(S$1)),SUMIFS(AC_SOTIEN,AC_DA,$C8,AC_THANG,S$1,AC_KM,$E8),SUMIFS(TF_SOTIEN,TF_DA,$C8,TF_THANG,S$1,TF_KM,$E8))/ 1000</f>
        <v>7885000</v>
      </c>
      <c r="T8" s="1223">
        <f>IF(NOW()&gt;=DATE(YEAR(T$1),MONTH(T$1)+1,DAY(T$1)),SUMIFS(AC_SOTIEN,AC_DA,$C8,AC_THANG,T$1,AC_KM,$E8),SUMIFS(TF_SOTIEN,TF_DA,$C8,TF_THANG,T$1,TF_KM,$E8))/ 1000</f>
        <v>0</v>
      </c>
      <c r="U8" s="1223">
        <f>IF(NOW()&gt;=DATE(YEAR(U$1),MONTH(U$1)+1,DAY(U$1)),SUMIFS(AC_SOTIEN,AC_DA,$C8,AC_THANG,U$1,AC_KM,$E8),SUMIFS(TF_SOTIEN,TF_DA,$C8,TF_THANG,U$1,TF_KM,$E8))/ 1000</f>
        <v>0</v>
      </c>
      <c r="V8" s="1223">
        <f>IF(NOW()&gt;=DATE(YEAR(V$1),MONTH(V$1)+1,DAY(V$1)),SUMIFS(AC_SOTIEN,AC_DA,$C8,AC_THANG,V$1,AC_KM,$E8),SUMIFS(TF_SOTIEN,TF_DA,$C8,TF_THANG,V$1,TF_KM,$E8))/ 1000</f>
        <v>0</v>
      </c>
      <c r="W8" s="1223">
        <f>IF(NOW()&gt;=DATE(YEAR(W$1),MONTH(W$1)+1,DAY(W$1)),SUMIFS(AC_SOTIEN,AC_DA,$C8,AC_THANG,W$1,AC_KM,$E8),SUMIFS(TF_SOTIEN,TF_DA,$C8,TF_THANG,W$1,TF_KM,$E8))/ 1000</f>
        <v>0</v>
      </c>
      <c r="X8" s="1223">
        <f>IF(NOW()&gt;=DATE(YEAR(X$1),MONTH(X$1)+1,DAY(X$1)),SUMIFS(AC_SOTIEN,AC_DA,$C8,AC_THANG,X$1,AC_KM,$E8),SUMIFS(TF_SOTIEN,TF_DA,$C8,TF_THANG,X$1,TF_KM,$E8))/ 1000</f>
        <v>0</v>
      </c>
      <c r="Y8" s="1223">
        <f>IF(NOW()&gt;=DATE(YEAR(Y$1),MONTH(Y$1)+1,DAY(Y$1)),SUMIFS(AC_SOTIEN,AC_DA,$C8,AC_THANG,Y$1,AC_KM,$E8),SUMIFS(TF_SOTIEN,TF_DA,$C8,TF_THANG,Y$1,TF_KM,$E8))/ 1000</f>
        <v>0</v>
      </c>
      <c r="Z8" s="1223">
        <f>IF(NOW()&gt;=DATE(YEAR(Z$1),MONTH(Z$1)+1,DAY(Z$1)),SUMIFS(AC_SOTIEN,AC_DA,$C8,AC_THANG,Z$1,AC_KM,$E8),SUMIFS(TF_SOTIEN,TF_DA,$C8,TF_THANG,Z$1,TF_KM,$E8))/ 1000</f>
        <v>0</v>
      </c>
      <c r="AA8" s="1223">
        <f>IF(NOW()&gt;=DATE(YEAR(AA$1),MONTH(AA$1)+1,DAY(AA$1)),SUMIFS(AC_SOTIEN,AC_DA,$C8,AC_THANG,AA$1,AC_KM,$E8),SUMIFS(TF_SOTIEN,TF_DA,$C8,TF_THANG,AA$1,TF_KM,$E8))/ 1000</f>
        <v>0</v>
      </c>
    </row>
    <row r="9">
      <c r="A9" s="1215">
        <f t="shared" si="2"/>
        <v>7</v>
      </c>
      <c r="B9" s="1216" t="s">
        <v>2072</v>
      </c>
      <c r="C9" s="1087" t="s">
        <v>2070</v>
      </c>
      <c r="D9" s="1216" t="str">
        <f>IF(C9="","", VLOOKUP(C9,DM_DUAN,2,0))</f>
        <v>KHANG VƯỢNG</v>
      </c>
      <c r="E9" s="1217" t="s">
        <v>198</v>
      </c>
      <c r="F9" s="1218"/>
      <c r="G9" s="1218">
        <v>2.0</v>
      </c>
      <c r="H9" s="1219">
        <f t="shared" si="3"/>
        <v>0</v>
      </c>
      <c r="I9" s="1220">
        <f t="shared" si="4"/>
        <v>0</v>
      </c>
      <c r="J9" s="1221">
        <f t="shared" si="5"/>
        <v>0</v>
      </c>
      <c r="K9" s="1221">
        <f t="shared" si="6"/>
        <v>0</v>
      </c>
      <c r="L9" s="1222">
        <f t="shared" si="7"/>
        <v>0</v>
      </c>
      <c r="M9" s="1222">
        <f t="shared" si="8"/>
        <v>0</v>
      </c>
      <c r="N9" s="1222">
        <f t="shared" si="9"/>
        <v>0</v>
      </c>
      <c r="O9" s="1222">
        <f t="shared" si="10"/>
        <v>0</v>
      </c>
      <c r="P9" s="1223">
        <f>IF(NOW()&gt;=DATE(YEAR(P$1),MONTH(P$1)+1,DAY(P$1)),SUMIFS(AC_SOTIEN,AC_DA,$C9,AC_THANG,P$1,AC_KM,$E9),SUMIFS(TF_SOTIEN,TF_DA,$C9,TF_THANG,P$1,TF_KM,$E9))/ 1000</f>
        <v>0</v>
      </c>
      <c r="Q9" s="1223">
        <f>IF(NOW()&gt;=DATE(YEAR(Q$1),MONTH(Q$1)+1,DAY(Q$1)),SUMIFS(AC_SOTIEN,AC_DA,$C9,AC_THANG,Q$1,AC_KM,$E9),SUMIFS(TF_SOTIEN,TF_DA,$C9,TF_THANG,Q$1,TF_KM,$E9))/ 1000</f>
        <v>0</v>
      </c>
      <c r="R9" s="1223">
        <f>IF(NOW()&gt;=DATE(YEAR(R$1),MONTH(R$1)+1,DAY(R$1)),SUMIFS(AC_SOTIEN,AC_DA,$C9,AC_THANG,R$1,AC_KM,$E9),SUMIFS(TF_SOTIEN,TF_DA,$C9,TF_THANG,R$1,TF_KM,$E9))/ 1000</f>
        <v>0</v>
      </c>
      <c r="S9" s="1223">
        <f>IF(NOW()&gt;=DATE(YEAR(S$1),MONTH(S$1)+1,DAY(S$1)),SUMIFS(AC_SOTIEN,AC_DA,$C9,AC_THANG,S$1,AC_KM,$E9),SUMIFS(TF_SOTIEN,TF_DA,$C9,TF_THANG,S$1,TF_KM,$E9))/ 1000</f>
        <v>0</v>
      </c>
      <c r="T9" s="1223">
        <f>IF(NOW()&gt;=DATE(YEAR(T$1),MONTH(T$1)+1,DAY(T$1)),SUMIFS(AC_SOTIEN,AC_DA,$C9,AC_THANG,T$1,AC_KM,$E9),SUMIFS(TF_SOTIEN,TF_DA,$C9,TF_THANG,T$1,TF_KM,$E9))/ 1000</f>
        <v>0</v>
      </c>
      <c r="U9" s="1223">
        <f>IF(NOW()&gt;=DATE(YEAR(U$1),MONTH(U$1)+1,DAY(U$1)),SUMIFS(AC_SOTIEN,AC_DA,$C9,AC_THANG,U$1,AC_KM,$E9),SUMIFS(TF_SOTIEN,TF_DA,$C9,TF_THANG,U$1,TF_KM,$E9))/ 1000</f>
        <v>0</v>
      </c>
      <c r="V9" s="1223">
        <f>IF(NOW()&gt;=DATE(YEAR(V$1),MONTH(V$1)+1,DAY(V$1)),SUMIFS(AC_SOTIEN,AC_DA,$C9,AC_THANG,V$1,AC_KM,$E9),SUMIFS(TF_SOTIEN,TF_DA,$C9,TF_THANG,V$1,TF_KM,$E9))/ 1000</f>
        <v>0</v>
      </c>
      <c r="W9" s="1223">
        <f>IF(NOW()&gt;=DATE(YEAR(W$1),MONTH(W$1)+1,DAY(W$1)),SUMIFS(AC_SOTIEN,AC_DA,$C9,AC_THANG,W$1,AC_KM,$E9),SUMIFS(TF_SOTIEN,TF_DA,$C9,TF_THANG,W$1,TF_KM,$E9))/ 1000</f>
        <v>0</v>
      </c>
      <c r="X9" s="1223">
        <f>IF(NOW()&gt;=DATE(YEAR(X$1),MONTH(X$1)+1,DAY(X$1)),SUMIFS(AC_SOTIEN,AC_DA,$C9,AC_THANG,X$1,AC_KM,$E9),SUMIFS(TF_SOTIEN,TF_DA,$C9,TF_THANG,X$1,TF_KM,$E9))/ 1000</f>
        <v>0</v>
      </c>
      <c r="Y9" s="1223">
        <f>IF(NOW()&gt;=DATE(YEAR(Y$1),MONTH(Y$1)+1,DAY(Y$1)),SUMIFS(AC_SOTIEN,AC_DA,$C9,AC_THANG,Y$1,AC_KM,$E9),SUMIFS(TF_SOTIEN,TF_DA,$C9,TF_THANG,Y$1,TF_KM,$E9))/ 1000</f>
        <v>0</v>
      </c>
      <c r="Z9" s="1223">
        <f>IF(NOW()&gt;=DATE(YEAR(Z$1),MONTH(Z$1)+1,DAY(Z$1)),SUMIFS(AC_SOTIEN,AC_DA,$C9,AC_THANG,Z$1,AC_KM,$E9),SUMIFS(TF_SOTIEN,TF_DA,$C9,TF_THANG,Z$1,TF_KM,$E9))/ 1000</f>
        <v>0</v>
      </c>
      <c r="AA9" s="1223">
        <f>IF(NOW()&gt;=DATE(YEAR(AA$1),MONTH(AA$1)+1,DAY(AA$1)),SUMIFS(AC_SOTIEN,AC_DA,$C9,AC_THANG,AA$1,AC_KM,$E9),SUMIFS(TF_SOTIEN,TF_DA,$C9,TF_THANG,AA$1,TF_KM,$E9))/ 1000</f>
        <v>0</v>
      </c>
    </row>
    <row r="10">
      <c r="A10" s="1215">
        <f t="shared" si="2"/>
        <v>8</v>
      </c>
      <c r="B10" s="1216" t="s">
        <v>2073</v>
      </c>
      <c r="C10" s="1087" t="s">
        <v>2072</v>
      </c>
      <c r="D10" s="1216" t="str">
        <f>IF(C10="","", VLOOKUP(C10,DM_DUAN,2,0))</f>
        <v>TRẦN ANH GROUP</v>
      </c>
      <c r="E10" s="1217" t="s">
        <v>198</v>
      </c>
      <c r="F10" s="1218"/>
      <c r="G10" s="1218">
        <v>2.0</v>
      </c>
      <c r="H10" s="1219">
        <f t="shared" si="3"/>
        <v>0</v>
      </c>
      <c r="I10" s="1220">
        <f t="shared" si="4"/>
        <v>0</v>
      </c>
      <c r="J10" s="1221">
        <f t="shared" si="5"/>
        <v>0</v>
      </c>
      <c r="K10" s="1221">
        <f t="shared" si="6"/>
        <v>0</v>
      </c>
      <c r="L10" s="1222">
        <f t="shared" si="7"/>
        <v>0</v>
      </c>
      <c r="M10" s="1222">
        <f t="shared" si="8"/>
        <v>0</v>
      </c>
      <c r="N10" s="1222">
        <f t="shared" si="9"/>
        <v>0</v>
      </c>
      <c r="O10" s="1222">
        <f t="shared" si="10"/>
        <v>0</v>
      </c>
      <c r="P10" s="1223">
        <f>IF(NOW()&gt;=DATE(YEAR(P$1),MONTH(P$1)+1,DAY(P$1)),SUMIFS(AC_SOTIEN,AC_DA,$C10,AC_THANG,P$1,AC_KM,$E10),SUMIFS(TF_SOTIEN,TF_DA,$C10,TF_THANG,P$1,TF_KM,$E10))/ 1000</f>
        <v>0</v>
      </c>
      <c r="Q10" s="1223">
        <f>IF(NOW()&gt;=DATE(YEAR(Q$1),MONTH(Q$1)+1,DAY(Q$1)),SUMIFS(AC_SOTIEN,AC_DA,$C10,AC_THANG,Q$1,AC_KM,$E10),SUMIFS(TF_SOTIEN,TF_DA,$C10,TF_THANG,Q$1,TF_KM,$E10))/ 1000</f>
        <v>0</v>
      </c>
      <c r="R10" s="1223">
        <f>IF(NOW()&gt;=DATE(YEAR(R$1),MONTH(R$1)+1,DAY(R$1)),SUMIFS(AC_SOTIEN,AC_DA,$C10,AC_THANG,R$1,AC_KM,$E10),SUMIFS(TF_SOTIEN,TF_DA,$C10,TF_THANG,R$1,TF_KM,$E10))/ 1000</f>
        <v>0</v>
      </c>
      <c r="S10" s="1223">
        <f>IF(NOW()&gt;=DATE(YEAR(S$1),MONTH(S$1)+1,DAY(S$1)),SUMIFS(AC_SOTIEN,AC_DA,$C10,AC_THANG,S$1,AC_KM,$E10),SUMIFS(TF_SOTIEN,TF_DA,$C10,TF_THANG,S$1,TF_KM,$E10))/ 1000</f>
        <v>0</v>
      </c>
      <c r="T10" s="1223">
        <f>IF(NOW()&gt;=DATE(YEAR(T$1),MONTH(T$1)+1,DAY(T$1)),SUMIFS(AC_SOTIEN,AC_DA,$C10,AC_THANG,T$1,AC_KM,$E10),SUMIFS(TF_SOTIEN,TF_DA,$C10,TF_THANG,T$1,TF_KM,$E10))/ 1000</f>
        <v>0</v>
      </c>
      <c r="U10" s="1223">
        <f>IF(NOW()&gt;=DATE(YEAR(U$1),MONTH(U$1)+1,DAY(U$1)),SUMIFS(AC_SOTIEN,AC_DA,$C10,AC_THANG,U$1,AC_KM,$E10),SUMIFS(TF_SOTIEN,TF_DA,$C10,TF_THANG,U$1,TF_KM,$E10))/ 1000</f>
        <v>0</v>
      </c>
      <c r="V10" s="1223">
        <f>IF(NOW()&gt;=DATE(YEAR(V$1),MONTH(V$1)+1,DAY(V$1)),SUMIFS(AC_SOTIEN,AC_DA,$C10,AC_THANG,V$1,AC_KM,$E10),SUMIFS(TF_SOTIEN,TF_DA,$C10,TF_THANG,V$1,TF_KM,$E10))/ 1000</f>
        <v>0</v>
      </c>
      <c r="W10" s="1223">
        <f>IF(NOW()&gt;=DATE(YEAR(W$1),MONTH(W$1)+1,DAY(W$1)),SUMIFS(AC_SOTIEN,AC_DA,$C10,AC_THANG,W$1,AC_KM,$E10),SUMIFS(TF_SOTIEN,TF_DA,$C10,TF_THANG,W$1,TF_KM,$E10))/ 1000</f>
        <v>0</v>
      </c>
      <c r="X10" s="1223">
        <f>IF(NOW()&gt;=DATE(YEAR(X$1),MONTH(X$1)+1,DAY(X$1)),SUMIFS(AC_SOTIEN,AC_DA,$C10,AC_THANG,X$1,AC_KM,$E10),SUMIFS(TF_SOTIEN,TF_DA,$C10,TF_THANG,X$1,TF_KM,$E10))/ 1000</f>
        <v>0</v>
      </c>
      <c r="Y10" s="1223">
        <f>IF(NOW()&gt;=DATE(YEAR(Y$1),MONTH(Y$1)+1,DAY(Y$1)),SUMIFS(AC_SOTIEN,AC_DA,$C10,AC_THANG,Y$1,AC_KM,$E10),SUMIFS(TF_SOTIEN,TF_DA,$C10,TF_THANG,Y$1,TF_KM,$E10))/ 1000</f>
        <v>0</v>
      </c>
      <c r="Z10" s="1223">
        <f>IF(NOW()&gt;=DATE(YEAR(Z$1),MONTH(Z$1)+1,DAY(Z$1)),SUMIFS(AC_SOTIEN,AC_DA,$C10,AC_THANG,Z$1,AC_KM,$E10),SUMIFS(TF_SOTIEN,TF_DA,$C10,TF_THANG,Z$1,TF_KM,$E10))/ 1000</f>
        <v>0</v>
      </c>
      <c r="AA10" s="1223">
        <f>IF(NOW()&gt;=DATE(YEAR(AA$1),MONTH(AA$1)+1,DAY(AA$1)),SUMIFS(AC_SOTIEN,AC_DA,$C10,AC_THANG,AA$1,AC_KM,$E10),SUMIFS(TF_SOTIEN,TF_DA,$C10,TF_THANG,AA$1,TF_KM,$E10))/ 1000</f>
        <v>0</v>
      </c>
    </row>
    <row r="11">
      <c r="A11" s="1215">
        <f t="shared" si="2"/>
        <v>9</v>
      </c>
      <c r="B11" s="1216" t="s">
        <v>2074</v>
      </c>
      <c r="C11" s="1087" t="s">
        <v>2073</v>
      </c>
      <c r="D11" s="1216" t="str">
        <f>IF(C11="","", VLOOKUP(C11,DM_DUAN,2,0))</f>
        <v>PHI TRƯỜNG</v>
      </c>
      <c r="E11" s="1217" t="s">
        <v>198</v>
      </c>
      <c r="F11" s="1218"/>
      <c r="G11" s="1218">
        <v>2.0</v>
      </c>
      <c r="H11" s="1219">
        <f t="shared" si="3"/>
        <v>0</v>
      </c>
      <c r="I11" s="1220">
        <f t="shared" si="4"/>
        <v>0</v>
      </c>
      <c r="J11" s="1221">
        <f t="shared" si="5"/>
        <v>0</v>
      </c>
      <c r="K11" s="1221">
        <f t="shared" si="6"/>
        <v>0</v>
      </c>
      <c r="L11" s="1222">
        <f t="shared" si="7"/>
        <v>0</v>
      </c>
      <c r="M11" s="1222">
        <f t="shared" si="8"/>
        <v>0</v>
      </c>
      <c r="N11" s="1222">
        <f t="shared" si="9"/>
        <v>0</v>
      </c>
      <c r="O11" s="1222">
        <f t="shared" si="10"/>
        <v>0</v>
      </c>
      <c r="P11" s="1223">
        <f>IF(NOW()&gt;=DATE(YEAR(P$1),MONTH(P$1)+1,DAY(P$1)),SUMIFS(AC_SOTIEN,AC_DA,$C11,AC_THANG,P$1,AC_KM,$E11),SUMIFS(TF_SOTIEN,TF_DA,$C11,TF_THANG,P$1,TF_KM,$E11))/ 1000</f>
        <v>0</v>
      </c>
      <c r="Q11" s="1223">
        <f>IF(NOW()&gt;=DATE(YEAR(Q$1),MONTH(Q$1)+1,DAY(Q$1)),SUMIFS(AC_SOTIEN,AC_DA,$C11,AC_THANG,Q$1,AC_KM,$E11),SUMIFS(TF_SOTIEN,TF_DA,$C11,TF_THANG,Q$1,TF_KM,$E11))/ 1000</f>
        <v>0</v>
      </c>
      <c r="R11" s="1223">
        <f>IF(NOW()&gt;=DATE(YEAR(R$1),MONTH(R$1)+1,DAY(R$1)),SUMIFS(AC_SOTIEN,AC_DA,$C11,AC_THANG,R$1,AC_KM,$E11),SUMIFS(TF_SOTIEN,TF_DA,$C11,TF_THANG,R$1,TF_KM,$E11))/ 1000</f>
        <v>0</v>
      </c>
      <c r="S11" s="1223">
        <f>IF(NOW()&gt;=DATE(YEAR(S$1),MONTH(S$1)+1,DAY(S$1)),SUMIFS(AC_SOTIEN,AC_DA,$C11,AC_THANG,S$1,AC_KM,$E11),SUMIFS(TF_SOTIEN,TF_DA,$C11,TF_THANG,S$1,TF_KM,$E11))/ 1000</f>
        <v>0</v>
      </c>
      <c r="T11" s="1223">
        <f>IF(NOW()&gt;=DATE(YEAR(T$1),MONTH(T$1)+1,DAY(T$1)),SUMIFS(AC_SOTIEN,AC_DA,$C11,AC_THANG,T$1,AC_KM,$E11),SUMIFS(TF_SOTIEN,TF_DA,$C11,TF_THANG,T$1,TF_KM,$E11))/ 1000</f>
        <v>0</v>
      </c>
      <c r="U11" s="1223">
        <f>IF(NOW()&gt;=DATE(YEAR(U$1),MONTH(U$1)+1,DAY(U$1)),SUMIFS(AC_SOTIEN,AC_DA,$C11,AC_THANG,U$1,AC_KM,$E11),SUMIFS(TF_SOTIEN,TF_DA,$C11,TF_THANG,U$1,TF_KM,$E11))/ 1000</f>
        <v>0</v>
      </c>
      <c r="V11" s="1223">
        <f>IF(NOW()&gt;=DATE(YEAR(V$1),MONTH(V$1)+1,DAY(V$1)),SUMIFS(AC_SOTIEN,AC_DA,$C11,AC_THANG,V$1,AC_KM,$E11),SUMIFS(TF_SOTIEN,TF_DA,$C11,TF_THANG,V$1,TF_KM,$E11))/ 1000</f>
        <v>0</v>
      </c>
      <c r="W11" s="1223">
        <f>IF(NOW()&gt;=DATE(YEAR(W$1),MONTH(W$1)+1,DAY(W$1)),SUMIFS(AC_SOTIEN,AC_DA,$C11,AC_THANG,W$1,AC_KM,$E11),SUMIFS(TF_SOTIEN,TF_DA,$C11,TF_THANG,W$1,TF_KM,$E11))/ 1000</f>
        <v>0</v>
      </c>
      <c r="X11" s="1223">
        <f>IF(NOW()&gt;=DATE(YEAR(X$1),MONTH(X$1)+1,DAY(X$1)),SUMIFS(AC_SOTIEN,AC_DA,$C11,AC_THANG,X$1,AC_KM,$E11),SUMIFS(TF_SOTIEN,TF_DA,$C11,TF_THANG,X$1,TF_KM,$E11))/ 1000</f>
        <v>0</v>
      </c>
      <c r="Y11" s="1223">
        <f>IF(NOW()&gt;=DATE(YEAR(Y$1),MONTH(Y$1)+1,DAY(Y$1)),SUMIFS(AC_SOTIEN,AC_DA,$C11,AC_THANG,Y$1,AC_KM,$E11),SUMIFS(TF_SOTIEN,TF_DA,$C11,TF_THANG,Y$1,TF_KM,$E11))/ 1000</f>
        <v>0</v>
      </c>
      <c r="Z11" s="1223">
        <f>IF(NOW()&gt;=DATE(YEAR(Z$1),MONTH(Z$1)+1,DAY(Z$1)),SUMIFS(AC_SOTIEN,AC_DA,$C11,AC_THANG,Z$1,AC_KM,$E11),SUMIFS(TF_SOTIEN,TF_DA,$C11,TF_THANG,Z$1,TF_KM,$E11))/ 1000</f>
        <v>0</v>
      </c>
      <c r="AA11" s="1223">
        <f>IF(NOW()&gt;=DATE(YEAR(AA$1),MONTH(AA$1)+1,DAY(AA$1)),SUMIFS(AC_SOTIEN,AC_DA,$C11,AC_THANG,AA$1,AC_KM,$E11),SUMIFS(TF_SOTIEN,TF_DA,$C11,TF_THANG,AA$1,TF_KM,$E11))/ 1000</f>
        <v>0</v>
      </c>
    </row>
    <row r="12">
      <c r="A12" s="1215">
        <f t="shared" si="2"/>
        <v>10</v>
      </c>
      <c r="B12" s="1216" t="s">
        <v>2074</v>
      </c>
      <c r="C12" s="1087" t="s">
        <v>2074</v>
      </c>
      <c r="D12" s="1216" t="str">
        <f>IF(C12="","", VLOOKUP(C12,DM_DUAN,2,0))</f>
        <v>HOÀNG CÁT</v>
      </c>
      <c r="E12" s="1217" t="s">
        <v>198</v>
      </c>
      <c r="F12" s="1218"/>
      <c r="G12" s="1218">
        <v>2.0</v>
      </c>
      <c r="H12" s="1219">
        <f t="shared" si="3"/>
        <v>0</v>
      </c>
      <c r="I12" s="1220">
        <f t="shared" si="4"/>
        <v>0</v>
      </c>
      <c r="J12" s="1221">
        <f t="shared" si="5"/>
        <v>0</v>
      </c>
      <c r="K12" s="1221">
        <f t="shared" si="6"/>
        <v>0</v>
      </c>
      <c r="L12" s="1222">
        <f t="shared" si="7"/>
        <v>0</v>
      </c>
      <c r="M12" s="1222">
        <f t="shared" si="8"/>
        <v>0</v>
      </c>
      <c r="N12" s="1222">
        <f t="shared" si="9"/>
        <v>0</v>
      </c>
      <c r="O12" s="1222">
        <f t="shared" si="10"/>
        <v>0</v>
      </c>
      <c r="P12" s="1223">
        <f>IF(NOW()&gt;=DATE(YEAR(P$1),MONTH(P$1)+1,DAY(P$1)),SUMIFS(AC_SOTIEN,AC_DA,$C12,AC_THANG,P$1,AC_KM,$E12),SUMIFS(TF_SOTIEN,TF_DA,$C12,TF_THANG,P$1,TF_KM,$E12))/ 1000</f>
        <v>0</v>
      </c>
      <c r="Q12" s="1223">
        <f>IF(NOW()&gt;=DATE(YEAR(Q$1),MONTH(Q$1)+1,DAY(Q$1)),SUMIFS(AC_SOTIEN,AC_DA,$C12,AC_THANG,Q$1,AC_KM,$E12),SUMIFS(TF_SOTIEN,TF_DA,$C12,TF_THANG,Q$1,TF_KM,$E12))/ 1000</f>
        <v>0</v>
      </c>
      <c r="R12" s="1223">
        <f>IF(NOW()&gt;=DATE(YEAR(R$1),MONTH(R$1)+1,DAY(R$1)),SUMIFS(AC_SOTIEN,AC_DA,$C12,AC_THANG,R$1,AC_KM,$E12),SUMIFS(TF_SOTIEN,TF_DA,$C12,TF_THANG,R$1,TF_KM,$E12))/ 1000</f>
        <v>0</v>
      </c>
      <c r="S12" s="1223">
        <f>IF(NOW()&gt;=DATE(YEAR(S$1),MONTH(S$1)+1,DAY(S$1)),SUMIFS(AC_SOTIEN,AC_DA,$C12,AC_THANG,S$1,AC_KM,$E12),SUMIFS(TF_SOTIEN,TF_DA,$C12,TF_THANG,S$1,TF_KM,$E12))/ 1000</f>
        <v>0</v>
      </c>
      <c r="T12" s="1223">
        <f>IF(NOW()&gt;=DATE(YEAR(T$1),MONTH(T$1)+1,DAY(T$1)),SUMIFS(AC_SOTIEN,AC_DA,$C12,AC_THANG,T$1,AC_KM,$E12),SUMIFS(TF_SOTIEN,TF_DA,$C12,TF_THANG,T$1,TF_KM,$E12))/ 1000</f>
        <v>0</v>
      </c>
      <c r="U12" s="1223">
        <f>IF(NOW()&gt;=DATE(YEAR(U$1),MONTH(U$1)+1,DAY(U$1)),SUMIFS(AC_SOTIEN,AC_DA,$C12,AC_THANG,U$1,AC_KM,$E12),SUMIFS(TF_SOTIEN,TF_DA,$C12,TF_THANG,U$1,TF_KM,$E12))/ 1000</f>
        <v>0</v>
      </c>
      <c r="V12" s="1223">
        <f>IF(NOW()&gt;=DATE(YEAR(V$1),MONTH(V$1)+1,DAY(V$1)),SUMIFS(AC_SOTIEN,AC_DA,$C12,AC_THANG,V$1,AC_KM,$E12),SUMIFS(TF_SOTIEN,TF_DA,$C12,TF_THANG,V$1,TF_KM,$E12))/ 1000</f>
        <v>0</v>
      </c>
      <c r="W12" s="1223">
        <f>IF(NOW()&gt;=DATE(YEAR(W$1),MONTH(W$1)+1,DAY(W$1)),SUMIFS(AC_SOTIEN,AC_DA,$C12,AC_THANG,W$1,AC_KM,$E12),SUMIFS(TF_SOTIEN,TF_DA,$C12,TF_THANG,W$1,TF_KM,$E12))/ 1000</f>
        <v>0</v>
      </c>
      <c r="X12" s="1223">
        <f>IF(NOW()&gt;=DATE(YEAR(X$1),MONTH(X$1)+1,DAY(X$1)),SUMIFS(AC_SOTIEN,AC_DA,$C12,AC_THANG,X$1,AC_KM,$E12),SUMIFS(TF_SOTIEN,TF_DA,$C12,TF_THANG,X$1,TF_KM,$E12))/ 1000</f>
        <v>0</v>
      </c>
      <c r="Y12" s="1223">
        <f>IF(NOW()&gt;=DATE(YEAR(Y$1),MONTH(Y$1)+1,DAY(Y$1)),SUMIFS(AC_SOTIEN,AC_DA,$C12,AC_THANG,Y$1,AC_KM,$E12),SUMIFS(TF_SOTIEN,TF_DA,$C12,TF_THANG,Y$1,TF_KM,$E12))/ 1000</f>
        <v>0</v>
      </c>
      <c r="Z12" s="1223">
        <f>IF(NOW()&gt;=DATE(YEAR(Z$1),MONTH(Z$1)+1,DAY(Z$1)),SUMIFS(AC_SOTIEN,AC_DA,$C12,AC_THANG,Z$1,AC_KM,$E12),SUMIFS(TF_SOTIEN,TF_DA,$C12,TF_THANG,Z$1,TF_KM,$E12))/ 1000</f>
        <v>0</v>
      </c>
      <c r="AA12" s="1223">
        <f>IF(NOW()&gt;=DATE(YEAR(AA$1),MONTH(AA$1)+1,DAY(AA$1)),SUMIFS(AC_SOTIEN,AC_DA,$C12,AC_THANG,AA$1,AC_KM,$E12),SUMIFS(TF_SOTIEN,TF_DA,$C12,TF_THANG,AA$1,TF_KM,$E12))/ 1000</f>
        <v>0</v>
      </c>
    </row>
    <row r="13">
      <c r="A13" s="1215">
        <f t="shared" si="2"/>
        <v>11</v>
      </c>
      <c r="B13" s="1216" t="s">
        <v>2074</v>
      </c>
      <c r="C13" s="656" t="s">
        <v>530</v>
      </c>
      <c r="D13" s="1216" t="str">
        <f>IF(C13="","", VLOOKUP(C13,DM_DUAN,2,0))</f>
        <v>Nhà vườn sinh thái</v>
      </c>
      <c r="E13" s="1217" t="s">
        <v>198</v>
      </c>
      <c r="F13" s="1218"/>
      <c r="G13" s="1218">
        <v>2.0</v>
      </c>
      <c r="H13" s="1219">
        <f t="shared" si="3"/>
        <v>13959990</v>
      </c>
      <c r="I13" s="1220">
        <f t="shared" si="4"/>
        <v>0.3711930582</v>
      </c>
      <c r="J13" s="1221">
        <f t="shared" si="5"/>
        <v>13959990</v>
      </c>
      <c r="K13" s="1221">
        <f t="shared" si="6"/>
        <v>0</v>
      </c>
      <c r="L13" s="1222">
        <f t="shared" si="7"/>
        <v>5916320</v>
      </c>
      <c r="M13" s="1222">
        <f t="shared" si="8"/>
        <v>8043670</v>
      </c>
      <c r="N13" s="1222">
        <f t="shared" si="9"/>
        <v>0</v>
      </c>
      <c r="O13" s="1222">
        <f t="shared" si="10"/>
        <v>0</v>
      </c>
      <c r="P13" s="1223">
        <f>IF(NOW()&gt;=DATE(YEAR(P$1),MONTH(P$1)+1,DAY(P$1)),SUMIFS(AC_SOTIEN,AC_DA,$C13,AC_THANG,P$1,AC_KM,$E13),SUMIFS(TF_SOTIEN,TF_DA,$C13,TF_THANG,P$1,TF_KM,$E13))/ 1000</f>
        <v>0</v>
      </c>
      <c r="Q13" s="1223">
        <f>IF(NOW()&gt;=DATE(YEAR(Q$1),MONTH(Q$1)+1,DAY(Q$1)),SUMIFS(AC_SOTIEN,AC_DA,$C13,AC_THANG,Q$1,AC_KM,$E13),SUMIFS(TF_SOTIEN,TF_DA,$C13,TF_THANG,Q$1,TF_KM,$E13))/ 1000</f>
        <v>0</v>
      </c>
      <c r="R13" s="1223">
        <f>IF(NOW()&gt;=DATE(YEAR(R$1),MONTH(R$1)+1,DAY(R$1)),SUMIFS(AC_SOTIEN,AC_DA,$C13,AC_THANG,R$1,AC_KM,$E13),SUMIFS(TF_SOTIEN,TF_DA,$C13,TF_THANG,R$1,TF_KM,$E13))/ 1000</f>
        <v>5916320</v>
      </c>
      <c r="S13" s="1223">
        <f>IF(NOW()&gt;=DATE(YEAR(S$1),MONTH(S$1)+1,DAY(S$1)),SUMIFS(AC_SOTIEN,AC_DA,$C13,AC_THANG,S$1,AC_KM,$E13),SUMIFS(TF_SOTIEN,TF_DA,$C13,TF_THANG,S$1,TF_KM,$E13))/ 1000</f>
        <v>8043670</v>
      </c>
      <c r="T13" s="1223">
        <f>IF(NOW()&gt;=DATE(YEAR(T$1),MONTH(T$1)+1,DAY(T$1)),SUMIFS(AC_SOTIEN,AC_DA,$C13,AC_THANG,T$1,AC_KM,$E13),SUMIFS(TF_SOTIEN,TF_DA,$C13,TF_THANG,T$1,TF_KM,$E13))/ 1000</f>
        <v>0</v>
      </c>
      <c r="U13" s="1223">
        <f>IF(NOW()&gt;=DATE(YEAR(U$1),MONTH(U$1)+1,DAY(U$1)),SUMIFS(AC_SOTIEN,AC_DA,$C13,AC_THANG,U$1,AC_KM,$E13),SUMIFS(TF_SOTIEN,TF_DA,$C13,TF_THANG,U$1,TF_KM,$E13))/ 1000</f>
        <v>0</v>
      </c>
      <c r="V13" s="1223">
        <f>IF(NOW()&gt;=DATE(YEAR(V$1),MONTH(V$1)+1,DAY(V$1)),SUMIFS(AC_SOTIEN,AC_DA,$C13,AC_THANG,V$1,AC_KM,$E13),SUMIFS(TF_SOTIEN,TF_DA,$C13,TF_THANG,V$1,TF_KM,$E13))/ 1000</f>
        <v>0</v>
      </c>
      <c r="W13" s="1223">
        <f>IF(NOW()&gt;=DATE(YEAR(W$1),MONTH(W$1)+1,DAY(W$1)),SUMIFS(AC_SOTIEN,AC_DA,$C13,AC_THANG,W$1,AC_KM,$E13),SUMIFS(TF_SOTIEN,TF_DA,$C13,TF_THANG,W$1,TF_KM,$E13))/ 1000</f>
        <v>0</v>
      </c>
      <c r="X13" s="1223">
        <f>IF(NOW()&gt;=DATE(YEAR(X$1),MONTH(X$1)+1,DAY(X$1)),SUMIFS(AC_SOTIEN,AC_DA,$C13,AC_THANG,X$1,AC_KM,$E13),SUMIFS(TF_SOTIEN,TF_DA,$C13,TF_THANG,X$1,TF_KM,$E13))/ 1000</f>
        <v>0</v>
      </c>
      <c r="Y13" s="1223">
        <f>IF(NOW()&gt;=DATE(YEAR(Y$1),MONTH(Y$1)+1,DAY(Y$1)),SUMIFS(AC_SOTIEN,AC_DA,$C13,AC_THANG,Y$1,AC_KM,$E13),SUMIFS(TF_SOTIEN,TF_DA,$C13,TF_THANG,Y$1,TF_KM,$E13))/ 1000</f>
        <v>0</v>
      </c>
      <c r="Z13" s="1223">
        <f>IF(NOW()&gt;=DATE(YEAR(Z$1),MONTH(Z$1)+1,DAY(Z$1)),SUMIFS(AC_SOTIEN,AC_DA,$C13,AC_THANG,Z$1,AC_KM,$E13),SUMIFS(TF_SOTIEN,TF_DA,$C13,TF_THANG,Z$1,TF_KM,$E13))/ 1000</f>
        <v>0</v>
      </c>
      <c r="AA13" s="1223">
        <f>IF(NOW()&gt;=DATE(YEAR(AA$1),MONTH(AA$1)+1,DAY(AA$1)),SUMIFS(AC_SOTIEN,AC_DA,$C13,AC_THANG,AA$1,AC_KM,$E13),SUMIFS(TF_SOTIEN,TF_DA,$C13,TF_THANG,AA$1,TF_KM,$E13))/ 1000</f>
        <v>0</v>
      </c>
    </row>
    <row r="14">
      <c r="A14" s="1215">
        <f t="shared" si="2"/>
        <v>12</v>
      </c>
      <c r="B14" s="1216" t="s">
        <v>2074</v>
      </c>
      <c r="C14" s="656" t="s">
        <v>875</v>
      </c>
      <c r="D14" s="1216" t="str">
        <f>IF(C14="","", VLOOKUP(C14,DM_DUAN,2,0))</f>
        <v>Sản phẩm Long Khánh 2</v>
      </c>
      <c r="E14" s="1217" t="s">
        <v>198</v>
      </c>
      <c r="F14" s="1218"/>
      <c r="G14" s="1218">
        <v>2.0</v>
      </c>
      <c r="H14" s="1219">
        <f t="shared" si="3"/>
        <v>0</v>
      </c>
      <c r="I14" s="1220">
        <f t="shared" si="4"/>
        <v>0</v>
      </c>
      <c r="J14" s="1221">
        <f t="shared" si="5"/>
        <v>0</v>
      </c>
      <c r="K14" s="1221">
        <f t="shared" si="6"/>
        <v>0</v>
      </c>
      <c r="L14" s="1222">
        <f t="shared" si="7"/>
        <v>0</v>
      </c>
      <c r="M14" s="1222">
        <f t="shared" si="8"/>
        <v>0</v>
      </c>
      <c r="N14" s="1222">
        <f t="shared" si="9"/>
        <v>0</v>
      </c>
      <c r="O14" s="1222">
        <f t="shared" si="10"/>
        <v>0</v>
      </c>
      <c r="P14" s="1223">
        <f>IF(NOW()&gt;=DATE(YEAR(P$1),MONTH(P$1)+1,DAY(P$1)),SUMIFS(AC_SOTIEN,AC_DA,$C14,AC_THANG,P$1,AC_KM,$E14),SUMIFS(TF_SOTIEN,TF_DA,$C14,TF_THANG,P$1,TF_KM,$E14))/ 1000</f>
        <v>0</v>
      </c>
      <c r="Q14" s="1223">
        <f>IF(NOW()&gt;=DATE(YEAR(Q$1),MONTH(Q$1)+1,DAY(Q$1)),SUMIFS(AC_SOTIEN,AC_DA,$C14,AC_THANG,Q$1,AC_KM,$E14),SUMIFS(TF_SOTIEN,TF_DA,$C14,TF_THANG,Q$1,TF_KM,$E14))/ 1000</f>
        <v>0</v>
      </c>
      <c r="R14" s="1223">
        <f>IF(NOW()&gt;=DATE(YEAR(R$1),MONTH(R$1)+1,DAY(R$1)),SUMIFS(AC_SOTIEN,AC_DA,$C14,AC_THANG,R$1,AC_KM,$E14),SUMIFS(TF_SOTIEN,TF_DA,$C14,TF_THANG,R$1,TF_KM,$E14))/ 1000</f>
        <v>0</v>
      </c>
      <c r="S14" s="1223">
        <f>IF(NOW()&gt;=DATE(YEAR(S$1),MONTH(S$1)+1,DAY(S$1)),SUMIFS(AC_SOTIEN,AC_DA,$C14,AC_THANG,S$1,AC_KM,$E14),SUMIFS(TF_SOTIEN,TF_DA,$C14,TF_THANG,S$1,TF_KM,$E14))/ 1000</f>
        <v>0</v>
      </c>
      <c r="T14" s="1223">
        <f>IF(NOW()&gt;=DATE(YEAR(T$1),MONTH(T$1)+1,DAY(T$1)),SUMIFS(AC_SOTIEN,AC_DA,$C14,AC_THANG,T$1,AC_KM,$E14),SUMIFS(TF_SOTIEN,TF_DA,$C14,TF_THANG,T$1,TF_KM,$E14))/ 1000</f>
        <v>0</v>
      </c>
      <c r="U14" s="1223">
        <f>IF(NOW()&gt;=DATE(YEAR(U$1),MONTH(U$1)+1,DAY(U$1)),SUMIFS(AC_SOTIEN,AC_DA,$C14,AC_THANG,U$1,AC_KM,$E14),SUMIFS(TF_SOTIEN,TF_DA,$C14,TF_THANG,U$1,TF_KM,$E14))/ 1000</f>
        <v>0</v>
      </c>
      <c r="V14" s="1223">
        <f>IF(NOW()&gt;=DATE(YEAR(V$1),MONTH(V$1)+1,DAY(V$1)),SUMIFS(AC_SOTIEN,AC_DA,$C14,AC_THANG,V$1,AC_KM,$E14),SUMIFS(TF_SOTIEN,TF_DA,$C14,TF_THANG,V$1,TF_KM,$E14))/ 1000</f>
        <v>0</v>
      </c>
      <c r="W14" s="1223">
        <f>IF(NOW()&gt;=DATE(YEAR(W$1),MONTH(W$1)+1,DAY(W$1)),SUMIFS(AC_SOTIEN,AC_DA,$C14,AC_THANG,W$1,AC_KM,$E14),SUMIFS(TF_SOTIEN,TF_DA,$C14,TF_THANG,W$1,TF_KM,$E14))/ 1000</f>
        <v>0</v>
      </c>
      <c r="X14" s="1223">
        <f>IF(NOW()&gt;=DATE(YEAR(X$1),MONTH(X$1)+1,DAY(X$1)),SUMIFS(AC_SOTIEN,AC_DA,$C14,AC_THANG,X$1,AC_KM,$E14),SUMIFS(TF_SOTIEN,TF_DA,$C14,TF_THANG,X$1,TF_KM,$E14))/ 1000</f>
        <v>0</v>
      </c>
      <c r="Y14" s="1223">
        <f>IF(NOW()&gt;=DATE(YEAR(Y$1),MONTH(Y$1)+1,DAY(Y$1)),SUMIFS(AC_SOTIEN,AC_DA,$C14,AC_THANG,Y$1,AC_KM,$E14),SUMIFS(TF_SOTIEN,TF_DA,$C14,TF_THANG,Y$1,TF_KM,$E14))/ 1000</f>
        <v>0</v>
      </c>
      <c r="Z14" s="1223">
        <f>IF(NOW()&gt;=DATE(YEAR(Z$1),MONTH(Z$1)+1,DAY(Z$1)),SUMIFS(AC_SOTIEN,AC_DA,$C14,AC_THANG,Z$1,AC_KM,$E14),SUMIFS(TF_SOTIEN,TF_DA,$C14,TF_THANG,Z$1,TF_KM,$E14))/ 1000</f>
        <v>0</v>
      </c>
      <c r="AA14" s="1223">
        <f>IF(NOW()&gt;=DATE(YEAR(AA$1),MONTH(AA$1)+1,DAY(AA$1)),SUMIFS(AC_SOTIEN,AC_DA,$C14,AC_THANG,AA$1,AC_KM,$E14),SUMIFS(TF_SOTIEN,TF_DA,$C14,TF_THANG,AA$1,TF_KM,$E14))/ 1000</f>
        <v>0</v>
      </c>
    </row>
    <row r="15">
      <c r="A15" s="1215">
        <f t="shared" si="2"/>
        <v>13</v>
      </c>
      <c r="B15" s="1216" t="s">
        <v>2074</v>
      </c>
      <c r="C15" s="656" t="s">
        <v>636</v>
      </c>
      <c r="D15" s="1216" t="str">
        <f>IF(C15="","", VLOOKUP(C15,DM_DUAN,2,0))</f>
        <v>Sản phẩm Long Khánh 3</v>
      </c>
      <c r="E15" s="1217" t="s">
        <v>198</v>
      </c>
      <c r="F15" s="1218"/>
      <c r="G15" s="1218">
        <v>2.0</v>
      </c>
      <c r="H15" s="1219">
        <f t="shared" si="3"/>
        <v>2244000</v>
      </c>
      <c r="I15" s="1220">
        <f t="shared" si="4"/>
        <v>0.05966746556</v>
      </c>
      <c r="J15" s="1221">
        <f t="shared" si="5"/>
        <v>2244000</v>
      </c>
      <c r="K15" s="1221">
        <f t="shared" si="6"/>
        <v>0</v>
      </c>
      <c r="L15" s="1222">
        <f t="shared" si="7"/>
        <v>0</v>
      </c>
      <c r="M15" s="1222">
        <f t="shared" si="8"/>
        <v>2244000</v>
      </c>
      <c r="N15" s="1222">
        <f t="shared" si="9"/>
        <v>0</v>
      </c>
      <c r="O15" s="1222">
        <f t="shared" si="10"/>
        <v>0</v>
      </c>
      <c r="P15" s="1223">
        <f>IF(NOW()&gt;=DATE(YEAR(P$1),MONTH(P$1)+1,DAY(P$1)),SUMIFS(AC_SOTIEN,AC_DA,$C15,AC_THANG,P$1,AC_KM,$E15),SUMIFS(TF_SOTIEN,TF_DA,$C15,TF_THANG,P$1,TF_KM,$E15))/ 1000</f>
        <v>0</v>
      </c>
      <c r="Q15" s="1223">
        <f>IF(NOW()&gt;=DATE(YEAR(Q$1),MONTH(Q$1)+1,DAY(Q$1)),SUMIFS(AC_SOTIEN,AC_DA,$C15,AC_THANG,Q$1,AC_KM,$E15),SUMIFS(TF_SOTIEN,TF_DA,$C15,TF_THANG,Q$1,TF_KM,$E15))/ 1000</f>
        <v>0</v>
      </c>
      <c r="R15" s="1223">
        <f>IF(NOW()&gt;=DATE(YEAR(R$1),MONTH(R$1)+1,DAY(R$1)),SUMIFS(AC_SOTIEN,AC_DA,$C15,AC_THANG,R$1,AC_KM,$E15),SUMIFS(TF_SOTIEN,TF_DA,$C15,TF_THANG,R$1,TF_KM,$E15))/ 1000</f>
        <v>0</v>
      </c>
      <c r="S15" s="1223">
        <f>IF(NOW()&gt;=DATE(YEAR(S$1),MONTH(S$1)+1,DAY(S$1)),SUMIFS(AC_SOTIEN,AC_DA,$C15,AC_THANG,S$1,AC_KM,$E15),SUMIFS(TF_SOTIEN,TF_DA,$C15,TF_THANG,S$1,TF_KM,$E15))/ 1000</f>
        <v>2244000</v>
      </c>
      <c r="T15" s="1223">
        <f>IF(NOW()&gt;=DATE(YEAR(T$1),MONTH(T$1)+1,DAY(T$1)),SUMIFS(AC_SOTIEN,AC_DA,$C15,AC_THANG,T$1,AC_KM,$E15),SUMIFS(TF_SOTIEN,TF_DA,$C15,TF_THANG,T$1,TF_KM,$E15))/ 1000</f>
        <v>0</v>
      </c>
      <c r="U15" s="1223">
        <f>IF(NOW()&gt;=DATE(YEAR(U$1),MONTH(U$1)+1,DAY(U$1)),SUMIFS(AC_SOTIEN,AC_DA,$C15,AC_THANG,U$1,AC_KM,$E15),SUMIFS(TF_SOTIEN,TF_DA,$C15,TF_THANG,U$1,TF_KM,$E15))/ 1000</f>
        <v>0</v>
      </c>
      <c r="V15" s="1223">
        <f>IF(NOW()&gt;=DATE(YEAR(V$1),MONTH(V$1)+1,DAY(V$1)),SUMIFS(AC_SOTIEN,AC_DA,$C15,AC_THANG,V$1,AC_KM,$E15),SUMIFS(TF_SOTIEN,TF_DA,$C15,TF_THANG,V$1,TF_KM,$E15))/ 1000</f>
        <v>0</v>
      </c>
      <c r="W15" s="1223">
        <f>IF(NOW()&gt;=DATE(YEAR(W$1),MONTH(W$1)+1,DAY(W$1)),SUMIFS(AC_SOTIEN,AC_DA,$C15,AC_THANG,W$1,AC_KM,$E15),SUMIFS(TF_SOTIEN,TF_DA,$C15,TF_THANG,W$1,TF_KM,$E15))/ 1000</f>
        <v>0</v>
      </c>
      <c r="X15" s="1223">
        <f>IF(NOW()&gt;=DATE(YEAR(X$1),MONTH(X$1)+1,DAY(X$1)),SUMIFS(AC_SOTIEN,AC_DA,$C15,AC_THANG,X$1,AC_KM,$E15),SUMIFS(TF_SOTIEN,TF_DA,$C15,TF_THANG,X$1,TF_KM,$E15))/ 1000</f>
        <v>0</v>
      </c>
      <c r="Y15" s="1223">
        <f>IF(NOW()&gt;=DATE(YEAR(Y$1),MONTH(Y$1)+1,DAY(Y$1)),SUMIFS(AC_SOTIEN,AC_DA,$C15,AC_THANG,Y$1,AC_KM,$E15),SUMIFS(TF_SOTIEN,TF_DA,$C15,TF_THANG,Y$1,TF_KM,$E15))/ 1000</f>
        <v>0</v>
      </c>
      <c r="Z15" s="1223">
        <f>IF(NOW()&gt;=DATE(YEAR(Z$1),MONTH(Z$1)+1,DAY(Z$1)),SUMIFS(AC_SOTIEN,AC_DA,$C15,AC_THANG,Z$1,AC_KM,$E15),SUMIFS(TF_SOTIEN,TF_DA,$C15,TF_THANG,Z$1,TF_KM,$E15))/ 1000</f>
        <v>0</v>
      </c>
      <c r="AA15" s="1223">
        <f>IF(NOW()&gt;=DATE(YEAR(AA$1),MONTH(AA$1)+1,DAY(AA$1)),SUMIFS(AC_SOTIEN,AC_DA,$C15,AC_THANG,AA$1,AC_KM,$E15),SUMIFS(TF_SOTIEN,TF_DA,$C15,TF_THANG,AA$1,TF_KM,$E15))/ 1000</f>
        <v>0</v>
      </c>
    </row>
    <row r="16">
      <c r="A16" s="1215">
        <f t="shared" si="2"/>
        <v>14</v>
      </c>
      <c r="B16" s="1216" t="s">
        <v>2074</v>
      </c>
      <c r="C16" s="656" t="s">
        <v>956</v>
      </c>
      <c r="D16" s="1216" t="str">
        <f>IF(C16="","", VLOOKUP(C16,DM_DUAN,2,0))</f>
        <v>KDC Lộc Ngãi</v>
      </c>
      <c r="E16" s="1217" t="s">
        <v>198</v>
      </c>
      <c r="F16" s="1218"/>
      <c r="G16" s="1218">
        <v>2.0</v>
      </c>
      <c r="H16" s="1219">
        <f t="shared" si="3"/>
        <v>5081300</v>
      </c>
      <c r="I16" s="1220">
        <f t="shared" si="4"/>
        <v>0.1351106474</v>
      </c>
      <c r="J16" s="1221">
        <f t="shared" si="5"/>
        <v>5081300</v>
      </c>
      <c r="K16" s="1221">
        <f t="shared" si="6"/>
        <v>0</v>
      </c>
      <c r="L16" s="1222">
        <f t="shared" si="7"/>
        <v>0</v>
      </c>
      <c r="M16" s="1222">
        <f t="shared" si="8"/>
        <v>5081300</v>
      </c>
      <c r="N16" s="1222">
        <f t="shared" si="9"/>
        <v>0</v>
      </c>
      <c r="O16" s="1222">
        <f t="shared" si="10"/>
        <v>0</v>
      </c>
      <c r="P16" s="1223">
        <f>IF(NOW()&gt;=DATE(YEAR(P$1),MONTH(P$1)+1,DAY(P$1)),SUMIFS(AC_SOTIEN,AC_DA,$C16,AC_THANG,P$1,AC_KM,$E16),SUMIFS(TF_SOTIEN,TF_DA,$C16,TF_THANG,P$1,TF_KM,$E16))/ 1000</f>
        <v>0</v>
      </c>
      <c r="Q16" s="1223">
        <f>IF(NOW()&gt;=DATE(YEAR(Q$1),MONTH(Q$1)+1,DAY(Q$1)),SUMIFS(AC_SOTIEN,AC_DA,$C16,AC_THANG,Q$1,AC_KM,$E16),SUMIFS(TF_SOTIEN,TF_DA,$C16,TF_THANG,Q$1,TF_KM,$E16))/ 1000</f>
        <v>0</v>
      </c>
      <c r="R16" s="1223">
        <f>IF(NOW()&gt;=DATE(YEAR(R$1),MONTH(R$1)+1,DAY(R$1)),SUMIFS(AC_SOTIEN,AC_DA,$C16,AC_THANG,R$1,AC_KM,$E16),SUMIFS(TF_SOTIEN,TF_DA,$C16,TF_THANG,R$1,TF_KM,$E16))/ 1000</f>
        <v>0</v>
      </c>
      <c r="S16" s="1223">
        <f>IF(NOW()&gt;=DATE(YEAR(S$1),MONTH(S$1)+1,DAY(S$1)),SUMIFS(AC_SOTIEN,AC_DA,$C16,AC_THANG,S$1,AC_KM,$E16),SUMIFS(TF_SOTIEN,TF_DA,$C16,TF_THANG,S$1,TF_KM,$E16))/ 1000</f>
        <v>0</v>
      </c>
      <c r="T16" s="1223">
        <f>IF(NOW()&gt;=DATE(YEAR(T$1),MONTH(T$1)+1,DAY(T$1)),SUMIFS(AC_SOTIEN,AC_DA,$C16,AC_THANG,T$1,AC_KM,$E16),SUMIFS(TF_SOTIEN,TF_DA,$C16,TF_THANG,T$1,TF_KM,$E16))/ 1000</f>
        <v>3863100</v>
      </c>
      <c r="U16" s="1223">
        <f>IF(NOW()&gt;=DATE(YEAR(U$1),MONTH(U$1)+1,DAY(U$1)),SUMIFS(AC_SOTIEN,AC_DA,$C16,AC_THANG,U$1,AC_KM,$E16),SUMIFS(TF_SOTIEN,TF_DA,$C16,TF_THANG,U$1,TF_KM,$E16))/ 1000</f>
        <v>1218200</v>
      </c>
      <c r="V16" s="1223">
        <f>IF(NOW()&gt;=DATE(YEAR(V$1),MONTH(V$1)+1,DAY(V$1)),SUMIFS(AC_SOTIEN,AC_DA,$C16,AC_THANG,V$1,AC_KM,$E16),SUMIFS(TF_SOTIEN,TF_DA,$C16,TF_THANG,V$1,TF_KM,$E16))/ 1000</f>
        <v>0</v>
      </c>
      <c r="W16" s="1223">
        <f>IF(NOW()&gt;=DATE(YEAR(W$1),MONTH(W$1)+1,DAY(W$1)),SUMIFS(AC_SOTIEN,AC_DA,$C16,AC_THANG,W$1,AC_KM,$E16),SUMIFS(TF_SOTIEN,TF_DA,$C16,TF_THANG,W$1,TF_KM,$E16))/ 1000</f>
        <v>0</v>
      </c>
      <c r="X16" s="1223">
        <f>IF(NOW()&gt;=DATE(YEAR(X$1),MONTH(X$1)+1,DAY(X$1)),SUMIFS(AC_SOTIEN,AC_DA,$C16,AC_THANG,X$1,AC_KM,$E16),SUMIFS(TF_SOTIEN,TF_DA,$C16,TF_THANG,X$1,TF_KM,$E16))/ 1000</f>
        <v>0</v>
      </c>
      <c r="Y16" s="1223">
        <f>IF(NOW()&gt;=DATE(YEAR(Y$1),MONTH(Y$1)+1,DAY(Y$1)),SUMIFS(AC_SOTIEN,AC_DA,$C16,AC_THANG,Y$1,AC_KM,$E16),SUMIFS(TF_SOTIEN,TF_DA,$C16,TF_THANG,Y$1,TF_KM,$E16))/ 1000</f>
        <v>0</v>
      </c>
      <c r="Z16" s="1223">
        <f>IF(NOW()&gt;=DATE(YEAR(Z$1),MONTH(Z$1)+1,DAY(Z$1)),SUMIFS(AC_SOTIEN,AC_DA,$C16,AC_THANG,Z$1,AC_KM,$E16),SUMIFS(TF_SOTIEN,TF_DA,$C16,TF_THANG,Z$1,TF_KM,$E16))/ 1000</f>
        <v>0</v>
      </c>
      <c r="AA16" s="1223">
        <f>IF(NOW()&gt;=DATE(YEAR(AA$1),MONTH(AA$1)+1,DAY(AA$1)),SUMIFS(AC_SOTIEN,AC_DA,$C16,AC_THANG,AA$1,AC_KM,$E16),SUMIFS(TF_SOTIEN,TF_DA,$C16,TF_THANG,AA$1,TF_KM,$E16))/ 1000</f>
        <v>0</v>
      </c>
    </row>
    <row r="17">
      <c r="A17" s="1224" t="str">
        <f t="shared" si="2"/>
        <v/>
      </c>
      <c r="B17" s="1225"/>
      <c r="C17" s="1087"/>
      <c r="D17" s="1225" t="str">
        <f>IF(C17="","", VLOOKUP(C17,DM_DUAN,2,0))</f>
        <v/>
      </c>
      <c r="E17" s="1226" t="s">
        <v>198</v>
      </c>
      <c r="F17" s="1227"/>
      <c r="G17" s="1227">
        <v>2.0</v>
      </c>
      <c r="H17" s="1219">
        <f t="shared" si="3"/>
        <v>0</v>
      </c>
      <c r="I17" s="1220">
        <f t="shared" si="4"/>
        <v>0</v>
      </c>
      <c r="J17" s="1221">
        <f t="shared" si="5"/>
        <v>0</v>
      </c>
      <c r="K17" s="1221">
        <f t="shared" si="6"/>
        <v>0</v>
      </c>
      <c r="L17" s="1222">
        <f t="shared" si="7"/>
        <v>0</v>
      </c>
      <c r="M17" s="1222">
        <f t="shared" si="8"/>
        <v>0</v>
      </c>
      <c r="N17" s="1222">
        <f t="shared" si="9"/>
        <v>0</v>
      </c>
      <c r="O17" s="1222">
        <f t="shared" si="10"/>
        <v>0</v>
      </c>
      <c r="P17" s="1223">
        <f>IF(NOW()&gt;=DATE(YEAR(P$1),MONTH(P$1)+1,DAY(P$1)),SUMIFS(AC_SOTIEN,AC_DA,$C17,AC_THANG,P$1,AC_KM,$E17),SUMIFS(TF_SOTIEN,TF_DA,$C17,TF_THANG,P$1,TF_KM,$E17))/ 1000</f>
        <v>0</v>
      </c>
      <c r="Q17" s="1223">
        <f>IF(NOW()&gt;=DATE(YEAR(Q$1),MONTH(Q$1)+1,DAY(Q$1)),SUMIFS(AC_SOTIEN,AC_DA,$C17,AC_THANG,Q$1,AC_KM,$E17),SUMIFS(TF_SOTIEN,TF_DA,$C17,TF_THANG,Q$1,TF_KM,$E17))/ 1000</f>
        <v>0</v>
      </c>
      <c r="R17" s="1223">
        <f>IF(NOW()&gt;=DATE(YEAR(R$1),MONTH(R$1)+1,DAY(R$1)),SUMIFS(AC_SOTIEN,AC_DA,$C17,AC_THANG,R$1,AC_KM,$E17),SUMIFS(TF_SOTIEN,TF_DA,$C17,TF_THANG,R$1,TF_KM,$E17))/ 1000</f>
        <v>0</v>
      </c>
      <c r="S17" s="1223">
        <f>IF(NOW()&gt;=DATE(YEAR(S$1),MONTH(S$1)+1,DAY(S$1)),SUMIFS(AC_SOTIEN,AC_DA,$C17,AC_THANG,S$1,AC_KM,$E17),SUMIFS(TF_SOTIEN,TF_DA,$C17,TF_THANG,S$1,TF_KM,$E17))/ 1000</f>
        <v>0</v>
      </c>
      <c r="T17" s="1223">
        <f>IF(NOW()&gt;=DATE(YEAR(T$1),MONTH(T$1)+1,DAY(T$1)),SUMIFS(AC_SOTIEN,AC_DA,$C17,AC_THANG,T$1,AC_KM,$E17),SUMIFS(TF_SOTIEN,TF_DA,$C17,TF_THANG,T$1,TF_KM,$E17))/ 1000</f>
        <v>0</v>
      </c>
      <c r="U17" s="1223">
        <f>IF(NOW()&gt;=DATE(YEAR(U$1),MONTH(U$1)+1,DAY(U$1)),SUMIFS(AC_SOTIEN,AC_DA,$C17,AC_THANG,U$1,AC_KM,$E17),SUMIFS(TF_SOTIEN,TF_DA,$C17,TF_THANG,U$1,TF_KM,$E17))/ 1000</f>
        <v>0</v>
      </c>
      <c r="V17" s="1223">
        <f>IF(NOW()&gt;=DATE(YEAR(V$1),MONTH(V$1)+1,DAY(V$1)),SUMIFS(AC_SOTIEN,AC_DA,$C17,AC_THANG,V$1,AC_KM,$E17),SUMIFS(TF_SOTIEN,TF_DA,$C17,TF_THANG,V$1,TF_KM,$E17))/ 1000</f>
        <v>0</v>
      </c>
      <c r="W17" s="1223">
        <f>IF(NOW()&gt;=DATE(YEAR(W$1),MONTH(W$1)+1,DAY(W$1)),SUMIFS(AC_SOTIEN,AC_DA,$C17,AC_THANG,W$1,AC_KM,$E17),SUMIFS(TF_SOTIEN,TF_DA,$C17,TF_THANG,W$1,TF_KM,$E17))/ 1000</f>
        <v>0</v>
      </c>
      <c r="X17" s="1223">
        <f>IF(NOW()&gt;=DATE(YEAR(X$1),MONTH(X$1)+1,DAY(X$1)),SUMIFS(AC_SOTIEN,AC_DA,$C17,AC_THANG,X$1,AC_KM,$E17),SUMIFS(TF_SOTIEN,TF_DA,$C17,TF_THANG,X$1,TF_KM,$E17))/ 1000</f>
        <v>0</v>
      </c>
      <c r="Y17" s="1223">
        <f>IF(NOW()&gt;=DATE(YEAR(Y$1),MONTH(Y$1)+1,DAY(Y$1)),SUMIFS(AC_SOTIEN,AC_DA,$C17,AC_THANG,Y$1,AC_KM,$E17),SUMIFS(TF_SOTIEN,TF_DA,$C17,TF_THANG,Y$1,TF_KM,$E17))/ 1000</f>
        <v>0</v>
      </c>
      <c r="Z17" s="1223">
        <f>IF(NOW()&gt;=DATE(YEAR(Z$1),MONTH(Z$1)+1,DAY(Z$1)),SUMIFS(AC_SOTIEN,AC_DA,$C17,AC_THANG,Z$1,AC_KM,$E17),SUMIFS(TF_SOTIEN,TF_DA,$C17,TF_THANG,Z$1,TF_KM,$E17))/ 1000</f>
        <v>0</v>
      </c>
      <c r="AA17" s="1223">
        <f>IF(NOW()&gt;=DATE(YEAR(AA$1),MONTH(AA$1)+1,DAY(AA$1)),SUMIFS(AC_SOTIEN,AC_DA,$C17,AC_THANG,AA$1,AC_KM,$E17),SUMIFS(TF_SOTIEN,TF_DA,$C17,TF_THANG,AA$1,TF_KM,$E17))/ 1000</f>
        <v>0</v>
      </c>
    </row>
    <row r="18">
      <c r="A18" s="1228" t="s">
        <v>2822</v>
      </c>
      <c r="B18" s="1212"/>
      <c r="C18" s="1212"/>
      <c r="D18" s="1212"/>
      <c r="E18" s="1213"/>
      <c r="F18" s="1212"/>
      <c r="G18" s="1212"/>
      <c r="H18" s="1214">
        <f>SUM(H19:H33)</f>
        <v>4344612</v>
      </c>
      <c r="I18" s="1214">
        <f>IF(H$2=0,"",H18/H$2)</f>
        <v>0.1155222758</v>
      </c>
      <c r="J18" s="1214">
        <f t="shared" ref="J18:AA18" si="11">SUM(J19:J33)</f>
        <v>4344612</v>
      </c>
      <c r="K18" s="1214">
        <f t="shared" si="11"/>
        <v>0</v>
      </c>
      <c r="L18" s="1214">
        <f t="shared" si="11"/>
        <v>1188000</v>
      </c>
      <c r="M18" s="1214">
        <f t="shared" si="11"/>
        <v>3156612</v>
      </c>
      <c r="N18" s="1214">
        <f t="shared" si="11"/>
        <v>0</v>
      </c>
      <c r="O18" s="1214">
        <f t="shared" si="11"/>
        <v>0</v>
      </c>
      <c r="P18" s="1214">
        <f t="shared" si="11"/>
        <v>340000</v>
      </c>
      <c r="Q18" s="1214">
        <f t="shared" si="11"/>
        <v>180000</v>
      </c>
      <c r="R18" s="1214">
        <f t="shared" si="11"/>
        <v>668000</v>
      </c>
      <c r="S18" s="1214">
        <f t="shared" si="11"/>
        <v>2601040</v>
      </c>
      <c r="T18" s="1214">
        <f t="shared" si="11"/>
        <v>555572</v>
      </c>
      <c r="U18" s="1214">
        <f t="shared" si="11"/>
        <v>0</v>
      </c>
      <c r="V18" s="1214">
        <f t="shared" si="11"/>
        <v>0</v>
      </c>
      <c r="W18" s="1214">
        <f t="shared" si="11"/>
        <v>0</v>
      </c>
      <c r="X18" s="1214">
        <f t="shared" si="11"/>
        <v>0</v>
      </c>
      <c r="Y18" s="1214">
        <f t="shared" si="11"/>
        <v>0</v>
      </c>
      <c r="Z18" s="1214">
        <f t="shared" si="11"/>
        <v>0</v>
      </c>
      <c r="AA18" s="1214">
        <f t="shared" si="11"/>
        <v>0</v>
      </c>
    </row>
    <row r="19">
      <c r="A19" s="1215">
        <f t="shared" ref="A19:A33" si="12">IF(C19="","",COUNTA(D$19:D19))</f>
        <v>1</v>
      </c>
      <c r="B19" s="1216" t="s">
        <v>2066</v>
      </c>
      <c r="C19" s="1087" t="s">
        <v>215</v>
      </c>
      <c r="D19" s="1216" t="str">
        <f>IF(C19="","", VLOOKUP(C19,DM_DUAN,2,0))</f>
        <v>Phước Đông Garden</v>
      </c>
      <c r="E19" s="1229" t="s">
        <v>187</v>
      </c>
      <c r="F19" s="1218">
        <v>511.0</v>
      </c>
      <c r="G19" s="1218">
        <v>2.0</v>
      </c>
      <c r="H19" s="1219">
        <f t="shared" ref="H19:H33" si="13">SUM(J19:K19)</f>
        <v>0</v>
      </c>
      <c r="I19" s="1220">
        <f t="shared" ref="I19:I33" si="14">IFERROR(H19/$H$18,"")</f>
        <v>0</v>
      </c>
      <c r="J19" s="1221">
        <f t="shared" ref="J19:J33" si="15">SUM(L19:M19)</f>
        <v>0</v>
      </c>
      <c r="K19" s="1221">
        <f t="shared" ref="K19:K33" si="16">SUM(N19:O19)</f>
        <v>0</v>
      </c>
      <c r="L19" s="1222">
        <f t="shared" ref="L19:L33" si="17">SUM(P19:R19)</f>
        <v>0</v>
      </c>
      <c r="M19" s="1222">
        <f t="shared" ref="M19:M33" si="18">SUM(S19:U19)</f>
        <v>0</v>
      </c>
      <c r="N19" s="1222">
        <f t="shared" ref="N19:N33" si="19">SUM(V19:X19)</f>
        <v>0</v>
      </c>
      <c r="O19" s="1222">
        <f t="shared" ref="O19:O33" si="20">SUM(Y19:AA19)</f>
        <v>0</v>
      </c>
      <c r="P19" s="1223">
        <f>IF(NOW()&gt;=DATE(YEAR(P$1),MONTH(P$1)+1,DAY(P$1)),SUMIFS(AC_SOTIEN,AC_DA,$C19,AC_THANG,P$1,AC_KM,$E19),SUMIFS(TF_SOTIEN,TF_DA,$C19,TF_THANG,P$1,TF_KM,$E19))/ 1000</f>
        <v>0</v>
      </c>
      <c r="Q19" s="1223">
        <f>IF(NOW()&gt;=DATE(YEAR(Q$1),MONTH(Q$1)+1,DAY(Q$1)),SUMIFS(AC_SOTIEN,AC_DA,$C19,AC_THANG,Q$1,AC_KM,$E19),SUMIFS(TF_SOTIEN,TF_DA,$C19,TF_THANG,Q$1,TF_KM,$E19))/ 1000</f>
        <v>0</v>
      </c>
      <c r="R19" s="1223">
        <f>IF(NOW()&gt;=DATE(YEAR(R$1),MONTH(R$1)+1,DAY(R$1)),SUMIFS(AC_SOTIEN,AC_DA,$C19,AC_THANG,R$1,AC_KM,$E19),SUMIFS(TF_SOTIEN,TF_DA,$C19,TF_THANG,R$1,TF_KM,$E19))/ 1000</f>
        <v>0</v>
      </c>
      <c r="S19" s="1223">
        <f>IF(NOW()&gt;=DATE(YEAR(S$1),MONTH(S$1)+1,DAY(S$1)),SUMIFS(AC_SOTIEN,AC_DA,$C19,AC_THANG,S$1,AC_KM,$E19),SUMIFS(TF_SOTIEN,TF_DA,$C19,TF_THANG,S$1,TF_KM,$E19))/ 1000</f>
        <v>0</v>
      </c>
      <c r="T19" s="1223">
        <f>IF(NOW()&gt;=DATE(YEAR(T$1),MONTH(T$1)+1,DAY(T$1)),SUMIFS(AC_SOTIEN,AC_DA,$C19,AC_THANG,T$1,AC_KM,$E19),SUMIFS(TF_SOTIEN,TF_DA,$C19,TF_THANG,T$1,TF_KM,$E19))/ 1000</f>
        <v>0</v>
      </c>
      <c r="U19" s="1223">
        <f>IF(NOW()&gt;=DATE(YEAR(U$1),MONTH(U$1)+1,DAY(U$1)),SUMIFS(AC_SOTIEN,AC_DA,$C19,AC_THANG,U$1,AC_KM,$E19),SUMIFS(TF_SOTIEN,TF_DA,$C19,TF_THANG,U$1,TF_KM,$E19))/ 1000</f>
        <v>0</v>
      </c>
      <c r="V19" s="1223">
        <f>IF(NOW()&gt;=DATE(YEAR(V$1),MONTH(V$1)+1,DAY(V$1)),SUMIFS(AC_SOTIEN,AC_DA,$C19,AC_THANG,V$1,AC_KM,$E19),SUMIFS(TF_SOTIEN,TF_DA,$C19,TF_THANG,V$1,TF_KM,$E19))/ 1000</f>
        <v>0</v>
      </c>
      <c r="W19" s="1223">
        <f>IF(NOW()&gt;=DATE(YEAR(W$1),MONTH(W$1)+1,DAY(W$1)),SUMIFS(AC_SOTIEN,AC_DA,$C19,AC_THANG,W$1,AC_KM,$E19),SUMIFS(TF_SOTIEN,TF_DA,$C19,TF_THANG,W$1,TF_KM,$E19))/ 1000</f>
        <v>0</v>
      </c>
      <c r="X19" s="1223">
        <f>IF(NOW()&gt;=DATE(YEAR(X$1),MONTH(X$1)+1,DAY(X$1)),SUMIFS(AC_SOTIEN,AC_DA,$C19,AC_THANG,X$1,AC_KM,$E19),SUMIFS(TF_SOTIEN,TF_DA,$C19,TF_THANG,X$1,TF_KM,$E19))/ 1000</f>
        <v>0</v>
      </c>
      <c r="Y19" s="1223">
        <f>IF(NOW()&gt;=DATE(YEAR(Y$1),MONTH(Y$1)+1,DAY(Y$1)),SUMIFS(AC_SOTIEN,AC_DA,$C19,AC_THANG,Y$1,AC_KM,$E19),SUMIFS(TF_SOTIEN,TF_DA,$C19,TF_THANG,Y$1,TF_KM,$E19))/ 1000</f>
        <v>0</v>
      </c>
      <c r="Z19" s="1223">
        <f>IF(NOW()&gt;=DATE(YEAR(Z$1),MONTH(Z$1)+1,DAY(Z$1)),SUMIFS(AC_SOTIEN,AC_DA,$C19,AC_THANG,Z$1,AC_KM,$E19),SUMIFS(TF_SOTIEN,TF_DA,$C19,TF_THANG,Z$1,TF_KM,$E19))/ 1000</f>
        <v>0</v>
      </c>
      <c r="AA19" s="1223">
        <f>IF(NOW()&gt;=DATE(YEAR(AA$1),MONTH(AA$1)+1,DAY(AA$1)),SUMIFS(AC_SOTIEN,AC_DA,$C19,AC_THANG,AA$1,AC_KM,$E19),SUMIFS(TF_SOTIEN,TF_DA,$C19,TF_THANG,AA$1,TF_KM,$E19))/ 1000</f>
        <v>0</v>
      </c>
    </row>
    <row r="20">
      <c r="A20" s="1215">
        <f t="shared" si="12"/>
        <v>2</v>
      </c>
      <c r="B20" s="1216" t="s">
        <v>2067</v>
      </c>
      <c r="C20" s="1087" t="s">
        <v>404</v>
      </c>
      <c r="D20" s="1216" t="str">
        <f>IF(C20="","", VLOOKUP(C20,DM_DUAN,2,0))</f>
        <v>Hamil ton Garden</v>
      </c>
      <c r="E20" s="1229" t="s">
        <v>187</v>
      </c>
      <c r="F20" s="1218">
        <v>511.0</v>
      </c>
      <c r="G20" s="1218">
        <v>2.0</v>
      </c>
      <c r="H20" s="1219">
        <f t="shared" si="13"/>
        <v>0</v>
      </c>
      <c r="I20" s="1220">
        <f t="shared" si="14"/>
        <v>0</v>
      </c>
      <c r="J20" s="1221">
        <f t="shared" si="15"/>
        <v>0</v>
      </c>
      <c r="K20" s="1221">
        <f t="shared" si="16"/>
        <v>0</v>
      </c>
      <c r="L20" s="1222">
        <f t="shared" si="17"/>
        <v>0</v>
      </c>
      <c r="M20" s="1222">
        <f t="shared" si="18"/>
        <v>0</v>
      </c>
      <c r="N20" s="1222">
        <f t="shared" si="19"/>
        <v>0</v>
      </c>
      <c r="O20" s="1222">
        <f t="shared" si="20"/>
        <v>0</v>
      </c>
      <c r="P20" s="1223">
        <f>IF(NOW()&gt;=DATE(YEAR(P$1),MONTH(P$1)+1,DAY(P$1)),SUMIFS(AC_SOTIEN,AC_DA,$C20,AC_THANG,P$1,AC_KM,$E20),SUMIFS(TF_SOTIEN,TF_DA,$C20,TF_THANG,P$1,TF_KM,$E20))/ 1000</f>
        <v>0</v>
      </c>
      <c r="Q20" s="1223">
        <f>IF(NOW()&gt;=DATE(YEAR(Q$1),MONTH(Q$1)+1,DAY(Q$1)),SUMIFS(AC_SOTIEN,AC_DA,$C20,AC_THANG,Q$1,AC_KM,$E20),SUMIFS(TF_SOTIEN,TF_DA,$C20,TF_THANG,Q$1,TF_KM,$E20))/ 1000</f>
        <v>0</v>
      </c>
      <c r="R20" s="1223">
        <f>IF(NOW()&gt;=DATE(YEAR(R$1),MONTH(R$1)+1,DAY(R$1)),SUMIFS(AC_SOTIEN,AC_DA,$C20,AC_THANG,R$1,AC_KM,$E20),SUMIFS(TF_SOTIEN,TF_DA,$C20,TF_THANG,R$1,TF_KM,$E20))/ 1000</f>
        <v>0</v>
      </c>
      <c r="S20" s="1223">
        <f>IF(NOW()&gt;=DATE(YEAR(S$1),MONTH(S$1)+1,DAY(S$1)),SUMIFS(AC_SOTIEN,AC_DA,$C20,AC_THANG,S$1,AC_KM,$E20),SUMIFS(TF_SOTIEN,TF_DA,$C20,TF_THANG,S$1,TF_KM,$E20))/ 1000</f>
        <v>0</v>
      </c>
      <c r="T20" s="1223">
        <f>IF(NOW()&gt;=DATE(YEAR(T$1),MONTH(T$1)+1,DAY(T$1)),SUMIFS(AC_SOTIEN,AC_DA,$C20,AC_THANG,T$1,AC_KM,$E20),SUMIFS(TF_SOTIEN,TF_DA,$C20,TF_THANG,T$1,TF_KM,$E20))/ 1000</f>
        <v>0</v>
      </c>
      <c r="U20" s="1223">
        <f>IF(NOW()&gt;=DATE(YEAR(U$1),MONTH(U$1)+1,DAY(U$1)),SUMIFS(AC_SOTIEN,AC_DA,$C20,AC_THANG,U$1,AC_KM,$E20),SUMIFS(TF_SOTIEN,TF_DA,$C20,TF_THANG,U$1,TF_KM,$E20))/ 1000</f>
        <v>0</v>
      </c>
      <c r="V20" s="1223">
        <f>IF(NOW()&gt;=DATE(YEAR(V$1),MONTH(V$1)+1,DAY(V$1)),SUMIFS(AC_SOTIEN,AC_DA,$C20,AC_THANG,V$1,AC_KM,$E20),SUMIFS(TF_SOTIEN,TF_DA,$C20,TF_THANG,V$1,TF_KM,$E20))/ 1000</f>
        <v>0</v>
      </c>
      <c r="W20" s="1223">
        <f>IF(NOW()&gt;=DATE(YEAR(W$1),MONTH(W$1)+1,DAY(W$1)),SUMIFS(AC_SOTIEN,AC_DA,$C20,AC_THANG,W$1,AC_KM,$E20),SUMIFS(TF_SOTIEN,TF_DA,$C20,TF_THANG,W$1,TF_KM,$E20))/ 1000</f>
        <v>0</v>
      </c>
      <c r="X20" s="1223">
        <f>IF(NOW()&gt;=DATE(YEAR(X$1),MONTH(X$1)+1,DAY(X$1)),SUMIFS(AC_SOTIEN,AC_DA,$C20,AC_THANG,X$1,AC_KM,$E20),SUMIFS(TF_SOTIEN,TF_DA,$C20,TF_THANG,X$1,TF_KM,$E20))/ 1000</f>
        <v>0</v>
      </c>
      <c r="Y20" s="1223">
        <f>IF(NOW()&gt;=DATE(YEAR(Y$1),MONTH(Y$1)+1,DAY(Y$1)),SUMIFS(AC_SOTIEN,AC_DA,$C20,AC_THANG,Y$1,AC_KM,$E20),SUMIFS(TF_SOTIEN,TF_DA,$C20,TF_THANG,Y$1,TF_KM,$E20))/ 1000</f>
        <v>0</v>
      </c>
      <c r="Z20" s="1223">
        <f>IF(NOW()&gt;=DATE(YEAR(Z$1),MONTH(Z$1)+1,DAY(Z$1)),SUMIFS(AC_SOTIEN,AC_DA,$C20,AC_THANG,Z$1,AC_KM,$E20),SUMIFS(TF_SOTIEN,TF_DA,$C20,TF_THANG,Z$1,TF_KM,$E20))/ 1000</f>
        <v>0</v>
      </c>
      <c r="AA20" s="1223">
        <f>IF(NOW()&gt;=DATE(YEAR(AA$1),MONTH(AA$1)+1,DAY(AA$1)),SUMIFS(AC_SOTIEN,AC_DA,$C20,AC_THANG,AA$1,AC_KM,$E20),SUMIFS(TF_SOTIEN,TF_DA,$C20,TF_THANG,AA$1,TF_KM,$E20))/ 1000</f>
        <v>0</v>
      </c>
    </row>
    <row r="21">
      <c r="A21" s="1215">
        <f t="shared" si="12"/>
        <v>3</v>
      </c>
      <c r="B21" s="1216" t="s">
        <v>2068</v>
      </c>
      <c r="C21" s="1087" t="s">
        <v>533</v>
      </c>
      <c r="D21" s="1216" t="str">
        <f>IF(C21="","", VLOOKUP(C21,DM_DUAN,2,0))</f>
        <v>The sol city</v>
      </c>
      <c r="E21" s="1229" t="s">
        <v>187</v>
      </c>
      <c r="F21" s="1218">
        <v>511.0</v>
      </c>
      <c r="G21" s="1218">
        <v>2.0</v>
      </c>
      <c r="H21" s="1219">
        <f t="shared" si="13"/>
        <v>0</v>
      </c>
      <c r="I21" s="1220">
        <f t="shared" si="14"/>
        <v>0</v>
      </c>
      <c r="J21" s="1221">
        <f t="shared" si="15"/>
        <v>0</v>
      </c>
      <c r="K21" s="1221">
        <f t="shared" si="16"/>
        <v>0</v>
      </c>
      <c r="L21" s="1222">
        <f t="shared" si="17"/>
        <v>0</v>
      </c>
      <c r="M21" s="1222">
        <f t="shared" si="18"/>
        <v>0</v>
      </c>
      <c r="N21" s="1222">
        <f t="shared" si="19"/>
        <v>0</v>
      </c>
      <c r="O21" s="1222">
        <f t="shared" si="20"/>
        <v>0</v>
      </c>
      <c r="P21" s="1223">
        <f>IF(NOW()&gt;=DATE(YEAR(P$1),MONTH(P$1)+1,DAY(P$1)),SUMIFS(AC_SOTIEN,AC_DA,$C21,AC_THANG,P$1,AC_KM,$E21),SUMIFS(TF_SOTIEN,TF_DA,$C21,TF_THANG,P$1,TF_KM,$E21))/ 1000</f>
        <v>0</v>
      </c>
      <c r="Q21" s="1223">
        <f>IF(NOW()&gt;=DATE(YEAR(Q$1),MONTH(Q$1)+1,DAY(Q$1)),SUMIFS(AC_SOTIEN,AC_DA,$C21,AC_THANG,Q$1,AC_KM,$E21),SUMIFS(TF_SOTIEN,TF_DA,$C21,TF_THANG,Q$1,TF_KM,$E21))/ 1000</f>
        <v>0</v>
      </c>
      <c r="R21" s="1223">
        <f>IF(NOW()&gt;=DATE(YEAR(R$1),MONTH(R$1)+1,DAY(R$1)),SUMIFS(AC_SOTIEN,AC_DA,$C21,AC_THANG,R$1,AC_KM,$E21),SUMIFS(TF_SOTIEN,TF_DA,$C21,TF_THANG,R$1,TF_KM,$E21))/ 1000</f>
        <v>0</v>
      </c>
      <c r="S21" s="1223">
        <f>IF(NOW()&gt;=DATE(YEAR(S$1),MONTH(S$1)+1,DAY(S$1)),SUMIFS(AC_SOTIEN,AC_DA,$C21,AC_THANG,S$1,AC_KM,$E21),SUMIFS(TF_SOTIEN,TF_DA,$C21,TF_THANG,S$1,TF_KM,$E21))/ 1000</f>
        <v>0</v>
      </c>
      <c r="T21" s="1223">
        <f>IF(NOW()&gt;=DATE(YEAR(T$1),MONTH(T$1)+1,DAY(T$1)),SUMIFS(AC_SOTIEN,AC_DA,$C21,AC_THANG,T$1,AC_KM,$E21),SUMIFS(TF_SOTIEN,TF_DA,$C21,TF_THANG,T$1,TF_KM,$E21))/ 1000</f>
        <v>0</v>
      </c>
      <c r="U21" s="1223">
        <f>IF(NOW()&gt;=DATE(YEAR(U$1),MONTH(U$1)+1,DAY(U$1)),SUMIFS(AC_SOTIEN,AC_DA,$C21,AC_THANG,U$1,AC_KM,$E21),SUMIFS(TF_SOTIEN,TF_DA,$C21,TF_THANG,U$1,TF_KM,$E21))/ 1000</f>
        <v>0</v>
      </c>
      <c r="V21" s="1223">
        <f>IF(NOW()&gt;=DATE(YEAR(V$1),MONTH(V$1)+1,DAY(V$1)),SUMIFS(AC_SOTIEN,AC_DA,$C21,AC_THANG,V$1,AC_KM,$E21),SUMIFS(TF_SOTIEN,TF_DA,$C21,TF_THANG,V$1,TF_KM,$E21))/ 1000</f>
        <v>0</v>
      </c>
      <c r="W21" s="1223">
        <f>IF(NOW()&gt;=DATE(YEAR(W$1),MONTH(W$1)+1,DAY(W$1)),SUMIFS(AC_SOTIEN,AC_DA,$C21,AC_THANG,W$1,AC_KM,$E21),SUMIFS(TF_SOTIEN,TF_DA,$C21,TF_THANG,W$1,TF_KM,$E21))/ 1000</f>
        <v>0</v>
      </c>
      <c r="X21" s="1223">
        <f>IF(NOW()&gt;=DATE(YEAR(X$1),MONTH(X$1)+1,DAY(X$1)),SUMIFS(AC_SOTIEN,AC_DA,$C21,AC_THANG,X$1,AC_KM,$E21),SUMIFS(TF_SOTIEN,TF_DA,$C21,TF_THANG,X$1,TF_KM,$E21))/ 1000</f>
        <v>0</v>
      </c>
      <c r="Y21" s="1223">
        <f>IF(NOW()&gt;=DATE(YEAR(Y$1),MONTH(Y$1)+1,DAY(Y$1)),SUMIFS(AC_SOTIEN,AC_DA,$C21,AC_THANG,Y$1,AC_KM,$E21),SUMIFS(TF_SOTIEN,TF_DA,$C21,TF_THANG,Y$1,TF_KM,$E21))/ 1000</f>
        <v>0</v>
      </c>
      <c r="Z21" s="1223">
        <f>IF(NOW()&gt;=DATE(YEAR(Z$1),MONTH(Z$1)+1,DAY(Z$1)),SUMIFS(AC_SOTIEN,AC_DA,$C21,AC_THANG,Z$1,AC_KM,$E21),SUMIFS(TF_SOTIEN,TF_DA,$C21,TF_THANG,Z$1,TF_KM,$E21))/ 1000</f>
        <v>0</v>
      </c>
      <c r="AA21" s="1223">
        <f>IF(NOW()&gt;=DATE(YEAR(AA$1),MONTH(AA$1)+1,DAY(AA$1)),SUMIFS(AC_SOTIEN,AC_DA,$C21,AC_THANG,AA$1,AC_KM,$E21),SUMIFS(TF_SOTIEN,TF_DA,$C21,TF_THANG,AA$1,TF_KM,$E21))/ 1000</f>
        <v>0</v>
      </c>
    </row>
    <row r="22">
      <c r="A22" s="1215">
        <f t="shared" si="12"/>
        <v>4</v>
      </c>
      <c r="B22" s="1216" t="s">
        <v>2069</v>
      </c>
      <c r="C22" s="1087" t="s">
        <v>175</v>
      </c>
      <c r="D22" s="1216" t="str">
        <f>IF(C22="","", VLOOKUP(C22,DM_DUAN,2,0))</f>
        <v>Phước hội Hồ Tràm</v>
      </c>
      <c r="E22" s="1229" t="s">
        <v>187</v>
      </c>
      <c r="F22" s="1218">
        <v>511.0</v>
      </c>
      <c r="G22" s="1218">
        <v>2.0</v>
      </c>
      <c r="H22" s="1219">
        <f t="shared" si="13"/>
        <v>670000</v>
      </c>
      <c r="I22" s="1220">
        <f t="shared" si="14"/>
        <v>0.1542140012</v>
      </c>
      <c r="J22" s="1221">
        <f t="shared" si="15"/>
        <v>670000</v>
      </c>
      <c r="K22" s="1221">
        <f t="shared" si="16"/>
        <v>0</v>
      </c>
      <c r="L22" s="1222">
        <f t="shared" si="17"/>
        <v>670000</v>
      </c>
      <c r="M22" s="1222">
        <f t="shared" si="18"/>
        <v>0</v>
      </c>
      <c r="N22" s="1222">
        <f t="shared" si="19"/>
        <v>0</v>
      </c>
      <c r="O22" s="1222">
        <f t="shared" si="20"/>
        <v>0</v>
      </c>
      <c r="P22" s="1223">
        <f>IF(NOW()&gt;=DATE(YEAR(P$1),MONTH(P$1)+1,DAY(P$1)),SUMIFS(AC_SOTIEN,AC_DA,$C22,AC_THANG,P$1,AC_KM,$E22),SUMIFS(TF_SOTIEN,TF_DA,$C22,TF_THANG,P$1,TF_KM,$E22))/ 1000</f>
        <v>340000</v>
      </c>
      <c r="Q22" s="1223">
        <f>IF(NOW()&gt;=DATE(YEAR(Q$1),MONTH(Q$1)+1,DAY(Q$1)),SUMIFS(AC_SOTIEN,AC_DA,$C22,AC_THANG,Q$1,AC_KM,$E22),SUMIFS(TF_SOTIEN,TF_DA,$C22,TF_THANG,Q$1,TF_KM,$E22))/ 1000</f>
        <v>180000</v>
      </c>
      <c r="R22" s="1223">
        <f>IF(NOW()&gt;=DATE(YEAR(R$1),MONTH(R$1)+1,DAY(R$1)),SUMIFS(AC_SOTIEN,AC_DA,$C22,AC_THANG,R$1,AC_KM,$E22),SUMIFS(TF_SOTIEN,TF_DA,$C22,TF_THANG,R$1,TF_KM,$E22))/ 1000</f>
        <v>150000</v>
      </c>
      <c r="S22" s="1223">
        <f>IF(NOW()&gt;=DATE(YEAR(S$1),MONTH(S$1)+1,DAY(S$1)),SUMIFS(AC_SOTIEN,AC_DA,$C22,AC_THANG,S$1,AC_KM,$E22),SUMIFS(TF_SOTIEN,TF_DA,$C22,TF_THANG,S$1,TF_KM,$E22))/ 1000</f>
        <v>0</v>
      </c>
      <c r="T22" s="1223">
        <f>IF(NOW()&gt;=DATE(YEAR(T$1),MONTH(T$1)+1,DAY(T$1)),SUMIFS(AC_SOTIEN,AC_DA,$C22,AC_THANG,T$1,AC_KM,$E22),SUMIFS(TF_SOTIEN,TF_DA,$C22,TF_THANG,T$1,TF_KM,$E22))/ 1000</f>
        <v>0</v>
      </c>
      <c r="U22" s="1223">
        <f>IF(NOW()&gt;=DATE(YEAR(U$1),MONTH(U$1)+1,DAY(U$1)),SUMIFS(AC_SOTIEN,AC_DA,$C22,AC_THANG,U$1,AC_KM,$E22),SUMIFS(TF_SOTIEN,TF_DA,$C22,TF_THANG,U$1,TF_KM,$E22))/ 1000</f>
        <v>0</v>
      </c>
      <c r="V22" s="1223">
        <f>IF(NOW()&gt;=DATE(YEAR(V$1),MONTH(V$1)+1,DAY(V$1)),SUMIFS(AC_SOTIEN,AC_DA,$C22,AC_THANG,V$1,AC_KM,$E22),SUMIFS(TF_SOTIEN,TF_DA,$C22,TF_THANG,V$1,TF_KM,$E22))/ 1000</f>
        <v>0</v>
      </c>
      <c r="W22" s="1223">
        <f>IF(NOW()&gt;=DATE(YEAR(W$1),MONTH(W$1)+1,DAY(W$1)),SUMIFS(AC_SOTIEN,AC_DA,$C22,AC_THANG,W$1,AC_KM,$E22),SUMIFS(TF_SOTIEN,TF_DA,$C22,TF_THANG,W$1,TF_KM,$E22))/ 1000</f>
        <v>0</v>
      </c>
      <c r="X22" s="1223">
        <f>IF(NOW()&gt;=DATE(YEAR(X$1),MONTH(X$1)+1,DAY(X$1)),SUMIFS(AC_SOTIEN,AC_DA,$C22,AC_THANG,X$1,AC_KM,$E22),SUMIFS(TF_SOTIEN,TF_DA,$C22,TF_THANG,X$1,TF_KM,$E22))/ 1000</f>
        <v>0</v>
      </c>
      <c r="Y22" s="1223">
        <f>IF(NOW()&gt;=DATE(YEAR(Y$1),MONTH(Y$1)+1,DAY(Y$1)),SUMIFS(AC_SOTIEN,AC_DA,$C22,AC_THANG,Y$1,AC_KM,$E22),SUMIFS(TF_SOTIEN,TF_DA,$C22,TF_THANG,Y$1,TF_KM,$E22))/ 1000</f>
        <v>0</v>
      </c>
      <c r="Z22" s="1223">
        <f>IF(NOW()&gt;=DATE(YEAR(Z$1),MONTH(Z$1)+1,DAY(Z$1)),SUMIFS(AC_SOTIEN,AC_DA,$C22,AC_THANG,Z$1,AC_KM,$E22),SUMIFS(TF_SOTIEN,TF_DA,$C22,TF_THANG,Z$1,TF_KM,$E22))/ 1000</f>
        <v>0</v>
      </c>
      <c r="AA22" s="1223">
        <f>IF(NOW()&gt;=DATE(YEAR(AA$1),MONTH(AA$1)+1,DAY(AA$1)),SUMIFS(AC_SOTIEN,AC_DA,$C22,AC_THANG,AA$1,AC_KM,$E22),SUMIFS(TF_SOTIEN,TF_DA,$C22,TF_THANG,AA$1,TF_KM,$E22))/ 1000</f>
        <v>0</v>
      </c>
    </row>
    <row r="23">
      <c r="A23" s="1215">
        <f t="shared" si="12"/>
        <v>5</v>
      </c>
      <c r="B23" s="1216" t="s">
        <v>2070</v>
      </c>
      <c r="C23" s="1087" t="s">
        <v>2067</v>
      </c>
      <c r="D23" s="1216" t="str">
        <f>IF(C23="","", VLOOKUP(C23,DM_DUAN,2,0))</f>
        <v>NAM PHONG</v>
      </c>
      <c r="E23" s="1229" t="s">
        <v>187</v>
      </c>
      <c r="F23" s="1218">
        <v>511.0</v>
      </c>
      <c r="G23" s="1218">
        <v>2.0</v>
      </c>
      <c r="H23" s="1219">
        <f t="shared" si="13"/>
        <v>0</v>
      </c>
      <c r="I23" s="1220">
        <f t="shared" si="14"/>
        <v>0</v>
      </c>
      <c r="J23" s="1221">
        <f t="shared" si="15"/>
        <v>0</v>
      </c>
      <c r="K23" s="1221">
        <f t="shared" si="16"/>
        <v>0</v>
      </c>
      <c r="L23" s="1222">
        <f t="shared" si="17"/>
        <v>0</v>
      </c>
      <c r="M23" s="1222">
        <f t="shared" si="18"/>
        <v>0</v>
      </c>
      <c r="N23" s="1222">
        <f t="shared" si="19"/>
        <v>0</v>
      </c>
      <c r="O23" s="1222">
        <f t="shared" si="20"/>
        <v>0</v>
      </c>
      <c r="P23" s="1223">
        <f>IF(NOW()&gt;=DATE(YEAR(P$1),MONTH(P$1)+1,DAY(P$1)),SUMIFS(AC_SOTIEN,AC_DA,$C23,AC_THANG,P$1,AC_KM,$E23),SUMIFS(TF_SOTIEN,TF_DA,$C23,TF_THANG,P$1,TF_KM,$E23))/ 1000</f>
        <v>0</v>
      </c>
      <c r="Q23" s="1223">
        <f>IF(NOW()&gt;=DATE(YEAR(Q$1),MONTH(Q$1)+1,DAY(Q$1)),SUMIFS(AC_SOTIEN,AC_DA,$C23,AC_THANG,Q$1,AC_KM,$E23),SUMIFS(TF_SOTIEN,TF_DA,$C23,TF_THANG,Q$1,TF_KM,$E23))/ 1000</f>
        <v>0</v>
      </c>
      <c r="R23" s="1223">
        <f>IF(NOW()&gt;=DATE(YEAR(R$1),MONTH(R$1)+1,DAY(R$1)),SUMIFS(AC_SOTIEN,AC_DA,$C23,AC_THANG,R$1,AC_KM,$E23),SUMIFS(TF_SOTIEN,TF_DA,$C23,TF_THANG,R$1,TF_KM,$E23))/ 1000</f>
        <v>0</v>
      </c>
      <c r="S23" s="1223">
        <f>IF(NOW()&gt;=DATE(YEAR(S$1),MONTH(S$1)+1,DAY(S$1)),SUMIFS(AC_SOTIEN,AC_DA,$C23,AC_THANG,S$1,AC_KM,$E23),SUMIFS(TF_SOTIEN,TF_DA,$C23,TF_THANG,S$1,TF_KM,$E23))/ 1000</f>
        <v>0</v>
      </c>
      <c r="T23" s="1223">
        <f>IF(NOW()&gt;=DATE(YEAR(T$1),MONTH(T$1)+1,DAY(T$1)),SUMIFS(AC_SOTIEN,AC_DA,$C23,AC_THANG,T$1,AC_KM,$E23),SUMIFS(TF_SOTIEN,TF_DA,$C23,TF_THANG,T$1,TF_KM,$E23))/ 1000</f>
        <v>0</v>
      </c>
      <c r="U23" s="1223">
        <f>IF(NOW()&gt;=DATE(YEAR(U$1),MONTH(U$1)+1,DAY(U$1)),SUMIFS(AC_SOTIEN,AC_DA,$C23,AC_THANG,U$1,AC_KM,$E23),SUMIFS(TF_SOTIEN,TF_DA,$C23,TF_THANG,U$1,TF_KM,$E23))/ 1000</f>
        <v>0</v>
      </c>
      <c r="V23" s="1223">
        <f>IF(NOW()&gt;=DATE(YEAR(V$1),MONTH(V$1)+1,DAY(V$1)),SUMIFS(AC_SOTIEN,AC_DA,$C23,AC_THANG,V$1,AC_KM,$E23),SUMIFS(TF_SOTIEN,TF_DA,$C23,TF_THANG,V$1,TF_KM,$E23))/ 1000</f>
        <v>0</v>
      </c>
      <c r="W23" s="1223">
        <f>IF(NOW()&gt;=DATE(YEAR(W$1),MONTH(W$1)+1,DAY(W$1)),SUMIFS(AC_SOTIEN,AC_DA,$C23,AC_THANG,W$1,AC_KM,$E23),SUMIFS(TF_SOTIEN,TF_DA,$C23,TF_THANG,W$1,TF_KM,$E23))/ 1000</f>
        <v>0</v>
      </c>
      <c r="X23" s="1223">
        <f>IF(NOW()&gt;=DATE(YEAR(X$1),MONTH(X$1)+1,DAY(X$1)),SUMIFS(AC_SOTIEN,AC_DA,$C23,AC_THANG,X$1,AC_KM,$E23),SUMIFS(TF_SOTIEN,TF_DA,$C23,TF_THANG,X$1,TF_KM,$E23))/ 1000</f>
        <v>0</v>
      </c>
      <c r="Y23" s="1223">
        <f>IF(NOW()&gt;=DATE(YEAR(Y$1),MONTH(Y$1)+1,DAY(Y$1)),SUMIFS(AC_SOTIEN,AC_DA,$C23,AC_THANG,Y$1,AC_KM,$E23),SUMIFS(TF_SOTIEN,TF_DA,$C23,TF_THANG,Y$1,TF_KM,$E23))/ 1000</f>
        <v>0</v>
      </c>
      <c r="Z23" s="1223">
        <f>IF(NOW()&gt;=DATE(YEAR(Z$1),MONTH(Z$1)+1,DAY(Z$1)),SUMIFS(AC_SOTIEN,AC_DA,$C23,AC_THANG,Z$1,AC_KM,$E23),SUMIFS(TF_SOTIEN,TF_DA,$C23,TF_THANG,Z$1,TF_KM,$E23))/ 1000</f>
        <v>0</v>
      </c>
      <c r="AA23" s="1223">
        <f>IF(NOW()&gt;=DATE(YEAR(AA$1),MONTH(AA$1)+1,DAY(AA$1)),SUMIFS(AC_SOTIEN,AC_DA,$C23,AC_THANG,AA$1,AC_KM,$E23),SUMIFS(TF_SOTIEN,TF_DA,$C23,TF_THANG,AA$1,TF_KM,$E23))/ 1000</f>
        <v>0</v>
      </c>
    </row>
    <row r="24">
      <c r="A24" s="1215">
        <f t="shared" si="12"/>
        <v>6</v>
      </c>
      <c r="B24" s="1216" t="s">
        <v>2071</v>
      </c>
      <c r="C24" s="656" t="s">
        <v>638</v>
      </c>
      <c r="D24" s="1216" t="str">
        <f>IF(C24="","", VLOOKUP(C24,DM_DUAN,2,0))</f>
        <v>Sản phẩm Phước Vinh</v>
      </c>
      <c r="E24" s="1229" t="s">
        <v>187</v>
      </c>
      <c r="F24" s="1218">
        <v>511.0</v>
      </c>
      <c r="G24" s="1218">
        <v>2.0</v>
      </c>
      <c r="H24" s="1219">
        <f t="shared" si="13"/>
        <v>1559000</v>
      </c>
      <c r="I24" s="1220">
        <f t="shared" si="14"/>
        <v>0.3588352654</v>
      </c>
      <c r="J24" s="1221">
        <f t="shared" si="15"/>
        <v>1559000</v>
      </c>
      <c r="K24" s="1221">
        <f t="shared" si="16"/>
        <v>0</v>
      </c>
      <c r="L24" s="1222">
        <f t="shared" si="17"/>
        <v>0</v>
      </c>
      <c r="M24" s="1222">
        <f t="shared" si="18"/>
        <v>1559000</v>
      </c>
      <c r="N24" s="1222">
        <f t="shared" si="19"/>
        <v>0</v>
      </c>
      <c r="O24" s="1222">
        <f t="shared" si="20"/>
        <v>0</v>
      </c>
      <c r="P24" s="1223">
        <f>IF(NOW()&gt;=DATE(YEAR(P$1),MONTH(P$1)+1,DAY(P$1)),SUMIFS(AC_SOTIEN,AC_DA,$C24,AC_THANG,P$1,AC_KM,$E24),SUMIFS(TF_SOTIEN,TF_DA,$C24,TF_THANG,P$1,TF_KM,$E24))/ 1000</f>
        <v>0</v>
      </c>
      <c r="Q24" s="1223">
        <f>IF(NOW()&gt;=DATE(YEAR(Q$1),MONTH(Q$1)+1,DAY(Q$1)),SUMIFS(AC_SOTIEN,AC_DA,$C24,AC_THANG,Q$1,AC_KM,$E24),SUMIFS(TF_SOTIEN,TF_DA,$C24,TF_THANG,Q$1,TF_KM,$E24))/ 1000</f>
        <v>0</v>
      </c>
      <c r="R24" s="1223">
        <f>IF(NOW()&gt;=DATE(YEAR(R$1),MONTH(R$1)+1,DAY(R$1)),SUMIFS(AC_SOTIEN,AC_DA,$C24,AC_THANG,R$1,AC_KM,$E24),SUMIFS(TF_SOTIEN,TF_DA,$C24,TF_THANG,R$1,TF_KM,$E24))/ 1000</f>
        <v>0</v>
      </c>
      <c r="S24" s="1223">
        <f>IF(NOW()&gt;=DATE(YEAR(S$1),MONTH(S$1)+1,DAY(S$1)),SUMIFS(AC_SOTIEN,AC_DA,$C24,AC_THANG,S$1,AC_KM,$E24),SUMIFS(TF_SOTIEN,TF_DA,$C24,TF_THANG,S$1,TF_KM,$E24))/ 1000</f>
        <v>1559000</v>
      </c>
      <c r="T24" s="1223">
        <f>IF(NOW()&gt;=DATE(YEAR(T$1),MONTH(T$1)+1,DAY(T$1)),SUMIFS(AC_SOTIEN,AC_DA,$C24,AC_THANG,T$1,AC_KM,$E24),SUMIFS(TF_SOTIEN,TF_DA,$C24,TF_THANG,T$1,TF_KM,$E24))/ 1000</f>
        <v>0</v>
      </c>
      <c r="U24" s="1223">
        <f>IF(NOW()&gt;=DATE(YEAR(U$1),MONTH(U$1)+1,DAY(U$1)),SUMIFS(AC_SOTIEN,AC_DA,$C24,AC_THANG,U$1,AC_KM,$E24),SUMIFS(TF_SOTIEN,TF_DA,$C24,TF_THANG,U$1,TF_KM,$E24))/ 1000</f>
        <v>0</v>
      </c>
      <c r="V24" s="1223">
        <f>IF(NOW()&gt;=DATE(YEAR(V$1),MONTH(V$1)+1,DAY(V$1)),SUMIFS(AC_SOTIEN,AC_DA,$C24,AC_THANG,V$1,AC_KM,$E24),SUMIFS(TF_SOTIEN,TF_DA,$C24,TF_THANG,V$1,TF_KM,$E24))/ 1000</f>
        <v>0</v>
      </c>
      <c r="W24" s="1223">
        <f>IF(NOW()&gt;=DATE(YEAR(W$1),MONTH(W$1)+1,DAY(W$1)),SUMIFS(AC_SOTIEN,AC_DA,$C24,AC_THANG,W$1,AC_KM,$E24),SUMIFS(TF_SOTIEN,TF_DA,$C24,TF_THANG,W$1,TF_KM,$E24))/ 1000</f>
        <v>0</v>
      </c>
      <c r="X24" s="1223">
        <f>IF(NOW()&gt;=DATE(YEAR(X$1),MONTH(X$1)+1,DAY(X$1)),SUMIFS(AC_SOTIEN,AC_DA,$C24,AC_THANG,X$1,AC_KM,$E24),SUMIFS(TF_SOTIEN,TF_DA,$C24,TF_THANG,X$1,TF_KM,$E24))/ 1000</f>
        <v>0</v>
      </c>
      <c r="Y24" s="1223">
        <f>IF(NOW()&gt;=DATE(YEAR(Y$1),MONTH(Y$1)+1,DAY(Y$1)),SUMIFS(AC_SOTIEN,AC_DA,$C24,AC_THANG,Y$1,AC_KM,$E24),SUMIFS(TF_SOTIEN,TF_DA,$C24,TF_THANG,Y$1,TF_KM,$E24))/ 1000</f>
        <v>0</v>
      </c>
      <c r="Z24" s="1223">
        <f>IF(NOW()&gt;=DATE(YEAR(Z$1),MONTH(Z$1)+1,DAY(Z$1)),SUMIFS(AC_SOTIEN,AC_DA,$C24,AC_THANG,Z$1,AC_KM,$E24),SUMIFS(TF_SOTIEN,TF_DA,$C24,TF_THANG,Z$1,TF_KM,$E24))/ 1000</f>
        <v>0</v>
      </c>
      <c r="AA24" s="1223">
        <f>IF(NOW()&gt;=DATE(YEAR(AA$1),MONTH(AA$1)+1,DAY(AA$1)),SUMIFS(AC_SOTIEN,AC_DA,$C24,AC_THANG,AA$1,AC_KM,$E24),SUMIFS(TF_SOTIEN,TF_DA,$C24,TF_THANG,AA$1,TF_KM,$E24))/ 1000</f>
        <v>0</v>
      </c>
    </row>
    <row r="25">
      <c r="A25" s="1215">
        <f t="shared" si="12"/>
        <v>7</v>
      </c>
      <c r="B25" s="1216" t="s">
        <v>2072</v>
      </c>
      <c r="C25" s="1087" t="s">
        <v>2070</v>
      </c>
      <c r="D25" s="1216" t="str">
        <f>IF(C25="","", VLOOKUP(C25,DM_DUAN,2,0))</f>
        <v>KHANG VƯỢNG</v>
      </c>
      <c r="E25" s="1229" t="s">
        <v>187</v>
      </c>
      <c r="F25" s="1218">
        <v>511.0</v>
      </c>
      <c r="G25" s="1218">
        <v>2.0</v>
      </c>
      <c r="H25" s="1219">
        <f t="shared" si="13"/>
        <v>0</v>
      </c>
      <c r="I25" s="1220">
        <f t="shared" si="14"/>
        <v>0</v>
      </c>
      <c r="J25" s="1221">
        <f t="shared" si="15"/>
        <v>0</v>
      </c>
      <c r="K25" s="1221">
        <f t="shared" si="16"/>
        <v>0</v>
      </c>
      <c r="L25" s="1222">
        <f t="shared" si="17"/>
        <v>0</v>
      </c>
      <c r="M25" s="1222">
        <f t="shared" si="18"/>
        <v>0</v>
      </c>
      <c r="N25" s="1222">
        <f t="shared" si="19"/>
        <v>0</v>
      </c>
      <c r="O25" s="1222">
        <f t="shared" si="20"/>
        <v>0</v>
      </c>
      <c r="P25" s="1223">
        <f>IF(NOW()&gt;=DATE(YEAR(P$1),MONTH(P$1)+1,DAY(P$1)),SUMIFS(AC_SOTIEN,AC_DA,$C25,AC_THANG,P$1,AC_KM,$E25),SUMIFS(TF_SOTIEN,TF_DA,$C25,TF_THANG,P$1,TF_KM,$E25))/ 1000</f>
        <v>0</v>
      </c>
      <c r="Q25" s="1223">
        <f>IF(NOW()&gt;=DATE(YEAR(Q$1),MONTH(Q$1)+1,DAY(Q$1)),SUMIFS(AC_SOTIEN,AC_DA,$C25,AC_THANG,Q$1,AC_KM,$E25),SUMIFS(TF_SOTIEN,TF_DA,$C25,TF_THANG,Q$1,TF_KM,$E25))/ 1000</f>
        <v>0</v>
      </c>
      <c r="R25" s="1223">
        <f>IF(NOW()&gt;=DATE(YEAR(R$1),MONTH(R$1)+1,DAY(R$1)),SUMIFS(AC_SOTIEN,AC_DA,$C25,AC_THANG,R$1,AC_KM,$E25),SUMIFS(TF_SOTIEN,TF_DA,$C25,TF_THANG,R$1,TF_KM,$E25))/ 1000</f>
        <v>0</v>
      </c>
      <c r="S25" s="1223">
        <f>IF(NOW()&gt;=DATE(YEAR(S$1),MONTH(S$1)+1,DAY(S$1)),SUMIFS(AC_SOTIEN,AC_DA,$C25,AC_THANG,S$1,AC_KM,$E25),SUMIFS(TF_SOTIEN,TF_DA,$C25,TF_THANG,S$1,TF_KM,$E25))/ 1000</f>
        <v>0</v>
      </c>
      <c r="T25" s="1223">
        <f>IF(NOW()&gt;=DATE(YEAR(T$1),MONTH(T$1)+1,DAY(T$1)),SUMIFS(AC_SOTIEN,AC_DA,$C25,AC_THANG,T$1,AC_KM,$E25),SUMIFS(TF_SOTIEN,TF_DA,$C25,TF_THANG,T$1,TF_KM,$E25))/ 1000</f>
        <v>0</v>
      </c>
      <c r="U25" s="1223">
        <f>IF(NOW()&gt;=DATE(YEAR(U$1),MONTH(U$1)+1,DAY(U$1)),SUMIFS(AC_SOTIEN,AC_DA,$C25,AC_THANG,U$1,AC_KM,$E25),SUMIFS(TF_SOTIEN,TF_DA,$C25,TF_THANG,U$1,TF_KM,$E25))/ 1000</f>
        <v>0</v>
      </c>
      <c r="V25" s="1223">
        <f>IF(NOW()&gt;=DATE(YEAR(V$1),MONTH(V$1)+1,DAY(V$1)),SUMIFS(AC_SOTIEN,AC_DA,$C25,AC_THANG,V$1,AC_KM,$E25),SUMIFS(TF_SOTIEN,TF_DA,$C25,TF_THANG,V$1,TF_KM,$E25))/ 1000</f>
        <v>0</v>
      </c>
      <c r="W25" s="1223">
        <f>IF(NOW()&gt;=DATE(YEAR(W$1),MONTH(W$1)+1,DAY(W$1)),SUMIFS(AC_SOTIEN,AC_DA,$C25,AC_THANG,W$1,AC_KM,$E25),SUMIFS(TF_SOTIEN,TF_DA,$C25,TF_THANG,W$1,TF_KM,$E25))/ 1000</f>
        <v>0</v>
      </c>
      <c r="X25" s="1223">
        <f>IF(NOW()&gt;=DATE(YEAR(X$1),MONTH(X$1)+1,DAY(X$1)),SUMIFS(AC_SOTIEN,AC_DA,$C25,AC_THANG,X$1,AC_KM,$E25),SUMIFS(TF_SOTIEN,TF_DA,$C25,TF_THANG,X$1,TF_KM,$E25))/ 1000</f>
        <v>0</v>
      </c>
      <c r="Y25" s="1223">
        <f>IF(NOW()&gt;=DATE(YEAR(Y$1),MONTH(Y$1)+1,DAY(Y$1)),SUMIFS(AC_SOTIEN,AC_DA,$C25,AC_THANG,Y$1,AC_KM,$E25),SUMIFS(TF_SOTIEN,TF_DA,$C25,TF_THANG,Y$1,TF_KM,$E25))/ 1000</f>
        <v>0</v>
      </c>
      <c r="Z25" s="1223">
        <f>IF(NOW()&gt;=DATE(YEAR(Z$1),MONTH(Z$1)+1,DAY(Z$1)),SUMIFS(AC_SOTIEN,AC_DA,$C25,AC_THANG,Z$1,AC_KM,$E25),SUMIFS(TF_SOTIEN,TF_DA,$C25,TF_THANG,Z$1,TF_KM,$E25))/ 1000</f>
        <v>0</v>
      </c>
      <c r="AA25" s="1223">
        <f>IF(NOW()&gt;=DATE(YEAR(AA$1),MONTH(AA$1)+1,DAY(AA$1)),SUMIFS(AC_SOTIEN,AC_DA,$C25,AC_THANG,AA$1,AC_KM,$E25),SUMIFS(TF_SOTIEN,TF_DA,$C25,TF_THANG,AA$1,TF_KM,$E25))/ 1000</f>
        <v>0</v>
      </c>
    </row>
    <row r="26">
      <c r="A26" s="1215">
        <f t="shared" si="12"/>
        <v>8</v>
      </c>
      <c r="B26" s="1216" t="s">
        <v>2073</v>
      </c>
      <c r="C26" s="1087" t="s">
        <v>2072</v>
      </c>
      <c r="D26" s="1216" t="str">
        <f>IF(C26="","", VLOOKUP(C26,DM_DUAN,2,0))</f>
        <v>TRẦN ANH GROUP</v>
      </c>
      <c r="E26" s="1229" t="s">
        <v>187</v>
      </c>
      <c r="F26" s="1218">
        <v>511.0</v>
      </c>
      <c r="G26" s="1218">
        <v>2.0</v>
      </c>
      <c r="H26" s="1219">
        <f t="shared" si="13"/>
        <v>0</v>
      </c>
      <c r="I26" s="1220">
        <f t="shared" si="14"/>
        <v>0</v>
      </c>
      <c r="J26" s="1221">
        <f t="shared" si="15"/>
        <v>0</v>
      </c>
      <c r="K26" s="1221">
        <f t="shared" si="16"/>
        <v>0</v>
      </c>
      <c r="L26" s="1222">
        <f t="shared" si="17"/>
        <v>0</v>
      </c>
      <c r="M26" s="1222">
        <f t="shared" si="18"/>
        <v>0</v>
      </c>
      <c r="N26" s="1222">
        <f t="shared" si="19"/>
        <v>0</v>
      </c>
      <c r="O26" s="1222">
        <f t="shared" si="20"/>
        <v>0</v>
      </c>
      <c r="P26" s="1223">
        <f>IF(NOW()&gt;=DATE(YEAR(P$1),MONTH(P$1)+1,DAY(P$1)),SUMIFS(AC_SOTIEN,AC_DA,$C26,AC_THANG,P$1,AC_KM,$E26),SUMIFS(TF_SOTIEN,TF_DA,$C26,TF_THANG,P$1,TF_KM,$E26))/ 1000</f>
        <v>0</v>
      </c>
      <c r="Q26" s="1223">
        <f>IF(NOW()&gt;=DATE(YEAR(Q$1),MONTH(Q$1)+1,DAY(Q$1)),SUMIFS(AC_SOTIEN,AC_DA,$C26,AC_THANG,Q$1,AC_KM,$E26),SUMIFS(TF_SOTIEN,TF_DA,$C26,TF_THANG,Q$1,TF_KM,$E26))/ 1000</f>
        <v>0</v>
      </c>
      <c r="R26" s="1223">
        <f>IF(NOW()&gt;=DATE(YEAR(R$1),MONTH(R$1)+1,DAY(R$1)),SUMIFS(AC_SOTIEN,AC_DA,$C26,AC_THANG,R$1,AC_KM,$E26),SUMIFS(TF_SOTIEN,TF_DA,$C26,TF_THANG,R$1,TF_KM,$E26))/ 1000</f>
        <v>0</v>
      </c>
      <c r="S26" s="1223">
        <f>IF(NOW()&gt;=DATE(YEAR(S$1),MONTH(S$1)+1,DAY(S$1)),SUMIFS(AC_SOTIEN,AC_DA,$C26,AC_THANG,S$1,AC_KM,$E26),SUMIFS(TF_SOTIEN,TF_DA,$C26,TF_THANG,S$1,TF_KM,$E26))/ 1000</f>
        <v>0</v>
      </c>
      <c r="T26" s="1223">
        <f>IF(NOW()&gt;=DATE(YEAR(T$1),MONTH(T$1)+1,DAY(T$1)),SUMIFS(AC_SOTIEN,AC_DA,$C26,AC_THANG,T$1,AC_KM,$E26),SUMIFS(TF_SOTIEN,TF_DA,$C26,TF_THANG,T$1,TF_KM,$E26))/ 1000</f>
        <v>0</v>
      </c>
      <c r="U26" s="1223">
        <f>IF(NOW()&gt;=DATE(YEAR(U$1),MONTH(U$1)+1,DAY(U$1)),SUMIFS(AC_SOTIEN,AC_DA,$C26,AC_THANG,U$1,AC_KM,$E26),SUMIFS(TF_SOTIEN,TF_DA,$C26,TF_THANG,U$1,TF_KM,$E26))/ 1000</f>
        <v>0</v>
      </c>
      <c r="V26" s="1223">
        <f>IF(NOW()&gt;=DATE(YEAR(V$1),MONTH(V$1)+1,DAY(V$1)),SUMIFS(AC_SOTIEN,AC_DA,$C26,AC_THANG,V$1,AC_KM,$E26),SUMIFS(TF_SOTIEN,TF_DA,$C26,TF_THANG,V$1,TF_KM,$E26))/ 1000</f>
        <v>0</v>
      </c>
      <c r="W26" s="1223">
        <f>IF(NOW()&gt;=DATE(YEAR(W$1),MONTH(W$1)+1,DAY(W$1)),SUMIFS(AC_SOTIEN,AC_DA,$C26,AC_THANG,W$1,AC_KM,$E26),SUMIFS(TF_SOTIEN,TF_DA,$C26,TF_THANG,W$1,TF_KM,$E26))/ 1000</f>
        <v>0</v>
      </c>
      <c r="X26" s="1223">
        <f>IF(NOW()&gt;=DATE(YEAR(X$1),MONTH(X$1)+1,DAY(X$1)),SUMIFS(AC_SOTIEN,AC_DA,$C26,AC_THANG,X$1,AC_KM,$E26),SUMIFS(TF_SOTIEN,TF_DA,$C26,TF_THANG,X$1,TF_KM,$E26))/ 1000</f>
        <v>0</v>
      </c>
      <c r="Y26" s="1223">
        <f>IF(NOW()&gt;=DATE(YEAR(Y$1),MONTH(Y$1)+1,DAY(Y$1)),SUMIFS(AC_SOTIEN,AC_DA,$C26,AC_THANG,Y$1,AC_KM,$E26),SUMIFS(TF_SOTIEN,TF_DA,$C26,TF_THANG,Y$1,TF_KM,$E26))/ 1000</f>
        <v>0</v>
      </c>
      <c r="Z26" s="1223">
        <f>IF(NOW()&gt;=DATE(YEAR(Z$1),MONTH(Z$1)+1,DAY(Z$1)),SUMIFS(AC_SOTIEN,AC_DA,$C26,AC_THANG,Z$1,AC_KM,$E26),SUMIFS(TF_SOTIEN,TF_DA,$C26,TF_THANG,Z$1,TF_KM,$E26))/ 1000</f>
        <v>0</v>
      </c>
      <c r="AA26" s="1223">
        <f>IF(NOW()&gt;=DATE(YEAR(AA$1),MONTH(AA$1)+1,DAY(AA$1)),SUMIFS(AC_SOTIEN,AC_DA,$C26,AC_THANG,AA$1,AC_KM,$E26),SUMIFS(TF_SOTIEN,TF_DA,$C26,TF_THANG,AA$1,TF_KM,$E26))/ 1000</f>
        <v>0</v>
      </c>
    </row>
    <row r="27">
      <c r="A27" s="1215">
        <f t="shared" si="12"/>
        <v>9</v>
      </c>
      <c r="B27" s="1216" t="s">
        <v>2074</v>
      </c>
      <c r="C27" s="1087" t="s">
        <v>2073</v>
      </c>
      <c r="D27" s="1216" t="str">
        <f>IF(C27="","", VLOOKUP(C27,DM_DUAN,2,0))</f>
        <v>PHI TRƯỜNG</v>
      </c>
      <c r="E27" s="1229" t="s">
        <v>187</v>
      </c>
      <c r="F27" s="1218">
        <v>511.0</v>
      </c>
      <c r="G27" s="1218">
        <v>2.0</v>
      </c>
      <c r="H27" s="1219">
        <f t="shared" si="13"/>
        <v>0</v>
      </c>
      <c r="I27" s="1220">
        <f t="shared" si="14"/>
        <v>0</v>
      </c>
      <c r="J27" s="1221">
        <f t="shared" si="15"/>
        <v>0</v>
      </c>
      <c r="K27" s="1221">
        <f t="shared" si="16"/>
        <v>0</v>
      </c>
      <c r="L27" s="1222">
        <f t="shared" si="17"/>
        <v>0</v>
      </c>
      <c r="M27" s="1222">
        <f t="shared" si="18"/>
        <v>0</v>
      </c>
      <c r="N27" s="1222">
        <f t="shared" si="19"/>
        <v>0</v>
      </c>
      <c r="O27" s="1222">
        <f t="shared" si="20"/>
        <v>0</v>
      </c>
      <c r="P27" s="1223">
        <f>IF(NOW()&gt;=DATE(YEAR(P$1),MONTH(P$1)+1,DAY(P$1)),SUMIFS(AC_SOTIEN,AC_DA,$C27,AC_THANG,P$1,AC_KM,$E27),SUMIFS(TF_SOTIEN,TF_DA,$C27,TF_THANG,P$1,TF_KM,$E27))/ 1000</f>
        <v>0</v>
      </c>
      <c r="Q27" s="1223">
        <f>IF(NOW()&gt;=DATE(YEAR(Q$1),MONTH(Q$1)+1,DAY(Q$1)),SUMIFS(AC_SOTIEN,AC_DA,$C27,AC_THANG,Q$1,AC_KM,$E27),SUMIFS(TF_SOTIEN,TF_DA,$C27,TF_THANG,Q$1,TF_KM,$E27))/ 1000</f>
        <v>0</v>
      </c>
      <c r="R27" s="1223">
        <f>IF(NOW()&gt;=DATE(YEAR(R$1),MONTH(R$1)+1,DAY(R$1)),SUMIFS(AC_SOTIEN,AC_DA,$C27,AC_THANG,R$1,AC_KM,$E27),SUMIFS(TF_SOTIEN,TF_DA,$C27,TF_THANG,R$1,TF_KM,$E27))/ 1000</f>
        <v>0</v>
      </c>
      <c r="S27" s="1223">
        <f>IF(NOW()&gt;=DATE(YEAR(S$1),MONTH(S$1)+1,DAY(S$1)),SUMIFS(AC_SOTIEN,AC_DA,$C27,AC_THANG,S$1,AC_KM,$E27),SUMIFS(TF_SOTIEN,TF_DA,$C27,TF_THANG,S$1,TF_KM,$E27))/ 1000</f>
        <v>0</v>
      </c>
      <c r="T27" s="1223">
        <f>IF(NOW()&gt;=DATE(YEAR(T$1),MONTH(T$1)+1,DAY(T$1)),SUMIFS(AC_SOTIEN,AC_DA,$C27,AC_THANG,T$1,AC_KM,$E27),SUMIFS(TF_SOTIEN,TF_DA,$C27,TF_THANG,T$1,TF_KM,$E27))/ 1000</f>
        <v>0</v>
      </c>
      <c r="U27" s="1223">
        <f>IF(NOW()&gt;=DATE(YEAR(U$1),MONTH(U$1)+1,DAY(U$1)),SUMIFS(AC_SOTIEN,AC_DA,$C27,AC_THANG,U$1,AC_KM,$E27),SUMIFS(TF_SOTIEN,TF_DA,$C27,TF_THANG,U$1,TF_KM,$E27))/ 1000</f>
        <v>0</v>
      </c>
      <c r="V27" s="1223">
        <f>IF(NOW()&gt;=DATE(YEAR(V$1),MONTH(V$1)+1,DAY(V$1)),SUMIFS(AC_SOTIEN,AC_DA,$C27,AC_THANG,V$1,AC_KM,$E27),SUMIFS(TF_SOTIEN,TF_DA,$C27,TF_THANG,V$1,TF_KM,$E27))/ 1000</f>
        <v>0</v>
      </c>
      <c r="W27" s="1223">
        <f>IF(NOW()&gt;=DATE(YEAR(W$1),MONTH(W$1)+1,DAY(W$1)),SUMIFS(AC_SOTIEN,AC_DA,$C27,AC_THANG,W$1,AC_KM,$E27),SUMIFS(TF_SOTIEN,TF_DA,$C27,TF_THANG,W$1,TF_KM,$E27))/ 1000</f>
        <v>0</v>
      </c>
      <c r="X27" s="1223">
        <f>IF(NOW()&gt;=DATE(YEAR(X$1),MONTH(X$1)+1,DAY(X$1)),SUMIFS(AC_SOTIEN,AC_DA,$C27,AC_THANG,X$1,AC_KM,$E27),SUMIFS(TF_SOTIEN,TF_DA,$C27,TF_THANG,X$1,TF_KM,$E27))/ 1000</f>
        <v>0</v>
      </c>
      <c r="Y27" s="1223">
        <f>IF(NOW()&gt;=DATE(YEAR(Y$1),MONTH(Y$1)+1,DAY(Y$1)),SUMIFS(AC_SOTIEN,AC_DA,$C27,AC_THANG,Y$1,AC_KM,$E27),SUMIFS(TF_SOTIEN,TF_DA,$C27,TF_THANG,Y$1,TF_KM,$E27))/ 1000</f>
        <v>0</v>
      </c>
      <c r="Z27" s="1223">
        <f>IF(NOW()&gt;=DATE(YEAR(Z$1),MONTH(Z$1)+1,DAY(Z$1)),SUMIFS(AC_SOTIEN,AC_DA,$C27,AC_THANG,Z$1,AC_KM,$E27),SUMIFS(TF_SOTIEN,TF_DA,$C27,TF_THANG,Z$1,TF_KM,$E27))/ 1000</f>
        <v>0</v>
      </c>
      <c r="AA27" s="1223">
        <f>IF(NOW()&gt;=DATE(YEAR(AA$1),MONTH(AA$1)+1,DAY(AA$1)),SUMIFS(AC_SOTIEN,AC_DA,$C27,AC_THANG,AA$1,AC_KM,$E27),SUMIFS(TF_SOTIEN,TF_DA,$C27,TF_THANG,AA$1,TF_KM,$E27))/ 1000</f>
        <v>0</v>
      </c>
    </row>
    <row r="28">
      <c r="A28" s="1215">
        <f t="shared" si="12"/>
        <v>10</v>
      </c>
      <c r="B28" s="1225"/>
      <c r="C28" s="1087" t="s">
        <v>2074</v>
      </c>
      <c r="D28" s="1225" t="str">
        <f>IF(C28="","", VLOOKUP(C28,DM_DUAN,2,0))</f>
        <v>HOÀNG CÁT</v>
      </c>
      <c r="E28" s="1229" t="s">
        <v>187</v>
      </c>
      <c r="F28" s="1227">
        <v>511.0</v>
      </c>
      <c r="G28" s="1227">
        <v>2.0</v>
      </c>
      <c r="H28" s="1219">
        <f t="shared" si="13"/>
        <v>0</v>
      </c>
      <c r="I28" s="1220">
        <f t="shared" si="14"/>
        <v>0</v>
      </c>
      <c r="J28" s="1221">
        <f t="shared" si="15"/>
        <v>0</v>
      </c>
      <c r="K28" s="1221">
        <f t="shared" si="16"/>
        <v>0</v>
      </c>
      <c r="L28" s="1222">
        <f t="shared" si="17"/>
        <v>0</v>
      </c>
      <c r="M28" s="1222">
        <f t="shared" si="18"/>
        <v>0</v>
      </c>
      <c r="N28" s="1222">
        <f t="shared" si="19"/>
        <v>0</v>
      </c>
      <c r="O28" s="1222">
        <f t="shared" si="20"/>
        <v>0</v>
      </c>
      <c r="P28" s="1223">
        <f>IF(NOW()&gt;=DATE(YEAR(P$1),MONTH(P$1)+1,DAY(P$1)),SUMIFS(AC_SOTIEN,AC_DA,$C28,AC_THANG,P$1,AC_KM,$E28),SUMIFS(TF_SOTIEN,TF_DA,$C28,TF_THANG,P$1,TF_KM,$E28))/ 1000</f>
        <v>0</v>
      </c>
      <c r="Q28" s="1223">
        <f>IF(NOW()&gt;=DATE(YEAR(Q$1),MONTH(Q$1)+1,DAY(Q$1)),SUMIFS(AC_SOTIEN,AC_DA,$C28,AC_THANG,Q$1,AC_KM,$E28),SUMIFS(TF_SOTIEN,TF_DA,$C28,TF_THANG,Q$1,TF_KM,$E28))/ 1000</f>
        <v>0</v>
      </c>
      <c r="R28" s="1223">
        <f>IF(NOW()&gt;=DATE(YEAR(R$1),MONTH(R$1)+1,DAY(R$1)),SUMIFS(AC_SOTIEN,AC_DA,$C28,AC_THANG,R$1,AC_KM,$E28),SUMIFS(TF_SOTIEN,TF_DA,$C28,TF_THANG,R$1,TF_KM,$E28))/ 1000</f>
        <v>0</v>
      </c>
      <c r="S28" s="1223">
        <f>IF(NOW()&gt;=DATE(YEAR(S$1),MONTH(S$1)+1,DAY(S$1)),SUMIFS(AC_SOTIEN,AC_DA,$C28,AC_THANG,S$1,AC_KM,$E28),SUMIFS(TF_SOTIEN,TF_DA,$C28,TF_THANG,S$1,TF_KM,$E28))/ 1000</f>
        <v>0</v>
      </c>
      <c r="T28" s="1223">
        <f>IF(NOW()&gt;=DATE(YEAR(T$1),MONTH(T$1)+1,DAY(T$1)),SUMIFS(AC_SOTIEN,AC_DA,$C28,AC_THANG,T$1,AC_KM,$E28),SUMIFS(TF_SOTIEN,TF_DA,$C28,TF_THANG,T$1,TF_KM,$E28))/ 1000</f>
        <v>0</v>
      </c>
      <c r="U28" s="1223">
        <f>IF(NOW()&gt;=DATE(YEAR(U$1),MONTH(U$1)+1,DAY(U$1)),SUMIFS(AC_SOTIEN,AC_DA,$C28,AC_THANG,U$1,AC_KM,$E28),SUMIFS(TF_SOTIEN,TF_DA,$C28,TF_THANG,U$1,TF_KM,$E28))/ 1000</f>
        <v>0</v>
      </c>
      <c r="V28" s="1223">
        <f>IF(NOW()&gt;=DATE(YEAR(V$1),MONTH(V$1)+1,DAY(V$1)),SUMIFS(AC_SOTIEN,AC_DA,$C28,AC_THANG,V$1,AC_KM,$E28),SUMIFS(TF_SOTIEN,TF_DA,$C28,TF_THANG,V$1,TF_KM,$E28))/ 1000</f>
        <v>0</v>
      </c>
      <c r="W28" s="1223">
        <f>IF(NOW()&gt;=DATE(YEAR(W$1),MONTH(W$1)+1,DAY(W$1)),SUMIFS(AC_SOTIEN,AC_DA,$C28,AC_THANG,W$1,AC_KM,$E28),SUMIFS(TF_SOTIEN,TF_DA,$C28,TF_THANG,W$1,TF_KM,$E28))/ 1000</f>
        <v>0</v>
      </c>
      <c r="X28" s="1223">
        <f>IF(NOW()&gt;=DATE(YEAR(X$1),MONTH(X$1)+1,DAY(X$1)),SUMIFS(AC_SOTIEN,AC_DA,$C28,AC_THANG,X$1,AC_KM,$E28),SUMIFS(TF_SOTIEN,TF_DA,$C28,TF_THANG,X$1,TF_KM,$E28))/ 1000</f>
        <v>0</v>
      </c>
      <c r="Y28" s="1223">
        <f>IF(NOW()&gt;=DATE(YEAR(Y$1),MONTH(Y$1)+1,DAY(Y$1)),SUMIFS(AC_SOTIEN,AC_DA,$C28,AC_THANG,Y$1,AC_KM,$E28),SUMIFS(TF_SOTIEN,TF_DA,$C28,TF_THANG,Y$1,TF_KM,$E28))/ 1000</f>
        <v>0</v>
      </c>
      <c r="Z28" s="1223">
        <f>IF(NOW()&gt;=DATE(YEAR(Z$1),MONTH(Z$1)+1,DAY(Z$1)),SUMIFS(AC_SOTIEN,AC_DA,$C28,AC_THANG,Z$1,AC_KM,$E28),SUMIFS(TF_SOTIEN,TF_DA,$C28,TF_THANG,Z$1,TF_KM,$E28))/ 1000</f>
        <v>0</v>
      </c>
      <c r="AA28" s="1223">
        <f>IF(NOW()&gt;=DATE(YEAR(AA$1),MONTH(AA$1)+1,DAY(AA$1)),SUMIFS(AC_SOTIEN,AC_DA,$C28,AC_THANG,AA$1,AC_KM,$E28),SUMIFS(TF_SOTIEN,TF_DA,$C28,TF_THANG,AA$1,TF_KM,$E28))/ 1000</f>
        <v>0</v>
      </c>
    </row>
    <row r="29">
      <c r="A29" s="1215">
        <f t="shared" si="12"/>
        <v>11</v>
      </c>
      <c r="B29" s="1225"/>
      <c r="C29" s="656" t="s">
        <v>530</v>
      </c>
      <c r="D29" s="1225" t="str">
        <f>IF(C29="","", VLOOKUP(C29,DM_DUAN,2,0))</f>
        <v>Nhà vườn sinh thái</v>
      </c>
      <c r="E29" s="1229" t="s">
        <v>187</v>
      </c>
      <c r="F29" s="1227">
        <v>511.0</v>
      </c>
      <c r="G29" s="1227">
        <v>2.0</v>
      </c>
      <c r="H29" s="1219">
        <f t="shared" si="13"/>
        <v>1195000</v>
      </c>
      <c r="I29" s="1220">
        <f t="shared" si="14"/>
        <v>0.2750533304</v>
      </c>
      <c r="J29" s="1221">
        <f t="shared" si="15"/>
        <v>1195000</v>
      </c>
      <c r="K29" s="1221">
        <f t="shared" si="16"/>
        <v>0</v>
      </c>
      <c r="L29" s="1222">
        <f t="shared" si="17"/>
        <v>518000</v>
      </c>
      <c r="M29" s="1222">
        <f t="shared" si="18"/>
        <v>677000</v>
      </c>
      <c r="N29" s="1222">
        <f t="shared" si="19"/>
        <v>0</v>
      </c>
      <c r="O29" s="1222">
        <f t="shared" si="20"/>
        <v>0</v>
      </c>
      <c r="P29" s="1223">
        <f>IF(NOW()&gt;=DATE(YEAR(P$1),MONTH(P$1)+1,DAY(P$1)),SUMIFS(AC_SOTIEN,AC_DA,$C29,AC_THANG,P$1,AC_KM,$E29),SUMIFS(TF_SOTIEN,TF_DA,$C29,TF_THANG,P$1,TF_KM,$E29))/ 1000</f>
        <v>0</v>
      </c>
      <c r="Q29" s="1223">
        <f>IF(NOW()&gt;=DATE(YEAR(Q$1),MONTH(Q$1)+1,DAY(Q$1)),SUMIFS(AC_SOTIEN,AC_DA,$C29,AC_THANG,Q$1,AC_KM,$E29),SUMIFS(TF_SOTIEN,TF_DA,$C29,TF_THANG,Q$1,TF_KM,$E29))/ 1000</f>
        <v>0</v>
      </c>
      <c r="R29" s="1223">
        <f>IF(NOW()&gt;=DATE(YEAR(R$1),MONTH(R$1)+1,DAY(R$1)),SUMIFS(AC_SOTIEN,AC_DA,$C29,AC_THANG,R$1,AC_KM,$E29),SUMIFS(TF_SOTIEN,TF_DA,$C29,TF_THANG,R$1,TF_KM,$E29))/ 1000</f>
        <v>518000</v>
      </c>
      <c r="S29" s="1223">
        <f>IF(NOW()&gt;=DATE(YEAR(S$1),MONTH(S$1)+1,DAY(S$1)),SUMIFS(AC_SOTIEN,AC_DA,$C29,AC_THANG,S$1,AC_KM,$E29),SUMIFS(TF_SOTIEN,TF_DA,$C29,TF_THANG,S$1,TF_KM,$E29))/ 1000</f>
        <v>677000</v>
      </c>
      <c r="T29" s="1223">
        <f>IF(NOW()&gt;=DATE(YEAR(T$1),MONTH(T$1)+1,DAY(T$1)),SUMIFS(AC_SOTIEN,AC_DA,$C29,AC_THANG,T$1,AC_KM,$E29),SUMIFS(TF_SOTIEN,TF_DA,$C29,TF_THANG,T$1,TF_KM,$E29))/ 1000</f>
        <v>0</v>
      </c>
      <c r="U29" s="1223">
        <f>IF(NOW()&gt;=DATE(YEAR(U$1),MONTH(U$1)+1,DAY(U$1)),SUMIFS(AC_SOTIEN,AC_DA,$C29,AC_THANG,U$1,AC_KM,$E29),SUMIFS(TF_SOTIEN,TF_DA,$C29,TF_THANG,U$1,TF_KM,$E29))/ 1000</f>
        <v>0</v>
      </c>
      <c r="V29" s="1223">
        <f>IF(NOW()&gt;=DATE(YEAR(V$1),MONTH(V$1)+1,DAY(V$1)),SUMIFS(AC_SOTIEN,AC_DA,$C29,AC_THANG,V$1,AC_KM,$E29),SUMIFS(TF_SOTIEN,TF_DA,$C29,TF_THANG,V$1,TF_KM,$E29))/ 1000</f>
        <v>0</v>
      </c>
      <c r="W29" s="1223">
        <f>IF(NOW()&gt;=DATE(YEAR(W$1),MONTH(W$1)+1,DAY(W$1)),SUMIFS(AC_SOTIEN,AC_DA,$C29,AC_THANG,W$1,AC_KM,$E29),SUMIFS(TF_SOTIEN,TF_DA,$C29,TF_THANG,W$1,TF_KM,$E29))/ 1000</f>
        <v>0</v>
      </c>
      <c r="X29" s="1223">
        <f>IF(NOW()&gt;=DATE(YEAR(X$1),MONTH(X$1)+1,DAY(X$1)),SUMIFS(AC_SOTIEN,AC_DA,$C29,AC_THANG,X$1,AC_KM,$E29),SUMIFS(TF_SOTIEN,TF_DA,$C29,TF_THANG,X$1,TF_KM,$E29))/ 1000</f>
        <v>0</v>
      </c>
      <c r="Y29" s="1223">
        <f>IF(NOW()&gt;=DATE(YEAR(Y$1),MONTH(Y$1)+1,DAY(Y$1)),SUMIFS(AC_SOTIEN,AC_DA,$C29,AC_THANG,Y$1,AC_KM,$E29),SUMIFS(TF_SOTIEN,TF_DA,$C29,TF_THANG,Y$1,TF_KM,$E29))/ 1000</f>
        <v>0</v>
      </c>
      <c r="Z29" s="1223">
        <f>IF(NOW()&gt;=DATE(YEAR(Z$1),MONTH(Z$1)+1,DAY(Z$1)),SUMIFS(AC_SOTIEN,AC_DA,$C29,AC_THANG,Z$1,AC_KM,$E29),SUMIFS(TF_SOTIEN,TF_DA,$C29,TF_THANG,Z$1,TF_KM,$E29))/ 1000</f>
        <v>0</v>
      </c>
      <c r="AA29" s="1223">
        <f>IF(NOW()&gt;=DATE(YEAR(AA$1),MONTH(AA$1)+1,DAY(AA$1)),SUMIFS(AC_SOTIEN,AC_DA,$C29,AC_THANG,AA$1,AC_KM,$E29),SUMIFS(TF_SOTIEN,TF_DA,$C29,TF_THANG,AA$1,TF_KM,$E29))/ 1000</f>
        <v>0</v>
      </c>
    </row>
    <row r="30">
      <c r="A30" s="1215">
        <f t="shared" si="12"/>
        <v>12</v>
      </c>
      <c r="B30" s="1225"/>
      <c r="C30" s="656" t="s">
        <v>875</v>
      </c>
      <c r="D30" s="1225" t="str">
        <f>IF(C30="","", VLOOKUP(C30,DM_DUAN,2,0))</f>
        <v>Sản phẩm Long Khánh 2</v>
      </c>
      <c r="E30" s="1229" t="s">
        <v>187</v>
      </c>
      <c r="F30" s="1227">
        <v>511.0</v>
      </c>
      <c r="G30" s="1227">
        <v>2.0</v>
      </c>
      <c r="H30" s="1219">
        <f t="shared" si="13"/>
        <v>0</v>
      </c>
      <c r="I30" s="1220">
        <f t="shared" si="14"/>
        <v>0</v>
      </c>
      <c r="J30" s="1221">
        <f t="shared" si="15"/>
        <v>0</v>
      </c>
      <c r="K30" s="1221">
        <f t="shared" si="16"/>
        <v>0</v>
      </c>
      <c r="L30" s="1222">
        <f t="shared" si="17"/>
        <v>0</v>
      </c>
      <c r="M30" s="1222">
        <f t="shared" si="18"/>
        <v>0</v>
      </c>
      <c r="N30" s="1222">
        <f t="shared" si="19"/>
        <v>0</v>
      </c>
      <c r="O30" s="1222">
        <f t="shared" si="20"/>
        <v>0</v>
      </c>
      <c r="P30" s="1223">
        <f>IF(NOW()&gt;=DATE(YEAR(P$1),MONTH(P$1)+1,DAY(P$1)),SUMIFS(AC_SOTIEN,AC_DA,$C30,AC_THANG,P$1,AC_KM,$E30),SUMIFS(TF_SOTIEN,TF_DA,$C30,TF_THANG,P$1,TF_KM,$E30))/ 1000</f>
        <v>0</v>
      </c>
      <c r="Q30" s="1223">
        <f>IF(NOW()&gt;=DATE(YEAR(Q$1),MONTH(Q$1)+1,DAY(Q$1)),SUMIFS(AC_SOTIEN,AC_DA,$C30,AC_THANG,Q$1,AC_KM,$E30),SUMIFS(TF_SOTIEN,TF_DA,$C30,TF_THANG,Q$1,TF_KM,$E30))/ 1000</f>
        <v>0</v>
      </c>
      <c r="R30" s="1223">
        <f>IF(NOW()&gt;=DATE(YEAR(R$1),MONTH(R$1)+1,DAY(R$1)),SUMIFS(AC_SOTIEN,AC_DA,$C30,AC_THANG,R$1,AC_KM,$E30),SUMIFS(TF_SOTIEN,TF_DA,$C30,TF_THANG,R$1,TF_KM,$E30))/ 1000</f>
        <v>0</v>
      </c>
      <c r="S30" s="1223">
        <f>IF(NOW()&gt;=DATE(YEAR(S$1),MONTH(S$1)+1,DAY(S$1)),SUMIFS(AC_SOTIEN,AC_DA,$C30,AC_THANG,S$1,AC_KM,$E30),SUMIFS(TF_SOTIEN,TF_DA,$C30,TF_THANG,S$1,TF_KM,$E30))/ 1000</f>
        <v>0</v>
      </c>
      <c r="T30" s="1223">
        <f>IF(NOW()&gt;=DATE(YEAR(T$1),MONTH(T$1)+1,DAY(T$1)),SUMIFS(AC_SOTIEN,AC_DA,$C30,AC_THANG,T$1,AC_KM,$E30),SUMIFS(TF_SOTIEN,TF_DA,$C30,TF_THANG,T$1,TF_KM,$E30))/ 1000</f>
        <v>0</v>
      </c>
      <c r="U30" s="1223">
        <f>IF(NOW()&gt;=DATE(YEAR(U$1),MONTH(U$1)+1,DAY(U$1)),SUMIFS(AC_SOTIEN,AC_DA,$C30,AC_THANG,U$1,AC_KM,$E30),SUMIFS(TF_SOTIEN,TF_DA,$C30,TF_THANG,U$1,TF_KM,$E30))/ 1000</f>
        <v>0</v>
      </c>
      <c r="V30" s="1223">
        <f>IF(NOW()&gt;=DATE(YEAR(V$1),MONTH(V$1)+1,DAY(V$1)),SUMIFS(AC_SOTIEN,AC_DA,$C30,AC_THANG,V$1,AC_KM,$E30),SUMIFS(TF_SOTIEN,TF_DA,$C30,TF_THANG,V$1,TF_KM,$E30))/ 1000</f>
        <v>0</v>
      </c>
      <c r="W30" s="1223">
        <f>IF(NOW()&gt;=DATE(YEAR(W$1),MONTH(W$1)+1,DAY(W$1)),SUMIFS(AC_SOTIEN,AC_DA,$C30,AC_THANG,W$1,AC_KM,$E30),SUMIFS(TF_SOTIEN,TF_DA,$C30,TF_THANG,W$1,TF_KM,$E30))/ 1000</f>
        <v>0</v>
      </c>
      <c r="X30" s="1223">
        <f>IF(NOW()&gt;=DATE(YEAR(X$1),MONTH(X$1)+1,DAY(X$1)),SUMIFS(AC_SOTIEN,AC_DA,$C30,AC_THANG,X$1,AC_KM,$E30),SUMIFS(TF_SOTIEN,TF_DA,$C30,TF_THANG,X$1,TF_KM,$E30))/ 1000</f>
        <v>0</v>
      </c>
      <c r="Y30" s="1223">
        <f>IF(NOW()&gt;=DATE(YEAR(Y$1),MONTH(Y$1)+1,DAY(Y$1)),SUMIFS(AC_SOTIEN,AC_DA,$C30,AC_THANG,Y$1,AC_KM,$E30),SUMIFS(TF_SOTIEN,TF_DA,$C30,TF_THANG,Y$1,TF_KM,$E30))/ 1000</f>
        <v>0</v>
      </c>
      <c r="Z30" s="1223">
        <f>IF(NOW()&gt;=DATE(YEAR(Z$1),MONTH(Z$1)+1,DAY(Z$1)),SUMIFS(AC_SOTIEN,AC_DA,$C30,AC_THANG,Z$1,AC_KM,$E30),SUMIFS(TF_SOTIEN,TF_DA,$C30,TF_THANG,Z$1,TF_KM,$E30))/ 1000</f>
        <v>0</v>
      </c>
      <c r="AA30" s="1223">
        <f>IF(NOW()&gt;=DATE(YEAR(AA$1),MONTH(AA$1)+1,DAY(AA$1)),SUMIFS(AC_SOTIEN,AC_DA,$C30,AC_THANG,AA$1,AC_KM,$E30),SUMIFS(TF_SOTIEN,TF_DA,$C30,TF_THANG,AA$1,TF_KM,$E30))/ 1000</f>
        <v>0</v>
      </c>
    </row>
    <row r="31">
      <c r="A31" s="1215">
        <f t="shared" si="12"/>
        <v>13</v>
      </c>
      <c r="B31" s="1225"/>
      <c r="C31" s="656" t="s">
        <v>636</v>
      </c>
      <c r="D31" s="1225" t="str">
        <f>IF(C31="","", VLOOKUP(C31,DM_DUAN,2,0))</f>
        <v>Sản phẩm Long Khánh 3</v>
      </c>
      <c r="E31" s="1229" t="s">
        <v>187</v>
      </c>
      <c r="F31" s="1227">
        <v>511.0</v>
      </c>
      <c r="G31" s="1227">
        <v>2.0</v>
      </c>
      <c r="H31" s="1219">
        <f t="shared" si="13"/>
        <v>365040</v>
      </c>
      <c r="I31" s="1220">
        <f t="shared" si="14"/>
        <v>0.08402131191</v>
      </c>
      <c r="J31" s="1221">
        <f t="shared" si="15"/>
        <v>365040</v>
      </c>
      <c r="K31" s="1221">
        <f t="shared" si="16"/>
        <v>0</v>
      </c>
      <c r="L31" s="1222">
        <f t="shared" si="17"/>
        <v>0</v>
      </c>
      <c r="M31" s="1222">
        <f t="shared" si="18"/>
        <v>365040</v>
      </c>
      <c r="N31" s="1222">
        <f t="shared" si="19"/>
        <v>0</v>
      </c>
      <c r="O31" s="1222">
        <f t="shared" si="20"/>
        <v>0</v>
      </c>
      <c r="P31" s="1223">
        <f>IF(NOW()&gt;=DATE(YEAR(P$1),MONTH(P$1)+1,DAY(P$1)),SUMIFS(AC_SOTIEN,AC_DA,$C31,AC_THANG,P$1,AC_KM,$E31),SUMIFS(TF_SOTIEN,TF_DA,$C31,TF_THANG,P$1,TF_KM,$E31))/ 1000</f>
        <v>0</v>
      </c>
      <c r="Q31" s="1223">
        <f>IF(NOW()&gt;=DATE(YEAR(Q$1),MONTH(Q$1)+1,DAY(Q$1)),SUMIFS(AC_SOTIEN,AC_DA,$C31,AC_THANG,Q$1,AC_KM,$E31),SUMIFS(TF_SOTIEN,TF_DA,$C31,TF_THANG,Q$1,TF_KM,$E31))/ 1000</f>
        <v>0</v>
      </c>
      <c r="R31" s="1223">
        <f>IF(NOW()&gt;=DATE(YEAR(R$1),MONTH(R$1)+1,DAY(R$1)),SUMIFS(AC_SOTIEN,AC_DA,$C31,AC_THANG,R$1,AC_KM,$E31),SUMIFS(TF_SOTIEN,TF_DA,$C31,TF_THANG,R$1,TF_KM,$E31))/ 1000</f>
        <v>0</v>
      </c>
      <c r="S31" s="1223">
        <f>IF(NOW()&gt;=DATE(YEAR(S$1),MONTH(S$1)+1,DAY(S$1)),SUMIFS(AC_SOTIEN,AC_DA,$C31,AC_THANG,S$1,AC_KM,$E31),SUMIFS(TF_SOTIEN,TF_DA,$C31,TF_THANG,S$1,TF_KM,$E31))/ 1000</f>
        <v>365040</v>
      </c>
      <c r="T31" s="1223">
        <f>IF(NOW()&gt;=DATE(YEAR(T$1),MONTH(T$1)+1,DAY(T$1)),SUMIFS(AC_SOTIEN,AC_DA,$C31,AC_THANG,T$1,AC_KM,$E31),SUMIFS(TF_SOTIEN,TF_DA,$C31,TF_THANG,T$1,TF_KM,$E31))/ 1000</f>
        <v>0</v>
      </c>
      <c r="U31" s="1223">
        <f>IF(NOW()&gt;=DATE(YEAR(U$1),MONTH(U$1)+1,DAY(U$1)),SUMIFS(AC_SOTIEN,AC_DA,$C31,AC_THANG,U$1,AC_KM,$E31),SUMIFS(TF_SOTIEN,TF_DA,$C31,TF_THANG,U$1,TF_KM,$E31))/ 1000</f>
        <v>0</v>
      </c>
      <c r="V31" s="1223">
        <f>IF(NOW()&gt;=DATE(YEAR(V$1),MONTH(V$1)+1,DAY(V$1)),SUMIFS(AC_SOTIEN,AC_DA,$C31,AC_THANG,V$1,AC_KM,$E31),SUMIFS(TF_SOTIEN,TF_DA,$C31,TF_THANG,V$1,TF_KM,$E31))/ 1000</f>
        <v>0</v>
      </c>
      <c r="W31" s="1223">
        <f>IF(NOW()&gt;=DATE(YEAR(W$1),MONTH(W$1)+1,DAY(W$1)),SUMIFS(AC_SOTIEN,AC_DA,$C31,AC_THANG,W$1,AC_KM,$E31),SUMIFS(TF_SOTIEN,TF_DA,$C31,TF_THANG,W$1,TF_KM,$E31))/ 1000</f>
        <v>0</v>
      </c>
      <c r="X31" s="1223">
        <f>IF(NOW()&gt;=DATE(YEAR(X$1),MONTH(X$1)+1,DAY(X$1)),SUMIFS(AC_SOTIEN,AC_DA,$C31,AC_THANG,X$1,AC_KM,$E31),SUMIFS(TF_SOTIEN,TF_DA,$C31,TF_THANG,X$1,TF_KM,$E31))/ 1000</f>
        <v>0</v>
      </c>
      <c r="Y31" s="1223">
        <f>IF(NOW()&gt;=DATE(YEAR(Y$1),MONTH(Y$1)+1,DAY(Y$1)),SUMIFS(AC_SOTIEN,AC_DA,$C31,AC_THANG,Y$1,AC_KM,$E31),SUMIFS(TF_SOTIEN,TF_DA,$C31,TF_THANG,Y$1,TF_KM,$E31))/ 1000</f>
        <v>0</v>
      </c>
      <c r="Z31" s="1223">
        <f>IF(NOW()&gt;=DATE(YEAR(Z$1),MONTH(Z$1)+1,DAY(Z$1)),SUMIFS(AC_SOTIEN,AC_DA,$C31,AC_THANG,Z$1,AC_KM,$E31),SUMIFS(TF_SOTIEN,TF_DA,$C31,TF_THANG,Z$1,TF_KM,$E31))/ 1000</f>
        <v>0</v>
      </c>
      <c r="AA31" s="1223">
        <f>IF(NOW()&gt;=DATE(YEAR(AA$1),MONTH(AA$1)+1,DAY(AA$1)),SUMIFS(AC_SOTIEN,AC_DA,$C31,AC_THANG,AA$1,AC_KM,$E31),SUMIFS(TF_SOTIEN,TF_DA,$C31,TF_THANG,AA$1,TF_KM,$E31))/ 1000</f>
        <v>0</v>
      </c>
    </row>
    <row r="32">
      <c r="A32" s="1215">
        <f t="shared" si="12"/>
        <v>14</v>
      </c>
      <c r="B32" s="1225"/>
      <c r="C32" s="656" t="s">
        <v>956</v>
      </c>
      <c r="D32" s="1225" t="str">
        <f>IF(C32="","", VLOOKUP(C32,DM_DUAN,2,0))</f>
        <v>KDC Lộc Ngãi</v>
      </c>
      <c r="E32" s="1229" t="s">
        <v>187</v>
      </c>
      <c r="F32" s="1227">
        <v>511.0</v>
      </c>
      <c r="G32" s="1227">
        <v>2.0</v>
      </c>
      <c r="H32" s="1219">
        <f t="shared" si="13"/>
        <v>555572</v>
      </c>
      <c r="I32" s="1220">
        <f t="shared" si="14"/>
        <v>0.1278760911</v>
      </c>
      <c r="J32" s="1221">
        <f t="shared" si="15"/>
        <v>555572</v>
      </c>
      <c r="K32" s="1221">
        <f t="shared" si="16"/>
        <v>0</v>
      </c>
      <c r="L32" s="1222">
        <f t="shared" si="17"/>
        <v>0</v>
      </c>
      <c r="M32" s="1222">
        <f t="shared" si="18"/>
        <v>555572</v>
      </c>
      <c r="N32" s="1222">
        <f t="shared" si="19"/>
        <v>0</v>
      </c>
      <c r="O32" s="1222">
        <f t="shared" si="20"/>
        <v>0</v>
      </c>
      <c r="P32" s="1223">
        <f>IF(NOW()&gt;=DATE(YEAR(P$1),MONTH(P$1)+1,DAY(P$1)),SUMIFS(AC_SOTIEN,AC_DA,$C32,AC_THANG,P$1,AC_KM,$E32),SUMIFS(TF_SOTIEN,TF_DA,$C32,TF_THANG,P$1,TF_KM,$E32))/ 1000</f>
        <v>0</v>
      </c>
      <c r="Q32" s="1223">
        <f>IF(NOW()&gt;=DATE(YEAR(Q$1),MONTH(Q$1)+1,DAY(Q$1)),SUMIFS(AC_SOTIEN,AC_DA,$C32,AC_THANG,Q$1,AC_KM,$E32),SUMIFS(TF_SOTIEN,TF_DA,$C32,TF_THANG,Q$1,TF_KM,$E32))/ 1000</f>
        <v>0</v>
      </c>
      <c r="R32" s="1223">
        <f>IF(NOW()&gt;=DATE(YEAR(R$1),MONTH(R$1)+1,DAY(R$1)),SUMIFS(AC_SOTIEN,AC_DA,$C32,AC_THANG,R$1,AC_KM,$E32),SUMIFS(TF_SOTIEN,TF_DA,$C32,TF_THANG,R$1,TF_KM,$E32))/ 1000</f>
        <v>0</v>
      </c>
      <c r="S32" s="1223">
        <f>IF(NOW()&gt;=DATE(YEAR(S$1),MONTH(S$1)+1,DAY(S$1)),SUMIFS(AC_SOTIEN,AC_DA,$C32,AC_THANG,S$1,AC_KM,$E32),SUMIFS(TF_SOTIEN,TF_DA,$C32,TF_THANG,S$1,TF_KM,$E32))/ 1000</f>
        <v>0</v>
      </c>
      <c r="T32" s="1223">
        <f>IF(NOW()&gt;=DATE(YEAR(T$1),MONTH(T$1)+1,DAY(T$1)),SUMIFS(AC_SOTIEN,AC_DA,$C32,AC_THANG,T$1,AC_KM,$E32),SUMIFS(TF_SOTIEN,TF_DA,$C32,TF_THANG,T$1,TF_KM,$E32))/ 1000</f>
        <v>555572</v>
      </c>
      <c r="U32" s="1223">
        <f>IF(NOW()&gt;=DATE(YEAR(U$1),MONTH(U$1)+1,DAY(U$1)),SUMIFS(AC_SOTIEN,AC_DA,$C32,AC_THANG,U$1,AC_KM,$E32),SUMIFS(TF_SOTIEN,TF_DA,$C32,TF_THANG,U$1,TF_KM,$E32))/ 1000</f>
        <v>0</v>
      </c>
      <c r="V32" s="1223">
        <f>IF(NOW()&gt;=DATE(YEAR(V$1),MONTH(V$1)+1,DAY(V$1)),SUMIFS(AC_SOTIEN,AC_DA,$C32,AC_THANG,V$1,AC_KM,$E32),SUMIFS(TF_SOTIEN,TF_DA,$C32,TF_THANG,V$1,TF_KM,$E32))/ 1000</f>
        <v>0</v>
      </c>
      <c r="W32" s="1223">
        <f>IF(NOW()&gt;=DATE(YEAR(W$1),MONTH(W$1)+1,DAY(W$1)),SUMIFS(AC_SOTIEN,AC_DA,$C32,AC_THANG,W$1,AC_KM,$E32),SUMIFS(TF_SOTIEN,TF_DA,$C32,TF_THANG,W$1,TF_KM,$E32))/ 1000</f>
        <v>0</v>
      </c>
      <c r="X32" s="1223">
        <f>IF(NOW()&gt;=DATE(YEAR(X$1),MONTH(X$1)+1,DAY(X$1)),SUMIFS(AC_SOTIEN,AC_DA,$C32,AC_THANG,X$1,AC_KM,$E32),SUMIFS(TF_SOTIEN,TF_DA,$C32,TF_THANG,X$1,TF_KM,$E32))/ 1000</f>
        <v>0</v>
      </c>
      <c r="Y32" s="1223">
        <f>IF(NOW()&gt;=DATE(YEAR(Y$1),MONTH(Y$1)+1,DAY(Y$1)),SUMIFS(AC_SOTIEN,AC_DA,$C32,AC_THANG,Y$1,AC_KM,$E32),SUMIFS(TF_SOTIEN,TF_DA,$C32,TF_THANG,Y$1,TF_KM,$E32))/ 1000</f>
        <v>0</v>
      </c>
      <c r="Z32" s="1223">
        <f>IF(NOW()&gt;=DATE(YEAR(Z$1),MONTH(Z$1)+1,DAY(Z$1)),SUMIFS(AC_SOTIEN,AC_DA,$C32,AC_THANG,Z$1,AC_KM,$E32),SUMIFS(TF_SOTIEN,TF_DA,$C32,TF_THANG,Z$1,TF_KM,$E32))/ 1000</f>
        <v>0</v>
      </c>
      <c r="AA32" s="1223">
        <f>IF(NOW()&gt;=DATE(YEAR(AA$1),MONTH(AA$1)+1,DAY(AA$1)),SUMIFS(AC_SOTIEN,AC_DA,$C32,AC_THANG,AA$1,AC_KM,$E32),SUMIFS(TF_SOTIEN,TF_DA,$C32,TF_THANG,AA$1,TF_KM,$E32))/ 1000</f>
        <v>0</v>
      </c>
    </row>
    <row r="33">
      <c r="A33" s="1215" t="str">
        <f t="shared" si="12"/>
        <v/>
      </c>
      <c r="B33" s="1225"/>
      <c r="C33" s="656"/>
      <c r="D33" s="1225" t="str">
        <f>IF(C33="","", VLOOKUP(C33,DM_DUAN,2,0))</f>
        <v/>
      </c>
      <c r="E33" s="1229" t="s">
        <v>187</v>
      </c>
      <c r="F33" s="1227">
        <v>511.0</v>
      </c>
      <c r="G33" s="1227">
        <v>2.0</v>
      </c>
      <c r="H33" s="1219">
        <f t="shared" si="13"/>
        <v>0</v>
      </c>
      <c r="I33" s="1220">
        <f t="shared" si="14"/>
        <v>0</v>
      </c>
      <c r="J33" s="1221">
        <f t="shared" si="15"/>
        <v>0</v>
      </c>
      <c r="K33" s="1221">
        <f t="shared" si="16"/>
        <v>0</v>
      </c>
      <c r="L33" s="1222">
        <f t="shared" si="17"/>
        <v>0</v>
      </c>
      <c r="M33" s="1222">
        <f t="shared" si="18"/>
        <v>0</v>
      </c>
      <c r="N33" s="1222">
        <f t="shared" si="19"/>
        <v>0</v>
      </c>
      <c r="O33" s="1222">
        <f t="shared" si="20"/>
        <v>0</v>
      </c>
      <c r="P33" s="1223">
        <f>IF(NOW()&gt;=DATE(YEAR(P$1),MONTH(P$1)+1,DAY(P$1)),SUMIFS(AC_SOTIEN,AC_DA,$C33,AC_THANG,P$1,AC_KM,$E33),SUMIFS(TF_SOTIEN,TF_DA,$C33,TF_THANG,P$1,TF_KM,$E33))/ 1000</f>
        <v>0</v>
      </c>
      <c r="Q33" s="1223">
        <f>IF(NOW()&gt;=DATE(YEAR(Q$1),MONTH(Q$1)+1,DAY(Q$1)),SUMIFS(AC_SOTIEN,AC_DA,$C33,AC_THANG,Q$1,AC_KM,$E33),SUMIFS(TF_SOTIEN,TF_DA,$C33,TF_THANG,Q$1,TF_KM,$E33))/ 1000</f>
        <v>0</v>
      </c>
      <c r="R33" s="1223">
        <f>IF(NOW()&gt;=DATE(YEAR(R$1),MONTH(R$1)+1,DAY(R$1)),SUMIFS(AC_SOTIEN,AC_DA,$C33,AC_THANG,R$1,AC_KM,$E33),SUMIFS(TF_SOTIEN,TF_DA,$C33,TF_THANG,R$1,TF_KM,$E33))/ 1000</f>
        <v>0</v>
      </c>
      <c r="S33" s="1223">
        <f>IF(NOW()&gt;=DATE(YEAR(S$1),MONTH(S$1)+1,DAY(S$1)),SUMIFS(AC_SOTIEN,AC_DA,$C33,AC_THANG,S$1,AC_KM,$E33),SUMIFS(TF_SOTIEN,TF_DA,$C33,TF_THANG,S$1,TF_KM,$E33))/ 1000</f>
        <v>0</v>
      </c>
      <c r="T33" s="1223">
        <f>IF(NOW()&gt;=DATE(YEAR(T$1),MONTH(T$1)+1,DAY(T$1)),SUMIFS(AC_SOTIEN,AC_DA,$C33,AC_THANG,T$1,AC_KM,$E33),SUMIFS(TF_SOTIEN,TF_DA,$C33,TF_THANG,T$1,TF_KM,$E33))/ 1000</f>
        <v>0</v>
      </c>
      <c r="U33" s="1223">
        <f>IF(NOW()&gt;=DATE(YEAR(U$1),MONTH(U$1)+1,DAY(U$1)),SUMIFS(AC_SOTIEN,AC_DA,$C33,AC_THANG,U$1,AC_KM,$E33),SUMIFS(TF_SOTIEN,TF_DA,$C33,TF_THANG,U$1,TF_KM,$E33))/ 1000</f>
        <v>0</v>
      </c>
      <c r="V33" s="1223">
        <f>IF(NOW()&gt;=DATE(YEAR(V$1),MONTH(V$1)+1,DAY(V$1)),SUMIFS(AC_SOTIEN,AC_DA,$C33,AC_THANG,V$1,AC_KM,$E33),SUMIFS(TF_SOTIEN,TF_DA,$C33,TF_THANG,V$1,TF_KM,$E33))/ 1000</f>
        <v>0</v>
      </c>
      <c r="W33" s="1223">
        <f>IF(NOW()&gt;=DATE(YEAR(W$1),MONTH(W$1)+1,DAY(W$1)),SUMIFS(AC_SOTIEN,AC_DA,$C33,AC_THANG,W$1,AC_KM,$E33),SUMIFS(TF_SOTIEN,TF_DA,$C33,TF_THANG,W$1,TF_KM,$E33))/ 1000</f>
        <v>0</v>
      </c>
      <c r="X33" s="1223">
        <f>IF(NOW()&gt;=DATE(YEAR(X$1),MONTH(X$1)+1,DAY(X$1)),SUMIFS(AC_SOTIEN,AC_DA,$C33,AC_THANG,X$1,AC_KM,$E33),SUMIFS(TF_SOTIEN,TF_DA,$C33,TF_THANG,X$1,TF_KM,$E33))/ 1000</f>
        <v>0</v>
      </c>
      <c r="Y33" s="1223">
        <f>IF(NOW()&gt;=DATE(YEAR(Y$1),MONTH(Y$1)+1,DAY(Y$1)),SUMIFS(AC_SOTIEN,AC_DA,$C33,AC_THANG,Y$1,AC_KM,$E33),SUMIFS(TF_SOTIEN,TF_DA,$C33,TF_THANG,Y$1,TF_KM,$E33))/ 1000</f>
        <v>0</v>
      </c>
      <c r="Z33" s="1223">
        <f>IF(NOW()&gt;=DATE(YEAR(Z$1),MONTH(Z$1)+1,DAY(Z$1)),SUMIFS(AC_SOTIEN,AC_DA,$C33,AC_THANG,Z$1,AC_KM,$E33),SUMIFS(TF_SOTIEN,TF_DA,$C33,TF_THANG,Z$1,TF_KM,$E33))/ 1000</f>
        <v>0</v>
      </c>
      <c r="AA33" s="1223">
        <f>IF(NOW()&gt;=DATE(YEAR(AA$1),MONTH(AA$1)+1,DAY(AA$1)),SUMIFS(AC_SOTIEN,AC_DA,$C33,AC_THANG,AA$1,AC_KM,$E33),SUMIFS(TF_SOTIEN,TF_DA,$C33,TF_THANG,AA$1,TF_KM,$E33))/ 1000</f>
        <v>0</v>
      </c>
    </row>
    <row r="34">
      <c r="A34" s="1230" t="s">
        <v>2823</v>
      </c>
      <c r="B34" s="1231"/>
      <c r="C34" s="1232"/>
      <c r="D34" s="1232"/>
      <c r="E34" s="1233"/>
      <c r="F34" s="1232"/>
      <c r="G34" s="1232"/>
      <c r="H34" s="1234">
        <f>SUM(H35:H44)</f>
        <v>0</v>
      </c>
      <c r="I34" s="1235">
        <f>SUMIF($G$35:$G$49,"1",I$35:I$49)</f>
        <v>0</v>
      </c>
      <c r="J34" s="1234">
        <f t="shared" ref="J34:AA34" si="21">SUM(J35:J44)</f>
        <v>0</v>
      </c>
      <c r="K34" s="1234">
        <f t="shared" si="21"/>
        <v>0</v>
      </c>
      <c r="L34" s="1234">
        <f t="shared" si="21"/>
        <v>0</v>
      </c>
      <c r="M34" s="1234">
        <f t="shared" si="21"/>
        <v>0</v>
      </c>
      <c r="N34" s="1234">
        <f t="shared" si="21"/>
        <v>0</v>
      </c>
      <c r="O34" s="1234">
        <f t="shared" si="21"/>
        <v>0</v>
      </c>
      <c r="P34" s="1234">
        <f t="shared" si="21"/>
        <v>0</v>
      </c>
      <c r="Q34" s="1234">
        <f t="shared" si="21"/>
        <v>0</v>
      </c>
      <c r="R34" s="1234">
        <f t="shared" si="21"/>
        <v>0</v>
      </c>
      <c r="S34" s="1234">
        <f t="shared" si="21"/>
        <v>0</v>
      </c>
      <c r="T34" s="1234">
        <f t="shared" si="21"/>
        <v>0</v>
      </c>
      <c r="U34" s="1234">
        <f t="shared" si="21"/>
        <v>0</v>
      </c>
      <c r="V34" s="1234">
        <f t="shared" si="21"/>
        <v>0</v>
      </c>
      <c r="W34" s="1234">
        <f t="shared" si="21"/>
        <v>0</v>
      </c>
      <c r="X34" s="1234">
        <f t="shared" si="21"/>
        <v>0</v>
      </c>
      <c r="Y34" s="1234">
        <f t="shared" si="21"/>
        <v>0</v>
      </c>
      <c r="Z34" s="1234">
        <f t="shared" si="21"/>
        <v>0</v>
      </c>
      <c r="AA34" s="1234">
        <f t="shared" si="21"/>
        <v>0</v>
      </c>
    </row>
    <row r="35">
      <c r="A35" s="1215">
        <f t="shared" ref="A35:A49" si="22">IF(C35="","",COUNTA(D$35:D35))</f>
        <v>1</v>
      </c>
      <c r="B35" s="1216"/>
      <c r="C35" s="1087" t="s">
        <v>215</v>
      </c>
      <c r="D35" s="1216" t="str">
        <f>IF(C35="","", VLOOKUP(C35,DM_DUAN,2,0))</f>
        <v>Phước Đông Garden</v>
      </c>
      <c r="E35" s="1217" t="s">
        <v>2239</v>
      </c>
      <c r="F35" s="1218">
        <v>632.0</v>
      </c>
      <c r="G35" s="1218">
        <v>2.0</v>
      </c>
      <c r="H35" s="1219">
        <f t="shared" ref="H35:H49" si="23">SUM(J35:K35)</f>
        <v>0</v>
      </c>
      <c r="I35" s="1220" t="str">
        <f t="shared" ref="I35:I49" si="24">IFERROR(H35/$H$34,"")</f>
        <v/>
      </c>
      <c r="J35" s="1221">
        <f t="shared" ref="J35:J49" si="25">SUM(L35:M35)</f>
        <v>0</v>
      </c>
      <c r="K35" s="1221">
        <f t="shared" ref="K35:K49" si="26">SUM(N35:O35)</f>
        <v>0</v>
      </c>
      <c r="L35" s="1222">
        <f t="shared" ref="L35:L49" si="27">SUM(P35:R35)</f>
        <v>0</v>
      </c>
      <c r="M35" s="1222">
        <f t="shared" ref="M35:M49" si="28">SUM(S35:U35)</f>
        <v>0</v>
      </c>
      <c r="N35" s="1222">
        <f t="shared" ref="N35:N49" si="29">SUM(V35:X35)</f>
        <v>0</v>
      </c>
      <c r="O35" s="1222">
        <f t="shared" ref="O35:O49" si="30">SUM(Y35:AA35)</f>
        <v>0</v>
      </c>
      <c r="P35" s="1223">
        <f>IF(NOW()&gt;=DATE(YEAR(P$1),MONTH(P$1)+1,DAY(P$1)),SUMIFS(AC_SOTIEN,AC_DA,$C35,AC_THANG,P$1,AC_KM,$E35),SUMIFS(TF_SOTIEN,TF_DA,$C35,TF_THANG,P$1,TF_KM,$E35))/ 1000</f>
        <v>0</v>
      </c>
      <c r="Q35" s="1223">
        <f>IF(NOW()&gt;=DATE(YEAR(Q$1),MONTH(Q$1)+1,DAY(Q$1)),SUMIFS(AC_SOTIEN,AC_DA,$C35,AC_THANG,Q$1,AC_KM,$E35),SUMIFS(TF_SOTIEN,TF_DA,$C35,TF_THANG,Q$1,TF_KM,$E35))/ 1000</f>
        <v>0</v>
      </c>
      <c r="R35" s="1223">
        <f>IF(NOW()&gt;=DATE(YEAR(R$1),MONTH(R$1)+1,DAY(R$1)),SUMIFS(AC_SOTIEN,AC_DA,$C35,AC_THANG,R$1,AC_KM,$E35),SUMIFS(TF_SOTIEN,TF_DA,$C35,TF_THANG,R$1,TF_KM,$E35))/ 1000</f>
        <v>0</v>
      </c>
      <c r="S35" s="1223">
        <f>IF(NOW()&gt;=DATE(YEAR(S$1),MONTH(S$1)+1,DAY(S$1)),SUMIFS(AC_SOTIEN,AC_DA,$C35,AC_THANG,S$1,AC_KM,$E35),SUMIFS(TF_SOTIEN,TF_DA,$C35,TF_THANG,S$1,TF_KM,$E35))/ 1000</f>
        <v>0</v>
      </c>
      <c r="T35" s="1223">
        <f>IF(NOW()&gt;=DATE(YEAR(T$1),MONTH(T$1)+1,DAY(T$1)),SUMIFS(AC_SOTIEN,AC_DA,$C35,AC_THANG,T$1,AC_KM,$E35),SUMIFS(TF_SOTIEN,TF_DA,$C35,TF_THANG,T$1,TF_KM,$E35))/ 1000</f>
        <v>0</v>
      </c>
      <c r="U35" s="1223">
        <f>IF(NOW()&gt;=DATE(YEAR(U$1),MONTH(U$1)+1,DAY(U$1)),SUMIFS(AC_SOTIEN,AC_DA,$C35,AC_THANG,U$1,AC_KM,$E35),SUMIFS(TF_SOTIEN,TF_DA,$C35,TF_THANG,U$1,TF_KM,$E35))/ 1000</f>
        <v>0</v>
      </c>
      <c r="V35" s="1223">
        <f>IF(NOW()&gt;=DATE(YEAR(V$1),MONTH(V$1)+1,DAY(V$1)),SUMIFS(AC_SOTIEN,AC_DA,$C35,AC_THANG,V$1,AC_KM,$E35),SUMIFS(TF_SOTIEN,TF_DA,$C35,TF_THANG,V$1,TF_KM,$E35))/ 1000</f>
        <v>0</v>
      </c>
      <c r="W35" s="1223">
        <f>IF(NOW()&gt;=DATE(YEAR(W$1),MONTH(W$1)+1,DAY(W$1)),SUMIFS(AC_SOTIEN,AC_DA,$C35,AC_THANG,W$1,AC_KM,$E35),SUMIFS(TF_SOTIEN,TF_DA,$C35,TF_THANG,W$1,TF_KM,$E35))/ 1000</f>
        <v>0</v>
      </c>
      <c r="X35" s="1223">
        <f>IF(NOW()&gt;=DATE(YEAR(X$1),MONTH(X$1)+1,DAY(X$1)),SUMIFS(AC_SOTIEN,AC_DA,$C35,AC_THANG,X$1,AC_KM,$E35),SUMIFS(TF_SOTIEN,TF_DA,$C35,TF_THANG,X$1,TF_KM,$E35))/ 1000</f>
        <v>0</v>
      </c>
      <c r="Y35" s="1223">
        <f>IF(NOW()&gt;=DATE(YEAR(Y$1),MONTH(Y$1)+1,DAY(Y$1)),SUMIFS(AC_SOTIEN,AC_DA,$C35,AC_THANG,Y$1,AC_KM,$E35),SUMIFS(TF_SOTIEN,TF_DA,$C35,TF_THANG,Y$1,TF_KM,$E35))/ 1000</f>
        <v>0</v>
      </c>
      <c r="Z35" s="1223">
        <f>IF(NOW()&gt;=DATE(YEAR(Z$1),MONTH(Z$1)+1,DAY(Z$1)),SUMIFS(AC_SOTIEN,AC_DA,$C35,AC_THANG,Z$1,AC_KM,$E35),SUMIFS(TF_SOTIEN,TF_DA,$C35,TF_THANG,Z$1,TF_KM,$E35))/ 1000</f>
        <v>0</v>
      </c>
      <c r="AA35" s="1223">
        <f>IF(NOW()&gt;=DATE(YEAR(AA$1),MONTH(AA$1)+1,DAY(AA$1)),SUMIFS(AC_SOTIEN,AC_DA,$C35,AC_THANG,AA$1,AC_KM,$E35),SUMIFS(TF_SOTIEN,TF_DA,$C35,TF_THANG,AA$1,TF_KM,$E35))/ 1000</f>
        <v>0</v>
      </c>
    </row>
    <row r="36">
      <c r="A36" s="1215">
        <f t="shared" si="22"/>
        <v>2</v>
      </c>
      <c r="B36" s="1216"/>
      <c r="C36" s="1087" t="s">
        <v>404</v>
      </c>
      <c r="D36" s="1216" t="str">
        <f>IF(C36="","", VLOOKUP(C36,DM_DUAN,2,0))</f>
        <v>Hamil ton Garden</v>
      </c>
      <c r="E36" s="1217" t="s">
        <v>2239</v>
      </c>
      <c r="F36" s="1218">
        <v>632.0</v>
      </c>
      <c r="G36" s="1218">
        <v>2.0</v>
      </c>
      <c r="H36" s="1219">
        <f t="shared" si="23"/>
        <v>0</v>
      </c>
      <c r="I36" s="1220" t="str">
        <f t="shared" si="24"/>
        <v/>
      </c>
      <c r="J36" s="1221">
        <f t="shared" si="25"/>
        <v>0</v>
      </c>
      <c r="K36" s="1221">
        <f t="shared" si="26"/>
        <v>0</v>
      </c>
      <c r="L36" s="1222">
        <f t="shared" si="27"/>
        <v>0</v>
      </c>
      <c r="M36" s="1222">
        <f t="shared" si="28"/>
        <v>0</v>
      </c>
      <c r="N36" s="1222">
        <f t="shared" si="29"/>
        <v>0</v>
      </c>
      <c r="O36" s="1222">
        <f t="shared" si="30"/>
        <v>0</v>
      </c>
      <c r="P36" s="1223">
        <f>IF(NOW()&gt;=DATE(YEAR(P$1),MONTH(P$1)+1,DAY(P$1)),SUMIFS(AC_SOTIEN,AC_DA,$C36,AC_THANG,P$1,AC_KM,$E36),SUMIFS(TF_SOTIEN,TF_DA,$C36,TF_THANG,P$1,TF_KM,$E36))/ 1000</f>
        <v>0</v>
      </c>
      <c r="Q36" s="1223">
        <f>IF(NOW()&gt;=DATE(YEAR(Q$1),MONTH(Q$1)+1,DAY(Q$1)),SUMIFS(AC_SOTIEN,AC_DA,$C36,AC_THANG,Q$1,AC_KM,$E36),SUMIFS(TF_SOTIEN,TF_DA,$C36,TF_THANG,Q$1,TF_KM,$E36))/ 1000</f>
        <v>0</v>
      </c>
      <c r="R36" s="1223">
        <f>IF(NOW()&gt;=DATE(YEAR(R$1),MONTH(R$1)+1,DAY(R$1)),SUMIFS(AC_SOTIEN,AC_DA,$C36,AC_THANG,R$1,AC_KM,$E36),SUMIFS(TF_SOTIEN,TF_DA,$C36,TF_THANG,R$1,TF_KM,$E36))/ 1000</f>
        <v>0</v>
      </c>
      <c r="S36" s="1223">
        <f>IF(NOW()&gt;=DATE(YEAR(S$1),MONTH(S$1)+1,DAY(S$1)),SUMIFS(AC_SOTIEN,AC_DA,$C36,AC_THANG,S$1,AC_KM,$E36),SUMIFS(TF_SOTIEN,TF_DA,$C36,TF_THANG,S$1,TF_KM,$E36))/ 1000</f>
        <v>0</v>
      </c>
      <c r="T36" s="1223">
        <f>IF(NOW()&gt;=DATE(YEAR(T$1),MONTH(T$1)+1,DAY(T$1)),SUMIFS(AC_SOTIEN,AC_DA,$C36,AC_THANG,T$1,AC_KM,$E36),SUMIFS(TF_SOTIEN,TF_DA,$C36,TF_THANG,T$1,TF_KM,$E36))/ 1000</f>
        <v>0</v>
      </c>
      <c r="U36" s="1223">
        <f>IF(NOW()&gt;=DATE(YEAR(U$1),MONTH(U$1)+1,DAY(U$1)),SUMIFS(AC_SOTIEN,AC_DA,$C36,AC_THANG,U$1,AC_KM,$E36),SUMIFS(TF_SOTIEN,TF_DA,$C36,TF_THANG,U$1,TF_KM,$E36))/ 1000</f>
        <v>0</v>
      </c>
      <c r="V36" s="1223">
        <f>IF(NOW()&gt;=DATE(YEAR(V$1),MONTH(V$1)+1,DAY(V$1)),SUMIFS(AC_SOTIEN,AC_DA,$C36,AC_THANG,V$1,AC_KM,$E36),SUMIFS(TF_SOTIEN,TF_DA,$C36,TF_THANG,V$1,TF_KM,$E36))/ 1000</f>
        <v>0</v>
      </c>
      <c r="W36" s="1223">
        <f>IF(NOW()&gt;=DATE(YEAR(W$1),MONTH(W$1)+1,DAY(W$1)),SUMIFS(AC_SOTIEN,AC_DA,$C36,AC_THANG,W$1,AC_KM,$E36),SUMIFS(TF_SOTIEN,TF_DA,$C36,TF_THANG,W$1,TF_KM,$E36))/ 1000</f>
        <v>0</v>
      </c>
      <c r="X36" s="1223">
        <f>IF(NOW()&gt;=DATE(YEAR(X$1),MONTH(X$1)+1,DAY(X$1)),SUMIFS(AC_SOTIEN,AC_DA,$C36,AC_THANG,X$1,AC_KM,$E36),SUMIFS(TF_SOTIEN,TF_DA,$C36,TF_THANG,X$1,TF_KM,$E36))/ 1000</f>
        <v>0</v>
      </c>
      <c r="Y36" s="1223">
        <f>IF(NOW()&gt;=DATE(YEAR(Y$1),MONTH(Y$1)+1,DAY(Y$1)),SUMIFS(AC_SOTIEN,AC_DA,$C36,AC_THANG,Y$1,AC_KM,$E36),SUMIFS(TF_SOTIEN,TF_DA,$C36,TF_THANG,Y$1,TF_KM,$E36))/ 1000</f>
        <v>0</v>
      </c>
      <c r="Z36" s="1223">
        <f>IF(NOW()&gt;=DATE(YEAR(Z$1),MONTH(Z$1)+1,DAY(Z$1)),SUMIFS(AC_SOTIEN,AC_DA,$C36,AC_THANG,Z$1,AC_KM,$E36),SUMIFS(TF_SOTIEN,TF_DA,$C36,TF_THANG,Z$1,TF_KM,$E36))/ 1000</f>
        <v>0</v>
      </c>
      <c r="AA36" s="1223">
        <f>IF(NOW()&gt;=DATE(YEAR(AA$1),MONTH(AA$1)+1,DAY(AA$1)),SUMIFS(AC_SOTIEN,AC_DA,$C36,AC_THANG,AA$1,AC_KM,$E36),SUMIFS(TF_SOTIEN,TF_DA,$C36,TF_THANG,AA$1,TF_KM,$E36))/ 1000</f>
        <v>0</v>
      </c>
    </row>
    <row r="37">
      <c r="A37" s="1215">
        <f t="shared" si="22"/>
        <v>3</v>
      </c>
      <c r="B37" s="1216"/>
      <c r="C37" s="1087" t="s">
        <v>533</v>
      </c>
      <c r="D37" s="1216" t="str">
        <f>IF(C37="","", VLOOKUP(C37,DM_DUAN,2,0))</f>
        <v>The sol city</v>
      </c>
      <c r="E37" s="1217" t="s">
        <v>2239</v>
      </c>
      <c r="F37" s="1218">
        <v>632.0</v>
      </c>
      <c r="G37" s="1218">
        <v>2.0</v>
      </c>
      <c r="H37" s="1219">
        <f t="shared" si="23"/>
        <v>0</v>
      </c>
      <c r="I37" s="1220" t="str">
        <f t="shared" si="24"/>
        <v/>
      </c>
      <c r="J37" s="1221">
        <f t="shared" si="25"/>
        <v>0</v>
      </c>
      <c r="K37" s="1221">
        <f t="shared" si="26"/>
        <v>0</v>
      </c>
      <c r="L37" s="1222">
        <f t="shared" si="27"/>
        <v>0</v>
      </c>
      <c r="M37" s="1222">
        <f t="shared" si="28"/>
        <v>0</v>
      </c>
      <c r="N37" s="1222">
        <f t="shared" si="29"/>
        <v>0</v>
      </c>
      <c r="O37" s="1222">
        <f t="shared" si="30"/>
        <v>0</v>
      </c>
      <c r="P37" s="1223">
        <f>IF(NOW()&gt;=DATE(YEAR(P$1),MONTH(P$1)+1,DAY(P$1)),SUMIFS(AC_SOTIEN,AC_DA,$C37,AC_THANG,P$1,AC_KM,$E37),SUMIFS(TF_SOTIEN,TF_DA,$C37,TF_THANG,P$1,TF_KM,$E37))/ 1000</f>
        <v>0</v>
      </c>
      <c r="Q37" s="1223">
        <f>IF(NOW()&gt;=DATE(YEAR(Q$1),MONTH(Q$1)+1,DAY(Q$1)),SUMIFS(AC_SOTIEN,AC_DA,$C37,AC_THANG,Q$1,AC_KM,$E37),SUMIFS(TF_SOTIEN,TF_DA,$C37,TF_THANG,Q$1,TF_KM,$E37))/ 1000</f>
        <v>0</v>
      </c>
      <c r="R37" s="1223">
        <f>IF(NOW()&gt;=DATE(YEAR(R$1),MONTH(R$1)+1,DAY(R$1)),SUMIFS(AC_SOTIEN,AC_DA,$C37,AC_THANG,R$1,AC_KM,$E37),SUMIFS(TF_SOTIEN,TF_DA,$C37,TF_THANG,R$1,TF_KM,$E37))/ 1000</f>
        <v>0</v>
      </c>
      <c r="S37" s="1223">
        <f>IF(NOW()&gt;=DATE(YEAR(S$1),MONTH(S$1)+1,DAY(S$1)),SUMIFS(AC_SOTIEN,AC_DA,$C37,AC_THANG,S$1,AC_KM,$E37),SUMIFS(TF_SOTIEN,TF_DA,$C37,TF_THANG,S$1,TF_KM,$E37))/ 1000</f>
        <v>0</v>
      </c>
      <c r="T37" s="1223">
        <f>IF(NOW()&gt;=DATE(YEAR(T$1),MONTH(T$1)+1,DAY(T$1)),SUMIFS(AC_SOTIEN,AC_DA,$C37,AC_THANG,T$1,AC_KM,$E37),SUMIFS(TF_SOTIEN,TF_DA,$C37,TF_THANG,T$1,TF_KM,$E37))/ 1000</f>
        <v>0</v>
      </c>
      <c r="U37" s="1223">
        <f>IF(NOW()&gt;=DATE(YEAR(U$1),MONTH(U$1)+1,DAY(U$1)),SUMIFS(AC_SOTIEN,AC_DA,$C37,AC_THANG,U$1,AC_KM,$E37),SUMIFS(TF_SOTIEN,TF_DA,$C37,TF_THANG,U$1,TF_KM,$E37))/ 1000</f>
        <v>0</v>
      </c>
      <c r="V37" s="1223">
        <f>IF(NOW()&gt;=DATE(YEAR(V$1),MONTH(V$1)+1,DAY(V$1)),SUMIFS(AC_SOTIEN,AC_DA,$C37,AC_THANG,V$1,AC_KM,$E37),SUMIFS(TF_SOTIEN,TF_DA,$C37,TF_THANG,V$1,TF_KM,$E37))/ 1000</f>
        <v>0</v>
      </c>
      <c r="W37" s="1223">
        <f>IF(NOW()&gt;=DATE(YEAR(W$1),MONTH(W$1)+1,DAY(W$1)),SUMIFS(AC_SOTIEN,AC_DA,$C37,AC_THANG,W$1,AC_KM,$E37),SUMIFS(TF_SOTIEN,TF_DA,$C37,TF_THANG,W$1,TF_KM,$E37))/ 1000</f>
        <v>0</v>
      </c>
      <c r="X37" s="1223">
        <f>IF(NOW()&gt;=DATE(YEAR(X$1),MONTH(X$1)+1,DAY(X$1)),SUMIFS(AC_SOTIEN,AC_DA,$C37,AC_THANG,X$1,AC_KM,$E37),SUMIFS(TF_SOTIEN,TF_DA,$C37,TF_THANG,X$1,TF_KM,$E37))/ 1000</f>
        <v>0</v>
      </c>
      <c r="Y37" s="1223">
        <f>IF(NOW()&gt;=DATE(YEAR(Y$1),MONTH(Y$1)+1,DAY(Y$1)),SUMIFS(AC_SOTIEN,AC_DA,$C37,AC_THANG,Y$1,AC_KM,$E37),SUMIFS(TF_SOTIEN,TF_DA,$C37,TF_THANG,Y$1,TF_KM,$E37))/ 1000</f>
        <v>0</v>
      </c>
      <c r="Z37" s="1223">
        <f>IF(NOW()&gt;=DATE(YEAR(Z$1),MONTH(Z$1)+1,DAY(Z$1)),SUMIFS(AC_SOTIEN,AC_DA,$C37,AC_THANG,Z$1,AC_KM,$E37),SUMIFS(TF_SOTIEN,TF_DA,$C37,TF_THANG,Z$1,TF_KM,$E37))/ 1000</f>
        <v>0</v>
      </c>
      <c r="AA37" s="1223">
        <f>IF(NOW()&gt;=DATE(YEAR(AA$1),MONTH(AA$1)+1,DAY(AA$1)),SUMIFS(AC_SOTIEN,AC_DA,$C37,AC_THANG,AA$1,AC_KM,$E37),SUMIFS(TF_SOTIEN,TF_DA,$C37,TF_THANG,AA$1,TF_KM,$E37))/ 1000</f>
        <v>0</v>
      </c>
    </row>
    <row r="38">
      <c r="A38" s="1215">
        <f t="shared" si="22"/>
        <v>4</v>
      </c>
      <c r="B38" s="1216"/>
      <c r="C38" s="1087" t="s">
        <v>175</v>
      </c>
      <c r="D38" s="1216" t="str">
        <f>IF(C38="","", VLOOKUP(C38,DM_DUAN,2,0))</f>
        <v>Phước hội Hồ Tràm</v>
      </c>
      <c r="E38" s="1217" t="s">
        <v>2239</v>
      </c>
      <c r="F38" s="1218">
        <v>632.0</v>
      </c>
      <c r="G38" s="1218">
        <v>2.0</v>
      </c>
      <c r="H38" s="1219">
        <f t="shared" si="23"/>
        <v>0</v>
      </c>
      <c r="I38" s="1220" t="str">
        <f t="shared" si="24"/>
        <v/>
      </c>
      <c r="J38" s="1221">
        <f t="shared" si="25"/>
        <v>0</v>
      </c>
      <c r="K38" s="1221">
        <f t="shared" si="26"/>
        <v>0</v>
      </c>
      <c r="L38" s="1222">
        <f t="shared" si="27"/>
        <v>0</v>
      </c>
      <c r="M38" s="1222">
        <f t="shared" si="28"/>
        <v>0</v>
      </c>
      <c r="N38" s="1222">
        <f t="shared" si="29"/>
        <v>0</v>
      </c>
      <c r="O38" s="1222">
        <f t="shared" si="30"/>
        <v>0</v>
      </c>
      <c r="P38" s="1223">
        <f>IF(NOW()&gt;=DATE(YEAR(P$1),MONTH(P$1)+1,DAY(P$1)),SUMIFS(AC_SOTIEN,AC_DA,$C38,AC_THANG,P$1,AC_KM,$E38),SUMIFS(TF_SOTIEN,TF_DA,$C38,TF_THANG,P$1,TF_KM,$E38))/ 1000</f>
        <v>0</v>
      </c>
      <c r="Q38" s="1223">
        <f>IF(NOW()&gt;=DATE(YEAR(Q$1),MONTH(Q$1)+1,DAY(Q$1)),SUMIFS(AC_SOTIEN,AC_DA,$C38,AC_THANG,Q$1,AC_KM,$E38),SUMIFS(TF_SOTIEN,TF_DA,$C38,TF_THANG,Q$1,TF_KM,$E38))/ 1000</f>
        <v>0</v>
      </c>
      <c r="R38" s="1223">
        <f>IF(NOW()&gt;=DATE(YEAR(R$1),MONTH(R$1)+1,DAY(R$1)),SUMIFS(AC_SOTIEN,AC_DA,$C38,AC_THANG,R$1,AC_KM,$E38),SUMIFS(TF_SOTIEN,TF_DA,$C38,TF_THANG,R$1,TF_KM,$E38))/ 1000</f>
        <v>0</v>
      </c>
      <c r="S38" s="1223">
        <f>IF(NOW()&gt;=DATE(YEAR(S$1),MONTH(S$1)+1,DAY(S$1)),SUMIFS(AC_SOTIEN,AC_DA,$C38,AC_THANG,S$1,AC_KM,$E38),SUMIFS(TF_SOTIEN,TF_DA,$C38,TF_THANG,S$1,TF_KM,$E38))/ 1000</f>
        <v>0</v>
      </c>
      <c r="T38" s="1223">
        <f>IF(NOW()&gt;=DATE(YEAR(T$1),MONTH(T$1)+1,DAY(T$1)),SUMIFS(AC_SOTIEN,AC_DA,$C38,AC_THANG,T$1,AC_KM,$E38),SUMIFS(TF_SOTIEN,TF_DA,$C38,TF_THANG,T$1,TF_KM,$E38))/ 1000</f>
        <v>0</v>
      </c>
      <c r="U38" s="1223">
        <f>IF(NOW()&gt;=DATE(YEAR(U$1),MONTH(U$1)+1,DAY(U$1)),SUMIFS(AC_SOTIEN,AC_DA,$C38,AC_THANG,U$1,AC_KM,$E38),SUMIFS(TF_SOTIEN,TF_DA,$C38,TF_THANG,U$1,TF_KM,$E38))/ 1000</f>
        <v>0</v>
      </c>
      <c r="V38" s="1223">
        <f>IF(NOW()&gt;=DATE(YEAR(V$1),MONTH(V$1)+1,DAY(V$1)),SUMIFS(AC_SOTIEN,AC_DA,$C38,AC_THANG,V$1,AC_KM,$E38),SUMIFS(TF_SOTIEN,TF_DA,$C38,TF_THANG,V$1,TF_KM,$E38))/ 1000</f>
        <v>0</v>
      </c>
      <c r="W38" s="1223">
        <f>IF(NOW()&gt;=DATE(YEAR(W$1),MONTH(W$1)+1,DAY(W$1)),SUMIFS(AC_SOTIEN,AC_DA,$C38,AC_THANG,W$1,AC_KM,$E38),SUMIFS(TF_SOTIEN,TF_DA,$C38,TF_THANG,W$1,TF_KM,$E38))/ 1000</f>
        <v>0</v>
      </c>
      <c r="X38" s="1223">
        <f>IF(NOW()&gt;=DATE(YEAR(X$1),MONTH(X$1)+1,DAY(X$1)),SUMIFS(AC_SOTIEN,AC_DA,$C38,AC_THANG,X$1,AC_KM,$E38),SUMIFS(TF_SOTIEN,TF_DA,$C38,TF_THANG,X$1,TF_KM,$E38))/ 1000</f>
        <v>0</v>
      </c>
      <c r="Y38" s="1223">
        <f>IF(NOW()&gt;=DATE(YEAR(Y$1),MONTH(Y$1)+1,DAY(Y$1)),SUMIFS(AC_SOTIEN,AC_DA,$C38,AC_THANG,Y$1,AC_KM,$E38),SUMIFS(TF_SOTIEN,TF_DA,$C38,TF_THANG,Y$1,TF_KM,$E38))/ 1000</f>
        <v>0</v>
      </c>
      <c r="Z38" s="1223">
        <f>IF(NOW()&gt;=DATE(YEAR(Z$1),MONTH(Z$1)+1,DAY(Z$1)),SUMIFS(AC_SOTIEN,AC_DA,$C38,AC_THANG,Z$1,AC_KM,$E38),SUMIFS(TF_SOTIEN,TF_DA,$C38,TF_THANG,Z$1,TF_KM,$E38))/ 1000</f>
        <v>0</v>
      </c>
      <c r="AA38" s="1223">
        <f>IF(NOW()&gt;=DATE(YEAR(AA$1),MONTH(AA$1)+1,DAY(AA$1)),SUMIFS(AC_SOTIEN,AC_DA,$C38,AC_THANG,AA$1,AC_KM,$E38),SUMIFS(TF_SOTIEN,TF_DA,$C38,TF_THANG,AA$1,TF_KM,$E38))/ 1000</f>
        <v>0</v>
      </c>
    </row>
    <row r="39">
      <c r="A39" s="1215">
        <f t="shared" si="22"/>
        <v>5</v>
      </c>
      <c r="B39" s="1216"/>
      <c r="C39" s="1087" t="s">
        <v>2067</v>
      </c>
      <c r="D39" s="1216" t="str">
        <f>IF(C39="","", VLOOKUP(C39,DM_DUAN,2,0))</f>
        <v>NAM PHONG</v>
      </c>
      <c r="E39" s="1217" t="s">
        <v>2239</v>
      </c>
      <c r="F39" s="1218">
        <v>632.0</v>
      </c>
      <c r="G39" s="1218">
        <v>2.0</v>
      </c>
      <c r="H39" s="1219">
        <f t="shared" si="23"/>
        <v>0</v>
      </c>
      <c r="I39" s="1220" t="str">
        <f t="shared" si="24"/>
        <v/>
      </c>
      <c r="J39" s="1221">
        <f t="shared" si="25"/>
        <v>0</v>
      </c>
      <c r="K39" s="1221">
        <f t="shared" si="26"/>
        <v>0</v>
      </c>
      <c r="L39" s="1222">
        <f t="shared" si="27"/>
        <v>0</v>
      </c>
      <c r="M39" s="1222">
        <f t="shared" si="28"/>
        <v>0</v>
      </c>
      <c r="N39" s="1222">
        <f t="shared" si="29"/>
        <v>0</v>
      </c>
      <c r="O39" s="1222">
        <f t="shared" si="30"/>
        <v>0</v>
      </c>
      <c r="P39" s="1223">
        <f>IF(NOW()&gt;=DATE(YEAR(P$1),MONTH(P$1)+1,DAY(P$1)),SUMIFS(AC_SOTIEN,AC_DA,$C39,AC_THANG,P$1,AC_KM,$E39),SUMIFS(TF_SOTIEN,TF_DA,$C39,TF_THANG,P$1,TF_KM,$E39))/ 1000</f>
        <v>0</v>
      </c>
      <c r="Q39" s="1223">
        <f>IF(NOW()&gt;=DATE(YEAR(Q$1),MONTH(Q$1)+1,DAY(Q$1)),SUMIFS(AC_SOTIEN,AC_DA,$C39,AC_THANG,Q$1,AC_KM,$E39),SUMIFS(TF_SOTIEN,TF_DA,$C39,TF_THANG,Q$1,TF_KM,$E39))/ 1000</f>
        <v>0</v>
      </c>
      <c r="R39" s="1223">
        <f>IF(NOW()&gt;=DATE(YEAR(R$1),MONTH(R$1)+1,DAY(R$1)),SUMIFS(AC_SOTIEN,AC_DA,$C39,AC_THANG,R$1,AC_KM,$E39),SUMIFS(TF_SOTIEN,TF_DA,$C39,TF_THANG,R$1,TF_KM,$E39))/ 1000</f>
        <v>0</v>
      </c>
      <c r="S39" s="1223">
        <f>IF(NOW()&gt;=DATE(YEAR(S$1),MONTH(S$1)+1,DAY(S$1)),SUMIFS(AC_SOTIEN,AC_DA,$C39,AC_THANG,S$1,AC_KM,$E39),SUMIFS(TF_SOTIEN,TF_DA,$C39,TF_THANG,S$1,TF_KM,$E39))/ 1000</f>
        <v>0</v>
      </c>
      <c r="T39" s="1223">
        <f>IF(NOW()&gt;=DATE(YEAR(T$1),MONTH(T$1)+1,DAY(T$1)),SUMIFS(AC_SOTIEN,AC_DA,$C39,AC_THANG,T$1,AC_KM,$E39),SUMIFS(TF_SOTIEN,TF_DA,$C39,TF_THANG,T$1,TF_KM,$E39))/ 1000</f>
        <v>0</v>
      </c>
      <c r="U39" s="1223">
        <f>IF(NOW()&gt;=DATE(YEAR(U$1),MONTH(U$1)+1,DAY(U$1)),SUMIFS(AC_SOTIEN,AC_DA,$C39,AC_THANG,U$1,AC_KM,$E39),SUMIFS(TF_SOTIEN,TF_DA,$C39,TF_THANG,U$1,TF_KM,$E39))/ 1000</f>
        <v>0</v>
      </c>
      <c r="V39" s="1223">
        <f>IF(NOW()&gt;=DATE(YEAR(V$1),MONTH(V$1)+1,DAY(V$1)),SUMIFS(AC_SOTIEN,AC_DA,$C39,AC_THANG,V$1,AC_KM,$E39),SUMIFS(TF_SOTIEN,TF_DA,$C39,TF_THANG,V$1,TF_KM,$E39))/ 1000</f>
        <v>0</v>
      </c>
      <c r="W39" s="1223">
        <f>IF(NOW()&gt;=DATE(YEAR(W$1),MONTH(W$1)+1,DAY(W$1)),SUMIFS(AC_SOTIEN,AC_DA,$C39,AC_THANG,W$1,AC_KM,$E39),SUMIFS(TF_SOTIEN,TF_DA,$C39,TF_THANG,W$1,TF_KM,$E39))/ 1000</f>
        <v>0</v>
      </c>
      <c r="X39" s="1223">
        <f>IF(NOW()&gt;=DATE(YEAR(X$1),MONTH(X$1)+1,DAY(X$1)),SUMIFS(AC_SOTIEN,AC_DA,$C39,AC_THANG,X$1,AC_KM,$E39),SUMIFS(TF_SOTIEN,TF_DA,$C39,TF_THANG,X$1,TF_KM,$E39))/ 1000</f>
        <v>0</v>
      </c>
      <c r="Y39" s="1223">
        <f>IF(NOW()&gt;=DATE(YEAR(Y$1),MONTH(Y$1)+1,DAY(Y$1)),SUMIFS(AC_SOTIEN,AC_DA,$C39,AC_THANG,Y$1,AC_KM,$E39),SUMIFS(TF_SOTIEN,TF_DA,$C39,TF_THANG,Y$1,TF_KM,$E39))/ 1000</f>
        <v>0</v>
      </c>
      <c r="Z39" s="1223">
        <f>IF(NOW()&gt;=DATE(YEAR(Z$1),MONTH(Z$1)+1,DAY(Z$1)),SUMIFS(AC_SOTIEN,AC_DA,$C39,AC_THANG,Z$1,AC_KM,$E39),SUMIFS(TF_SOTIEN,TF_DA,$C39,TF_THANG,Z$1,TF_KM,$E39))/ 1000</f>
        <v>0</v>
      </c>
      <c r="AA39" s="1223">
        <f>IF(NOW()&gt;=DATE(YEAR(AA$1),MONTH(AA$1)+1,DAY(AA$1)),SUMIFS(AC_SOTIEN,AC_DA,$C39,AC_THANG,AA$1,AC_KM,$E39),SUMIFS(TF_SOTIEN,TF_DA,$C39,TF_THANG,AA$1,TF_KM,$E39))/ 1000</f>
        <v>0</v>
      </c>
    </row>
    <row r="40">
      <c r="A40" s="1215">
        <f t="shared" si="22"/>
        <v>6</v>
      </c>
      <c r="B40" s="1216"/>
      <c r="C40" s="656" t="s">
        <v>638</v>
      </c>
      <c r="D40" s="1216" t="str">
        <f>IF(C40="","", VLOOKUP(C40,DM_DUAN,2,0))</f>
        <v>Sản phẩm Phước Vinh</v>
      </c>
      <c r="E40" s="1217" t="s">
        <v>2239</v>
      </c>
      <c r="F40" s="1218">
        <v>632.0</v>
      </c>
      <c r="G40" s="1218">
        <v>2.0</v>
      </c>
      <c r="H40" s="1219">
        <f t="shared" si="23"/>
        <v>0</v>
      </c>
      <c r="I40" s="1220" t="str">
        <f t="shared" si="24"/>
        <v/>
      </c>
      <c r="J40" s="1221">
        <f t="shared" si="25"/>
        <v>0</v>
      </c>
      <c r="K40" s="1221">
        <f t="shared" si="26"/>
        <v>0</v>
      </c>
      <c r="L40" s="1222">
        <f t="shared" si="27"/>
        <v>0</v>
      </c>
      <c r="M40" s="1222">
        <f t="shared" si="28"/>
        <v>0</v>
      </c>
      <c r="N40" s="1222">
        <f t="shared" si="29"/>
        <v>0</v>
      </c>
      <c r="O40" s="1222">
        <f t="shared" si="30"/>
        <v>0</v>
      </c>
      <c r="P40" s="1223">
        <f>IF(NOW()&gt;=DATE(YEAR(P$1),MONTH(P$1)+1,DAY(P$1)),SUMIFS(AC_SOTIEN,AC_DA,$C40,AC_THANG,P$1,AC_KM,$E40),SUMIFS(TF_SOTIEN,TF_DA,$C40,TF_THANG,P$1,TF_KM,$E40))/ 1000</f>
        <v>0</v>
      </c>
      <c r="Q40" s="1223">
        <f>IF(NOW()&gt;=DATE(YEAR(Q$1),MONTH(Q$1)+1,DAY(Q$1)),SUMIFS(AC_SOTIEN,AC_DA,$C40,AC_THANG,Q$1,AC_KM,$E40),SUMIFS(TF_SOTIEN,TF_DA,$C40,TF_THANG,Q$1,TF_KM,$E40))/ 1000</f>
        <v>0</v>
      </c>
      <c r="R40" s="1223">
        <f>IF(NOW()&gt;=DATE(YEAR(R$1),MONTH(R$1)+1,DAY(R$1)),SUMIFS(AC_SOTIEN,AC_DA,$C40,AC_THANG,R$1,AC_KM,$E40),SUMIFS(TF_SOTIEN,TF_DA,$C40,TF_THANG,R$1,TF_KM,$E40))/ 1000</f>
        <v>0</v>
      </c>
      <c r="S40" s="1223">
        <f>IF(NOW()&gt;=DATE(YEAR(S$1),MONTH(S$1)+1,DAY(S$1)),SUMIFS(AC_SOTIEN,AC_DA,$C40,AC_THANG,S$1,AC_KM,$E40),SUMIFS(TF_SOTIEN,TF_DA,$C40,TF_THANG,S$1,TF_KM,$E40))/ 1000</f>
        <v>0</v>
      </c>
      <c r="T40" s="1223">
        <f>IF(NOW()&gt;=DATE(YEAR(T$1),MONTH(T$1)+1,DAY(T$1)),SUMIFS(AC_SOTIEN,AC_DA,$C40,AC_THANG,T$1,AC_KM,$E40),SUMIFS(TF_SOTIEN,TF_DA,$C40,TF_THANG,T$1,TF_KM,$E40))/ 1000</f>
        <v>0</v>
      </c>
      <c r="U40" s="1223">
        <f>IF(NOW()&gt;=DATE(YEAR(U$1),MONTH(U$1)+1,DAY(U$1)),SUMIFS(AC_SOTIEN,AC_DA,$C40,AC_THANG,U$1,AC_KM,$E40),SUMIFS(TF_SOTIEN,TF_DA,$C40,TF_THANG,U$1,TF_KM,$E40))/ 1000</f>
        <v>0</v>
      </c>
      <c r="V40" s="1223">
        <f>IF(NOW()&gt;=DATE(YEAR(V$1),MONTH(V$1)+1,DAY(V$1)),SUMIFS(AC_SOTIEN,AC_DA,$C40,AC_THANG,V$1,AC_KM,$E40),SUMIFS(TF_SOTIEN,TF_DA,$C40,TF_THANG,V$1,TF_KM,$E40))/ 1000</f>
        <v>0</v>
      </c>
      <c r="W40" s="1223">
        <f>IF(NOW()&gt;=DATE(YEAR(W$1),MONTH(W$1)+1,DAY(W$1)),SUMIFS(AC_SOTIEN,AC_DA,$C40,AC_THANG,W$1,AC_KM,$E40),SUMIFS(TF_SOTIEN,TF_DA,$C40,TF_THANG,W$1,TF_KM,$E40))/ 1000</f>
        <v>0</v>
      </c>
      <c r="X40" s="1223">
        <f>IF(NOW()&gt;=DATE(YEAR(X$1),MONTH(X$1)+1,DAY(X$1)),SUMIFS(AC_SOTIEN,AC_DA,$C40,AC_THANG,X$1,AC_KM,$E40),SUMIFS(TF_SOTIEN,TF_DA,$C40,TF_THANG,X$1,TF_KM,$E40))/ 1000</f>
        <v>0</v>
      </c>
      <c r="Y40" s="1223">
        <f>IF(NOW()&gt;=DATE(YEAR(Y$1),MONTH(Y$1)+1,DAY(Y$1)),SUMIFS(AC_SOTIEN,AC_DA,$C40,AC_THANG,Y$1,AC_KM,$E40),SUMIFS(TF_SOTIEN,TF_DA,$C40,TF_THANG,Y$1,TF_KM,$E40))/ 1000</f>
        <v>0</v>
      </c>
      <c r="Z40" s="1223">
        <f>IF(NOW()&gt;=DATE(YEAR(Z$1),MONTH(Z$1)+1,DAY(Z$1)),SUMIFS(AC_SOTIEN,AC_DA,$C40,AC_THANG,Z$1,AC_KM,$E40),SUMIFS(TF_SOTIEN,TF_DA,$C40,TF_THANG,Z$1,TF_KM,$E40))/ 1000</f>
        <v>0</v>
      </c>
      <c r="AA40" s="1223">
        <f>IF(NOW()&gt;=DATE(YEAR(AA$1),MONTH(AA$1)+1,DAY(AA$1)),SUMIFS(AC_SOTIEN,AC_DA,$C40,AC_THANG,AA$1,AC_KM,$E40),SUMIFS(TF_SOTIEN,TF_DA,$C40,TF_THANG,AA$1,TF_KM,$E40))/ 1000</f>
        <v>0</v>
      </c>
    </row>
    <row r="41">
      <c r="A41" s="1215">
        <f t="shared" si="22"/>
        <v>7</v>
      </c>
      <c r="B41" s="1216"/>
      <c r="C41" s="1087" t="s">
        <v>2070</v>
      </c>
      <c r="D41" s="1216" t="str">
        <f>IF(C41="","", VLOOKUP(C41,DM_DUAN,2,0))</f>
        <v>KHANG VƯỢNG</v>
      </c>
      <c r="E41" s="1217" t="s">
        <v>2239</v>
      </c>
      <c r="F41" s="1218">
        <v>632.0</v>
      </c>
      <c r="G41" s="1218">
        <v>2.0</v>
      </c>
      <c r="H41" s="1219">
        <f t="shared" si="23"/>
        <v>0</v>
      </c>
      <c r="I41" s="1220" t="str">
        <f t="shared" si="24"/>
        <v/>
      </c>
      <c r="J41" s="1221">
        <f t="shared" si="25"/>
        <v>0</v>
      </c>
      <c r="K41" s="1221">
        <f t="shared" si="26"/>
        <v>0</v>
      </c>
      <c r="L41" s="1222">
        <f t="shared" si="27"/>
        <v>0</v>
      </c>
      <c r="M41" s="1222">
        <f t="shared" si="28"/>
        <v>0</v>
      </c>
      <c r="N41" s="1222">
        <f t="shared" si="29"/>
        <v>0</v>
      </c>
      <c r="O41" s="1222">
        <f t="shared" si="30"/>
        <v>0</v>
      </c>
      <c r="P41" s="1223">
        <f>IF(NOW()&gt;=DATE(YEAR(P$1),MONTH(P$1)+1,DAY(P$1)),SUMIFS(AC_SOTIEN,AC_DA,$C41,AC_THANG,P$1,AC_KM,$E41),SUMIFS(TF_SOTIEN,TF_DA,$C41,TF_THANG,P$1,TF_KM,$E41))/ 1000</f>
        <v>0</v>
      </c>
      <c r="Q41" s="1223">
        <f>IF(NOW()&gt;=DATE(YEAR(Q$1),MONTH(Q$1)+1,DAY(Q$1)),SUMIFS(AC_SOTIEN,AC_DA,$C41,AC_THANG,Q$1,AC_KM,$E41),SUMIFS(TF_SOTIEN,TF_DA,$C41,TF_THANG,Q$1,TF_KM,$E41))/ 1000</f>
        <v>0</v>
      </c>
      <c r="R41" s="1223">
        <f>IF(NOW()&gt;=DATE(YEAR(R$1),MONTH(R$1)+1,DAY(R$1)),SUMIFS(AC_SOTIEN,AC_DA,$C41,AC_THANG,R$1,AC_KM,$E41),SUMIFS(TF_SOTIEN,TF_DA,$C41,TF_THANG,R$1,TF_KM,$E41))/ 1000</f>
        <v>0</v>
      </c>
      <c r="S41" s="1223">
        <f>IF(NOW()&gt;=DATE(YEAR(S$1),MONTH(S$1)+1,DAY(S$1)),SUMIFS(AC_SOTIEN,AC_DA,$C41,AC_THANG,S$1,AC_KM,$E41),SUMIFS(TF_SOTIEN,TF_DA,$C41,TF_THANG,S$1,TF_KM,$E41))/ 1000</f>
        <v>0</v>
      </c>
      <c r="T41" s="1223">
        <f>IF(NOW()&gt;=DATE(YEAR(T$1),MONTH(T$1)+1,DAY(T$1)),SUMIFS(AC_SOTIEN,AC_DA,$C41,AC_THANG,T$1,AC_KM,$E41),SUMIFS(TF_SOTIEN,TF_DA,$C41,TF_THANG,T$1,TF_KM,$E41))/ 1000</f>
        <v>0</v>
      </c>
      <c r="U41" s="1223">
        <f>IF(NOW()&gt;=DATE(YEAR(U$1),MONTH(U$1)+1,DAY(U$1)),SUMIFS(AC_SOTIEN,AC_DA,$C41,AC_THANG,U$1,AC_KM,$E41),SUMIFS(TF_SOTIEN,TF_DA,$C41,TF_THANG,U$1,TF_KM,$E41))/ 1000</f>
        <v>0</v>
      </c>
      <c r="V41" s="1223">
        <f>IF(NOW()&gt;=DATE(YEAR(V$1),MONTH(V$1)+1,DAY(V$1)),SUMIFS(AC_SOTIEN,AC_DA,$C41,AC_THANG,V$1,AC_KM,$E41),SUMIFS(TF_SOTIEN,TF_DA,$C41,TF_THANG,V$1,TF_KM,$E41))/ 1000</f>
        <v>0</v>
      </c>
      <c r="W41" s="1223">
        <f>IF(NOW()&gt;=DATE(YEAR(W$1),MONTH(W$1)+1,DAY(W$1)),SUMIFS(AC_SOTIEN,AC_DA,$C41,AC_THANG,W$1,AC_KM,$E41),SUMIFS(TF_SOTIEN,TF_DA,$C41,TF_THANG,W$1,TF_KM,$E41))/ 1000</f>
        <v>0</v>
      </c>
      <c r="X41" s="1223">
        <f>IF(NOW()&gt;=DATE(YEAR(X$1),MONTH(X$1)+1,DAY(X$1)),SUMIFS(AC_SOTIEN,AC_DA,$C41,AC_THANG,X$1,AC_KM,$E41),SUMIFS(TF_SOTIEN,TF_DA,$C41,TF_THANG,X$1,TF_KM,$E41))/ 1000</f>
        <v>0</v>
      </c>
      <c r="Y41" s="1223">
        <f>IF(NOW()&gt;=DATE(YEAR(Y$1),MONTH(Y$1)+1,DAY(Y$1)),SUMIFS(AC_SOTIEN,AC_DA,$C41,AC_THANG,Y$1,AC_KM,$E41),SUMIFS(TF_SOTIEN,TF_DA,$C41,TF_THANG,Y$1,TF_KM,$E41))/ 1000</f>
        <v>0</v>
      </c>
      <c r="Z41" s="1223">
        <f>IF(NOW()&gt;=DATE(YEAR(Z$1),MONTH(Z$1)+1,DAY(Z$1)),SUMIFS(AC_SOTIEN,AC_DA,$C41,AC_THANG,Z$1,AC_KM,$E41),SUMIFS(TF_SOTIEN,TF_DA,$C41,TF_THANG,Z$1,TF_KM,$E41))/ 1000</f>
        <v>0</v>
      </c>
      <c r="AA41" s="1223">
        <f>IF(NOW()&gt;=DATE(YEAR(AA$1),MONTH(AA$1)+1,DAY(AA$1)),SUMIFS(AC_SOTIEN,AC_DA,$C41,AC_THANG,AA$1,AC_KM,$E41),SUMIFS(TF_SOTIEN,TF_DA,$C41,TF_THANG,AA$1,TF_KM,$E41))/ 1000</f>
        <v>0</v>
      </c>
    </row>
    <row r="42">
      <c r="A42" s="1215">
        <f t="shared" si="22"/>
        <v>8</v>
      </c>
      <c r="B42" s="1216"/>
      <c r="C42" s="1087" t="s">
        <v>2072</v>
      </c>
      <c r="D42" s="1216" t="str">
        <f>IF(C42="","", VLOOKUP(C42,DM_DUAN,2,0))</f>
        <v>TRẦN ANH GROUP</v>
      </c>
      <c r="E42" s="1217" t="s">
        <v>2239</v>
      </c>
      <c r="F42" s="1218">
        <v>632.0</v>
      </c>
      <c r="G42" s="1218">
        <v>2.0</v>
      </c>
      <c r="H42" s="1219">
        <f t="shared" si="23"/>
        <v>0</v>
      </c>
      <c r="I42" s="1220" t="str">
        <f t="shared" si="24"/>
        <v/>
      </c>
      <c r="J42" s="1221">
        <f t="shared" si="25"/>
        <v>0</v>
      </c>
      <c r="K42" s="1221">
        <f t="shared" si="26"/>
        <v>0</v>
      </c>
      <c r="L42" s="1222">
        <f t="shared" si="27"/>
        <v>0</v>
      </c>
      <c r="M42" s="1222">
        <f t="shared" si="28"/>
        <v>0</v>
      </c>
      <c r="N42" s="1222">
        <f t="shared" si="29"/>
        <v>0</v>
      </c>
      <c r="O42" s="1222">
        <f t="shared" si="30"/>
        <v>0</v>
      </c>
      <c r="P42" s="1223">
        <f>IF(NOW()&gt;=DATE(YEAR(P$1),MONTH(P$1)+1,DAY(P$1)),SUMIFS(AC_SOTIEN,AC_DA,$C42,AC_THANG,P$1,AC_KM,$E42),SUMIFS(TF_SOTIEN,TF_DA,$C42,TF_THANG,P$1,TF_KM,$E42))/ 1000</f>
        <v>0</v>
      </c>
      <c r="Q42" s="1223">
        <f>IF(NOW()&gt;=DATE(YEAR(Q$1),MONTH(Q$1)+1,DAY(Q$1)),SUMIFS(AC_SOTIEN,AC_DA,$C42,AC_THANG,Q$1,AC_KM,$E42),SUMIFS(TF_SOTIEN,TF_DA,$C42,TF_THANG,Q$1,TF_KM,$E42))/ 1000</f>
        <v>0</v>
      </c>
      <c r="R42" s="1223">
        <f>IF(NOW()&gt;=DATE(YEAR(R$1),MONTH(R$1)+1,DAY(R$1)),SUMIFS(AC_SOTIEN,AC_DA,$C42,AC_THANG,R$1,AC_KM,$E42),SUMIFS(TF_SOTIEN,TF_DA,$C42,TF_THANG,R$1,TF_KM,$E42))/ 1000</f>
        <v>0</v>
      </c>
      <c r="S42" s="1223">
        <f>IF(NOW()&gt;=DATE(YEAR(S$1),MONTH(S$1)+1,DAY(S$1)),SUMIFS(AC_SOTIEN,AC_DA,$C42,AC_THANG,S$1,AC_KM,$E42),SUMIFS(TF_SOTIEN,TF_DA,$C42,TF_THANG,S$1,TF_KM,$E42))/ 1000</f>
        <v>0</v>
      </c>
      <c r="T42" s="1223">
        <f>IF(NOW()&gt;=DATE(YEAR(T$1),MONTH(T$1)+1,DAY(T$1)),SUMIFS(AC_SOTIEN,AC_DA,$C42,AC_THANG,T$1,AC_KM,$E42),SUMIFS(TF_SOTIEN,TF_DA,$C42,TF_THANG,T$1,TF_KM,$E42))/ 1000</f>
        <v>0</v>
      </c>
      <c r="U42" s="1223">
        <f>IF(NOW()&gt;=DATE(YEAR(U$1),MONTH(U$1)+1,DAY(U$1)),SUMIFS(AC_SOTIEN,AC_DA,$C42,AC_THANG,U$1,AC_KM,$E42),SUMIFS(TF_SOTIEN,TF_DA,$C42,TF_THANG,U$1,TF_KM,$E42))/ 1000</f>
        <v>0</v>
      </c>
      <c r="V42" s="1223">
        <f>IF(NOW()&gt;=DATE(YEAR(V$1),MONTH(V$1)+1,DAY(V$1)),SUMIFS(AC_SOTIEN,AC_DA,$C42,AC_THANG,V$1,AC_KM,$E42),SUMIFS(TF_SOTIEN,TF_DA,$C42,TF_THANG,V$1,TF_KM,$E42))/ 1000</f>
        <v>0</v>
      </c>
      <c r="W42" s="1223">
        <f>IF(NOW()&gt;=DATE(YEAR(W$1),MONTH(W$1)+1,DAY(W$1)),SUMIFS(AC_SOTIEN,AC_DA,$C42,AC_THANG,W$1,AC_KM,$E42),SUMIFS(TF_SOTIEN,TF_DA,$C42,TF_THANG,W$1,TF_KM,$E42))/ 1000</f>
        <v>0</v>
      </c>
      <c r="X42" s="1223">
        <f>IF(NOW()&gt;=DATE(YEAR(X$1),MONTH(X$1)+1,DAY(X$1)),SUMIFS(AC_SOTIEN,AC_DA,$C42,AC_THANG,X$1,AC_KM,$E42),SUMIFS(TF_SOTIEN,TF_DA,$C42,TF_THANG,X$1,TF_KM,$E42))/ 1000</f>
        <v>0</v>
      </c>
      <c r="Y42" s="1223">
        <f>IF(NOW()&gt;=DATE(YEAR(Y$1),MONTH(Y$1)+1,DAY(Y$1)),SUMIFS(AC_SOTIEN,AC_DA,$C42,AC_THANG,Y$1,AC_KM,$E42),SUMIFS(TF_SOTIEN,TF_DA,$C42,TF_THANG,Y$1,TF_KM,$E42))/ 1000</f>
        <v>0</v>
      </c>
      <c r="Z42" s="1223">
        <f>IF(NOW()&gt;=DATE(YEAR(Z$1),MONTH(Z$1)+1,DAY(Z$1)),SUMIFS(AC_SOTIEN,AC_DA,$C42,AC_THANG,Z$1,AC_KM,$E42),SUMIFS(TF_SOTIEN,TF_DA,$C42,TF_THANG,Z$1,TF_KM,$E42))/ 1000</f>
        <v>0</v>
      </c>
      <c r="AA42" s="1223">
        <f>IF(NOW()&gt;=DATE(YEAR(AA$1),MONTH(AA$1)+1,DAY(AA$1)),SUMIFS(AC_SOTIEN,AC_DA,$C42,AC_THANG,AA$1,AC_KM,$E42),SUMIFS(TF_SOTIEN,TF_DA,$C42,TF_THANG,AA$1,TF_KM,$E42))/ 1000</f>
        <v>0</v>
      </c>
    </row>
    <row r="43">
      <c r="A43" s="1215">
        <f t="shared" si="22"/>
        <v>9</v>
      </c>
      <c r="B43" s="1216"/>
      <c r="C43" s="1087" t="s">
        <v>2073</v>
      </c>
      <c r="D43" s="1216" t="str">
        <f>IF(C43="","", VLOOKUP(C43,DM_DUAN,2,0))</f>
        <v>PHI TRƯỜNG</v>
      </c>
      <c r="E43" s="1217" t="s">
        <v>2239</v>
      </c>
      <c r="F43" s="1218">
        <v>632.0</v>
      </c>
      <c r="G43" s="1218">
        <v>2.0</v>
      </c>
      <c r="H43" s="1219">
        <f t="shared" si="23"/>
        <v>0</v>
      </c>
      <c r="I43" s="1220" t="str">
        <f t="shared" si="24"/>
        <v/>
      </c>
      <c r="J43" s="1221">
        <f t="shared" si="25"/>
        <v>0</v>
      </c>
      <c r="K43" s="1221">
        <f t="shared" si="26"/>
        <v>0</v>
      </c>
      <c r="L43" s="1222">
        <f t="shared" si="27"/>
        <v>0</v>
      </c>
      <c r="M43" s="1222">
        <f t="shared" si="28"/>
        <v>0</v>
      </c>
      <c r="N43" s="1222">
        <f t="shared" si="29"/>
        <v>0</v>
      </c>
      <c r="O43" s="1222">
        <f t="shared" si="30"/>
        <v>0</v>
      </c>
      <c r="P43" s="1223">
        <f>IF(NOW()&gt;=DATE(YEAR(P$1),MONTH(P$1)+1,DAY(P$1)),SUMIFS(AC_SOTIEN,AC_DA,$C43,AC_THANG,P$1,AC_KM,$E43),SUMIFS(TF_SOTIEN,TF_DA,$C43,TF_THANG,P$1,TF_KM,$E43))/ 1000</f>
        <v>0</v>
      </c>
      <c r="Q43" s="1223">
        <f>IF(NOW()&gt;=DATE(YEAR(Q$1),MONTH(Q$1)+1,DAY(Q$1)),SUMIFS(AC_SOTIEN,AC_DA,$C43,AC_THANG,Q$1,AC_KM,$E43),SUMIFS(TF_SOTIEN,TF_DA,$C43,TF_THANG,Q$1,TF_KM,$E43))/ 1000</f>
        <v>0</v>
      </c>
      <c r="R43" s="1223">
        <f>IF(NOW()&gt;=DATE(YEAR(R$1),MONTH(R$1)+1,DAY(R$1)),SUMIFS(AC_SOTIEN,AC_DA,$C43,AC_THANG,R$1,AC_KM,$E43),SUMIFS(TF_SOTIEN,TF_DA,$C43,TF_THANG,R$1,TF_KM,$E43))/ 1000</f>
        <v>0</v>
      </c>
      <c r="S43" s="1223">
        <f>IF(NOW()&gt;=DATE(YEAR(S$1),MONTH(S$1)+1,DAY(S$1)),SUMIFS(AC_SOTIEN,AC_DA,$C43,AC_THANG,S$1,AC_KM,$E43),SUMIFS(TF_SOTIEN,TF_DA,$C43,TF_THANG,S$1,TF_KM,$E43))/ 1000</f>
        <v>0</v>
      </c>
      <c r="T43" s="1223">
        <f>IF(NOW()&gt;=DATE(YEAR(T$1),MONTH(T$1)+1,DAY(T$1)),SUMIFS(AC_SOTIEN,AC_DA,$C43,AC_THANG,T$1,AC_KM,$E43),SUMIFS(TF_SOTIEN,TF_DA,$C43,TF_THANG,T$1,TF_KM,$E43))/ 1000</f>
        <v>0</v>
      </c>
      <c r="U43" s="1223">
        <f>IF(NOW()&gt;=DATE(YEAR(U$1),MONTH(U$1)+1,DAY(U$1)),SUMIFS(AC_SOTIEN,AC_DA,$C43,AC_THANG,U$1,AC_KM,$E43),SUMIFS(TF_SOTIEN,TF_DA,$C43,TF_THANG,U$1,TF_KM,$E43))/ 1000</f>
        <v>0</v>
      </c>
      <c r="V43" s="1223">
        <f>IF(NOW()&gt;=DATE(YEAR(V$1),MONTH(V$1)+1,DAY(V$1)),SUMIFS(AC_SOTIEN,AC_DA,$C43,AC_THANG,V$1,AC_KM,$E43),SUMIFS(TF_SOTIEN,TF_DA,$C43,TF_THANG,V$1,TF_KM,$E43))/ 1000</f>
        <v>0</v>
      </c>
      <c r="W43" s="1223">
        <f>IF(NOW()&gt;=DATE(YEAR(W$1),MONTH(W$1)+1,DAY(W$1)),SUMIFS(AC_SOTIEN,AC_DA,$C43,AC_THANG,W$1,AC_KM,$E43),SUMIFS(TF_SOTIEN,TF_DA,$C43,TF_THANG,W$1,TF_KM,$E43))/ 1000</f>
        <v>0</v>
      </c>
      <c r="X43" s="1223">
        <f>IF(NOW()&gt;=DATE(YEAR(X$1),MONTH(X$1)+1,DAY(X$1)),SUMIFS(AC_SOTIEN,AC_DA,$C43,AC_THANG,X$1,AC_KM,$E43),SUMIFS(TF_SOTIEN,TF_DA,$C43,TF_THANG,X$1,TF_KM,$E43))/ 1000</f>
        <v>0</v>
      </c>
      <c r="Y43" s="1223">
        <f>IF(NOW()&gt;=DATE(YEAR(Y$1),MONTH(Y$1)+1,DAY(Y$1)),SUMIFS(AC_SOTIEN,AC_DA,$C43,AC_THANG,Y$1,AC_KM,$E43),SUMIFS(TF_SOTIEN,TF_DA,$C43,TF_THANG,Y$1,TF_KM,$E43))/ 1000</f>
        <v>0</v>
      </c>
      <c r="Z43" s="1223">
        <f>IF(NOW()&gt;=DATE(YEAR(Z$1),MONTH(Z$1)+1,DAY(Z$1)),SUMIFS(AC_SOTIEN,AC_DA,$C43,AC_THANG,Z$1,AC_KM,$E43),SUMIFS(TF_SOTIEN,TF_DA,$C43,TF_THANG,Z$1,TF_KM,$E43))/ 1000</f>
        <v>0</v>
      </c>
      <c r="AA43" s="1223">
        <f>IF(NOW()&gt;=DATE(YEAR(AA$1),MONTH(AA$1)+1,DAY(AA$1)),SUMIFS(AC_SOTIEN,AC_DA,$C43,AC_THANG,AA$1,AC_KM,$E43),SUMIFS(TF_SOTIEN,TF_DA,$C43,TF_THANG,AA$1,TF_KM,$E43))/ 1000</f>
        <v>0</v>
      </c>
    </row>
    <row r="44">
      <c r="A44" s="1215">
        <f t="shared" si="22"/>
        <v>10</v>
      </c>
      <c r="B44" s="1216"/>
      <c r="C44" s="1087" t="s">
        <v>2074</v>
      </c>
      <c r="D44" s="1216" t="str">
        <f>IF(C44="","", VLOOKUP(C44,DM_DUAN,2,0))</f>
        <v>HOÀNG CÁT</v>
      </c>
      <c r="E44" s="1217" t="s">
        <v>2239</v>
      </c>
      <c r="F44" s="1218">
        <v>632.0</v>
      </c>
      <c r="G44" s="1227">
        <v>2.0</v>
      </c>
      <c r="H44" s="1219">
        <f t="shared" si="23"/>
        <v>0</v>
      </c>
      <c r="I44" s="1220" t="str">
        <f t="shared" si="24"/>
        <v/>
      </c>
      <c r="J44" s="1221">
        <f t="shared" si="25"/>
        <v>0</v>
      </c>
      <c r="K44" s="1221">
        <f t="shared" si="26"/>
        <v>0</v>
      </c>
      <c r="L44" s="1222">
        <f t="shared" si="27"/>
        <v>0</v>
      </c>
      <c r="M44" s="1222">
        <f t="shared" si="28"/>
        <v>0</v>
      </c>
      <c r="N44" s="1222">
        <f t="shared" si="29"/>
        <v>0</v>
      </c>
      <c r="O44" s="1222">
        <f t="shared" si="30"/>
        <v>0</v>
      </c>
      <c r="P44" s="1223">
        <f>IF(NOW()&gt;=DATE(YEAR(P$1),MONTH(P$1)+1,DAY(P$1)),SUMIFS(AC_SOTIEN,AC_DA,$C44,AC_THANG,P$1,AC_KM,$E44),SUMIFS(TF_SOTIEN,TF_DA,$C44,TF_THANG,P$1,TF_KM,$E44))/ 1000</f>
        <v>0</v>
      </c>
      <c r="Q44" s="1223">
        <f>IF(NOW()&gt;=DATE(YEAR(Q$1),MONTH(Q$1)+1,DAY(Q$1)),SUMIFS(AC_SOTIEN,AC_DA,$C44,AC_THANG,Q$1,AC_KM,$E44),SUMIFS(TF_SOTIEN,TF_DA,$C44,TF_THANG,Q$1,TF_KM,$E44))/ 1000</f>
        <v>0</v>
      </c>
      <c r="R44" s="1223">
        <f>IF(NOW()&gt;=DATE(YEAR(R$1),MONTH(R$1)+1,DAY(R$1)),SUMIFS(AC_SOTIEN,AC_DA,$C44,AC_THANG,R$1,AC_KM,$E44),SUMIFS(TF_SOTIEN,TF_DA,$C44,TF_THANG,R$1,TF_KM,$E44))/ 1000</f>
        <v>0</v>
      </c>
      <c r="S44" s="1223">
        <f>IF(NOW()&gt;=DATE(YEAR(S$1),MONTH(S$1)+1,DAY(S$1)),SUMIFS(AC_SOTIEN,AC_DA,$C44,AC_THANG,S$1,AC_KM,$E44),SUMIFS(TF_SOTIEN,TF_DA,$C44,TF_THANG,S$1,TF_KM,$E44))/ 1000</f>
        <v>0</v>
      </c>
      <c r="T44" s="1223">
        <f>IF(NOW()&gt;=DATE(YEAR(T$1),MONTH(T$1)+1,DAY(T$1)),SUMIFS(AC_SOTIEN,AC_DA,$C44,AC_THANG,T$1,AC_KM,$E44),SUMIFS(TF_SOTIEN,TF_DA,$C44,TF_THANG,T$1,TF_KM,$E44))/ 1000</f>
        <v>0</v>
      </c>
      <c r="U44" s="1223">
        <f>IF(NOW()&gt;=DATE(YEAR(U$1),MONTH(U$1)+1,DAY(U$1)),SUMIFS(AC_SOTIEN,AC_DA,$C44,AC_THANG,U$1,AC_KM,$E44),SUMIFS(TF_SOTIEN,TF_DA,$C44,TF_THANG,U$1,TF_KM,$E44))/ 1000</f>
        <v>0</v>
      </c>
      <c r="V44" s="1223">
        <f>IF(NOW()&gt;=DATE(YEAR(V$1),MONTH(V$1)+1,DAY(V$1)),SUMIFS(AC_SOTIEN,AC_DA,$C44,AC_THANG,V$1,AC_KM,$E44),SUMIFS(TF_SOTIEN,TF_DA,$C44,TF_THANG,V$1,TF_KM,$E44))/ 1000</f>
        <v>0</v>
      </c>
      <c r="W44" s="1223">
        <f>IF(NOW()&gt;=DATE(YEAR(W$1),MONTH(W$1)+1,DAY(W$1)),SUMIFS(AC_SOTIEN,AC_DA,$C44,AC_THANG,W$1,AC_KM,$E44),SUMIFS(TF_SOTIEN,TF_DA,$C44,TF_THANG,W$1,TF_KM,$E44))/ 1000</f>
        <v>0</v>
      </c>
      <c r="X44" s="1223">
        <f>IF(NOW()&gt;=DATE(YEAR(X$1),MONTH(X$1)+1,DAY(X$1)),SUMIFS(AC_SOTIEN,AC_DA,$C44,AC_THANG,X$1,AC_KM,$E44),SUMIFS(TF_SOTIEN,TF_DA,$C44,TF_THANG,X$1,TF_KM,$E44))/ 1000</f>
        <v>0</v>
      </c>
      <c r="Y44" s="1223">
        <f>IF(NOW()&gt;=DATE(YEAR(Y$1),MONTH(Y$1)+1,DAY(Y$1)),SUMIFS(AC_SOTIEN,AC_DA,$C44,AC_THANG,Y$1,AC_KM,$E44),SUMIFS(TF_SOTIEN,TF_DA,$C44,TF_THANG,Y$1,TF_KM,$E44))/ 1000</f>
        <v>0</v>
      </c>
      <c r="Z44" s="1223">
        <f>IF(NOW()&gt;=DATE(YEAR(Z$1),MONTH(Z$1)+1,DAY(Z$1)),SUMIFS(AC_SOTIEN,AC_DA,$C44,AC_THANG,Z$1,AC_KM,$E44),SUMIFS(TF_SOTIEN,TF_DA,$C44,TF_THANG,Z$1,TF_KM,$E44))/ 1000</f>
        <v>0</v>
      </c>
      <c r="AA44" s="1223">
        <f>IF(NOW()&gt;=DATE(YEAR(AA$1),MONTH(AA$1)+1,DAY(AA$1)),SUMIFS(AC_SOTIEN,AC_DA,$C44,AC_THANG,AA$1,AC_KM,$E44),SUMIFS(TF_SOTIEN,TF_DA,$C44,TF_THANG,AA$1,TF_KM,$E44))/ 1000</f>
        <v>0</v>
      </c>
    </row>
    <row r="45">
      <c r="A45" s="1215">
        <f t="shared" si="22"/>
        <v>11</v>
      </c>
      <c r="B45" s="1216"/>
      <c r="C45" s="656" t="s">
        <v>530</v>
      </c>
      <c r="D45" s="1216" t="str">
        <f>IF(C45="","", VLOOKUP(C45,DM_DUAN,2,0))</f>
        <v>Nhà vườn sinh thái</v>
      </c>
      <c r="E45" s="1217" t="s">
        <v>2239</v>
      </c>
      <c r="F45" s="1218">
        <v>632.0</v>
      </c>
      <c r="G45" s="1227">
        <v>2.0</v>
      </c>
      <c r="H45" s="1219">
        <f t="shared" si="23"/>
        <v>0</v>
      </c>
      <c r="I45" s="1220" t="str">
        <f t="shared" si="24"/>
        <v/>
      </c>
      <c r="J45" s="1221">
        <f t="shared" si="25"/>
        <v>0</v>
      </c>
      <c r="K45" s="1221">
        <f t="shared" si="26"/>
        <v>0</v>
      </c>
      <c r="L45" s="1222">
        <f t="shared" si="27"/>
        <v>0</v>
      </c>
      <c r="M45" s="1222">
        <f t="shared" si="28"/>
        <v>0</v>
      </c>
      <c r="N45" s="1222">
        <f t="shared" si="29"/>
        <v>0</v>
      </c>
      <c r="O45" s="1222">
        <f t="shared" si="30"/>
        <v>0</v>
      </c>
      <c r="P45" s="1223">
        <f>IF(NOW()&gt;=DATE(YEAR(P$1),MONTH(P$1)+1,DAY(P$1)),SUMIFS(AC_SOTIEN,AC_DA,$C45,AC_THANG,P$1,AC_KM,$E45),SUMIFS(TF_SOTIEN,TF_DA,$C45,TF_THANG,P$1,TF_KM,$E45))/ 1000</f>
        <v>0</v>
      </c>
      <c r="Q45" s="1223">
        <f>IF(NOW()&gt;=DATE(YEAR(Q$1),MONTH(Q$1)+1,DAY(Q$1)),SUMIFS(AC_SOTIEN,AC_DA,$C45,AC_THANG,Q$1,AC_KM,$E45),SUMIFS(TF_SOTIEN,TF_DA,$C45,TF_THANG,Q$1,TF_KM,$E45))/ 1000</f>
        <v>0</v>
      </c>
      <c r="R45" s="1223">
        <f>IF(NOW()&gt;=DATE(YEAR(R$1),MONTH(R$1)+1,DAY(R$1)),SUMIFS(AC_SOTIEN,AC_DA,$C45,AC_THANG,R$1,AC_KM,$E45),SUMIFS(TF_SOTIEN,TF_DA,$C45,TF_THANG,R$1,TF_KM,$E45))/ 1000</f>
        <v>0</v>
      </c>
      <c r="S45" s="1223">
        <f>IF(NOW()&gt;=DATE(YEAR(S$1),MONTH(S$1)+1,DAY(S$1)),SUMIFS(AC_SOTIEN,AC_DA,$C45,AC_THANG,S$1,AC_KM,$E45),SUMIFS(TF_SOTIEN,TF_DA,$C45,TF_THANG,S$1,TF_KM,$E45))/ 1000</f>
        <v>0</v>
      </c>
      <c r="T45" s="1223">
        <f>IF(NOW()&gt;=DATE(YEAR(T$1),MONTH(T$1)+1,DAY(T$1)),SUMIFS(AC_SOTIEN,AC_DA,$C45,AC_THANG,T$1,AC_KM,$E45),SUMIFS(TF_SOTIEN,TF_DA,$C45,TF_THANG,T$1,TF_KM,$E45))/ 1000</f>
        <v>0</v>
      </c>
      <c r="U45" s="1223">
        <f>IF(NOW()&gt;=DATE(YEAR(U$1),MONTH(U$1)+1,DAY(U$1)),SUMIFS(AC_SOTIEN,AC_DA,$C45,AC_THANG,U$1,AC_KM,$E45),SUMIFS(TF_SOTIEN,TF_DA,$C45,TF_THANG,U$1,TF_KM,$E45))/ 1000</f>
        <v>0</v>
      </c>
      <c r="V45" s="1223">
        <f>IF(NOW()&gt;=DATE(YEAR(V$1),MONTH(V$1)+1,DAY(V$1)),SUMIFS(AC_SOTIEN,AC_DA,$C45,AC_THANG,V$1,AC_KM,$E45),SUMIFS(TF_SOTIEN,TF_DA,$C45,TF_THANG,V$1,TF_KM,$E45))/ 1000</f>
        <v>0</v>
      </c>
      <c r="W45" s="1223">
        <f>IF(NOW()&gt;=DATE(YEAR(W$1),MONTH(W$1)+1,DAY(W$1)),SUMIFS(AC_SOTIEN,AC_DA,$C45,AC_THANG,W$1,AC_KM,$E45),SUMIFS(TF_SOTIEN,TF_DA,$C45,TF_THANG,W$1,TF_KM,$E45))/ 1000</f>
        <v>0</v>
      </c>
      <c r="X45" s="1223">
        <f>IF(NOW()&gt;=DATE(YEAR(X$1),MONTH(X$1)+1,DAY(X$1)),SUMIFS(AC_SOTIEN,AC_DA,$C45,AC_THANG,X$1,AC_KM,$E45),SUMIFS(TF_SOTIEN,TF_DA,$C45,TF_THANG,X$1,TF_KM,$E45))/ 1000</f>
        <v>0</v>
      </c>
      <c r="Y45" s="1223">
        <f>IF(NOW()&gt;=DATE(YEAR(Y$1),MONTH(Y$1)+1,DAY(Y$1)),SUMIFS(AC_SOTIEN,AC_DA,$C45,AC_THANG,Y$1,AC_KM,$E45),SUMIFS(TF_SOTIEN,TF_DA,$C45,TF_THANG,Y$1,TF_KM,$E45))/ 1000</f>
        <v>0</v>
      </c>
      <c r="Z45" s="1223">
        <f>IF(NOW()&gt;=DATE(YEAR(Z$1),MONTH(Z$1)+1,DAY(Z$1)),SUMIFS(AC_SOTIEN,AC_DA,$C45,AC_THANG,Z$1,AC_KM,$E45),SUMIFS(TF_SOTIEN,TF_DA,$C45,TF_THANG,Z$1,TF_KM,$E45))/ 1000</f>
        <v>0</v>
      </c>
      <c r="AA45" s="1223">
        <f>IF(NOW()&gt;=DATE(YEAR(AA$1),MONTH(AA$1)+1,DAY(AA$1)),SUMIFS(AC_SOTIEN,AC_DA,$C45,AC_THANG,AA$1,AC_KM,$E45),SUMIFS(TF_SOTIEN,TF_DA,$C45,TF_THANG,AA$1,TF_KM,$E45))/ 1000</f>
        <v>0</v>
      </c>
    </row>
    <row r="46">
      <c r="A46" s="1215">
        <f t="shared" si="22"/>
        <v>12</v>
      </c>
      <c r="B46" s="1216"/>
      <c r="C46" s="656" t="s">
        <v>875</v>
      </c>
      <c r="D46" s="1216" t="str">
        <f>IF(C46="","", VLOOKUP(C46,DM_DUAN,2,0))</f>
        <v>Sản phẩm Long Khánh 2</v>
      </c>
      <c r="E46" s="1217" t="s">
        <v>2239</v>
      </c>
      <c r="F46" s="1218">
        <v>632.0</v>
      </c>
      <c r="G46" s="1227">
        <v>2.0</v>
      </c>
      <c r="H46" s="1219">
        <f t="shared" si="23"/>
        <v>0</v>
      </c>
      <c r="I46" s="1220" t="str">
        <f t="shared" si="24"/>
        <v/>
      </c>
      <c r="J46" s="1221">
        <f t="shared" si="25"/>
        <v>0</v>
      </c>
      <c r="K46" s="1221">
        <f t="shared" si="26"/>
        <v>0</v>
      </c>
      <c r="L46" s="1222">
        <f t="shared" si="27"/>
        <v>0</v>
      </c>
      <c r="M46" s="1222">
        <f t="shared" si="28"/>
        <v>0</v>
      </c>
      <c r="N46" s="1222">
        <f t="shared" si="29"/>
        <v>0</v>
      </c>
      <c r="O46" s="1222">
        <f t="shared" si="30"/>
        <v>0</v>
      </c>
      <c r="P46" s="1223">
        <f>IF(NOW()&gt;=DATE(YEAR(P$1),MONTH(P$1)+1,DAY(P$1)),SUMIFS(AC_SOTIEN,AC_DA,$C46,AC_THANG,P$1,AC_KM,$E46),SUMIFS(TF_SOTIEN,TF_DA,$C46,TF_THANG,P$1,TF_KM,$E46))/ 1000</f>
        <v>0</v>
      </c>
      <c r="Q46" s="1223">
        <f>IF(NOW()&gt;=DATE(YEAR(Q$1),MONTH(Q$1)+1,DAY(Q$1)),SUMIFS(AC_SOTIEN,AC_DA,$C46,AC_THANG,Q$1,AC_KM,$E46),SUMIFS(TF_SOTIEN,TF_DA,$C46,TF_THANG,Q$1,TF_KM,$E46))/ 1000</f>
        <v>0</v>
      </c>
      <c r="R46" s="1223">
        <f>IF(NOW()&gt;=DATE(YEAR(R$1),MONTH(R$1)+1,DAY(R$1)),SUMIFS(AC_SOTIEN,AC_DA,$C46,AC_THANG,R$1,AC_KM,$E46),SUMIFS(TF_SOTIEN,TF_DA,$C46,TF_THANG,R$1,TF_KM,$E46))/ 1000</f>
        <v>0</v>
      </c>
      <c r="S46" s="1223">
        <f>IF(NOW()&gt;=DATE(YEAR(S$1),MONTH(S$1)+1,DAY(S$1)),SUMIFS(AC_SOTIEN,AC_DA,$C46,AC_THANG,S$1,AC_KM,$E46),SUMIFS(TF_SOTIEN,TF_DA,$C46,TF_THANG,S$1,TF_KM,$E46))/ 1000</f>
        <v>0</v>
      </c>
      <c r="T46" s="1223">
        <f>IF(NOW()&gt;=DATE(YEAR(T$1),MONTH(T$1)+1,DAY(T$1)),SUMIFS(AC_SOTIEN,AC_DA,$C46,AC_THANG,T$1,AC_KM,$E46),SUMIFS(TF_SOTIEN,TF_DA,$C46,TF_THANG,T$1,TF_KM,$E46))/ 1000</f>
        <v>0</v>
      </c>
      <c r="U46" s="1223">
        <f>IF(NOW()&gt;=DATE(YEAR(U$1),MONTH(U$1)+1,DAY(U$1)),SUMIFS(AC_SOTIEN,AC_DA,$C46,AC_THANG,U$1,AC_KM,$E46),SUMIFS(TF_SOTIEN,TF_DA,$C46,TF_THANG,U$1,TF_KM,$E46))/ 1000</f>
        <v>0</v>
      </c>
      <c r="V46" s="1223">
        <f>IF(NOW()&gt;=DATE(YEAR(V$1),MONTH(V$1)+1,DAY(V$1)),SUMIFS(AC_SOTIEN,AC_DA,$C46,AC_THANG,V$1,AC_KM,$E46),SUMIFS(TF_SOTIEN,TF_DA,$C46,TF_THANG,V$1,TF_KM,$E46))/ 1000</f>
        <v>0</v>
      </c>
      <c r="W46" s="1223">
        <f>IF(NOW()&gt;=DATE(YEAR(W$1),MONTH(W$1)+1,DAY(W$1)),SUMIFS(AC_SOTIEN,AC_DA,$C46,AC_THANG,W$1,AC_KM,$E46),SUMIFS(TF_SOTIEN,TF_DA,$C46,TF_THANG,W$1,TF_KM,$E46))/ 1000</f>
        <v>0</v>
      </c>
      <c r="X46" s="1223">
        <f>IF(NOW()&gt;=DATE(YEAR(X$1),MONTH(X$1)+1,DAY(X$1)),SUMIFS(AC_SOTIEN,AC_DA,$C46,AC_THANG,X$1,AC_KM,$E46),SUMIFS(TF_SOTIEN,TF_DA,$C46,TF_THANG,X$1,TF_KM,$E46))/ 1000</f>
        <v>0</v>
      </c>
      <c r="Y46" s="1223">
        <f>IF(NOW()&gt;=DATE(YEAR(Y$1),MONTH(Y$1)+1,DAY(Y$1)),SUMIFS(AC_SOTIEN,AC_DA,$C46,AC_THANG,Y$1,AC_KM,$E46),SUMIFS(TF_SOTIEN,TF_DA,$C46,TF_THANG,Y$1,TF_KM,$E46))/ 1000</f>
        <v>0</v>
      </c>
      <c r="Z46" s="1223">
        <f>IF(NOW()&gt;=DATE(YEAR(Z$1),MONTH(Z$1)+1,DAY(Z$1)),SUMIFS(AC_SOTIEN,AC_DA,$C46,AC_THANG,Z$1,AC_KM,$E46),SUMIFS(TF_SOTIEN,TF_DA,$C46,TF_THANG,Z$1,TF_KM,$E46))/ 1000</f>
        <v>0</v>
      </c>
      <c r="AA46" s="1223">
        <f>IF(NOW()&gt;=DATE(YEAR(AA$1),MONTH(AA$1)+1,DAY(AA$1)),SUMIFS(AC_SOTIEN,AC_DA,$C46,AC_THANG,AA$1,AC_KM,$E46),SUMIFS(TF_SOTIEN,TF_DA,$C46,TF_THANG,AA$1,TF_KM,$E46))/ 1000</f>
        <v>0</v>
      </c>
    </row>
    <row r="47">
      <c r="A47" s="1215">
        <f t="shared" si="22"/>
        <v>13</v>
      </c>
      <c r="B47" s="1216"/>
      <c r="C47" s="656" t="s">
        <v>636</v>
      </c>
      <c r="D47" s="1216" t="str">
        <f>IF(C47="","", VLOOKUP(C47,DM_DUAN,2,0))</f>
        <v>Sản phẩm Long Khánh 3</v>
      </c>
      <c r="E47" s="1217" t="s">
        <v>2239</v>
      </c>
      <c r="F47" s="1218">
        <v>632.0</v>
      </c>
      <c r="G47" s="1227">
        <v>2.0</v>
      </c>
      <c r="H47" s="1219">
        <f t="shared" si="23"/>
        <v>0</v>
      </c>
      <c r="I47" s="1220" t="str">
        <f t="shared" si="24"/>
        <v/>
      </c>
      <c r="J47" s="1221">
        <f t="shared" si="25"/>
        <v>0</v>
      </c>
      <c r="K47" s="1221">
        <f t="shared" si="26"/>
        <v>0</v>
      </c>
      <c r="L47" s="1222">
        <f t="shared" si="27"/>
        <v>0</v>
      </c>
      <c r="M47" s="1222">
        <f t="shared" si="28"/>
        <v>0</v>
      </c>
      <c r="N47" s="1222">
        <f t="shared" si="29"/>
        <v>0</v>
      </c>
      <c r="O47" s="1222">
        <f t="shared" si="30"/>
        <v>0</v>
      </c>
      <c r="P47" s="1223">
        <f>IF(NOW()&gt;=DATE(YEAR(P$1),MONTH(P$1)+1,DAY(P$1)),SUMIFS(AC_SOTIEN,AC_DA,$C47,AC_THANG,P$1,AC_KM,$E47),SUMIFS(TF_SOTIEN,TF_DA,$C47,TF_THANG,P$1,TF_KM,$E47))/ 1000</f>
        <v>0</v>
      </c>
      <c r="Q47" s="1223">
        <f>IF(NOW()&gt;=DATE(YEAR(Q$1),MONTH(Q$1)+1,DAY(Q$1)),SUMIFS(AC_SOTIEN,AC_DA,$C47,AC_THANG,Q$1,AC_KM,$E47),SUMIFS(TF_SOTIEN,TF_DA,$C47,TF_THANG,Q$1,TF_KM,$E47))/ 1000</f>
        <v>0</v>
      </c>
      <c r="R47" s="1223">
        <f>IF(NOW()&gt;=DATE(YEAR(R$1),MONTH(R$1)+1,DAY(R$1)),SUMIFS(AC_SOTIEN,AC_DA,$C47,AC_THANG,R$1,AC_KM,$E47),SUMIFS(TF_SOTIEN,TF_DA,$C47,TF_THANG,R$1,TF_KM,$E47))/ 1000</f>
        <v>0</v>
      </c>
      <c r="S47" s="1223">
        <f>IF(NOW()&gt;=DATE(YEAR(S$1),MONTH(S$1)+1,DAY(S$1)),SUMIFS(AC_SOTIEN,AC_DA,$C47,AC_THANG,S$1,AC_KM,$E47),SUMIFS(TF_SOTIEN,TF_DA,$C47,TF_THANG,S$1,TF_KM,$E47))/ 1000</f>
        <v>0</v>
      </c>
      <c r="T47" s="1223">
        <f>IF(NOW()&gt;=DATE(YEAR(T$1),MONTH(T$1)+1,DAY(T$1)),SUMIFS(AC_SOTIEN,AC_DA,$C47,AC_THANG,T$1,AC_KM,$E47),SUMIFS(TF_SOTIEN,TF_DA,$C47,TF_THANG,T$1,TF_KM,$E47))/ 1000</f>
        <v>0</v>
      </c>
      <c r="U47" s="1223">
        <f>IF(NOW()&gt;=DATE(YEAR(U$1),MONTH(U$1)+1,DAY(U$1)),SUMIFS(AC_SOTIEN,AC_DA,$C47,AC_THANG,U$1,AC_KM,$E47),SUMIFS(TF_SOTIEN,TF_DA,$C47,TF_THANG,U$1,TF_KM,$E47))/ 1000</f>
        <v>0</v>
      </c>
      <c r="V47" s="1223">
        <f>IF(NOW()&gt;=DATE(YEAR(V$1),MONTH(V$1)+1,DAY(V$1)),SUMIFS(AC_SOTIEN,AC_DA,$C47,AC_THANG,V$1,AC_KM,$E47),SUMIFS(TF_SOTIEN,TF_DA,$C47,TF_THANG,V$1,TF_KM,$E47))/ 1000</f>
        <v>0</v>
      </c>
      <c r="W47" s="1223">
        <f>IF(NOW()&gt;=DATE(YEAR(W$1),MONTH(W$1)+1,DAY(W$1)),SUMIFS(AC_SOTIEN,AC_DA,$C47,AC_THANG,W$1,AC_KM,$E47),SUMIFS(TF_SOTIEN,TF_DA,$C47,TF_THANG,W$1,TF_KM,$E47))/ 1000</f>
        <v>0</v>
      </c>
      <c r="X47" s="1223">
        <f>IF(NOW()&gt;=DATE(YEAR(X$1),MONTH(X$1)+1,DAY(X$1)),SUMIFS(AC_SOTIEN,AC_DA,$C47,AC_THANG,X$1,AC_KM,$E47),SUMIFS(TF_SOTIEN,TF_DA,$C47,TF_THANG,X$1,TF_KM,$E47))/ 1000</f>
        <v>0</v>
      </c>
      <c r="Y47" s="1223">
        <f>IF(NOW()&gt;=DATE(YEAR(Y$1),MONTH(Y$1)+1,DAY(Y$1)),SUMIFS(AC_SOTIEN,AC_DA,$C47,AC_THANG,Y$1,AC_KM,$E47),SUMIFS(TF_SOTIEN,TF_DA,$C47,TF_THANG,Y$1,TF_KM,$E47))/ 1000</f>
        <v>0</v>
      </c>
      <c r="Z47" s="1223">
        <f>IF(NOW()&gt;=DATE(YEAR(Z$1),MONTH(Z$1)+1,DAY(Z$1)),SUMIFS(AC_SOTIEN,AC_DA,$C47,AC_THANG,Z$1,AC_KM,$E47),SUMIFS(TF_SOTIEN,TF_DA,$C47,TF_THANG,Z$1,TF_KM,$E47))/ 1000</f>
        <v>0</v>
      </c>
      <c r="AA47" s="1223">
        <f>IF(NOW()&gt;=DATE(YEAR(AA$1),MONTH(AA$1)+1,DAY(AA$1)),SUMIFS(AC_SOTIEN,AC_DA,$C47,AC_THANG,AA$1,AC_KM,$E47),SUMIFS(TF_SOTIEN,TF_DA,$C47,TF_THANG,AA$1,TF_KM,$E47))/ 1000</f>
        <v>0</v>
      </c>
    </row>
    <row r="48">
      <c r="A48" s="1215">
        <f t="shared" si="22"/>
        <v>14</v>
      </c>
      <c r="B48" s="1216"/>
      <c r="C48" s="656" t="s">
        <v>956</v>
      </c>
      <c r="D48" s="1216" t="str">
        <f>IF(C48="","", VLOOKUP(C48,DM_DUAN,2,0))</f>
        <v>KDC Lộc Ngãi</v>
      </c>
      <c r="E48" s="1217" t="s">
        <v>2239</v>
      </c>
      <c r="F48" s="1218">
        <v>632.0</v>
      </c>
      <c r="G48" s="1227">
        <v>2.0</v>
      </c>
      <c r="H48" s="1219">
        <f t="shared" si="23"/>
        <v>0</v>
      </c>
      <c r="I48" s="1220" t="str">
        <f t="shared" si="24"/>
        <v/>
      </c>
      <c r="J48" s="1221">
        <f t="shared" si="25"/>
        <v>0</v>
      </c>
      <c r="K48" s="1221">
        <f t="shared" si="26"/>
        <v>0</v>
      </c>
      <c r="L48" s="1222">
        <f t="shared" si="27"/>
        <v>0</v>
      </c>
      <c r="M48" s="1222">
        <f t="shared" si="28"/>
        <v>0</v>
      </c>
      <c r="N48" s="1222">
        <f t="shared" si="29"/>
        <v>0</v>
      </c>
      <c r="O48" s="1222">
        <f t="shared" si="30"/>
        <v>0</v>
      </c>
      <c r="P48" s="1223">
        <f>IF(NOW()&gt;=DATE(YEAR(P$1),MONTH(P$1)+1,DAY(P$1)),SUMIFS(AC_SOTIEN,AC_DA,$C48,AC_THANG,P$1,AC_KM,$E48),SUMIFS(TF_SOTIEN,TF_DA,$C48,TF_THANG,P$1,TF_KM,$E48))/ 1000</f>
        <v>0</v>
      </c>
      <c r="Q48" s="1223">
        <f>IF(NOW()&gt;=DATE(YEAR(Q$1),MONTH(Q$1)+1,DAY(Q$1)),SUMIFS(AC_SOTIEN,AC_DA,$C48,AC_THANG,Q$1,AC_KM,$E48),SUMIFS(TF_SOTIEN,TF_DA,$C48,TF_THANG,Q$1,TF_KM,$E48))/ 1000</f>
        <v>0</v>
      </c>
      <c r="R48" s="1223">
        <f>IF(NOW()&gt;=DATE(YEAR(R$1),MONTH(R$1)+1,DAY(R$1)),SUMIFS(AC_SOTIEN,AC_DA,$C48,AC_THANG,R$1,AC_KM,$E48),SUMIFS(TF_SOTIEN,TF_DA,$C48,TF_THANG,R$1,TF_KM,$E48))/ 1000</f>
        <v>0</v>
      </c>
      <c r="S48" s="1223">
        <f>IF(NOW()&gt;=DATE(YEAR(S$1),MONTH(S$1)+1,DAY(S$1)),SUMIFS(AC_SOTIEN,AC_DA,$C48,AC_THANG,S$1,AC_KM,$E48),SUMIFS(TF_SOTIEN,TF_DA,$C48,TF_THANG,S$1,TF_KM,$E48))/ 1000</f>
        <v>0</v>
      </c>
      <c r="T48" s="1223">
        <f>IF(NOW()&gt;=DATE(YEAR(T$1),MONTH(T$1)+1,DAY(T$1)),SUMIFS(AC_SOTIEN,AC_DA,$C48,AC_THANG,T$1,AC_KM,$E48),SUMIFS(TF_SOTIEN,TF_DA,$C48,TF_THANG,T$1,TF_KM,$E48))/ 1000</f>
        <v>0</v>
      </c>
      <c r="U48" s="1223">
        <f>IF(NOW()&gt;=DATE(YEAR(U$1),MONTH(U$1)+1,DAY(U$1)),SUMIFS(AC_SOTIEN,AC_DA,$C48,AC_THANG,U$1,AC_KM,$E48),SUMIFS(TF_SOTIEN,TF_DA,$C48,TF_THANG,U$1,TF_KM,$E48))/ 1000</f>
        <v>0</v>
      </c>
      <c r="V48" s="1223">
        <f>IF(NOW()&gt;=DATE(YEAR(V$1),MONTH(V$1)+1,DAY(V$1)),SUMIFS(AC_SOTIEN,AC_DA,$C48,AC_THANG,V$1,AC_KM,$E48),SUMIFS(TF_SOTIEN,TF_DA,$C48,TF_THANG,V$1,TF_KM,$E48))/ 1000</f>
        <v>0</v>
      </c>
      <c r="W48" s="1223">
        <f>IF(NOW()&gt;=DATE(YEAR(W$1),MONTH(W$1)+1,DAY(W$1)),SUMIFS(AC_SOTIEN,AC_DA,$C48,AC_THANG,W$1,AC_KM,$E48),SUMIFS(TF_SOTIEN,TF_DA,$C48,TF_THANG,W$1,TF_KM,$E48))/ 1000</f>
        <v>0</v>
      </c>
      <c r="X48" s="1223">
        <f>IF(NOW()&gt;=DATE(YEAR(X$1),MONTH(X$1)+1,DAY(X$1)),SUMIFS(AC_SOTIEN,AC_DA,$C48,AC_THANG,X$1,AC_KM,$E48),SUMIFS(TF_SOTIEN,TF_DA,$C48,TF_THANG,X$1,TF_KM,$E48))/ 1000</f>
        <v>0</v>
      </c>
      <c r="Y48" s="1223">
        <f>IF(NOW()&gt;=DATE(YEAR(Y$1),MONTH(Y$1)+1,DAY(Y$1)),SUMIFS(AC_SOTIEN,AC_DA,$C48,AC_THANG,Y$1,AC_KM,$E48),SUMIFS(TF_SOTIEN,TF_DA,$C48,TF_THANG,Y$1,TF_KM,$E48))/ 1000</f>
        <v>0</v>
      </c>
      <c r="Z48" s="1223">
        <f>IF(NOW()&gt;=DATE(YEAR(Z$1),MONTH(Z$1)+1,DAY(Z$1)),SUMIFS(AC_SOTIEN,AC_DA,$C48,AC_THANG,Z$1,AC_KM,$E48),SUMIFS(TF_SOTIEN,TF_DA,$C48,TF_THANG,Z$1,TF_KM,$E48))/ 1000</f>
        <v>0</v>
      </c>
      <c r="AA48" s="1223">
        <f>IF(NOW()&gt;=DATE(YEAR(AA$1),MONTH(AA$1)+1,DAY(AA$1)),SUMIFS(AC_SOTIEN,AC_DA,$C48,AC_THANG,AA$1,AC_KM,$E48),SUMIFS(TF_SOTIEN,TF_DA,$C48,TF_THANG,AA$1,TF_KM,$E48))/ 1000</f>
        <v>0</v>
      </c>
    </row>
    <row r="49">
      <c r="A49" s="1215" t="str">
        <f t="shared" si="22"/>
        <v/>
      </c>
      <c r="B49" s="1216"/>
      <c r="C49" s="656"/>
      <c r="D49" s="1216" t="str">
        <f>IF(C49="","", VLOOKUP(C49,DM_DUAN,2,0))</f>
        <v/>
      </c>
      <c r="E49" s="1217" t="s">
        <v>2239</v>
      </c>
      <c r="F49" s="1218">
        <v>632.0</v>
      </c>
      <c r="G49" s="1227">
        <v>2.0</v>
      </c>
      <c r="H49" s="1219">
        <f t="shared" si="23"/>
        <v>0</v>
      </c>
      <c r="I49" s="1220" t="str">
        <f t="shared" si="24"/>
        <v/>
      </c>
      <c r="J49" s="1221">
        <f t="shared" si="25"/>
        <v>0</v>
      </c>
      <c r="K49" s="1221">
        <f t="shared" si="26"/>
        <v>0</v>
      </c>
      <c r="L49" s="1222">
        <f t="shared" si="27"/>
        <v>0</v>
      </c>
      <c r="M49" s="1222">
        <f t="shared" si="28"/>
        <v>0</v>
      </c>
      <c r="N49" s="1222">
        <f t="shared" si="29"/>
        <v>0</v>
      </c>
      <c r="O49" s="1222">
        <f t="shared" si="30"/>
        <v>0</v>
      </c>
      <c r="P49" s="1223">
        <f>IF(NOW()&gt;=DATE(YEAR(P$1),MONTH(P$1)+1,DAY(P$1)),SUMIFS(AC_SOTIEN,AC_DA,$C49,AC_THANG,P$1,AC_KM,$E49),SUMIFS(TF_SOTIEN,TF_DA,$C49,TF_THANG,P$1,TF_KM,$E49))/ 1000</f>
        <v>0</v>
      </c>
      <c r="Q49" s="1223">
        <f>IF(NOW()&gt;=DATE(YEAR(Q$1),MONTH(Q$1)+1,DAY(Q$1)),SUMIFS(AC_SOTIEN,AC_DA,$C49,AC_THANG,Q$1,AC_KM,$E49),SUMIFS(TF_SOTIEN,TF_DA,$C49,TF_THANG,Q$1,TF_KM,$E49))/ 1000</f>
        <v>0</v>
      </c>
      <c r="R49" s="1223">
        <f>IF(NOW()&gt;=DATE(YEAR(R$1),MONTH(R$1)+1,DAY(R$1)),SUMIFS(AC_SOTIEN,AC_DA,$C49,AC_THANG,R$1,AC_KM,$E49),SUMIFS(TF_SOTIEN,TF_DA,$C49,TF_THANG,R$1,TF_KM,$E49))/ 1000</f>
        <v>0</v>
      </c>
      <c r="S49" s="1223">
        <f>IF(NOW()&gt;=DATE(YEAR(S$1),MONTH(S$1)+1,DAY(S$1)),SUMIFS(AC_SOTIEN,AC_DA,$C49,AC_THANG,S$1,AC_KM,$E49),SUMIFS(TF_SOTIEN,TF_DA,$C49,TF_THANG,S$1,TF_KM,$E49))/ 1000</f>
        <v>0</v>
      </c>
      <c r="T49" s="1223">
        <f>IF(NOW()&gt;=DATE(YEAR(T$1),MONTH(T$1)+1,DAY(T$1)),SUMIFS(AC_SOTIEN,AC_DA,$C49,AC_THANG,T$1,AC_KM,$E49),SUMIFS(TF_SOTIEN,TF_DA,$C49,TF_THANG,T$1,TF_KM,$E49))/ 1000</f>
        <v>0</v>
      </c>
      <c r="U49" s="1223">
        <f>IF(NOW()&gt;=DATE(YEAR(U$1),MONTH(U$1)+1,DAY(U$1)),SUMIFS(AC_SOTIEN,AC_DA,$C49,AC_THANG,U$1,AC_KM,$E49),SUMIFS(TF_SOTIEN,TF_DA,$C49,TF_THANG,U$1,TF_KM,$E49))/ 1000</f>
        <v>0</v>
      </c>
      <c r="V49" s="1223">
        <f>IF(NOW()&gt;=DATE(YEAR(V$1),MONTH(V$1)+1,DAY(V$1)),SUMIFS(AC_SOTIEN,AC_DA,$C49,AC_THANG,V$1,AC_KM,$E49),SUMIFS(TF_SOTIEN,TF_DA,$C49,TF_THANG,V$1,TF_KM,$E49))/ 1000</f>
        <v>0</v>
      </c>
      <c r="W49" s="1223">
        <f>IF(NOW()&gt;=DATE(YEAR(W$1),MONTH(W$1)+1,DAY(W$1)),SUMIFS(AC_SOTIEN,AC_DA,$C49,AC_THANG,W$1,AC_KM,$E49),SUMIFS(TF_SOTIEN,TF_DA,$C49,TF_THANG,W$1,TF_KM,$E49))/ 1000</f>
        <v>0</v>
      </c>
      <c r="X49" s="1223">
        <f>IF(NOW()&gt;=DATE(YEAR(X$1),MONTH(X$1)+1,DAY(X$1)),SUMIFS(AC_SOTIEN,AC_DA,$C49,AC_THANG,X$1,AC_KM,$E49),SUMIFS(TF_SOTIEN,TF_DA,$C49,TF_THANG,X$1,TF_KM,$E49))/ 1000</f>
        <v>0</v>
      </c>
      <c r="Y49" s="1223">
        <f>IF(NOW()&gt;=DATE(YEAR(Y$1),MONTH(Y$1)+1,DAY(Y$1)),SUMIFS(AC_SOTIEN,AC_DA,$C49,AC_THANG,Y$1,AC_KM,$E49),SUMIFS(TF_SOTIEN,TF_DA,$C49,TF_THANG,Y$1,TF_KM,$E49))/ 1000</f>
        <v>0</v>
      </c>
      <c r="Z49" s="1223">
        <f>IF(NOW()&gt;=DATE(YEAR(Z$1),MONTH(Z$1)+1,DAY(Z$1)),SUMIFS(AC_SOTIEN,AC_DA,$C49,AC_THANG,Z$1,AC_KM,$E49),SUMIFS(TF_SOTIEN,TF_DA,$C49,TF_THANG,Z$1,TF_KM,$E49))/ 1000</f>
        <v>0</v>
      </c>
      <c r="AA49" s="1223">
        <f>IF(NOW()&gt;=DATE(YEAR(AA$1),MONTH(AA$1)+1,DAY(AA$1)),SUMIFS(AC_SOTIEN,AC_DA,$C49,AC_THANG,AA$1,AC_KM,$E49),SUMIFS(TF_SOTIEN,TF_DA,$C49,TF_THANG,AA$1,TF_KM,$E49))/ 1000</f>
        <v>0</v>
      </c>
    </row>
    <row r="50">
      <c r="A50" s="1236" t="s">
        <v>2824</v>
      </c>
      <c r="B50" s="1237"/>
      <c r="C50" s="1237"/>
      <c r="D50" s="1238"/>
      <c r="E50" s="1239"/>
      <c r="F50" s="1238"/>
      <c r="G50" s="1238"/>
      <c r="H50" s="1240">
        <f>SUM(H51:H65)</f>
        <v>4344612</v>
      </c>
      <c r="I50" s="1241">
        <f>IF(H$2=0,"",H50/H$2)</f>
        <v>0.1155222758</v>
      </c>
      <c r="J50" s="1240">
        <f t="shared" ref="J50:AA50" si="31">SUM(J51:J65)</f>
        <v>4344612</v>
      </c>
      <c r="K50" s="1240">
        <f t="shared" si="31"/>
        <v>0</v>
      </c>
      <c r="L50" s="1240">
        <f t="shared" si="31"/>
        <v>1188000</v>
      </c>
      <c r="M50" s="1240">
        <f t="shared" si="31"/>
        <v>3156612</v>
      </c>
      <c r="N50" s="1240">
        <f t="shared" si="31"/>
        <v>0</v>
      </c>
      <c r="O50" s="1240">
        <f t="shared" si="31"/>
        <v>0</v>
      </c>
      <c r="P50" s="1240">
        <f t="shared" si="31"/>
        <v>340000</v>
      </c>
      <c r="Q50" s="1240">
        <f t="shared" si="31"/>
        <v>180000</v>
      </c>
      <c r="R50" s="1240">
        <f t="shared" si="31"/>
        <v>668000</v>
      </c>
      <c r="S50" s="1240">
        <f t="shared" si="31"/>
        <v>2601040</v>
      </c>
      <c r="T50" s="1240">
        <f t="shared" si="31"/>
        <v>555572</v>
      </c>
      <c r="U50" s="1240">
        <f t="shared" si="31"/>
        <v>0</v>
      </c>
      <c r="V50" s="1240">
        <f t="shared" si="31"/>
        <v>0</v>
      </c>
      <c r="W50" s="1240">
        <f t="shared" si="31"/>
        <v>0</v>
      </c>
      <c r="X50" s="1240">
        <f t="shared" si="31"/>
        <v>0</v>
      </c>
      <c r="Y50" s="1240">
        <f t="shared" si="31"/>
        <v>0</v>
      </c>
      <c r="Z50" s="1240">
        <f t="shared" si="31"/>
        <v>0</v>
      </c>
      <c r="AA50" s="1240">
        <f t="shared" si="31"/>
        <v>0</v>
      </c>
    </row>
    <row r="51">
      <c r="A51" s="1215">
        <f t="shared" ref="A51:A65" si="33">IF(C51="","",COUNTA(D$51:D51))</f>
        <v>1</v>
      </c>
      <c r="B51" s="1216"/>
      <c r="C51" s="1087" t="s">
        <v>215</v>
      </c>
      <c r="D51" s="1216" t="str">
        <f>IF(C51="","", VLOOKUP(C51,DM_DUAN,2,0))</f>
        <v>Phước Đông Garden</v>
      </c>
      <c r="E51" s="1217"/>
      <c r="F51" s="1216"/>
      <c r="G51" s="1218">
        <v>2.0</v>
      </c>
      <c r="H51" s="1219">
        <f t="shared" ref="H51:H65" si="34">SUM(J51:K51)</f>
        <v>0</v>
      </c>
      <c r="I51" s="1220">
        <f t="shared" ref="I51:I121" si="35">IF(H$50=0,"",H51/H$50)</f>
        <v>0</v>
      </c>
      <c r="J51" s="1221">
        <f t="shared" ref="J51:J76" si="36">SUM(L51:M51)</f>
        <v>0</v>
      </c>
      <c r="K51" s="1221">
        <f t="shared" ref="K51:K76" si="37">SUM(N51:O51)</f>
        <v>0</v>
      </c>
      <c r="L51" s="1222">
        <f t="shared" ref="L51:L76" si="38">SUM(P51:R51)</f>
        <v>0</v>
      </c>
      <c r="M51" s="1222">
        <f t="shared" ref="M51:M76" si="39">SUM(S51:U51)</f>
        <v>0</v>
      </c>
      <c r="N51" s="1222">
        <f t="shared" ref="N51:N76" si="40">SUM(V51:X51)</f>
        <v>0</v>
      </c>
      <c r="O51" s="1222">
        <f t="shared" ref="O51:O76" si="41">SUM(Y51:AA51)</f>
        <v>0</v>
      </c>
      <c r="P51" s="1223">
        <f t="shared" ref="P51:AA51" si="32">SUMIF($C$19:$C$33,$C51,P$19:P$33)-SUMIF($C$35:$C$49,$C51,P$35:P$49)</f>
        <v>0</v>
      </c>
      <c r="Q51" s="1223">
        <f t="shared" si="32"/>
        <v>0</v>
      </c>
      <c r="R51" s="1223">
        <f t="shared" si="32"/>
        <v>0</v>
      </c>
      <c r="S51" s="1223">
        <f t="shared" si="32"/>
        <v>0</v>
      </c>
      <c r="T51" s="1223">
        <f t="shared" si="32"/>
        <v>0</v>
      </c>
      <c r="U51" s="1223">
        <f t="shared" si="32"/>
        <v>0</v>
      </c>
      <c r="V51" s="1223">
        <f t="shared" si="32"/>
        <v>0</v>
      </c>
      <c r="W51" s="1223">
        <f t="shared" si="32"/>
        <v>0</v>
      </c>
      <c r="X51" s="1223">
        <f t="shared" si="32"/>
        <v>0</v>
      </c>
      <c r="Y51" s="1223">
        <f t="shared" si="32"/>
        <v>0</v>
      </c>
      <c r="Z51" s="1223">
        <f t="shared" si="32"/>
        <v>0</v>
      </c>
      <c r="AA51" s="1223">
        <f t="shared" si="32"/>
        <v>0</v>
      </c>
    </row>
    <row r="52">
      <c r="A52" s="1215">
        <f t="shared" si="33"/>
        <v>2</v>
      </c>
      <c r="B52" s="1216"/>
      <c r="C52" s="1087" t="s">
        <v>404</v>
      </c>
      <c r="D52" s="1216" t="str">
        <f>IF(C52="","", VLOOKUP(C52,DM_DUAN,2,0))</f>
        <v>Hamil ton Garden</v>
      </c>
      <c r="E52" s="1217"/>
      <c r="F52" s="1216"/>
      <c r="G52" s="1218">
        <v>2.0</v>
      </c>
      <c r="H52" s="1219">
        <f t="shared" si="34"/>
        <v>0</v>
      </c>
      <c r="I52" s="1220">
        <f t="shared" si="35"/>
        <v>0</v>
      </c>
      <c r="J52" s="1221">
        <f t="shared" si="36"/>
        <v>0</v>
      </c>
      <c r="K52" s="1221">
        <f t="shared" si="37"/>
        <v>0</v>
      </c>
      <c r="L52" s="1222">
        <f t="shared" si="38"/>
        <v>0</v>
      </c>
      <c r="M52" s="1222">
        <f t="shared" si="39"/>
        <v>0</v>
      </c>
      <c r="N52" s="1222">
        <f t="shared" si="40"/>
        <v>0</v>
      </c>
      <c r="O52" s="1222">
        <f t="shared" si="41"/>
        <v>0</v>
      </c>
      <c r="P52" s="1223">
        <f t="shared" ref="P52:AA52" si="42">SUMIF($C$19:$C$33,$C52,P$19:P$33)-SUMIF($C$35:$C$49,$C52,P$35:P$49)</f>
        <v>0</v>
      </c>
      <c r="Q52" s="1223">
        <f t="shared" si="42"/>
        <v>0</v>
      </c>
      <c r="R52" s="1223">
        <f t="shared" si="42"/>
        <v>0</v>
      </c>
      <c r="S52" s="1223">
        <f t="shared" si="42"/>
        <v>0</v>
      </c>
      <c r="T52" s="1223">
        <f t="shared" si="42"/>
        <v>0</v>
      </c>
      <c r="U52" s="1223">
        <f t="shared" si="42"/>
        <v>0</v>
      </c>
      <c r="V52" s="1223">
        <f t="shared" si="42"/>
        <v>0</v>
      </c>
      <c r="W52" s="1223">
        <f t="shared" si="42"/>
        <v>0</v>
      </c>
      <c r="X52" s="1223">
        <f t="shared" si="42"/>
        <v>0</v>
      </c>
      <c r="Y52" s="1223">
        <f t="shared" si="42"/>
        <v>0</v>
      </c>
      <c r="Z52" s="1223">
        <f t="shared" si="42"/>
        <v>0</v>
      </c>
      <c r="AA52" s="1223">
        <f t="shared" si="42"/>
        <v>0</v>
      </c>
    </row>
    <row r="53">
      <c r="A53" s="1215">
        <f t="shared" si="33"/>
        <v>3</v>
      </c>
      <c r="B53" s="1216"/>
      <c r="C53" s="1087" t="s">
        <v>533</v>
      </c>
      <c r="D53" s="1216" t="str">
        <f>IF(C53="","", VLOOKUP(C53,DM_DUAN,2,0))</f>
        <v>The sol city</v>
      </c>
      <c r="E53" s="1217"/>
      <c r="F53" s="1216"/>
      <c r="G53" s="1218">
        <v>2.0</v>
      </c>
      <c r="H53" s="1219">
        <f t="shared" si="34"/>
        <v>0</v>
      </c>
      <c r="I53" s="1220">
        <f t="shared" si="35"/>
        <v>0</v>
      </c>
      <c r="J53" s="1221">
        <f t="shared" si="36"/>
        <v>0</v>
      </c>
      <c r="K53" s="1221">
        <f t="shared" si="37"/>
        <v>0</v>
      </c>
      <c r="L53" s="1222">
        <f t="shared" si="38"/>
        <v>0</v>
      </c>
      <c r="M53" s="1222">
        <f t="shared" si="39"/>
        <v>0</v>
      </c>
      <c r="N53" s="1222">
        <f t="shared" si="40"/>
        <v>0</v>
      </c>
      <c r="O53" s="1222">
        <f t="shared" si="41"/>
        <v>0</v>
      </c>
      <c r="P53" s="1223">
        <f t="shared" ref="P53:AA53" si="43">SUMIF($C$19:$C$33,$C53,P$19:P$33)-SUMIF($C$35:$C$49,$C53,P$35:P$49)</f>
        <v>0</v>
      </c>
      <c r="Q53" s="1223">
        <f t="shared" si="43"/>
        <v>0</v>
      </c>
      <c r="R53" s="1223">
        <f t="shared" si="43"/>
        <v>0</v>
      </c>
      <c r="S53" s="1223">
        <f t="shared" si="43"/>
        <v>0</v>
      </c>
      <c r="T53" s="1223">
        <f t="shared" si="43"/>
        <v>0</v>
      </c>
      <c r="U53" s="1223">
        <f t="shared" si="43"/>
        <v>0</v>
      </c>
      <c r="V53" s="1223">
        <f t="shared" si="43"/>
        <v>0</v>
      </c>
      <c r="W53" s="1223">
        <f t="shared" si="43"/>
        <v>0</v>
      </c>
      <c r="X53" s="1223">
        <f t="shared" si="43"/>
        <v>0</v>
      </c>
      <c r="Y53" s="1223">
        <f t="shared" si="43"/>
        <v>0</v>
      </c>
      <c r="Z53" s="1223">
        <f t="shared" si="43"/>
        <v>0</v>
      </c>
      <c r="AA53" s="1223">
        <f t="shared" si="43"/>
        <v>0</v>
      </c>
    </row>
    <row r="54">
      <c r="A54" s="1215">
        <f t="shared" si="33"/>
        <v>4</v>
      </c>
      <c r="B54" s="1216"/>
      <c r="C54" s="1087" t="s">
        <v>175</v>
      </c>
      <c r="D54" s="1216" t="str">
        <f>IF(C54="","", VLOOKUP(C54,DM_DUAN,2,0))</f>
        <v>Phước hội Hồ Tràm</v>
      </c>
      <c r="E54" s="1217"/>
      <c r="F54" s="1216"/>
      <c r="G54" s="1218">
        <v>2.0</v>
      </c>
      <c r="H54" s="1219">
        <f t="shared" si="34"/>
        <v>670000</v>
      </c>
      <c r="I54" s="1220">
        <f t="shared" si="35"/>
        <v>0.1542140012</v>
      </c>
      <c r="J54" s="1221">
        <f t="shared" si="36"/>
        <v>670000</v>
      </c>
      <c r="K54" s="1221">
        <f t="shared" si="37"/>
        <v>0</v>
      </c>
      <c r="L54" s="1222">
        <f t="shared" si="38"/>
        <v>670000</v>
      </c>
      <c r="M54" s="1222">
        <f t="shared" si="39"/>
        <v>0</v>
      </c>
      <c r="N54" s="1222">
        <f t="shared" si="40"/>
        <v>0</v>
      </c>
      <c r="O54" s="1222">
        <f t="shared" si="41"/>
        <v>0</v>
      </c>
      <c r="P54" s="1223">
        <f t="shared" ref="P54:AA54" si="44">SUMIF($C$19:$C$33,$C54,P$19:P$33)-SUMIF($C$35:$C$49,$C54,P$35:P$49)</f>
        <v>340000</v>
      </c>
      <c r="Q54" s="1223">
        <f t="shared" si="44"/>
        <v>180000</v>
      </c>
      <c r="R54" s="1223">
        <f t="shared" si="44"/>
        <v>150000</v>
      </c>
      <c r="S54" s="1223">
        <f t="shared" si="44"/>
        <v>0</v>
      </c>
      <c r="T54" s="1223">
        <f t="shared" si="44"/>
        <v>0</v>
      </c>
      <c r="U54" s="1223">
        <f t="shared" si="44"/>
        <v>0</v>
      </c>
      <c r="V54" s="1223">
        <f t="shared" si="44"/>
        <v>0</v>
      </c>
      <c r="W54" s="1223">
        <f t="shared" si="44"/>
        <v>0</v>
      </c>
      <c r="X54" s="1223">
        <f t="shared" si="44"/>
        <v>0</v>
      </c>
      <c r="Y54" s="1223">
        <f t="shared" si="44"/>
        <v>0</v>
      </c>
      <c r="Z54" s="1223">
        <f t="shared" si="44"/>
        <v>0</v>
      </c>
      <c r="AA54" s="1223">
        <f t="shared" si="44"/>
        <v>0</v>
      </c>
    </row>
    <row r="55">
      <c r="A55" s="1215">
        <f t="shared" si="33"/>
        <v>5</v>
      </c>
      <c r="B55" s="1216"/>
      <c r="C55" s="1087" t="s">
        <v>2067</v>
      </c>
      <c r="D55" s="1216" t="str">
        <f>IF(C55="","", VLOOKUP(C55,DM_DUAN,2,0))</f>
        <v>NAM PHONG</v>
      </c>
      <c r="E55" s="1217"/>
      <c r="F55" s="1216"/>
      <c r="G55" s="1218">
        <v>2.0</v>
      </c>
      <c r="H55" s="1219">
        <f t="shared" si="34"/>
        <v>0</v>
      </c>
      <c r="I55" s="1220">
        <f t="shared" si="35"/>
        <v>0</v>
      </c>
      <c r="J55" s="1221">
        <f t="shared" si="36"/>
        <v>0</v>
      </c>
      <c r="K55" s="1221">
        <f t="shared" si="37"/>
        <v>0</v>
      </c>
      <c r="L55" s="1222">
        <f t="shared" si="38"/>
        <v>0</v>
      </c>
      <c r="M55" s="1222">
        <f t="shared" si="39"/>
        <v>0</v>
      </c>
      <c r="N55" s="1222">
        <f t="shared" si="40"/>
        <v>0</v>
      </c>
      <c r="O55" s="1222">
        <f t="shared" si="41"/>
        <v>0</v>
      </c>
      <c r="P55" s="1223">
        <f t="shared" ref="P55:AA55" si="45">SUMIF($C$19:$C$33,$C55,P$19:P$33)-SUMIF($C$35:$C$49,$C55,P$35:P$49)</f>
        <v>0</v>
      </c>
      <c r="Q55" s="1223">
        <f t="shared" si="45"/>
        <v>0</v>
      </c>
      <c r="R55" s="1223">
        <f t="shared" si="45"/>
        <v>0</v>
      </c>
      <c r="S55" s="1223">
        <f t="shared" si="45"/>
        <v>0</v>
      </c>
      <c r="T55" s="1223">
        <f t="shared" si="45"/>
        <v>0</v>
      </c>
      <c r="U55" s="1223">
        <f t="shared" si="45"/>
        <v>0</v>
      </c>
      <c r="V55" s="1223">
        <f t="shared" si="45"/>
        <v>0</v>
      </c>
      <c r="W55" s="1223">
        <f t="shared" si="45"/>
        <v>0</v>
      </c>
      <c r="X55" s="1223">
        <f t="shared" si="45"/>
        <v>0</v>
      </c>
      <c r="Y55" s="1223">
        <f t="shared" si="45"/>
        <v>0</v>
      </c>
      <c r="Z55" s="1223">
        <f t="shared" si="45"/>
        <v>0</v>
      </c>
      <c r="AA55" s="1223">
        <f t="shared" si="45"/>
        <v>0</v>
      </c>
    </row>
    <row r="56">
      <c r="A56" s="1215">
        <f t="shared" si="33"/>
        <v>6</v>
      </c>
      <c r="B56" s="1216"/>
      <c r="C56" s="656" t="s">
        <v>638</v>
      </c>
      <c r="D56" s="1216" t="str">
        <f>IF(C56="","", VLOOKUP(C56,DM_DUAN,2,0))</f>
        <v>Sản phẩm Phước Vinh</v>
      </c>
      <c r="E56" s="1217"/>
      <c r="F56" s="1216"/>
      <c r="G56" s="1218">
        <v>2.0</v>
      </c>
      <c r="H56" s="1219">
        <f t="shared" si="34"/>
        <v>1559000</v>
      </c>
      <c r="I56" s="1220">
        <f t="shared" si="35"/>
        <v>0.3588352654</v>
      </c>
      <c r="J56" s="1221">
        <f t="shared" si="36"/>
        <v>1559000</v>
      </c>
      <c r="K56" s="1221">
        <f t="shared" si="37"/>
        <v>0</v>
      </c>
      <c r="L56" s="1222">
        <f t="shared" si="38"/>
        <v>0</v>
      </c>
      <c r="M56" s="1222">
        <f t="shared" si="39"/>
        <v>1559000</v>
      </c>
      <c r="N56" s="1222">
        <f t="shared" si="40"/>
        <v>0</v>
      </c>
      <c r="O56" s="1222">
        <f t="shared" si="41"/>
        <v>0</v>
      </c>
      <c r="P56" s="1223">
        <f t="shared" ref="P56:AA56" si="46">SUMIF($C$19:$C$33,$C56,P$19:P$33)-SUMIF($C$35:$C$49,$C56,P$35:P$49)</f>
        <v>0</v>
      </c>
      <c r="Q56" s="1223">
        <f t="shared" si="46"/>
        <v>0</v>
      </c>
      <c r="R56" s="1223">
        <f t="shared" si="46"/>
        <v>0</v>
      </c>
      <c r="S56" s="1223">
        <f t="shared" si="46"/>
        <v>1559000</v>
      </c>
      <c r="T56" s="1223">
        <f t="shared" si="46"/>
        <v>0</v>
      </c>
      <c r="U56" s="1223">
        <f t="shared" si="46"/>
        <v>0</v>
      </c>
      <c r="V56" s="1223">
        <f t="shared" si="46"/>
        <v>0</v>
      </c>
      <c r="W56" s="1223">
        <f t="shared" si="46"/>
        <v>0</v>
      </c>
      <c r="X56" s="1223">
        <f t="shared" si="46"/>
        <v>0</v>
      </c>
      <c r="Y56" s="1223">
        <f t="shared" si="46"/>
        <v>0</v>
      </c>
      <c r="Z56" s="1223">
        <f t="shared" si="46"/>
        <v>0</v>
      </c>
      <c r="AA56" s="1223">
        <f t="shared" si="46"/>
        <v>0</v>
      </c>
    </row>
    <row r="57">
      <c r="A57" s="1215">
        <f t="shared" si="33"/>
        <v>7</v>
      </c>
      <c r="B57" s="1216"/>
      <c r="C57" s="1087" t="s">
        <v>2070</v>
      </c>
      <c r="D57" s="1216" t="str">
        <f>IF(C57="","", VLOOKUP(C57,DM_DUAN,2,0))</f>
        <v>KHANG VƯỢNG</v>
      </c>
      <c r="E57" s="1217"/>
      <c r="F57" s="1216"/>
      <c r="G57" s="1218">
        <v>2.0</v>
      </c>
      <c r="H57" s="1219">
        <f t="shared" si="34"/>
        <v>0</v>
      </c>
      <c r="I57" s="1220">
        <f t="shared" si="35"/>
        <v>0</v>
      </c>
      <c r="J57" s="1221">
        <f t="shared" si="36"/>
        <v>0</v>
      </c>
      <c r="K57" s="1221">
        <f t="shared" si="37"/>
        <v>0</v>
      </c>
      <c r="L57" s="1222">
        <f t="shared" si="38"/>
        <v>0</v>
      </c>
      <c r="M57" s="1222">
        <f t="shared" si="39"/>
        <v>0</v>
      </c>
      <c r="N57" s="1222">
        <f t="shared" si="40"/>
        <v>0</v>
      </c>
      <c r="O57" s="1222">
        <f t="shared" si="41"/>
        <v>0</v>
      </c>
      <c r="P57" s="1223">
        <f t="shared" ref="P57:AA57" si="47">SUMIF($C$19:$C$33,$C57,P$19:P$33)-SUMIF($C$35:$C$49,$C57,P$35:P$49)</f>
        <v>0</v>
      </c>
      <c r="Q57" s="1223">
        <f t="shared" si="47"/>
        <v>0</v>
      </c>
      <c r="R57" s="1223">
        <f t="shared" si="47"/>
        <v>0</v>
      </c>
      <c r="S57" s="1223">
        <f t="shared" si="47"/>
        <v>0</v>
      </c>
      <c r="T57" s="1223">
        <f t="shared" si="47"/>
        <v>0</v>
      </c>
      <c r="U57" s="1223">
        <f t="shared" si="47"/>
        <v>0</v>
      </c>
      <c r="V57" s="1223">
        <f t="shared" si="47"/>
        <v>0</v>
      </c>
      <c r="W57" s="1223">
        <f t="shared" si="47"/>
        <v>0</v>
      </c>
      <c r="X57" s="1223">
        <f t="shared" si="47"/>
        <v>0</v>
      </c>
      <c r="Y57" s="1223">
        <f t="shared" si="47"/>
        <v>0</v>
      </c>
      <c r="Z57" s="1223">
        <f t="shared" si="47"/>
        <v>0</v>
      </c>
      <c r="AA57" s="1223">
        <f t="shared" si="47"/>
        <v>0</v>
      </c>
    </row>
    <row r="58">
      <c r="A58" s="1215">
        <f t="shared" si="33"/>
        <v>8</v>
      </c>
      <c r="B58" s="1216"/>
      <c r="C58" s="1087" t="s">
        <v>2072</v>
      </c>
      <c r="D58" s="1216" t="str">
        <f>IF(C58="","", VLOOKUP(C58,DM_DUAN,2,0))</f>
        <v>TRẦN ANH GROUP</v>
      </c>
      <c r="E58" s="1217"/>
      <c r="F58" s="1216"/>
      <c r="G58" s="1218">
        <v>2.0</v>
      </c>
      <c r="H58" s="1219">
        <f t="shared" si="34"/>
        <v>0</v>
      </c>
      <c r="I58" s="1220">
        <f t="shared" si="35"/>
        <v>0</v>
      </c>
      <c r="J58" s="1221">
        <f t="shared" si="36"/>
        <v>0</v>
      </c>
      <c r="K58" s="1221">
        <f t="shared" si="37"/>
        <v>0</v>
      </c>
      <c r="L58" s="1222">
        <f t="shared" si="38"/>
        <v>0</v>
      </c>
      <c r="M58" s="1222">
        <f t="shared" si="39"/>
        <v>0</v>
      </c>
      <c r="N58" s="1222">
        <f t="shared" si="40"/>
        <v>0</v>
      </c>
      <c r="O58" s="1222">
        <f t="shared" si="41"/>
        <v>0</v>
      </c>
      <c r="P58" s="1223">
        <f t="shared" ref="P58:AA58" si="48">SUMIF($C$19:$C$33,$C58,P$19:P$33)-SUMIF($C$35:$C$49,$C58,P$35:P$49)</f>
        <v>0</v>
      </c>
      <c r="Q58" s="1223">
        <f t="shared" si="48"/>
        <v>0</v>
      </c>
      <c r="R58" s="1223">
        <f t="shared" si="48"/>
        <v>0</v>
      </c>
      <c r="S58" s="1223">
        <f t="shared" si="48"/>
        <v>0</v>
      </c>
      <c r="T58" s="1223">
        <f t="shared" si="48"/>
        <v>0</v>
      </c>
      <c r="U58" s="1223">
        <f t="shared" si="48"/>
        <v>0</v>
      </c>
      <c r="V58" s="1223">
        <f t="shared" si="48"/>
        <v>0</v>
      </c>
      <c r="W58" s="1223">
        <f t="shared" si="48"/>
        <v>0</v>
      </c>
      <c r="X58" s="1223">
        <f t="shared" si="48"/>
        <v>0</v>
      </c>
      <c r="Y58" s="1223">
        <f t="shared" si="48"/>
        <v>0</v>
      </c>
      <c r="Z58" s="1223">
        <f t="shared" si="48"/>
        <v>0</v>
      </c>
      <c r="AA58" s="1223">
        <f t="shared" si="48"/>
        <v>0</v>
      </c>
    </row>
    <row r="59">
      <c r="A59" s="1215">
        <f t="shared" si="33"/>
        <v>9</v>
      </c>
      <c r="B59" s="1216"/>
      <c r="C59" s="1087" t="s">
        <v>2073</v>
      </c>
      <c r="D59" s="1216" t="str">
        <f>IF(C59="","", VLOOKUP(C59,DM_DUAN,2,0))</f>
        <v>PHI TRƯỜNG</v>
      </c>
      <c r="E59" s="1217"/>
      <c r="F59" s="1216"/>
      <c r="G59" s="1218">
        <v>2.0</v>
      </c>
      <c r="H59" s="1219">
        <f t="shared" si="34"/>
        <v>0</v>
      </c>
      <c r="I59" s="1220">
        <f t="shared" si="35"/>
        <v>0</v>
      </c>
      <c r="J59" s="1221">
        <f t="shared" si="36"/>
        <v>0</v>
      </c>
      <c r="K59" s="1221">
        <f t="shared" si="37"/>
        <v>0</v>
      </c>
      <c r="L59" s="1222">
        <f t="shared" si="38"/>
        <v>0</v>
      </c>
      <c r="M59" s="1222">
        <f t="shared" si="39"/>
        <v>0</v>
      </c>
      <c r="N59" s="1222">
        <f t="shared" si="40"/>
        <v>0</v>
      </c>
      <c r="O59" s="1222">
        <f t="shared" si="41"/>
        <v>0</v>
      </c>
      <c r="P59" s="1223">
        <f t="shared" ref="P59:AA59" si="49">SUMIF($C$19:$C$33,$C59,P$19:P$33)-SUMIF($C$35:$C$49,$C59,P$35:P$49)</f>
        <v>0</v>
      </c>
      <c r="Q59" s="1223">
        <f t="shared" si="49"/>
        <v>0</v>
      </c>
      <c r="R59" s="1223">
        <f t="shared" si="49"/>
        <v>0</v>
      </c>
      <c r="S59" s="1223">
        <f t="shared" si="49"/>
        <v>0</v>
      </c>
      <c r="T59" s="1223">
        <f t="shared" si="49"/>
        <v>0</v>
      </c>
      <c r="U59" s="1223">
        <f t="shared" si="49"/>
        <v>0</v>
      </c>
      <c r="V59" s="1223">
        <f t="shared" si="49"/>
        <v>0</v>
      </c>
      <c r="W59" s="1223">
        <f t="shared" si="49"/>
        <v>0</v>
      </c>
      <c r="X59" s="1223">
        <f t="shared" si="49"/>
        <v>0</v>
      </c>
      <c r="Y59" s="1223">
        <f t="shared" si="49"/>
        <v>0</v>
      </c>
      <c r="Z59" s="1223">
        <f t="shared" si="49"/>
        <v>0</v>
      </c>
      <c r="AA59" s="1223">
        <f t="shared" si="49"/>
        <v>0</v>
      </c>
    </row>
    <row r="60">
      <c r="A60" s="1215">
        <f t="shared" si="33"/>
        <v>10</v>
      </c>
      <c r="B60" s="1216"/>
      <c r="C60" s="1087" t="s">
        <v>2074</v>
      </c>
      <c r="D60" s="1216" t="str">
        <f>IF(C60="","", VLOOKUP(C60,DM_DUAN,2,0))</f>
        <v>HOÀNG CÁT</v>
      </c>
      <c r="E60" s="1217"/>
      <c r="F60" s="1216"/>
      <c r="G60" s="1227">
        <v>2.0</v>
      </c>
      <c r="H60" s="1219">
        <f t="shared" si="34"/>
        <v>0</v>
      </c>
      <c r="I60" s="1220">
        <f t="shared" si="35"/>
        <v>0</v>
      </c>
      <c r="J60" s="1221">
        <f t="shared" si="36"/>
        <v>0</v>
      </c>
      <c r="K60" s="1221">
        <f t="shared" si="37"/>
        <v>0</v>
      </c>
      <c r="L60" s="1222">
        <f t="shared" si="38"/>
        <v>0</v>
      </c>
      <c r="M60" s="1222">
        <f t="shared" si="39"/>
        <v>0</v>
      </c>
      <c r="N60" s="1222">
        <f t="shared" si="40"/>
        <v>0</v>
      </c>
      <c r="O60" s="1222">
        <f t="shared" si="41"/>
        <v>0</v>
      </c>
      <c r="P60" s="1223">
        <f t="shared" ref="P60:AA60" si="50">SUMIF($C$19:$C$33,$C60,P$19:P$33)-SUMIF($C$35:$C$49,$C60,P$35:P$49)</f>
        <v>0</v>
      </c>
      <c r="Q60" s="1223">
        <f t="shared" si="50"/>
        <v>0</v>
      </c>
      <c r="R60" s="1223">
        <f t="shared" si="50"/>
        <v>0</v>
      </c>
      <c r="S60" s="1223">
        <f t="shared" si="50"/>
        <v>0</v>
      </c>
      <c r="T60" s="1223">
        <f t="shared" si="50"/>
        <v>0</v>
      </c>
      <c r="U60" s="1223">
        <f t="shared" si="50"/>
        <v>0</v>
      </c>
      <c r="V60" s="1223">
        <f t="shared" si="50"/>
        <v>0</v>
      </c>
      <c r="W60" s="1223">
        <f t="shared" si="50"/>
        <v>0</v>
      </c>
      <c r="X60" s="1223">
        <f t="shared" si="50"/>
        <v>0</v>
      </c>
      <c r="Y60" s="1223">
        <f t="shared" si="50"/>
        <v>0</v>
      </c>
      <c r="Z60" s="1223">
        <f t="shared" si="50"/>
        <v>0</v>
      </c>
      <c r="AA60" s="1223">
        <f t="shared" si="50"/>
        <v>0</v>
      </c>
    </row>
    <row r="61">
      <c r="A61" s="1242">
        <f t="shared" si="33"/>
        <v>11</v>
      </c>
      <c r="B61" s="717"/>
      <c r="C61" s="656" t="s">
        <v>530</v>
      </c>
      <c r="D61" s="1216" t="str">
        <f>IF(C61="","", VLOOKUP(C61,DM_DUAN,2,0))</f>
        <v>Nhà vườn sinh thái</v>
      </c>
      <c r="E61" s="1243"/>
      <c r="F61" s="717"/>
      <c r="G61" s="1244">
        <v>2.0</v>
      </c>
      <c r="H61" s="1219">
        <f t="shared" si="34"/>
        <v>1195000</v>
      </c>
      <c r="I61" s="1245">
        <f t="shared" si="35"/>
        <v>0.2750533304</v>
      </c>
      <c r="J61" s="1221">
        <f t="shared" si="36"/>
        <v>1195000</v>
      </c>
      <c r="K61" s="1221">
        <f t="shared" si="37"/>
        <v>0</v>
      </c>
      <c r="L61" s="1222">
        <f t="shared" si="38"/>
        <v>518000</v>
      </c>
      <c r="M61" s="1222">
        <f t="shared" si="39"/>
        <v>677000</v>
      </c>
      <c r="N61" s="1222">
        <f t="shared" si="40"/>
        <v>0</v>
      </c>
      <c r="O61" s="1222">
        <f t="shared" si="41"/>
        <v>0</v>
      </c>
      <c r="P61" s="1223">
        <f t="shared" ref="P61:AA61" si="51">SUMIF($C$19:$C$33,$C61,P$19:P$33)-SUMIF($C$35:$C$49,$C61,P$35:P$49)</f>
        <v>0</v>
      </c>
      <c r="Q61" s="1223">
        <f t="shared" si="51"/>
        <v>0</v>
      </c>
      <c r="R61" s="1223">
        <f t="shared" si="51"/>
        <v>518000</v>
      </c>
      <c r="S61" s="1223">
        <f t="shared" si="51"/>
        <v>677000</v>
      </c>
      <c r="T61" s="1223">
        <f t="shared" si="51"/>
        <v>0</v>
      </c>
      <c r="U61" s="1223">
        <f t="shared" si="51"/>
        <v>0</v>
      </c>
      <c r="V61" s="1223">
        <f t="shared" si="51"/>
        <v>0</v>
      </c>
      <c r="W61" s="1223">
        <f t="shared" si="51"/>
        <v>0</v>
      </c>
      <c r="X61" s="1223">
        <f t="shared" si="51"/>
        <v>0</v>
      </c>
      <c r="Y61" s="1223">
        <f t="shared" si="51"/>
        <v>0</v>
      </c>
      <c r="Z61" s="1223">
        <f t="shared" si="51"/>
        <v>0</v>
      </c>
      <c r="AA61" s="1223">
        <f t="shared" si="51"/>
        <v>0</v>
      </c>
    </row>
    <row r="62">
      <c r="A62" s="1242">
        <f t="shared" si="33"/>
        <v>12</v>
      </c>
      <c r="B62" s="717"/>
      <c r="C62" s="656" t="s">
        <v>875</v>
      </c>
      <c r="D62" s="1216" t="str">
        <f>IF(C62="","", VLOOKUP(C62,DM_DUAN,2,0))</f>
        <v>Sản phẩm Long Khánh 2</v>
      </c>
      <c r="E62" s="1243"/>
      <c r="F62" s="717"/>
      <c r="G62" s="1244">
        <v>2.0</v>
      </c>
      <c r="H62" s="1219">
        <f t="shared" si="34"/>
        <v>0</v>
      </c>
      <c r="I62" s="1245">
        <f t="shared" si="35"/>
        <v>0</v>
      </c>
      <c r="J62" s="1221">
        <f t="shared" si="36"/>
        <v>0</v>
      </c>
      <c r="K62" s="1221">
        <f t="shared" si="37"/>
        <v>0</v>
      </c>
      <c r="L62" s="1222">
        <f t="shared" si="38"/>
        <v>0</v>
      </c>
      <c r="M62" s="1222">
        <f t="shared" si="39"/>
        <v>0</v>
      </c>
      <c r="N62" s="1222">
        <f t="shared" si="40"/>
        <v>0</v>
      </c>
      <c r="O62" s="1222">
        <f t="shared" si="41"/>
        <v>0</v>
      </c>
      <c r="P62" s="1223">
        <f t="shared" ref="P62:AA62" si="52">SUMIF($C$19:$C$33,$C62,P$19:P$33)-SUMIF($C$35:$C$49,$C62,P$35:P$49)</f>
        <v>0</v>
      </c>
      <c r="Q62" s="1223">
        <f t="shared" si="52"/>
        <v>0</v>
      </c>
      <c r="R62" s="1223">
        <f t="shared" si="52"/>
        <v>0</v>
      </c>
      <c r="S62" s="1223">
        <f t="shared" si="52"/>
        <v>0</v>
      </c>
      <c r="T62" s="1223">
        <f t="shared" si="52"/>
        <v>0</v>
      </c>
      <c r="U62" s="1223">
        <f t="shared" si="52"/>
        <v>0</v>
      </c>
      <c r="V62" s="1223">
        <f t="shared" si="52"/>
        <v>0</v>
      </c>
      <c r="W62" s="1223">
        <f t="shared" si="52"/>
        <v>0</v>
      </c>
      <c r="X62" s="1223">
        <f t="shared" si="52"/>
        <v>0</v>
      </c>
      <c r="Y62" s="1223">
        <f t="shared" si="52"/>
        <v>0</v>
      </c>
      <c r="Z62" s="1223">
        <f t="shared" si="52"/>
        <v>0</v>
      </c>
      <c r="AA62" s="1223">
        <f t="shared" si="52"/>
        <v>0</v>
      </c>
    </row>
    <row r="63">
      <c r="A63" s="1242">
        <f t="shared" si="33"/>
        <v>13</v>
      </c>
      <c r="B63" s="717"/>
      <c r="C63" s="656" t="s">
        <v>636</v>
      </c>
      <c r="D63" s="1216" t="str">
        <f>IF(C63="","", VLOOKUP(C63,DM_DUAN,2,0))</f>
        <v>Sản phẩm Long Khánh 3</v>
      </c>
      <c r="E63" s="1243"/>
      <c r="F63" s="717"/>
      <c r="G63" s="1244">
        <v>2.0</v>
      </c>
      <c r="H63" s="1219">
        <f t="shared" si="34"/>
        <v>365040</v>
      </c>
      <c r="I63" s="1245">
        <f t="shared" si="35"/>
        <v>0.08402131191</v>
      </c>
      <c r="J63" s="1221">
        <f t="shared" si="36"/>
        <v>365040</v>
      </c>
      <c r="K63" s="1221">
        <f t="shared" si="37"/>
        <v>0</v>
      </c>
      <c r="L63" s="1222">
        <f t="shared" si="38"/>
        <v>0</v>
      </c>
      <c r="M63" s="1222">
        <f t="shared" si="39"/>
        <v>365040</v>
      </c>
      <c r="N63" s="1222">
        <f t="shared" si="40"/>
        <v>0</v>
      </c>
      <c r="O63" s="1222">
        <f t="shared" si="41"/>
        <v>0</v>
      </c>
      <c r="P63" s="1223">
        <f t="shared" ref="P63:AA63" si="53">SUMIF($C$19:$C$33,$C63,P$19:P$33)-SUMIF($C$35:$C$49,$C63,P$35:P$49)</f>
        <v>0</v>
      </c>
      <c r="Q63" s="1223">
        <f t="shared" si="53"/>
        <v>0</v>
      </c>
      <c r="R63" s="1223">
        <f t="shared" si="53"/>
        <v>0</v>
      </c>
      <c r="S63" s="1223">
        <f t="shared" si="53"/>
        <v>365040</v>
      </c>
      <c r="T63" s="1223">
        <f t="shared" si="53"/>
        <v>0</v>
      </c>
      <c r="U63" s="1223">
        <f t="shared" si="53"/>
        <v>0</v>
      </c>
      <c r="V63" s="1223">
        <f t="shared" si="53"/>
        <v>0</v>
      </c>
      <c r="W63" s="1223">
        <f t="shared" si="53"/>
        <v>0</v>
      </c>
      <c r="X63" s="1223">
        <f t="shared" si="53"/>
        <v>0</v>
      </c>
      <c r="Y63" s="1223">
        <f t="shared" si="53"/>
        <v>0</v>
      </c>
      <c r="Z63" s="1223">
        <f t="shared" si="53"/>
        <v>0</v>
      </c>
      <c r="AA63" s="1223">
        <f t="shared" si="53"/>
        <v>0</v>
      </c>
    </row>
    <row r="64">
      <c r="A64" s="1242">
        <f t="shared" si="33"/>
        <v>14</v>
      </c>
      <c r="B64" s="717"/>
      <c r="C64" s="656" t="s">
        <v>956</v>
      </c>
      <c r="D64" s="1216" t="str">
        <f>IF(C64="","", VLOOKUP(C64,DM_DUAN,2,0))</f>
        <v>KDC Lộc Ngãi</v>
      </c>
      <c r="E64" s="1243"/>
      <c r="F64" s="717"/>
      <c r="G64" s="1244">
        <v>2.0</v>
      </c>
      <c r="H64" s="1219">
        <f t="shared" si="34"/>
        <v>555572</v>
      </c>
      <c r="I64" s="1245">
        <f t="shared" si="35"/>
        <v>0.1278760911</v>
      </c>
      <c r="J64" s="1221">
        <f t="shared" si="36"/>
        <v>555572</v>
      </c>
      <c r="K64" s="1221">
        <f t="shared" si="37"/>
        <v>0</v>
      </c>
      <c r="L64" s="1222">
        <f t="shared" si="38"/>
        <v>0</v>
      </c>
      <c r="M64" s="1222">
        <f t="shared" si="39"/>
        <v>555572</v>
      </c>
      <c r="N64" s="1222">
        <f t="shared" si="40"/>
        <v>0</v>
      </c>
      <c r="O64" s="1222">
        <f t="shared" si="41"/>
        <v>0</v>
      </c>
      <c r="P64" s="1223">
        <f t="shared" ref="P64:AA64" si="54">SUMIF($C$19:$C$33,$C64,P$19:P$33)-SUMIF($C$35:$C$49,$C64,P$35:P$49)</f>
        <v>0</v>
      </c>
      <c r="Q64" s="1223">
        <f t="shared" si="54"/>
        <v>0</v>
      </c>
      <c r="R64" s="1223">
        <f t="shared" si="54"/>
        <v>0</v>
      </c>
      <c r="S64" s="1223">
        <f t="shared" si="54"/>
        <v>0</v>
      </c>
      <c r="T64" s="1223">
        <f t="shared" si="54"/>
        <v>555572</v>
      </c>
      <c r="U64" s="1223">
        <f t="shared" si="54"/>
        <v>0</v>
      </c>
      <c r="V64" s="1223">
        <f t="shared" si="54"/>
        <v>0</v>
      </c>
      <c r="W64" s="1223">
        <f t="shared" si="54"/>
        <v>0</v>
      </c>
      <c r="X64" s="1223">
        <f t="shared" si="54"/>
        <v>0</v>
      </c>
      <c r="Y64" s="1223">
        <f t="shared" si="54"/>
        <v>0</v>
      </c>
      <c r="Z64" s="1223">
        <f t="shared" si="54"/>
        <v>0</v>
      </c>
      <c r="AA64" s="1223">
        <f t="shared" si="54"/>
        <v>0</v>
      </c>
    </row>
    <row r="65">
      <c r="A65" s="1242" t="str">
        <f t="shared" si="33"/>
        <v/>
      </c>
      <c r="B65" s="717"/>
      <c r="C65" s="656"/>
      <c r="D65" s="1216" t="str">
        <f>IF(C65="","", VLOOKUP(C65,DM_DUAN,2,0))</f>
        <v/>
      </c>
      <c r="E65" s="1243"/>
      <c r="F65" s="717"/>
      <c r="G65" s="1244">
        <v>2.0</v>
      </c>
      <c r="H65" s="1219">
        <f t="shared" si="34"/>
        <v>0</v>
      </c>
      <c r="I65" s="1245">
        <f t="shared" si="35"/>
        <v>0</v>
      </c>
      <c r="J65" s="1221">
        <f t="shared" si="36"/>
        <v>0</v>
      </c>
      <c r="K65" s="1221">
        <f t="shared" si="37"/>
        <v>0</v>
      </c>
      <c r="L65" s="1222">
        <f t="shared" si="38"/>
        <v>0</v>
      </c>
      <c r="M65" s="1222">
        <f t="shared" si="39"/>
        <v>0</v>
      </c>
      <c r="N65" s="1222">
        <f t="shared" si="40"/>
        <v>0</v>
      </c>
      <c r="O65" s="1222">
        <f t="shared" si="41"/>
        <v>0</v>
      </c>
      <c r="P65" s="1223">
        <f t="shared" ref="P65:AA65" si="55">SUMIF($C$19:$C$33,$C65,P$19:P$33)-SUMIF($C$35:$C$49,$C65,P$35:P$49)</f>
        <v>0</v>
      </c>
      <c r="Q65" s="1223">
        <f t="shared" si="55"/>
        <v>0</v>
      </c>
      <c r="R65" s="1223">
        <f t="shared" si="55"/>
        <v>0</v>
      </c>
      <c r="S65" s="1223">
        <f t="shared" si="55"/>
        <v>0</v>
      </c>
      <c r="T65" s="1223">
        <f t="shared" si="55"/>
        <v>0</v>
      </c>
      <c r="U65" s="1223">
        <f t="shared" si="55"/>
        <v>0</v>
      </c>
      <c r="V65" s="1223">
        <f t="shared" si="55"/>
        <v>0</v>
      </c>
      <c r="W65" s="1223">
        <f t="shared" si="55"/>
        <v>0</v>
      </c>
      <c r="X65" s="1223">
        <f t="shared" si="55"/>
        <v>0</v>
      </c>
      <c r="Y65" s="1223">
        <f t="shared" si="55"/>
        <v>0</v>
      </c>
      <c r="Z65" s="1223">
        <f t="shared" si="55"/>
        <v>0</v>
      </c>
      <c r="AA65" s="1223">
        <f t="shared" si="55"/>
        <v>0</v>
      </c>
    </row>
    <row r="66">
      <c r="A66" s="1246" t="s">
        <v>2825</v>
      </c>
      <c r="B66" s="1247"/>
      <c r="C66" s="1248"/>
      <c r="D66" s="1248"/>
      <c r="E66" s="1249" t="s">
        <v>2076</v>
      </c>
      <c r="F66" s="1248"/>
      <c r="G66" s="1250">
        <v>1.0</v>
      </c>
      <c r="H66" s="1251">
        <f t="shared" ref="H66:H67" si="56">SUMIF(#REF!,#REF!,$P66:$AA66)</f>
        <v>0</v>
      </c>
      <c r="I66" s="1252">
        <f t="shared" si="35"/>
        <v>0</v>
      </c>
      <c r="J66" s="1251">
        <f t="shared" si="36"/>
        <v>0</v>
      </c>
      <c r="K66" s="1251">
        <f t="shared" si="37"/>
        <v>0</v>
      </c>
      <c r="L66" s="1251">
        <f t="shared" si="38"/>
        <v>0</v>
      </c>
      <c r="M66" s="1251">
        <f t="shared" si="39"/>
        <v>0</v>
      </c>
      <c r="N66" s="1251">
        <f t="shared" si="40"/>
        <v>0</v>
      </c>
      <c r="O66" s="1251">
        <f t="shared" si="41"/>
        <v>0</v>
      </c>
      <c r="P66" s="1251">
        <f>IF(NOW()&gt;=DATE(YEAR(P$1),MONTH(P$1)+1,DAY(P$1)),SUMIFS(AC_SOTIEN,AC_THANG,P$1,AC_KM,$E66),SUMIFS(TF_SOTIEN,TF_THANG,P$1,TF_KM,$E66))/ 1000</f>
        <v>0</v>
      </c>
      <c r="Q66" s="1251">
        <f>IF(NOW()&gt;=DATE(YEAR(Q$1),MONTH(Q$1)+1,DAY(Q$1)),SUMIFS(AC_SOTIEN,AC_THANG,Q$1,AC_KM,$E66),SUMIFS(TF_SOTIEN,TF_THANG,Q$1,TF_KM,$E66))/ 1000</f>
        <v>0</v>
      </c>
      <c r="R66" s="1251">
        <f>IF(NOW()&gt;=DATE(YEAR(R$1),MONTH(R$1)+1,DAY(R$1)),SUMIFS(AC_SOTIEN,AC_THANG,R$1,AC_KM,$E66),SUMIFS(TF_SOTIEN,TF_THANG,R$1,TF_KM,$E66))/ 1000</f>
        <v>0</v>
      </c>
      <c r="S66" s="1251">
        <f>IF(NOW()&gt;=DATE(YEAR(S$1),MONTH(S$1)+1,DAY(S$1)),SUMIFS(AC_SOTIEN,AC_THANG,S$1,AC_KM,$E66),SUMIFS(TF_SOTIEN,TF_THANG,S$1,TF_KM,$E66))/ 1000</f>
        <v>0</v>
      </c>
      <c r="T66" s="1251">
        <f>IF(NOW()&gt;=DATE(YEAR(T$1),MONTH(T$1)+1,DAY(T$1)),SUMIFS(AC_SOTIEN,AC_THANG,T$1,AC_KM,$E66),SUMIFS(TF_SOTIEN,TF_THANG,T$1,TF_KM,$E66))/ 1000</f>
        <v>0</v>
      </c>
      <c r="U66" s="1251">
        <f>IF(NOW()&gt;=DATE(YEAR(U$1),MONTH(U$1)+1,DAY(U$1)),SUMIFS(AC_SOTIEN,AC_THANG,U$1,AC_KM,$E66),SUMIFS(TF_SOTIEN,TF_THANG,U$1,TF_KM,$E66))/ 1000</f>
        <v>0</v>
      </c>
      <c r="V66" s="1251">
        <f>IF(NOW()&gt;=DATE(YEAR(V$1),MONTH(V$1)+1,DAY(V$1)),SUMIFS(AC_SOTIEN,AC_THANG,V$1,AC_KM,$E66),SUMIFS(TF_SOTIEN,TF_THANG,V$1,TF_KM,$E66))/ 1000</f>
        <v>0</v>
      </c>
      <c r="W66" s="1251">
        <f>IF(NOW()&gt;=DATE(YEAR(W$1),MONTH(W$1)+1,DAY(W$1)),SUMIFS(AC_SOTIEN,AC_THANG,W$1,AC_KM,$E66),SUMIFS(TF_SOTIEN,TF_THANG,W$1,TF_KM,$E66))/ 1000</f>
        <v>0</v>
      </c>
      <c r="X66" s="1251">
        <f>IF(NOW()&gt;=DATE(YEAR(X$1),MONTH(X$1)+1,DAY(X$1)),SUMIFS(AC_SOTIEN,AC_THANG,X$1,AC_KM,$E66),SUMIFS(TF_SOTIEN,TF_THANG,X$1,TF_KM,$E66))/ 1000</f>
        <v>0</v>
      </c>
      <c r="Y66" s="1251">
        <f>IF(NOW()&gt;=DATE(YEAR(Y$1),MONTH(Y$1)+1,DAY(Y$1)),SUMIFS(AC_SOTIEN,AC_THANG,Y$1,AC_KM,$E66),SUMIFS(TF_SOTIEN,TF_THANG,Y$1,TF_KM,$E66))/ 1000</f>
        <v>0</v>
      </c>
      <c r="Z66" s="1251">
        <f>IF(NOW()&gt;=DATE(YEAR(Z$1),MONTH(Z$1)+1,DAY(Z$1)),SUMIFS(AC_SOTIEN,AC_THANG,Z$1,AC_KM,$E66),SUMIFS(TF_SOTIEN,TF_THANG,Z$1,TF_KM,$E66))/ 1000</f>
        <v>0</v>
      </c>
      <c r="AA66" s="1251">
        <f>IF(NOW()&gt;=DATE(YEAR(AA$1),MONTH(AA$1)+1,DAY(AA$1)),SUMIFS(AC_SOTIEN,AC_THANG,AA$1,AC_KM,$E66),SUMIFS(TF_SOTIEN,TF_THANG,AA$1,TF_KM,$E66))/ 1000</f>
        <v>0</v>
      </c>
    </row>
    <row r="67">
      <c r="A67" s="1246" t="s">
        <v>2826</v>
      </c>
      <c r="B67" s="1247"/>
      <c r="C67" s="1248"/>
      <c r="D67" s="1248"/>
      <c r="E67" s="1249" t="s">
        <v>2083</v>
      </c>
      <c r="F67" s="1248"/>
      <c r="G67" s="1250">
        <v>1.0</v>
      </c>
      <c r="H67" s="1251">
        <f t="shared" si="56"/>
        <v>0</v>
      </c>
      <c r="I67" s="1252">
        <f t="shared" si="35"/>
        <v>0</v>
      </c>
      <c r="J67" s="1251">
        <f t="shared" si="36"/>
        <v>0</v>
      </c>
      <c r="K67" s="1251">
        <f t="shared" si="37"/>
        <v>0</v>
      </c>
      <c r="L67" s="1251">
        <f t="shared" si="38"/>
        <v>0</v>
      </c>
      <c r="M67" s="1251">
        <f t="shared" si="39"/>
        <v>0</v>
      </c>
      <c r="N67" s="1251">
        <f t="shared" si="40"/>
        <v>0</v>
      </c>
      <c r="O67" s="1251">
        <f t="shared" si="41"/>
        <v>0</v>
      </c>
      <c r="P67" s="1251">
        <f>IF(NOW()&gt;=DATE(YEAR(P$1),MONTH(P$1)+1,DAY(P$1)),SUMIFS(AC_SOTIEN,AC_THANG,P$1,AC_KM,$E67),SUMIFS(TF_SOTIEN,TF_THANG,P$1,TF_KM,$E67))/ 1000</f>
        <v>0</v>
      </c>
      <c r="Q67" s="1251">
        <f>IF(NOW()&gt;=DATE(YEAR(Q$1),MONTH(Q$1)+1,DAY(Q$1)),SUMIFS(AC_SOTIEN,AC_THANG,Q$1,AC_KM,$E67),SUMIFS(TF_SOTIEN,TF_THANG,Q$1,TF_KM,$E67))/ 1000</f>
        <v>0</v>
      </c>
      <c r="R67" s="1251">
        <f>IF(NOW()&gt;=DATE(YEAR(R$1),MONTH(R$1)+1,DAY(R$1)),SUMIFS(AC_SOTIEN,AC_THANG,R$1,AC_KM,$E67),SUMIFS(TF_SOTIEN,TF_THANG,R$1,TF_KM,$E67))/ 1000</f>
        <v>0</v>
      </c>
      <c r="S67" s="1251">
        <f>IF(NOW()&gt;=DATE(YEAR(S$1),MONTH(S$1)+1,DAY(S$1)),SUMIFS(AC_SOTIEN,AC_THANG,S$1,AC_KM,$E67),SUMIFS(TF_SOTIEN,TF_THANG,S$1,TF_KM,$E67))/ 1000</f>
        <v>0</v>
      </c>
      <c r="T67" s="1251">
        <f>IF(NOW()&gt;=DATE(YEAR(T$1),MONTH(T$1)+1,DAY(T$1)),SUMIFS(AC_SOTIEN,AC_THANG,T$1,AC_KM,$E67),SUMIFS(TF_SOTIEN,TF_THANG,T$1,TF_KM,$E67))/ 1000</f>
        <v>0</v>
      </c>
      <c r="U67" s="1251">
        <f>IF(NOW()&gt;=DATE(YEAR(U$1),MONTH(U$1)+1,DAY(U$1)),SUMIFS(AC_SOTIEN,AC_THANG,U$1,AC_KM,$E67),SUMIFS(TF_SOTIEN,TF_THANG,U$1,TF_KM,$E67))/ 1000</f>
        <v>0</v>
      </c>
      <c r="V67" s="1251">
        <f>IF(NOW()&gt;=DATE(YEAR(V$1),MONTH(V$1)+1,DAY(V$1)),SUMIFS(AC_SOTIEN,AC_THANG,V$1,AC_KM,$E67),SUMIFS(TF_SOTIEN,TF_THANG,V$1,TF_KM,$E67))/ 1000</f>
        <v>0</v>
      </c>
      <c r="W67" s="1251">
        <f>IF(NOW()&gt;=DATE(YEAR(W$1),MONTH(W$1)+1,DAY(W$1)),SUMIFS(AC_SOTIEN,AC_THANG,W$1,AC_KM,$E67),SUMIFS(TF_SOTIEN,TF_THANG,W$1,TF_KM,$E67))/ 1000</f>
        <v>0</v>
      </c>
      <c r="X67" s="1251">
        <f>IF(NOW()&gt;=DATE(YEAR(X$1),MONTH(X$1)+1,DAY(X$1)),SUMIFS(AC_SOTIEN,AC_THANG,X$1,AC_KM,$E67),SUMIFS(TF_SOTIEN,TF_THANG,X$1,TF_KM,$E67))/ 1000</f>
        <v>0</v>
      </c>
      <c r="Y67" s="1251">
        <f>IF(NOW()&gt;=DATE(YEAR(Y$1),MONTH(Y$1)+1,DAY(Y$1)),SUMIFS(AC_SOTIEN,AC_THANG,Y$1,AC_KM,$E67),SUMIFS(TF_SOTIEN,TF_THANG,Y$1,TF_KM,$E67))/ 1000</f>
        <v>0</v>
      </c>
      <c r="Z67" s="1251">
        <f>IF(NOW()&gt;=DATE(YEAR(Z$1),MONTH(Z$1)+1,DAY(Z$1)),SUMIFS(AC_SOTIEN,AC_THANG,Z$1,AC_KM,$E67),SUMIFS(TF_SOTIEN,TF_THANG,Z$1,TF_KM,$E67))/ 1000</f>
        <v>0</v>
      </c>
      <c r="AA67" s="1251">
        <f>IF(NOW()&gt;=DATE(YEAR(AA$1),MONTH(AA$1)+1,DAY(AA$1)),SUMIFS(AC_SOTIEN,AC_THANG,AA$1,AC_KM,$E67),SUMIFS(TF_SOTIEN,TF_THANG,AA$1,TF_KM,$E67))/ 1000</f>
        <v>0</v>
      </c>
    </row>
    <row r="68">
      <c r="A68" s="1246" t="s">
        <v>2827</v>
      </c>
      <c r="B68" s="1247"/>
      <c r="C68" s="1248"/>
      <c r="D68" s="1248"/>
      <c r="E68" s="1253"/>
      <c r="F68" s="1248"/>
      <c r="G68" s="1250">
        <v>1.0</v>
      </c>
      <c r="H68" s="1251">
        <f>SUMIF($G$69:$G$84,2,H69:H84)</f>
        <v>716325.608</v>
      </c>
      <c r="I68" s="1252">
        <f t="shared" si="35"/>
        <v>0.1648767733</v>
      </c>
      <c r="J68" s="1251">
        <f t="shared" si="36"/>
        <v>3215752.576</v>
      </c>
      <c r="K68" s="1251">
        <f t="shared" si="37"/>
        <v>0</v>
      </c>
      <c r="L68" s="1251">
        <f t="shared" si="38"/>
        <v>1493012.969</v>
      </c>
      <c r="M68" s="1251">
        <f t="shared" si="39"/>
        <v>1722739.607</v>
      </c>
      <c r="N68" s="1251">
        <f t="shared" si="40"/>
        <v>0</v>
      </c>
      <c r="O68" s="1251">
        <f t="shared" si="41"/>
        <v>0</v>
      </c>
      <c r="P68" s="1251">
        <f t="shared" ref="P68:AA68" si="57">SUMIF($G$69:$G$84,2,P69:P84)</f>
        <v>716325.608</v>
      </c>
      <c r="Q68" s="1251">
        <f t="shared" si="57"/>
        <v>167388.567</v>
      </c>
      <c r="R68" s="1251">
        <f t="shared" si="57"/>
        <v>609298.794</v>
      </c>
      <c r="S68" s="1251">
        <f t="shared" si="57"/>
        <v>1185113.083</v>
      </c>
      <c r="T68" s="1251">
        <f t="shared" si="57"/>
        <v>537626.524</v>
      </c>
      <c r="U68" s="1251">
        <f t="shared" si="57"/>
        <v>0</v>
      </c>
      <c r="V68" s="1251">
        <f t="shared" si="57"/>
        <v>0</v>
      </c>
      <c r="W68" s="1251">
        <f t="shared" si="57"/>
        <v>0</v>
      </c>
      <c r="X68" s="1251">
        <f t="shared" si="57"/>
        <v>0</v>
      </c>
      <c r="Y68" s="1251">
        <f t="shared" si="57"/>
        <v>0</v>
      </c>
      <c r="Z68" s="1251">
        <f t="shared" si="57"/>
        <v>0</v>
      </c>
      <c r="AA68" s="1251">
        <f t="shared" si="57"/>
        <v>0</v>
      </c>
    </row>
    <row r="69">
      <c r="A69" s="1254"/>
      <c r="B69" s="1216"/>
      <c r="C69" s="1255"/>
      <c r="D69" s="1216" t="s">
        <v>2828</v>
      </c>
      <c r="E69" s="1217"/>
      <c r="F69" s="1218">
        <v>641.0</v>
      </c>
      <c r="G69" s="1218">
        <v>2.0</v>
      </c>
      <c r="H69" s="1219">
        <f>SUM(H70:H73)</f>
        <v>159949.385</v>
      </c>
      <c r="I69" s="1220">
        <f t="shared" si="35"/>
        <v>0.03681557409</v>
      </c>
      <c r="J69" s="1221">
        <f t="shared" si="36"/>
        <v>1875406.905</v>
      </c>
      <c r="K69" s="1221">
        <f t="shared" si="37"/>
        <v>0</v>
      </c>
      <c r="L69" s="1222">
        <f t="shared" si="38"/>
        <v>633466.996</v>
      </c>
      <c r="M69" s="1222">
        <f t="shared" si="39"/>
        <v>1241939.909</v>
      </c>
      <c r="N69" s="1222">
        <f t="shared" si="40"/>
        <v>0</v>
      </c>
      <c r="O69" s="1222">
        <f t="shared" si="41"/>
        <v>0</v>
      </c>
      <c r="P69" s="1223">
        <f t="shared" ref="P69:AA69" si="58">SUM(P70:P73)</f>
        <v>159949.385</v>
      </c>
      <c r="Q69" s="1223">
        <f t="shared" si="58"/>
        <v>135280.667</v>
      </c>
      <c r="R69" s="1223">
        <f t="shared" si="58"/>
        <v>338236.944</v>
      </c>
      <c r="S69" s="1223">
        <f t="shared" si="58"/>
        <v>865978.385</v>
      </c>
      <c r="T69" s="1223">
        <f t="shared" si="58"/>
        <v>375961.524</v>
      </c>
      <c r="U69" s="1223">
        <f t="shared" si="58"/>
        <v>0</v>
      </c>
      <c r="V69" s="1223">
        <f t="shared" si="58"/>
        <v>0</v>
      </c>
      <c r="W69" s="1223">
        <f t="shared" si="58"/>
        <v>0</v>
      </c>
      <c r="X69" s="1223">
        <f t="shared" si="58"/>
        <v>0</v>
      </c>
      <c r="Y69" s="1223">
        <f t="shared" si="58"/>
        <v>0</v>
      </c>
      <c r="Z69" s="1223">
        <f t="shared" si="58"/>
        <v>0</v>
      </c>
      <c r="AA69" s="1223">
        <f t="shared" si="58"/>
        <v>0</v>
      </c>
    </row>
    <row r="70">
      <c r="A70" s="1254"/>
      <c r="B70" s="1254"/>
      <c r="C70" s="1254"/>
      <c r="D70" s="1254" t="s">
        <v>2829</v>
      </c>
      <c r="E70" s="1256" t="s">
        <v>255</v>
      </c>
      <c r="F70" s="1254"/>
      <c r="G70" s="1257">
        <v>3.0</v>
      </c>
      <c r="H70" s="1258">
        <f t="shared" ref="H70:H84" si="59">SUMIF(#REF!,#REF!,$P70:$AA70)</f>
        <v>47889.385</v>
      </c>
      <c r="I70" s="1220">
        <f t="shared" si="35"/>
        <v>0.01102270698</v>
      </c>
      <c r="J70" s="1259">
        <f t="shared" si="36"/>
        <v>617836.405</v>
      </c>
      <c r="K70" s="1259">
        <f t="shared" si="37"/>
        <v>0</v>
      </c>
      <c r="L70" s="1260">
        <f t="shared" si="38"/>
        <v>228154.496</v>
      </c>
      <c r="M70" s="1260">
        <f t="shared" si="39"/>
        <v>389681.909</v>
      </c>
      <c r="N70" s="1260">
        <f t="shared" si="40"/>
        <v>0</v>
      </c>
      <c r="O70" s="1260">
        <f t="shared" si="41"/>
        <v>0</v>
      </c>
      <c r="P70" s="1261">
        <f>IF(NOW()&gt;=DATE(YEAR(P$1),MONTH(P$1)+1,DAY(P$1)),SUMIFS(AC_SOTIEN,AC_THANG,P$1,AC_KM,$E70),SUMIFS(TF_SOTIEN,TF_THANG,P$1,TF_KM,$E70))/ 1000</f>
        <v>47889.385</v>
      </c>
      <c r="Q70" s="1261">
        <f>IF(NOW()&gt;=DATE(YEAR(Q$1),MONTH(Q$1)+1,DAY(Q$1)),SUMIFS(AC_SOTIEN,AC_THANG,Q$1,AC_KM,$E70),SUMIFS(TF_SOTIEN,TF_THANG,Q$1,TF_KM,$E70))/ 1000</f>
        <v>67320.667</v>
      </c>
      <c r="R70" s="1261">
        <f>IF(NOW()&gt;=DATE(YEAR(R$1),MONTH(R$1)+1,DAY(R$1)),SUMIFS(AC_SOTIEN,AC_THANG,R$1,AC_KM,$E70),SUMIFS(TF_SOTIEN,TF_THANG,R$1,TF_KM,$E70))/ 1000</f>
        <v>112944.444</v>
      </c>
      <c r="S70" s="1261">
        <f>IF(NOW()&gt;=DATE(YEAR(S$1),MONTH(S$1)+1,DAY(S$1)),SUMIFS(AC_SOTIEN,AC_THANG,S$1,AC_KM,$E70),SUMIFS(TF_SOTIEN,TF_THANG,S$1,TF_KM,$E70))/ 1000</f>
        <v>210235.385</v>
      </c>
      <c r="T70" s="1261">
        <f>IF(NOW()&gt;=DATE(YEAR(T$1),MONTH(T$1)+1,DAY(T$1)),SUMIFS(AC_SOTIEN,AC_THANG,T$1,AC_KM,$E70),SUMIFS(TF_SOTIEN,TF_THANG,T$1,TF_KM,$E70))/ 1000</f>
        <v>179446.524</v>
      </c>
      <c r="U70" s="1261">
        <f>IF(NOW()&gt;=DATE(YEAR(U$1),MONTH(U$1)+1,DAY(U$1)),SUMIFS(AC_SOTIEN,AC_THANG,U$1,AC_KM,$E70),SUMIFS(TF_SOTIEN,TF_THANG,U$1,TF_KM,$E70))/ 1000</f>
        <v>0</v>
      </c>
      <c r="V70" s="1261">
        <f>IF(NOW()&gt;=DATE(YEAR(V$1),MONTH(V$1)+1,DAY(V$1)),SUMIFS(AC_SOTIEN,AC_THANG,V$1,AC_KM,$E70),SUMIFS(TF_SOTIEN,TF_THANG,V$1,TF_KM,$E70))/ 1000</f>
        <v>0</v>
      </c>
      <c r="W70" s="1261">
        <f>IF(NOW()&gt;=DATE(YEAR(W$1),MONTH(W$1)+1,DAY(W$1)),SUMIFS(AC_SOTIEN,AC_THANG,W$1,AC_KM,$E70),SUMIFS(TF_SOTIEN,TF_THANG,W$1,TF_KM,$E70))/ 1000</f>
        <v>0</v>
      </c>
      <c r="X70" s="1261">
        <f>IF(NOW()&gt;=DATE(YEAR(X$1),MONTH(X$1)+1,DAY(X$1)),SUMIFS(AC_SOTIEN,AC_THANG,X$1,AC_KM,$E70),SUMIFS(TF_SOTIEN,TF_THANG,X$1,TF_KM,$E70))/ 1000</f>
        <v>0</v>
      </c>
      <c r="Y70" s="1261">
        <f>IF(NOW()&gt;=DATE(YEAR(Y$1),MONTH(Y$1)+1,DAY(Y$1)),SUMIFS(AC_SOTIEN,AC_THANG,Y$1,AC_KM,$E70),SUMIFS(TF_SOTIEN,TF_THANG,Y$1,TF_KM,$E70))/ 1000</f>
        <v>0</v>
      </c>
      <c r="Z70" s="1261">
        <f>IF(NOW()&gt;=DATE(YEAR(Z$1),MONTH(Z$1)+1,DAY(Z$1)),SUMIFS(AC_SOTIEN,AC_THANG,Z$1,AC_KM,$E70),SUMIFS(TF_SOTIEN,TF_THANG,Z$1,TF_KM,$E70))/ 1000</f>
        <v>0</v>
      </c>
      <c r="AA70" s="1261">
        <f>IF(NOW()&gt;=DATE(YEAR(AA$1),MONTH(AA$1)+1,DAY(AA$1)),SUMIFS(AC_SOTIEN,AC_THANG,AA$1,AC_KM,$E70),SUMIFS(TF_SOTIEN,TF_THANG,AA$1,TF_KM,$E70))/ 1000</f>
        <v>0</v>
      </c>
    </row>
    <row r="71">
      <c r="A71" s="1254"/>
      <c r="B71" s="1254"/>
      <c r="C71" s="1254"/>
      <c r="D71" s="1254" t="s">
        <v>2830</v>
      </c>
      <c r="E71" s="1256" t="s">
        <v>190</v>
      </c>
      <c r="F71" s="1257">
        <v>641.0</v>
      </c>
      <c r="G71" s="1257">
        <v>3.0</v>
      </c>
      <c r="H71" s="1258">
        <f t="shared" si="59"/>
        <v>107560</v>
      </c>
      <c r="I71" s="1220">
        <f t="shared" si="35"/>
        <v>0.02475710144</v>
      </c>
      <c r="J71" s="1259">
        <f t="shared" si="36"/>
        <v>1168910.5</v>
      </c>
      <c r="K71" s="1259">
        <f t="shared" si="37"/>
        <v>0</v>
      </c>
      <c r="L71" s="1260">
        <f t="shared" si="38"/>
        <v>376652.5</v>
      </c>
      <c r="M71" s="1260">
        <f t="shared" si="39"/>
        <v>792258</v>
      </c>
      <c r="N71" s="1260">
        <f t="shared" si="40"/>
        <v>0</v>
      </c>
      <c r="O71" s="1260">
        <f t="shared" si="41"/>
        <v>0</v>
      </c>
      <c r="P71" s="1261">
        <f>IF(NOW()&gt;=DATE(YEAR(P$1),MONTH(P$1)+1,DAY(P$1)),SUMIFS(AC_SOTIEN,AC_THANG,P$1,AC_KM,$E71),SUMIFS(TF_SOTIEN,TF_THANG,P$1,TF_KM,$E71))/ 1000</f>
        <v>107560</v>
      </c>
      <c r="Q71" s="1261">
        <f>IF(NOW()&gt;=DATE(YEAR(Q$1),MONTH(Q$1)+1,DAY(Q$1)),SUMIFS(AC_SOTIEN,AC_THANG,Q$1,AC_KM,$E71),SUMIFS(TF_SOTIEN,TF_THANG,Q$1,TF_KM,$E71))/ 1000</f>
        <v>55000</v>
      </c>
      <c r="R71" s="1261">
        <f>IF(NOW()&gt;=DATE(YEAR(R$1),MONTH(R$1)+1,DAY(R$1)),SUMIFS(AC_SOTIEN,AC_THANG,R$1,AC_KM,$E71),SUMIFS(TF_SOTIEN,TF_THANG,R$1,TF_KM,$E71))/ 1000</f>
        <v>214092.5</v>
      </c>
      <c r="S71" s="1261">
        <f>IF(NOW()&gt;=DATE(YEAR(S$1),MONTH(S$1)+1,DAY(S$1)),SUMIFS(AC_SOTIEN,AC_THANG,S$1,AC_KM,$E71),SUMIFS(TF_SOTIEN,TF_THANG,S$1,TF_KM,$E71))/ 1000</f>
        <v>609315</v>
      </c>
      <c r="T71" s="1261">
        <f>IF(NOW()&gt;=DATE(YEAR(T$1),MONTH(T$1)+1,DAY(T$1)),SUMIFS(AC_SOTIEN,AC_THANG,T$1,AC_KM,$E71),SUMIFS(TF_SOTIEN,TF_THANG,T$1,TF_KM,$E71))/ 1000</f>
        <v>182943</v>
      </c>
      <c r="U71" s="1261">
        <f>IF(NOW()&gt;=DATE(YEAR(U$1),MONTH(U$1)+1,DAY(U$1)),SUMIFS(AC_SOTIEN,AC_THANG,U$1,AC_KM,$E71),SUMIFS(TF_SOTIEN,TF_THANG,U$1,TF_KM,$E71))/ 1000</f>
        <v>0</v>
      </c>
      <c r="V71" s="1261">
        <f>IF(NOW()&gt;=DATE(YEAR(V$1),MONTH(V$1)+1,DAY(V$1)),SUMIFS(AC_SOTIEN,AC_THANG,V$1,AC_KM,$E71),SUMIFS(TF_SOTIEN,TF_THANG,V$1,TF_KM,$E71))/ 1000</f>
        <v>0</v>
      </c>
      <c r="W71" s="1261">
        <f>IF(NOW()&gt;=DATE(YEAR(W$1),MONTH(W$1)+1,DAY(W$1)),SUMIFS(AC_SOTIEN,AC_THANG,W$1,AC_KM,$E71),SUMIFS(TF_SOTIEN,TF_THANG,W$1,TF_KM,$E71))/ 1000</f>
        <v>0</v>
      </c>
      <c r="X71" s="1261">
        <f>IF(NOW()&gt;=DATE(YEAR(X$1),MONTH(X$1)+1,DAY(X$1)),SUMIFS(AC_SOTIEN,AC_THANG,X$1,AC_KM,$E71),SUMIFS(TF_SOTIEN,TF_THANG,X$1,TF_KM,$E71))/ 1000</f>
        <v>0</v>
      </c>
      <c r="Y71" s="1261">
        <f>IF(NOW()&gt;=DATE(YEAR(Y$1),MONTH(Y$1)+1,DAY(Y$1)),SUMIFS(AC_SOTIEN,AC_THANG,Y$1,AC_KM,$E71),SUMIFS(TF_SOTIEN,TF_THANG,Y$1,TF_KM,$E71))/ 1000</f>
        <v>0</v>
      </c>
      <c r="Z71" s="1261">
        <f>IF(NOW()&gt;=DATE(YEAR(Z$1),MONTH(Z$1)+1,DAY(Z$1)),SUMIFS(AC_SOTIEN,AC_THANG,Z$1,AC_KM,$E71),SUMIFS(TF_SOTIEN,TF_THANG,Z$1,TF_KM,$E71))/ 1000</f>
        <v>0</v>
      </c>
      <c r="AA71" s="1261">
        <f>IF(NOW()&gt;=DATE(YEAR(AA$1),MONTH(AA$1)+1,DAY(AA$1)),SUMIFS(AC_SOTIEN,AC_THANG,AA$1,AC_KM,$E71),SUMIFS(TF_SOTIEN,TF_THANG,AA$1,TF_KM,$E71))/ 1000</f>
        <v>0</v>
      </c>
    </row>
    <row r="72">
      <c r="A72" s="1254"/>
      <c r="B72" s="1254"/>
      <c r="C72" s="1254"/>
      <c r="D72" s="1254" t="s">
        <v>2831</v>
      </c>
      <c r="E72" s="1256" t="s">
        <v>194</v>
      </c>
      <c r="F72" s="1257">
        <v>641.0</v>
      </c>
      <c r="G72" s="1257">
        <v>3.0</v>
      </c>
      <c r="H72" s="1258">
        <f t="shared" si="59"/>
        <v>4500</v>
      </c>
      <c r="I72" s="1220">
        <f t="shared" si="35"/>
        <v>0.001035765679</v>
      </c>
      <c r="J72" s="1259">
        <f t="shared" si="36"/>
        <v>63008</v>
      </c>
      <c r="K72" s="1259">
        <f t="shared" si="37"/>
        <v>0</v>
      </c>
      <c r="L72" s="1260">
        <f t="shared" si="38"/>
        <v>16580</v>
      </c>
      <c r="M72" s="1260">
        <f t="shared" si="39"/>
        <v>46428</v>
      </c>
      <c r="N72" s="1260">
        <f t="shared" si="40"/>
        <v>0</v>
      </c>
      <c r="O72" s="1260">
        <f t="shared" si="41"/>
        <v>0</v>
      </c>
      <c r="P72" s="1261">
        <f>IF(NOW()&gt;=DATE(YEAR(P$1),MONTH(P$1)+1,DAY(P$1)),SUMIFS(AC_SOTIEN,AC_THANG,P$1,AC_KM,$E72),SUMIFS(TF_SOTIEN,TF_THANG,P$1,TF_KM,$E72))/ 1000</f>
        <v>4500</v>
      </c>
      <c r="Q72" s="1261">
        <f>IF(NOW()&gt;=DATE(YEAR(Q$1),MONTH(Q$1)+1,DAY(Q$1)),SUMIFS(AC_SOTIEN,AC_THANG,Q$1,AC_KM,$E72),SUMIFS(TF_SOTIEN,TF_THANG,Q$1,TF_KM,$E72))/ 1000</f>
        <v>7580</v>
      </c>
      <c r="R72" s="1261">
        <f>IF(NOW()&gt;=DATE(YEAR(R$1),MONTH(R$1)+1,DAY(R$1)),SUMIFS(AC_SOTIEN,AC_THANG,R$1,AC_KM,$E72),SUMIFS(TF_SOTIEN,TF_THANG,R$1,TF_KM,$E72))/ 1000</f>
        <v>4500</v>
      </c>
      <c r="S72" s="1261">
        <f>IF(NOW()&gt;=DATE(YEAR(S$1),MONTH(S$1)+1,DAY(S$1)),SUMIFS(AC_SOTIEN,AC_THANG,S$1,AC_KM,$E72),SUMIFS(TF_SOTIEN,TF_THANG,S$1,TF_KM,$E72))/ 1000</f>
        <v>46428</v>
      </c>
      <c r="T72" s="1261">
        <f>IF(NOW()&gt;=DATE(YEAR(T$1),MONTH(T$1)+1,DAY(T$1)),SUMIFS(AC_SOTIEN,AC_THANG,T$1,AC_KM,$E72),SUMIFS(TF_SOTIEN,TF_THANG,T$1,TF_KM,$E72))/ 1000</f>
        <v>0</v>
      </c>
      <c r="U72" s="1261">
        <f>IF(NOW()&gt;=DATE(YEAR(U$1),MONTH(U$1)+1,DAY(U$1)),SUMIFS(AC_SOTIEN,AC_THANG,U$1,AC_KM,$E72),SUMIFS(TF_SOTIEN,TF_THANG,U$1,TF_KM,$E72))/ 1000</f>
        <v>0</v>
      </c>
      <c r="V72" s="1261">
        <f>IF(NOW()&gt;=DATE(YEAR(V$1),MONTH(V$1)+1,DAY(V$1)),SUMIFS(AC_SOTIEN,AC_THANG,V$1,AC_KM,$E72),SUMIFS(TF_SOTIEN,TF_THANG,V$1,TF_KM,$E72))/ 1000</f>
        <v>0</v>
      </c>
      <c r="W72" s="1261">
        <f>IF(NOW()&gt;=DATE(YEAR(W$1),MONTH(W$1)+1,DAY(W$1)),SUMIFS(AC_SOTIEN,AC_THANG,W$1,AC_KM,$E72),SUMIFS(TF_SOTIEN,TF_THANG,W$1,TF_KM,$E72))/ 1000</f>
        <v>0</v>
      </c>
      <c r="X72" s="1261">
        <f>IF(NOW()&gt;=DATE(YEAR(X$1),MONTH(X$1)+1,DAY(X$1)),SUMIFS(AC_SOTIEN,AC_THANG,X$1,AC_KM,$E72),SUMIFS(TF_SOTIEN,TF_THANG,X$1,TF_KM,$E72))/ 1000</f>
        <v>0</v>
      </c>
      <c r="Y72" s="1261">
        <f>IF(NOW()&gt;=DATE(YEAR(Y$1),MONTH(Y$1)+1,DAY(Y$1)),SUMIFS(AC_SOTIEN,AC_THANG,Y$1,AC_KM,$E72),SUMIFS(TF_SOTIEN,TF_THANG,Y$1,TF_KM,$E72))/ 1000</f>
        <v>0</v>
      </c>
      <c r="Z72" s="1261">
        <f>IF(NOW()&gt;=DATE(YEAR(Z$1),MONTH(Z$1)+1,DAY(Z$1)),SUMIFS(AC_SOTIEN,AC_THANG,Z$1,AC_KM,$E72),SUMIFS(TF_SOTIEN,TF_THANG,Z$1,TF_KM,$E72))/ 1000</f>
        <v>0</v>
      </c>
      <c r="AA72" s="1261">
        <f>IF(NOW()&gt;=DATE(YEAR(AA$1),MONTH(AA$1)+1,DAY(AA$1)),SUMIFS(AC_SOTIEN,AC_THANG,AA$1,AC_KM,$E72),SUMIFS(TF_SOTIEN,TF_THANG,AA$1,TF_KM,$E72))/ 1000</f>
        <v>0</v>
      </c>
    </row>
    <row r="73">
      <c r="A73" s="1254"/>
      <c r="B73" s="1254"/>
      <c r="C73" s="1254"/>
      <c r="D73" s="1254" t="s">
        <v>2832</v>
      </c>
      <c r="E73" s="1256" t="s">
        <v>374</v>
      </c>
      <c r="F73" s="1257">
        <v>641.0</v>
      </c>
      <c r="G73" s="1257">
        <v>3.0</v>
      </c>
      <c r="H73" s="1258">
        <f t="shared" si="59"/>
        <v>0</v>
      </c>
      <c r="I73" s="1220">
        <f t="shared" si="35"/>
        <v>0</v>
      </c>
      <c r="J73" s="1259">
        <f t="shared" si="36"/>
        <v>25652</v>
      </c>
      <c r="K73" s="1259">
        <f t="shared" si="37"/>
        <v>0</v>
      </c>
      <c r="L73" s="1260">
        <f t="shared" si="38"/>
        <v>12080</v>
      </c>
      <c r="M73" s="1260">
        <f t="shared" si="39"/>
        <v>13572</v>
      </c>
      <c r="N73" s="1260">
        <f t="shared" si="40"/>
        <v>0</v>
      </c>
      <c r="O73" s="1260">
        <f t="shared" si="41"/>
        <v>0</v>
      </c>
      <c r="P73" s="1261">
        <f>IF(NOW()&gt;=DATE(YEAR(P$1),MONTH(P$1)+1,DAY(P$1)),SUMIFS(AC_SOTIEN,AC_THANG,P$1,AC_KM,$E73),SUMIFS(TF_SOTIEN,TF_THANG,P$1,TF_KM,$E73))/ 1000</f>
        <v>0</v>
      </c>
      <c r="Q73" s="1261">
        <f>IF(NOW()&gt;=DATE(YEAR(Q$1),MONTH(Q$1)+1,DAY(Q$1)),SUMIFS(AC_SOTIEN,AC_THANG,Q$1,AC_KM,$E73),SUMIFS(TF_SOTIEN,TF_THANG,Q$1,TF_KM,$E73))/ 1000</f>
        <v>5380</v>
      </c>
      <c r="R73" s="1261">
        <f>IF(NOW()&gt;=DATE(YEAR(R$1),MONTH(R$1)+1,DAY(R$1)),SUMIFS(AC_SOTIEN,AC_THANG,R$1,AC_KM,$E73),SUMIFS(TF_SOTIEN,TF_THANG,R$1,TF_KM,$E73))/ 1000</f>
        <v>6700</v>
      </c>
      <c r="S73" s="1261">
        <f>IF(NOW()&gt;=DATE(YEAR(S$1),MONTH(S$1)+1,DAY(S$1)),SUMIFS(AC_SOTIEN,AC_THANG,S$1,AC_KM,$E73),SUMIFS(TF_SOTIEN,TF_THANG,S$1,TF_KM,$E73))/ 1000</f>
        <v>0</v>
      </c>
      <c r="T73" s="1261">
        <f>IF(NOW()&gt;=DATE(YEAR(T$1),MONTH(T$1)+1,DAY(T$1)),SUMIFS(AC_SOTIEN,AC_THANG,T$1,AC_KM,$E73),SUMIFS(TF_SOTIEN,TF_THANG,T$1,TF_KM,$E73))/ 1000</f>
        <v>13572</v>
      </c>
      <c r="U73" s="1261">
        <f>IF(NOW()&gt;=DATE(YEAR(U$1),MONTH(U$1)+1,DAY(U$1)),SUMIFS(AC_SOTIEN,AC_THANG,U$1,AC_KM,$E73),SUMIFS(TF_SOTIEN,TF_THANG,U$1,TF_KM,$E73))/ 1000</f>
        <v>0</v>
      </c>
      <c r="V73" s="1261">
        <f>IF(NOW()&gt;=DATE(YEAR(V$1),MONTH(V$1)+1,DAY(V$1)),SUMIFS(AC_SOTIEN,AC_THANG,V$1,AC_KM,$E73),SUMIFS(TF_SOTIEN,TF_THANG,V$1,TF_KM,$E73))/ 1000</f>
        <v>0</v>
      </c>
      <c r="W73" s="1261">
        <f>IF(NOW()&gt;=DATE(YEAR(W$1),MONTH(W$1)+1,DAY(W$1)),SUMIFS(AC_SOTIEN,AC_THANG,W$1,AC_KM,$E73),SUMIFS(TF_SOTIEN,TF_THANG,W$1,TF_KM,$E73))/ 1000</f>
        <v>0</v>
      </c>
      <c r="X73" s="1261">
        <f>IF(NOW()&gt;=DATE(YEAR(X$1),MONTH(X$1)+1,DAY(X$1)),SUMIFS(AC_SOTIEN,AC_THANG,X$1,AC_KM,$E73),SUMIFS(TF_SOTIEN,TF_THANG,X$1,TF_KM,$E73))/ 1000</f>
        <v>0</v>
      </c>
      <c r="Y73" s="1261">
        <f>IF(NOW()&gt;=DATE(YEAR(Y$1),MONTH(Y$1)+1,DAY(Y$1)),SUMIFS(AC_SOTIEN,AC_THANG,Y$1,AC_KM,$E73),SUMIFS(TF_SOTIEN,TF_THANG,Y$1,TF_KM,$E73))/ 1000</f>
        <v>0</v>
      </c>
      <c r="Z73" s="1261">
        <f>IF(NOW()&gt;=DATE(YEAR(Z$1),MONTH(Z$1)+1,DAY(Z$1)),SUMIFS(AC_SOTIEN,AC_THANG,Z$1,AC_KM,$E73),SUMIFS(TF_SOTIEN,TF_THANG,Z$1,TF_KM,$E73))/ 1000</f>
        <v>0</v>
      </c>
      <c r="AA73" s="1261">
        <f>IF(NOW()&gt;=DATE(YEAR(AA$1),MONTH(AA$1)+1,DAY(AA$1)),SUMIFS(AC_SOTIEN,AC_THANG,AA$1,AC_KM,$E73),SUMIFS(TF_SOTIEN,TF_THANG,AA$1,TF_KM,$E73))/ 1000</f>
        <v>0</v>
      </c>
    </row>
    <row r="74">
      <c r="A74" s="1254"/>
      <c r="B74" s="1254"/>
      <c r="C74" s="1254"/>
      <c r="D74" s="1216" t="s">
        <v>2833</v>
      </c>
      <c r="E74" s="1217" t="s">
        <v>169</v>
      </c>
      <c r="F74" s="1216"/>
      <c r="G74" s="1218">
        <v>2.0</v>
      </c>
      <c r="H74" s="1219">
        <f t="shared" si="59"/>
        <v>508000</v>
      </c>
      <c r="I74" s="1220">
        <f t="shared" si="35"/>
        <v>0.1169264367</v>
      </c>
      <c r="J74" s="1221">
        <f t="shared" si="36"/>
        <v>709606.999</v>
      </c>
      <c r="K74" s="1221">
        <f t="shared" si="37"/>
        <v>0</v>
      </c>
      <c r="L74" s="1222">
        <f t="shared" si="38"/>
        <v>565736</v>
      </c>
      <c r="M74" s="1222">
        <f t="shared" si="39"/>
        <v>143870.999</v>
      </c>
      <c r="N74" s="1222">
        <f t="shared" si="40"/>
        <v>0</v>
      </c>
      <c r="O74" s="1222">
        <f t="shared" si="41"/>
        <v>0</v>
      </c>
      <c r="P74" s="1223">
        <f>IF(NOW()&gt;=DATE(YEAR(P$1),MONTH(P$1)+1,DAY(P$1)),SUMIFS(AC_SOTIEN,AC_THANG,P$1,AC_KM,$E74),SUMIFS(TF_SOTIEN,TF_THANG,P$1,TF_KM,$E74))/ 1000</f>
        <v>508000</v>
      </c>
      <c r="Q74" s="1223">
        <f>IF(NOW()&gt;=DATE(YEAR(Q$1),MONTH(Q$1)+1,DAY(Q$1)),SUMIFS(AC_SOTIEN,AC_THANG,Q$1,AC_KM,$E74),SUMIFS(TF_SOTIEN,TF_THANG,Q$1,TF_KM,$E74))/ 1000</f>
        <v>20000</v>
      </c>
      <c r="R74" s="1223">
        <f>IF(NOW()&gt;=DATE(YEAR(R$1),MONTH(R$1)+1,DAY(R$1)),SUMIFS(AC_SOTIEN,AC_THANG,R$1,AC_KM,$E74),SUMIFS(TF_SOTIEN,TF_THANG,R$1,TF_KM,$E74))/ 1000</f>
        <v>37736</v>
      </c>
      <c r="S74" s="1223">
        <f>IF(NOW()&gt;=DATE(YEAR(S$1),MONTH(S$1)+1,DAY(S$1)),SUMIFS(AC_SOTIEN,AC_THANG,S$1,AC_KM,$E74),SUMIFS(TF_SOTIEN,TF_THANG,S$1,TF_KM,$E74))/ 1000</f>
        <v>63737</v>
      </c>
      <c r="T74" s="1223">
        <f>IF(NOW()&gt;=DATE(YEAR(T$1),MONTH(T$1)+1,DAY(T$1)),SUMIFS(AC_SOTIEN,AC_THANG,T$1,AC_KM,$E74),SUMIFS(TF_SOTIEN,TF_THANG,T$1,TF_KM,$E74))/ 1000</f>
        <v>80133.999</v>
      </c>
      <c r="U74" s="1223">
        <f>IF(NOW()&gt;=DATE(YEAR(U$1),MONTH(U$1)+1,DAY(U$1)),SUMIFS(AC_SOTIEN,AC_THANG,U$1,AC_KM,$E74),SUMIFS(TF_SOTIEN,TF_THANG,U$1,TF_KM,$E74))/ 1000</f>
        <v>0</v>
      </c>
      <c r="V74" s="1223">
        <f>IF(NOW()&gt;=DATE(YEAR(V$1),MONTH(V$1)+1,DAY(V$1)),SUMIFS(AC_SOTIEN,AC_THANG,V$1,AC_KM,$E74),SUMIFS(TF_SOTIEN,TF_THANG,V$1,TF_KM,$E74))/ 1000</f>
        <v>0</v>
      </c>
      <c r="W74" s="1223">
        <f>IF(NOW()&gt;=DATE(YEAR(W$1),MONTH(W$1)+1,DAY(W$1)),SUMIFS(AC_SOTIEN,AC_THANG,W$1,AC_KM,$E74),SUMIFS(TF_SOTIEN,TF_THANG,W$1,TF_KM,$E74))/ 1000</f>
        <v>0</v>
      </c>
      <c r="X74" s="1223">
        <f>IF(NOW()&gt;=DATE(YEAR(X$1),MONTH(X$1)+1,DAY(X$1)),SUMIFS(AC_SOTIEN,AC_THANG,X$1,AC_KM,$E74),SUMIFS(TF_SOTIEN,TF_THANG,X$1,TF_KM,$E74))/ 1000</f>
        <v>0</v>
      </c>
      <c r="Y74" s="1223">
        <f>IF(NOW()&gt;=DATE(YEAR(Y$1),MONTH(Y$1)+1,DAY(Y$1)),SUMIFS(AC_SOTIEN,AC_THANG,Y$1,AC_KM,$E74),SUMIFS(TF_SOTIEN,TF_THANG,Y$1,TF_KM,$E74))/ 1000</f>
        <v>0</v>
      </c>
      <c r="Z74" s="1223">
        <f>IF(NOW()&gt;=DATE(YEAR(Z$1),MONTH(Z$1)+1,DAY(Z$1)),SUMIFS(AC_SOTIEN,AC_THANG,Z$1,AC_KM,$E74),SUMIFS(TF_SOTIEN,TF_THANG,Z$1,TF_KM,$E74))/ 1000</f>
        <v>0</v>
      </c>
      <c r="AA74" s="1223">
        <f>IF(NOW()&gt;=DATE(YEAR(AA$1),MONTH(AA$1)+1,DAY(AA$1)),SUMIFS(AC_SOTIEN,AC_THANG,AA$1,AC_KM,$E74),SUMIFS(TF_SOTIEN,TF_THANG,AA$1,TF_KM,$E74))/ 1000</f>
        <v>0</v>
      </c>
    </row>
    <row r="75">
      <c r="A75" s="1254"/>
      <c r="B75" s="1254"/>
      <c r="C75" s="1254"/>
      <c r="D75" s="1216" t="s">
        <v>2834</v>
      </c>
      <c r="E75" s="1217" t="s">
        <v>174</v>
      </c>
      <c r="F75" s="1218">
        <v>641.0</v>
      </c>
      <c r="G75" s="1218">
        <v>2.0</v>
      </c>
      <c r="H75" s="1219">
        <f t="shared" si="59"/>
        <v>19496.223</v>
      </c>
      <c r="I75" s="1220">
        <f t="shared" si="35"/>
        <v>0.004487448591</v>
      </c>
      <c r="J75" s="1221">
        <f t="shared" si="36"/>
        <v>245147.372</v>
      </c>
      <c r="K75" s="1221">
        <f t="shared" si="37"/>
        <v>0</v>
      </c>
      <c r="L75" s="1222">
        <f t="shared" si="38"/>
        <v>94991.373</v>
      </c>
      <c r="M75" s="1222">
        <f t="shared" si="39"/>
        <v>150155.999</v>
      </c>
      <c r="N75" s="1222">
        <f t="shared" si="40"/>
        <v>0</v>
      </c>
      <c r="O75" s="1222">
        <f t="shared" si="41"/>
        <v>0</v>
      </c>
      <c r="P75" s="1223">
        <f>IF(NOW()&gt;=DATE(YEAR(P$1),MONTH(P$1)+1,DAY(P$1)),SUMIFS(AC_SOTIEN,AC_THANG,P$1,AC_KM,$E75),SUMIFS(TF_SOTIEN,TF_THANG,P$1,TF_KM,$E75))/ 1000</f>
        <v>19496.223</v>
      </c>
      <c r="Q75" s="1223">
        <f>IF(NOW()&gt;=DATE(YEAR(Q$1),MONTH(Q$1)+1,DAY(Q$1)),SUMIFS(AC_SOTIEN,AC_THANG,Q$1,AC_KM,$E75),SUMIFS(TF_SOTIEN,TF_THANG,Q$1,TF_KM,$E75))/ 1000</f>
        <v>11107.9</v>
      </c>
      <c r="R75" s="1223">
        <f>IF(NOW()&gt;=DATE(YEAR(R$1),MONTH(R$1)+1,DAY(R$1)),SUMIFS(AC_SOTIEN,AC_THANG,R$1,AC_KM,$E75),SUMIFS(TF_SOTIEN,TF_THANG,R$1,TF_KM,$E75))/ 1000</f>
        <v>64387.25</v>
      </c>
      <c r="S75" s="1223">
        <f>IF(NOW()&gt;=DATE(YEAR(S$1),MONTH(S$1)+1,DAY(S$1)),SUMIFS(AC_SOTIEN,AC_THANG,S$1,AC_KM,$E75),SUMIFS(TF_SOTIEN,TF_THANG,S$1,TF_KM,$E75))/ 1000</f>
        <v>120703.998</v>
      </c>
      <c r="T75" s="1223">
        <f>IF(NOW()&gt;=DATE(YEAR(T$1),MONTH(T$1)+1,DAY(T$1)),SUMIFS(AC_SOTIEN,AC_THANG,T$1,AC_KM,$E75),SUMIFS(TF_SOTIEN,TF_THANG,T$1,TF_KM,$E75))/ 1000</f>
        <v>29452.001</v>
      </c>
      <c r="U75" s="1223">
        <f>IF(NOW()&gt;=DATE(YEAR(U$1),MONTH(U$1)+1,DAY(U$1)),SUMIFS(AC_SOTIEN,AC_THANG,U$1,AC_KM,$E75),SUMIFS(TF_SOTIEN,TF_THANG,U$1,TF_KM,$E75))/ 1000</f>
        <v>0</v>
      </c>
      <c r="V75" s="1223">
        <f>IF(NOW()&gt;=DATE(YEAR(V$1),MONTH(V$1)+1,DAY(V$1)),SUMIFS(AC_SOTIEN,AC_THANG,V$1,AC_KM,$E75),SUMIFS(TF_SOTIEN,TF_THANG,V$1,TF_KM,$E75))/ 1000</f>
        <v>0</v>
      </c>
      <c r="W75" s="1223">
        <f>IF(NOW()&gt;=DATE(YEAR(W$1),MONTH(W$1)+1,DAY(W$1)),SUMIFS(AC_SOTIEN,AC_THANG,W$1,AC_KM,$E75),SUMIFS(TF_SOTIEN,TF_THANG,W$1,TF_KM,$E75))/ 1000</f>
        <v>0</v>
      </c>
      <c r="X75" s="1223">
        <f>IF(NOW()&gt;=DATE(YEAR(X$1),MONTH(X$1)+1,DAY(X$1)),SUMIFS(AC_SOTIEN,AC_THANG,X$1,AC_KM,$E75),SUMIFS(TF_SOTIEN,TF_THANG,X$1,TF_KM,$E75))/ 1000</f>
        <v>0</v>
      </c>
      <c r="Y75" s="1223">
        <f>IF(NOW()&gt;=DATE(YEAR(Y$1),MONTH(Y$1)+1,DAY(Y$1)),SUMIFS(AC_SOTIEN,AC_THANG,Y$1,AC_KM,$E75),SUMIFS(TF_SOTIEN,TF_THANG,Y$1,TF_KM,$E75))/ 1000</f>
        <v>0</v>
      </c>
      <c r="Z75" s="1223">
        <f>IF(NOW()&gt;=DATE(YEAR(Z$1),MONTH(Z$1)+1,DAY(Z$1)),SUMIFS(AC_SOTIEN,AC_THANG,Z$1,AC_KM,$E75),SUMIFS(TF_SOTIEN,TF_THANG,Z$1,TF_KM,$E75))/ 1000</f>
        <v>0</v>
      </c>
      <c r="AA75" s="1223">
        <f>IF(NOW()&gt;=DATE(YEAR(AA$1),MONTH(AA$1)+1,DAY(AA$1)),SUMIFS(AC_SOTIEN,AC_THANG,AA$1,AC_KM,$E75),SUMIFS(TF_SOTIEN,TF_THANG,AA$1,TF_KM,$E75))/ 1000</f>
        <v>0</v>
      </c>
    </row>
    <row r="76">
      <c r="A76" s="1254"/>
      <c r="B76" s="1254"/>
      <c r="C76" s="1254"/>
      <c r="D76" s="1216" t="s">
        <v>2835</v>
      </c>
      <c r="E76" s="1217" t="s">
        <v>2836</v>
      </c>
      <c r="F76" s="1216"/>
      <c r="G76" s="1218">
        <v>2.0</v>
      </c>
      <c r="H76" s="1219">
        <f t="shared" si="59"/>
        <v>0</v>
      </c>
      <c r="I76" s="1220">
        <f t="shared" si="35"/>
        <v>0</v>
      </c>
      <c r="J76" s="1221">
        <f t="shared" si="36"/>
        <v>0</v>
      </c>
      <c r="K76" s="1221">
        <f t="shared" si="37"/>
        <v>0</v>
      </c>
      <c r="L76" s="1222">
        <f t="shared" si="38"/>
        <v>0</v>
      </c>
      <c r="M76" s="1222">
        <f t="shared" si="39"/>
        <v>0</v>
      </c>
      <c r="N76" s="1222">
        <f t="shared" si="40"/>
        <v>0</v>
      </c>
      <c r="O76" s="1222">
        <f t="shared" si="41"/>
        <v>0</v>
      </c>
      <c r="P76" s="1223">
        <f>IF(NOW()&gt;=DATE(YEAR(P$1),MONTH(P$1)+1,DAY(P$1)),SUMIFS(AC_SOTIEN,AC_THANG,P$1,AC_KM,$E76),SUMIFS(TF_SOTIEN,TF_THANG,P$1,TF_KM,$E76))/ 1000</f>
        <v>0</v>
      </c>
      <c r="Q76" s="1223">
        <f>IF(NOW()&gt;=DATE(YEAR(Q$1),MONTH(Q$1)+1,DAY(Q$1)),SUMIFS(AC_SOTIEN,AC_THANG,Q$1,AC_KM,$E76),SUMIFS(TF_SOTIEN,TF_THANG,Q$1,TF_KM,$E76))/ 1000</f>
        <v>0</v>
      </c>
      <c r="R76" s="1223">
        <f>IF(NOW()&gt;=DATE(YEAR(R$1),MONTH(R$1)+1,DAY(R$1)),SUMIFS(AC_SOTIEN,AC_THANG,R$1,AC_KM,$E76),SUMIFS(TF_SOTIEN,TF_THANG,R$1,TF_KM,$E76))/ 1000</f>
        <v>0</v>
      </c>
      <c r="S76" s="1223">
        <f>IF(NOW()&gt;=DATE(YEAR(S$1),MONTH(S$1)+1,DAY(S$1)),SUMIFS(AC_SOTIEN,AC_THANG,S$1,AC_KM,$E76),SUMIFS(TF_SOTIEN,TF_THANG,S$1,TF_KM,$E76))/ 1000</f>
        <v>0</v>
      </c>
      <c r="T76" s="1223">
        <f>IF(NOW()&gt;=DATE(YEAR(T$1),MONTH(T$1)+1,DAY(T$1)),SUMIFS(AC_SOTIEN,AC_THANG,T$1,AC_KM,$E76),SUMIFS(TF_SOTIEN,TF_THANG,T$1,TF_KM,$E76))/ 1000</f>
        <v>0</v>
      </c>
      <c r="U76" s="1223">
        <f>IF(NOW()&gt;=DATE(YEAR(U$1),MONTH(U$1)+1,DAY(U$1)),SUMIFS(AC_SOTIEN,AC_THANG,U$1,AC_KM,$E76),SUMIFS(TF_SOTIEN,TF_THANG,U$1,TF_KM,$E76))/ 1000</f>
        <v>0</v>
      </c>
      <c r="V76" s="1223">
        <f>IF(NOW()&gt;=DATE(YEAR(V$1),MONTH(V$1)+1,DAY(V$1)),SUMIFS(AC_SOTIEN,AC_THANG,V$1,AC_KM,$E76),SUMIFS(TF_SOTIEN,TF_THANG,V$1,TF_KM,$E76))/ 1000</f>
        <v>0</v>
      </c>
      <c r="W76" s="1223">
        <f>IF(NOW()&gt;=DATE(YEAR(W$1),MONTH(W$1)+1,DAY(W$1)),SUMIFS(AC_SOTIEN,AC_THANG,W$1,AC_KM,$E76),SUMIFS(TF_SOTIEN,TF_THANG,W$1,TF_KM,$E76))/ 1000</f>
        <v>0</v>
      </c>
      <c r="X76" s="1223">
        <f>IF(NOW()&gt;=DATE(YEAR(X$1),MONTH(X$1)+1,DAY(X$1)),SUMIFS(AC_SOTIEN,AC_THANG,X$1,AC_KM,$E76),SUMIFS(TF_SOTIEN,TF_THANG,X$1,TF_KM,$E76))/ 1000</f>
        <v>0</v>
      </c>
      <c r="Y76" s="1223">
        <f>IF(NOW()&gt;=DATE(YEAR(Y$1),MONTH(Y$1)+1,DAY(Y$1)),SUMIFS(AC_SOTIEN,AC_THANG,Y$1,AC_KM,$E76),SUMIFS(TF_SOTIEN,TF_THANG,Y$1,TF_KM,$E76))/ 1000</f>
        <v>0</v>
      </c>
      <c r="Z76" s="1223">
        <f>IF(NOW()&gt;=DATE(YEAR(Z$1),MONTH(Z$1)+1,DAY(Z$1)),SUMIFS(AC_SOTIEN,AC_THANG,Z$1,AC_KM,$E76),SUMIFS(TF_SOTIEN,TF_THANG,Z$1,TF_KM,$E76))/ 1000</f>
        <v>0</v>
      </c>
      <c r="AA76" s="1223">
        <f>IF(NOW()&gt;=DATE(YEAR(AA$1),MONTH(AA$1)+1,DAY(AA$1)),SUMIFS(AC_SOTIEN,AC_THANG,AA$1,AC_KM,$E76),SUMIFS(TF_SOTIEN,TF_THANG,AA$1,TF_KM,$E76))/ 1000</f>
        <v>0</v>
      </c>
    </row>
    <row r="77">
      <c r="A77" s="1254"/>
      <c r="B77" s="1254"/>
      <c r="C77" s="1254"/>
      <c r="D77" s="1216" t="s">
        <v>2091</v>
      </c>
      <c r="E77" s="1217" t="s">
        <v>203</v>
      </c>
      <c r="F77" s="1254"/>
      <c r="G77" s="1218">
        <v>2.0</v>
      </c>
      <c r="H77" s="1219">
        <f t="shared" si="59"/>
        <v>0</v>
      </c>
      <c r="I77" s="1220">
        <f t="shared" si="35"/>
        <v>0</v>
      </c>
      <c r="J77" s="1221">
        <f t="shared" ref="J77:AA77" si="60">SUM(J78:J81)</f>
        <v>47276.3</v>
      </c>
      <c r="K77" s="1221">
        <f t="shared" si="60"/>
        <v>0</v>
      </c>
      <c r="L77" s="1222">
        <f t="shared" si="60"/>
        <v>3123.6</v>
      </c>
      <c r="M77" s="1222">
        <f t="shared" si="60"/>
        <v>44152.7</v>
      </c>
      <c r="N77" s="1222">
        <f t="shared" si="60"/>
        <v>0</v>
      </c>
      <c r="O77" s="1222">
        <f t="shared" si="60"/>
        <v>0</v>
      </c>
      <c r="P77" s="1223">
        <f t="shared" si="60"/>
        <v>0</v>
      </c>
      <c r="Q77" s="1223">
        <f t="shared" si="60"/>
        <v>0</v>
      </c>
      <c r="R77" s="1223">
        <f t="shared" si="60"/>
        <v>3123.6</v>
      </c>
      <c r="S77" s="1223">
        <f t="shared" si="60"/>
        <v>5973.7</v>
      </c>
      <c r="T77" s="1223">
        <f t="shared" si="60"/>
        <v>38179</v>
      </c>
      <c r="U77" s="1223">
        <f t="shared" si="60"/>
        <v>0</v>
      </c>
      <c r="V77" s="1223">
        <f t="shared" si="60"/>
        <v>0</v>
      </c>
      <c r="W77" s="1223">
        <f t="shared" si="60"/>
        <v>0</v>
      </c>
      <c r="X77" s="1223">
        <f t="shared" si="60"/>
        <v>0</v>
      </c>
      <c r="Y77" s="1223">
        <f t="shared" si="60"/>
        <v>0</v>
      </c>
      <c r="Z77" s="1223">
        <f t="shared" si="60"/>
        <v>0</v>
      </c>
      <c r="AA77" s="1223">
        <f t="shared" si="60"/>
        <v>0</v>
      </c>
    </row>
    <row r="78">
      <c r="A78" s="1254"/>
      <c r="B78" s="1254"/>
      <c r="C78" s="1254"/>
      <c r="D78" s="1262" t="s">
        <v>2838</v>
      </c>
      <c r="E78" s="1263" t="s">
        <v>612</v>
      </c>
      <c r="F78" s="1254"/>
      <c r="G78" s="1257">
        <v>3.0</v>
      </c>
      <c r="H78" s="1258">
        <f t="shared" si="59"/>
        <v>0</v>
      </c>
      <c r="I78" s="1220">
        <f t="shared" si="35"/>
        <v>0</v>
      </c>
      <c r="J78" s="1259">
        <f t="shared" ref="J78:J121" si="61">SUM(L78:M78)</f>
        <v>30097.3</v>
      </c>
      <c r="K78" s="1259">
        <f t="shared" ref="K78:K121" si="62">SUM(N78:O78)</f>
        <v>0</v>
      </c>
      <c r="L78" s="1260">
        <f t="shared" ref="L78:L121" si="63">SUM(P78:R78)</f>
        <v>3123.6</v>
      </c>
      <c r="M78" s="1260">
        <f t="shared" ref="M78:M121" si="64">SUM(S78:U78)</f>
        <v>26973.7</v>
      </c>
      <c r="N78" s="1260">
        <f t="shared" ref="N78:N121" si="65">SUM(V78:X78)</f>
        <v>0</v>
      </c>
      <c r="O78" s="1260">
        <f t="shared" ref="O78:O121" si="66">SUM(Y78:AA78)</f>
        <v>0</v>
      </c>
      <c r="P78" s="1261">
        <f>IF(NOW()&gt;=DATE(YEAR(P$1),MONTH(P$1)+1,DAY(P$1)),SUMIFS(AC_SOTIEN,AC_THANG,P$1,AC_KM,$E78),SUMIFS(TF_SOTIEN,TF_THANG,P$1,TF_KM,$E78))/ 1000</f>
        <v>0</v>
      </c>
      <c r="Q78" s="1261">
        <f>IF(NOW()&gt;=DATE(YEAR(Q$1),MONTH(Q$1)+1,DAY(Q$1)),SUMIFS(AC_SOTIEN,AC_THANG,Q$1,AC_KM,$E78),SUMIFS(TF_SOTIEN,TF_THANG,Q$1,TF_KM,$E78))/ 1000</f>
        <v>0</v>
      </c>
      <c r="R78" s="1261">
        <f>IF(NOW()&gt;=DATE(YEAR(R$1),MONTH(R$1)+1,DAY(R$1)),SUMIFS(AC_SOTIEN,AC_THANG,R$1,AC_KM,$E78),SUMIFS(TF_SOTIEN,TF_THANG,R$1,TF_KM,$E78))/ 1000</f>
        <v>3123.6</v>
      </c>
      <c r="S78" s="1261">
        <f>IF(NOW()&gt;=DATE(YEAR(S$1),MONTH(S$1)+1,DAY(S$1)),SUMIFS(AC_SOTIEN,AC_THANG,S$1,AC_KM,$E78),SUMIFS(TF_SOTIEN,TF_THANG,S$1,TF_KM,$E78))/ 1000</f>
        <v>5973.7</v>
      </c>
      <c r="T78" s="1261">
        <f>IF(NOW()&gt;=DATE(YEAR(T$1),MONTH(T$1)+1,DAY(T$1)),SUMIFS(AC_SOTIEN,AC_THANG,T$1,AC_KM,$E78),SUMIFS(TF_SOTIEN,TF_THANG,T$1,TF_KM,$E78))/ 1000</f>
        <v>21000</v>
      </c>
      <c r="U78" s="1261">
        <f>IF(NOW()&gt;=DATE(YEAR(U$1),MONTH(U$1)+1,DAY(U$1)),SUMIFS(AC_SOTIEN,AC_THANG,U$1,AC_KM,$E78),SUMIFS(TF_SOTIEN,TF_THANG,U$1,TF_KM,$E78))/ 1000</f>
        <v>0</v>
      </c>
      <c r="V78" s="1261">
        <f>IF(NOW()&gt;=DATE(YEAR(V$1),MONTH(V$1)+1,DAY(V$1)),SUMIFS(AC_SOTIEN,AC_THANG,V$1,AC_KM,$E78),SUMIFS(TF_SOTIEN,TF_THANG,V$1,TF_KM,$E78))/ 1000</f>
        <v>0</v>
      </c>
      <c r="W78" s="1261">
        <f>IF(NOW()&gt;=DATE(YEAR(W$1),MONTH(W$1)+1,DAY(W$1)),SUMIFS(AC_SOTIEN,AC_THANG,W$1,AC_KM,$E78),SUMIFS(TF_SOTIEN,TF_THANG,W$1,TF_KM,$E78))/ 1000</f>
        <v>0</v>
      </c>
      <c r="X78" s="1261">
        <f>IF(NOW()&gt;=DATE(YEAR(X$1),MONTH(X$1)+1,DAY(X$1)),SUMIFS(AC_SOTIEN,AC_THANG,X$1,AC_KM,$E78),SUMIFS(TF_SOTIEN,TF_THANG,X$1,TF_KM,$E78))/ 1000</f>
        <v>0</v>
      </c>
      <c r="Y78" s="1261">
        <f>IF(NOW()&gt;=DATE(YEAR(Y$1),MONTH(Y$1)+1,DAY(Y$1)),SUMIFS(AC_SOTIEN,AC_THANG,Y$1,AC_KM,$E78),SUMIFS(TF_SOTIEN,TF_THANG,Y$1,TF_KM,$E78))/ 1000</f>
        <v>0</v>
      </c>
      <c r="Z78" s="1261">
        <f>IF(NOW()&gt;=DATE(YEAR(Z$1),MONTH(Z$1)+1,DAY(Z$1)),SUMIFS(AC_SOTIEN,AC_THANG,Z$1,AC_KM,$E78),SUMIFS(TF_SOTIEN,TF_THANG,Z$1,TF_KM,$E78))/ 1000</f>
        <v>0</v>
      </c>
      <c r="AA78" s="1261">
        <f>IF(NOW()&gt;=DATE(YEAR(AA$1),MONTH(AA$1)+1,DAY(AA$1)),SUMIFS(AC_SOTIEN,AC_THANG,AA$1,AC_KM,$E78),SUMIFS(TF_SOTIEN,TF_THANG,AA$1,TF_KM,$E78))/ 1000</f>
        <v>0</v>
      </c>
    </row>
    <row r="79">
      <c r="A79" s="1254"/>
      <c r="B79" s="1254"/>
      <c r="C79" s="1254"/>
      <c r="D79" s="1262" t="s">
        <v>2839</v>
      </c>
      <c r="E79" s="1263" t="s">
        <v>1170</v>
      </c>
      <c r="F79" s="1254"/>
      <c r="G79" s="1257">
        <v>3.0</v>
      </c>
      <c r="H79" s="1258">
        <f t="shared" si="59"/>
        <v>0</v>
      </c>
      <c r="I79" s="1220">
        <f t="shared" si="35"/>
        <v>0</v>
      </c>
      <c r="J79" s="1259">
        <f t="shared" si="61"/>
        <v>14979</v>
      </c>
      <c r="K79" s="1259">
        <f t="shared" si="62"/>
        <v>0</v>
      </c>
      <c r="L79" s="1260">
        <f t="shared" si="63"/>
        <v>0</v>
      </c>
      <c r="M79" s="1260">
        <f t="shared" si="64"/>
        <v>14979</v>
      </c>
      <c r="N79" s="1260">
        <f t="shared" si="65"/>
        <v>0</v>
      </c>
      <c r="O79" s="1260">
        <f t="shared" si="66"/>
        <v>0</v>
      </c>
      <c r="P79" s="1261">
        <f>IF(NOW()&gt;=DATE(YEAR(P$1),MONTH(P$1)+1,DAY(P$1)),SUMIFS(AC_SOTIEN,AC_THANG,P$1,AC_KM,$E79),SUMIFS(TF_SOTIEN,TF_THANG,P$1,TF_KM,$E79))/ 1000</f>
        <v>0</v>
      </c>
      <c r="Q79" s="1261">
        <f>IF(NOW()&gt;=DATE(YEAR(Q$1),MONTH(Q$1)+1,DAY(Q$1)),SUMIFS(AC_SOTIEN,AC_THANG,Q$1,AC_KM,$E79),SUMIFS(TF_SOTIEN,TF_THANG,Q$1,TF_KM,$E79))/ 1000</f>
        <v>0</v>
      </c>
      <c r="R79" s="1261">
        <f>IF(NOW()&gt;=DATE(YEAR(R$1),MONTH(R$1)+1,DAY(R$1)),SUMIFS(AC_SOTIEN,AC_THANG,R$1,AC_KM,$E79),SUMIFS(TF_SOTIEN,TF_THANG,R$1,TF_KM,$E79))/ 1000</f>
        <v>0</v>
      </c>
      <c r="S79" s="1261">
        <f>IF(NOW()&gt;=DATE(YEAR(S$1),MONTH(S$1)+1,DAY(S$1)),SUMIFS(AC_SOTIEN,AC_THANG,S$1,AC_KM,$E79),SUMIFS(TF_SOTIEN,TF_THANG,S$1,TF_KM,$E79))/ 1000</f>
        <v>0</v>
      </c>
      <c r="T79" s="1261">
        <f>IF(NOW()&gt;=DATE(YEAR(T$1),MONTH(T$1)+1,DAY(T$1)),SUMIFS(AC_SOTIEN,AC_THANG,T$1,AC_KM,$E79),SUMIFS(TF_SOTIEN,TF_THANG,T$1,TF_KM,$E79))/ 1000</f>
        <v>14979</v>
      </c>
      <c r="U79" s="1261">
        <f>IF(NOW()&gt;=DATE(YEAR(U$1),MONTH(U$1)+1,DAY(U$1)),SUMIFS(AC_SOTIEN,AC_THANG,U$1,AC_KM,$E79),SUMIFS(TF_SOTIEN,TF_THANG,U$1,TF_KM,$E79))/ 1000</f>
        <v>0</v>
      </c>
      <c r="V79" s="1261">
        <f>IF(NOW()&gt;=DATE(YEAR(V$1),MONTH(V$1)+1,DAY(V$1)),SUMIFS(AC_SOTIEN,AC_THANG,V$1,AC_KM,$E79),SUMIFS(TF_SOTIEN,TF_THANG,V$1,TF_KM,$E79))/ 1000</f>
        <v>0</v>
      </c>
      <c r="W79" s="1261">
        <f>IF(NOW()&gt;=DATE(YEAR(W$1),MONTH(W$1)+1,DAY(W$1)),SUMIFS(AC_SOTIEN,AC_THANG,W$1,AC_KM,$E79),SUMIFS(TF_SOTIEN,TF_THANG,W$1,TF_KM,$E79))/ 1000</f>
        <v>0</v>
      </c>
      <c r="X79" s="1261">
        <f>IF(NOW()&gt;=DATE(YEAR(X$1),MONTH(X$1)+1,DAY(X$1)),SUMIFS(AC_SOTIEN,AC_THANG,X$1,AC_KM,$E79),SUMIFS(TF_SOTIEN,TF_THANG,X$1,TF_KM,$E79))/ 1000</f>
        <v>0</v>
      </c>
      <c r="Y79" s="1261">
        <f>IF(NOW()&gt;=DATE(YEAR(Y$1),MONTH(Y$1)+1,DAY(Y$1)),SUMIFS(AC_SOTIEN,AC_THANG,Y$1,AC_KM,$E79),SUMIFS(TF_SOTIEN,TF_THANG,Y$1,TF_KM,$E79))/ 1000</f>
        <v>0</v>
      </c>
      <c r="Z79" s="1261">
        <f>IF(NOW()&gt;=DATE(YEAR(Z$1),MONTH(Z$1)+1,DAY(Z$1)),SUMIFS(AC_SOTIEN,AC_THANG,Z$1,AC_KM,$E79),SUMIFS(TF_SOTIEN,TF_THANG,Z$1,TF_KM,$E79))/ 1000</f>
        <v>0</v>
      </c>
      <c r="AA79" s="1261">
        <f>IF(NOW()&gt;=DATE(YEAR(AA$1),MONTH(AA$1)+1,DAY(AA$1)),SUMIFS(AC_SOTIEN,AC_THANG,AA$1,AC_KM,$E79),SUMIFS(TF_SOTIEN,TF_THANG,AA$1,TF_KM,$E79))/ 1000</f>
        <v>0</v>
      </c>
    </row>
    <row r="80">
      <c r="A80" s="1254"/>
      <c r="B80" s="1254"/>
      <c r="C80" s="1254"/>
      <c r="D80" s="1262" t="s">
        <v>2840</v>
      </c>
      <c r="E80" s="1263" t="s">
        <v>1142</v>
      </c>
      <c r="F80" s="1254"/>
      <c r="G80" s="1257">
        <v>3.0</v>
      </c>
      <c r="H80" s="1258">
        <f t="shared" si="59"/>
        <v>0</v>
      </c>
      <c r="I80" s="1220">
        <f t="shared" si="35"/>
        <v>0</v>
      </c>
      <c r="J80" s="1259">
        <f t="shared" si="61"/>
        <v>2200</v>
      </c>
      <c r="K80" s="1259">
        <f t="shared" si="62"/>
        <v>0</v>
      </c>
      <c r="L80" s="1260">
        <f t="shared" si="63"/>
        <v>0</v>
      </c>
      <c r="M80" s="1260">
        <f t="shared" si="64"/>
        <v>2200</v>
      </c>
      <c r="N80" s="1260">
        <f t="shared" si="65"/>
        <v>0</v>
      </c>
      <c r="O80" s="1260">
        <f t="shared" si="66"/>
        <v>0</v>
      </c>
      <c r="P80" s="1261">
        <f>IF(NOW()&gt;=DATE(YEAR(P$1),MONTH(P$1)+1,DAY(P$1)),SUMIFS(AC_SOTIEN,AC_THANG,P$1,AC_KM,$E80),SUMIFS(TF_SOTIEN,TF_THANG,P$1,TF_KM,$E80))/ 1000</f>
        <v>0</v>
      </c>
      <c r="Q80" s="1261">
        <f>IF(NOW()&gt;=DATE(YEAR(Q$1),MONTH(Q$1)+1,DAY(Q$1)),SUMIFS(AC_SOTIEN,AC_THANG,Q$1,AC_KM,$E80),SUMIFS(TF_SOTIEN,TF_THANG,Q$1,TF_KM,$E80))/ 1000</f>
        <v>0</v>
      </c>
      <c r="R80" s="1261">
        <f>IF(NOW()&gt;=DATE(YEAR(R$1),MONTH(R$1)+1,DAY(R$1)),SUMIFS(AC_SOTIEN,AC_THANG,R$1,AC_KM,$E80),SUMIFS(TF_SOTIEN,TF_THANG,R$1,TF_KM,$E80))/ 1000</f>
        <v>0</v>
      </c>
      <c r="S80" s="1261">
        <f>IF(NOW()&gt;=DATE(YEAR(S$1),MONTH(S$1)+1,DAY(S$1)),SUMIFS(AC_SOTIEN,AC_THANG,S$1,AC_KM,$E80),SUMIFS(TF_SOTIEN,TF_THANG,S$1,TF_KM,$E80))/ 1000</f>
        <v>0</v>
      </c>
      <c r="T80" s="1261">
        <f>IF(NOW()&gt;=DATE(YEAR(T$1),MONTH(T$1)+1,DAY(T$1)),SUMIFS(AC_SOTIEN,AC_THANG,T$1,AC_KM,$E80),SUMIFS(TF_SOTIEN,TF_THANG,T$1,TF_KM,$E80))/ 1000</f>
        <v>2200</v>
      </c>
      <c r="U80" s="1261">
        <f>IF(NOW()&gt;=DATE(YEAR(U$1),MONTH(U$1)+1,DAY(U$1)),SUMIFS(AC_SOTIEN,AC_THANG,U$1,AC_KM,$E80),SUMIFS(TF_SOTIEN,TF_THANG,U$1,TF_KM,$E80))/ 1000</f>
        <v>0</v>
      </c>
      <c r="V80" s="1261">
        <f>IF(NOW()&gt;=DATE(YEAR(V$1),MONTH(V$1)+1,DAY(V$1)),SUMIFS(AC_SOTIEN,AC_THANG,V$1,AC_KM,$E80),SUMIFS(TF_SOTIEN,TF_THANG,V$1,TF_KM,$E80))/ 1000</f>
        <v>0</v>
      </c>
      <c r="W80" s="1261">
        <f>IF(NOW()&gt;=DATE(YEAR(W$1),MONTH(W$1)+1,DAY(W$1)),SUMIFS(AC_SOTIEN,AC_THANG,W$1,AC_KM,$E80),SUMIFS(TF_SOTIEN,TF_THANG,W$1,TF_KM,$E80))/ 1000</f>
        <v>0</v>
      </c>
      <c r="X80" s="1261">
        <f>IF(NOW()&gt;=DATE(YEAR(X$1),MONTH(X$1)+1,DAY(X$1)),SUMIFS(AC_SOTIEN,AC_THANG,X$1,AC_KM,$E80),SUMIFS(TF_SOTIEN,TF_THANG,X$1,TF_KM,$E80))/ 1000</f>
        <v>0</v>
      </c>
      <c r="Y80" s="1261">
        <f>IF(NOW()&gt;=DATE(YEAR(Y$1),MONTH(Y$1)+1,DAY(Y$1)),SUMIFS(AC_SOTIEN,AC_THANG,Y$1,AC_KM,$E80),SUMIFS(TF_SOTIEN,TF_THANG,Y$1,TF_KM,$E80))/ 1000</f>
        <v>0</v>
      </c>
      <c r="Z80" s="1261">
        <f>IF(NOW()&gt;=DATE(YEAR(Z$1),MONTH(Z$1)+1,DAY(Z$1)),SUMIFS(AC_SOTIEN,AC_THANG,Z$1,AC_KM,$E80),SUMIFS(TF_SOTIEN,TF_THANG,Z$1,TF_KM,$E80))/ 1000</f>
        <v>0</v>
      </c>
      <c r="AA80" s="1261">
        <f>IF(NOW()&gt;=DATE(YEAR(AA$1),MONTH(AA$1)+1,DAY(AA$1)),SUMIFS(AC_SOTIEN,AC_THANG,AA$1,AC_KM,$E80),SUMIFS(TF_SOTIEN,TF_THANG,AA$1,TF_KM,$E80))/ 1000</f>
        <v>0</v>
      </c>
    </row>
    <row r="81">
      <c r="A81" s="1254"/>
      <c r="B81" s="1254"/>
      <c r="C81" s="1254"/>
      <c r="D81" s="1262" t="s">
        <v>2841</v>
      </c>
      <c r="E81" s="1263" t="s">
        <v>2243</v>
      </c>
      <c r="F81" s="1254"/>
      <c r="G81" s="1257">
        <v>3.0</v>
      </c>
      <c r="H81" s="1258">
        <f t="shared" si="59"/>
        <v>0</v>
      </c>
      <c r="I81" s="1220">
        <f t="shared" si="35"/>
        <v>0</v>
      </c>
      <c r="J81" s="1259">
        <f t="shared" si="61"/>
        <v>0</v>
      </c>
      <c r="K81" s="1259">
        <f t="shared" si="62"/>
        <v>0</v>
      </c>
      <c r="L81" s="1260">
        <f t="shared" si="63"/>
        <v>0</v>
      </c>
      <c r="M81" s="1260">
        <f t="shared" si="64"/>
        <v>0</v>
      </c>
      <c r="N81" s="1260">
        <f t="shared" si="65"/>
        <v>0</v>
      </c>
      <c r="O81" s="1260">
        <f t="shared" si="66"/>
        <v>0</v>
      </c>
      <c r="P81" s="1261">
        <f>IF(NOW()&gt;=DATE(YEAR(P$1),MONTH(P$1)+1,DAY(P$1)),SUMIFS(AC_SOTIEN,AC_THANG,P$1,AC_KM,$E81),SUMIFS(TF_SOTIEN,TF_THANG,P$1,TF_KM,$E81))/ 1000</f>
        <v>0</v>
      </c>
      <c r="Q81" s="1261">
        <f>IF(NOW()&gt;=DATE(YEAR(Q$1),MONTH(Q$1)+1,DAY(Q$1)),SUMIFS(AC_SOTIEN,AC_THANG,Q$1,AC_KM,$E81),SUMIFS(TF_SOTIEN,TF_THANG,Q$1,TF_KM,$E81))/ 1000</f>
        <v>0</v>
      </c>
      <c r="R81" s="1261">
        <f>IF(NOW()&gt;=DATE(YEAR(R$1),MONTH(R$1)+1,DAY(R$1)),SUMIFS(AC_SOTIEN,AC_THANG,R$1,AC_KM,$E81),SUMIFS(TF_SOTIEN,TF_THANG,R$1,TF_KM,$E81))/ 1000</f>
        <v>0</v>
      </c>
      <c r="S81" s="1261">
        <f>IF(NOW()&gt;=DATE(YEAR(S$1),MONTH(S$1)+1,DAY(S$1)),SUMIFS(AC_SOTIEN,AC_THANG,S$1,AC_KM,$E81),SUMIFS(TF_SOTIEN,TF_THANG,S$1,TF_KM,$E81))/ 1000</f>
        <v>0</v>
      </c>
      <c r="T81" s="1261">
        <f>IF(NOW()&gt;=DATE(YEAR(T$1),MONTH(T$1)+1,DAY(T$1)),SUMIFS(AC_SOTIEN,AC_THANG,T$1,AC_KM,$E81),SUMIFS(TF_SOTIEN,TF_THANG,T$1,TF_KM,$E81))/ 1000</f>
        <v>0</v>
      </c>
      <c r="U81" s="1261">
        <f>IF(NOW()&gt;=DATE(YEAR(U$1),MONTH(U$1)+1,DAY(U$1)),SUMIFS(AC_SOTIEN,AC_THANG,U$1,AC_KM,$E81),SUMIFS(TF_SOTIEN,TF_THANG,U$1,TF_KM,$E81))/ 1000</f>
        <v>0</v>
      </c>
      <c r="V81" s="1261">
        <f>IF(NOW()&gt;=DATE(YEAR(V$1),MONTH(V$1)+1,DAY(V$1)),SUMIFS(AC_SOTIEN,AC_THANG,V$1,AC_KM,$E81),SUMIFS(TF_SOTIEN,TF_THANG,V$1,TF_KM,$E81))/ 1000</f>
        <v>0</v>
      </c>
      <c r="W81" s="1261">
        <f>IF(NOW()&gt;=DATE(YEAR(W$1),MONTH(W$1)+1,DAY(W$1)),SUMIFS(AC_SOTIEN,AC_THANG,W$1,AC_KM,$E81),SUMIFS(TF_SOTIEN,TF_THANG,W$1,TF_KM,$E81))/ 1000</f>
        <v>0</v>
      </c>
      <c r="X81" s="1261">
        <f>IF(NOW()&gt;=DATE(YEAR(X$1),MONTH(X$1)+1,DAY(X$1)),SUMIFS(AC_SOTIEN,AC_THANG,X$1,AC_KM,$E81),SUMIFS(TF_SOTIEN,TF_THANG,X$1,TF_KM,$E81))/ 1000</f>
        <v>0</v>
      </c>
      <c r="Y81" s="1261">
        <f>IF(NOW()&gt;=DATE(YEAR(Y$1),MONTH(Y$1)+1,DAY(Y$1)),SUMIFS(AC_SOTIEN,AC_THANG,Y$1,AC_KM,$E81),SUMIFS(TF_SOTIEN,TF_THANG,Y$1,TF_KM,$E81))/ 1000</f>
        <v>0</v>
      </c>
      <c r="Z81" s="1261">
        <f>IF(NOW()&gt;=DATE(YEAR(Z$1),MONTH(Z$1)+1,DAY(Z$1)),SUMIFS(AC_SOTIEN,AC_THANG,Z$1,AC_KM,$E81),SUMIFS(TF_SOTIEN,TF_THANG,Z$1,TF_KM,$E81))/ 1000</f>
        <v>0</v>
      </c>
      <c r="AA81" s="1261">
        <f>IF(NOW()&gt;=DATE(YEAR(AA$1),MONTH(AA$1)+1,DAY(AA$1)),SUMIFS(AC_SOTIEN,AC_THANG,AA$1,AC_KM,$E81),SUMIFS(TF_SOTIEN,TF_THANG,AA$1,TF_KM,$E81))/ 1000</f>
        <v>0</v>
      </c>
    </row>
    <row r="82">
      <c r="A82" s="1216"/>
      <c r="B82" s="1216"/>
      <c r="C82" s="1216"/>
      <c r="D82" s="1216" t="s">
        <v>2842</v>
      </c>
      <c r="E82" s="1217" t="s">
        <v>734</v>
      </c>
      <c r="F82" s="1216"/>
      <c r="G82" s="1218">
        <v>2.0</v>
      </c>
      <c r="H82" s="1219">
        <f t="shared" si="59"/>
        <v>0</v>
      </c>
      <c r="I82" s="1264">
        <f t="shared" si="35"/>
        <v>0</v>
      </c>
      <c r="J82" s="1221">
        <f t="shared" si="61"/>
        <v>13320</v>
      </c>
      <c r="K82" s="1221">
        <f t="shared" si="62"/>
        <v>0</v>
      </c>
      <c r="L82" s="1222">
        <f t="shared" si="63"/>
        <v>0</v>
      </c>
      <c r="M82" s="1222">
        <f t="shared" si="64"/>
        <v>13320</v>
      </c>
      <c r="N82" s="1222">
        <f t="shared" si="65"/>
        <v>0</v>
      </c>
      <c r="O82" s="1222">
        <f t="shared" si="66"/>
        <v>0</v>
      </c>
      <c r="P82" s="1223">
        <f>IF(NOW()&gt;=DATE(YEAR(P$1),MONTH(P$1)+1,DAY(P$1)),SUMIFS(AC_SOTIEN,AC_THANG,P$1,AC_KM,$E82),SUMIFS(TF_SOTIEN,TF_THANG,P$1,TF_KM,$E82))/ 1000</f>
        <v>0</v>
      </c>
      <c r="Q82" s="1223">
        <f>IF(NOW()&gt;=DATE(YEAR(Q$1),MONTH(Q$1)+1,DAY(Q$1)),SUMIFS(AC_SOTIEN,AC_THANG,Q$1,AC_KM,$E82),SUMIFS(TF_SOTIEN,TF_THANG,Q$1,TF_KM,$E82))/ 1000</f>
        <v>0</v>
      </c>
      <c r="R82" s="1223">
        <f>IF(NOW()&gt;=DATE(YEAR(R$1),MONTH(R$1)+1,DAY(R$1)),SUMIFS(AC_SOTIEN,AC_THANG,R$1,AC_KM,$E82),SUMIFS(TF_SOTIEN,TF_THANG,R$1,TF_KM,$E82))/ 1000</f>
        <v>0</v>
      </c>
      <c r="S82" s="1223">
        <f>IF(NOW()&gt;=DATE(YEAR(S$1),MONTH(S$1)+1,DAY(S$1)),SUMIFS(AC_SOTIEN,AC_THANG,S$1,AC_KM,$E82),SUMIFS(TF_SOTIEN,TF_THANG,S$1,TF_KM,$E82))/ 1000</f>
        <v>13320</v>
      </c>
      <c r="T82" s="1223">
        <f>IF(NOW()&gt;=DATE(YEAR(T$1),MONTH(T$1)+1,DAY(T$1)),SUMIFS(AC_SOTIEN,AC_THANG,T$1,AC_KM,$E82),SUMIFS(TF_SOTIEN,TF_THANG,T$1,TF_KM,$E82))/ 1000</f>
        <v>0</v>
      </c>
      <c r="U82" s="1223">
        <f>IF(NOW()&gt;=DATE(YEAR(U$1),MONTH(U$1)+1,DAY(U$1)),SUMIFS(AC_SOTIEN,AC_THANG,U$1,AC_KM,$E82),SUMIFS(TF_SOTIEN,TF_THANG,U$1,TF_KM,$E82))/ 1000</f>
        <v>0</v>
      </c>
      <c r="V82" s="1223">
        <f>IF(NOW()&gt;=DATE(YEAR(V$1),MONTH(V$1)+1,DAY(V$1)),SUMIFS(AC_SOTIEN,AC_THANG,V$1,AC_KM,$E82),SUMIFS(TF_SOTIEN,TF_THANG,V$1,TF_KM,$E82))/ 1000</f>
        <v>0</v>
      </c>
      <c r="W82" s="1223">
        <f>IF(NOW()&gt;=DATE(YEAR(W$1),MONTH(W$1)+1,DAY(W$1)),SUMIFS(AC_SOTIEN,AC_THANG,W$1,AC_KM,$E82),SUMIFS(TF_SOTIEN,TF_THANG,W$1,TF_KM,$E82))/ 1000</f>
        <v>0</v>
      </c>
      <c r="X82" s="1223">
        <f>IF(NOW()&gt;=DATE(YEAR(X$1),MONTH(X$1)+1,DAY(X$1)),SUMIFS(AC_SOTIEN,AC_THANG,X$1,AC_KM,$E82),SUMIFS(TF_SOTIEN,TF_THANG,X$1,TF_KM,$E82))/ 1000</f>
        <v>0</v>
      </c>
      <c r="Y82" s="1223">
        <f>IF(NOW()&gt;=DATE(YEAR(Y$1),MONTH(Y$1)+1,DAY(Y$1)),SUMIFS(AC_SOTIEN,AC_THANG,Y$1,AC_KM,$E82),SUMIFS(TF_SOTIEN,TF_THANG,Y$1,TF_KM,$E82))/ 1000</f>
        <v>0</v>
      </c>
      <c r="Z82" s="1223">
        <f>IF(NOW()&gt;=DATE(YEAR(Z$1),MONTH(Z$1)+1,DAY(Z$1)),SUMIFS(AC_SOTIEN,AC_THANG,Z$1,AC_KM,$E82),SUMIFS(TF_SOTIEN,TF_THANG,Z$1,TF_KM,$E82))/ 1000</f>
        <v>0</v>
      </c>
      <c r="AA82" s="1223">
        <f>IF(NOW()&gt;=DATE(YEAR(AA$1),MONTH(AA$1)+1,DAY(AA$1)),SUMIFS(AC_SOTIEN,AC_THANG,AA$1,AC_KM,$E82),SUMIFS(TF_SOTIEN,TF_THANG,AA$1,TF_KM,$E82))/ 1000</f>
        <v>0</v>
      </c>
    </row>
    <row r="83">
      <c r="A83" s="1216"/>
      <c r="B83" s="1216"/>
      <c r="C83" s="1216"/>
      <c r="D83" s="1265" t="s">
        <v>2843</v>
      </c>
      <c r="E83" s="1266" t="s">
        <v>201</v>
      </c>
      <c r="F83" s="1216"/>
      <c r="G83" s="1218">
        <v>2.0</v>
      </c>
      <c r="H83" s="1219">
        <f t="shared" si="59"/>
        <v>2000</v>
      </c>
      <c r="I83" s="1264">
        <f t="shared" si="35"/>
        <v>0.000460340302</v>
      </c>
      <c r="J83" s="1221">
        <f t="shared" si="61"/>
        <v>34000</v>
      </c>
      <c r="K83" s="1221">
        <f t="shared" si="62"/>
        <v>0</v>
      </c>
      <c r="L83" s="1222">
        <f t="shared" si="63"/>
        <v>7000</v>
      </c>
      <c r="M83" s="1222">
        <f t="shared" si="64"/>
        <v>27000</v>
      </c>
      <c r="N83" s="1222">
        <f t="shared" si="65"/>
        <v>0</v>
      </c>
      <c r="O83" s="1222">
        <f t="shared" si="66"/>
        <v>0</v>
      </c>
      <c r="P83" s="1223">
        <f>IF(NOW()&gt;=DATE(YEAR(P$1),MONTH(P$1)+1,DAY(P$1)),SUMIFS(AC_SOTIEN,AC_THANG,P$1,AC_KM,$E83),SUMIFS(TF_SOTIEN,TF_THANG,P$1,TF_KM,$E83))/ 1000</f>
        <v>2000</v>
      </c>
      <c r="Q83" s="1223">
        <f>IF(NOW()&gt;=DATE(YEAR(Q$1),MONTH(Q$1)+1,DAY(Q$1)),SUMIFS(AC_SOTIEN,AC_THANG,Q$1,AC_KM,$E83),SUMIFS(TF_SOTIEN,TF_THANG,Q$1,TF_KM,$E83))/ 1000</f>
        <v>1000</v>
      </c>
      <c r="R83" s="1223">
        <f>IF(NOW()&gt;=DATE(YEAR(R$1),MONTH(R$1)+1,DAY(R$1)),SUMIFS(AC_SOTIEN,AC_THANG,R$1,AC_KM,$E83),SUMIFS(TF_SOTIEN,TF_THANG,R$1,TF_KM,$E83))/ 1000</f>
        <v>4000</v>
      </c>
      <c r="S83" s="1223">
        <f>IF(NOW()&gt;=DATE(YEAR(S$1),MONTH(S$1)+1,DAY(S$1)),SUMIFS(AC_SOTIEN,AC_THANG,S$1,AC_KM,$E83),SUMIFS(TF_SOTIEN,TF_THANG,S$1,TF_KM,$E83))/ 1000</f>
        <v>23000</v>
      </c>
      <c r="T83" s="1223">
        <f>IF(NOW()&gt;=DATE(YEAR(T$1),MONTH(T$1)+1,DAY(T$1)),SUMIFS(AC_SOTIEN,AC_THANG,T$1,AC_KM,$E83),SUMIFS(TF_SOTIEN,TF_THANG,T$1,TF_KM,$E83))/ 1000</f>
        <v>4000</v>
      </c>
      <c r="U83" s="1223">
        <f>IF(NOW()&gt;=DATE(YEAR(U$1),MONTH(U$1)+1,DAY(U$1)),SUMIFS(AC_SOTIEN,AC_THANG,U$1,AC_KM,$E83),SUMIFS(TF_SOTIEN,TF_THANG,U$1,TF_KM,$E83))/ 1000</f>
        <v>0</v>
      </c>
      <c r="V83" s="1223">
        <f>IF(NOW()&gt;=DATE(YEAR(V$1),MONTH(V$1)+1,DAY(V$1)),SUMIFS(AC_SOTIEN,AC_THANG,V$1,AC_KM,$E83),SUMIFS(TF_SOTIEN,TF_THANG,V$1,TF_KM,$E83))/ 1000</f>
        <v>0</v>
      </c>
      <c r="W83" s="1223">
        <f>IF(NOW()&gt;=DATE(YEAR(W$1),MONTH(W$1)+1,DAY(W$1)),SUMIFS(AC_SOTIEN,AC_THANG,W$1,AC_KM,$E83),SUMIFS(TF_SOTIEN,TF_THANG,W$1,TF_KM,$E83))/ 1000</f>
        <v>0</v>
      </c>
      <c r="X83" s="1223">
        <f>IF(NOW()&gt;=DATE(YEAR(X$1),MONTH(X$1)+1,DAY(X$1)),SUMIFS(AC_SOTIEN,AC_THANG,X$1,AC_KM,$E83),SUMIFS(TF_SOTIEN,TF_THANG,X$1,TF_KM,$E83))/ 1000</f>
        <v>0</v>
      </c>
      <c r="Y83" s="1223">
        <f>IF(NOW()&gt;=DATE(YEAR(Y$1),MONTH(Y$1)+1,DAY(Y$1)),SUMIFS(AC_SOTIEN,AC_THANG,Y$1,AC_KM,$E83),SUMIFS(TF_SOTIEN,TF_THANG,Y$1,TF_KM,$E83))/ 1000</f>
        <v>0</v>
      </c>
      <c r="Z83" s="1223">
        <f>IF(NOW()&gt;=DATE(YEAR(Z$1),MONTH(Z$1)+1,DAY(Z$1)),SUMIFS(AC_SOTIEN,AC_THANG,Z$1,AC_KM,$E83),SUMIFS(TF_SOTIEN,TF_THANG,Z$1,TF_KM,$E83))/ 1000</f>
        <v>0</v>
      </c>
      <c r="AA83" s="1223">
        <f>IF(NOW()&gt;=DATE(YEAR(AA$1),MONTH(AA$1)+1,DAY(AA$1)),SUMIFS(AC_SOTIEN,AC_THANG,AA$1,AC_KM,$E83),SUMIFS(TF_SOTIEN,TF_THANG,AA$1,TF_KM,$E83))/ 1000</f>
        <v>0</v>
      </c>
    </row>
    <row r="84">
      <c r="A84" s="1216"/>
      <c r="B84" s="1216"/>
      <c r="C84" s="1216"/>
      <c r="D84" s="1216" t="s">
        <v>2245</v>
      </c>
      <c r="E84" s="1217" t="s">
        <v>181</v>
      </c>
      <c r="F84" s="1216"/>
      <c r="G84" s="1218">
        <v>2.0</v>
      </c>
      <c r="H84" s="1219">
        <f t="shared" si="59"/>
        <v>26880</v>
      </c>
      <c r="I84" s="1264">
        <f t="shared" si="35"/>
        <v>0.006186973658</v>
      </c>
      <c r="J84" s="1221">
        <f t="shared" si="61"/>
        <v>290995</v>
      </c>
      <c r="K84" s="1221">
        <f t="shared" si="62"/>
        <v>0</v>
      </c>
      <c r="L84" s="1222">
        <f t="shared" si="63"/>
        <v>188695</v>
      </c>
      <c r="M84" s="1222">
        <f t="shared" si="64"/>
        <v>102300</v>
      </c>
      <c r="N84" s="1222">
        <f t="shared" si="65"/>
        <v>0</v>
      </c>
      <c r="O84" s="1222">
        <f t="shared" si="66"/>
        <v>0</v>
      </c>
      <c r="P84" s="1223">
        <f>IF(NOW()&gt;=DATE(YEAR(P$1),MONTH(P$1)+1,DAY(P$1)),SUMIFS(AC_SOTIEN,AC_THANG,P$1,AC_KM,$E84),SUMIFS(TF_SOTIEN,TF_THANG,P$1,TF_KM,$E84))/ 1000</f>
        <v>26880</v>
      </c>
      <c r="Q84" s="1223">
        <f>IF(NOW()&gt;=DATE(YEAR(Q$1),MONTH(Q$1)+1,DAY(Q$1)),SUMIFS(AC_SOTIEN,AC_THANG,Q$1,AC_KM,$E84),SUMIFS(TF_SOTIEN,TF_THANG,Q$1,TF_KM,$E84))/ 1000</f>
        <v>0</v>
      </c>
      <c r="R84" s="1223">
        <f>IF(NOW()&gt;=DATE(YEAR(R$1),MONTH(R$1)+1,DAY(R$1)),SUMIFS(AC_SOTIEN,AC_THANG,R$1,AC_KM,$E84),SUMIFS(TF_SOTIEN,TF_THANG,R$1,TF_KM,$E84))/ 1000</f>
        <v>161815</v>
      </c>
      <c r="S84" s="1223">
        <f>IF(NOW()&gt;=DATE(YEAR(S$1),MONTH(S$1)+1,DAY(S$1)),SUMIFS(AC_SOTIEN,AC_THANG,S$1,AC_KM,$E84),SUMIFS(TF_SOTIEN,TF_THANG,S$1,TF_KM,$E84))/ 1000</f>
        <v>92400</v>
      </c>
      <c r="T84" s="1223">
        <f>IF(NOW()&gt;=DATE(YEAR(T$1),MONTH(T$1)+1,DAY(T$1)),SUMIFS(AC_SOTIEN,AC_THANG,T$1,AC_KM,$E84),SUMIFS(TF_SOTIEN,TF_THANG,T$1,TF_KM,$E84))/ 1000</f>
        <v>9900</v>
      </c>
      <c r="U84" s="1223">
        <f>IF(NOW()&gt;=DATE(YEAR(U$1),MONTH(U$1)+1,DAY(U$1)),SUMIFS(AC_SOTIEN,AC_THANG,U$1,AC_KM,$E84),SUMIFS(TF_SOTIEN,TF_THANG,U$1,TF_KM,$E84))/ 1000</f>
        <v>0</v>
      </c>
      <c r="V84" s="1223">
        <f>IF(NOW()&gt;=DATE(YEAR(V$1),MONTH(V$1)+1,DAY(V$1)),SUMIFS(AC_SOTIEN,AC_THANG,V$1,AC_KM,$E84),SUMIFS(TF_SOTIEN,TF_THANG,V$1,TF_KM,$E84))/ 1000</f>
        <v>0</v>
      </c>
      <c r="W84" s="1223">
        <f>IF(NOW()&gt;=DATE(YEAR(W$1),MONTH(W$1)+1,DAY(W$1)),SUMIFS(AC_SOTIEN,AC_THANG,W$1,AC_KM,$E84),SUMIFS(TF_SOTIEN,TF_THANG,W$1,TF_KM,$E84))/ 1000</f>
        <v>0</v>
      </c>
      <c r="X84" s="1223">
        <f>IF(NOW()&gt;=DATE(YEAR(X$1),MONTH(X$1)+1,DAY(X$1)),SUMIFS(AC_SOTIEN,AC_THANG,X$1,AC_KM,$E84),SUMIFS(TF_SOTIEN,TF_THANG,X$1,TF_KM,$E84))/ 1000</f>
        <v>0</v>
      </c>
      <c r="Y84" s="1223">
        <f>IF(NOW()&gt;=DATE(YEAR(Y$1),MONTH(Y$1)+1,DAY(Y$1)),SUMIFS(AC_SOTIEN,AC_THANG,Y$1,AC_KM,$E84),SUMIFS(TF_SOTIEN,TF_THANG,Y$1,TF_KM,$E84))/ 1000</f>
        <v>0</v>
      </c>
      <c r="Z84" s="1223">
        <f>IF(NOW()&gt;=DATE(YEAR(Z$1),MONTH(Z$1)+1,DAY(Z$1)),SUMIFS(AC_SOTIEN,AC_THANG,Z$1,AC_KM,$E84),SUMIFS(TF_SOTIEN,TF_THANG,Z$1,TF_KM,$E84))/ 1000</f>
        <v>0</v>
      </c>
      <c r="AA84" s="1223">
        <f>IF(NOW()&gt;=DATE(YEAR(AA$1),MONTH(AA$1)+1,DAY(AA$1)),SUMIFS(AC_SOTIEN,AC_THANG,AA$1,AC_KM,$E84),SUMIFS(TF_SOTIEN,TF_THANG,AA$1,TF_KM,$E84))/ 1000</f>
        <v>0</v>
      </c>
    </row>
    <row r="85">
      <c r="A85" s="1267" t="s">
        <v>2844</v>
      </c>
      <c r="B85" s="1268"/>
      <c r="C85" s="1268"/>
      <c r="D85" s="1269"/>
      <c r="E85" s="1270"/>
      <c r="F85" s="1269"/>
      <c r="G85" s="1271">
        <v>1.0</v>
      </c>
      <c r="H85" s="1272">
        <f>SUMIF($G$86:$G$112,2,H86:H112)</f>
        <v>112758.462</v>
      </c>
      <c r="I85" s="1273">
        <f t="shared" si="35"/>
        <v>0.02595363222</v>
      </c>
      <c r="J85" s="1272">
        <f t="shared" si="61"/>
        <v>930174.519</v>
      </c>
      <c r="K85" s="1272">
        <f t="shared" si="62"/>
        <v>0</v>
      </c>
      <c r="L85" s="1272">
        <f t="shared" si="63"/>
        <v>466242.118</v>
      </c>
      <c r="M85" s="1272">
        <f t="shared" si="64"/>
        <v>463932.401</v>
      </c>
      <c r="N85" s="1272">
        <f t="shared" si="65"/>
        <v>0</v>
      </c>
      <c r="O85" s="1272">
        <f t="shared" si="66"/>
        <v>0</v>
      </c>
      <c r="P85" s="1272">
        <f t="shared" ref="P85:AA85" si="67">SUMIF($G$86:$G$112,2,P86:P112)</f>
        <v>112758.462</v>
      </c>
      <c r="Q85" s="1272">
        <f t="shared" si="67"/>
        <v>144564.424</v>
      </c>
      <c r="R85" s="1272">
        <f t="shared" si="67"/>
        <v>208919.232</v>
      </c>
      <c r="S85" s="1272">
        <f t="shared" si="67"/>
        <v>211988.008</v>
      </c>
      <c r="T85" s="1272">
        <f t="shared" si="67"/>
        <v>251944.393</v>
      </c>
      <c r="U85" s="1272">
        <f t="shared" si="67"/>
        <v>0</v>
      </c>
      <c r="V85" s="1272">
        <f t="shared" si="67"/>
        <v>0</v>
      </c>
      <c r="W85" s="1272">
        <f t="shared" si="67"/>
        <v>0</v>
      </c>
      <c r="X85" s="1272">
        <f t="shared" si="67"/>
        <v>0</v>
      </c>
      <c r="Y85" s="1272">
        <f t="shared" si="67"/>
        <v>0</v>
      </c>
      <c r="Z85" s="1272">
        <f t="shared" si="67"/>
        <v>0</v>
      </c>
      <c r="AA85" s="1272">
        <f t="shared" si="67"/>
        <v>0</v>
      </c>
    </row>
    <row r="86">
      <c r="A86" s="1254"/>
      <c r="B86" s="1254"/>
      <c r="C86" s="1254"/>
      <c r="D86" s="1216" t="s">
        <v>2845</v>
      </c>
      <c r="E86" s="1217"/>
      <c r="F86" s="1218">
        <v>642.0</v>
      </c>
      <c r="G86" s="1218">
        <v>2.0</v>
      </c>
      <c r="H86" s="1219">
        <f>SUM(H87:H92)</f>
        <v>53253.671</v>
      </c>
      <c r="I86" s="1220">
        <f t="shared" si="35"/>
        <v>0.01225740549</v>
      </c>
      <c r="J86" s="1221">
        <f t="shared" si="61"/>
        <v>596375.424</v>
      </c>
      <c r="K86" s="1221">
        <f t="shared" si="62"/>
        <v>0</v>
      </c>
      <c r="L86" s="1222">
        <f t="shared" si="63"/>
        <v>271878.81</v>
      </c>
      <c r="M86" s="1222">
        <f t="shared" si="64"/>
        <v>324496.614</v>
      </c>
      <c r="N86" s="1222">
        <f t="shared" si="65"/>
        <v>0</v>
      </c>
      <c r="O86" s="1222">
        <f t="shared" si="66"/>
        <v>0</v>
      </c>
      <c r="P86" s="1223">
        <f t="shared" ref="P86:AA86" si="68">SUM(P87:P92)</f>
        <v>53253.671</v>
      </c>
      <c r="Q86" s="1223">
        <f t="shared" si="68"/>
        <v>84096.143</v>
      </c>
      <c r="R86" s="1223">
        <f t="shared" si="68"/>
        <v>134528.996</v>
      </c>
      <c r="S86" s="1223">
        <f t="shared" si="68"/>
        <v>145778.846</v>
      </c>
      <c r="T86" s="1223">
        <f t="shared" si="68"/>
        <v>178717.768</v>
      </c>
      <c r="U86" s="1223">
        <f t="shared" si="68"/>
        <v>0</v>
      </c>
      <c r="V86" s="1223">
        <f t="shared" si="68"/>
        <v>0</v>
      </c>
      <c r="W86" s="1223">
        <f t="shared" si="68"/>
        <v>0</v>
      </c>
      <c r="X86" s="1223">
        <f t="shared" si="68"/>
        <v>0</v>
      </c>
      <c r="Y86" s="1223">
        <f t="shared" si="68"/>
        <v>0</v>
      </c>
      <c r="Z86" s="1223">
        <f t="shared" si="68"/>
        <v>0</v>
      </c>
      <c r="AA86" s="1223">
        <f t="shared" si="68"/>
        <v>0</v>
      </c>
    </row>
    <row r="87" outlineLevel="1">
      <c r="A87" s="1254"/>
      <c r="B87" s="1254"/>
      <c r="C87" s="1254"/>
      <c r="D87" s="1254" t="s">
        <v>2846</v>
      </c>
      <c r="E87" s="1256" t="s">
        <v>293</v>
      </c>
      <c r="F87" s="1254"/>
      <c r="G87" s="1257">
        <v>3.0</v>
      </c>
      <c r="H87" s="1258">
        <f t="shared" ref="H87:H112" si="69">SUMIF(#REF!,#REF!,$P87:$AA87)</f>
        <v>21000</v>
      </c>
      <c r="I87" s="1220">
        <f t="shared" si="35"/>
        <v>0.004833573171</v>
      </c>
      <c r="J87" s="1259">
        <f t="shared" si="61"/>
        <v>210041.666</v>
      </c>
      <c r="K87" s="1259">
        <f t="shared" si="62"/>
        <v>0</v>
      </c>
      <c r="L87" s="1260">
        <f t="shared" si="63"/>
        <v>84041.666</v>
      </c>
      <c r="M87" s="1260">
        <f t="shared" si="64"/>
        <v>126000</v>
      </c>
      <c r="N87" s="1260">
        <f t="shared" si="65"/>
        <v>0</v>
      </c>
      <c r="O87" s="1260">
        <f t="shared" si="66"/>
        <v>0</v>
      </c>
      <c r="P87" s="1261">
        <f>IF(NOW()&gt;=DATE(YEAR(P$1),MONTH(P$1)+1,DAY(P$1)),SUMIFS(AC_SOTIEN,AC_THANG,P$1,AC_KM,$E87),SUMIFS(TF_SOTIEN,TF_THANG,P$1,TF_KM,$E87))/ 1000</f>
        <v>21000</v>
      </c>
      <c r="Q87" s="1261">
        <f>IF(NOW()&gt;=DATE(YEAR(Q$1),MONTH(Q$1)+1,DAY(Q$1)),SUMIFS(AC_SOTIEN,AC_THANG,Q$1,AC_KM,$E87),SUMIFS(TF_SOTIEN,TF_THANG,Q$1,TF_KM,$E87))/ 1000</f>
        <v>21041.666</v>
      </c>
      <c r="R87" s="1261">
        <f>IF(NOW()&gt;=DATE(YEAR(R$1),MONTH(R$1)+1,DAY(R$1)),SUMIFS(AC_SOTIEN,AC_THANG,R$1,AC_KM,$E87),SUMIFS(TF_SOTIEN,TF_THANG,R$1,TF_KM,$E87))/ 1000</f>
        <v>42000</v>
      </c>
      <c r="S87" s="1261">
        <f>IF(NOW()&gt;=DATE(YEAR(S$1),MONTH(S$1)+1,DAY(S$1)),SUMIFS(AC_SOTIEN,AC_THANG,S$1,AC_KM,$E87),SUMIFS(TF_SOTIEN,TF_THANG,S$1,TF_KM,$E87))/ 1000</f>
        <v>84000</v>
      </c>
      <c r="T87" s="1261">
        <f>IF(NOW()&gt;=DATE(YEAR(T$1),MONTH(T$1)+1,DAY(T$1)),SUMIFS(AC_SOTIEN,AC_THANG,T$1,AC_KM,$E87),SUMIFS(TF_SOTIEN,TF_THANG,T$1,TF_KM,$E87))/ 1000</f>
        <v>42000</v>
      </c>
      <c r="U87" s="1261">
        <f>IF(NOW()&gt;=DATE(YEAR(U$1),MONTH(U$1)+1,DAY(U$1)),SUMIFS(AC_SOTIEN,AC_THANG,U$1,AC_KM,$E87),SUMIFS(TF_SOTIEN,TF_THANG,U$1,TF_KM,$E87))/ 1000</f>
        <v>0</v>
      </c>
      <c r="V87" s="1261">
        <f>IF(NOW()&gt;=DATE(YEAR(V$1),MONTH(V$1)+1,DAY(V$1)),SUMIFS(AC_SOTIEN,AC_THANG,V$1,AC_KM,$E87),SUMIFS(TF_SOTIEN,TF_THANG,V$1,TF_KM,$E87))/ 1000</f>
        <v>0</v>
      </c>
      <c r="W87" s="1261">
        <f>IF(NOW()&gt;=DATE(YEAR(W$1),MONTH(W$1)+1,DAY(W$1)),SUMIFS(AC_SOTIEN,AC_THANG,W$1,AC_KM,$E87),SUMIFS(TF_SOTIEN,TF_THANG,W$1,TF_KM,$E87))/ 1000</f>
        <v>0</v>
      </c>
      <c r="X87" s="1261">
        <f>IF(NOW()&gt;=DATE(YEAR(X$1),MONTH(X$1)+1,DAY(X$1)),SUMIFS(AC_SOTIEN,AC_THANG,X$1,AC_KM,$E87),SUMIFS(TF_SOTIEN,TF_THANG,X$1,TF_KM,$E87))/ 1000</f>
        <v>0</v>
      </c>
      <c r="Y87" s="1261">
        <f>IF(NOW()&gt;=DATE(YEAR(Y$1),MONTH(Y$1)+1,DAY(Y$1)),SUMIFS(AC_SOTIEN,AC_THANG,Y$1,AC_KM,$E87),SUMIFS(TF_SOTIEN,TF_THANG,Y$1,TF_KM,$E87))/ 1000</f>
        <v>0</v>
      </c>
      <c r="Z87" s="1261">
        <f>IF(NOW()&gt;=DATE(YEAR(Z$1),MONTH(Z$1)+1,DAY(Z$1)),SUMIFS(AC_SOTIEN,AC_THANG,Z$1,AC_KM,$E87),SUMIFS(TF_SOTIEN,TF_THANG,Z$1,TF_KM,$E87))/ 1000</f>
        <v>0</v>
      </c>
      <c r="AA87" s="1261">
        <f>IF(NOW()&gt;=DATE(YEAR(AA$1),MONTH(AA$1)+1,DAY(AA$1)),SUMIFS(AC_SOTIEN,AC_THANG,AA$1,AC_KM,$E87),SUMIFS(TF_SOTIEN,TF_THANG,AA$1,TF_KM,$E87))/ 1000</f>
        <v>0</v>
      </c>
    </row>
    <row r="88" outlineLevel="1">
      <c r="A88" s="1254"/>
      <c r="B88" s="1254"/>
      <c r="C88" s="1254"/>
      <c r="D88" s="1254" t="s">
        <v>2847</v>
      </c>
      <c r="E88" s="1256" t="s">
        <v>267</v>
      </c>
      <c r="F88" s="1254"/>
      <c r="G88" s="1257">
        <v>3.0</v>
      </c>
      <c r="H88" s="1258">
        <f t="shared" si="69"/>
        <v>32253.671</v>
      </c>
      <c r="I88" s="1220">
        <f t="shared" si="35"/>
        <v>0.007423832324</v>
      </c>
      <c r="J88" s="1259">
        <f t="shared" si="61"/>
        <v>360576.758</v>
      </c>
      <c r="K88" s="1259">
        <f t="shared" si="62"/>
        <v>0</v>
      </c>
      <c r="L88" s="1260">
        <f t="shared" si="63"/>
        <v>187837.144</v>
      </c>
      <c r="M88" s="1260">
        <f t="shared" si="64"/>
        <v>172739.614</v>
      </c>
      <c r="N88" s="1260">
        <f t="shared" si="65"/>
        <v>0</v>
      </c>
      <c r="O88" s="1260">
        <f t="shared" si="66"/>
        <v>0</v>
      </c>
      <c r="P88" s="1261">
        <f>IF(NOW()&gt;=DATE(YEAR(P$1),MONTH(P$1)+1,DAY(P$1)),SUMIFS(AC_SOTIEN,AC_THANG,P$1,AC_KM,$E88),SUMIFS(TF_SOTIEN,TF_THANG,P$1,TF_KM,$E88))/ 1000</f>
        <v>32253.671</v>
      </c>
      <c r="Q88" s="1261">
        <f>IF(NOW()&gt;=DATE(YEAR(Q$1),MONTH(Q$1)+1,DAY(Q$1)),SUMIFS(AC_SOTIEN,AC_THANG,Q$1,AC_KM,$E88),SUMIFS(TF_SOTIEN,TF_THANG,Q$1,TF_KM,$E88))/ 1000</f>
        <v>63054.477</v>
      </c>
      <c r="R88" s="1261">
        <f>IF(NOW()&gt;=DATE(YEAR(R$1),MONTH(R$1)+1,DAY(R$1)),SUMIFS(AC_SOTIEN,AC_THANG,R$1,AC_KM,$E88),SUMIFS(TF_SOTIEN,TF_THANG,R$1,TF_KM,$E88))/ 1000</f>
        <v>92528.996</v>
      </c>
      <c r="S88" s="1261">
        <f>IF(NOW()&gt;=DATE(YEAR(S$1),MONTH(S$1)+1,DAY(S$1)),SUMIFS(AC_SOTIEN,AC_THANG,S$1,AC_KM,$E88),SUMIFS(TF_SOTIEN,TF_THANG,S$1,TF_KM,$E88))/ 1000</f>
        <v>61778.846</v>
      </c>
      <c r="T88" s="1261">
        <f>IF(NOW()&gt;=DATE(YEAR(T$1),MONTH(T$1)+1,DAY(T$1)),SUMIFS(AC_SOTIEN,AC_THANG,T$1,AC_KM,$E88),SUMIFS(TF_SOTIEN,TF_THANG,T$1,TF_KM,$E88))/ 1000</f>
        <v>110960.768</v>
      </c>
      <c r="U88" s="1261">
        <f>IF(NOW()&gt;=DATE(YEAR(U$1),MONTH(U$1)+1,DAY(U$1)),SUMIFS(AC_SOTIEN,AC_THANG,U$1,AC_KM,$E88),SUMIFS(TF_SOTIEN,TF_THANG,U$1,TF_KM,$E88))/ 1000</f>
        <v>0</v>
      </c>
      <c r="V88" s="1261">
        <f>IF(NOW()&gt;=DATE(YEAR(V$1),MONTH(V$1)+1,DAY(V$1)),SUMIFS(AC_SOTIEN,AC_THANG,V$1,AC_KM,$E88),SUMIFS(TF_SOTIEN,TF_THANG,V$1,TF_KM,$E88))/ 1000</f>
        <v>0</v>
      </c>
      <c r="W88" s="1261">
        <f>IF(NOW()&gt;=DATE(YEAR(W$1),MONTH(W$1)+1,DAY(W$1)),SUMIFS(AC_SOTIEN,AC_THANG,W$1,AC_KM,$E88),SUMIFS(TF_SOTIEN,TF_THANG,W$1,TF_KM,$E88))/ 1000</f>
        <v>0</v>
      </c>
      <c r="X88" s="1261">
        <f>IF(NOW()&gt;=DATE(YEAR(X$1),MONTH(X$1)+1,DAY(X$1)),SUMIFS(AC_SOTIEN,AC_THANG,X$1,AC_KM,$E88),SUMIFS(TF_SOTIEN,TF_THANG,X$1,TF_KM,$E88))/ 1000</f>
        <v>0</v>
      </c>
      <c r="Y88" s="1261">
        <f>IF(NOW()&gt;=DATE(YEAR(Y$1),MONTH(Y$1)+1,DAY(Y$1)),SUMIFS(AC_SOTIEN,AC_THANG,Y$1,AC_KM,$E88),SUMIFS(TF_SOTIEN,TF_THANG,Y$1,TF_KM,$E88))/ 1000</f>
        <v>0</v>
      </c>
      <c r="Z88" s="1261">
        <f>IF(NOW()&gt;=DATE(YEAR(Z$1),MONTH(Z$1)+1,DAY(Z$1)),SUMIFS(AC_SOTIEN,AC_THANG,Z$1,AC_KM,$E88),SUMIFS(TF_SOTIEN,TF_THANG,Z$1,TF_KM,$E88))/ 1000</f>
        <v>0</v>
      </c>
      <c r="AA88" s="1261">
        <f>IF(NOW()&gt;=DATE(YEAR(AA$1),MONTH(AA$1)+1,DAY(AA$1)),SUMIFS(AC_SOTIEN,AC_THANG,AA$1,AC_KM,$E88),SUMIFS(TF_SOTIEN,TF_THANG,AA$1,TF_KM,$E88))/ 1000</f>
        <v>0</v>
      </c>
    </row>
    <row r="89" outlineLevel="1">
      <c r="A89" s="1254"/>
      <c r="B89" s="1254"/>
      <c r="C89" s="1254"/>
      <c r="D89" s="1254" t="s">
        <v>2848</v>
      </c>
      <c r="E89" s="1256" t="s">
        <v>1211</v>
      </c>
      <c r="F89" s="1254"/>
      <c r="G89" s="1257">
        <v>3.0</v>
      </c>
      <c r="H89" s="1258">
        <f t="shared" si="69"/>
        <v>0</v>
      </c>
      <c r="I89" s="1220">
        <f t="shared" si="35"/>
        <v>0</v>
      </c>
      <c r="J89" s="1259">
        <f t="shared" si="61"/>
        <v>18000</v>
      </c>
      <c r="K89" s="1259">
        <f t="shared" si="62"/>
        <v>0</v>
      </c>
      <c r="L89" s="1260">
        <f t="shared" si="63"/>
        <v>0</v>
      </c>
      <c r="M89" s="1260">
        <f t="shared" si="64"/>
        <v>18000</v>
      </c>
      <c r="N89" s="1260">
        <f t="shared" si="65"/>
        <v>0</v>
      </c>
      <c r="O89" s="1260">
        <f t="shared" si="66"/>
        <v>0</v>
      </c>
      <c r="P89" s="1261">
        <f>IF(NOW()&gt;=DATE(YEAR(P$1),MONTH(P$1)+1,DAY(P$1)),SUMIFS(AC_SOTIEN,AC_THANG,P$1,AC_KM,$E89),SUMIFS(TF_SOTIEN,TF_THANG,P$1,TF_KM,$E89))/ 1000</f>
        <v>0</v>
      </c>
      <c r="Q89" s="1261">
        <f>IF(NOW()&gt;=DATE(YEAR(Q$1),MONTH(Q$1)+1,DAY(Q$1)),SUMIFS(AC_SOTIEN,AC_THANG,Q$1,AC_KM,$E89),SUMIFS(TF_SOTIEN,TF_THANG,Q$1,TF_KM,$E89))/ 1000</f>
        <v>0</v>
      </c>
      <c r="R89" s="1261">
        <f>IF(NOW()&gt;=DATE(YEAR(R$1),MONTH(R$1)+1,DAY(R$1)),SUMIFS(AC_SOTIEN,AC_THANG,R$1,AC_KM,$E89),SUMIFS(TF_SOTIEN,TF_THANG,R$1,TF_KM,$E89))/ 1000</f>
        <v>0</v>
      </c>
      <c r="S89" s="1261">
        <f>IF(NOW()&gt;=DATE(YEAR(S$1),MONTH(S$1)+1,DAY(S$1)),SUMIFS(AC_SOTIEN,AC_THANG,S$1,AC_KM,$E89),SUMIFS(TF_SOTIEN,TF_THANG,S$1,TF_KM,$E89))/ 1000</f>
        <v>0</v>
      </c>
      <c r="T89" s="1261">
        <f>IF(NOW()&gt;=DATE(YEAR(T$1),MONTH(T$1)+1,DAY(T$1)),SUMIFS(AC_SOTIEN,AC_THANG,T$1,AC_KM,$E89),SUMIFS(TF_SOTIEN,TF_THANG,T$1,TF_KM,$E89))/ 1000</f>
        <v>18000</v>
      </c>
      <c r="U89" s="1261">
        <f>IF(NOW()&gt;=DATE(YEAR(U$1),MONTH(U$1)+1,DAY(U$1)),SUMIFS(AC_SOTIEN,AC_THANG,U$1,AC_KM,$E89),SUMIFS(TF_SOTIEN,TF_THANG,U$1,TF_KM,$E89))/ 1000</f>
        <v>0</v>
      </c>
      <c r="V89" s="1261">
        <f>IF(NOW()&gt;=DATE(YEAR(V$1),MONTH(V$1)+1,DAY(V$1)),SUMIFS(AC_SOTIEN,AC_THANG,V$1,AC_KM,$E89),SUMIFS(TF_SOTIEN,TF_THANG,V$1,TF_KM,$E89))/ 1000</f>
        <v>0</v>
      </c>
      <c r="W89" s="1261">
        <f>IF(NOW()&gt;=DATE(YEAR(W$1),MONTH(W$1)+1,DAY(W$1)),SUMIFS(AC_SOTIEN,AC_THANG,W$1,AC_KM,$E89),SUMIFS(TF_SOTIEN,TF_THANG,W$1,TF_KM,$E89))/ 1000</f>
        <v>0</v>
      </c>
      <c r="X89" s="1261">
        <f>IF(NOW()&gt;=DATE(YEAR(X$1),MONTH(X$1)+1,DAY(X$1)),SUMIFS(AC_SOTIEN,AC_THANG,X$1,AC_KM,$E89),SUMIFS(TF_SOTIEN,TF_THANG,X$1,TF_KM,$E89))/ 1000</f>
        <v>0</v>
      </c>
      <c r="Y89" s="1261">
        <f>IF(NOW()&gt;=DATE(YEAR(Y$1),MONTH(Y$1)+1,DAY(Y$1)),SUMIFS(AC_SOTIEN,AC_THANG,Y$1,AC_KM,$E89),SUMIFS(TF_SOTIEN,TF_THANG,Y$1,TF_KM,$E89))/ 1000</f>
        <v>0</v>
      </c>
      <c r="Z89" s="1261">
        <f>IF(NOW()&gt;=DATE(YEAR(Z$1),MONTH(Z$1)+1,DAY(Z$1)),SUMIFS(AC_SOTIEN,AC_THANG,Z$1,AC_KM,$E89),SUMIFS(TF_SOTIEN,TF_THANG,Z$1,TF_KM,$E89))/ 1000</f>
        <v>0</v>
      </c>
      <c r="AA89" s="1261">
        <f>IF(NOW()&gt;=DATE(YEAR(AA$1),MONTH(AA$1)+1,DAY(AA$1)),SUMIFS(AC_SOTIEN,AC_THANG,AA$1,AC_KM,$E89),SUMIFS(TF_SOTIEN,TF_THANG,AA$1,TF_KM,$E89))/ 1000</f>
        <v>0</v>
      </c>
    </row>
    <row r="90" outlineLevel="1">
      <c r="A90" s="1254"/>
      <c r="B90" s="1254"/>
      <c r="C90" s="1254"/>
      <c r="D90" s="1254" t="s">
        <v>2849</v>
      </c>
      <c r="E90" s="1256" t="s">
        <v>2850</v>
      </c>
      <c r="F90" s="1254"/>
      <c r="G90" s="1257">
        <v>3.0</v>
      </c>
      <c r="H90" s="1258">
        <f t="shared" si="69"/>
        <v>0</v>
      </c>
      <c r="I90" s="1220">
        <f t="shared" si="35"/>
        <v>0</v>
      </c>
      <c r="J90" s="1259">
        <f t="shared" si="61"/>
        <v>0</v>
      </c>
      <c r="K90" s="1259">
        <f t="shared" si="62"/>
        <v>0</v>
      </c>
      <c r="L90" s="1260">
        <f t="shared" si="63"/>
        <v>0</v>
      </c>
      <c r="M90" s="1260">
        <f t="shared" si="64"/>
        <v>0</v>
      </c>
      <c r="N90" s="1260">
        <f t="shared" si="65"/>
        <v>0</v>
      </c>
      <c r="O90" s="1260">
        <f t="shared" si="66"/>
        <v>0</v>
      </c>
      <c r="P90" s="1261">
        <f>IF(NOW()&gt;=DATE(YEAR(P$1),MONTH(P$1)+1,DAY(P$1)),SUMIFS(AC_SOTIEN,AC_THANG,P$1,AC_KM,$E90),SUMIFS(TF_SOTIEN,TF_THANG,P$1,TF_KM,$E90))/ 1000</f>
        <v>0</v>
      </c>
      <c r="Q90" s="1261">
        <f>IF(NOW()&gt;=DATE(YEAR(Q$1),MONTH(Q$1)+1,DAY(Q$1)),SUMIFS(AC_SOTIEN,AC_THANG,Q$1,AC_KM,$E90),SUMIFS(TF_SOTIEN,TF_THANG,Q$1,TF_KM,$E90))/ 1000</f>
        <v>0</v>
      </c>
      <c r="R90" s="1261">
        <f>IF(NOW()&gt;=DATE(YEAR(R$1),MONTH(R$1)+1,DAY(R$1)),SUMIFS(AC_SOTIEN,AC_THANG,R$1,AC_KM,$E90),SUMIFS(TF_SOTIEN,TF_THANG,R$1,TF_KM,$E90))/ 1000</f>
        <v>0</v>
      </c>
      <c r="S90" s="1261">
        <f>IF(NOW()&gt;=DATE(YEAR(S$1),MONTH(S$1)+1,DAY(S$1)),SUMIFS(AC_SOTIEN,AC_THANG,S$1,AC_KM,$E90),SUMIFS(TF_SOTIEN,TF_THANG,S$1,TF_KM,$E90))/ 1000</f>
        <v>0</v>
      </c>
      <c r="T90" s="1261">
        <f>IF(NOW()&gt;=DATE(YEAR(T$1),MONTH(T$1)+1,DAY(T$1)),SUMIFS(AC_SOTIEN,AC_THANG,T$1,AC_KM,$E90),SUMIFS(TF_SOTIEN,TF_THANG,T$1,TF_KM,$E90))/ 1000</f>
        <v>0</v>
      </c>
      <c r="U90" s="1261">
        <f>IF(NOW()&gt;=DATE(YEAR(U$1),MONTH(U$1)+1,DAY(U$1)),SUMIFS(AC_SOTIEN,AC_THANG,U$1,AC_KM,$E90),SUMIFS(TF_SOTIEN,TF_THANG,U$1,TF_KM,$E90))/ 1000</f>
        <v>0</v>
      </c>
      <c r="V90" s="1261">
        <f>IF(NOW()&gt;=DATE(YEAR(V$1),MONTH(V$1)+1,DAY(V$1)),SUMIFS(AC_SOTIEN,AC_THANG,V$1,AC_KM,$E90),SUMIFS(TF_SOTIEN,TF_THANG,V$1,TF_KM,$E90))/ 1000</f>
        <v>0</v>
      </c>
      <c r="W90" s="1261">
        <f>IF(NOW()&gt;=DATE(YEAR(W$1),MONTH(W$1)+1,DAY(W$1)),SUMIFS(AC_SOTIEN,AC_THANG,W$1,AC_KM,$E90),SUMIFS(TF_SOTIEN,TF_THANG,W$1,TF_KM,$E90))/ 1000</f>
        <v>0</v>
      </c>
      <c r="X90" s="1261">
        <f>IF(NOW()&gt;=DATE(YEAR(X$1),MONTH(X$1)+1,DAY(X$1)),SUMIFS(AC_SOTIEN,AC_THANG,X$1,AC_KM,$E90),SUMIFS(TF_SOTIEN,TF_THANG,X$1,TF_KM,$E90))/ 1000</f>
        <v>0</v>
      </c>
      <c r="Y90" s="1261">
        <f>IF(NOW()&gt;=DATE(YEAR(Y$1),MONTH(Y$1)+1,DAY(Y$1)),SUMIFS(AC_SOTIEN,AC_THANG,Y$1,AC_KM,$E90),SUMIFS(TF_SOTIEN,TF_THANG,Y$1,TF_KM,$E90))/ 1000</f>
        <v>0</v>
      </c>
      <c r="Z90" s="1261">
        <f>IF(NOW()&gt;=DATE(YEAR(Z$1),MONTH(Z$1)+1,DAY(Z$1)),SUMIFS(AC_SOTIEN,AC_THANG,Z$1,AC_KM,$E90),SUMIFS(TF_SOTIEN,TF_THANG,Z$1,TF_KM,$E90))/ 1000</f>
        <v>0</v>
      </c>
      <c r="AA90" s="1261">
        <f>IF(NOW()&gt;=DATE(YEAR(AA$1),MONTH(AA$1)+1,DAY(AA$1)),SUMIFS(AC_SOTIEN,AC_THANG,AA$1,AC_KM,$E90),SUMIFS(TF_SOTIEN,TF_THANG,AA$1,TF_KM,$E90))/ 1000</f>
        <v>0</v>
      </c>
    </row>
    <row r="91" outlineLevel="1">
      <c r="A91" s="1254"/>
      <c r="B91" s="1254"/>
      <c r="C91" s="1254"/>
      <c r="D91" s="1254" t="s">
        <v>2851</v>
      </c>
      <c r="E91" s="1256" t="s">
        <v>1273</v>
      </c>
      <c r="F91" s="1254"/>
      <c r="G91" s="1257">
        <v>3.0</v>
      </c>
      <c r="H91" s="1258">
        <f t="shared" si="69"/>
        <v>0</v>
      </c>
      <c r="I91" s="1220">
        <f t="shared" si="35"/>
        <v>0</v>
      </c>
      <c r="J91" s="1259">
        <f t="shared" si="61"/>
        <v>6720</v>
      </c>
      <c r="K91" s="1259">
        <f t="shared" si="62"/>
        <v>0</v>
      </c>
      <c r="L91" s="1260">
        <f t="shared" si="63"/>
        <v>0</v>
      </c>
      <c r="M91" s="1260">
        <f t="shared" si="64"/>
        <v>6720</v>
      </c>
      <c r="N91" s="1260">
        <f t="shared" si="65"/>
        <v>0</v>
      </c>
      <c r="O91" s="1260">
        <f t="shared" si="66"/>
        <v>0</v>
      </c>
      <c r="P91" s="1261">
        <f>IF(NOW()&gt;=DATE(YEAR(P$1),MONTH(P$1)+1,DAY(P$1)),SUMIFS(AC_SOTIEN,AC_THANG,P$1,AC_KM,$E91),SUMIFS(TF_SOTIEN,TF_THANG,P$1,TF_KM,$E91))/ 1000</f>
        <v>0</v>
      </c>
      <c r="Q91" s="1261">
        <f>IF(NOW()&gt;=DATE(YEAR(Q$1),MONTH(Q$1)+1,DAY(Q$1)),SUMIFS(AC_SOTIEN,AC_THANG,Q$1,AC_KM,$E91),SUMIFS(TF_SOTIEN,TF_THANG,Q$1,TF_KM,$E91))/ 1000</f>
        <v>0</v>
      </c>
      <c r="R91" s="1261">
        <f>IF(NOW()&gt;=DATE(YEAR(R$1),MONTH(R$1)+1,DAY(R$1)),SUMIFS(AC_SOTIEN,AC_THANG,R$1,AC_KM,$E91),SUMIFS(TF_SOTIEN,TF_THANG,R$1,TF_KM,$E91))/ 1000</f>
        <v>0</v>
      </c>
      <c r="S91" s="1261">
        <f>IF(NOW()&gt;=DATE(YEAR(S$1),MONTH(S$1)+1,DAY(S$1)),SUMIFS(AC_SOTIEN,AC_THANG,S$1,AC_KM,$E91),SUMIFS(TF_SOTIEN,TF_THANG,S$1,TF_KM,$E91))/ 1000</f>
        <v>0</v>
      </c>
      <c r="T91" s="1261">
        <f>IF(NOW()&gt;=DATE(YEAR(T$1),MONTH(T$1)+1,DAY(T$1)),SUMIFS(AC_SOTIEN,AC_THANG,T$1,AC_KM,$E91),SUMIFS(TF_SOTIEN,TF_THANG,T$1,TF_KM,$E91))/ 1000</f>
        <v>6720</v>
      </c>
      <c r="U91" s="1261">
        <f>IF(NOW()&gt;=DATE(YEAR(U$1),MONTH(U$1)+1,DAY(U$1)),SUMIFS(AC_SOTIEN,AC_THANG,U$1,AC_KM,$E91),SUMIFS(TF_SOTIEN,TF_THANG,U$1,TF_KM,$E91))/ 1000</f>
        <v>0</v>
      </c>
      <c r="V91" s="1261">
        <f>IF(NOW()&gt;=DATE(YEAR(V$1),MONTH(V$1)+1,DAY(V$1)),SUMIFS(AC_SOTIEN,AC_THANG,V$1,AC_KM,$E91),SUMIFS(TF_SOTIEN,TF_THANG,V$1,TF_KM,$E91))/ 1000</f>
        <v>0</v>
      </c>
      <c r="W91" s="1261">
        <f>IF(NOW()&gt;=DATE(YEAR(W$1),MONTH(W$1)+1,DAY(W$1)),SUMIFS(AC_SOTIEN,AC_THANG,W$1,AC_KM,$E91),SUMIFS(TF_SOTIEN,TF_THANG,W$1,TF_KM,$E91))/ 1000</f>
        <v>0</v>
      </c>
      <c r="X91" s="1261">
        <f>IF(NOW()&gt;=DATE(YEAR(X$1),MONTH(X$1)+1,DAY(X$1)),SUMIFS(AC_SOTIEN,AC_THANG,X$1,AC_KM,$E91),SUMIFS(TF_SOTIEN,TF_THANG,X$1,TF_KM,$E91))/ 1000</f>
        <v>0</v>
      </c>
      <c r="Y91" s="1261">
        <f>IF(NOW()&gt;=DATE(YEAR(Y$1),MONTH(Y$1)+1,DAY(Y$1)),SUMIFS(AC_SOTIEN,AC_THANG,Y$1,AC_KM,$E91),SUMIFS(TF_SOTIEN,TF_THANG,Y$1,TF_KM,$E91))/ 1000</f>
        <v>0</v>
      </c>
      <c r="Z91" s="1261">
        <f>IF(NOW()&gt;=DATE(YEAR(Z$1),MONTH(Z$1)+1,DAY(Z$1)),SUMIFS(AC_SOTIEN,AC_THANG,Z$1,AC_KM,$E91),SUMIFS(TF_SOTIEN,TF_THANG,Z$1,TF_KM,$E91))/ 1000</f>
        <v>0</v>
      </c>
      <c r="AA91" s="1261">
        <f>IF(NOW()&gt;=DATE(YEAR(AA$1),MONTH(AA$1)+1,DAY(AA$1)),SUMIFS(AC_SOTIEN,AC_THANG,AA$1,AC_KM,$E91),SUMIFS(TF_SOTIEN,TF_THANG,AA$1,TF_KM,$E91))/ 1000</f>
        <v>0</v>
      </c>
    </row>
    <row r="92" outlineLevel="1">
      <c r="A92" s="1254"/>
      <c r="B92" s="1254"/>
      <c r="C92" s="1254"/>
      <c r="D92" s="1254" t="s">
        <v>2852</v>
      </c>
      <c r="E92" s="1256" t="s">
        <v>1153</v>
      </c>
      <c r="F92" s="1254"/>
      <c r="G92" s="1257">
        <v>3.0</v>
      </c>
      <c r="H92" s="1258">
        <f t="shared" si="69"/>
        <v>0</v>
      </c>
      <c r="I92" s="1220">
        <f t="shared" si="35"/>
        <v>0</v>
      </c>
      <c r="J92" s="1259">
        <f t="shared" si="61"/>
        <v>1037</v>
      </c>
      <c r="K92" s="1259">
        <f t="shared" si="62"/>
        <v>0</v>
      </c>
      <c r="L92" s="1260">
        <f t="shared" si="63"/>
        <v>0</v>
      </c>
      <c r="M92" s="1260">
        <f t="shared" si="64"/>
        <v>1037</v>
      </c>
      <c r="N92" s="1260">
        <f t="shared" si="65"/>
        <v>0</v>
      </c>
      <c r="O92" s="1260">
        <f t="shared" si="66"/>
        <v>0</v>
      </c>
      <c r="P92" s="1261">
        <f>IF(NOW()&gt;=DATE(YEAR(P$1),MONTH(P$1)+1,DAY(P$1)),SUMIFS(AC_SOTIEN,AC_THANG,P$1,AC_KM,$E92),SUMIFS(TF_SOTIEN,TF_THANG,P$1,TF_KM,$E92))/ 1000</f>
        <v>0</v>
      </c>
      <c r="Q92" s="1261">
        <f>IF(NOW()&gt;=DATE(YEAR(Q$1),MONTH(Q$1)+1,DAY(Q$1)),SUMIFS(AC_SOTIEN,AC_THANG,Q$1,AC_KM,$E92),SUMIFS(TF_SOTIEN,TF_THANG,Q$1,TF_KM,$E92))/ 1000</f>
        <v>0</v>
      </c>
      <c r="R92" s="1261">
        <f>IF(NOW()&gt;=DATE(YEAR(R$1),MONTH(R$1)+1,DAY(R$1)),SUMIFS(AC_SOTIEN,AC_THANG,R$1,AC_KM,$E92),SUMIFS(TF_SOTIEN,TF_THANG,R$1,TF_KM,$E92))/ 1000</f>
        <v>0</v>
      </c>
      <c r="S92" s="1261">
        <f>IF(NOW()&gt;=DATE(YEAR(S$1),MONTH(S$1)+1,DAY(S$1)),SUMIFS(AC_SOTIEN,AC_THANG,S$1,AC_KM,$E92),SUMIFS(TF_SOTIEN,TF_THANG,S$1,TF_KM,$E92))/ 1000</f>
        <v>0</v>
      </c>
      <c r="T92" s="1261">
        <f>IF(NOW()&gt;=DATE(YEAR(T$1),MONTH(T$1)+1,DAY(T$1)),SUMIFS(AC_SOTIEN,AC_THANG,T$1,AC_KM,$E92),SUMIFS(TF_SOTIEN,TF_THANG,T$1,TF_KM,$E92))/ 1000</f>
        <v>1037</v>
      </c>
      <c r="U92" s="1261">
        <f>IF(NOW()&gt;=DATE(YEAR(U$1),MONTH(U$1)+1,DAY(U$1)),SUMIFS(AC_SOTIEN,AC_THANG,U$1,AC_KM,$E92),SUMIFS(TF_SOTIEN,TF_THANG,U$1,TF_KM,$E92))/ 1000</f>
        <v>0</v>
      </c>
      <c r="V92" s="1261">
        <f>IF(NOW()&gt;=DATE(YEAR(V$1),MONTH(V$1)+1,DAY(V$1)),SUMIFS(AC_SOTIEN,AC_THANG,V$1,AC_KM,$E92),SUMIFS(TF_SOTIEN,TF_THANG,V$1,TF_KM,$E92))/ 1000</f>
        <v>0</v>
      </c>
      <c r="W92" s="1261">
        <f>IF(NOW()&gt;=DATE(YEAR(W$1),MONTH(W$1)+1,DAY(W$1)),SUMIFS(AC_SOTIEN,AC_THANG,W$1,AC_KM,$E92),SUMIFS(TF_SOTIEN,TF_THANG,W$1,TF_KM,$E92))/ 1000</f>
        <v>0</v>
      </c>
      <c r="X92" s="1261">
        <f>IF(NOW()&gt;=DATE(YEAR(X$1),MONTH(X$1)+1,DAY(X$1)),SUMIFS(AC_SOTIEN,AC_THANG,X$1,AC_KM,$E92),SUMIFS(TF_SOTIEN,TF_THANG,X$1,TF_KM,$E92))/ 1000</f>
        <v>0</v>
      </c>
      <c r="Y92" s="1261">
        <f>IF(NOW()&gt;=DATE(YEAR(Y$1),MONTH(Y$1)+1,DAY(Y$1)),SUMIFS(AC_SOTIEN,AC_THANG,Y$1,AC_KM,$E92),SUMIFS(TF_SOTIEN,TF_THANG,Y$1,TF_KM,$E92))/ 1000</f>
        <v>0</v>
      </c>
      <c r="Z92" s="1261">
        <f>IF(NOW()&gt;=DATE(YEAR(Z$1),MONTH(Z$1)+1,DAY(Z$1)),SUMIFS(AC_SOTIEN,AC_THANG,Z$1,AC_KM,$E92),SUMIFS(TF_SOTIEN,TF_THANG,Z$1,TF_KM,$E92))/ 1000</f>
        <v>0</v>
      </c>
      <c r="AA92" s="1261">
        <f>IF(NOW()&gt;=DATE(YEAR(AA$1),MONTH(AA$1)+1,DAY(AA$1)),SUMIFS(AC_SOTIEN,AC_THANG,AA$1,AC_KM,$E92),SUMIFS(TF_SOTIEN,TF_THANG,AA$1,TF_KM,$E92))/ 1000</f>
        <v>0</v>
      </c>
    </row>
    <row r="93">
      <c r="A93" s="1254"/>
      <c r="B93" s="1254"/>
      <c r="C93" s="1254"/>
      <c r="D93" s="1216" t="s">
        <v>2853</v>
      </c>
      <c r="E93" s="1217" t="s">
        <v>270</v>
      </c>
      <c r="F93" s="1218">
        <v>642.0</v>
      </c>
      <c r="G93" s="1218">
        <v>2.0</v>
      </c>
      <c r="H93" s="1219">
        <f t="shared" si="69"/>
        <v>49333.001</v>
      </c>
      <c r="I93" s="1220">
        <f t="shared" si="35"/>
        <v>0.01135498429</v>
      </c>
      <c r="J93" s="1221">
        <f t="shared" si="61"/>
        <v>241023.999</v>
      </c>
      <c r="K93" s="1221">
        <f t="shared" si="62"/>
        <v>0</v>
      </c>
      <c r="L93" s="1222">
        <f t="shared" si="63"/>
        <v>144024.333</v>
      </c>
      <c r="M93" s="1222">
        <f t="shared" si="64"/>
        <v>96999.666</v>
      </c>
      <c r="N93" s="1222">
        <f t="shared" si="65"/>
        <v>0</v>
      </c>
      <c r="O93" s="1222">
        <f t="shared" si="66"/>
        <v>0</v>
      </c>
      <c r="P93" s="1223">
        <f>IF(NOW()&gt;=DATE(YEAR(P$1),MONTH(P$1)+1,DAY(P$1)),SUMIFS(AC_SOTIEN,AC_THANG,P$1,AC_KM,$E93),SUMIFS(TF_SOTIEN,TF_THANG,P$1,TF_KM,$E93))/ 1000</f>
        <v>49333.001</v>
      </c>
      <c r="Q93" s="1223">
        <f>IF(NOW()&gt;=DATE(YEAR(Q$1),MONTH(Q$1)+1,DAY(Q$1)),SUMIFS(AC_SOTIEN,AC_THANG,Q$1,AC_KM,$E93),SUMIFS(TF_SOTIEN,TF_THANG,Q$1,TF_KM,$E93))/ 1000</f>
        <v>49358.33</v>
      </c>
      <c r="R93" s="1223">
        <f>IF(NOW()&gt;=DATE(YEAR(R$1),MONTH(R$1)+1,DAY(R$1)),SUMIFS(AC_SOTIEN,AC_THANG,R$1,AC_KM,$E93),SUMIFS(TF_SOTIEN,TF_THANG,R$1,TF_KM,$E93))/ 1000</f>
        <v>45333.002</v>
      </c>
      <c r="S93" s="1223">
        <f>IF(NOW()&gt;=DATE(YEAR(S$1),MONTH(S$1)+1,DAY(S$1)),SUMIFS(AC_SOTIEN,AC_THANG,S$1,AC_KM,$E93),SUMIFS(TF_SOTIEN,TF_THANG,S$1,TF_KM,$E93))/ 1000</f>
        <v>48666.666</v>
      </c>
      <c r="T93" s="1223">
        <f>IF(NOW()&gt;=DATE(YEAR(T$1),MONTH(T$1)+1,DAY(T$1)),SUMIFS(AC_SOTIEN,AC_THANG,T$1,AC_KM,$E93),SUMIFS(TF_SOTIEN,TF_THANG,T$1,TF_KM,$E93))/ 1000</f>
        <v>48333</v>
      </c>
      <c r="U93" s="1223">
        <f>IF(NOW()&gt;=DATE(YEAR(U$1),MONTH(U$1)+1,DAY(U$1)),SUMIFS(AC_SOTIEN,AC_THANG,U$1,AC_KM,$E93),SUMIFS(TF_SOTIEN,TF_THANG,U$1,TF_KM,$E93))/ 1000</f>
        <v>0</v>
      </c>
      <c r="V93" s="1223">
        <f>IF(NOW()&gt;=DATE(YEAR(V$1),MONTH(V$1)+1,DAY(V$1)),SUMIFS(AC_SOTIEN,AC_THANG,V$1,AC_KM,$E93),SUMIFS(TF_SOTIEN,TF_THANG,V$1,TF_KM,$E93))/ 1000</f>
        <v>0</v>
      </c>
      <c r="W93" s="1223">
        <f>IF(NOW()&gt;=DATE(YEAR(W$1),MONTH(W$1)+1,DAY(W$1)),SUMIFS(AC_SOTIEN,AC_THANG,W$1,AC_KM,$E93),SUMIFS(TF_SOTIEN,TF_THANG,W$1,TF_KM,$E93))/ 1000</f>
        <v>0</v>
      </c>
      <c r="X93" s="1223">
        <f>IF(NOW()&gt;=DATE(YEAR(X$1),MONTH(X$1)+1,DAY(X$1)),SUMIFS(AC_SOTIEN,AC_THANG,X$1,AC_KM,$E93),SUMIFS(TF_SOTIEN,TF_THANG,X$1,TF_KM,$E93))/ 1000</f>
        <v>0</v>
      </c>
      <c r="Y93" s="1223">
        <f>IF(NOW()&gt;=DATE(YEAR(Y$1),MONTH(Y$1)+1,DAY(Y$1)),SUMIFS(AC_SOTIEN,AC_THANG,Y$1,AC_KM,$E93),SUMIFS(TF_SOTIEN,TF_THANG,Y$1,TF_KM,$E93))/ 1000</f>
        <v>0</v>
      </c>
      <c r="Z93" s="1223">
        <f>IF(NOW()&gt;=DATE(YEAR(Z$1),MONTH(Z$1)+1,DAY(Z$1)),SUMIFS(AC_SOTIEN,AC_THANG,Z$1,AC_KM,$E93),SUMIFS(TF_SOTIEN,TF_THANG,Z$1,TF_KM,$E93))/ 1000</f>
        <v>0</v>
      </c>
      <c r="AA93" s="1223">
        <f>IF(NOW()&gt;=DATE(YEAR(AA$1),MONTH(AA$1)+1,DAY(AA$1)),SUMIFS(AC_SOTIEN,AC_THANG,AA$1,AC_KM,$E93),SUMIFS(TF_SOTIEN,TF_THANG,AA$1,TF_KM,$E93))/ 1000</f>
        <v>0</v>
      </c>
    </row>
    <row r="94">
      <c r="A94" s="1254"/>
      <c r="B94" s="1254"/>
      <c r="C94" s="1254"/>
      <c r="D94" s="1216" t="s">
        <v>2854</v>
      </c>
      <c r="E94" s="1217"/>
      <c r="F94" s="1218">
        <v>642.0</v>
      </c>
      <c r="G94" s="1218">
        <v>2.0</v>
      </c>
      <c r="H94" s="1219">
        <f t="shared" si="69"/>
        <v>10171.79</v>
      </c>
      <c r="I94" s="1220">
        <f t="shared" si="35"/>
        <v>0.00234124244</v>
      </c>
      <c r="J94" s="1221">
        <f t="shared" si="61"/>
        <v>78443.418</v>
      </c>
      <c r="K94" s="1221">
        <f t="shared" si="62"/>
        <v>0</v>
      </c>
      <c r="L94" s="1222">
        <f t="shared" si="63"/>
        <v>41708.297</v>
      </c>
      <c r="M94" s="1222">
        <f t="shared" si="64"/>
        <v>36735.121</v>
      </c>
      <c r="N94" s="1222">
        <f t="shared" si="65"/>
        <v>0</v>
      </c>
      <c r="O94" s="1222">
        <f t="shared" si="66"/>
        <v>0</v>
      </c>
      <c r="P94" s="1223">
        <f t="shared" ref="P94:AA94" si="70">SUM(P95:P110)</f>
        <v>10171.79</v>
      </c>
      <c r="Q94" s="1223">
        <f t="shared" si="70"/>
        <v>10799.951</v>
      </c>
      <c r="R94" s="1223">
        <f t="shared" si="70"/>
        <v>20736.556</v>
      </c>
      <c r="S94" s="1223">
        <f t="shared" si="70"/>
        <v>17382.496</v>
      </c>
      <c r="T94" s="1223">
        <f t="shared" si="70"/>
        <v>19352.625</v>
      </c>
      <c r="U94" s="1223">
        <f t="shared" si="70"/>
        <v>0</v>
      </c>
      <c r="V94" s="1223">
        <f t="shared" si="70"/>
        <v>0</v>
      </c>
      <c r="W94" s="1223">
        <f t="shared" si="70"/>
        <v>0</v>
      </c>
      <c r="X94" s="1223">
        <f t="shared" si="70"/>
        <v>0</v>
      </c>
      <c r="Y94" s="1223">
        <f t="shared" si="70"/>
        <v>0</v>
      </c>
      <c r="Z94" s="1223">
        <f t="shared" si="70"/>
        <v>0</v>
      </c>
      <c r="AA94" s="1223">
        <f t="shared" si="70"/>
        <v>0</v>
      </c>
    </row>
    <row r="95" outlineLevel="1">
      <c r="A95" s="1254"/>
      <c r="B95" s="1254"/>
      <c r="C95" s="1254"/>
      <c r="D95" s="1274" t="s">
        <v>2909</v>
      </c>
      <c r="E95" s="1275" t="s">
        <v>377</v>
      </c>
      <c r="F95" s="1254"/>
      <c r="G95" s="1257">
        <v>3.0</v>
      </c>
      <c r="H95" s="1258">
        <f t="shared" si="69"/>
        <v>0</v>
      </c>
      <c r="I95" s="1220">
        <f t="shared" si="35"/>
        <v>0</v>
      </c>
      <c r="J95" s="1259">
        <f t="shared" si="61"/>
        <v>4440.1</v>
      </c>
      <c r="K95" s="1259">
        <f t="shared" si="62"/>
        <v>0</v>
      </c>
      <c r="L95" s="1260">
        <f t="shared" si="63"/>
        <v>3180.1</v>
      </c>
      <c r="M95" s="1260">
        <f t="shared" si="64"/>
        <v>1260</v>
      </c>
      <c r="N95" s="1260">
        <f t="shared" si="65"/>
        <v>0</v>
      </c>
      <c r="O95" s="1260">
        <f t="shared" si="66"/>
        <v>0</v>
      </c>
      <c r="P95" s="1261">
        <f>IF(NOW()&gt;=DATE(YEAR(P$1),MONTH(P$1)+1,DAY(P$1)),SUMIFS(AC_SOTIEN,AC_THANG,P$1,AC_KM,$E95),SUMIFS(TF_SOTIEN,TF_THANG,P$1,TF_KM,$E95))/ 1000</f>
        <v>0</v>
      </c>
      <c r="Q95" s="1261">
        <f>IF(NOW()&gt;=DATE(YEAR(Q$1),MONTH(Q$1)+1,DAY(Q$1)),SUMIFS(AC_SOTIEN,AC_THANG,Q$1,AC_KM,$E95),SUMIFS(TF_SOTIEN,TF_THANG,Q$1,TF_KM,$E95))/ 1000</f>
        <v>470.6</v>
      </c>
      <c r="R95" s="1261">
        <f>IF(NOW()&gt;=DATE(YEAR(R$1),MONTH(R$1)+1,DAY(R$1)),SUMIFS(AC_SOTIEN,AC_THANG,R$1,AC_KM,$E95),SUMIFS(TF_SOTIEN,TF_THANG,R$1,TF_KM,$E95))/ 1000</f>
        <v>2709.5</v>
      </c>
      <c r="S95" s="1261">
        <f>IF(NOW()&gt;=DATE(YEAR(S$1),MONTH(S$1)+1,DAY(S$1)),SUMIFS(AC_SOTIEN,AC_THANG,S$1,AC_KM,$E95),SUMIFS(TF_SOTIEN,TF_THANG,S$1,TF_KM,$E95))/ 1000</f>
        <v>0</v>
      </c>
      <c r="T95" s="1261">
        <f>IF(NOW()&gt;=DATE(YEAR(T$1),MONTH(T$1)+1,DAY(T$1)),SUMIFS(AC_SOTIEN,AC_THANG,T$1,AC_KM,$E95),SUMIFS(TF_SOTIEN,TF_THANG,T$1,TF_KM,$E95))/ 1000</f>
        <v>1260</v>
      </c>
      <c r="U95" s="1261">
        <f>IF(NOW()&gt;=DATE(YEAR(U$1),MONTH(U$1)+1,DAY(U$1)),SUMIFS(AC_SOTIEN,AC_THANG,U$1,AC_KM,$E95),SUMIFS(TF_SOTIEN,TF_THANG,U$1,TF_KM,$E95))/ 1000</f>
        <v>0</v>
      </c>
      <c r="V95" s="1261">
        <f>IF(NOW()&gt;=DATE(YEAR(V$1),MONTH(V$1)+1,DAY(V$1)),SUMIFS(AC_SOTIEN,AC_THANG,V$1,AC_KM,$E95),SUMIFS(TF_SOTIEN,TF_THANG,V$1,TF_KM,$E95))/ 1000</f>
        <v>0</v>
      </c>
      <c r="W95" s="1261">
        <f>IF(NOW()&gt;=DATE(YEAR(W$1),MONTH(W$1)+1,DAY(W$1)),SUMIFS(AC_SOTIEN,AC_THANG,W$1,AC_KM,$E95),SUMIFS(TF_SOTIEN,TF_THANG,W$1,TF_KM,$E95))/ 1000</f>
        <v>0</v>
      </c>
      <c r="X95" s="1261">
        <f>IF(NOW()&gt;=DATE(YEAR(X$1),MONTH(X$1)+1,DAY(X$1)),SUMIFS(AC_SOTIEN,AC_THANG,X$1,AC_KM,$E95),SUMIFS(TF_SOTIEN,TF_THANG,X$1,TF_KM,$E95))/ 1000</f>
        <v>0</v>
      </c>
      <c r="Y95" s="1261">
        <f>IF(NOW()&gt;=DATE(YEAR(Y$1),MONTH(Y$1)+1,DAY(Y$1)),SUMIFS(AC_SOTIEN,AC_THANG,Y$1,AC_KM,$E95),SUMIFS(TF_SOTIEN,TF_THANG,Y$1,TF_KM,$E95))/ 1000</f>
        <v>0</v>
      </c>
      <c r="Z95" s="1261">
        <f>IF(NOW()&gt;=DATE(YEAR(Z$1),MONTH(Z$1)+1,DAY(Z$1)),SUMIFS(AC_SOTIEN,AC_THANG,Z$1,AC_KM,$E95),SUMIFS(TF_SOTIEN,TF_THANG,Z$1,TF_KM,$E95))/ 1000</f>
        <v>0</v>
      </c>
      <c r="AA95" s="1261">
        <f>IF(NOW()&gt;=DATE(YEAR(AA$1),MONTH(AA$1)+1,DAY(AA$1)),SUMIFS(AC_SOTIEN,AC_THANG,AA$1,AC_KM,$E95),SUMIFS(TF_SOTIEN,TF_THANG,AA$1,TF_KM,$E95))/ 1000</f>
        <v>0</v>
      </c>
    </row>
    <row r="96" outlineLevel="1">
      <c r="A96" s="1254"/>
      <c r="B96" s="1254"/>
      <c r="C96" s="1254"/>
      <c r="D96" s="1254" t="s">
        <v>2856</v>
      </c>
      <c r="E96" s="1256" t="s">
        <v>419</v>
      </c>
      <c r="F96" s="1254"/>
      <c r="G96" s="1257">
        <v>3.0</v>
      </c>
      <c r="H96" s="1258">
        <f t="shared" si="69"/>
        <v>0</v>
      </c>
      <c r="I96" s="1220">
        <f t="shared" si="35"/>
        <v>0</v>
      </c>
      <c r="J96" s="1259">
        <f t="shared" si="61"/>
        <v>2327.75</v>
      </c>
      <c r="K96" s="1259">
        <f t="shared" si="62"/>
        <v>0</v>
      </c>
      <c r="L96" s="1260">
        <f t="shared" si="63"/>
        <v>1361.75</v>
      </c>
      <c r="M96" s="1260">
        <f t="shared" si="64"/>
        <v>966</v>
      </c>
      <c r="N96" s="1260">
        <f t="shared" si="65"/>
        <v>0</v>
      </c>
      <c r="O96" s="1260">
        <f t="shared" si="66"/>
        <v>0</v>
      </c>
      <c r="P96" s="1261">
        <f>IF(NOW()&gt;=DATE(YEAR(P$1),MONTH(P$1)+1,DAY(P$1)),SUMIFS(AC_SOTIEN,AC_THANG,P$1,AC_KM,$E96),SUMIFS(TF_SOTIEN,TF_THANG,P$1,TF_KM,$E96))/ 1000</f>
        <v>0</v>
      </c>
      <c r="Q96" s="1261">
        <f>IF(NOW()&gt;=DATE(YEAR(Q$1),MONTH(Q$1)+1,DAY(Q$1)),SUMIFS(AC_SOTIEN,AC_THANG,Q$1,AC_KM,$E96),SUMIFS(TF_SOTIEN,TF_THANG,Q$1,TF_KM,$E96))/ 1000</f>
        <v>361.75</v>
      </c>
      <c r="R96" s="1261">
        <f>IF(NOW()&gt;=DATE(YEAR(R$1),MONTH(R$1)+1,DAY(R$1)),SUMIFS(AC_SOTIEN,AC_THANG,R$1,AC_KM,$E96),SUMIFS(TF_SOTIEN,TF_THANG,R$1,TF_KM,$E96))/ 1000</f>
        <v>1000</v>
      </c>
      <c r="S96" s="1261">
        <f>IF(NOW()&gt;=DATE(YEAR(S$1),MONTH(S$1)+1,DAY(S$1)),SUMIFS(AC_SOTIEN,AC_THANG,S$1,AC_KM,$E96),SUMIFS(TF_SOTIEN,TF_THANG,S$1,TF_KM,$E96))/ 1000</f>
        <v>966</v>
      </c>
      <c r="T96" s="1261">
        <f>IF(NOW()&gt;=DATE(YEAR(T$1),MONTH(T$1)+1,DAY(T$1)),SUMIFS(AC_SOTIEN,AC_THANG,T$1,AC_KM,$E96),SUMIFS(TF_SOTIEN,TF_THANG,T$1,TF_KM,$E96))/ 1000</f>
        <v>0</v>
      </c>
      <c r="U96" s="1261">
        <f>IF(NOW()&gt;=DATE(YEAR(U$1),MONTH(U$1)+1,DAY(U$1)),SUMIFS(AC_SOTIEN,AC_THANG,U$1,AC_KM,$E96),SUMIFS(TF_SOTIEN,TF_THANG,U$1,TF_KM,$E96))/ 1000</f>
        <v>0</v>
      </c>
      <c r="V96" s="1261">
        <f>IF(NOW()&gt;=DATE(YEAR(V$1),MONTH(V$1)+1,DAY(V$1)),SUMIFS(AC_SOTIEN,AC_THANG,V$1,AC_KM,$E96),SUMIFS(TF_SOTIEN,TF_THANG,V$1,TF_KM,$E96))/ 1000</f>
        <v>0</v>
      </c>
      <c r="W96" s="1261">
        <f>IF(NOW()&gt;=DATE(YEAR(W$1),MONTH(W$1)+1,DAY(W$1)),SUMIFS(AC_SOTIEN,AC_THANG,W$1,AC_KM,$E96),SUMIFS(TF_SOTIEN,TF_THANG,W$1,TF_KM,$E96))/ 1000</f>
        <v>0</v>
      </c>
      <c r="X96" s="1261">
        <f>IF(NOW()&gt;=DATE(YEAR(X$1),MONTH(X$1)+1,DAY(X$1)),SUMIFS(AC_SOTIEN,AC_THANG,X$1,AC_KM,$E96),SUMIFS(TF_SOTIEN,TF_THANG,X$1,TF_KM,$E96))/ 1000</f>
        <v>0</v>
      </c>
      <c r="Y96" s="1261">
        <f>IF(NOW()&gt;=DATE(YEAR(Y$1),MONTH(Y$1)+1,DAY(Y$1)),SUMIFS(AC_SOTIEN,AC_THANG,Y$1,AC_KM,$E96),SUMIFS(TF_SOTIEN,TF_THANG,Y$1,TF_KM,$E96))/ 1000</f>
        <v>0</v>
      </c>
      <c r="Z96" s="1261">
        <f>IF(NOW()&gt;=DATE(YEAR(Z$1),MONTH(Z$1)+1,DAY(Z$1)),SUMIFS(AC_SOTIEN,AC_THANG,Z$1,AC_KM,$E96),SUMIFS(TF_SOTIEN,TF_THANG,Z$1,TF_KM,$E96))/ 1000</f>
        <v>0</v>
      </c>
      <c r="AA96" s="1261">
        <f>IF(NOW()&gt;=DATE(YEAR(AA$1),MONTH(AA$1)+1,DAY(AA$1)),SUMIFS(AC_SOTIEN,AC_THANG,AA$1,AC_KM,$E96),SUMIFS(TF_SOTIEN,TF_THANG,AA$1,TF_KM,$E96))/ 1000</f>
        <v>0</v>
      </c>
    </row>
    <row r="97" outlineLevel="1">
      <c r="A97" s="1254"/>
      <c r="B97" s="1254"/>
      <c r="C97" s="1254"/>
      <c r="D97" s="1274" t="s">
        <v>2857</v>
      </c>
      <c r="E97" s="1276" t="s">
        <v>573</v>
      </c>
      <c r="F97" s="1254"/>
      <c r="G97" s="1257">
        <v>3.0</v>
      </c>
      <c r="H97" s="1258">
        <f t="shared" si="69"/>
        <v>0</v>
      </c>
      <c r="I97" s="1220">
        <f t="shared" si="35"/>
        <v>0</v>
      </c>
      <c r="J97" s="1259">
        <f t="shared" si="61"/>
        <v>1053.999</v>
      </c>
      <c r="K97" s="1259">
        <f t="shared" si="62"/>
        <v>0</v>
      </c>
      <c r="L97" s="1260">
        <f t="shared" si="63"/>
        <v>153.999</v>
      </c>
      <c r="M97" s="1260">
        <f t="shared" si="64"/>
        <v>900</v>
      </c>
      <c r="N97" s="1260">
        <f t="shared" si="65"/>
        <v>0</v>
      </c>
      <c r="O97" s="1260">
        <f t="shared" si="66"/>
        <v>0</v>
      </c>
      <c r="P97" s="1261">
        <f>IF(NOW()&gt;=DATE(YEAR(P$1),MONTH(P$1)+1,DAY(P$1)),SUMIFS(AC_SOTIEN,AC_THANG,P$1,AC_KM,$E97),SUMIFS(TF_SOTIEN,TF_THANG,P$1,TF_KM,$E97))/ 1000</f>
        <v>0</v>
      </c>
      <c r="Q97" s="1261">
        <f>IF(NOW()&gt;=DATE(YEAR(Q$1),MONTH(Q$1)+1,DAY(Q$1)),SUMIFS(AC_SOTIEN,AC_THANG,Q$1,AC_KM,$E97),SUMIFS(TF_SOTIEN,TF_THANG,Q$1,TF_KM,$E97))/ 1000</f>
        <v>0</v>
      </c>
      <c r="R97" s="1261">
        <f>IF(NOW()&gt;=DATE(YEAR(R$1),MONTH(R$1)+1,DAY(R$1)),SUMIFS(AC_SOTIEN,AC_THANG,R$1,AC_KM,$E97),SUMIFS(TF_SOTIEN,TF_THANG,R$1,TF_KM,$E97))/ 1000</f>
        <v>153.999</v>
      </c>
      <c r="S97" s="1261">
        <f>IF(NOW()&gt;=DATE(YEAR(S$1),MONTH(S$1)+1,DAY(S$1)),SUMIFS(AC_SOTIEN,AC_THANG,S$1,AC_KM,$E97),SUMIFS(TF_SOTIEN,TF_THANG,S$1,TF_KM,$E97))/ 1000</f>
        <v>900</v>
      </c>
      <c r="T97" s="1261">
        <f>IF(NOW()&gt;=DATE(YEAR(T$1),MONTH(T$1)+1,DAY(T$1)),SUMIFS(AC_SOTIEN,AC_THANG,T$1,AC_KM,$E97),SUMIFS(TF_SOTIEN,TF_THANG,T$1,TF_KM,$E97))/ 1000</f>
        <v>0</v>
      </c>
      <c r="U97" s="1261">
        <f>IF(NOW()&gt;=DATE(YEAR(U$1),MONTH(U$1)+1,DAY(U$1)),SUMIFS(AC_SOTIEN,AC_THANG,U$1,AC_KM,$E97),SUMIFS(TF_SOTIEN,TF_THANG,U$1,TF_KM,$E97))/ 1000</f>
        <v>0</v>
      </c>
      <c r="V97" s="1261">
        <f>IF(NOW()&gt;=DATE(YEAR(V$1),MONTH(V$1)+1,DAY(V$1)),SUMIFS(AC_SOTIEN,AC_THANG,V$1,AC_KM,$E97),SUMIFS(TF_SOTIEN,TF_THANG,V$1,TF_KM,$E97))/ 1000</f>
        <v>0</v>
      </c>
      <c r="W97" s="1261">
        <f>IF(NOW()&gt;=DATE(YEAR(W$1),MONTH(W$1)+1,DAY(W$1)),SUMIFS(AC_SOTIEN,AC_THANG,W$1,AC_KM,$E97),SUMIFS(TF_SOTIEN,TF_THANG,W$1,TF_KM,$E97))/ 1000</f>
        <v>0</v>
      </c>
      <c r="X97" s="1261">
        <f>IF(NOW()&gt;=DATE(YEAR(X$1),MONTH(X$1)+1,DAY(X$1)),SUMIFS(AC_SOTIEN,AC_THANG,X$1,AC_KM,$E97),SUMIFS(TF_SOTIEN,TF_THANG,X$1,TF_KM,$E97))/ 1000</f>
        <v>0</v>
      </c>
      <c r="Y97" s="1261">
        <f>IF(NOW()&gt;=DATE(YEAR(Y$1),MONTH(Y$1)+1,DAY(Y$1)),SUMIFS(AC_SOTIEN,AC_THANG,Y$1,AC_KM,$E97),SUMIFS(TF_SOTIEN,TF_THANG,Y$1,TF_KM,$E97))/ 1000</f>
        <v>0</v>
      </c>
      <c r="Z97" s="1261">
        <f>IF(NOW()&gt;=DATE(YEAR(Z$1),MONTH(Z$1)+1,DAY(Z$1)),SUMIFS(AC_SOTIEN,AC_THANG,Z$1,AC_KM,$E97),SUMIFS(TF_SOTIEN,TF_THANG,Z$1,TF_KM,$E97))/ 1000</f>
        <v>0</v>
      </c>
      <c r="AA97" s="1261">
        <f>IF(NOW()&gt;=DATE(YEAR(AA$1),MONTH(AA$1)+1,DAY(AA$1)),SUMIFS(AC_SOTIEN,AC_THANG,AA$1,AC_KM,$E97),SUMIFS(TF_SOTIEN,TF_THANG,AA$1,TF_KM,$E97))/ 1000</f>
        <v>0</v>
      </c>
    </row>
    <row r="98" outlineLevel="1">
      <c r="A98" s="1254"/>
      <c r="B98" s="1254"/>
      <c r="C98" s="1254"/>
      <c r="D98" s="1254" t="s">
        <v>2858</v>
      </c>
      <c r="E98" s="1256" t="s">
        <v>2220</v>
      </c>
      <c r="F98" s="1254"/>
      <c r="G98" s="1257">
        <v>3.0</v>
      </c>
      <c r="H98" s="1258">
        <f t="shared" si="69"/>
        <v>0</v>
      </c>
      <c r="I98" s="1220">
        <f t="shared" si="35"/>
        <v>0</v>
      </c>
      <c r="J98" s="1259">
        <f t="shared" si="61"/>
        <v>0</v>
      </c>
      <c r="K98" s="1259">
        <f t="shared" si="62"/>
        <v>0</v>
      </c>
      <c r="L98" s="1260">
        <f t="shared" si="63"/>
        <v>0</v>
      </c>
      <c r="M98" s="1260">
        <f t="shared" si="64"/>
        <v>0</v>
      </c>
      <c r="N98" s="1260">
        <f t="shared" si="65"/>
        <v>0</v>
      </c>
      <c r="O98" s="1260">
        <f t="shared" si="66"/>
        <v>0</v>
      </c>
      <c r="P98" s="1261">
        <f>IF(NOW()&gt;=DATE(YEAR(P$1),MONTH(P$1)+1,DAY(P$1)),SUMIFS(AC_SOTIEN,AC_THANG,P$1,AC_KM,$E98),SUMIFS(TF_SOTIEN,TF_THANG,P$1,TF_KM,$E98))/ 1000</f>
        <v>0</v>
      </c>
      <c r="Q98" s="1261">
        <f>IF(NOW()&gt;=DATE(YEAR(Q$1),MONTH(Q$1)+1,DAY(Q$1)),SUMIFS(AC_SOTIEN,AC_THANG,Q$1,AC_KM,$E98),SUMIFS(TF_SOTIEN,TF_THANG,Q$1,TF_KM,$E98))/ 1000</f>
        <v>0</v>
      </c>
      <c r="R98" s="1261">
        <f>IF(NOW()&gt;=DATE(YEAR(R$1),MONTH(R$1)+1,DAY(R$1)),SUMIFS(AC_SOTIEN,AC_THANG,R$1,AC_KM,$E98),SUMIFS(TF_SOTIEN,TF_THANG,R$1,TF_KM,$E98))/ 1000</f>
        <v>0</v>
      </c>
      <c r="S98" s="1261">
        <f>IF(NOW()&gt;=DATE(YEAR(S$1),MONTH(S$1)+1,DAY(S$1)),SUMIFS(AC_SOTIEN,AC_THANG,S$1,AC_KM,$E98),SUMIFS(TF_SOTIEN,TF_THANG,S$1,TF_KM,$E98))/ 1000</f>
        <v>0</v>
      </c>
      <c r="T98" s="1261">
        <f>IF(NOW()&gt;=DATE(YEAR(T$1),MONTH(T$1)+1,DAY(T$1)),SUMIFS(AC_SOTIEN,AC_THANG,T$1,AC_KM,$E98),SUMIFS(TF_SOTIEN,TF_THANG,T$1,TF_KM,$E98))/ 1000</f>
        <v>0</v>
      </c>
      <c r="U98" s="1261">
        <f>IF(NOW()&gt;=DATE(YEAR(U$1),MONTH(U$1)+1,DAY(U$1)),SUMIFS(AC_SOTIEN,AC_THANG,U$1,AC_KM,$E98),SUMIFS(TF_SOTIEN,TF_THANG,U$1,TF_KM,$E98))/ 1000</f>
        <v>0</v>
      </c>
      <c r="V98" s="1261">
        <f>IF(NOW()&gt;=DATE(YEAR(V$1),MONTH(V$1)+1,DAY(V$1)),SUMIFS(AC_SOTIEN,AC_THANG,V$1,AC_KM,$E98),SUMIFS(TF_SOTIEN,TF_THANG,V$1,TF_KM,$E98))/ 1000</f>
        <v>0</v>
      </c>
      <c r="W98" s="1261">
        <f>IF(NOW()&gt;=DATE(YEAR(W$1),MONTH(W$1)+1,DAY(W$1)),SUMIFS(AC_SOTIEN,AC_THANG,W$1,AC_KM,$E98),SUMIFS(TF_SOTIEN,TF_THANG,W$1,TF_KM,$E98))/ 1000</f>
        <v>0</v>
      </c>
      <c r="X98" s="1261">
        <f>IF(NOW()&gt;=DATE(YEAR(X$1),MONTH(X$1)+1,DAY(X$1)),SUMIFS(AC_SOTIEN,AC_THANG,X$1,AC_KM,$E98),SUMIFS(TF_SOTIEN,TF_THANG,X$1,TF_KM,$E98))/ 1000</f>
        <v>0</v>
      </c>
      <c r="Y98" s="1261">
        <f>IF(NOW()&gt;=DATE(YEAR(Y$1),MONTH(Y$1)+1,DAY(Y$1)),SUMIFS(AC_SOTIEN,AC_THANG,Y$1,AC_KM,$E98),SUMIFS(TF_SOTIEN,TF_THANG,Y$1,TF_KM,$E98))/ 1000</f>
        <v>0</v>
      </c>
      <c r="Z98" s="1261">
        <f>IF(NOW()&gt;=DATE(YEAR(Z$1),MONTH(Z$1)+1,DAY(Z$1)),SUMIFS(AC_SOTIEN,AC_THANG,Z$1,AC_KM,$E98),SUMIFS(TF_SOTIEN,TF_THANG,Z$1,TF_KM,$E98))/ 1000</f>
        <v>0</v>
      </c>
      <c r="AA98" s="1261">
        <f>IF(NOW()&gt;=DATE(YEAR(AA$1),MONTH(AA$1)+1,DAY(AA$1)),SUMIFS(AC_SOTIEN,AC_THANG,AA$1,AC_KM,$E98),SUMIFS(TF_SOTIEN,TF_THANG,AA$1,TF_KM,$E98))/ 1000</f>
        <v>0</v>
      </c>
    </row>
    <row r="99" outlineLevel="1">
      <c r="A99" s="1254"/>
      <c r="B99" s="1254"/>
      <c r="C99" s="1254"/>
      <c r="D99" s="1254" t="s">
        <v>2859</v>
      </c>
      <c r="E99" s="1256" t="s">
        <v>2236</v>
      </c>
      <c r="F99" s="1254"/>
      <c r="G99" s="1257">
        <v>3.0</v>
      </c>
      <c r="H99" s="1258">
        <f t="shared" si="69"/>
        <v>0</v>
      </c>
      <c r="I99" s="1220">
        <f t="shared" si="35"/>
        <v>0</v>
      </c>
      <c r="J99" s="1259">
        <f t="shared" si="61"/>
        <v>0</v>
      </c>
      <c r="K99" s="1259">
        <f t="shared" si="62"/>
        <v>0</v>
      </c>
      <c r="L99" s="1260">
        <f t="shared" si="63"/>
        <v>0</v>
      </c>
      <c r="M99" s="1260">
        <f t="shared" si="64"/>
        <v>0</v>
      </c>
      <c r="N99" s="1260">
        <f t="shared" si="65"/>
        <v>0</v>
      </c>
      <c r="O99" s="1260">
        <f t="shared" si="66"/>
        <v>0</v>
      </c>
      <c r="P99" s="1261">
        <f>IF(NOW()&gt;=DATE(YEAR(P$1),MONTH(P$1)+1,DAY(P$1)),SUMIFS(AC_SOTIEN,AC_THANG,P$1,AC_KM,$E99),SUMIFS(TF_SOTIEN,TF_THANG,P$1,TF_KM,$E99))/ 1000</f>
        <v>0</v>
      </c>
      <c r="Q99" s="1261">
        <f>IF(NOW()&gt;=DATE(YEAR(Q$1),MONTH(Q$1)+1,DAY(Q$1)),SUMIFS(AC_SOTIEN,AC_THANG,Q$1,AC_KM,$E99),SUMIFS(TF_SOTIEN,TF_THANG,Q$1,TF_KM,$E99))/ 1000</f>
        <v>0</v>
      </c>
      <c r="R99" s="1261">
        <f>IF(NOW()&gt;=DATE(YEAR(R$1),MONTH(R$1)+1,DAY(R$1)),SUMIFS(AC_SOTIEN,AC_THANG,R$1,AC_KM,$E99),SUMIFS(TF_SOTIEN,TF_THANG,R$1,TF_KM,$E99))/ 1000</f>
        <v>0</v>
      </c>
      <c r="S99" s="1261">
        <f>IF(NOW()&gt;=DATE(YEAR(S$1),MONTH(S$1)+1,DAY(S$1)),SUMIFS(AC_SOTIEN,AC_THANG,S$1,AC_KM,$E99),SUMIFS(TF_SOTIEN,TF_THANG,S$1,TF_KM,$E99))/ 1000</f>
        <v>0</v>
      </c>
      <c r="T99" s="1261">
        <f>IF(NOW()&gt;=DATE(YEAR(T$1),MONTH(T$1)+1,DAY(T$1)),SUMIFS(AC_SOTIEN,AC_THANG,T$1,AC_KM,$E99),SUMIFS(TF_SOTIEN,TF_THANG,T$1,TF_KM,$E99))/ 1000</f>
        <v>0</v>
      </c>
      <c r="U99" s="1261">
        <f>IF(NOW()&gt;=DATE(YEAR(U$1),MONTH(U$1)+1,DAY(U$1)),SUMIFS(AC_SOTIEN,AC_THANG,U$1,AC_KM,$E99),SUMIFS(TF_SOTIEN,TF_THANG,U$1,TF_KM,$E99))/ 1000</f>
        <v>0</v>
      </c>
      <c r="V99" s="1261">
        <f>IF(NOW()&gt;=DATE(YEAR(V$1),MONTH(V$1)+1,DAY(V$1)),SUMIFS(AC_SOTIEN,AC_THANG,V$1,AC_KM,$E99),SUMIFS(TF_SOTIEN,TF_THANG,V$1,TF_KM,$E99))/ 1000</f>
        <v>0</v>
      </c>
      <c r="W99" s="1261">
        <f>IF(NOW()&gt;=DATE(YEAR(W$1),MONTH(W$1)+1,DAY(W$1)),SUMIFS(AC_SOTIEN,AC_THANG,W$1,AC_KM,$E99),SUMIFS(TF_SOTIEN,TF_THANG,W$1,TF_KM,$E99))/ 1000</f>
        <v>0</v>
      </c>
      <c r="X99" s="1261">
        <f>IF(NOW()&gt;=DATE(YEAR(X$1),MONTH(X$1)+1,DAY(X$1)),SUMIFS(AC_SOTIEN,AC_THANG,X$1,AC_KM,$E99),SUMIFS(TF_SOTIEN,TF_THANG,X$1,TF_KM,$E99))/ 1000</f>
        <v>0</v>
      </c>
      <c r="Y99" s="1261">
        <f>IF(NOW()&gt;=DATE(YEAR(Y$1),MONTH(Y$1)+1,DAY(Y$1)),SUMIFS(AC_SOTIEN,AC_THANG,Y$1,AC_KM,$E99),SUMIFS(TF_SOTIEN,TF_THANG,Y$1,TF_KM,$E99))/ 1000</f>
        <v>0</v>
      </c>
      <c r="Z99" s="1261">
        <f>IF(NOW()&gt;=DATE(YEAR(Z$1),MONTH(Z$1)+1,DAY(Z$1)),SUMIFS(AC_SOTIEN,AC_THANG,Z$1,AC_KM,$E99),SUMIFS(TF_SOTIEN,TF_THANG,Z$1,TF_KM,$E99))/ 1000</f>
        <v>0</v>
      </c>
      <c r="AA99" s="1261">
        <f>IF(NOW()&gt;=DATE(YEAR(AA$1),MONTH(AA$1)+1,DAY(AA$1)),SUMIFS(AC_SOTIEN,AC_THANG,AA$1,AC_KM,$E99),SUMIFS(TF_SOTIEN,TF_THANG,AA$1,TF_KM,$E99))/ 1000</f>
        <v>0</v>
      </c>
    </row>
    <row r="100" outlineLevel="1">
      <c r="A100" s="1254"/>
      <c r="B100" s="1254"/>
      <c r="C100" s="1254"/>
      <c r="D100" s="1254" t="s">
        <v>2860</v>
      </c>
      <c r="E100" s="1256" t="s">
        <v>413</v>
      </c>
      <c r="F100" s="1254"/>
      <c r="G100" s="1257">
        <v>3.0</v>
      </c>
      <c r="H100" s="1258">
        <f t="shared" si="69"/>
        <v>0</v>
      </c>
      <c r="I100" s="1220">
        <f t="shared" si="35"/>
        <v>0</v>
      </c>
      <c r="J100" s="1259">
        <f t="shared" si="61"/>
        <v>5380.001</v>
      </c>
      <c r="K100" s="1259">
        <f t="shared" si="62"/>
        <v>0</v>
      </c>
      <c r="L100" s="1260">
        <f t="shared" si="63"/>
        <v>2330.001</v>
      </c>
      <c r="M100" s="1260">
        <f t="shared" si="64"/>
        <v>3050</v>
      </c>
      <c r="N100" s="1260">
        <f t="shared" si="65"/>
        <v>0</v>
      </c>
      <c r="O100" s="1260">
        <f t="shared" si="66"/>
        <v>0</v>
      </c>
      <c r="P100" s="1261">
        <f>IF(NOW()&gt;=DATE(YEAR(P$1),MONTH(P$1)+1,DAY(P$1)),SUMIFS(AC_SOTIEN,AC_THANG,P$1,AC_KM,$E100),SUMIFS(TF_SOTIEN,TF_THANG,P$1,TF_KM,$E100))/ 1000</f>
        <v>0</v>
      </c>
      <c r="Q100" s="1261">
        <f>IF(NOW()&gt;=DATE(YEAR(Q$1),MONTH(Q$1)+1,DAY(Q$1)),SUMIFS(AC_SOTIEN,AC_THANG,Q$1,AC_KM,$E100),SUMIFS(TF_SOTIEN,TF_THANG,Q$1,TF_KM,$E100))/ 1000</f>
        <v>1830</v>
      </c>
      <c r="R100" s="1261">
        <f>IF(NOW()&gt;=DATE(YEAR(R$1),MONTH(R$1)+1,DAY(R$1)),SUMIFS(AC_SOTIEN,AC_THANG,R$1,AC_KM,$E100),SUMIFS(TF_SOTIEN,TF_THANG,R$1,TF_KM,$E100))/ 1000</f>
        <v>500.001</v>
      </c>
      <c r="S100" s="1261">
        <f>IF(NOW()&gt;=DATE(YEAR(S$1),MONTH(S$1)+1,DAY(S$1)),SUMIFS(AC_SOTIEN,AC_THANG,S$1,AC_KM,$E100),SUMIFS(TF_SOTIEN,TF_THANG,S$1,TF_KM,$E100))/ 1000</f>
        <v>0</v>
      </c>
      <c r="T100" s="1261">
        <f>IF(NOW()&gt;=DATE(YEAR(T$1),MONTH(T$1)+1,DAY(T$1)),SUMIFS(AC_SOTIEN,AC_THANG,T$1,AC_KM,$E100),SUMIFS(TF_SOTIEN,TF_THANG,T$1,TF_KM,$E100))/ 1000</f>
        <v>3050</v>
      </c>
      <c r="U100" s="1261">
        <f>IF(NOW()&gt;=DATE(YEAR(U$1),MONTH(U$1)+1,DAY(U$1)),SUMIFS(AC_SOTIEN,AC_THANG,U$1,AC_KM,$E100),SUMIFS(TF_SOTIEN,TF_THANG,U$1,TF_KM,$E100))/ 1000</f>
        <v>0</v>
      </c>
      <c r="V100" s="1261">
        <f>IF(NOW()&gt;=DATE(YEAR(V$1),MONTH(V$1)+1,DAY(V$1)),SUMIFS(AC_SOTIEN,AC_THANG,V$1,AC_KM,$E100),SUMIFS(TF_SOTIEN,TF_THANG,V$1,TF_KM,$E100))/ 1000</f>
        <v>0</v>
      </c>
      <c r="W100" s="1261">
        <f>IF(NOW()&gt;=DATE(YEAR(W$1),MONTH(W$1)+1,DAY(W$1)),SUMIFS(AC_SOTIEN,AC_THANG,W$1,AC_KM,$E100),SUMIFS(TF_SOTIEN,TF_THANG,W$1,TF_KM,$E100))/ 1000</f>
        <v>0</v>
      </c>
      <c r="X100" s="1261">
        <f>IF(NOW()&gt;=DATE(YEAR(X$1),MONTH(X$1)+1,DAY(X$1)),SUMIFS(AC_SOTIEN,AC_THANG,X$1,AC_KM,$E100),SUMIFS(TF_SOTIEN,TF_THANG,X$1,TF_KM,$E100))/ 1000</f>
        <v>0</v>
      </c>
      <c r="Y100" s="1261">
        <f>IF(NOW()&gt;=DATE(YEAR(Y$1),MONTH(Y$1)+1,DAY(Y$1)),SUMIFS(AC_SOTIEN,AC_THANG,Y$1,AC_KM,$E100),SUMIFS(TF_SOTIEN,TF_THANG,Y$1,TF_KM,$E100))/ 1000</f>
        <v>0</v>
      </c>
      <c r="Z100" s="1261">
        <f>IF(NOW()&gt;=DATE(YEAR(Z$1),MONTH(Z$1)+1,DAY(Z$1)),SUMIFS(AC_SOTIEN,AC_THANG,Z$1,AC_KM,$E100),SUMIFS(TF_SOTIEN,TF_THANG,Z$1,TF_KM,$E100))/ 1000</f>
        <v>0</v>
      </c>
      <c r="AA100" s="1261">
        <f>IF(NOW()&gt;=DATE(YEAR(AA$1),MONTH(AA$1)+1,DAY(AA$1)),SUMIFS(AC_SOTIEN,AC_THANG,AA$1,AC_KM,$E100),SUMIFS(TF_SOTIEN,TF_THANG,AA$1,TF_KM,$E100))/ 1000</f>
        <v>0</v>
      </c>
    </row>
    <row r="101" outlineLevel="1">
      <c r="A101" s="1254"/>
      <c r="B101" s="1254"/>
      <c r="C101" s="1254"/>
      <c r="D101" s="1254" t="s">
        <v>2861</v>
      </c>
      <c r="E101" s="1256" t="s">
        <v>262</v>
      </c>
      <c r="F101" s="1254"/>
      <c r="G101" s="1257">
        <v>3.0</v>
      </c>
      <c r="H101" s="1258">
        <f t="shared" si="69"/>
        <v>1100.001</v>
      </c>
      <c r="I101" s="1220">
        <f t="shared" si="35"/>
        <v>0.0002531873963</v>
      </c>
      <c r="J101" s="1259">
        <f t="shared" si="61"/>
        <v>8777.738</v>
      </c>
      <c r="K101" s="1259">
        <f t="shared" si="62"/>
        <v>0</v>
      </c>
      <c r="L101" s="1260">
        <f t="shared" si="63"/>
        <v>3509.928</v>
      </c>
      <c r="M101" s="1260">
        <f t="shared" si="64"/>
        <v>5267.81</v>
      </c>
      <c r="N101" s="1260">
        <f t="shared" si="65"/>
        <v>0</v>
      </c>
      <c r="O101" s="1260">
        <f t="shared" si="66"/>
        <v>0</v>
      </c>
      <c r="P101" s="1261">
        <f>IF(NOW()&gt;=DATE(YEAR(P$1),MONTH(P$1)+1,DAY(P$1)),SUMIFS(AC_SOTIEN,AC_THANG,P$1,AC_KM,$E101),SUMIFS(TF_SOTIEN,TF_THANG,P$1,TF_KM,$E101))/ 1000</f>
        <v>1100.001</v>
      </c>
      <c r="Q101" s="1261">
        <f>IF(NOW()&gt;=DATE(YEAR(Q$1),MONTH(Q$1)+1,DAY(Q$1)),SUMIFS(AC_SOTIEN,AC_THANG,Q$1,AC_KM,$E101),SUMIFS(TF_SOTIEN,TF_THANG,Q$1,TF_KM,$E101))/ 1000</f>
        <v>1080</v>
      </c>
      <c r="R101" s="1261">
        <f>IF(NOW()&gt;=DATE(YEAR(R$1),MONTH(R$1)+1,DAY(R$1)),SUMIFS(AC_SOTIEN,AC_THANG,R$1,AC_KM,$E101),SUMIFS(TF_SOTIEN,TF_THANG,R$1,TF_KM,$E101))/ 1000</f>
        <v>1329.927</v>
      </c>
      <c r="S101" s="1261">
        <f>IF(NOW()&gt;=DATE(YEAR(S$1),MONTH(S$1)+1,DAY(S$1)),SUMIFS(AC_SOTIEN,AC_THANG,S$1,AC_KM,$E101),SUMIFS(TF_SOTIEN,TF_THANG,S$1,TF_KM,$E101))/ 1000</f>
        <v>3295.999</v>
      </c>
      <c r="T101" s="1261">
        <f>IF(NOW()&gt;=DATE(YEAR(T$1),MONTH(T$1)+1,DAY(T$1)),SUMIFS(AC_SOTIEN,AC_THANG,T$1,AC_KM,$E101),SUMIFS(TF_SOTIEN,TF_THANG,T$1,TF_KM,$E101))/ 1000</f>
        <v>1971.811</v>
      </c>
      <c r="U101" s="1261">
        <f>IF(NOW()&gt;=DATE(YEAR(U$1),MONTH(U$1)+1,DAY(U$1)),SUMIFS(AC_SOTIEN,AC_THANG,U$1,AC_KM,$E101),SUMIFS(TF_SOTIEN,TF_THANG,U$1,TF_KM,$E101))/ 1000</f>
        <v>0</v>
      </c>
      <c r="V101" s="1261">
        <f>IF(NOW()&gt;=DATE(YEAR(V$1),MONTH(V$1)+1,DAY(V$1)),SUMIFS(AC_SOTIEN,AC_THANG,V$1,AC_KM,$E101),SUMIFS(TF_SOTIEN,TF_THANG,V$1,TF_KM,$E101))/ 1000</f>
        <v>0</v>
      </c>
      <c r="W101" s="1261">
        <f>IF(NOW()&gt;=DATE(YEAR(W$1),MONTH(W$1)+1,DAY(W$1)),SUMIFS(AC_SOTIEN,AC_THANG,W$1,AC_KM,$E101),SUMIFS(TF_SOTIEN,TF_THANG,W$1,TF_KM,$E101))/ 1000</f>
        <v>0</v>
      </c>
      <c r="X101" s="1261">
        <f>IF(NOW()&gt;=DATE(YEAR(X$1),MONTH(X$1)+1,DAY(X$1)),SUMIFS(AC_SOTIEN,AC_THANG,X$1,AC_KM,$E101),SUMIFS(TF_SOTIEN,TF_THANG,X$1,TF_KM,$E101))/ 1000</f>
        <v>0</v>
      </c>
      <c r="Y101" s="1261">
        <f>IF(NOW()&gt;=DATE(YEAR(Y$1),MONTH(Y$1)+1,DAY(Y$1)),SUMIFS(AC_SOTIEN,AC_THANG,Y$1,AC_KM,$E101),SUMIFS(TF_SOTIEN,TF_THANG,Y$1,TF_KM,$E101))/ 1000</f>
        <v>0</v>
      </c>
      <c r="Z101" s="1261">
        <f>IF(NOW()&gt;=DATE(YEAR(Z$1),MONTH(Z$1)+1,DAY(Z$1)),SUMIFS(AC_SOTIEN,AC_THANG,Z$1,AC_KM,$E101),SUMIFS(TF_SOTIEN,TF_THANG,Z$1,TF_KM,$E101))/ 1000</f>
        <v>0</v>
      </c>
      <c r="AA101" s="1261">
        <f>IF(NOW()&gt;=DATE(YEAR(AA$1),MONTH(AA$1)+1,DAY(AA$1)),SUMIFS(AC_SOTIEN,AC_THANG,AA$1,AC_KM,$E101),SUMIFS(TF_SOTIEN,TF_THANG,AA$1,TF_KM,$E101))/ 1000</f>
        <v>0</v>
      </c>
    </row>
    <row r="102" outlineLevel="1">
      <c r="A102" s="1254"/>
      <c r="B102" s="1254"/>
      <c r="C102" s="1254"/>
      <c r="D102" s="1254" t="s">
        <v>2862</v>
      </c>
      <c r="E102" s="1275" t="s">
        <v>2223</v>
      </c>
      <c r="F102" s="1254"/>
      <c r="G102" s="1257">
        <v>3.0</v>
      </c>
      <c r="H102" s="1258">
        <f t="shared" si="69"/>
        <v>0</v>
      </c>
      <c r="I102" s="1220">
        <f t="shared" si="35"/>
        <v>0</v>
      </c>
      <c r="J102" s="1259">
        <f t="shared" si="61"/>
        <v>0</v>
      </c>
      <c r="K102" s="1259">
        <f t="shared" si="62"/>
        <v>0</v>
      </c>
      <c r="L102" s="1260">
        <f t="shared" si="63"/>
        <v>0</v>
      </c>
      <c r="M102" s="1260">
        <f t="shared" si="64"/>
        <v>0</v>
      </c>
      <c r="N102" s="1260">
        <f t="shared" si="65"/>
        <v>0</v>
      </c>
      <c r="O102" s="1260">
        <f t="shared" si="66"/>
        <v>0</v>
      </c>
      <c r="P102" s="1261">
        <f>IF(NOW()&gt;=DATE(YEAR(P$1),MONTH(P$1)+1,DAY(P$1)),SUMIFS(AC_SOTIEN,AC_THANG,P$1,AC_KM,$E102),SUMIFS(TF_SOTIEN,TF_THANG,P$1,TF_KM,$E102))/ 1000</f>
        <v>0</v>
      </c>
      <c r="Q102" s="1261">
        <f>IF(NOW()&gt;=DATE(YEAR(Q$1),MONTH(Q$1)+1,DAY(Q$1)),SUMIFS(AC_SOTIEN,AC_THANG,Q$1,AC_KM,$E102),SUMIFS(TF_SOTIEN,TF_THANG,Q$1,TF_KM,$E102))/ 1000</f>
        <v>0</v>
      </c>
      <c r="R102" s="1261">
        <f>IF(NOW()&gt;=DATE(YEAR(R$1),MONTH(R$1)+1,DAY(R$1)),SUMIFS(AC_SOTIEN,AC_THANG,R$1,AC_KM,$E102),SUMIFS(TF_SOTIEN,TF_THANG,R$1,TF_KM,$E102))/ 1000</f>
        <v>0</v>
      </c>
      <c r="S102" s="1261">
        <f>IF(NOW()&gt;=DATE(YEAR(S$1),MONTH(S$1)+1,DAY(S$1)),SUMIFS(AC_SOTIEN,AC_THANG,S$1,AC_KM,$E102),SUMIFS(TF_SOTIEN,TF_THANG,S$1,TF_KM,$E102))/ 1000</f>
        <v>0</v>
      </c>
      <c r="T102" s="1261">
        <f>IF(NOW()&gt;=DATE(YEAR(T$1),MONTH(T$1)+1,DAY(T$1)),SUMIFS(AC_SOTIEN,AC_THANG,T$1,AC_KM,$E102),SUMIFS(TF_SOTIEN,TF_THANG,T$1,TF_KM,$E102))/ 1000</f>
        <v>0</v>
      </c>
      <c r="U102" s="1261">
        <f>IF(NOW()&gt;=DATE(YEAR(U$1),MONTH(U$1)+1,DAY(U$1)),SUMIFS(AC_SOTIEN,AC_THANG,U$1,AC_KM,$E102),SUMIFS(TF_SOTIEN,TF_THANG,U$1,TF_KM,$E102))/ 1000</f>
        <v>0</v>
      </c>
      <c r="V102" s="1261">
        <f>IF(NOW()&gt;=DATE(YEAR(V$1),MONTH(V$1)+1,DAY(V$1)),SUMIFS(AC_SOTIEN,AC_THANG,V$1,AC_KM,$E102),SUMIFS(TF_SOTIEN,TF_THANG,V$1,TF_KM,$E102))/ 1000</f>
        <v>0</v>
      </c>
      <c r="W102" s="1261">
        <f>IF(NOW()&gt;=DATE(YEAR(W$1),MONTH(W$1)+1,DAY(W$1)),SUMIFS(AC_SOTIEN,AC_THANG,W$1,AC_KM,$E102),SUMIFS(TF_SOTIEN,TF_THANG,W$1,TF_KM,$E102))/ 1000</f>
        <v>0</v>
      </c>
      <c r="X102" s="1261">
        <f>IF(NOW()&gt;=DATE(YEAR(X$1),MONTH(X$1)+1,DAY(X$1)),SUMIFS(AC_SOTIEN,AC_THANG,X$1,AC_KM,$E102),SUMIFS(TF_SOTIEN,TF_THANG,X$1,TF_KM,$E102))/ 1000</f>
        <v>0</v>
      </c>
      <c r="Y102" s="1261">
        <f>IF(NOW()&gt;=DATE(YEAR(Y$1),MONTH(Y$1)+1,DAY(Y$1)),SUMIFS(AC_SOTIEN,AC_THANG,Y$1,AC_KM,$E102),SUMIFS(TF_SOTIEN,TF_THANG,Y$1,TF_KM,$E102))/ 1000</f>
        <v>0</v>
      </c>
      <c r="Z102" s="1261">
        <f>IF(NOW()&gt;=DATE(YEAR(Z$1),MONTH(Z$1)+1,DAY(Z$1)),SUMIFS(AC_SOTIEN,AC_THANG,Z$1,AC_KM,$E102),SUMIFS(TF_SOTIEN,TF_THANG,Z$1,TF_KM,$E102))/ 1000</f>
        <v>0</v>
      </c>
      <c r="AA102" s="1261">
        <f>IF(NOW()&gt;=DATE(YEAR(AA$1),MONTH(AA$1)+1,DAY(AA$1)),SUMIFS(AC_SOTIEN,AC_THANG,AA$1,AC_KM,$E102),SUMIFS(TF_SOTIEN,TF_THANG,AA$1,TF_KM,$E102))/ 1000</f>
        <v>0</v>
      </c>
    </row>
    <row r="103" outlineLevel="1">
      <c r="A103" s="1254"/>
      <c r="B103" s="1254"/>
      <c r="C103" s="1254"/>
      <c r="D103" s="1254" t="s">
        <v>2863</v>
      </c>
      <c r="E103" s="1256" t="s">
        <v>272</v>
      </c>
      <c r="F103" s="1254"/>
      <c r="G103" s="1257">
        <v>3.0</v>
      </c>
      <c r="H103" s="1258">
        <f t="shared" si="69"/>
        <v>5345.848</v>
      </c>
      <c r="I103" s="1220">
        <f t="shared" si="35"/>
        <v>0.001230454641</v>
      </c>
      <c r="J103" s="1259">
        <f t="shared" si="61"/>
        <v>29338.518</v>
      </c>
      <c r="K103" s="1259">
        <f t="shared" si="62"/>
        <v>0</v>
      </c>
      <c r="L103" s="1260">
        <f t="shared" si="63"/>
        <v>13197.203</v>
      </c>
      <c r="M103" s="1260">
        <f t="shared" si="64"/>
        <v>16141.315</v>
      </c>
      <c r="N103" s="1260">
        <f t="shared" si="65"/>
        <v>0</v>
      </c>
      <c r="O103" s="1260">
        <f t="shared" si="66"/>
        <v>0</v>
      </c>
      <c r="P103" s="1261">
        <f>IF(NOW()&gt;=DATE(YEAR(P$1),MONTH(P$1)+1,DAY(P$1)),SUMIFS(AC_SOTIEN,AC_THANG,P$1,AC_KM,$E103),SUMIFS(TF_SOTIEN,TF_THANG,P$1,TF_KM,$E103))/ 1000</f>
        <v>5345.848</v>
      </c>
      <c r="Q103" s="1261">
        <f>IF(NOW()&gt;=DATE(YEAR(Q$1),MONTH(Q$1)+1,DAY(Q$1)),SUMIFS(AC_SOTIEN,AC_THANG,Q$1,AC_KM,$E103),SUMIFS(TF_SOTIEN,TF_THANG,Q$1,TF_KM,$E103))/ 1000</f>
        <v>1828.999</v>
      </c>
      <c r="R103" s="1261">
        <f>IF(NOW()&gt;=DATE(YEAR(R$1),MONTH(R$1)+1,DAY(R$1)),SUMIFS(AC_SOTIEN,AC_THANG,R$1,AC_KM,$E103),SUMIFS(TF_SOTIEN,TF_THANG,R$1,TF_KM,$E103))/ 1000</f>
        <v>6022.356</v>
      </c>
      <c r="S103" s="1261">
        <f>IF(NOW()&gt;=DATE(YEAR(S$1),MONTH(S$1)+1,DAY(S$1)),SUMIFS(AC_SOTIEN,AC_THANG,S$1,AC_KM,$E103),SUMIFS(TF_SOTIEN,TF_THANG,S$1,TF_KM,$E103))/ 1000</f>
        <v>7272.5</v>
      </c>
      <c r="T103" s="1261">
        <f>IF(NOW()&gt;=DATE(YEAR(T$1),MONTH(T$1)+1,DAY(T$1)),SUMIFS(AC_SOTIEN,AC_THANG,T$1,AC_KM,$E103),SUMIFS(TF_SOTIEN,TF_THANG,T$1,TF_KM,$E103))/ 1000</f>
        <v>8868.815</v>
      </c>
      <c r="U103" s="1261">
        <f>IF(NOW()&gt;=DATE(YEAR(U$1),MONTH(U$1)+1,DAY(U$1)),SUMIFS(AC_SOTIEN,AC_THANG,U$1,AC_KM,$E103),SUMIFS(TF_SOTIEN,TF_THANG,U$1,TF_KM,$E103))/ 1000</f>
        <v>0</v>
      </c>
      <c r="V103" s="1261">
        <f>IF(NOW()&gt;=DATE(YEAR(V$1),MONTH(V$1)+1,DAY(V$1)),SUMIFS(AC_SOTIEN,AC_THANG,V$1,AC_KM,$E103),SUMIFS(TF_SOTIEN,TF_THANG,V$1,TF_KM,$E103))/ 1000</f>
        <v>0</v>
      </c>
      <c r="W103" s="1261">
        <f>IF(NOW()&gt;=DATE(YEAR(W$1),MONTH(W$1)+1,DAY(W$1)),SUMIFS(AC_SOTIEN,AC_THANG,W$1,AC_KM,$E103),SUMIFS(TF_SOTIEN,TF_THANG,W$1,TF_KM,$E103))/ 1000</f>
        <v>0</v>
      </c>
      <c r="X103" s="1261">
        <f>IF(NOW()&gt;=DATE(YEAR(X$1),MONTH(X$1)+1,DAY(X$1)),SUMIFS(AC_SOTIEN,AC_THANG,X$1,AC_KM,$E103),SUMIFS(TF_SOTIEN,TF_THANG,X$1,TF_KM,$E103))/ 1000</f>
        <v>0</v>
      </c>
      <c r="Y103" s="1261">
        <f>IF(NOW()&gt;=DATE(YEAR(Y$1),MONTH(Y$1)+1,DAY(Y$1)),SUMIFS(AC_SOTIEN,AC_THANG,Y$1,AC_KM,$E103),SUMIFS(TF_SOTIEN,TF_THANG,Y$1,TF_KM,$E103))/ 1000</f>
        <v>0</v>
      </c>
      <c r="Z103" s="1261">
        <f>IF(NOW()&gt;=DATE(YEAR(Z$1),MONTH(Z$1)+1,DAY(Z$1)),SUMIFS(AC_SOTIEN,AC_THANG,Z$1,AC_KM,$E103),SUMIFS(TF_SOTIEN,TF_THANG,Z$1,TF_KM,$E103))/ 1000</f>
        <v>0</v>
      </c>
      <c r="AA103" s="1261">
        <f>IF(NOW()&gt;=DATE(YEAR(AA$1),MONTH(AA$1)+1,DAY(AA$1)),SUMIFS(AC_SOTIEN,AC_THANG,AA$1,AC_KM,$E103),SUMIFS(TF_SOTIEN,TF_THANG,AA$1,TF_KM,$E103))/ 1000</f>
        <v>0</v>
      </c>
    </row>
    <row r="104" outlineLevel="1">
      <c r="A104" s="1254"/>
      <c r="B104" s="1254"/>
      <c r="C104" s="1254"/>
      <c r="D104" s="1254" t="s">
        <v>2864</v>
      </c>
      <c r="E104" s="1256" t="s">
        <v>219</v>
      </c>
      <c r="F104" s="1254"/>
      <c r="G104" s="1257">
        <v>3.0</v>
      </c>
      <c r="H104" s="1258">
        <f t="shared" si="69"/>
        <v>653.999</v>
      </c>
      <c r="I104" s="1220">
        <f t="shared" si="35"/>
        <v>0.0001505310486</v>
      </c>
      <c r="J104" s="1259">
        <f t="shared" si="61"/>
        <v>2709.998</v>
      </c>
      <c r="K104" s="1259">
        <f t="shared" si="62"/>
        <v>0</v>
      </c>
      <c r="L104" s="1260">
        <f t="shared" si="63"/>
        <v>1236</v>
      </c>
      <c r="M104" s="1260">
        <f t="shared" si="64"/>
        <v>1473.998</v>
      </c>
      <c r="N104" s="1260">
        <f t="shared" si="65"/>
        <v>0</v>
      </c>
      <c r="O104" s="1260">
        <f t="shared" si="66"/>
        <v>0</v>
      </c>
      <c r="P104" s="1261">
        <f>IF(NOW()&gt;=DATE(YEAR(P$1),MONTH(P$1)+1,DAY(P$1)),SUMIFS(AC_SOTIEN,AC_THANG,P$1,AC_KM,$E104),SUMIFS(TF_SOTIEN,TF_THANG,P$1,TF_KM,$E104))/ 1000</f>
        <v>653.999</v>
      </c>
      <c r="Q104" s="1261">
        <f>IF(NOW()&gt;=DATE(YEAR(Q$1),MONTH(Q$1)+1,DAY(Q$1)),SUMIFS(AC_SOTIEN,AC_THANG,Q$1,AC_KM,$E104),SUMIFS(TF_SOTIEN,TF_THANG,Q$1,TF_KM,$E104))/ 1000</f>
        <v>195</v>
      </c>
      <c r="R104" s="1261">
        <f>IF(NOW()&gt;=DATE(YEAR(R$1),MONTH(R$1)+1,DAY(R$1)),SUMIFS(AC_SOTIEN,AC_THANG,R$1,AC_KM,$E104),SUMIFS(TF_SOTIEN,TF_THANG,R$1,TF_KM,$E104))/ 1000</f>
        <v>387.001</v>
      </c>
      <c r="S104" s="1261">
        <f>IF(NOW()&gt;=DATE(YEAR(S$1),MONTH(S$1)+1,DAY(S$1)),SUMIFS(AC_SOTIEN,AC_THANG,S$1,AC_KM,$E104),SUMIFS(TF_SOTIEN,TF_THANG,S$1,TF_KM,$E104))/ 1000</f>
        <v>933.998</v>
      </c>
      <c r="T104" s="1261">
        <f>IF(NOW()&gt;=DATE(YEAR(T$1),MONTH(T$1)+1,DAY(T$1)),SUMIFS(AC_SOTIEN,AC_THANG,T$1,AC_KM,$E104),SUMIFS(TF_SOTIEN,TF_THANG,T$1,TF_KM,$E104))/ 1000</f>
        <v>540</v>
      </c>
      <c r="U104" s="1261">
        <f>IF(NOW()&gt;=DATE(YEAR(U$1),MONTH(U$1)+1,DAY(U$1)),SUMIFS(AC_SOTIEN,AC_THANG,U$1,AC_KM,$E104),SUMIFS(TF_SOTIEN,TF_THANG,U$1,TF_KM,$E104))/ 1000</f>
        <v>0</v>
      </c>
      <c r="V104" s="1261">
        <f>IF(NOW()&gt;=DATE(YEAR(V$1),MONTH(V$1)+1,DAY(V$1)),SUMIFS(AC_SOTIEN,AC_THANG,V$1,AC_KM,$E104),SUMIFS(TF_SOTIEN,TF_THANG,V$1,TF_KM,$E104))/ 1000</f>
        <v>0</v>
      </c>
      <c r="W104" s="1261">
        <f>IF(NOW()&gt;=DATE(YEAR(W$1),MONTH(W$1)+1,DAY(W$1)),SUMIFS(AC_SOTIEN,AC_THANG,W$1,AC_KM,$E104),SUMIFS(TF_SOTIEN,TF_THANG,W$1,TF_KM,$E104))/ 1000</f>
        <v>0</v>
      </c>
      <c r="X104" s="1261">
        <f>IF(NOW()&gt;=DATE(YEAR(X$1),MONTH(X$1)+1,DAY(X$1)),SUMIFS(AC_SOTIEN,AC_THANG,X$1,AC_KM,$E104),SUMIFS(TF_SOTIEN,TF_THANG,X$1,TF_KM,$E104))/ 1000</f>
        <v>0</v>
      </c>
      <c r="Y104" s="1261">
        <f>IF(NOW()&gt;=DATE(YEAR(Y$1),MONTH(Y$1)+1,DAY(Y$1)),SUMIFS(AC_SOTIEN,AC_THANG,Y$1,AC_KM,$E104),SUMIFS(TF_SOTIEN,TF_THANG,Y$1,TF_KM,$E104))/ 1000</f>
        <v>0</v>
      </c>
      <c r="Z104" s="1261">
        <f>IF(NOW()&gt;=DATE(YEAR(Z$1),MONTH(Z$1)+1,DAY(Z$1)),SUMIFS(AC_SOTIEN,AC_THANG,Z$1,AC_KM,$E104),SUMIFS(TF_SOTIEN,TF_THANG,Z$1,TF_KM,$E104))/ 1000</f>
        <v>0</v>
      </c>
      <c r="AA104" s="1261">
        <f>IF(NOW()&gt;=DATE(YEAR(AA$1),MONTH(AA$1)+1,DAY(AA$1)),SUMIFS(AC_SOTIEN,AC_THANG,AA$1,AC_KM,$E104),SUMIFS(TF_SOTIEN,TF_THANG,AA$1,TF_KM,$E104))/ 1000</f>
        <v>0</v>
      </c>
    </row>
    <row r="105" outlineLevel="1">
      <c r="A105" s="1254"/>
      <c r="B105" s="1254"/>
      <c r="C105" s="1254"/>
      <c r="D105" s="1254" t="s">
        <v>2865</v>
      </c>
      <c r="E105" s="1256" t="s">
        <v>222</v>
      </c>
      <c r="F105" s="1254"/>
      <c r="G105" s="1257">
        <v>3.0</v>
      </c>
      <c r="H105" s="1258">
        <f t="shared" si="69"/>
        <v>464.998</v>
      </c>
      <c r="I105" s="1220">
        <f t="shared" si="35"/>
        <v>0.0001070286599</v>
      </c>
      <c r="J105" s="1259">
        <f t="shared" si="61"/>
        <v>3790.785</v>
      </c>
      <c r="K105" s="1259">
        <f t="shared" si="62"/>
        <v>0</v>
      </c>
      <c r="L105" s="1260">
        <f t="shared" si="63"/>
        <v>2584.786</v>
      </c>
      <c r="M105" s="1260">
        <f t="shared" si="64"/>
        <v>1205.999</v>
      </c>
      <c r="N105" s="1260">
        <f t="shared" si="65"/>
        <v>0</v>
      </c>
      <c r="O105" s="1260">
        <f t="shared" si="66"/>
        <v>0</v>
      </c>
      <c r="P105" s="1261">
        <f>IF(NOW()&gt;=DATE(YEAR(P$1),MONTH(P$1)+1,DAY(P$1)),SUMIFS(AC_SOTIEN,AC_THANG,P$1,AC_KM,$E105),SUMIFS(TF_SOTIEN,TF_THANG,P$1,TF_KM,$E105))/ 1000</f>
        <v>464.998</v>
      </c>
      <c r="Q105" s="1261">
        <f>IF(NOW()&gt;=DATE(YEAR(Q$1),MONTH(Q$1)+1,DAY(Q$1)),SUMIFS(AC_SOTIEN,AC_THANG,Q$1,AC_KM,$E105),SUMIFS(TF_SOTIEN,TF_THANG,Q$1,TF_KM,$E105))/ 1000</f>
        <v>1130</v>
      </c>
      <c r="R105" s="1261">
        <f>IF(NOW()&gt;=DATE(YEAR(R$1),MONTH(R$1)+1,DAY(R$1)),SUMIFS(AC_SOTIEN,AC_THANG,R$1,AC_KM,$E105),SUMIFS(TF_SOTIEN,TF_THANG,R$1,TF_KM,$E105))/ 1000</f>
        <v>989.788</v>
      </c>
      <c r="S105" s="1261">
        <f>IF(NOW()&gt;=DATE(YEAR(S$1),MONTH(S$1)+1,DAY(S$1)),SUMIFS(AC_SOTIEN,AC_THANG,S$1,AC_KM,$E105),SUMIFS(TF_SOTIEN,TF_THANG,S$1,TF_KM,$E105))/ 1000</f>
        <v>580</v>
      </c>
      <c r="T105" s="1261">
        <f>IF(NOW()&gt;=DATE(YEAR(T$1),MONTH(T$1)+1,DAY(T$1)),SUMIFS(AC_SOTIEN,AC_THANG,T$1,AC_KM,$E105),SUMIFS(TF_SOTIEN,TF_THANG,T$1,TF_KM,$E105))/ 1000</f>
        <v>625.999</v>
      </c>
      <c r="U105" s="1261">
        <f>IF(NOW()&gt;=DATE(YEAR(U$1),MONTH(U$1)+1,DAY(U$1)),SUMIFS(AC_SOTIEN,AC_THANG,U$1,AC_KM,$E105),SUMIFS(TF_SOTIEN,TF_THANG,U$1,TF_KM,$E105))/ 1000</f>
        <v>0</v>
      </c>
      <c r="V105" s="1261">
        <f>IF(NOW()&gt;=DATE(YEAR(V$1),MONTH(V$1)+1,DAY(V$1)),SUMIFS(AC_SOTIEN,AC_THANG,V$1,AC_KM,$E105),SUMIFS(TF_SOTIEN,TF_THANG,V$1,TF_KM,$E105))/ 1000</f>
        <v>0</v>
      </c>
      <c r="W105" s="1261">
        <f>IF(NOW()&gt;=DATE(YEAR(W$1),MONTH(W$1)+1,DAY(W$1)),SUMIFS(AC_SOTIEN,AC_THANG,W$1,AC_KM,$E105),SUMIFS(TF_SOTIEN,TF_THANG,W$1,TF_KM,$E105))/ 1000</f>
        <v>0</v>
      </c>
      <c r="X105" s="1261">
        <f>IF(NOW()&gt;=DATE(YEAR(X$1),MONTH(X$1)+1,DAY(X$1)),SUMIFS(AC_SOTIEN,AC_THANG,X$1,AC_KM,$E105),SUMIFS(TF_SOTIEN,TF_THANG,X$1,TF_KM,$E105))/ 1000</f>
        <v>0</v>
      </c>
      <c r="Y105" s="1261">
        <f>IF(NOW()&gt;=DATE(YEAR(Y$1),MONTH(Y$1)+1,DAY(Y$1)),SUMIFS(AC_SOTIEN,AC_THANG,Y$1,AC_KM,$E105),SUMIFS(TF_SOTIEN,TF_THANG,Y$1,TF_KM,$E105))/ 1000</f>
        <v>0</v>
      </c>
      <c r="Z105" s="1261">
        <f>IF(NOW()&gt;=DATE(YEAR(Z$1),MONTH(Z$1)+1,DAY(Z$1)),SUMIFS(AC_SOTIEN,AC_THANG,Z$1,AC_KM,$E105),SUMIFS(TF_SOTIEN,TF_THANG,Z$1,TF_KM,$E105))/ 1000</f>
        <v>0</v>
      </c>
      <c r="AA105" s="1261">
        <f>IF(NOW()&gt;=DATE(YEAR(AA$1),MONTH(AA$1)+1,DAY(AA$1)),SUMIFS(AC_SOTIEN,AC_THANG,AA$1,AC_KM,$E105),SUMIFS(TF_SOTIEN,TF_THANG,AA$1,TF_KM,$E105))/ 1000</f>
        <v>0</v>
      </c>
    </row>
    <row r="106" outlineLevel="1">
      <c r="A106" s="1254"/>
      <c r="B106" s="1254"/>
      <c r="C106" s="1254"/>
      <c r="D106" s="1254" t="s">
        <v>2866</v>
      </c>
      <c r="E106" s="1256" t="s">
        <v>410</v>
      </c>
      <c r="F106" s="1254"/>
      <c r="G106" s="1257">
        <v>3.0</v>
      </c>
      <c r="H106" s="1258">
        <f t="shared" si="69"/>
        <v>0</v>
      </c>
      <c r="I106" s="1220">
        <f t="shared" si="35"/>
        <v>0</v>
      </c>
      <c r="J106" s="1259">
        <f t="shared" si="61"/>
        <v>3646.911</v>
      </c>
      <c r="K106" s="1259">
        <f t="shared" si="62"/>
        <v>0</v>
      </c>
      <c r="L106" s="1260">
        <f t="shared" si="63"/>
        <v>2496.911</v>
      </c>
      <c r="M106" s="1260">
        <f t="shared" si="64"/>
        <v>1150</v>
      </c>
      <c r="N106" s="1260">
        <f t="shared" si="65"/>
        <v>0</v>
      </c>
      <c r="O106" s="1260">
        <f t="shared" si="66"/>
        <v>0</v>
      </c>
      <c r="P106" s="1261">
        <f>IF(NOW()&gt;=DATE(YEAR(P$1),MONTH(P$1)+1,DAY(P$1)),SUMIFS(AC_SOTIEN,AC_THANG,P$1,AC_KM,$E106),SUMIFS(TF_SOTIEN,TF_THANG,P$1,TF_KM,$E106))/ 1000</f>
        <v>0</v>
      </c>
      <c r="Q106" s="1261">
        <f>IF(NOW()&gt;=DATE(YEAR(Q$1),MONTH(Q$1)+1,DAY(Q$1)),SUMIFS(AC_SOTIEN,AC_THANG,Q$1,AC_KM,$E106),SUMIFS(TF_SOTIEN,TF_THANG,Q$1,TF_KM,$E106))/ 1000</f>
        <v>1499.001</v>
      </c>
      <c r="R106" s="1261">
        <f>IF(NOW()&gt;=DATE(YEAR(R$1),MONTH(R$1)+1,DAY(R$1)),SUMIFS(AC_SOTIEN,AC_THANG,R$1,AC_KM,$E106),SUMIFS(TF_SOTIEN,TF_THANG,R$1,TF_KM,$E106))/ 1000</f>
        <v>997.91</v>
      </c>
      <c r="S106" s="1261">
        <f>IF(NOW()&gt;=DATE(YEAR(S$1),MONTH(S$1)+1,DAY(S$1)),SUMIFS(AC_SOTIEN,AC_THANG,S$1,AC_KM,$E106),SUMIFS(TF_SOTIEN,TF_THANG,S$1,TF_KM,$E106))/ 1000</f>
        <v>1054</v>
      </c>
      <c r="T106" s="1261">
        <f>IF(NOW()&gt;=DATE(YEAR(T$1),MONTH(T$1)+1,DAY(T$1)),SUMIFS(AC_SOTIEN,AC_THANG,T$1,AC_KM,$E106),SUMIFS(TF_SOTIEN,TF_THANG,T$1,TF_KM,$E106))/ 1000</f>
        <v>96</v>
      </c>
      <c r="U106" s="1261">
        <f>IF(NOW()&gt;=DATE(YEAR(U$1),MONTH(U$1)+1,DAY(U$1)),SUMIFS(AC_SOTIEN,AC_THANG,U$1,AC_KM,$E106),SUMIFS(TF_SOTIEN,TF_THANG,U$1,TF_KM,$E106))/ 1000</f>
        <v>0</v>
      </c>
      <c r="V106" s="1261">
        <f>IF(NOW()&gt;=DATE(YEAR(V$1),MONTH(V$1)+1,DAY(V$1)),SUMIFS(AC_SOTIEN,AC_THANG,V$1,AC_KM,$E106),SUMIFS(TF_SOTIEN,TF_THANG,V$1,TF_KM,$E106))/ 1000</f>
        <v>0</v>
      </c>
      <c r="W106" s="1261">
        <f>IF(NOW()&gt;=DATE(YEAR(W$1),MONTH(W$1)+1,DAY(W$1)),SUMIFS(AC_SOTIEN,AC_THANG,W$1,AC_KM,$E106),SUMIFS(TF_SOTIEN,TF_THANG,W$1,TF_KM,$E106))/ 1000</f>
        <v>0</v>
      </c>
      <c r="X106" s="1261">
        <f>IF(NOW()&gt;=DATE(YEAR(X$1),MONTH(X$1)+1,DAY(X$1)),SUMIFS(AC_SOTIEN,AC_THANG,X$1,AC_KM,$E106),SUMIFS(TF_SOTIEN,TF_THANG,X$1,TF_KM,$E106))/ 1000</f>
        <v>0</v>
      </c>
      <c r="Y106" s="1261">
        <f>IF(NOW()&gt;=DATE(YEAR(Y$1),MONTH(Y$1)+1,DAY(Y$1)),SUMIFS(AC_SOTIEN,AC_THANG,Y$1,AC_KM,$E106),SUMIFS(TF_SOTIEN,TF_THANG,Y$1,TF_KM,$E106))/ 1000</f>
        <v>0</v>
      </c>
      <c r="Z106" s="1261">
        <f>IF(NOW()&gt;=DATE(YEAR(Z$1),MONTH(Z$1)+1,DAY(Z$1)),SUMIFS(AC_SOTIEN,AC_THANG,Z$1,AC_KM,$E106),SUMIFS(TF_SOTIEN,TF_THANG,Z$1,TF_KM,$E106))/ 1000</f>
        <v>0</v>
      </c>
      <c r="AA106" s="1261">
        <f>IF(NOW()&gt;=DATE(YEAR(AA$1),MONTH(AA$1)+1,DAY(AA$1)),SUMIFS(AC_SOTIEN,AC_THANG,AA$1,AC_KM,$E106),SUMIFS(TF_SOTIEN,TF_THANG,AA$1,TF_KM,$E106))/ 1000</f>
        <v>0</v>
      </c>
    </row>
    <row r="107" outlineLevel="1">
      <c r="A107" s="1254"/>
      <c r="B107" s="1254"/>
      <c r="C107" s="1254"/>
      <c r="D107" s="1254" t="s">
        <v>2867</v>
      </c>
      <c r="E107" s="1256" t="s">
        <v>226</v>
      </c>
      <c r="F107" s="1254"/>
      <c r="G107" s="1257">
        <v>3.0</v>
      </c>
      <c r="H107" s="1258">
        <f t="shared" si="69"/>
        <v>306.944</v>
      </c>
      <c r="I107" s="1220">
        <f t="shared" si="35"/>
        <v>0.00007064934682</v>
      </c>
      <c r="J107" s="1259">
        <f t="shared" si="61"/>
        <v>3927.91</v>
      </c>
      <c r="K107" s="1259">
        <f t="shared" si="62"/>
        <v>0</v>
      </c>
      <c r="L107" s="1260">
        <f t="shared" si="63"/>
        <v>2027.91</v>
      </c>
      <c r="M107" s="1260">
        <f t="shared" si="64"/>
        <v>1900</v>
      </c>
      <c r="N107" s="1260">
        <f t="shared" si="65"/>
        <v>0</v>
      </c>
      <c r="O107" s="1260">
        <f t="shared" si="66"/>
        <v>0</v>
      </c>
      <c r="P107" s="1261">
        <f>IF(NOW()&gt;=DATE(YEAR(P$1),MONTH(P$1)+1,DAY(P$1)),SUMIFS(AC_SOTIEN,AC_THANG,P$1,AC_KM,$E107),SUMIFS(TF_SOTIEN,TF_THANG,P$1,TF_KM,$E107))/ 1000</f>
        <v>306.944</v>
      </c>
      <c r="Q107" s="1261">
        <f>IF(NOW()&gt;=DATE(YEAR(Q$1),MONTH(Q$1)+1,DAY(Q$1)),SUMIFS(AC_SOTIEN,AC_THANG,Q$1,AC_KM,$E107),SUMIFS(TF_SOTIEN,TF_THANG,Q$1,TF_KM,$E107))/ 1000</f>
        <v>491</v>
      </c>
      <c r="R107" s="1261">
        <f>IF(NOW()&gt;=DATE(YEAR(R$1),MONTH(R$1)+1,DAY(R$1)),SUMIFS(AC_SOTIEN,AC_THANG,R$1,AC_KM,$E107),SUMIFS(TF_SOTIEN,TF_THANG,R$1,TF_KM,$E107))/ 1000</f>
        <v>1229.966</v>
      </c>
      <c r="S107" s="1261">
        <f>IF(NOW()&gt;=DATE(YEAR(S$1),MONTH(S$1)+1,DAY(S$1)),SUMIFS(AC_SOTIEN,AC_THANG,S$1,AC_KM,$E107),SUMIFS(TF_SOTIEN,TF_THANG,S$1,TF_KM,$E107))/ 1000</f>
        <v>1300</v>
      </c>
      <c r="T107" s="1261">
        <f>IF(NOW()&gt;=DATE(YEAR(T$1),MONTH(T$1)+1,DAY(T$1)),SUMIFS(AC_SOTIEN,AC_THANG,T$1,AC_KM,$E107),SUMIFS(TF_SOTIEN,TF_THANG,T$1,TF_KM,$E107))/ 1000</f>
        <v>600</v>
      </c>
      <c r="U107" s="1261">
        <f>IF(NOW()&gt;=DATE(YEAR(U$1),MONTH(U$1)+1,DAY(U$1)),SUMIFS(AC_SOTIEN,AC_THANG,U$1,AC_KM,$E107),SUMIFS(TF_SOTIEN,TF_THANG,U$1,TF_KM,$E107))/ 1000</f>
        <v>0</v>
      </c>
      <c r="V107" s="1261">
        <f>IF(NOW()&gt;=DATE(YEAR(V$1),MONTH(V$1)+1,DAY(V$1)),SUMIFS(AC_SOTIEN,AC_THANG,V$1,AC_KM,$E107),SUMIFS(TF_SOTIEN,TF_THANG,V$1,TF_KM,$E107))/ 1000</f>
        <v>0</v>
      </c>
      <c r="W107" s="1261">
        <f>IF(NOW()&gt;=DATE(YEAR(W$1),MONTH(W$1)+1,DAY(W$1)),SUMIFS(AC_SOTIEN,AC_THANG,W$1,AC_KM,$E107),SUMIFS(TF_SOTIEN,TF_THANG,W$1,TF_KM,$E107))/ 1000</f>
        <v>0</v>
      </c>
      <c r="X107" s="1261">
        <f>IF(NOW()&gt;=DATE(YEAR(X$1),MONTH(X$1)+1,DAY(X$1)),SUMIFS(AC_SOTIEN,AC_THANG,X$1,AC_KM,$E107),SUMIFS(TF_SOTIEN,TF_THANG,X$1,TF_KM,$E107))/ 1000</f>
        <v>0</v>
      </c>
      <c r="Y107" s="1261">
        <f>IF(NOW()&gt;=DATE(YEAR(Y$1),MONTH(Y$1)+1,DAY(Y$1)),SUMIFS(AC_SOTIEN,AC_THANG,Y$1,AC_KM,$E107),SUMIFS(TF_SOTIEN,TF_THANG,Y$1,TF_KM,$E107))/ 1000</f>
        <v>0</v>
      </c>
      <c r="Z107" s="1261">
        <f>IF(NOW()&gt;=DATE(YEAR(Z$1),MONTH(Z$1)+1,DAY(Z$1)),SUMIFS(AC_SOTIEN,AC_THANG,Z$1,AC_KM,$E107),SUMIFS(TF_SOTIEN,TF_THANG,Z$1,TF_KM,$E107))/ 1000</f>
        <v>0</v>
      </c>
      <c r="AA107" s="1261">
        <f>IF(NOW()&gt;=DATE(YEAR(AA$1),MONTH(AA$1)+1,DAY(AA$1)),SUMIFS(AC_SOTIEN,AC_THANG,AA$1,AC_KM,$E107),SUMIFS(TF_SOTIEN,TF_THANG,AA$1,TF_KM,$E107))/ 1000</f>
        <v>0</v>
      </c>
    </row>
    <row r="108" outlineLevel="1">
      <c r="A108" s="1254"/>
      <c r="B108" s="1254"/>
      <c r="C108" s="1254"/>
      <c r="D108" s="1254" t="s">
        <v>2870</v>
      </c>
      <c r="E108" s="1256" t="s">
        <v>307</v>
      </c>
      <c r="F108" s="1254"/>
      <c r="G108" s="1257">
        <v>3.0</v>
      </c>
      <c r="H108" s="1258">
        <f t="shared" si="69"/>
        <v>1000</v>
      </c>
      <c r="I108" s="1220">
        <f t="shared" si="35"/>
        <v>0.000230170151</v>
      </c>
      <c r="J108" s="1259">
        <f t="shared" si="61"/>
        <v>2000</v>
      </c>
      <c r="K108" s="1259">
        <f t="shared" si="62"/>
        <v>0</v>
      </c>
      <c r="L108" s="1260">
        <f t="shared" si="63"/>
        <v>2000</v>
      </c>
      <c r="M108" s="1260">
        <f t="shared" si="64"/>
        <v>0</v>
      </c>
      <c r="N108" s="1260">
        <f t="shared" si="65"/>
        <v>0</v>
      </c>
      <c r="O108" s="1260">
        <f t="shared" si="66"/>
        <v>0</v>
      </c>
      <c r="P108" s="1261">
        <f>IF(NOW()&gt;=DATE(YEAR(P$1),MONTH(P$1)+1,DAY(P$1)),SUMIFS(AC_SOTIEN,AC_THANG,P$1,AC_KM,$E108),SUMIFS(TF_SOTIEN,TF_THANG,P$1,TF_KM,$E108))/ 1000</f>
        <v>1000</v>
      </c>
      <c r="Q108" s="1261">
        <f>IF(NOW()&gt;=DATE(YEAR(Q$1),MONTH(Q$1)+1,DAY(Q$1)),SUMIFS(AC_SOTIEN,AC_THANG,Q$1,AC_KM,$E108),SUMIFS(TF_SOTIEN,TF_THANG,Q$1,TF_KM,$E108))/ 1000</f>
        <v>0</v>
      </c>
      <c r="R108" s="1261">
        <f>IF(NOW()&gt;=DATE(YEAR(R$1),MONTH(R$1)+1,DAY(R$1)),SUMIFS(AC_SOTIEN,AC_THANG,R$1,AC_KM,$E108),SUMIFS(TF_SOTIEN,TF_THANG,R$1,TF_KM,$E108))/ 1000</f>
        <v>1000</v>
      </c>
      <c r="S108" s="1261">
        <f>IF(NOW()&gt;=DATE(YEAR(S$1),MONTH(S$1)+1,DAY(S$1)),SUMIFS(AC_SOTIEN,AC_THANG,S$1,AC_KM,$E108),SUMIFS(TF_SOTIEN,TF_THANG,S$1,TF_KM,$E108))/ 1000</f>
        <v>0</v>
      </c>
      <c r="T108" s="1261">
        <f>IF(NOW()&gt;=DATE(YEAR(T$1),MONTH(T$1)+1,DAY(T$1)),SUMIFS(AC_SOTIEN,AC_THANG,T$1,AC_KM,$E108),SUMIFS(TF_SOTIEN,TF_THANG,T$1,TF_KM,$E108))/ 1000</f>
        <v>0</v>
      </c>
      <c r="U108" s="1261">
        <f>IF(NOW()&gt;=DATE(YEAR(U$1),MONTH(U$1)+1,DAY(U$1)),SUMIFS(AC_SOTIEN,AC_THANG,U$1,AC_KM,$E108),SUMIFS(TF_SOTIEN,TF_THANG,U$1,TF_KM,$E108))/ 1000</f>
        <v>0</v>
      </c>
      <c r="V108" s="1261">
        <f>IF(NOW()&gt;=DATE(YEAR(V$1),MONTH(V$1)+1,DAY(V$1)),SUMIFS(AC_SOTIEN,AC_THANG,V$1,AC_KM,$E108),SUMIFS(TF_SOTIEN,TF_THANG,V$1,TF_KM,$E108))/ 1000</f>
        <v>0</v>
      </c>
      <c r="W108" s="1261">
        <f>IF(NOW()&gt;=DATE(YEAR(W$1),MONTH(W$1)+1,DAY(W$1)),SUMIFS(AC_SOTIEN,AC_THANG,W$1,AC_KM,$E108),SUMIFS(TF_SOTIEN,TF_THANG,W$1,TF_KM,$E108))/ 1000</f>
        <v>0</v>
      </c>
      <c r="X108" s="1261">
        <f>IF(NOW()&gt;=DATE(YEAR(X$1),MONTH(X$1)+1,DAY(X$1)),SUMIFS(AC_SOTIEN,AC_THANG,X$1,AC_KM,$E108),SUMIFS(TF_SOTIEN,TF_THANG,X$1,TF_KM,$E108))/ 1000</f>
        <v>0</v>
      </c>
      <c r="Y108" s="1261">
        <f>IF(NOW()&gt;=DATE(YEAR(Y$1),MONTH(Y$1)+1,DAY(Y$1)),SUMIFS(AC_SOTIEN,AC_THANG,Y$1,AC_KM,$E108),SUMIFS(TF_SOTIEN,TF_THANG,Y$1,TF_KM,$E108))/ 1000</f>
        <v>0</v>
      </c>
      <c r="Z108" s="1261">
        <f>IF(NOW()&gt;=DATE(YEAR(Z$1),MONTH(Z$1)+1,DAY(Z$1)),SUMIFS(AC_SOTIEN,AC_THANG,Z$1,AC_KM,$E108),SUMIFS(TF_SOTIEN,TF_THANG,Z$1,TF_KM,$E108))/ 1000</f>
        <v>0</v>
      </c>
      <c r="AA108" s="1261">
        <f>IF(NOW()&gt;=DATE(YEAR(AA$1),MONTH(AA$1)+1,DAY(AA$1)),SUMIFS(AC_SOTIEN,AC_THANG,AA$1,AC_KM,$E108),SUMIFS(TF_SOTIEN,TF_THANG,AA$1,TF_KM,$E108))/ 1000</f>
        <v>0</v>
      </c>
    </row>
    <row r="109" outlineLevel="1">
      <c r="A109" s="1254"/>
      <c r="B109" s="1254"/>
      <c r="C109" s="1254"/>
      <c r="D109" s="1274" t="s">
        <v>2910</v>
      </c>
      <c r="E109" s="1275" t="s">
        <v>206</v>
      </c>
      <c r="F109" s="1254"/>
      <c r="G109" s="1257">
        <v>3.0</v>
      </c>
      <c r="H109" s="1258">
        <f t="shared" si="69"/>
        <v>1300</v>
      </c>
      <c r="I109" s="1220">
        <f t="shared" si="35"/>
        <v>0.0002992211963</v>
      </c>
      <c r="J109" s="1259">
        <f t="shared" si="61"/>
        <v>6609.608</v>
      </c>
      <c r="K109" s="1259">
        <f t="shared" si="62"/>
        <v>0</v>
      </c>
      <c r="L109" s="1260">
        <f t="shared" si="63"/>
        <v>4449.609</v>
      </c>
      <c r="M109" s="1260">
        <f t="shared" si="64"/>
        <v>2159.999</v>
      </c>
      <c r="N109" s="1260">
        <f t="shared" si="65"/>
        <v>0</v>
      </c>
      <c r="O109" s="1260">
        <f t="shared" si="66"/>
        <v>0</v>
      </c>
      <c r="P109" s="1261">
        <f>IF(NOW()&gt;=DATE(YEAR(P$1),MONTH(P$1)+1,DAY(P$1)),SUMIFS(AC_SOTIEN,AC_THANG,P$1,AC_KM,$E109),SUMIFS(TF_SOTIEN,TF_THANG,P$1,TF_KM,$E109))/ 1000</f>
        <v>1300</v>
      </c>
      <c r="Q109" s="1261">
        <f>IF(NOW()&gt;=DATE(YEAR(Q$1),MONTH(Q$1)+1,DAY(Q$1)),SUMIFS(AC_SOTIEN,AC_THANG,Q$1,AC_KM,$E109),SUMIFS(TF_SOTIEN,TF_THANG,Q$1,TF_KM,$E109))/ 1000</f>
        <v>1443.001</v>
      </c>
      <c r="R109" s="1261">
        <f>IF(NOW()&gt;=DATE(YEAR(R$1),MONTH(R$1)+1,DAY(R$1)),SUMIFS(AC_SOTIEN,AC_THANG,R$1,AC_KM,$E109),SUMIFS(TF_SOTIEN,TF_THANG,R$1,TF_KM,$E109))/ 1000</f>
        <v>1706.608</v>
      </c>
      <c r="S109" s="1261">
        <f>IF(NOW()&gt;=DATE(YEAR(S$1),MONTH(S$1)+1,DAY(S$1)),SUMIFS(AC_SOTIEN,AC_THANG,S$1,AC_KM,$E109),SUMIFS(TF_SOTIEN,TF_THANG,S$1,TF_KM,$E109))/ 1000</f>
        <v>1079.999</v>
      </c>
      <c r="T109" s="1261">
        <f>IF(NOW()&gt;=DATE(YEAR(T$1),MONTH(T$1)+1,DAY(T$1)),SUMIFS(AC_SOTIEN,AC_THANG,T$1,AC_KM,$E109),SUMIFS(TF_SOTIEN,TF_THANG,T$1,TF_KM,$E109))/ 1000</f>
        <v>1080</v>
      </c>
      <c r="U109" s="1261">
        <f>IF(NOW()&gt;=DATE(YEAR(U$1),MONTH(U$1)+1,DAY(U$1)),SUMIFS(AC_SOTIEN,AC_THANG,U$1,AC_KM,$E109),SUMIFS(TF_SOTIEN,TF_THANG,U$1,TF_KM,$E109))/ 1000</f>
        <v>0</v>
      </c>
      <c r="V109" s="1261">
        <f>IF(NOW()&gt;=DATE(YEAR(V$1),MONTH(V$1)+1,DAY(V$1)),SUMIFS(AC_SOTIEN,AC_THANG,V$1,AC_KM,$E109),SUMIFS(TF_SOTIEN,TF_THANG,V$1,TF_KM,$E109))/ 1000</f>
        <v>0</v>
      </c>
      <c r="W109" s="1261">
        <f>IF(NOW()&gt;=DATE(YEAR(W$1),MONTH(W$1)+1,DAY(W$1)),SUMIFS(AC_SOTIEN,AC_THANG,W$1,AC_KM,$E109),SUMIFS(TF_SOTIEN,TF_THANG,W$1,TF_KM,$E109))/ 1000</f>
        <v>0</v>
      </c>
      <c r="X109" s="1261">
        <f>IF(NOW()&gt;=DATE(YEAR(X$1),MONTH(X$1)+1,DAY(X$1)),SUMIFS(AC_SOTIEN,AC_THANG,X$1,AC_KM,$E109),SUMIFS(TF_SOTIEN,TF_THANG,X$1,TF_KM,$E109))/ 1000</f>
        <v>0</v>
      </c>
      <c r="Y109" s="1261">
        <f>IF(NOW()&gt;=DATE(YEAR(Y$1),MONTH(Y$1)+1,DAY(Y$1)),SUMIFS(AC_SOTIEN,AC_THANG,Y$1,AC_KM,$E109),SUMIFS(TF_SOTIEN,TF_THANG,Y$1,TF_KM,$E109))/ 1000</f>
        <v>0</v>
      </c>
      <c r="Z109" s="1261">
        <f>IF(NOW()&gt;=DATE(YEAR(Z$1),MONTH(Z$1)+1,DAY(Z$1)),SUMIFS(AC_SOTIEN,AC_THANG,Z$1,AC_KM,$E109),SUMIFS(TF_SOTIEN,TF_THANG,Z$1,TF_KM,$E109))/ 1000</f>
        <v>0</v>
      </c>
      <c r="AA109" s="1261">
        <f>IF(NOW()&gt;=DATE(YEAR(AA$1),MONTH(AA$1)+1,DAY(AA$1)),SUMIFS(AC_SOTIEN,AC_THANG,AA$1,AC_KM,$E109),SUMIFS(TF_SOTIEN,TF_THANG,AA$1,TF_KM,$E109))/ 1000</f>
        <v>0</v>
      </c>
    </row>
    <row r="110" outlineLevel="1">
      <c r="A110" s="1254"/>
      <c r="B110" s="1254"/>
      <c r="C110" s="1254"/>
      <c r="D110" s="1148" t="s">
        <v>2869</v>
      </c>
      <c r="E110" s="1148" t="s">
        <v>377</v>
      </c>
      <c r="F110" s="1254"/>
      <c r="G110" s="1257">
        <v>3.0</v>
      </c>
      <c r="H110" s="1258">
        <f t="shared" si="69"/>
        <v>0</v>
      </c>
      <c r="I110" s="1220">
        <f t="shared" si="35"/>
        <v>0</v>
      </c>
      <c r="J110" s="1259">
        <f t="shared" si="61"/>
        <v>4440.1</v>
      </c>
      <c r="K110" s="1259">
        <f t="shared" si="62"/>
        <v>0</v>
      </c>
      <c r="L110" s="1260">
        <f t="shared" si="63"/>
        <v>3180.1</v>
      </c>
      <c r="M110" s="1260">
        <f t="shared" si="64"/>
        <v>1260</v>
      </c>
      <c r="N110" s="1260">
        <f t="shared" si="65"/>
        <v>0</v>
      </c>
      <c r="O110" s="1260">
        <f t="shared" si="66"/>
        <v>0</v>
      </c>
      <c r="P110" s="1261">
        <f>IF(NOW()&gt;=DATE(YEAR(P$1),MONTH(P$1)+1,DAY(P$1)),SUMIFS(AC_SOTIEN,AC_THANG,P$1,AC_KM,$E110),SUMIFS(TF_SOTIEN,TF_THANG,P$1,TF_KM,$E110))/ 1000</f>
        <v>0</v>
      </c>
      <c r="Q110" s="1261">
        <f>IF(NOW()&gt;=DATE(YEAR(Q$1),MONTH(Q$1)+1,DAY(Q$1)),SUMIFS(AC_SOTIEN,AC_THANG,Q$1,AC_KM,$E110),SUMIFS(TF_SOTIEN,TF_THANG,Q$1,TF_KM,$E110))/ 1000</f>
        <v>470.6</v>
      </c>
      <c r="R110" s="1261">
        <f>IF(NOW()&gt;=DATE(YEAR(R$1),MONTH(R$1)+1,DAY(R$1)),SUMIFS(AC_SOTIEN,AC_THANG,R$1,AC_KM,$E110),SUMIFS(TF_SOTIEN,TF_THANG,R$1,TF_KM,$E110))/ 1000</f>
        <v>2709.5</v>
      </c>
      <c r="S110" s="1261">
        <f>IF(NOW()&gt;=DATE(YEAR(S$1),MONTH(S$1)+1,DAY(S$1)),SUMIFS(AC_SOTIEN,AC_THANG,S$1,AC_KM,$E110),SUMIFS(TF_SOTIEN,TF_THANG,S$1,TF_KM,$E110))/ 1000</f>
        <v>0</v>
      </c>
      <c r="T110" s="1261">
        <f>IF(NOW()&gt;=DATE(YEAR(T$1),MONTH(T$1)+1,DAY(T$1)),SUMIFS(AC_SOTIEN,AC_THANG,T$1,AC_KM,$E110),SUMIFS(TF_SOTIEN,TF_THANG,T$1,TF_KM,$E110))/ 1000</f>
        <v>1260</v>
      </c>
      <c r="U110" s="1261">
        <f>IF(NOW()&gt;=DATE(YEAR(U$1),MONTH(U$1)+1,DAY(U$1)),SUMIFS(AC_SOTIEN,AC_THANG,U$1,AC_KM,$E110),SUMIFS(TF_SOTIEN,TF_THANG,U$1,TF_KM,$E110))/ 1000</f>
        <v>0</v>
      </c>
      <c r="V110" s="1261">
        <f>IF(NOW()&gt;=DATE(YEAR(V$1),MONTH(V$1)+1,DAY(V$1)),SUMIFS(AC_SOTIEN,AC_THANG,V$1,AC_KM,$E110),SUMIFS(TF_SOTIEN,TF_THANG,V$1,TF_KM,$E110))/ 1000</f>
        <v>0</v>
      </c>
      <c r="W110" s="1261">
        <f>IF(NOW()&gt;=DATE(YEAR(W$1),MONTH(W$1)+1,DAY(W$1)),SUMIFS(AC_SOTIEN,AC_THANG,W$1,AC_KM,$E110),SUMIFS(TF_SOTIEN,TF_THANG,W$1,TF_KM,$E110))/ 1000</f>
        <v>0</v>
      </c>
      <c r="X110" s="1261">
        <f>IF(NOW()&gt;=DATE(YEAR(X$1),MONTH(X$1)+1,DAY(X$1)),SUMIFS(AC_SOTIEN,AC_THANG,X$1,AC_KM,$E110),SUMIFS(TF_SOTIEN,TF_THANG,X$1,TF_KM,$E110))/ 1000</f>
        <v>0</v>
      </c>
      <c r="Y110" s="1261">
        <f>IF(NOW()&gt;=DATE(YEAR(Y$1),MONTH(Y$1)+1,DAY(Y$1)),SUMIFS(AC_SOTIEN,AC_THANG,Y$1,AC_KM,$E110),SUMIFS(TF_SOTIEN,TF_THANG,Y$1,TF_KM,$E110))/ 1000</f>
        <v>0</v>
      </c>
      <c r="Z110" s="1261">
        <f>IF(NOW()&gt;=DATE(YEAR(Z$1),MONTH(Z$1)+1,DAY(Z$1)),SUMIFS(AC_SOTIEN,AC_THANG,Z$1,AC_KM,$E110),SUMIFS(TF_SOTIEN,TF_THANG,Z$1,TF_KM,$E110))/ 1000</f>
        <v>0</v>
      </c>
      <c r="AA110" s="1261">
        <f>IF(NOW()&gt;=DATE(YEAR(AA$1),MONTH(AA$1)+1,DAY(AA$1)),SUMIFS(AC_SOTIEN,AC_THANG,AA$1,AC_KM,$E110),SUMIFS(TF_SOTIEN,TF_THANG,AA$1,TF_KM,$E110))/ 1000</f>
        <v>0</v>
      </c>
    </row>
    <row r="111">
      <c r="A111" s="1216"/>
      <c r="B111" s="1216"/>
      <c r="C111" s="1216"/>
      <c r="D111" s="1216" t="s">
        <v>2871</v>
      </c>
      <c r="E111" s="1217" t="s">
        <v>2872</v>
      </c>
      <c r="F111" s="1218">
        <v>642.0</v>
      </c>
      <c r="G111" s="1218">
        <v>2.0</v>
      </c>
      <c r="H111" s="1219">
        <f t="shared" si="69"/>
        <v>0</v>
      </c>
      <c r="I111" s="1264">
        <f t="shared" si="35"/>
        <v>0</v>
      </c>
      <c r="J111" s="1221">
        <f t="shared" si="61"/>
        <v>0</v>
      </c>
      <c r="K111" s="1221">
        <f t="shared" si="62"/>
        <v>0</v>
      </c>
      <c r="L111" s="1222">
        <f t="shared" si="63"/>
        <v>0</v>
      </c>
      <c r="M111" s="1222">
        <f t="shared" si="64"/>
        <v>0</v>
      </c>
      <c r="N111" s="1222">
        <f t="shared" si="65"/>
        <v>0</v>
      </c>
      <c r="O111" s="1222">
        <f t="shared" si="66"/>
        <v>0</v>
      </c>
      <c r="P111" s="1223">
        <f>IF(NOW()&gt;=DATE(YEAR(P$1),MONTH(P$1)+1,DAY(P$1)),SUMIFS(AC_SOTIEN,AC_THANG,P$1,AC_KM,$E111),SUMIFS(TF_SOTIEN,TF_THANG,P$1,TF_KM,$E111))/ 1000</f>
        <v>0</v>
      </c>
      <c r="Q111" s="1223">
        <f>IF(NOW()&gt;=DATE(YEAR(Q$1),MONTH(Q$1)+1,DAY(Q$1)),SUMIFS(AC_SOTIEN,AC_THANG,Q$1,AC_KM,$E111),SUMIFS(TF_SOTIEN,TF_THANG,Q$1,TF_KM,$E111))/ 1000</f>
        <v>0</v>
      </c>
      <c r="R111" s="1223">
        <f>IF(NOW()&gt;=DATE(YEAR(R$1),MONTH(R$1)+1,DAY(R$1)),SUMIFS(AC_SOTIEN,AC_THANG,R$1,AC_KM,$E111),SUMIFS(TF_SOTIEN,TF_THANG,R$1,TF_KM,$E111))/ 1000</f>
        <v>0</v>
      </c>
      <c r="S111" s="1223">
        <f>IF(NOW()&gt;=DATE(YEAR(S$1),MONTH(S$1)+1,DAY(S$1)),SUMIFS(AC_SOTIEN,AC_THANG,S$1,AC_KM,$E111),SUMIFS(TF_SOTIEN,TF_THANG,S$1,TF_KM,$E111))/ 1000</f>
        <v>0</v>
      </c>
      <c r="T111" s="1223">
        <f>IF(NOW()&gt;=DATE(YEAR(T$1),MONTH(T$1)+1,DAY(T$1)),SUMIFS(AC_SOTIEN,AC_THANG,T$1,AC_KM,$E111),SUMIFS(TF_SOTIEN,TF_THANG,T$1,TF_KM,$E111))/ 1000</f>
        <v>0</v>
      </c>
      <c r="U111" s="1223">
        <f>IF(NOW()&gt;=DATE(YEAR(U$1),MONTH(U$1)+1,DAY(U$1)),SUMIFS(AC_SOTIEN,AC_THANG,U$1,AC_KM,$E111),SUMIFS(TF_SOTIEN,TF_THANG,U$1,TF_KM,$E111))/ 1000</f>
        <v>0</v>
      </c>
      <c r="V111" s="1223">
        <f>IF(NOW()&gt;=DATE(YEAR(V$1),MONTH(V$1)+1,DAY(V$1)),SUMIFS(AC_SOTIEN,AC_THANG,V$1,AC_KM,$E111),SUMIFS(TF_SOTIEN,TF_THANG,V$1,TF_KM,$E111))/ 1000</f>
        <v>0</v>
      </c>
      <c r="W111" s="1223">
        <f>IF(NOW()&gt;=DATE(YEAR(W$1),MONTH(W$1)+1,DAY(W$1)),SUMIFS(AC_SOTIEN,AC_THANG,W$1,AC_KM,$E111),SUMIFS(TF_SOTIEN,TF_THANG,W$1,TF_KM,$E111))/ 1000</f>
        <v>0</v>
      </c>
      <c r="X111" s="1223">
        <f>IF(NOW()&gt;=DATE(YEAR(X$1),MONTH(X$1)+1,DAY(X$1)),SUMIFS(AC_SOTIEN,AC_THANG,X$1,AC_KM,$E111),SUMIFS(TF_SOTIEN,TF_THANG,X$1,TF_KM,$E111))/ 1000</f>
        <v>0</v>
      </c>
      <c r="Y111" s="1223">
        <f>IF(NOW()&gt;=DATE(YEAR(Y$1),MONTH(Y$1)+1,DAY(Y$1)),SUMIFS(AC_SOTIEN,AC_THANG,Y$1,AC_KM,$E111),SUMIFS(TF_SOTIEN,TF_THANG,Y$1,TF_KM,$E111))/ 1000</f>
        <v>0</v>
      </c>
      <c r="Z111" s="1223">
        <f>IF(NOW()&gt;=DATE(YEAR(Z$1),MONTH(Z$1)+1,DAY(Z$1)),SUMIFS(AC_SOTIEN,AC_THANG,Z$1,AC_KM,$E111),SUMIFS(TF_SOTIEN,TF_THANG,Z$1,TF_KM,$E111))/ 1000</f>
        <v>0</v>
      </c>
      <c r="AA111" s="1223">
        <f>IF(NOW()&gt;=DATE(YEAR(AA$1),MONTH(AA$1)+1,DAY(AA$1)),SUMIFS(AC_SOTIEN,AC_THANG,AA$1,AC_KM,$E111),SUMIFS(TF_SOTIEN,TF_THANG,AA$1,TF_KM,$E111))/ 1000</f>
        <v>0</v>
      </c>
    </row>
    <row r="112">
      <c r="A112" s="1216"/>
      <c r="B112" s="1216"/>
      <c r="C112" s="1216"/>
      <c r="D112" s="1216" t="s">
        <v>2873</v>
      </c>
      <c r="E112" s="1217" t="s">
        <v>382</v>
      </c>
      <c r="F112" s="1218">
        <v>642.0</v>
      </c>
      <c r="G112" s="1218">
        <v>2.0</v>
      </c>
      <c r="H112" s="1219">
        <f t="shared" si="69"/>
        <v>0</v>
      </c>
      <c r="I112" s="1264">
        <f t="shared" si="35"/>
        <v>0</v>
      </c>
      <c r="J112" s="1221">
        <f t="shared" si="61"/>
        <v>14331.678</v>
      </c>
      <c r="K112" s="1221">
        <f t="shared" si="62"/>
        <v>0</v>
      </c>
      <c r="L112" s="1222">
        <f t="shared" si="63"/>
        <v>8630.678</v>
      </c>
      <c r="M112" s="1222">
        <f t="shared" si="64"/>
        <v>5701</v>
      </c>
      <c r="N112" s="1222">
        <f t="shared" si="65"/>
        <v>0</v>
      </c>
      <c r="O112" s="1222">
        <f t="shared" si="66"/>
        <v>0</v>
      </c>
      <c r="P112" s="1223">
        <f>IF(NOW()&gt;=DATE(YEAR(P$1),MONTH(P$1)+1,DAY(P$1)),SUMIFS(AC_SOTIEN,AC_THANG,P$1,AC_KM,$E112),SUMIFS(TF_SOTIEN,TF_THANG,P$1,TF_KM,$E112))/ 1000</f>
        <v>0</v>
      </c>
      <c r="Q112" s="1223">
        <f>IF(NOW()&gt;=DATE(YEAR(Q$1),MONTH(Q$1)+1,DAY(Q$1)),SUMIFS(AC_SOTIEN,AC_THANG,Q$1,AC_KM,$E112),SUMIFS(TF_SOTIEN,TF_THANG,Q$1,TF_KM,$E112))/ 1000</f>
        <v>310</v>
      </c>
      <c r="R112" s="1223">
        <f>IF(NOW()&gt;=DATE(YEAR(R$1),MONTH(R$1)+1,DAY(R$1)),SUMIFS(AC_SOTIEN,AC_THANG,R$1,AC_KM,$E112),SUMIFS(TF_SOTIEN,TF_THANG,R$1,TF_KM,$E112))/ 1000</f>
        <v>8320.678</v>
      </c>
      <c r="S112" s="1223">
        <f>IF(NOW()&gt;=DATE(YEAR(S$1),MONTH(S$1)+1,DAY(S$1)),SUMIFS(AC_SOTIEN,AC_THANG,S$1,AC_KM,$E112),SUMIFS(TF_SOTIEN,TF_THANG,S$1,TF_KM,$E112))/ 1000</f>
        <v>160</v>
      </c>
      <c r="T112" s="1223">
        <f>IF(NOW()&gt;=DATE(YEAR(T$1),MONTH(T$1)+1,DAY(T$1)),SUMIFS(AC_SOTIEN,AC_THANG,T$1,AC_KM,$E112),SUMIFS(TF_SOTIEN,TF_THANG,T$1,TF_KM,$E112))/ 1000</f>
        <v>5541</v>
      </c>
      <c r="U112" s="1223">
        <f>IF(NOW()&gt;=DATE(YEAR(U$1),MONTH(U$1)+1,DAY(U$1)),SUMIFS(AC_SOTIEN,AC_THANG,U$1,AC_KM,$E112),SUMIFS(TF_SOTIEN,TF_THANG,U$1,TF_KM,$E112))/ 1000</f>
        <v>0</v>
      </c>
      <c r="V112" s="1223">
        <f>IF(NOW()&gt;=DATE(YEAR(V$1),MONTH(V$1)+1,DAY(V$1)),SUMIFS(AC_SOTIEN,AC_THANG,V$1,AC_KM,$E112),SUMIFS(TF_SOTIEN,TF_THANG,V$1,TF_KM,$E112))/ 1000</f>
        <v>0</v>
      </c>
      <c r="W112" s="1223">
        <f>IF(NOW()&gt;=DATE(YEAR(W$1),MONTH(W$1)+1,DAY(W$1)),SUMIFS(AC_SOTIEN,AC_THANG,W$1,AC_KM,$E112),SUMIFS(TF_SOTIEN,TF_THANG,W$1,TF_KM,$E112))/ 1000</f>
        <v>0</v>
      </c>
      <c r="X112" s="1223">
        <f>IF(NOW()&gt;=DATE(YEAR(X$1),MONTH(X$1)+1,DAY(X$1)),SUMIFS(AC_SOTIEN,AC_THANG,X$1,AC_KM,$E112),SUMIFS(TF_SOTIEN,TF_THANG,X$1,TF_KM,$E112))/ 1000</f>
        <v>0</v>
      </c>
      <c r="Y112" s="1223">
        <f>IF(NOW()&gt;=DATE(YEAR(Y$1),MONTH(Y$1)+1,DAY(Y$1)),SUMIFS(AC_SOTIEN,AC_THANG,Y$1,AC_KM,$E112),SUMIFS(TF_SOTIEN,TF_THANG,Y$1,TF_KM,$E112))/ 1000</f>
        <v>0</v>
      </c>
      <c r="Z112" s="1223">
        <f>IF(NOW()&gt;=DATE(YEAR(Z$1),MONTH(Z$1)+1,DAY(Z$1)),SUMIFS(AC_SOTIEN,AC_THANG,Z$1,AC_KM,$E112),SUMIFS(TF_SOTIEN,TF_THANG,Z$1,TF_KM,$E112))/ 1000</f>
        <v>0</v>
      </c>
      <c r="AA112" s="1223">
        <f>IF(NOW()&gt;=DATE(YEAR(AA$1),MONTH(AA$1)+1,DAY(AA$1)),SUMIFS(AC_SOTIEN,AC_THANG,AA$1,AC_KM,$E112),SUMIFS(TF_SOTIEN,TF_THANG,AA$1,TF_KM,$E112))/ 1000</f>
        <v>0</v>
      </c>
    </row>
    <row r="113">
      <c r="A113" s="1277" t="s">
        <v>2874</v>
      </c>
      <c r="B113" s="1278"/>
      <c r="C113" s="1279"/>
      <c r="D113" s="1279"/>
      <c r="E113" s="1280"/>
      <c r="F113" s="1279"/>
      <c r="G113" s="1279"/>
      <c r="H113" s="1281">
        <f>H85+H68+H67+H66</f>
        <v>829084.07</v>
      </c>
      <c r="I113" s="1282">
        <f t="shared" si="35"/>
        <v>0.1908304056</v>
      </c>
      <c r="J113" s="1281">
        <f t="shared" si="61"/>
        <v>4145927.095</v>
      </c>
      <c r="K113" s="1281">
        <f t="shared" si="62"/>
        <v>0</v>
      </c>
      <c r="L113" s="1281">
        <f t="shared" si="63"/>
        <v>1959255.087</v>
      </c>
      <c r="M113" s="1281">
        <f t="shared" si="64"/>
        <v>2186672.008</v>
      </c>
      <c r="N113" s="1281">
        <f t="shared" si="65"/>
        <v>0</v>
      </c>
      <c r="O113" s="1281">
        <f t="shared" si="66"/>
        <v>0</v>
      </c>
      <c r="P113" s="1281">
        <f t="shared" ref="P113:AA113" si="71">P85+P68+P67+P66</f>
        <v>829084.07</v>
      </c>
      <c r="Q113" s="1281">
        <f t="shared" si="71"/>
        <v>311952.991</v>
      </c>
      <c r="R113" s="1281">
        <f t="shared" si="71"/>
        <v>818218.026</v>
      </c>
      <c r="S113" s="1281">
        <f t="shared" si="71"/>
        <v>1397101.091</v>
      </c>
      <c r="T113" s="1281">
        <f t="shared" si="71"/>
        <v>789570.917</v>
      </c>
      <c r="U113" s="1281">
        <f t="shared" si="71"/>
        <v>0</v>
      </c>
      <c r="V113" s="1281">
        <f t="shared" si="71"/>
        <v>0</v>
      </c>
      <c r="W113" s="1281">
        <f t="shared" si="71"/>
        <v>0</v>
      </c>
      <c r="X113" s="1281">
        <f t="shared" si="71"/>
        <v>0</v>
      </c>
      <c r="Y113" s="1281">
        <f t="shared" si="71"/>
        <v>0</v>
      </c>
      <c r="Z113" s="1281">
        <f t="shared" si="71"/>
        <v>0</v>
      </c>
      <c r="AA113" s="1281">
        <f t="shared" si="71"/>
        <v>0</v>
      </c>
    </row>
    <row r="114">
      <c r="A114" s="1283" t="s">
        <v>2875</v>
      </c>
      <c r="B114" s="1237"/>
      <c r="C114" s="1237"/>
      <c r="D114" s="1238"/>
      <c r="E114" s="1239"/>
      <c r="F114" s="1238"/>
      <c r="G114" s="1284">
        <v>1.0</v>
      </c>
      <c r="H114" s="1285">
        <f>H50-H113</f>
        <v>3515527.93</v>
      </c>
      <c r="I114" s="1241">
        <f t="shared" si="35"/>
        <v>0.8091695944</v>
      </c>
      <c r="J114" s="1285">
        <f t="shared" si="61"/>
        <v>198684.905</v>
      </c>
      <c r="K114" s="1285">
        <f t="shared" si="62"/>
        <v>0</v>
      </c>
      <c r="L114" s="1285">
        <f t="shared" si="63"/>
        <v>-771255.087</v>
      </c>
      <c r="M114" s="1285">
        <f t="shared" si="64"/>
        <v>969939.992</v>
      </c>
      <c r="N114" s="1285">
        <f t="shared" si="65"/>
        <v>0</v>
      </c>
      <c r="O114" s="1285">
        <f t="shared" si="66"/>
        <v>0</v>
      </c>
      <c r="P114" s="1285">
        <f t="shared" ref="P114:AA114" si="72">P50-P113</f>
        <v>-489084.07</v>
      </c>
      <c r="Q114" s="1285">
        <f t="shared" si="72"/>
        <v>-131952.991</v>
      </c>
      <c r="R114" s="1285">
        <f t="shared" si="72"/>
        <v>-150218.026</v>
      </c>
      <c r="S114" s="1285">
        <f t="shared" si="72"/>
        <v>1203938.909</v>
      </c>
      <c r="T114" s="1285">
        <f t="shared" si="72"/>
        <v>-233998.917</v>
      </c>
      <c r="U114" s="1285">
        <f t="shared" si="72"/>
        <v>0</v>
      </c>
      <c r="V114" s="1285">
        <f t="shared" si="72"/>
        <v>0</v>
      </c>
      <c r="W114" s="1285">
        <f t="shared" si="72"/>
        <v>0</v>
      </c>
      <c r="X114" s="1285">
        <f t="shared" si="72"/>
        <v>0</v>
      </c>
      <c r="Y114" s="1285">
        <f t="shared" si="72"/>
        <v>0</v>
      </c>
      <c r="Z114" s="1285">
        <f t="shared" si="72"/>
        <v>0</v>
      </c>
      <c r="AA114" s="1285">
        <f t="shared" si="72"/>
        <v>0</v>
      </c>
    </row>
    <row r="115">
      <c r="A115" s="1254"/>
      <c r="B115" s="1254"/>
      <c r="C115" s="1254"/>
      <c r="D115" s="1254" t="s">
        <v>2876</v>
      </c>
      <c r="E115" s="1217" t="s">
        <v>2877</v>
      </c>
      <c r="F115" s="1218">
        <v>711.0</v>
      </c>
      <c r="G115" s="1218">
        <v>2.0</v>
      </c>
      <c r="H115" s="1219">
        <f t="shared" ref="H115:H116" si="73">SUMIF(#REF!,#REF!,$P115:$AA115)</f>
        <v>0</v>
      </c>
      <c r="I115" s="1220">
        <f t="shared" si="35"/>
        <v>0</v>
      </c>
      <c r="J115" s="1221">
        <f t="shared" si="61"/>
        <v>0</v>
      </c>
      <c r="K115" s="1221">
        <f t="shared" si="62"/>
        <v>0</v>
      </c>
      <c r="L115" s="1222">
        <f t="shared" si="63"/>
        <v>0</v>
      </c>
      <c r="M115" s="1222">
        <f t="shared" si="64"/>
        <v>0</v>
      </c>
      <c r="N115" s="1222">
        <f t="shared" si="65"/>
        <v>0</v>
      </c>
      <c r="O115" s="1222">
        <f t="shared" si="66"/>
        <v>0</v>
      </c>
      <c r="P115" s="1223">
        <f>IF(NOW()&gt;=DATE(YEAR(P$1),MONTH(P$1)+1,DAY(P$1)),SUMIFS(AC_SOTIEN,AC_THANG,P$1,AC_KM,$E115),SUMIFS(TF_SOTIEN,TF_THANG,P$1,TF_KM,$E115))/ 1000</f>
        <v>0</v>
      </c>
      <c r="Q115" s="1223">
        <f>IF(NOW()&gt;=DATE(YEAR(Q$1),MONTH(Q$1)+1,DAY(Q$1)),SUMIFS(AC_SOTIEN,AC_THANG,Q$1,AC_KM,$E115),SUMIFS(TF_SOTIEN,TF_THANG,Q$1,TF_KM,$E115))/ 1000</f>
        <v>0</v>
      </c>
      <c r="R115" s="1223">
        <f>IF(NOW()&gt;=DATE(YEAR(R$1),MONTH(R$1)+1,DAY(R$1)),SUMIFS(AC_SOTIEN,AC_THANG,R$1,AC_KM,$E115),SUMIFS(TF_SOTIEN,TF_THANG,R$1,TF_KM,$E115))/ 1000</f>
        <v>0</v>
      </c>
      <c r="S115" s="1223">
        <f>IF(NOW()&gt;=DATE(YEAR(S$1),MONTH(S$1)+1,DAY(S$1)),SUMIFS(AC_SOTIEN,AC_THANG,S$1,AC_KM,$E115),SUMIFS(TF_SOTIEN,TF_THANG,S$1,TF_KM,$E115))/ 1000</f>
        <v>0</v>
      </c>
      <c r="T115" s="1223">
        <f>IF(NOW()&gt;=DATE(YEAR(T$1),MONTH(T$1)+1,DAY(T$1)),SUMIFS(AC_SOTIEN,AC_THANG,T$1,AC_KM,$E115),SUMIFS(TF_SOTIEN,TF_THANG,T$1,TF_KM,$E115))/ 1000</f>
        <v>0</v>
      </c>
      <c r="U115" s="1223">
        <f>IF(NOW()&gt;=DATE(YEAR(U$1),MONTH(U$1)+1,DAY(U$1)),SUMIFS(AC_SOTIEN,AC_THANG,U$1,AC_KM,$E115),SUMIFS(TF_SOTIEN,TF_THANG,U$1,TF_KM,$E115))/ 1000</f>
        <v>0</v>
      </c>
      <c r="V115" s="1223">
        <f>IF(NOW()&gt;=DATE(YEAR(V$1),MONTH(V$1)+1,DAY(V$1)),SUMIFS(AC_SOTIEN,AC_THANG,V$1,AC_KM,$E115),SUMIFS(TF_SOTIEN,TF_THANG,V$1,TF_KM,$E115))/ 1000</f>
        <v>0</v>
      </c>
      <c r="W115" s="1223">
        <f>IF(NOW()&gt;=DATE(YEAR(W$1),MONTH(W$1)+1,DAY(W$1)),SUMIFS(AC_SOTIEN,AC_THANG,W$1,AC_KM,$E115),SUMIFS(TF_SOTIEN,TF_THANG,W$1,TF_KM,$E115))/ 1000</f>
        <v>0</v>
      </c>
      <c r="X115" s="1223">
        <f>IF(NOW()&gt;=DATE(YEAR(X$1),MONTH(X$1)+1,DAY(X$1)),SUMIFS(AC_SOTIEN,AC_THANG,X$1,AC_KM,$E115),SUMIFS(TF_SOTIEN,TF_THANG,X$1,TF_KM,$E115))/ 1000</f>
        <v>0</v>
      </c>
      <c r="Y115" s="1223">
        <f>IF(NOW()&gt;=DATE(YEAR(Y$1),MONTH(Y$1)+1,DAY(Y$1)),SUMIFS(AC_SOTIEN,AC_THANG,Y$1,AC_KM,$E115),SUMIFS(TF_SOTIEN,TF_THANG,Y$1,TF_KM,$E115))/ 1000</f>
        <v>0</v>
      </c>
      <c r="Z115" s="1223">
        <f>IF(NOW()&gt;=DATE(YEAR(Z$1),MONTH(Z$1)+1,DAY(Z$1)),SUMIFS(AC_SOTIEN,AC_THANG,Z$1,AC_KM,$E115),SUMIFS(TF_SOTIEN,TF_THANG,Z$1,TF_KM,$E115))/ 1000</f>
        <v>0</v>
      </c>
      <c r="AA115" s="1223">
        <f>IF(NOW()&gt;=DATE(YEAR(AA$1),MONTH(AA$1)+1,DAY(AA$1)),SUMIFS(AC_SOTIEN,AC_THANG,AA$1,AC_KM,$E115),SUMIFS(TF_SOTIEN,TF_THANG,AA$1,TF_KM,$E115))/ 1000</f>
        <v>0</v>
      </c>
    </row>
    <row r="116">
      <c r="A116" s="1254"/>
      <c r="B116" s="1254"/>
      <c r="C116" s="1254"/>
      <c r="D116" s="1254" t="s">
        <v>2090</v>
      </c>
      <c r="E116" s="1217" t="s">
        <v>380</v>
      </c>
      <c r="F116" s="1218">
        <v>811.0</v>
      </c>
      <c r="G116" s="1218">
        <v>2.0</v>
      </c>
      <c r="H116" s="1219">
        <f t="shared" si="73"/>
        <v>0</v>
      </c>
      <c r="I116" s="1220">
        <f t="shared" si="35"/>
        <v>0</v>
      </c>
      <c r="J116" s="1221">
        <f t="shared" si="61"/>
        <v>160.001</v>
      </c>
      <c r="K116" s="1221">
        <f t="shared" si="62"/>
        <v>0</v>
      </c>
      <c r="L116" s="1222">
        <f t="shared" si="63"/>
        <v>160.001</v>
      </c>
      <c r="M116" s="1222">
        <f t="shared" si="64"/>
        <v>0</v>
      </c>
      <c r="N116" s="1222">
        <f t="shared" si="65"/>
        <v>0</v>
      </c>
      <c r="O116" s="1222">
        <f t="shared" si="66"/>
        <v>0</v>
      </c>
      <c r="P116" s="1223">
        <f>IF(NOW()&gt;=DATE(YEAR(P$1),MONTH(P$1)+1,DAY(P$1)),SUMIFS(AC_SOTIEN,AC_THANG,P$1,AC_KM,$E116),SUMIFS(TF_SOTIEN,TF_THANG,P$1,TF_KM,$E116))/ 1000</f>
        <v>0</v>
      </c>
      <c r="Q116" s="1223">
        <f>IF(NOW()&gt;=DATE(YEAR(Q$1),MONTH(Q$1)+1,DAY(Q$1)),SUMIFS(AC_SOTIEN,AC_THANG,Q$1,AC_KM,$E116),SUMIFS(TF_SOTIEN,TF_THANG,Q$1,TF_KM,$E116))/ 1000</f>
        <v>160.001</v>
      </c>
      <c r="R116" s="1223">
        <f>IF(NOW()&gt;=DATE(YEAR(R$1),MONTH(R$1)+1,DAY(R$1)),SUMIFS(AC_SOTIEN,AC_THANG,R$1,AC_KM,$E116),SUMIFS(TF_SOTIEN,TF_THANG,R$1,TF_KM,$E116))/ 1000</f>
        <v>0</v>
      </c>
      <c r="S116" s="1223">
        <f>IF(NOW()&gt;=DATE(YEAR(S$1),MONTH(S$1)+1,DAY(S$1)),SUMIFS(AC_SOTIEN,AC_THANG,S$1,AC_KM,$E116),SUMIFS(TF_SOTIEN,TF_THANG,S$1,TF_KM,$E116))/ 1000</f>
        <v>0</v>
      </c>
      <c r="T116" s="1223">
        <f>IF(NOW()&gt;=DATE(YEAR(T$1),MONTH(T$1)+1,DAY(T$1)),SUMIFS(AC_SOTIEN,AC_THANG,T$1,AC_KM,$E116),SUMIFS(TF_SOTIEN,TF_THANG,T$1,TF_KM,$E116))/ 1000</f>
        <v>0</v>
      </c>
      <c r="U116" s="1223">
        <f>IF(NOW()&gt;=DATE(YEAR(U$1),MONTH(U$1)+1,DAY(U$1)),SUMIFS(AC_SOTIEN,AC_THANG,U$1,AC_KM,$E116),SUMIFS(TF_SOTIEN,TF_THANG,U$1,TF_KM,$E116))/ 1000</f>
        <v>0</v>
      </c>
      <c r="V116" s="1223">
        <f>IF(NOW()&gt;=DATE(YEAR(V$1),MONTH(V$1)+1,DAY(V$1)),SUMIFS(AC_SOTIEN,AC_THANG,V$1,AC_KM,$E116),SUMIFS(TF_SOTIEN,TF_THANG,V$1,TF_KM,$E116))/ 1000</f>
        <v>0</v>
      </c>
      <c r="W116" s="1223">
        <f>IF(NOW()&gt;=DATE(YEAR(W$1),MONTH(W$1)+1,DAY(W$1)),SUMIFS(AC_SOTIEN,AC_THANG,W$1,AC_KM,$E116),SUMIFS(TF_SOTIEN,TF_THANG,W$1,TF_KM,$E116))/ 1000</f>
        <v>0</v>
      </c>
      <c r="X116" s="1223">
        <f>IF(NOW()&gt;=DATE(YEAR(X$1),MONTH(X$1)+1,DAY(X$1)),SUMIFS(AC_SOTIEN,AC_THANG,X$1,AC_KM,$E116),SUMIFS(TF_SOTIEN,TF_THANG,X$1,TF_KM,$E116))/ 1000</f>
        <v>0</v>
      </c>
      <c r="Y116" s="1223">
        <f>IF(NOW()&gt;=DATE(YEAR(Y$1),MONTH(Y$1)+1,DAY(Y$1)),SUMIFS(AC_SOTIEN,AC_THANG,Y$1,AC_KM,$E116),SUMIFS(TF_SOTIEN,TF_THANG,Y$1,TF_KM,$E116))/ 1000</f>
        <v>0</v>
      </c>
      <c r="Z116" s="1223">
        <f>IF(NOW()&gt;=DATE(YEAR(Z$1),MONTH(Z$1)+1,DAY(Z$1)),SUMIFS(AC_SOTIEN,AC_THANG,Z$1,AC_KM,$E116),SUMIFS(TF_SOTIEN,TF_THANG,Z$1,TF_KM,$E116))/ 1000</f>
        <v>0</v>
      </c>
      <c r="AA116" s="1223">
        <f>IF(NOW()&gt;=DATE(YEAR(AA$1),MONTH(AA$1)+1,DAY(AA$1)),SUMIFS(AC_SOTIEN,AC_THANG,AA$1,AC_KM,$E116),SUMIFS(TF_SOTIEN,TF_THANG,AA$1,TF_KM,$E116))/ 1000</f>
        <v>0</v>
      </c>
    </row>
    <row r="117">
      <c r="A117" s="1254"/>
      <c r="B117" s="1254"/>
      <c r="C117" s="1254"/>
      <c r="D117" s="1254" t="s">
        <v>2878</v>
      </c>
      <c r="E117" s="1217"/>
      <c r="F117" s="1254"/>
      <c r="G117" s="1254"/>
      <c r="H117" s="1219">
        <f>H115-H116</f>
        <v>0</v>
      </c>
      <c r="I117" s="1220">
        <f t="shared" si="35"/>
        <v>0</v>
      </c>
      <c r="J117" s="1221">
        <f t="shared" si="61"/>
        <v>-160.001</v>
      </c>
      <c r="K117" s="1221">
        <f t="shared" si="62"/>
        <v>0</v>
      </c>
      <c r="L117" s="1222">
        <f t="shared" si="63"/>
        <v>-160.001</v>
      </c>
      <c r="M117" s="1222">
        <f t="shared" si="64"/>
        <v>0</v>
      </c>
      <c r="N117" s="1222">
        <f t="shared" si="65"/>
        <v>0</v>
      </c>
      <c r="O117" s="1222">
        <f t="shared" si="66"/>
        <v>0</v>
      </c>
      <c r="P117" s="1223">
        <f t="shared" ref="P117:AA117" si="74">P115-P116</f>
        <v>0</v>
      </c>
      <c r="Q117" s="1223">
        <f t="shared" si="74"/>
        <v>-160.001</v>
      </c>
      <c r="R117" s="1223">
        <f t="shared" si="74"/>
        <v>0</v>
      </c>
      <c r="S117" s="1223">
        <f t="shared" si="74"/>
        <v>0</v>
      </c>
      <c r="T117" s="1223">
        <f t="shared" si="74"/>
        <v>0</v>
      </c>
      <c r="U117" s="1223">
        <f t="shared" si="74"/>
        <v>0</v>
      </c>
      <c r="V117" s="1223">
        <f t="shared" si="74"/>
        <v>0</v>
      </c>
      <c r="W117" s="1223">
        <f t="shared" si="74"/>
        <v>0</v>
      </c>
      <c r="X117" s="1223">
        <f t="shared" si="74"/>
        <v>0</v>
      </c>
      <c r="Y117" s="1223">
        <f t="shared" si="74"/>
        <v>0</v>
      </c>
      <c r="Z117" s="1223">
        <f t="shared" si="74"/>
        <v>0</v>
      </c>
      <c r="AA117" s="1223">
        <f t="shared" si="74"/>
        <v>0</v>
      </c>
    </row>
    <row r="118">
      <c r="A118" s="1286" t="s">
        <v>2879</v>
      </c>
      <c r="B118" s="1287"/>
      <c r="C118" s="1287"/>
      <c r="D118" s="1288"/>
      <c r="E118" s="1289"/>
      <c r="F118" s="1288"/>
      <c r="G118" s="1288"/>
      <c r="H118" s="1290">
        <f>H114+H117</f>
        <v>3515527.93</v>
      </c>
      <c r="I118" s="1291">
        <f t="shared" si="35"/>
        <v>0.8091695944</v>
      </c>
      <c r="J118" s="1290">
        <f t="shared" si="61"/>
        <v>198524.904</v>
      </c>
      <c r="K118" s="1290">
        <f t="shared" si="62"/>
        <v>0</v>
      </c>
      <c r="L118" s="1290">
        <f t="shared" si="63"/>
        <v>-771415.088</v>
      </c>
      <c r="M118" s="1290">
        <f t="shared" si="64"/>
        <v>969939.992</v>
      </c>
      <c r="N118" s="1290">
        <f t="shared" si="65"/>
        <v>0</v>
      </c>
      <c r="O118" s="1290">
        <f t="shared" si="66"/>
        <v>0</v>
      </c>
      <c r="P118" s="1290">
        <f t="shared" ref="P118:AA118" si="75">P114+P117</f>
        <v>-489084.07</v>
      </c>
      <c r="Q118" s="1290">
        <f t="shared" si="75"/>
        <v>-132112.992</v>
      </c>
      <c r="R118" s="1290">
        <f t="shared" si="75"/>
        <v>-150218.026</v>
      </c>
      <c r="S118" s="1290">
        <f t="shared" si="75"/>
        <v>1203938.909</v>
      </c>
      <c r="T118" s="1290">
        <f t="shared" si="75"/>
        <v>-233998.917</v>
      </c>
      <c r="U118" s="1290">
        <f t="shared" si="75"/>
        <v>0</v>
      </c>
      <c r="V118" s="1290">
        <f t="shared" si="75"/>
        <v>0</v>
      </c>
      <c r="W118" s="1290">
        <f t="shared" si="75"/>
        <v>0</v>
      </c>
      <c r="X118" s="1290">
        <f t="shared" si="75"/>
        <v>0</v>
      </c>
      <c r="Y118" s="1290">
        <f t="shared" si="75"/>
        <v>0</v>
      </c>
      <c r="Z118" s="1290">
        <f t="shared" si="75"/>
        <v>0</v>
      </c>
      <c r="AA118" s="1290">
        <f t="shared" si="75"/>
        <v>0</v>
      </c>
    </row>
    <row r="119">
      <c r="A119" s="1246" t="s">
        <v>2880</v>
      </c>
      <c r="B119" s="1247"/>
      <c r="C119" s="1247"/>
      <c r="D119" s="1248"/>
      <c r="E119" s="1249" t="s">
        <v>2881</v>
      </c>
      <c r="F119" s="1248"/>
      <c r="G119" s="1250">
        <v>1.0</v>
      </c>
      <c r="H119" s="1251">
        <f>SUMIF(#REF!,#REF!,$P119:$AA119)</f>
        <v>0</v>
      </c>
      <c r="I119" s="1292">
        <f t="shared" si="35"/>
        <v>0</v>
      </c>
      <c r="J119" s="1251">
        <f t="shared" si="61"/>
        <v>168551.4473</v>
      </c>
      <c r="K119" s="1251">
        <f t="shared" si="62"/>
        <v>0</v>
      </c>
      <c r="L119" s="1251">
        <f t="shared" si="63"/>
        <v>0</v>
      </c>
      <c r="M119" s="1251">
        <f t="shared" si="64"/>
        <v>168551.4473</v>
      </c>
      <c r="N119" s="1251">
        <f t="shared" si="65"/>
        <v>0</v>
      </c>
      <c r="O119" s="1251">
        <f t="shared" si="66"/>
        <v>0</v>
      </c>
      <c r="P119" s="1251">
        <f t="shared" ref="P119:AA119" si="76">IF(P118&gt;0,P118*0.14,0)</f>
        <v>0</v>
      </c>
      <c r="Q119" s="1251">
        <f t="shared" si="76"/>
        <v>0</v>
      </c>
      <c r="R119" s="1251">
        <f t="shared" si="76"/>
        <v>0</v>
      </c>
      <c r="S119" s="1251">
        <f t="shared" si="76"/>
        <v>168551.4473</v>
      </c>
      <c r="T119" s="1251">
        <f t="shared" si="76"/>
        <v>0</v>
      </c>
      <c r="U119" s="1251">
        <f t="shared" si="76"/>
        <v>0</v>
      </c>
      <c r="V119" s="1251">
        <f t="shared" si="76"/>
        <v>0</v>
      </c>
      <c r="W119" s="1251">
        <f t="shared" si="76"/>
        <v>0</v>
      </c>
      <c r="X119" s="1251">
        <f t="shared" si="76"/>
        <v>0</v>
      </c>
      <c r="Y119" s="1251">
        <f t="shared" si="76"/>
        <v>0</v>
      </c>
      <c r="Z119" s="1251">
        <f t="shared" si="76"/>
        <v>0</v>
      </c>
      <c r="AA119" s="1251">
        <f t="shared" si="76"/>
        <v>0</v>
      </c>
    </row>
    <row r="120">
      <c r="A120" s="1286" t="s">
        <v>2882</v>
      </c>
      <c r="B120" s="1287"/>
      <c r="C120" s="1288"/>
      <c r="D120" s="1288"/>
      <c r="E120" s="1289"/>
      <c r="F120" s="1288"/>
      <c r="G120" s="1288"/>
      <c r="H120" s="1293">
        <f>H118-H119</f>
        <v>3515527.93</v>
      </c>
      <c r="I120" s="1291">
        <f t="shared" si="35"/>
        <v>0.8091695944</v>
      </c>
      <c r="J120" s="1293">
        <f t="shared" si="61"/>
        <v>29973.45674</v>
      </c>
      <c r="K120" s="1293">
        <f t="shared" si="62"/>
        <v>0</v>
      </c>
      <c r="L120" s="1293">
        <f t="shared" si="63"/>
        <v>-771415.088</v>
      </c>
      <c r="M120" s="1293">
        <f t="shared" si="64"/>
        <v>801388.5447</v>
      </c>
      <c r="N120" s="1293">
        <f t="shared" si="65"/>
        <v>0</v>
      </c>
      <c r="O120" s="1293">
        <f t="shared" si="66"/>
        <v>0</v>
      </c>
      <c r="P120" s="1293">
        <f t="shared" ref="P120:AA120" si="77">P118-P119</f>
        <v>-489084.07</v>
      </c>
      <c r="Q120" s="1293">
        <f t="shared" si="77"/>
        <v>-132112.992</v>
      </c>
      <c r="R120" s="1293">
        <f t="shared" si="77"/>
        <v>-150218.026</v>
      </c>
      <c r="S120" s="1293">
        <f t="shared" si="77"/>
        <v>1035387.462</v>
      </c>
      <c r="T120" s="1293">
        <f t="shared" si="77"/>
        <v>-233998.917</v>
      </c>
      <c r="U120" s="1293">
        <f t="shared" si="77"/>
        <v>0</v>
      </c>
      <c r="V120" s="1293">
        <f t="shared" si="77"/>
        <v>0</v>
      </c>
      <c r="W120" s="1293">
        <f t="shared" si="77"/>
        <v>0</v>
      </c>
      <c r="X120" s="1293">
        <f t="shared" si="77"/>
        <v>0</v>
      </c>
      <c r="Y120" s="1293">
        <f t="shared" si="77"/>
        <v>0</v>
      </c>
      <c r="Z120" s="1293">
        <f t="shared" si="77"/>
        <v>0</v>
      </c>
      <c r="AA120" s="1293">
        <f t="shared" si="77"/>
        <v>0</v>
      </c>
    </row>
    <row r="121">
      <c r="A121" s="1254"/>
      <c r="B121" s="1254"/>
      <c r="C121" s="1254"/>
      <c r="D121" s="1216" t="s">
        <v>2091</v>
      </c>
      <c r="E121" s="1217" t="s">
        <v>203</v>
      </c>
      <c r="F121" s="1254"/>
      <c r="G121" s="1218">
        <v>2.0</v>
      </c>
      <c r="H121" s="1219">
        <f>SUMIF(#REF!,#REF!,$P121:$AA121)</f>
        <v>24000</v>
      </c>
      <c r="I121" s="1220">
        <f t="shared" si="35"/>
        <v>0.005524083624</v>
      </c>
      <c r="J121" s="1221">
        <f t="shared" si="61"/>
        <v>323181.36</v>
      </c>
      <c r="K121" s="1221">
        <f t="shared" si="62"/>
        <v>0</v>
      </c>
      <c r="L121" s="1222">
        <f t="shared" si="63"/>
        <v>78510</v>
      </c>
      <c r="M121" s="1222">
        <f t="shared" si="64"/>
        <v>244671.36</v>
      </c>
      <c r="N121" s="1222">
        <f t="shared" si="65"/>
        <v>0</v>
      </c>
      <c r="O121" s="1222">
        <f t="shared" si="66"/>
        <v>0</v>
      </c>
      <c r="P121" s="1223">
        <f>IF(NOW()&gt;=DATE(YEAR(P$1),MONTH(P$1)+1,DAY(P$1)),SUMIFS(AC_SOTIEN,AC_THANG,P$1,AC_KM,$E121),SUMIFS(TF_SOTIEN,TF_THANG,P$1,TF_KM,$E121))/ 1000</f>
        <v>24000</v>
      </c>
      <c r="Q121" s="1223">
        <f>IF(NOW()&gt;=DATE(YEAR(Q$1),MONTH(Q$1)+1,DAY(Q$1)),SUMIFS(AC_SOTIEN,AC_THANG,Q$1,AC_KM,$E121),SUMIFS(TF_SOTIEN,TF_THANG,Q$1,TF_KM,$E121))/ 1000</f>
        <v>12110</v>
      </c>
      <c r="R121" s="1223">
        <f>IF(NOW()&gt;=DATE(YEAR(R$1),MONTH(R$1)+1,DAY(R$1)),SUMIFS(AC_SOTIEN,AC_THANG,R$1,AC_KM,$E121),SUMIFS(TF_SOTIEN,TF_THANG,R$1,TF_KM,$E121))/ 1000</f>
        <v>42400</v>
      </c>
      <c r="S121" s="1223">
        <f>IF(NOW()&gt;=DATE(YEAR(S$1),MONTH(S$1)+1,DAY(S$1)),SUMIFS(AC_SOTIEN,AC_THANG,S$1,AC_KM,$E121),SUMIFS(TF_SOTIEN,TF_THANG,S$1,TF_KM,$E121))/ 1000</f>
        <v>202643.2</v>
      </c>
      <c r="T121" s="1223">
        <f>IF(NOW()&gt;=DATE(YEAR(T$1),MONTH(T$1)+1,DAY(T$1)),SUMIFS(AC_SOTIEN,AC_THANG,T$1,AC_KM,$E121),SUMIFS(TF_SOTIEN,TF_THANG,T$1,TF_KM,$E121))/ 1000</f>
        <v>42028.16</v>
      </c>
      <c r="U121" s="1223">
        <f>IF(NOW()&gt;=DATE(YEAR(U$1),MONTH(U$1)+1,DAY(U$1)),SUMIFS(AC_SOTIEN,AC_THANG,U$1,AC_KM,$E121),SUMIFS(TF_SOTIEN,TF_THANG,U$1,TF_KM,$E121))/ 1000</f>
        <v>0</v>
      </c>
      <c r="V121" s="1223">
        <f>IF(NOW()&gt;=DATE(YEAR(V$1),MONTH(V$1)+1,DAY(V$1)),SUMIFS(AC_SOTIEN,AC_THANG,V$1,AC_KM,$E121),SUMIFS(TF_SOTIEN,TF_THANG,V$1,TF_KM,$E121))/ 1000</f>
        <v>0</v>
      </c>
      <c r="W121" s="1223">
        <f>IF(NOW()&gt;=DATE(YEAR(W$1),MONTH(W$1)+1,DAY(W$1)),SUMIFS(AC_SOTIEN,AC_THANG,W$1,AC_KM,$E121),SUMIFS(TF_SOTIEN,TF_THANG,W$1,TF_KM,$E121))/ 1000</f>
        <v>0</v>
      </c>
      <c r="X121" s="1223">
        <f>IF(NOW()&gt;=DATE(YEAR(X$1),MONTH(X$1)+1,DAY(X$1)),SUMIFS(AC_SOTIEN,AC_THANG,X$1,AC_KM,$E121),SUMIFS(TF_SOTIEN,TF_THANG,X$1,TF_KM,$E121))/ 1000</f>
        <v>0</v>
      </c>
      <c r="Y121" s="1223">
        <f>IF(NOW()&gt;=DATE(YEAR(Y$1),MONTH(Y$1)+1,DAY(Y$1)),SUMIFS(AC_SOTIEN,AC_THANG,Y$1,AC_KM,$E121),SUMIFS(TF_SOTIEN,TF_THANG,Y$1,TF_KM,$E121))/ 1000</f>
        <v>0</v>
      </c>
      <c r="Z121" s="1223">
        <f>IF(NOW()&gt;=DATE(YEAR(Z$1),MONTH(Z$1)+1,DAY(Z$1)),SUMIFS(AC_SOTIEN,AC_THANG,Z$1,AC_KM,$E121),SUMIFS(TF_SOTIEN,TF_THANG,Z$1,TF_KM,$E121))/ 1000</f>
        <v>0</v>
      </c>
      <c r="AA121" s="1223">
        <f>IF(NOW()&gt;=DATE(YEAR(AA$1),MONTH(AA$1)+1,DAY(AA$1)),SUMIFS(AC_SOTIEN,AC_THANG,AA$1,AC_KM,$E121),SUMIFS(TF_SOTIEN,TF_THANG,AA$1,TF_KM,$E121))/ 1000</f>
        <v>0</v>
      </c>
    </row>
  </sheetData>
  <mergeCells count="1">
    <mergeCell ref="H1:I1"/>
  </mergeCells>
  <dataValidations>
    <dataValidation type="list" allowBlank="1" showErrorMessage="1" sqref="C3:C17 C19:C33 C35:C49 C51:C65">
      <formula1>MA_DUAN</formula1>
    </dataValidation>
    <dataValidation type="list" allowBlank="1" showErrorMessage="1" sqref="J1:AA1">
      <formula1>THANG</formula1>
    </dataValidation>
    <dataValidation type="list" allowBlank="1" showErrorMessage="1" sqref="E3:E17 E19:E33 E35:E49 E51:E60 E66:E67 E69:E84 E86:E112 E114:E117 E119 E121">
      <formula1>MA_KM</formula1>
    </dataValidation>
  </dataValidations>
  <hyperlinks>
    <hyperlink r:id="rId2" ref="E97"/>
  </hyperlinks>
  <drawing r:id="rId3"/>
  <legacyDrawing r:id="rId4"/>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9.0" ySplit="2.0" topLeftCell="J3" activePane="bottomRight" state="frozen"/>
      <selection activeCell="J1" sqref="J1" pane="topRight"/>
      <selection activeCell="A3" sqref="A3" pane="bottomLeft"/>
      <selection activeCell="J3" sqref="J3" pane="bottomRight"/>
    </sheetView>
  </sheetViews>
  <sheetFormatPr customHeight="1" defaultColWidth="14.43" defaultRowHeight="15.0" outlineLevelCol="1"/>
  <cols>
    <col collapsed="1" customWidth="1" min="1" max="1" width="5.86"/>
    <col customWidth="1" hidden="1" min="2" max="2" width="15.29" outlineLevel="1"/>
    <col customWidth="1" min="3" max="3" width="17.86"/>
    <col customWidth="1" min="4" max="4" width="33.0"/>
    <col customWidth="1" min="5" max="5" width="15.14"/>
    <col customWidth="1" min="6" max="6" width="7.71"/>
    <col customWidth="1" hidden="1" min="7" max="7" width="5.43"/>
    <col customWidth="1" min="9" max="9" width="8.29"/>
    <col customWidth="1" min="10" max="10" width="15.57"/>
  </cols>
  <sheetData>
    <row r="1">
      <c r="A1" s="1203"/>
      <c r="B1" s="1204" t="s">
        <v>2209</v>
      </c>
      <c r="C1" s="1204" t="s">
        <v>1799</v>
      </c>
      <c r="D1" s="1203"/>
      <c r="E1" s="1205"/>
      <c r="F1" s="15" t="s">
        <v>2805</v>
      </c>
      <c r="G1" s="1203"/>
      <c r="H1" s="1206" t="s">
        <v>2895</v>
      </c>
      <c r="J1" s="1207" t="s">
        <v>1914</v>
      </c>
      <c r="K1" s="1207" t="s">
        <v>2896</v>
      </c>
      <c r="L1" s="1208" t="s">
        <v>2806</v>
      </c>
      <c r="M1" s="1208" t="s">
        <v>2807</v>
      </c>
      <c r="N1" s="1208" t="s">
        <v>2809</v>
      </c>
      <c r="O1" s="1208" t="s">
        <v>2810</v>
      </c>
      <c r="P1" s="1294">
        <v>44562.0</v>
      </c>
      <c r="Q1" s="1295">
        <v>44593.0</v>
      </c>
      <c r="R1" s="1295">
        <v>44621.0</v>
      </c>
      <c r="S1" s="1295">
        <v>44652.0</v>
      </c>
      <c r="T1" s="1295">
        <v>44682.0</v>
      </c>
      <c r="U1" s="1295">
        <v>44713.0</v>
      </c>
      <c r="V1" s="1295">
        <v>44743.0</v>
      </c>
      <c r="W1" s="1295">
        <v>44774.0</v>
      </c>
      <c r="X1" s="1295">
        <v>44805.0</v>
      </c>
      <c r="Y1" s="1295">
        <v>44835.0</v>
      </c>
      <c r="Z1" s="1295">
        <v>44866.0</v>
      </c>
      <c r="AA1" s="1295">
        <v>44896.0</v>
      </c>
    </row>
    <row r="2">
      <c r="A2" s="1211" t="s">
        <v>2818</v>
      </c>
      <c r="B2" s="1212"/>
      <c r="C2" s="1212"/>
      <c r="D2" s="1212"/>
      <c r="E2" s="1213"/>
      <c r="F2" s="1212"/>
      <c r="G2" s="1212"/>
      <c r="H2" s="1214">
        <f>SUM(H3:H16)</f>
        <v>32527135000</v>
      </c>
      <c r="I2" s="1214">
        <f>SUMIF($G$3:$G$16,"1",I$3:I$16)</f>
        <v>0</v>
      </c>
      <c r="J2" s="1214">
        <f t="shared" ref="J2:AA2" si="1">SUM(J3:J16)</f>
        <v>32527135000</v>
      </c>
      <c r="K2" s="1214">
        <f t="shared" si="1"/>
        <v>0</v>
      </c>
      <c r="L2" s="1214">
        <f t="shared" si="1"/>
        <v>14354465000</v>
      </c>
      <c r="M2" s="1214">
        <f t="shared" si="1"/>
        <v>18172670000</v>
      </c>
      <c r="N2" s="1214">
        <f t="shared" si="1"/>
        <v>0</v>
      </c>
      <c r="O2" s="1214">
        <f t="shared" si="1"/>
        <v>0</v>
      </c>
      <c r="P2" s="1214">
        <f t="shared" si="1"/>
        <v>3418460000</v>
      </c>
      <c r="Q2" s="1214">
        <f t="shared" si="1"/>
        <v>1930000000</v>
      </c>
      <c r="R2" s="1214">
        <f t="shared" si="1"/>
        <v>9006005000</v>
      </c>
      <c r="S2" s="1214">
        <f t="shared" si="1"/>
        <v>18172670000</v>
      </c>
      <c r="T2" s="1214">
        <f t="shared" si="1"/>
        <v>0</v>
      </c>
      <c r="U2" s="1214">
        <f t="shared" si="1"/>
        <v>0</v>
      </c>
      <c r="V2" s="1214">
        <f t="shared" si="1"/>
        <v>0</v>
      </c>
      <c r="W2" s="1214">
        <f t="shared" si="1"/>
        <v>0</v>
      </c>
      <c r="X2" s="1214">
        <f t="shared" si="1"/>
        <v>0</v>
      </c>
      <c r="Y2" s="1214">
        <f t="shared" si="1"/>
        <v>0</v>
      </c>
      <c r="Z2" s="1214">
        <f t="shared" si="1"/>
        <v>0</v>
      </c>
      <c r="AA2" s="1214">
        <f t="shared" si="1"/>
        <v>0</v>
      </c>
    </row>
    <row r="3">
      <c r="A3" s="1215">
        <f t="shared" ref="A3:A16" si="2">IF(C3="","",COUNTA(D$3:D3))</f>
        <v>1</v>
      </c>
      <c r="B3" s="1216" t="s">
        <v>2066</v>
      </c>
      <c r="C3" s="1087" t="s">
        <v>215</v>
      </c>
      <c r="D3" s="1216" t="str">
        <f>VLOOKUP(C3,DM_DUAN,2,0)</f>
        <v>Phước Đông Garden</v>
      </c>
      <c r="E3" s="1217" t="s">
        <v>198</v>
      </c>
      <c r="F3" s="1218"/>
      <c r="G3" s="1218">
        <v>2.0</v>
      </c>
      <c r="H3" s="1219">
        <f t="shared" ref="H3:H16" si="3">SUM(J3:K3)</f>
        <v>0</v>
      </c>
      <c r="I3" s="1220">
        <f t="shared" ref="I3:I16" si="4">IFERROR(H3/$H$2,"")</f>
        <v>0</v>
      </c>
      <c r="J3" s="1221">
        <f t="shared" ref="J3:J16" si="5">SUM(L3:M3)</f>
        <v>0</v>
      </c>
      <c r="K3" s="1221">
        <f t="shared" ref="K3:K16" si="6">SUM(N3:O3)</f>
        <v>0</v>
      </c>
      <c r="L3" s="1222">
        <f t="shared" ref="L3:L16" si="7">SUM(P3:R3)</f>
        <v>0</v>
      </c>
      <c r="M3" s="1222">
        <f t="shared" ref="M3:M16" si="8">SUM(S3:U3)</f>
        <v>0</v>
      </c>
      <c r="N3" s="1222">
        <f t="shared" ref="N3:N16" si="9">SUM(V3:X3)</f>
        <v>0</v>
      </c>
      <c r="O3" s="1222">
        <f t="shared" ref="O3:O16" si="10">SUM(Y3:AA3)</f>
        <v>0</v>
      </c>
      <c r="P3" s="1223">
        <f>SUMIFS(AC_SOTIEN,AC_THANG,P$1,AC_KM,$E3,AC_DA,$C3)</f>
        <v>0</v>
      </c>
      <c r="Q3" s="1223">
        <f>SUMIFS(AC_SOTIEN,AC_THANG,Q$1,AC_KM,$E3,AC_DA,$C3)</f>
        <v>0</v>
      </c>
      <c r="R3" s="1223">
        <f>SUMIFS(AC_SOTIEN,AC_THANG,R$1,AC_KM,$E3,AC_DA,$C3)</f>
        <v>0</v>
      </c>
      <c r="S3" s="1223">
        <f>SUMIFS(AC_SOTIEN,AC_THANG,S$1,AC_KM,$E3,AC_DA,$C3)</f>
        <v>0</v>
      </c>
      <c r="T3" s="1223">
        <f>SUMIFS(AC_SOTIEN,AC_THANG,T$1,AC_KM,$E3,AC_DA,$C3)</f>
        <v>0</v>
      </c>
      <c r="U3" s="1223">
        <f>SUMIFS(AC_SOTIEN,AC_THANG,U$1,AC_KM,$E3,AC_DA,$C3)</f>
        <v>0</v>
      </c>
      <c r="V3" s="1223">
        <f>SUMIFS(AC_SOTIEN,AC_THANG,V$1,AC_KM,$E3,AC_DA,$C3)</f>
        <v>0</v>
      </c>
      <c r="W3" s="1223">
        <f>SUMIFS(AC_SOTIEN,AC_THANG,W$1,AC_KM,$E3,AC_DA,$C3)</f>
        <v>0</v>
      </c>
      <c r="X3" s="1223">
        <f>SUMIFS(AC_SOTIEN,AC_THANG,X$1,AC_KM,$E3,AC_DA,$C3)</f>
        <v>0</v>
      </c>
      <c r="Y3" s="1223">
        <f>SUMIFS(AC_SOTIEN,AC_THANG,Y$1,AC_KM,$E3,AC_DA,$C3)</f>
        <v>0</v>
      </c>
      <c r="Z3" s="1223">
        <f>SUMIFS(AC_SOTIEN,AC_THANG,Z$1,AC_KM,$E3,AC_DA,$C3)</f>
        <v>0</v>
      </c>
      <c r="AA3" s="1223">
        <f>SUMIFS(AC_SOTIEN,AC_THANG,AA$1,AC_KM,$E3,AC_DA,$C3)</f>
        <v>0</v>
      </c>
    </row>
    <row r="4">
      <c r="A4" s="1215">
        <f t="shared" si="2"/>
        <v>2</v>
      </c>
      <c r="B4" s="1216" t="s">
        <v>2067</v>
      </c>
      <c r="C4" s="1087" t="s">
        <v>404</v>
      </c>
      <c r="D4" s="1216" t="str">
        <f>VLOOKUP(C4,DM_DUAN,2,0)</f>
        <v>Hamil ton Garden</v>
      </c>
      <c r="E4" s="1217" t="s">
        <v>198</v>
      </c>
      <c r="F4" s="1218"/>
      <c r="G4" s="1218">
        <v>2.0</v>
      </c>
      <c r="H4" s="1219">
        <f t="shared" si="3"/>
        <v>0</v>
      </c>
      <c r="I4" s="1220">
        <f t="shared" si="4"/>
        <v>0</v>
      </c>
      <c r="J4" s="1221">
        <f t="shared" si="5"/>
        <v>0</v>
      </c>
      <c r="K4" s="1221">
        <f t="shared" si="6"/>
        <v>0</v>
      </c>
      <c r="L4" s="1222">
        <f t="shared" si="7"/>
        <v>0</v>
      </c>
      <c r="M4" s="1222">
        <f t="shared" si="8"/>
        <v>0</v>
      </c>
      <c r="N4" s="1222">
        <f t="shared" si="9"/>
        <v>0</v>
      </c>
      <c r="O4" s="1222">
        <f t="shared" si="10"/>
        <v>0</v>
      </c>
      <c r="P4" s="1223">
        <f>SUMIFS(AC_SOTIEN,AC_THANG,P$1,AC_KM,$E4,AC_DA,$C4)</f>
        <v>0</v>
      </c>
      <c r="Q4" s="1223">
        <f>SUMIFS(AC_SOTIEN,AC_THANG,Q$1,AC_KM,$E4,AC_DA,$C4)</f>
        <v>0</v>
      </c>
      <c r="R4" s="1223">
        <f>SUMIFS(AC_SOTIEN,AC_THANG,R$1,AC_KM,$E4,AC_DA,$C4)</f>
        <v>0</v>
      </c>
      <c r="S4" s="1223">
        <f>SUMIFS(AC_SOTIEN,AC_THANG,S$1,AC_KM,$E4,AC_DA,$C4)</f>
        <v>0</v>
      </c>
      <c r="T4" s="1223">
        <f>SUMIFS(AC_SOTIEN,AC_THANG,T$1,AC_KM,$E4,AC_DA,$C4)</f>
        <v>0</v>
      </c>
      <c r="U4" s="1223">
        <f>SUMIFS(AC_SOTIEN,AC_THANG,U$1,AC_KM,$E4,AC_DA,$C4)</f>
        <v>0</v>
      </c>
      <c r="V4" s="1223">
        <f>SUMIFS(AC_SOTIEN,AC_THANG,V$1,AC_KM,$E4,AC_DA,$C4)</f>
        <v>0</v>
      </c>
      <c r="W4" s="1223">
        <f>SUMIFS(AC_SOTIEN,AC_THANG,W$1,AC_KM,$E4,AC_DA,$C4)</f>
        <v>0</v>
      </c>
      <c r="X4" s="1223">
        <f>SUMIFS(AC_SOTIEN,AC_THANG,X$1,AC_KM,$E4,AC_DA,$C4)</f>
        <v>0</v>
      </c>
      <c r="Y4" s="1223">
        <f>SUMIFS(AC_SOTIEN,AC_THANG,Y$1,AC_KM,$E4,AC_DA,$C4)</f>
        <v>0</v>
      </c>
      <c r="Z4" s="1223">
        <f>SUMIFS(AC_SOTIEN,AC_THANG,Z$1,AC_KM,$E4,AC_DA,$C4)</f>
        <v>0</v>
      </c>
      <c r="AA4" s="1223">
        <f>SUMIFS(AC_SOTIEN,AC_THANG,AA$1,AC_KM,$E4,AC_DA,$C4)</f>
        <v>0</v>
      </c>
    </row>
    <row r="5">
      <c r="A5" s="1215">
        <f t="shared" si="2"/>
        <v>3</v>
      </c>
      <c r="B5" s="1216" t="s">
        <v>2068</v>
      </c>
      <c r="C5" s="1087" t="s">
        <v>533</v>
      </c>
      <c r="D5" s="1216" t="str">
        <f>VLOOKUP(C5,DM_DUAN,2,0)</f>
        <v>The sol city</v>
      </c>
      <c r="E5" s="1217" t="s">
        <v>198</v>
      </c>
      <c r="F5" s="1218"/>
      <c r="G5" s="1218">
        <v>2.0</v>
      </c>
      <c r="H5" s="1219">
        <f t="shared" si="3"/>
        <v>0</v>
      </c>
      <c r="I5" s="1220">
        <f t="shared" si="4"/>
        <v>0</v>
      </c>
      <c r="J5" s="1221">
        <f t="shared" si="5"/>
        <v>0</v>
      </c>
      <c r="K5" s="1221">
        <f t="shared" si="6"/>
        <v>0</v>
      </c>
      <c r="L5" s="1222">
        <f t="shared" si="7"/>
        <v>0</v>
      </c>
      <c r="M5" s="1222">
        <f t="shared" si="8"/>
        <v>0</v>
      </c>
      <c r="N5" s="1222">
        <f t="shared" si="9"/>
        <v>0</v>
      </c>
      <c r="O5" s="1222">
        <f t="shared" si="10"/>
        <v>0</v>
      </c>
      <c r="P5" s="1223">
        <f>SUMIFS(AC_SOTIEN,AC_THANG,P$1,AC_KM,$E5,AC_DA,$C5)</f>
        <v>0</v>
      </c>
      <c r="Q5" s="1223">
        <f>SUMIFS(AC_SOTIEN,AC_THANG,Q$1,AC_KM,$E5,AC_DA,$C5)</f>
        <v>0</v>
      </c>
      <c r="R5" s="1223">
        <f>SUMIFS(AC_SOTIEN,AC_THANG,R$1,AC_KM,$E5,AC_DA,$C5)</f>
        <v>0</v>
      </c>
      <c r="S5" s="1223">
        <f>SUMIFS(AC_SOTIEN,AC_THANG,S$1,AC_KM,$E5,AC_DA,$C5)</f>
        <v>0</v>
      </c>
      <c r="T5" s="1223">
        <f>SUMIFS(AC_SOTIEN,AC_THANG,T$1,AC_KM,$E5,AC_DA,$C5)</f>
        <v>0</v>
      </c>
      <c r="U5" s="1223">
        <f>SUMIFS(AC_SOTIEN,AC_THANG,U$1,AC_KM,$E5,AC_DA,$C5)</f>
        <v>0</v>
      </c>
      <c r="V5" s="1223">
        <f>SUMIFS(AC_SOTIEN,AC_THANG,V$1,AC_KM,$E5,AC_DA,$C5)</f>
        <v>0</v>
      </c>
      <c r="W5" s="1223">
        <f>SUMIFS(AC_SOTIEN,AC_THANG,W$1,AC_KM,$E5,AC_DA,$C5)</f>
        <v>0</v>
      </c>
      <c r="X5" s="1223">
        <f>SUMIFS(AC_SOTIEN,AC_THANG,X$1,AC_KM,$E5,AC_DA,$C5)</f>
        <v>0</v>
      </c>
      <c r="Y5" s="1223">
        <f>SUMIFS(AC_SOTIEN,AC_THANG,Y$1,AC_KM,$E5,AC_DA,$C5)</f>
        <v>0</v>
      </c>
      <c r="Z5" s="1223">
        <f>SUMIFS(AC_SOTIEN,AC_THANG,Z$1,AC_KM,$E5,AC_DA,$C5)</f>
        <v>0</v>
      </c>
      <c r="AA5" s="1223">
        <f>SUMIFS(AC_SOTIEN,AC_THANG,AA$1,AC_KM,$E5,AC_DA,$C5)</f>
        <v>0</v>
      </c>
    </row>
    <row r="6">
      <c r="A6" s="1215">
        <f t="shared" si="2"/>
        <v>4</v>
      </c>
      <c r="B6" s="1216" t="s">
        <v>2069</v>
      </c>
      <c r="C6" s="1087" t="s">
        <v>175</v>
      </c>
      <c r="D6" s="1216" t="str">
        <f>VLOOKUP(C6,DM_DUAN,2,0)</f>
        <v>Phước hội Hồ Tràm</v>
      </c>
      <c r="E6" s="1217" t="s">
        <v>198</v>
      </c>
      <c r="F6" s="1218"/>
      <c r="G6" s="1218">
        <v>2.0</v>
      </c>
      <c r="H6" s="1219">
        <f t="shared" si="3"/>
        <v>8438145000</v>
      </c>
      <c r="I6" s="1220">
        <f t="shared" si="4"/>
        <v>0.2594186362</v>
      </c>
      <c r="J6" s="1221">
        <f t="shared" si="5"/>
        <v>8438145000</v>
      </c>
      <c r="K6" s="1221">
        <f t="shared" si="6"/>
        <v>0</v>
      </c>
      <c r="L6" s="1222">
        <f t="shared" si="7"/>
        <v>8438145000</v>
      </c>
      <c r="M6" s="1222">
        <f t="shared" si="8"/>
        <v>0</v>
      </c>
      <c r="N6" s="1222">
        <f t="shared" si="9"/>
        <v>0</v>
      </c>
      <c r="O6" s="1222">
        <f t="shared" si="10"/>
        <v>0</v>
      </c>
      <c r="P6" s="1223">
        <f>SUMIFS(AC_SOTIEN,AC_THANG,P$1,AC_KM,$E6,AC_DA,$C6)</f>
        <v>3418460000</v>
      </c>
      <c r="Q6" s="1223">
        <f>SUMIFS(AC_SOTIEN,AC_THANG,Q$1,AC_KM,$E6,AC_DA,$C6)</f>
        <v>1930000000</v>
      </c>
      <c r="R6" s="1223">
        <f>SUMIFS(AC_SOTIEN,AC_THANG,R$1,AC_KM,$E6,AC_DA,$C6)</f>
        <v>3089685000</v>
      </c>
      <c r="S6" s="1223">
        <f>SUMIFS(AC_SOTIEN,AC_THANG,S$1,AC_KM,$E6,AC_DA,$C6)</f>
        <v>0</v>
      </c>
      <c r="T6" s="1223">
        <f>SUMIFS(AC_SOTIEN,AC_THANG,T$1,AC_KM,$E6,AC_DA,$C6)</f>
        <v>0</v>
      </c>
      <c r="U6" s="1223">
        <f>SUMIFS(AC_SOTIEN,AC_THANG,U$1,AC_KM,$E6,AC_DA,$C6)</f>
        <v>0</v>
      </c>
      <c r="V6" s="1223">
        <f>SUMIFS(AC_SOTIEN,AC_THANG,V$1,AC_KM,$E6,AC_DA,$C6)</f>
        <v>0</v>
      </c>
      <c r="W6" s="1223">
        <f>SUMIFS(AC_SOTIEN,AC_THANG,W$1,AC_KM,$E6,AC_DA,$C6)</f>
        <v>0</v>
      </c>
      <c r="X6" s="1223">
        <f>SUMIFS(AC_SOTIEN,AC_THANG,X$1,AC_KM,$E6,AC_DA,$C6)</f>
        <v>0</v>
      </c>
      <c r="Y6" s="1223">
        <f>SUMIFS(AC_SOTIEN,AC_THANG,Y$1,AC_KM,$E6,AC_DA,$C6)</f>
        <v>0</v>
      </c>
      <c r="Z6" s="1223">
        <f>SUMIFS(AC_SOTIEN,AC_THANG,Z$1,AC_KM,$E6,AC_DA,$C6)</f>
        <v>0</v>
      </c>
      <c r="AA6" s="1223">
        <f>SUMIFS(AC_SOTIEN,AC_THANG,AA$1,AC_KM,$E6,AC_DA,$C6)</f>
        <v>0</v>
      </c>
    </row>
    <row r="7">
      <c r="A7" s="1215">
        <f t="shared" si="2"/>
        <v>5</v>
      </c>
      <c r="B7" s="1216" t="s">
        <v>2070</v>
      </c>
      <c r="C7" s="1087" t="s">
        <v>2067</v>
      </c>
      <c r="D7" s="1216" t="str">
        <f>VLOOKUP(C7,DM_DUAN,2,0)</f>
        <v>NAM PHONG</v>
      </c>
      <c r="E7" s="1217" t="s">
        <v>198</v>
      </c>
      <c r="F7" s="1218"/>
      <c r="G7" s="1218">
        <v>2.0</v>
      </c>
      <c r="H7" s="1219">
        <f t="shared" si="3"/>
        <v>0</v>
      </c>
      <c r="I7" s="1220">
        <f t="shared" si="4"/>
        <v>0</v>
      </c>
      <c r="J7" s="1221">
        <f t="shared" si="5"/>
        <v>0</v>
      </c>
      <c r="K7" s="1221">
        <f t="shared" si="6"/>
        <v>0</v>
      </c>
      <c r="L7" s="1222">
        <f t="shared" si="7"/>
        <v>0</v>
      </c>
      <c r="M7" s="1222">
        <f t="shared" si="8"/>
        <v>0</v>
      </c>
      <c r="N7" s="1222">
        <f t="shared" si="9"/>
        <v>0</v>
      </c>
      <c r="O7" s="1222">
        <f t="shared" si="10"/>
        <v>0</v>
      </c>
      <c r="P7" s="1223">
        <f>SUMIFS(AC_SOTIEN,AC_THANG,P$1,AC_KM,$E7,AC_DA,$C7)</f>
        <v>0</v>
      </c>
      <c r="Q7" s="1223">
        <f>SUMIFS(AC_SOTIEN,AC_THANG,Q$1,AC_KM,$E7,AC_DA,$C7)</f>
        <v>0</v>
      </c>
      <c r="R7" s="1223">
        <f>SUMIFS(AC_SOTIEN,AC_THANG,R$1,AC_KM,$E7,AC_DA,$C7)</f>
        <v>0</v>
      </c>
      <c r="S7" s="1223">
        <f>SUMIFS(AC_SOTIEN,AC_THANG,S$1,AC_KM,$E7,AC_DA,$C7)</f>
        <v>0</v>
      </c>
      <c r="T7" s="1223">
        <f>SUMIFS(AC_SOTIEN,AC_THANG,T$1,AC_KM,$E7,AC_DA,$C7)</f>
        <v>0</v>
      </c>
      <c r="U7" s="1223">
        <f>SUMIFS(AC_SOTIEN,AC_THANG,U$1,AC_KM,$E7,AC_DA,$C7)</f>
        <v>0</v>
      </c>
      <c r="V7" s="1223">
        <f>SUMIFS(AC_SOTIEN,AC_THANG,V$1,AC_KM,$E7,AC_DA,$C7)</f>
        <v>0</v>
      </c>
      <c r="W7" s="1223">
        <f>SUMIFS(AC_SOTIEN,AC_THANG,W$1,AC_KM,$E7,AC_DA,$C7)</f>
        <v>0</v>
      </c>
      <c r="X7" s="1223">
        <f>SUMIFS(AC_SOTIEN,AC_THANG,X$1,AC_KM,$E7,AC_DA,$C7)</f>
        <v>0</v>
      </c>
      <c r="Y7" s="1223">
        <f>SUMIFS(AC_SOTIEN,AC_THANG,Y$1,AC_KM,$E7,AC_DA,$C7)</f>
        <v>0</v>
      </c>
      <c r="Z7" s="1223">
        <f>SUMIFS(AC_SOTIEN,AC_THANG,Z$1,AC_KM,$E7,AC_DA,$C7)</f>
        <v>0</v>
      </c>
      <c r="AA7" s="1223">
        <f>SUMIFS(AC_SOTIEN,AC_THANG,AA$1,AC_KM,$E7,AC_DA,$C7)</f>
        <v>0</v>
      </c>
    </row>
    <row r="8">
      <c r="A8" s="1215">
        <f t="shared" si="2"/>
        <v>6</v>
      </c>
      <c r="B8" s="1216" t="s">
        <v>2071</v>
      </c>
      <c r="C8" s="656" t="s">
        <v>638</v>
      </c>
      <c r="D8" s="1216" t="str">
        <f>VLOOKUP(C8,DM_DUAN,2,0)</f>
        <v>Sản phẩm Phước Vinh</v>
      </c>
      <c r="E8" s="1217" t="s">
        <v>198</v>
      </c>
      <c r="F8" s="1218"/>
      <c r="G8" s="1218">
        <v>2.0</v>
      </c>
      <c r="H8" s="1219">
        <f t="shared" si="3"/>
        <v>7885000000</v>
      </c>
      <c r="I8" s="1220">
        <f t="shared" si="4"/>
        <v>0.2424129884</v>
      </c>
      <c r="J8" s="1221">
        <f t="shared" si="5"/>
        <v>7885000000</v>
      </c>
      <c r="K8" s="1221">
        <f t="shared" si="6"/>
        <v>0</v>
      </c>
      <c r="L8" s="1222">
        <f t="shared" si="7"/>
        <v>0</v>
      </c>
      <c r="M8" s="1222">
        <f t="shared" si="8"/>
        <v>7885000000</v>
      </c>
      <c r="N8" s="1222">
        <f t="shared" si="9"/>
        <v>0</v>
      </c>
      <c r="O8" s="1222">
        <f t="shared" si="10"/>
        <v>0</v>
      </c>
      <c r="P8" s="1223">
        <f>SUMIFS(AC_SOTIEN,AC_THANG,P$1,AC_KM,$E8,AC_DA,$C8)</f>
        <v>0</v>
      </c>
      <c r="Q8" s="1223">
        <f>SUMIFS(AC_SOTIEN,AC_THANG,Q$1,AC_KM,$E8,AC_DA,$C8)</f>
        <v>0</v>
      </c>
      <c r="R8" s="1223">
        <f>SUMIFS(AC_SOTIEN,AC_THANG,R$1,AC_KM,$E8,AC_DA,$C8)</f>
        <v>0</v>
      </c>
      <c r="S8" s="1223">
        <f>SUMIFS(AC_SOTIEN,AC_THANG,S$1,AC_KM,$E8,AC_DA,$C8)</f>
        <v>7885000000</v>
      </c>
      <c r="T8" s="1223">
        <f>SUMIFS(AC_SOTIEN,AC_THANG,T$1,AC_KM,$E8,AC_DA,$C8)</f>
        <v>0</v>
      </c>
      <c r="U8" s="1223">
        <f>SUMIFS(AC_SOTIEN,AC_THANG,U$1,AC_KM,$E8,AC_DA,$C8)</f>
        <v>0</v>
      </c>
      <c r="V8" s="1223">
        <f>SUMIFS(AC_SOTIEN,AC_THANG,V$1,AC_KM,$E8,AC_DA,$C8)</f>
        <v>0</v>
      </c>
      <c r="W8" s="1223">
        <f>SUMIFS(AC_SOTIEN,AC_THANG,W$1,AC_KM,$E8,AC_DA,$C8)</f>
        <v>0</v>
      </c>
      <c r="X8" s="1223">
        <f>SUMIFS(AC_SOTIEN,AC_THANG,X$1,AC_KM,$E8,AC_DA,$C8)</f>
        <v>0</v>
      </c>
      <c r="Y8" s="1223">
        <f>SUMIFS(AC_SOTIEN,AC_THANG,Y$1,AC_KM,$E8,AC_DA,$C8)</f>
        <v>0</v>
      </c>
      <c r="Z8" s="1223">
        <f>SUMIFS(AC_SOTIEN,AC_THANG,Z$1,AC_KM,$E8,AC_DA,$C8)</f>
        <v>0</v>
      </c>
      <c r="AA8" s="1223">
        <f>SUMIFS(AC_SOTIEN,AC_THANG,AA$1,AC_KM,$E8,AC_DA,$C8)</f>
        <v>0</v>
      </c>
    </row>
    <row r="9">
      <c r="A9" s="1215">
        <f t="shared" si="2"/>
        <v>7</v>
      </c>
      <c r="B9" s="1216" t="s">
        <v>2072</v>
      </c>
      <c r="C9" s="1087" t="s">
        <v>2070</v>
      </c>
      <c r="D9" s="1216" t="str">
        <f>VLOOKUP(C9,DM_DUAN,2,0)</f>
        <v>KHANG VƯỢNG</v>
      </c>
      <c r="E9" s="1217" t="s">
        <v>198</v>
      </c>
      <c r="F9" s="1218"/>
      <c r="G9" s="1218">
        <v>2.0</v>
      </c>
      <c r="H9" s="1219">
        <f t="shared" si="3"/>
        <v>0</v>
      </c>
      <c r="I9" s="1220">
        <f t="shared" si="4"/>
        <v>0</v>
      </c>
      <c r="J9" s="1221">
        <f t="shared" si="5"/>
        <v>0</v>
      </c>
      <c r="K9" s="1221">
        <f t="shared" si="6"/>
        <v>0</v>
      </c>
      <c r="L9" s="1222">
        <f t="shared" si="7"/>
        <v>0</v>
      </c>
      <c r="M9" s="1222">
        <f t="shared" si="8"/>
        <v>0</v>
      </c>
      <c r="N9" s="1222">
        <f t="shared" si="9"/>
        <v>0</v>
      </c>
      <c r="O9" s="1222">
        <f t="shared" si="10"/>
        <v>0</v>
      </c>
      <c r="P9" s="1223">
        <f>SUMIFS(AC_SOTIEN,AC_THANG,P$1,AC_KM,$E9,AC_DA,$C9)</f>
        <v>0</v>
      </c>
      <c r="Q9" s="1223">
        <f>SUMIFS(AC_SOTIEN,AC_THANG,Q$1,AC_KM,$E9,AC_DA,$C9)</f>
        <v>0</v>
      </c>
      <c r="R9" s="1223">
        <f>SUMIFS(AC_SOTIEN,AC_THANG,R$1,AC_KM,$E9,AC_DA,$C9)</f>
        <v>0</v>
      </c>
      <c r="S9" s="1223">
        <f>SUMIFS(AC_SOTIEN,AC_THANG,S$1,AC_KM,$E9,AC_DA,$C9)</f>
        <v>0</v>
      </c>
      <c r="T9" s="1223">
        <f>SUMIFS(AC_SOTIEN,AC_THANG,T$1,AC_KM,$E9,AC_DA,$C9)</f>
        <v>0</v>
      </c>
      <c r="U9" s="1223">
        <f>SUMIFS(AC_SOTIEN,AC_THANG,U$1,AC_KM,$E9,AC_DA,$C9)</f>
        <v>0</v>
      </c>
      <c r="V9" s="1223">
        <f>SUMIFS(AC_SOTIEN,AC_THANG,V$1,AC_KM,$E9,AC_DA,$C9)</f>
        <v>0</v>
      </c>
      <c r="W9" s="1223">
        <f>SUMIFS(AC_SOTIEN,AC_THANG,W$1,AC_KM,$E9,AC_DA,$C9)</f>
        <v>0</v>
      </c>
      <c r="X9" s="1223">
        <f>SUMIFS(AC_SOTIEN,AC_THANG,X$1,AC_KM,$E9,AC_DA,$C9)</f>
        <v>0</v>
      </c>
      <c r="Y9" s="1223">
        <f>SUMIFS(AC_SOTIEN,AC_THANG,Y$1,AC_KM,$E9,AC_DA,$C9)</f>
        <v>0</v>
      </c>
      <c r="Z9" s="1223">
        <f>SUMIFS(AC_SOTIEN,AC_THANG,Z$1,AC_KM,$E9,AC_DA,$C9)</f>
        <v>0</v>
      </c>
      <c r="AA9" s="1223">
        <f>SUMIFS(AC_SOTIEN,AC_THANG,AA$1,AC_KM,$E9,AC_DA,$C9)</f>
        <v>0</v>
      </c>
    </row>
    <row r="10">
      <c r="A10" s="1215">
        <f t="shared" si="2"/>
        <v>8</v>
      </c>
      <c r="B10" s="1216" t="s">
        <v>2073</v>
      </c>
      <c r="C10" s="1087" t="s">
        <v>2072</v>
      </c>
      <c r="D10" s="1216" t="str">
        <f>VLOOKUP(C10,DM_DUAN,2,0)</f>
        <v>TRẦN ANH GROUP</v>
      </c>
      <c r="E10" s="1217" t="s">
        <v>198</v>
      </c>
      <c r="F10" s="1218"/>
      <c r="G10" s="1218">
        <v>2.0</v>
      </c>
      <c r="H10" s="1219">
        <f t="shared" si="3"/>
        <v>0</v>
      </c>
      <c r="I10" s="1220">
        <f t="shared" si="4"/>
        <v>0</v>
      </c>
      <c r="J10" s="1221">
        <f t="shared" si="5"/>
        <v>0</v>
      </c>
      <c r="K10" s="1221">
        <f t="shared" si="6"/>
        <v>0</v>
      </c>
      <c r="L10" s="1222">
        <f t="shared" si="7"/>
        <v>0</v>
      </c>
      <c r="M10" s="1222">
        <f t="shared" si="8"/>
        <v>0</v>
      </c>
      <c r="N10" s="1222">
        <f t="shared" si="9"/>
        <v>0</v>
      </c>
      <c r="O10" s="1222">
        <f t="shared" si="10"/>
        <v>0</v>
      </c>
      <c r="P10" s="1223">
        <f>SUMIFS(AC_SOTIEN,AC_THANG,P$1,AC_KM,$E10,AC_DA,$C10)</f>
        <v>0</v>
      </c>
      <c r="Q10" s="1223">
        <f>SUMIFS(AC_SOTIEN,AC_THANG,Q$1,AC_KM,$E10,AC_DA,$C10)</f>
        <v>0</v>
      </c>
      <c r="R10" s="1223">
        <f>SUMIFS(AC_SOTIEN,AC_THANG,R$1,AC_KM,$E10,AC_DA,$C10)</f>
        <v>0</v>
      </c>
      <c r="S10" s="1223">
        <f>SUMIFS(AC_SOTIEN,AC_THANG,S$1,AC_KM,$E10,AC_DA,$C10)</f>
        <v>0</v>
      </c>
      <c r="T10" s="1223">
        <f>SUMIFS(AC_SOTIEN,AC_THANG,T$1,AC_KM,$E10,AC_DA,$C10)</f>
        <v>0</v>
      </c>
      <c r="U10" s="1223">
        <f>SUMIFS(AC_SOTIEN,AC_THANG,U$1,AC_KM,$E10,AC_DA,$C10)</f>
        <v>0</v>
      </c>
      <c r="V10" s="1223">
        <f>SUMIFS(AC_SOTIEN,AC_THANG,V$1,AC_KM,$E10,AC_DA,$C10)</f>
        <v>0</v>
      </c>
      <c r="W10" s="1223">
        <f>SUMIFS(AC_SOTIEN,AC_THANG,W$1,AC_KM,$E10,AC_DA,$C10)</f>
        <v>0</v>
      </c>
      <c r="X10" s="1223">
        <f>SUMIFS(AC_SOTIEN,AC_THANG,X$1,AC_KM,$E10,AC_DA,$C10)</f>
        <v>0</v>
      </c>
      <c r="Y10" s="1223">
        <f>SUMIFS(AC_SOTIEN,AC_THANG,Y$1,AC_KM,$E10,AC_DA,$C10)</f>
        <v>0</v>
      </c>
      <c r="Z10" s="1223">
        <f>SUMIFS(AC_SOTIEN,AC_THANG,Z$1,AC_KM,$E10,AC_DA,$C10)</f>
        <v>0</v>
      </c>
      <c r="AA10" s="1223">
        <f>SUMIFS(AC_SOTIEN,AC_THANG,AA$1,AC_KM,$E10,AC_DA,$C10)</f>
        <v>0</v>
      </c>
    </row>
    <row r="11">
      <c r="A11" s="1215">
        <f t="shared" si="2"/>
        <v>9</v>
      </c>
      <c r="B11" s="1216" t="s">
        <v>2074</v>
      </c>
      <c r="C11" s="1087" t="s">
        <v>2073</v>
      </c>
      <c r="D11" s="1216" t="str">
        <f>VLOOKUP(C11,DM_DUAN,2,0)</f>
        <v>PHI TRƯỜNG</v>
      </c>
      <c r="E11" s="1217" t="s">
        <v>198</v>
      </c>
      <c r="F11" s="1218"/>
      <c r="G11" s="1218">
        <v>2.0</v>
      </c>
      <c r="H11" s="1219">
        <f t="shared" si="3"/>
        <v>0</v>
      </c>
      <c r="I11" s="1220">
        <f t="shared" si="4"/>
        <v>0</v>
      </c>
      <c r="J11" s="1221">
        <f t="shared" si="5"/>
        <v>0</v>
      </c>
      <c r="K11" s="1221">
        <f t="shared" si="6"/>
        <v>0</v>
      </c>
      <c r="L11" s="1222">
        <f t="shared" si="7"/>
        <v>0</v>
      </c>
      <c r="M11" s="1222">
        <f t="shared" si="8"/>
        <v>0</v>
      </c>
      <c r="N11" s="1222">
        <f t="shared" si="9"/>
        <v>0</v>
      </c>
      <c r="O11" s="1222">
        <f t="shared" si="10"/>
        <v>0</v>
      </c>
      <c r="P11" s="1223">
        <f>SUMIFS(AC_SOTIEN,AC_THANG,P$1,AC_KM,$E11,AC_DA,$C11)</f>
        <v>0</v>
      </c>
      <c r="Q11" s="1223">
        <f>SUMIFS(AC_SOTIEN,AC_THANG,Q$1,AC_KM,$E11,AC_DA,$C11)</f>
        <v>0</v>
      </c>
      <c r="R11" s="1223">
        <f>SUMIFS(AC_SOTIEN,AC_THANG,R$1,AC_KM,$E11,AC_DA,$C11)</f>
        <v>0</v>
      </c>
      <c r="S11" s="1223">
        <f>SUMIFS(AC_SOTIEN,AC_THANG,S$1,AC_KM,$E11,AC_DA,$C11)</f>
        <v>0</v>
      </c>
      <c r="T11" s="1223">
        <f>SUMIFS(AC_SOTIEN,AC_THANG,T$1,AC_KM,$E11,AC_DA,$C11)</f>
        <v>0</v>
      </c>
      <c r="U11" s="1223">
        <f>SUMIFS(AC_SOTIEN,AC_THANG,U$1,AC_KM,$E11,AC_DA,$C11)</f>
        <v>0</v>
      </c>
      <c r="V11" s="1223">
        <f>SUMIFS(AC_SOTIEN,AC_THANG,V$1,AC_KM,$E11,AC_DA,$C11)</f>
        <v>0</v>
      </c>
      <c r="W11" s="1223">
        <f>SUMIFS(AC_SOTIEN,AC_THANG,W$1,AC_KM,$E11,AC_DA,$C11)</f>
        <v>0</v>
      </c>
      <c r="X11" s="1223">
        <f>SUMIFS(AC_SOTIEN,AC_THANG,X$1,AC_KM,$E11,AC_DA,$C11)</f>
        <v>0</v>
      </c>
      <c r="Y11" s="1223">
        <f>SUMIFS(AC_SOTIEN,AC_THANG,Y$1,AC_KM,$E11,AC_DA,$C11)</f>
        <v>0</v>
      </c>
      <c r="Z11" s="1223">
        <f>SUMIFS(AC_SOTIEN,AC_THANG,Z$1,AC_KM,$E11,AC_DA,$C11)</f>
        <v>0</v>
      </c>
      <c r="AA11" s="1223">
        <f>SUMIFS(AC_SOTIEN,AC_THANG,AA$1,AC_KM,$E11,AC_DA,$C11)</f>
        <v>0</v>
      </c>
    </row>
    <row r="12">
      <c r="A12" s="1215">
        <f t="shared" si="2"/>
        <v>10</v>
      </c>
      <c r="B12" s="1216" t="s">
        <v>2074</v>
      </c>
      <c r="C12" s="656" t="s">
        <v>2074</v>
      </c>
      <c r="D12" s="1216" t="str">
        <f>VLOOKUP(C12,DM_DUAN,2,0)</f>
        <v>HOÀNG CÁT</v>
      </c>
      <c r="E12" s="1217" t="s">
        <v>198</v>
      </c>
      <c r="F12" s="1218"/>
      <c r="G12" s="1218">
        <v>2.0</v>
      </c>
      <c r="H12" s="1219">
        <f t="shared" si="3"/>
        <v>0</v>
      </c>
      <c r="I12" s="1220">
        <f t="shared" si="4"/>
        <v>0</v>
      </c>
      <c r="J12" s="1221">
        <f t="shared" si="5"/>
        <v>0</v>
      </c>
      <c r="K12" s="1221">
        <f t="shared" si="6"/>
        <v>0</v>
      </c>
      <c r="L12" s="1222">
        <f t="shared" si="7"/>
        <v>0</v>
      </c>
      <c r="M12" s="1222">
        <f t="shared" si="8"/>
        <v>0</v>
      </c>
      <c r="N12" s="1222">
        <f t="shared" si="9"/>
        <v>0</v>
      </c>
      <c r="O12" s="1222">
        <f t="shared" si="10"/>
        <v>0</v>
      </c>
      <c r="P12" s="1223">
        <f>SUMIFS(AC_SOTIEN,AC_THANG,P$1,AC_KM,$E12,AC_DA,$C12)</f>
        <v>0</v>
      </c>
      <c r="Q12" s="1223">
        <f>SUMIFS(AC_SOTIEN,AC_THANG,Q$1,AC_KM,$E12,AC_DA,$C12)</f>
        <v>0</v>
      </c>
      <c r="R12" s="1223">
        <f>SUMIFS(AC_SOTIEN,AC_THANG,R$1,AC_KM,$E12,AC_DA,$C12)</f>
        <v>0</v>
      </c>
      <c r="S12" s="1223">
        <f>SUMIFS(AC_SOTIEN,AC_THANG,S$1,AC_KM,$E12,AC_DA,$C12)</f>
        <v>0</v>
      </c>
      <c r="T12" s="1223">
        <f>SUMIFS(AC_SOTIEN,AC_THANG,T$1,AC_KM,$E12,AC_DA,$C12)</f>
        <v>0</v>
      </c>
      <c r="U12" s="1223">
        <f>SUMIFS(AC_SOTIEN,AC_THANG,U$1,AC_KM,$E12,AC_DA,$C12)</f>
        <v>0</v>
      </c>
      <c r="V12" s="1223">
        <f>SUMIFS(AC_SOTIEN,AC_THANG,V$1,AC_KM,$E12,AC_DA,$C12)</f>
        <v>0</v>
      </c>
      <c r="W12" s="1223">
        <f>SUMIFS(AC_SOTIEN,AC_THANG,W$1,AC_KM,$E12,AC_DA,$C12)</f>
        <v>0</v>
      </c>
      <c r="X12" s="1223">
        <f>SUMIFS(AC_SOTIEN,AC_THANG,X$1,AC_KM,$E12,AC_DA,$C12)</f>
        <v>0</v>
      </c>
      <c r="Y12" s="1223">
        <f>SUMIFS(AC_SOTIEN,AC_THANG,Y$1,AC_KM,$E12,AC_DA,$C12)</f>
        <v>0</v>
      </c>
      <c r="Z12" s="1223">
        <f>SUMIFS(AC_SOTIEN,AC_THANG,Z$1,AC_KM,$E12,AC_DA,$C12)</f>
        <v>0</v>
      </c>
      <c r="AA12" s="1223">
        <f>SUMIFS(AC_SOTIEN,AC_THANG,AA$1,AC_KM,$E12,AC_DA,$C12)</f>
        <v>0</v>
      </c>
    </row>
    <row r="13">
      <c r="A13" s="1215">
        <f t="shared" si="2"/>
        <v>11</v>
      </c>
      <c r="B13" s="1216" t="s">
        <v>2074</v>
      </c>
      <c r="C13" s="656" t="s">
        <v>530</v>
      </c>
      <c r="D13" s="1216" t="str">
        <f>VLOOKUP(C13,DM_DUAN,2,0)</f>
        <v>Nhà vườn sinh thái</v>
      </c>
      <c r="E13" s="1217" t="s">
        <v>198</v>
      </c>
      <c r="F13" s="1218"/>
      <c r="G13" s="1218">
        <v>2.0</v>
      </c>
      <c r="H13" s="1219">
        <f t="shared" si="3"/>
        <v>13959990000</v>
      </c>
      <c r="I13" s="1220">
        <f t="shared" si="4"/>
        <v>0.4291798217</v>
      </c>
      <c r="J13" s="1221">
        <f t="shared" si="5"/>
        <v>13959990000</v>
      </c>
      <c r="K13" s="1221">
        <f t="shared" si="6"/>
        <v>0</v>
      </c>
      <c r="L13" s="1222">
        <f t="shared" si="7"/>
        <v>5916320000</v>
      </c>
      <c r="M13" s="1222">
        <f t="shared" si="8"/>
        <v>8043670000</v>
      </c>
      <c r="N13" s="1222">
        <f t="shared" si="9"/>
        <v>0</v>
      </c>
      <c r="O13" s="1222">
        <f t="shared" si="10"/>
        <v>0</v>
      </c>
      <c r="P13" s="1223">
        <f>SUMIFS(AC_SOTIEN,AC_THANG,P$1,AC_KM,$E13,AC_DA,$C13)</f>
        <v>0</v>
      </c>
      <c r="Q13" s="1223">
        <f>SUMIFS(AC_SOTIEN,AC_THANG,Q$1,AC_KM,$E13,AC_DA,$C13)</f>
        <v>0</v>
      </c>
      <c r="R13" s="1223">
        <f>SUMIFS(AC_SOTIEN,AC_THANG,R$1,AC_KM,$E13,AC_DA,$C13)</f>
        <v>5916320000</v>
      </c>
      <c r="S13" s="1223">
        <f>SUMIFS(AC_SOTIEN,AC_THANG,S$1,AC_KM,$E13,AC_DA,$C13)</f>
        <v>8043670000</v>
      </c>
      <c r="T13" s="1223">
        <f>SUMIFS(AC_SOTIEN,AC_THANG,T$1,AC_KM,$E13,AC_DA,$C13)</f>
        <v>0</v>
      </c>
      <c r="U13" s="1223">
        <f>SUMIFS(AC_SOTIEN,AC_THANG,U$1,AC_KM,$E13,AC_DA,$C13)</f>
        <v>0</v>
      </c>
      <c r="V13" s="1223">
        <f>SUMIFS(AC_SOTIEN,AC_THANG,V$1,AC_KM,$E13,AC_DA,$C13)</f>
        <v>0</v>
      </c>
      <c r="W13" s="1223">
        <f>SUMIFS(AC_SOTIEN,AC_THANG,W$1,AC_KM,$E13,AC_DA,$C13)</f>
        <v>0</v>
      </c>
      <c r="X13" s="1223">
        <f>SUMIFS(AC_SOTIEN,AC_THANG,X$1,AC_KM,$E13,AC_DA,$C13)</f>
        <v>0</v>
      </c>
      <c r="Y13" s="1223">
        <f>SUMIFS(AC_SOTIEN,AC_THANG,Y$1,AC_KM,$E13,AC_DA,$C13)</f>
        <v>0</v>
      </c>
      <c r="Z13" s="1223">
        <f>SUMIFS(AC_SOTIEN,AC_THANG,Z$1,AC_KM,$E13,AC_DA,$C13)</f>
        <v>0</v>
      </c>
      <c r="AA13" s="1223">
        <f>SUMIFS(AC_SOTIEN,AC_THANG,AA$1,AC_KM,$E13,AC_DA,$C13)</f>
        <v>0</v>
      </c>
    </row>
    <row r="14">
      <c r="A14" s="1215">
        <f t="shared" si="2"/>
        <v>12</v>
      </c>
      <c r="B14" s="1216" t="s">
        <v>2074</v>
      </c>
      <c r="C14" s="656" t="s">
        <v>597</v>
      </c>
      <c r="D14" s="1216" t="str">
        <f>VLOOKUP(C14,DM_DUAN,2,0)</f>
        <v>KDC Long Hải</v>
      </c>
      <c r="E14" s="1217" t="s">
        <v>198</v>
      </c>
      <c r="F14" s="1218"/>
      <c r="G14" s="1218">
        <v>2.0</v>
      </c>
      <c r="H14" s="1219">
        <f t="shared" si="3"/>
        <v>0</v>
      </c>
      <c r="I14" s="1220">
        <f t="shared" si="4"/>
        <v>0</v>
      </c>
      <c r="J14" s="1221">
        <f t="shared" si="5"/>
        <v>0</v>
      </c>
      <c r="K14" s="1221">
        <f t="shared" si="6"/>
        <v>0</v>
      </c>
      <c r="L14" s="1222">
        <f t="shared" si="7"/>
        <v>0</v>
      </c>
      <c r="M14" s="1222">
        <f t="shared" si="8"/>
        <v>0</v>
      </c>
      <c r="N14" s="1222">
        <f t="shared" si="9"/>
        <v>0</v>
      </c>
      <c r="O14" s="1222">
        <f t="shared" si="10"/>
        <v>0</v>
      </c>
      <c r="P14" s="1223">
        <f>SUMIFS(AC_SOTIEN,AC_THANG,P$1,AC_KM,$E14,AC_DA,$C14)</f>
        <v>0</v>
      </c>
      <c r="Q14" s="1223">
        <f>SUMIFS(AC_SOTIEN,AC_THANG,Q$1,AC_KM,$E14,AC_DA,$C14)</f>
        <v>0</v>
      </c>
      <c r="R14" s="1223">
        <f>SUMIFS(AC_SOTIEN,AC_THANG,R$1,AC_KM,$E14,AC_DA,$C14)</f>
        <v>0</v>
      </c>
      <c r="S14" s="1223">
        <f>SUMIFS(AC_SOTIEN,AC_THANG,S$1,AC_KM,$E14,AC_DA,$C14)</f>
        <v>0</v>
      </c>
      <c r="T14" s="1223">
        <f>SUMIFS(AC_SOTIEN,AC_THANG,T$1,AC_KM,$E14,AC_DA,$C14)</f>
        <v>0</v>
      </c>
      <c r="U14" s="1223">
        <f>SUMIFS(AC_SOTIEN,AC_THANG,U$1,AC_KM,$E14,AC_DA,$C14)</f>
        <v>0</v>
      </c>
      <c r="V14" s="1223">
        <f>SUMIFS(AC_SOTIEN,AC_THANG,V$1,AC_KM,$E14,AC_DA,$C14)</f>
        <v>0</v>
      </c>
      <c r="W14" s="1223">
        <f>SUMIFS(AC_SOTIEN,AC_THANG,W$1,AC_KM,$E14,AC_DA,$C14)</f>
        <v>0</v>
      </c>
      <c r="X14" s="1223">
        <f>SUMIFS(AC_SOTIEN,AC_THANG,X$1,AC_KM,$E14,AC_DA,$C14)</f>
        <v>0</v>
      </c>
      <c r="Y14" s="1223">
        <f>SUMIFS(AC_SOTIEN,AC_THANG,Y$1,AC_KM,$E14,AC_DA,$C14)</f>
        <v>0</v>
      </c>
      <c r="Z14" s="1223">
        <f>SUMIFS(AC_SOTIEN,AC_THANG,Z$1,AC_KM,$E14,AC_DA,$C14)</f>
        <v>0</v>
      </c>
      <c r="AA14" s="1223">
        <f>SUMIFS(AC_SOTIEN,AC_THANG,AA$1,AC_KM,$E14,AC_DA,$C14)</f>
        <v>0</v>
      </c>
    </row>
    <row r="15">
      <c r="A15" s="1215">
        <f t="shared" si="2"/>
        <v>13</v>
      </c>
      <c r="B15" s="1216" t="s">
        <v>2074</v>
      </c>
      <c r="C15" s="656" t="s">
        <v>875</v>
      </c>
      <c r="D15" s="1216" t="str">
        <f>VLOOKUP(C15,DM_DUAN,2,0)</f>
        <v>Sản phẩm Long Khánh 2</v>
      </c>
      <c r="E15" s="1217" t="s">
        <v>198</v>
      </c>
      <c r="F15" s="1218"/>
      <c r="G15" s="1218">
        <v>2.0</v>
      </c>
      <c r="H15" s="1219">
        <f t="shared" si="3"/>
        <v>0</v>
      </c>
      <c r="I15" s="1220">
        <f t="shared" si="4"/>
        <v>0</v>
      </c>
      <c r="J15" s="1221">
        <f t="shared" si="5"/>
        <v>0</v>
      </c>
      <c r="K15" s="1221">
        <f t="shared" si="6"/>
        <v>0</v>
      </c>
      <c r="L15" s="1222">
        <f t="shared" si="7"/>
        <v>0</v>
      </c>
      <c r="M15" s="1222">
        <f t="shared" si="8"/>
        <v>0</v>
      </c>
      <c r="N15" s="1222">
        <f t="shared" si="9"/>
        <v>0</v>
      </c>
      <c r="O15" s="1222">
        <f t="shared" si="10"/>
        <v>0</v>
      </c>
      <c r="P15" s="1223">
        <f>SUMIFS(AC_SOTIEN,AC_THANG,P$1,AC_KM,$E15,AC_DA,$C15)</f>
        <v>0</v>
      </c>
      <c r="Q15" s="1223">
        <f>SUMIFS(AC_SOTIEN,AC_THANG,Q$1,AC_KM,$E15,AC_DA,$C15)</f>
        <v>0</v>
      </c>
      <c r="R15" s="1223">
        <f>SUMIFS(AC_SOTIEN,AC_THANG,R$1,AC_KM,$E15,AC_DA,$C15)</f>
        <v>0</v>
      </c>
      <c r="S15" s="1223">
        <f>SUMIFS(AC_SOTIEN,AC_THANG,S$1,AC_KM,$E15,AC_DA,$C15)</f>
        <v>0</v>
      </c>
      <c r="T15" s="1223">
        <f>SUMIFS(AC_SOTIEN,AC_THANG,T$1,AC_KM,$E15,AC_DA,$C15)</f>
        <v>0</v>
      </c>
      <c r="U15" s="1223">
        <f>SUMIFS(AC_SOTIEN,AC_THANG,U$1,AC_KM,$E15,AC_DA,$C15)</f>
        <v>0</v>
      </c>
      <c r="V15" s="1223">
        <f>SUMIFS(AC_SOTIEN,AC_THANG,V$1,AC_KM,$E15,AC_DA,$C15)</f>
        <v>0</v>
      </c>
      <c r="W15" s="1223">
        <f>SUMIFS(AC_SOTIEN,AC_THANG,W$1,AC_KM,$E15,AC_DA,$C15)</f>
        <v>0</v>
      </c>
      <c r="X15" s="1223">
        <f>SUMIFS(AC_SOTIEN,AC_THANG,X$1,AC_KM,$E15,AC_DA,$C15)</f>
        <v>0</v>
      </c>
      <c r="Y15" s="1223">
        <f>SUMIFS(AC_SOTIEN,AC_THANG,Y$1,AC_KM,$E15,AC_DA,$C15)</f>
        <v>0</v>
      </c>
      <c r="Z15" s="1223">
        <f>SUMIFS(AC_SOTIEN,AC_THANG,Z$1,AC_KM,$E15,AC_DA,$C15)</f>
        <v>0</v>
      </c>
      <c r="AA15" s="1223">
        <f>SUMIFS(AC_SOTIEN,AC_THANG,AA$1,AC_KM,$E15,AC_DA,$C15)</f>
        <v>0</v>
      </c>
    </row>
    <row r="16">
      <c r="A16" s="1215">
        <f t="shared" si="2"/>
        <v>14</v>
      </c>
      <c r="B16" s="1216" t="s">
        <v>2074</v>
      </c>
      <c r="C16" s="656" t="s">
        <v>636</v>
      </c>
      <c r="D16" s="1216" t="str">
        <f>VLOOKUP(C16,DM_DUAN,2,0)</f>
        <v>Sản phẩm Long Khánh 3</v>
      </c>
      <c r="E16" s="1217" t="s">
        <v>198</v>
      </c>
      <c r="F16" s="1218"/>
      <c r="G16" s="1218">
        <v>2.0</v>
      </c>
      <c r="H16" s="1219">
        <f t="shared" si="3"/>
        <v>2244000000</v>
      </c>
      <c r="I16" s="1220">
        <f t="shared" si="4"/>
        <v>0.06898855371</v>
      </c>
      <c r="J16" s="1221">
        <f t="shared" si="5"/>
        <v>2244000000</v>
      </c>
      <c r="K16" s="1221">
        <f t="shared" si="6"/>
        <v>0</v>
      </c>
      <c r="L16" s="1222">
        <f t="shared" si="7"/>
        <v>0</v>
      </c>
      <c r="M16" s="1222">
        <f t="shared" si="8"/>
        <v>2244000000</v>
      </c>
      <c r="N16" s="1222">
        <f t="shared" si="9"/>
        <v>0</v>
      </c>
      <c r="O16" s="1222">
        <f t="shared" si="10"/>
        <v>0</v>
      </c>
      <c r="P16" s="1223">
        <f>SUMIFS(AC_SOTIEN,AC_THANG,P$1,AC_KM,$E16,AC_DA,$C16)</f>
        <v>0</v>
      </c>
      <c r="Q16" s="1223">
        <f>SUMIFS(AC_SOTIEN,AC_THANG,Q$1,AC_KM,$E16,AC_DA,$C16)</f>
        <v>0</v>
      </c>
      <c r="R16" s="1223">
        <f>SUMIFS(AC_SOTIEN,AC_THANG,R$1,AC_KM,$E16,AC_DA,$C16)</f>
        <v>0</v>
      </c>
      <c r="S16" s="1223">
        <f>SUMIFS(AC_SOTIEN,AC_THANG,S$1,AC_KM,$E16,AC_DA,$C16)</f>
        <v>2244000000</v>
      </c>
      <c r="T16" s="1223">
        <f>SUMIFS(AC_SOTIEN,AC_THANG,T$1,AC_KM,$E16,AC_DA,$C16)</f>
        <v>0</v>
      </c>
      <c r="U16" s="1223">
        <f>SUMIFS(AC_SOTIEN,AC_THANG,U$1,AC_KM,$E16,AC_DA,$C16)</f>
        <v>0</v>
      </c>
      <c r="V16" s="1223">
        <f>SUMIFS(AC_SOTIEN,AC_THANG,V$1,AC_KM,$E16,AC_DA,$C16)</f>
        <v>0</v>
      </c>
      <c r="W16" s="1223">
        <f>SUMIFS(AC_SOTIEN,AC_THANG,W$1,AC_KM,$E16,AC_DA,$C16)</f>
        <v>0</v>
      </c>
      <c r="X16" s="1223">
        <f>SUMIFS(AC_SOTIEN,AC_THANG,X$1,AC_KM,$E16,AC_DA,$C16)</f>
        <v>0</v>
      </c>
      <c r="Y16" s="1223">
        <f>SUMIFS(AC_SOTIEN,AC_THANG,Y$1,AC_KM,$E16,AC_DA,$C16)</f>
        <v>0</v>
      </c>
      <c r="Z16" s="1223">
        <f>SUMIFS(AC_SOTIEN,AC_THANG,Z$1,AC_KM,$E16,AC_DA,$C16)</f>
        <v>0</v>
      </c>
      <c r="AA16" s="1223">
        <f>SUMIFS(AC_SOTIEN,AC_THANG,AA$1,AC_KM,$E16,AC_DA,$C16)</f>
        <v>0</v>
      </c>
    </row>
    <row r="17">
      <c r="A17" s="1228" t="s">
        <v>2822</v>
      </c>
      <c r="B17" s="1212"/>
      <c r="C17" s="1212"/>
      <c r="D17" s="1212"/>
      <c r="E17" s="1213"/>
      <c r="F17" s="1212"/>
      <c r="G17" s="1212"/>
      <c r="H17" s="1214">
        <f>SUM(H18:H32)</f>
        <v>3789040000</v>
      </c>
      <c r="I17" s="1214">
        <f>IF(H$2=0,"",H17/H$2)</f>
        <v>0.1164885871</v>
      </c>
      <c r="J17" s="1214">
        <f t="shared" ref="J17:AA17" si="11">SUM(J18:J32)</f>
        <v>3789040000</v>
      </c>
      <c r="K17" s="1214">
        <f t="shared" si="11"/>
        <v>0</v>
      </c>
      <c r="L17" s="1214">
        <f t="shared" si="11"/>
        <v>1188000000</v>
      </c>
      <c r="M17" s="1214">
        <f t="shared" si="11"/>
        <v>2601040000</v>
      </c>
      <c r="N17" s="1214">
        <f t="shared" si="11"/>
        <v>0</v>
      </c>
      <c r="O17" s="1214">
        <f t="shared" si="11"/>
        <v>0</v>
      </c>
      <c r="P17" s="1214">
        <f t="shared" si="11"/>
        <v>340000000</v>
      </c>
      <c r="Q17" s="1214">
        <f t="shared" si="11"/>
        <v>180000000</v>
      </c>
      <c r="R17" s="1214">
        <f t="shared" si="11"/>
        <v>668000000</v>
      </c>
      <c r="S17" s="1214">
        <f t="shared" si="11"/>
        <v>2601040000</v>
      </c>
      <c r="T17" s="1214">
        <f t="shared" si="11"/>
        <v>0</v>
      </c>
      <c r="U17" s="1214">
        <f t="shared" si="11"/>
        <v>0</v>
      </c>
      <c r="V17" s="1214">
        <f t="shared" si="11"/>
        <v>0</v>
      </c>
      <c r="W17" s="1214">
        <f t="shared" si="11"/>
        <v>0</v>
      </c>
      <c r="X17" s="1214">
        <f t="shared" si="11"/>
        <v>0</v>
      </c>
      <c r="Y17" s="1214">
        <f t="shared" si="11"/>
        <v>0</v>
      </c>
      <c r="Z17" s="1214">
        <f t="shared" si="11"/>
        <v>0</v>
      </c>
      <c r="AA17" s="1214">
        <f t="shared" si="11"/>
        <v>0</v>
      </c>
    </row>
    <row r="18">
      <c r="A18" s="1215">
        <f t="shared" ref="A18:A32" si="12">IF(C18="","",COUNTA(D$18:D18))</f>
        <v>1</v>
      </c>
      <c r="B18" s="1216" t="s">
        <v>2066</v>
      </c>
      <c r="C18" s="1087" t="s">
        <v>215</v>
      </c>
      <c r="D18" s="1216" t="str">
        <f>VLOOKUP(C18,DM_DUAN,2,0)</f>
        <v>Phước Đông Garden</v>
      </c>
      <c r="E18" s="1229" t="s">
        <v>187</v>
      </c>
      <c r="F18" s="1218">
        <v>511.0</v>
      </c>
      <c r="G18" s="1218">
        <v>2.0</v>
      </c>
      <c r="H18" s="1219">
        <f t="shared" ref="H18:H32" si="13">SUM(J18:K18)</f>
        <v>0</v>
      </c>
      <c r="I18" s="1220">
        <f t="shared" ref="I18:I32" si="14">IFERROR(H18/$H$17,"")</f>
        <v>0</v>
      </c>
      <c r="J18" s="1221">
        <f t="shared" ref="J18:J32" si="15">SUM(L18:M18)</f>
        <v>0</v>
      </c>
      <c r="K18" s="1221">
        <f t="shared" ref="K18:K32" si="16">SUM(N18:O18)</f>
        <v>0</v>
      </c>
      <c r="L18" s="1222">
        <f t="shared" ref="L18:L32" si="17">SUM(P18:R18)</f>
        <v>0</v>
      </c>
      <c r="M18" s="1222">
        <f t="shared" ref="M18:M32" si="18">SUM(S18:U18)</f>
        <v>0</v>
      </c>
      <c r="N18" s="1222">
        <f t="shared" ref="N18:N32" si="19">SUM(V18:X18)</f>
        <v>0</v>
      </c>
      <c r="O18" s="1222">
        <f t="shared" ref="O18:O32" si="20">SUM(Y18:AA18)</f>
        <v>0</v>
      </c>
      <c r="P18" s="1223">
        <f>SUMIFS(AC_SOTIEN,AC_THANG,P$1,AC_KM,$E18,AC_DA,$C18)</f>
        <v>0</v>
      </c>
      <c r="Q18" s="1223">
        <f>SUMIFS(AC_SOTIEN,AC_THANG,Q$1,AC_KM,$E18,AC_DA,$C18)</f>
        <v>0</v>
      </c>
      <c r="R18" s="1223">
        <f>SUMIFS(AC_SOTIEN,AC_THANG,R$1,AC_KM,$E18,AC_DA,$C18)</f>
        <v>0</v>
      </c>
      <c r="S18" s="1223">
        <f>SUMIFS(AC_SOTIEN,AC_THANG,S$1,AC_KM,$E18,AC_DA,$C18)</f>
        <v>0</v>
      </c>
      <c r="T18" s="1223">
        <f>SUMIFS(AC_SOTIEN,AC_THANG,T$1,AC_KM,$E18,AC_DA,$C18)</f>
        <v>0</v>
      </c>
      <c r="U18" s="1223">
        <f>SUMIFS(AC_SOTIEN,AC_THANG,U$1,AC_KM,$E18,AC_DA,$C18)</f>
        <v>0</v>
      </c>
      <c r="V18" s="1223">
        <f>SUMIFS(AC_SOTIEN,AC_THANG,V$1,AC_KM,$E18,AC_DA,$C18)</f>
        <v>0</v>
      </c>
      <c r="W18" s="1223">
        <f>SUMIFS(AC_SOTIEN,AC_THANG,W$1,AC_KM,$E18,AC_DA,$C18)</f>
        <v>0</v>
      </c>
      <c r="X18" s="1223">
        <f>SUMIFS(AC_SOTIEN,AC_THANG,X$1,AC_KM,$E18,AC_DA,$C18)</f>
        <v>0</v>
      </c>
      <c r="Y18" s="1223">
        <f>SUMIFS(AC_SOTIEN,AC_THANG,Y$1,AC_KM,$E18,AC_DA,$C18)</f>
        <v>0</v>
      </c>
      <c r="Z18" s="1223">
        <f>SUMIFS(AC_SOTIEN,AC_THANG,Z$1,AC_KM,$E18,AC_DA,$C18)</f>
        <v>0</v>
      </c>
      <c r="AA18" s="1223">
        <f>SUMIFS(AC_SOTIEN,AC_THANG,AA$1,AC_KM,$E18,AC_DA,$C18)</f>
        <v>0</v>
      </c>
    </row>
    <row r="19">
      <c r="A19" s="1215">
        <f t="shared" si="12"/>
        <v>2</v>
      </c>
      <c r="B19" s="1216" t="s">
        <v>2067</v>
      </c>
      <c r="C19" s="1087" t="s">
        <v>404</v>
      </c>
      <c r="D19" s="1216" t="str">
        <f>VLOOKUP(C19,DM_DUAN,2,0)</f>
        <v>Hamil ton Garden</v>
      </c>
      <c r="E19" s="1229" t="s">
        <v>187</v>
      </c>
      <c r="F19" s="1218">
        <v>511.0</v>
      </c>
      <c r="G19" s="1218">
        <v>2.0</v>
      </c>
      <c r="H19" s="1219">
        <f t="shared" si="13"/>
        <v>0</v>
      </c>
      <c r="I19" s="1220">
        <f t="shared" si="14"/>
        <v>0</v>
      </c>
      <c r="J19" s="1221">
        <f t="shared" si="15"/>
        <v>0</v>
      </c>
      <c r="K19" s="1221">
        <f t="shared" si="16"/>
        <v>0</v>
      </c>
      <c r="L19" s="1222">
        <f t="shared" si="17"/>
        <v>0</v>
      </c>
      <c r="M19" s="1222">
        <f t="shared" si="18"/>
        <v>0</v>
      </c>
      <c r="N19" s="1222">
        <f t="shared" si="19"/>
        <v>0</v>
      </c>
      <c r="O19" s="1222">
        <f t="shared" si="20"/>
        <v>0</v>
      </c>
      <c r="P19" s="1223">
        <f>SUMIFS(AC_SOTIEN,AC_THANG,P$1,AC_KM,$E19,AC_DA,$C19)</f>
        <v>0</v>
      </c>
      <c r="Q19" s="1223">
        <f>SUMIFS(AC_SOTIEN,AC_THANG,Q$1,AC_KM,$E19,AC_DA,$C19)</f>
        <v>0</v>
      </c>
      <c r="R19" s="1223">
        <f>SUMIFS(AC_SOTIEN,AC_THANG,R$1,AC_KM,$E19,AC_DA,$C19)</f>
        <v>0</v>
      </c>
      <c r="S19" s="1223">
        <f>SUMIFS(AC_SOTIEN,AC_THANG,S$1,AC_KM,$E19,AC_DA,$C19)</f>
        <v>0</v>
      </c>
      <c r="T19" s="1223">
        <f>SUMIFS(AC_SOTIEN,AC_THANG,T$1,AC_KM,$E19,AC_DA,$C19)</f>
        <v>0</v>
      </c>
      <c r="U19" s="1223">
        <f>SUMIFS(AC_SOTIEN,AC_THANG,U$1,AC_KM,$E19,AC_DA,$C19)</f>
        <v>0</v>
      </c>
      <c r="V19" s="1223">
        <f>SUMIFS(AC_SOTIEN,AC_THANG,V$1,AC_KM,$E19,AC_DA,$C19)</f>
        <v>0</v>
      </c>
      <c r="W19" s="1223">
        <f>SUMIFS(AC_SOTIEN,AC_THANG,W$1,AC_KM,$E19,AC_DA,$C19)</f>
        <v>0</v>
      </c>
      <c r="X19" s="1223">
        <f>SUMIFS(AC_SOTIEN,AC_THANG,X$1,AC_KM,$E19,AC_DA,$C19)</f>
        <v>0</v>
      </c>
      <c r="Y19" s="1223">
        <f>SUMIFS(AC_SOTIEN,AC_THANG,Y$1,AC_KM,$E19,AC_DA,$C19)</f>
        <v>0</v>
      </c>
      <c r="Z19" s="1223">
        <f>SUMIFS(AC_SOTIEN,AC_THANG,Z$1,AC_KM,$E19,AC_DA,$C19)</f>
        <v>0</v>
      </c>
      <c r="AA19" s="1223">
        <f>SUMIFS(AC_SOTIEN,AC_THANG,AA$1,AC_KM,$E19,AC_DA,$C19)</f>
        <v>0</v>
      </c>
    </row>
    <row r="20">
      <c r="A20" s="1215">
        <f t="shared" si="12"/>
        <v>3</v>
      </c>
      <c r="B20" s="1216" t="s">
        <v>2068</v>
      </c>
      <c r="C20" s="1087" t="s">
        <v>533</v>
      </c>
      <c r="D20" s="1216" t="str">
        <f>VLOOKUP(C20,DM_DUAN,2,0)</f>
        <v>The sol city</v>
      </c>
      <c r="E20" s="1229" t="s">
        <v>187</v>
      </c>
      <c r="F20" s="1218">
        <v>511.0</v>
      </c>
      <c r="G20" s="1218">
        <v>2.0</v>
      </c>
      <c r="H20" s="1219">
        <f t="shared" si="13"/>
        <v>0</v>
      </c>
      <c r="I20" s="1220">
        <f t="shared" si="14"/>
        <v>0</v>
      </c>
      <c r="J20" s="1221">
        <f t="shared" si="15"/>
        <v>0</v>
      </c>
      <c r="K20" s="1221">
        <f t="shared" si="16"/>
        <v>0</v>
      </c>
      <c r="L20" s="1222">
        <f t="shared" si="17"/>
        <v>0</v>
      </c>
      <c r="M20" s="1222">
        <f t="shared" si="18"/>
        <v>0</v>
      </c>
      <c r="N20" s="1222">
        <f t="shared" si="19"/>
        <v>0</v>
      </c>
      <c r="O20" s="1222">
        <f t="shared" si="20"/>
        <v>0</v>
      </c>
      <c r="P20" s="1223">
        <f>SUMIFS(AC_SOTIEN,AC_THANG,P$1,AC_KM,$E20,AC_DA,$C20)</f>
        <v>0</v>
      </c>
      <c r="Q20" s="1223">
        <f>SUMIFS(AC_SOTIEN,AC_THANG,Q$1,AC_KM,$E20,AC_DA,$C20)</f>
        <v>0</v>
      </c>
      <c r="R20" s="1223">
        <f>SUMIFS(AC_SOTIEN,AC_THANG,R$1,AC_KM,$E20,AC_DA,$C20)</f>
        <v>0</v>
      </c>
      <c r="S20" s="1223">
        <f>SUMIFS(AC_SOTIEN,AC_THANG,S$1,AC_KM,$E20,AC_DA,$C20)</f>
        <v>0</v>
      </c>
      <c r="T20" s="1223">
        <f>SUMIFS(AC_SOTIEN,AC_THANG,T$1,AC_KM,$E20,AC_DA,$C20)</f>
        <v>0</v>
      </c>
      <c r="U20" s="1223">
        <f>SUMIFS(AC_SOTIEN,AC_THANG,U$1,AC_KM,$E20,AC_DA,$C20)</f>
        <v>0</v>
      </c>
      <c r="V20" s="1223">
        <f>SUMIFS(AC_SOTIEN,AC_THANG,V$1,AC_KM,$E20,AC_DA,$C20)</f>
        <v>0</v>
      </c>
      <c r="W20" s="1223">
        <f>SUMIFS(AC_SOTIEN,AC_THANG,W$1,AC_KM,$E20,AC_DA,$C20)</f>
        <v>0</v>
      </c>
      <c r="X20" s="1223">
        <f>SUMIFS(AC_SOTIEN,AC_THANG,X$1,AC_KM,$E20,AC_DA,$C20)</f>
        <v>0</v>
      </c>
      <c r="Y20" s="1223">
        <f>SUMIFS(AC_SOTIEN,AC_THANG,Y$1,AC_KM,$E20,AC_DA,$C20)</f>
        <v>0</v>
      </c>
      <c r="Z20" s="1223">
        <f>SUMIFS(AC_SOTIEN,AC_THANG,Z$1,AC_KM,$E20,AC_DA,$C20)</f>
        <v>0</v>
      </c>
      <c r="AA20" s="1223">
        <f>SUMIFS(AC_SOTIEN,AC_THANG,AA$1,AC_KM,$E20,AC_DA,$C20)</f>
        <v>0</v>
      </c>
    </row>
    <row r="21">
      <c r="A21" s="1215">
        <f t="shared" si="12"/>
        <v>4</v>
      </c>
      <c r="B21" s="1216" t="s">
        <v>2069</v>
      </c>
      <c r="C21" s="1087" t="s">
        <v>175</v>
      </c>
      <c r="D21" s="1216" t="str">
        <f>VLOOKUP(C21,DM_DUAN,2,0)</f>
        <v>Phước hội Hồ Tràm</v>
      </c>
      <c r="E21" s="1229" t="s">
        <v>187</v>
      </c>
      <c r="F21" s="1218">
        <v>511.0</v>
      </c>
      <c r="G21" s="1218">
        <v>2.0</v>
      </c>
      <c r="H21" s="1219">
        <f t="shared" si="13"/>
        <v>670000000</v>
      </c>
      <c r="I21" s="1220">
        <f t="shared" si="14"/>
        <v>0.1768257923</v>
      </c>
      <c r="J21" s="1221">
        <f t="shared" si="15"/>
        <v>670000000</v>
      </c>
      <c r="K21" s="1221">
        <f t="shared" si="16"/>
        <v>0</v>
      </c>
      <c r="L21" s="1222">
        <f t="shared" si="17"/>
        <v>670000000</v>
      </c>
      <c r="M21" s="1222">
        <f t="shared" si="18"/>
        <v>0</v>
      </c>
      <c r="N21" s="1222">
        <f t="shared" si="19"/>
        <v>0</v>
      </c>
      <c r="O21" s="1222">
        <f t="shared" si="20"/>
        <v>0</v>
      </c>
      <c r="P21" s="1223">
        <f>SUMIFS(AC_SOTIEN,AC_THANG,P$1,AC_KM,$E21,AC_DA,$C21)</f>
        <v>340000000</v>
      </c>
      <c r="Q21" s="1223">
        <f>SUMIFS(AC_SOTIEN,AC_THANG,Q$1,AC_KM,$E21,AC_DA,$C21)</f>
        <v>180000000</v>
      </c>
      <c r="R21" s="1223">
        <f>SUMIFS(AC_SOTIEN,AC_THANG,R$1,AC_KM,$E21,AC_DA,$C21)</f>
        <v>150000000</v>
      </c>
      <c r="S21" s="1223">
        <f>SUMIFS(AC_SOTIEN,AC_THANG,S$1,AC_KM,$E21,AC_DA,$C21)</f>
        <v>0</v>
      </c>
      <c r="T21" s="1223">
        <f>SUMIFS(AC_SOTIEN,AC_THANG,T$1,AC_KM,$E21,AC_DA,$C21)</f>
        <v>0</v>
      </c>
      <c r="U21" s="1223">
        <f>SUMIFS(AC_SOTIEN,AC_THANG,U$1,AC_KM,$E21,AC_DA,$C21)</f>
        <v>0</v>
      </c>
      <c r="V21" s="1223">
        <f>SUMIFS(AC_SOTIEN,AC_THANG,V$1,AC_KM,$E21,AC_DA,$C21)</f>
        <v>0</v>
      </c>
      <c r="W21" s="1223">
        <f>SUMIFS(AC_SOTIEN,AC_THANG,W$1,AC_KM,$E21,AC_DA,$C21)</f>
        <v>0</v>
      </c>
      <c r="X21" s="1223">
        <f>SUMIFS(AC_SOTIEN,AC_THANG,X$1,AC_KM,$E21,AC_DA,$C21)</f>
        <v>0</v>
      </c>
      <c r="Y21" s="1223">
        <f>SUMIFS(AC_SOTIEN,AC_THANG,Y$1,AC_KM,$E21,AC_DA,$C21)</f>
        <v>0</v>
      </c>
      <c r="Z21" s="1223">
        <f>SUMIFS(AC_SOTIEN,AC_THANG,Z$1,AC_KM,$E21,AC_DA,$C21)</f>
        <v>0</v>
      </c>
      <c r="AA21" s="1223">
        <f>SUMIFS(AC_SOTIEN,AC_THANG,AA$1,AC_KM,$E21,AC_DA,$C21)</f>
        <v>0</v>
      </c>
    </row>
    <row r="22">
      <c r="A22" s="1215">
        <f t="shared" si="12"/>
        <v>5</v>
      </c>
      <c r="B22" s="1216" t="s">
        <v>2070</v>
      </c>
      <c r="C22" s="1087" t="s">
        <v>2067</v>
      </c>
      <c r="D22" s="1216" t="str">
        <f>VLOOKUP(C22,DM_DUAN,2,0)</f>
        <v>NAM PHONG</v>
      </c>
      <c r="E22" s="1229" t="s">
        <v>187</v>
      </c>
      <c r="F22" s="1218">
        <v>511.0</v>
      </c>
      <c r="G22" s="1218">
        <v>2.0</v>
      </c>
      <c r="H22" s="1219">
        <f t="shared" si="13"/>
        <v>0</v>
      </c>
      <c r="I22" s="1220">
        <f t="shared" si="14"/>
        <v>0</v>
      </c>
      <c r="J22" s="1221">
        <f t="shared" si="15"/>
        <v>0</v>
      </c>
      <c r="K22" s="1221">
        <f t="shared" si="16"/>
        <v>0</v>
      </c>
      <c r="L22" s="1222">
        <f t="shared" si="17"/>
        <v>0</v>
      </c>
      <c r="M22" s="1222">
        <f t="shared" si="18"/>
        <v>0</v>
      </c>
      <c r="N22" s="1222">
        <f t="shared" si="19"/>
        <v>0</v>
      </c>
      <c r="O22" s="1222">
        <f t="shared" si="20"/>
        <v>0</v>
      </c>
      <c r="P22" s="1223">
        <f>SUMIFS(AC_SOTIEN,AC_THANG,P$1,AC_KM,$E22,AC_DA,$C22)</f>
        <v>0</v>
      </c>
      <c r="Q22" s="1223">
        <f>SUMIFS(AC_SOTIEN,AC_THANG,Q$1,AC_KM,$E22,AC_DA,$C22)</f>
        <v>0</v>
      </c>
      <c r="R22" s="1223">
        <f>SUMIFS(AC_SOTIEN,AC_THANG,R$1,AC_KM,$E22,AC_DA,$C22)</f>
        <v>0</v>
      </c>
      <c r="S22" s="1223">
        <f>SUMIFS(AC_SOTIEN,AC_THANG,S$1,AC_KM,$E22,AC_DA,$C22)</f>
        <v>0</v>
      </c>
      <c r="T22" s="1223">
        <f>SUMIFS(AC_SOTIEN,AC_THANG,T$1,AC_KM,$E22,AC_DA,$C22)</f>
        <v>0</v>
      </c>
      <c r="U22" s="1223">
        <f>SUMIFS(AC_SOTIEN,AC_THANG,U$1,AC_KM,$E22,AC_DA,$C22)</f>
        <v>0</v>
      </c>
      <c r="V22" s="1223">
        <f>SUMIFS(AC_SOTIEN,AC_THANG,V$1,AC_KM,$E22,AC_DA,$C22)</f>
        <v>0</v>
      </c>
      <c r="W22" s="1223">
        <f>SUMIFS(AC_SOTIEN,AC_THANG,W$1,AC_KM,$E22,AC_DA,$C22)</f>
        <v>0</v>
      </c>
      <c r="X22" s="1223">
        <f>SUMIFS(AC_SOTIEN,AC_THANG,X$1,AC_KM,$E22,AC_DA,$C22)</f>
        <v>0</v>
      </c>
      <c r="Y22" s="1223">
        <f>SUMIFS(AC_SOTIEN,AC_THANG,Y$1,AC_KM,$E22,AC_DA,$C22)</f>
        <v>0</v>
      </c>
      <c r="Z22" s="1223">
        <f>SUMIFS(AC_SOTIEN,AC_THANG,Z$1,AC_KM,$E22,AC_DA,$C22)</f>
        <v>0</v>
      </c>
      <c r="AA22" s="1223">
        <f>SUMIFS(AC_SOTIEN,AC_THANG,AA$1,AC_KM,$E22,AC_DA,$C22)</f>
        <v>0</v>
      </c>
    </row>
    <row r="23">
      <c r="A23" s="1215">
        <f t="shared" si="12"/>
        <v>6</v>
      </c>
      <c r="B23" s="1216" t="s">
        <v>2071</v>
      </c>
      <c r="C23" s="656" t="s">
        <v>638</v>
      </c>
      <c r="D23" s="1216" t="str">
        <f>VLOOKUP(C23,DM_DUAN,2,0)</f>
        <v>Sản phẩm Phước Vinh</v>
      </c>
      <c r="E23" s="1229" t="s">
        <v>187</v>
      </c>
      <c r="F23" s="1218">
        <v>511.0</v>
      </c>
      <c r="G23" s="1218">
        <v>2.0</v>
      </c>
      <c r="H23" s="1219">
        <f t="shared" si="13"/>
        <v>1559000000</v>
      </c>
      <c r="I23" s="1220">
        <f t="shared" si="14"/>
        <v>0.4114498659</v>
      </c>
      <c r="J23" s="1221">
        <f t="shared" si="15"/>
        <v>1559000000</v>
      </c>
      <c r="K23" s="1221">
        <f t="shared" si="16"/>
        <v>0</v>
      </c>
      <c r="L23" s="1222">
        <f t="shared" si="17"/>
        <v>0</v>
      </c>
      <c r="M23" s="1222">
        <f t="shared" si="18"/>
        <v>1559000000</v>
      </c>
      <c r="N23" s="1222">
        <f t="shared" si="19"/>
        <v>0</v>
      </c>
      <c r="O23" s="1222">
        <f t="shared" si="20"/>
        <v>0</v>
      </c>
      <c r="P23" s="1223">
        <f>SUMIFS(AC_SOTIEN,AC_THANG,P$1,AC_KM,$E23,AC_DA,$C23)</f>
        <v>0</v>
      </c>
      <c r="Q23" s="1223">
        <f>SUMIFS(AC_SOTIEN,AC_THANG,Q$1,AC_KM,$E23,AC_DA,$C23)</f>
        <v>0</v>
      </c>
      <c r="R23" s="1223">
        <f>SUMIFS(AC_SOTIEN,AC_THANG,R$1,AC_KM,$E23,AC_DA,$C23)</f>
        <v>0</v>
      </c>
      <c r="S23" s="1223">
        <f>SUMIFS(AC_SOTIEN,AC_THANG,S$1,AC_KM,$E23,AC_DA,$C23)</f>
        <v>1559000000</v>
      </c>
      <c r="T23" s="1223">
        <f>SUMIFS(AC_SOTIEN,AC_THANG,T$1,AC_KM,$E23,AC_DA,$C23)</f>
        <v>0</v>
      </c>
      <c r="U23" s="1223">
        <f>SUMIFS(AC_SOTIEN,AC_THANG,U$1,AC_KM,$E23,AC_DA,$C23)</f>
        <v>0</v>
      </c>
      <c r="V23" s="1223">
        <f>SUMIFS(AC_SOTIEN,AC_THANG,V$1,AC_KM,$E23,AC_DA,$C23)</f>
        <v>0</v>
      </c>
      <c r="W23" s="1223">
        <f>SUMIFS(AC_SOTIEN,AC_THANG,W$1,AC_KM,$E23,AC_DA,$C23)</f>
        <v>0</v>
      </c>
      <c r="X23" s="1223">
        <f>SUMIFS(AC_SOTIEN,AC_THANG,X$1,AC_KM,$E23,AC_DA,$C23)</f>
        <v>0</v>
      </c>
      <c r="Y23" s="1223">
        <f>SUMIFS(AC_SOTIEN,AC_THANG,Y$1,AC_KM,$E23,AC_DA,$C23)</f>
        <v>0</v>
      </c>
      <c r="Z23" s="1223">
        <f>SUMIFS(AC_SOTIEN,AC_THANG,Z$1,AC_KM,$E23,AC_DA,$C23)</f>
        <v>0</v>
      </c>
      <c r="AA23" s="1223">
        <f>SUMIFS(AC_SOTIEN,AC_THANG,AA$1,AC_KM,$E23,AC_DA,$C23)</f>
        <v>0</v>
      </c>
    </row>
    <row r="24">
      <c r="A24" s="1215">
        <f t="shared" si="12"/>
        <v>7</v>
      </c>
      <c r="B24" s="1216" t="s">
        <v>2072</v>
      </c>
      <c r="C24" s="1087" t="s">
        <v>2070</v>
      </c>
      <c r="D24" s="1216" t="str">
        <f>VLOOKUP(C24,DM_DUAN,2,0)</f>
        <v>KHANG VƯỢNG</v>
      </c>
      <c r="E24" s="1229" t="s">
        <v>187</v>
      </c>
      <c r="F24" s="1218">
        <v>511.0</v>
      </c>
      <c r="G24" s="1218">
        <v>2.0</v>
      </c>
      <c r="H24" s="1219">
        <f t="shared" si="13"/>
        <v>0</v>
      </c>
      <c r="I24" s="1220">
        <f t="shared" si="14"/>
        <v>0</v>
      </c>
      <c r="J24" s="1221">
        <f t="shared" si="15"/>
        <v>0</v>
      </c>
      <c r="K24" s="1221">
        <f t="shared" si="16"/>
        <v>0</v>
      </c>
      <c r="L24" s="1222">
        <f t="shared" si="17"/>
        <v>0</v>
      </c>
      <c r="M24" s="1222">
        <f t="shared" si="18"/>
        <v>0</v>
      </c>
      <c r="N24" s="1222">
        <f t="shared" si="19"/>
        <v>0</v>
      </c>
      <c r="O24" s="1222">
        <f t="shared" si="20"/>
        <v>0</v>
      </c>
      <c r="P24" s="1223">
        <f>SUMIFS(AC_SOTIEN,AC_THANG,P$1,AC_KM,$E24,AC_DA,$C24)</f>
        <v>0</v>
      </c>
      <c r="Q24" s="1223">
        <f>SUMIFS(AC_SOTIEN,AC_THANG,Q$1,AC_KM,$E24,AC_DA,$C24)</f>
        <v>0</v>
      </c>
      <c r="R24" s="1223">
        <f>SUMIFS(AC_SOTIEN,AC_THANG,R$1,AC_KM,$E24,AC_DA,$C24)</f>
        <v>0</v>
      </c>
      <c r="S24" s="1223">
        <f>SUMIFS(AC_SOTIEN,AC_THANG,S$1,AC_KM,$E24,AC_DA,$C24)</f>
        <v>0</v>
      </c>
      <c r="T24" s="1223">
        <f>SUMIFS(AC_SOTIEN,AC_THANG,T$1,AC_KM,$E24,AC_DA,$C24)</f>
        <v>0</v>
      </c>
      <c r="U24" s="1223">
        <f>SUMIFS(AC_SOTIEN,AC_THANG,U$1,AC_KM,$E24,AC_DA,$C24)</f>
        <v>0</v>
      </c>
      <c r="V24" s="1223">
        <f>SUMIFS(AC_SOTIEN,AC_THANG,V$1,AC_KM,$E24,AC_DA,$C24)</f>
        <v>0</v>
      </c>
      <c r="W24" s="1223">
        <f>SUMIFS(AC_SOTIEN,AC_THANG,W$1,AC_KM,$E24,AC_DA,$C24)</f>
        <v>0</v>
      </c>
      <c r="X24" s="1223">
        <f>SUMIFS(AC_SOTIEN,AC_THANG,X$1,AC_KM,$E24,AC_DA,$C24)</f>
        <v>0</v>
      </c>
      <c r="Y24" s="1223">
        <f>SUMIFS(AC_SOTIEN,AC_THANG,Y$1,AC_KM,$E24,AC_DA,$C24)</f>
        <v>0</v>
      </c>
      <c r="Z24" s="1223">
        <f>SUMIFS(AC_SOTIEN,AC_THANG,Z$1,AC_KM,$E24,AC_DA,$C24)</f>
        <v>0</v>
      </c>
      <c r="AA24" s="1223">
        <f>SUMIFS(AC_SOTIEN,AC_THANG,AA$1,AC_KM,$E24,AC_DA,$C24)</f>
        <v>0</v>
      </c>
    </row>
    <row r="25">
      <c r="A25" s="1215">
        <f t="shared" si="12"/>
        <v>8</v>
      </c>
      <c r="B25" s="1216" t="s">
        <v>2073</v>
      </c>
      <c r="C25" s="1087" t="s">
        <v>2072</v>
      </c>
      <c r="D25" s="1216" t="str">
        <f>VLOOKUP(C25,DM_DUAN,2,0)</f>
        <v>TRẦN ANH GROUP</v>
      </c>
      <c r="E25" s="1229" t="s">
        <v>187</v>
      </c>
      <c r="F25" s="1218">
        <v>511.0</v>
      </c>
      <c r="G25" s="1218">
        <v>2.0</v>
      </c>
      <c r="H25" s="1219">
        <f t="shared" si="13"/>
        <v>0</v>
      </c>
      <c r="I25" s="1220">
        <f t="shared" si="14"/>
        <v>0</v>
      </c>
      <c r="J25" s="1221">
        <f t="shared" si="15"/>
        <v>0</v>
      </c>
      <c r="K25" s="1221">
        <f t="shared" si="16"/>
        <v>0</v>
      </c>
      <c r="L25" s="1222">
        <f t="shared" si="17"/>
        <v>0</v>
      </c>
      <c r="M25" s="1222">
        <f t="shared" si="18"/>
        <v>0</v>
      </c>
      <c r="N25" s="1222">
        <f t="shared" si="19"/>
        <v>0</v>
      </c>
      <c r="O25" s="1222">
        <f t="shared" si="20"/>
        <v>0</v>
      </c>
      <c r="P25" s="1223">
        <f>SUMIFS(AC_SOTIEN,AC_THANG,P$1,AC_KM,$E25,AC_DA,$C25)</f>
        <v>0</v>
      </c>
      <c r="Q25" s="1223">
        <f>SUMIFS(AC_SOTIEN,AC_THANG,Q$1,AC_KM,$E25,AC_DA,$C25)</f>
        <v>0</v>
      </c>
      <c r="R25" s="1223">
        <f>SUMIFS(AC_SOTIEN,AC_THANG,R$1,AC_KM,$E25,AC_DA,$C25)</f>
        <v>0</v>
      </c>
      <c r="S25" s="1223">
        <f>SUMIFS(AC_SOTIEN,AC_THANG,S$1,AC_KM,$E25,AC_DA,$C25)</f>
        <v>0</v>
      </c>
      <c r="T25" s="1223">
        <f>SUMIFS(AC_SOTIEN,AC_THANG,T$1,AC_KM,$E25,AC_DA,$C25)</f>
        <v>0</v>
      </c>
      <c r="U25" s="1223">
        <f>SUMIFS(AC_SOTIEN,AC_THANG,U$1,AC_KM,$E25,AC_DA,$C25)</f>
        <v>0</v>
      </c>
      <c r="V25" s="1223">
        <f>SUMIFS(AC_SOTIEN,AC_THANG,V$1,AC_KM,$E25,AC_DA,$C25)</f>
        <v>0</v>
      </c>
      <c r="W25" s="1223">
        <f>SUMIFS(AC_SOTIEN,AC_THANG,W$1,AC_KM,$E25,AC_DA,$C25)</f>
        <v>0</v>
      </c>
      <c r="X25" s="1223">
        <f>SUMIFS(AC_SOTIEN,AC_THANG,X$1,AC_KM,$E25,AC_DA,$C25)</f>
        <v>0</v>
      </c>
      <c r="Y25" s="1223">
        <f>SUMIFS(AC_SOTIEN,AC_THANG,Y$1,AC_KM,$E25,AC_DA,$C25)</f>
        <v>0</v>
      </c>
      <c r="Z25" s="1223">
        <f>SUMIFS(AC_SOTIEN,AC_THANG,Z$1,AC_KM,$E25,AC_DA,$C25)</f>
        <v>0</v>
      </c>
      <c r="AA25" s="1223">
        <f>SUMIFS(AC_SOTIEN,AC_THANG,AA$1,AC_KM,$E25,AC_DA,$C25)</f>
        <v>0</v>
      </c>
    </row>
    <row r="26">
      <c r="A26" s="1215">
        <f t="shared" si="12"/>
        <v>9</v>
      </c>
      <c r="B26" s="1216" t="s">
        <v>2074</v>
      </c>
      <c r="C26" s="1087" t="s">
        <v>2073</v>
      </c>
      <c r="D26" s="1216" t="str">
        <f>VLOOKUP(C26,DM_DUAN,2,0)</f>
        <v>PHI TRƯỜNG</v>
      </c>
      <c r="E26" s="1229" t="s">
        <v>187</v>
      </c>
      <c r="F26" s="1218">
        <v>511.0</v>
      </c>
      <c r="G26" s="1218">
        <v>2.0</v>
      </c>
      <c r="H26" s="1219">
        <f t="shared" si="13"/>
        <v>0</v>
      </c>
      <c r="I26" s="1220">
        <f t="shared" si="14"/>
        <v>0</v>
      </c>
      <c r="J26" s="1221">
        <f t="shared" si="15"/>
        <v>0</v>
      </c>
      <c r="K26" s="1221">
        <f t="shared" si="16"/>
        <v>0</v>
      </c>
      <c r="L26" s="1222">
        <f t="shared" si="17"/>
        <v>0</v>
      </c>
      <c r="M26" s="1222">
        <f t="shared" si="18"/>
        <v>0</v>
      </c>
      <c r="N26" s="1222">
        <f t="shared" si="19"/>
        <v>0</v>
      </c>
      <c r="O26" s="1222">
        <f t="shared" si="20"/>
        <v>0</v>
      </c>
      <c r="P26" s="1223">
        <f>SUMIFS(AC_SOTIEN,AC_THANG,P$1,AC_KM,$E26,AC_DA,$C26)</f>
        <v>0</v>
      </c>
      <c r="Q26" s="1223">
        <f>SUMIFS(AC_SOTIEN,AC_THANG,Q$1,AC_KM,$E26,AC_DA,$C26)</f>
        <v>0</v>
      </c>
      <c r="R26" s="1223">
        <f>SUMIFS(AC_SOTIEN,AC_THANG,R$1,AC_KM,$E26,AC_DA,$C26)</f>
        <v>0</v>
      </c>
      <c r="S26" s="1223">
        <f>SUMIFS(AC_SOTIEN,AC_THANG,S$1,AC_KM,$E26,AC_DA,$C26)</f>
        <v>0</v>
      </c>
      <c r="T26" s="1223">
        <f>SUMIFS(AC_SOTIEN,AC_THANG,T$1,AC_KM,$E26,AC_DA,$C26)</f>
        <v>0</v>
      </c>
      <c r="U26" s="1223">
        <f>SUMIFS(AC_SOTIEN,AC_THANG,U$1,AC_KM,$E26,AC_DA,$C26)</f>
        <v>0</v>
      </c>
      <c r="V26" s="1223">
        <f>SUMIFS(AC_SOTIEN,AC_THANG,V$1,AC_KM,$E26,AC_DA,$C26)</f>
        <v>0</v>
      </c>
      <c r="W26" s="1223">
        <f>SUMIFS(AC_SOTIEN,AC_THANG,W$1,AC_KM,$E26,AC_DA,$C26)</f>
        <v>0</v>
      </c>
      <c r="X26" s="1223">
        <f>SUMIFS(AC_SOTIEN,AC_THANG,X$1,AC_KM,$E26,AC_DA,$C26)</f>
        <v>0</v>
      </c>
      <c r="Y26" s="1223">
        <f>SUMIFS(AC_SOTIEN,AC_THANG,Y$1,AC_KM,$E26,AC_DA,$C26)</f>
        <v>0</v>
      </c>
      <c r="Z26" s="1223">
        <f>SUMIFS(AC_SOTIEN,AC_THANG,Z$1,AC_KM,$E26,AC_DA,$C26)</f>
        <v>0</v>
      </c>
      <c r="AA26" s="1223">
        <f>SUMIFS(AC_SOTIEN,AC_THANG,AA$1,AC_KM,$E26,AC_DA,$C26)</f>
        <v>0</v>
      </c>
    </row>
    <row r="27">
      <c r="A27" s="1215">
        <f t="shared" si="12"/>
        <v>10</v>
      </c>
      <c r="B27" s="1216" t="s">
        <v>2074</v>
      </c>
      <c r="C27" s="656" t="s">
        <v>2074</v>
      </c>
      <c r="D27" s="1216" t="str">
        <f>VLOOKUP(C27,DM_DUAN,2,0)</f>
        <v>HOÀNG CÁT</v>
      </c>
      <c r="E27" s="1229" t="s">
        <v>187</v>
      </c>
      <c r="F27" s="1218">
        <v>511.0</v>
      </c>
      <c r="G27" s="1218">
        <v>2.0</v>
      </c>
      <c r="H27" s="1219">
        <f t="shared" si="13"/>
        <v>0</v>
      </c>
      <c r="I27" s="1220">
        <f t="shared" si="14"/>
        <v>0</v>
      </c>
      <c r="J27" s="1221">
        <f t="shared" si="15"/>
        <v>0</v>
      </c>
      <c r="K27" s="1221">
        <f t="shared" si="16"/>
        <v>0</v>
      </c>
      <c r="L27" s="1222">
        <f t="shared" si="17"/>
        <v>0</v>
      </c>
      <c r="M27" s="1222">
        <f t="shared" si="18"/>
        <v>0</v>
      </c>
      <c r="N27" s="1222">
        <f t="shared" si="19"/>
        <v>0</v>
      </c>
      <c r="O27" s="1222">
        <f t="shared" si="20"/>
        <v>0</v>
      </c>
      <c r="P27" s="1223">
        <f>SUMIFS(AC_SOTIEN,AC_THANG,P$1,AC_KM,$E27,AC_DA,$C27)</f>
        <v>0</v>
      </c>
      <c r="Q27" s="1223">
        <f>SUMIFS(AC_SOTIEN,AC_THANG,Q$1,AC_KM,$E27,AC_DA,$C27)</f>
        <v>0</v>
      </c>
      <c r="R27" s="1223">
        <f>SUMIFS(AC_SOTIEN,AC_THANG,R$1,AC_KM,$E27,AC_DA,$C27)</f>
        <v>0</v>
      </c>
      <c r="S27" s="1223">
        <f>SUMIFS(AC_SOTIEN,AC_THANG,S$1,AC_KM,$E27,AC_DA,$C27)</f>
        <v>0</v>
      </c>
      <c r="T27" s="1223">
        <f>SUMIFS(AC_SOTIEN,AC_THANG,T$1,AC_KM,$E27,AC_DA,$C27)</f>
        <v>0</v>
      </c>
      <c r="U27" s="1223">
        <f>SUMIFS(AC_SOTIEN,AC_THANG,U$1,AC_KM,$E27,AC_DA,$C27)</f>
        <v>0</v>
      </c>
      <c r="V27" s="1223">
        <f>SUMIFS(AC_SOTIEN,AC_THANG,V$1,AC_KM,$E27,AC_DA,$C27)</f>
        <v>0</v>
      </c>
      <c r="W27" s="1223">
        <f>SUMIFS(AC_SOTIEN,AC_THANG,W$1,AC_KM,$E27,AC_DA,$C27)</f>
        <v>0</v>
      </c>
      <c r="X27" s="1223">
        <f>SUMIFS(AC_SOTIEN,AC_THANG,X$1,AC_KM,$E27,AC_DA,$C27)</f>
        <v>0</v>
      </c>
      <c r="Y27" s="1223">
        <f>SUMIFS(AC_SOTIEN,AC_THANG,Y$1,AC_KM,$E27,AC_DA,$C27)</f>
        <v>0</v>
      </c>
      <c r="Z27" s="1223">
        <f>SUMIFS(AC_SOTIEN,AC_THANG,Z$1,AC_KM,$E27,AC_DA,$C27)</f>
        <v>0</v>
      </c>
      <c r="AA27" s="1223">
        <f>SUMIFS(AC_SOTIEN,AC_THANG,AA$1,AC_KM,$E27,AC_DA,$C27)</f>
        <v>0</v>
      </c>
    </row>
    <row r="28">
      <c r="A28" s="1215">
        <f t="shared" si="12"/>
        <v>11</v>
      </c>
      <c r="B28" s="1216" t="s">
        <v>2074</v>
      </c>
      <c r="C28" s="656" t="s">
        <v>530</v>
      </c>
      <c r="D28" s="1216" t="str">
        <f>VLOOKUP(C28,DM_DUAN,2,0)</f>
        <v>Nhà vườn sinh thái</v>
      </c>
      <c r="E28" s="1229" t="s">
        <v>187</v>
      </c>
      <c r="F28" s="1218">
        <v>511.0</v>
      </c>
      <c r="G28" s="1218">
        <v>2.0</v>
      </c>
      <c r="H28" s="1219">
        <f t="shared" si="13"/>
        <v>1195000000</v>
      </c>
      <c r="I28" s="1220">
        <f t="shared" si="14"/>
        <v>0.3153833161</v>
      </c>
      <c r="J28" s="1221">
        <f t="shared" si="15"/>
        <v>1195000000</v>
      </c>
      <c r="K28" s="1221">
        <f t="shared" si="16"/>
        <v>0</v>
      </c>
      <c r="L28" s="1222">
        <f t="shared" si="17"/>
        <v>518000000</v>
      </c>
      <c r="M28" s="1222">
        <f t="shared" si="18"/>
        <v>677000000</v>
      </c>
      <c r="N28" s="1222">
        <f t="shared" si="19"/>
        <v>0</v>
      </c>
      <c r="O28" s="1222">
        <f t="shared" si="20"/>
        <v>0</v>
      </c>
      <c r="P28" s="1223">
        <f>SUMIFS(AC_SOTIEN,AC_THANG,P$1,AC_KM,$E28,AC_DA,$C28)</f>
        <v>0</v>
      </c>
      <c r="Q28" s="1223">
        <f>SUMIFS(AC_SOTIEN,AC_THANG,Q$1,AC_KM,$E28,AC_DA,$C28)</f>
        <v>0</v>
      </c>
      <c r="R28" s="1223">
        <f>SUMIFS(AC_SOTIEN,AC_THANG,R$1,AC_KM,$E28,AC_DA,$C28)</f>
        <v>518000000</v>
      </c>
      <c r="S28" s="1223">
        <f>SUMIFS(AC_SOTIEN,AC_THANG,S$1,AC_KM,$E28,AC_DA,$C28)</f>
        <v>677000000</v>
      </c>
      <c r="T28" s="1223">
        <f>SUMIFS(AC_SOTIEN,AC_THANG,T$1,AC_KM,$E28,AC_DA,$C28)</f>
        <v>0</v>
      </c>
      <c r="U28" s="1223">
        <f>SUMIFS(AC_SOTIEN,AC_THANG,U$1,AC_KM,$E28,AC_DA,$C28)</f>
        <v>0</v>
      </c>
      <c r="V28" s="1223">
        <f>SUMIFS(AC_SOTIEN,AC_THANG,V$1,AC_KM,$E28,AC_DA,$C28)</f>
        <v>0</v>
      </c>
      <c r="W28" s="1223">
        <f>SUMIFS(AC_SOTIEN,AC_THANG,W$1,AC_KM,$E28,AC_DA,$C28)</f>
        <v>0</v>
      </c>
      <c r="X28" s="1223">
        <f>SUMIFS(AC_SOTIEN,AC_THANG,X$1,AC_KM,$E28,AC_DA,$C28)</f>
        <v>0</v>
      </c>
      <c r="Y28" s="1223">
        <f>SUMIFS(AC_SOTIEN,AC_THANG,Y$1,AC_KM,$E28,AC_DA,$C28)</f>
        <v>0</v>
      </c>
      <c r="Z28" s="1223">
        <f>SUMIFS(AC_SOTIEN,AC_THANG,Z$1,AC_KM,$E28,AC_DA,$C28)</f>
        <v>0</v>
      </c>
      <c r="AA28" s="1223">
        <f>SUMIFS(AC_SOTIEN,AC_THANG,AA$1,AC_KM,$E28,AC_DA,$C28)</f>
        <v>0</v>
      </c>
    </row>
    <row r="29">
      <c r="A29" s="1215">
        <f t="shared" si="12"/>
        <v>12</v>
      </c>
      <c r="B29" s="1216" t="s">
        <v>2074</v>
      </c>
      <c r="C29" s="656" t="s">
        <v>597</v>
      </c>
      <c r="D29" s="1216" t="str">
        <f>VLOOKUP(C29,DM_DUAN,2,0)</f>
        <v>KDC Long Hải</v>
      </c>
      <c r="E29" s="1229" t="s">
        <v>187</v>
      </c>
      <c r="F29" s="1218">
        <v>511.0</v>
      </c>
      <c r="G29" s="1218">
        <v>2.0</v>
      </c>
      <c r="H29" s="1219">
        <f t="shared" si="13"/>
        <v>0</v>
      </c>
      <c r="I29" s="1220">
        <f t="shared" si="14"/>
        <v>0</v>
      </c>
      <c r="J29" s="1221">
        <f t="shared" si="15"/>
        <v>0</v>
      </c>
      <c r="K29" s="1221">
        <f t="shared" si="16"/>
        <v>0</v>
      </c>
      <c r="L29" s="1222">
        <f t="shared" si="17"/>
        <v>0</v>
      </c>
      <c r="M29" s="1222">
        <f t="shared" si="18"/>
        <v>0</v>
      </c>
      <c r="N29" s="1222">
        <f t="shared" si="19"/>
        <v>0</v>
      </c>
      <c r="O29" s="1222">
        <f t="shared" si="20"/>
        <v>0</v>
      </c>
      <c r="P29" s="1223">
        <f>SUMIFS(AC_SOTIEN,AC_THANG,P$1,AC_KM,$E29,AC_DA,$C29)</f>
        <v>0</v>
      </c>
      <c r="Q29" s="1223">
        <f>SUMIFS(AC_SOTIEN,AC_THANG,Q$1,AC_KM,$E29,AC_DA,$C29)</f>
        <v>0</v>
      </c>
      <c r="R29" s="1223">
        <f>SUMIFS(AC_SOTIEN,AC_THANG,R$1,AC_KM,$E29,AC_DA,$C29)</f>
        <v>0</v>
      </c>
      <c r="S29" s="1223">
        <f>SUMIFS(AC_SOTIEN,AC_THANG,S$1,AC_KM,$E29,AC_DA,$C29)</f>
        <v>0</v>
      </c>
      <c r="T29" s="1223">
        <f>SUMIFS(AC_SOTIEN,AC_THANG,T$1,AC_KM,$E29,AC_DA,$C29)</f>
        <v>0</v>
      </c>
      <c r="U29" s="1223">
        <f>SUMIFS(AC_SOTIEN,AC_THANG,U$1,AC_KM,$E29,AC_DA,$C29)</f>
        <v>0</v>
      </c>
      <c r="V29" s="1223">
        <f>SUMIFS(AC_SOTIEN,AC_THANG,V$1,AC_KM,$E29,AC_DA,$C29)</f>
        <v>0</v>
      </c>
      <c r="W29" s="1223">
        <f>SUMIFS(AC_SOTIEN,AC_THANG,W$1,AC_KM,$E29,AC_DA,$C29)</f>
        <v>0</v>
      </c>
      <c r="X29" s="1223">
        <f>SUMIFS(AC_SOTIEN,AC_THANG,X$1,AC_KM,$E29,AC_DA,$C29)</f>
        <v>0</v>
      </c>
      <c r="Y29" s="1223">
        <f>SUMIFS(AC_SOTIEN,AC_THANG,Y$1,AC_KM,$E29,AC_DA,$C29)</f>
        <v>0</v>
      </c>
      <c r="Z29" s="1223">
        <f>SUMIFS(AC_SOTIEN,AC_THANG,Z$1,AC_KM,$E29,AC_DA,$C29)</f>
        <v>0</v>
      </c>
      <c r="AA29" s="1223">
        <f>SUMIFS(AC_SOTIEN,AC_THANG,AA$1,AC_KM,$E29,AC_DA,$C29)</f>
        <v>0</v>
      </c>
    </row>
    <row r="30">
      <c r="A30" s="1215">
        <f t="shared" si="12"/>
        <v>13</v>
      </c>
      <c r="B30" s="1216" t="s">
        <v>2074</v>
      </c>
      <c r="C30" s="656" t="s">
        <v>875</v>
      </c>
      <c r="D30" s="1216" t="str">
        <f>VLOOKUP(C30,DM_DUAN,2,0)</f>
        <v>Sản phẩm Long Khánh 2</v>
      </c>
      <c r="E30" s="1229" t="s">
        <v>187</v>
      </c>
      <c r="F30" s="1218">
        <v>511.0</v>
      </c>
      <c r="G30" s="1218">
        <v>2.0</v>
      </c>
      <c r="H30" s="1219">
        <f t="shared" si="13"/>
        <v>0</v>
      </c>
      <c r="I30" s="1220">
        <f t="shared" si="14"/>
        <v>0</v>
      </c>
      <c r="J30" s="1221">
        <f t="shared" si="15"/>
        <v>0</v>
      </c>
      <c r="K30" s="1221">
        <f t="shared" si="16"/>
        <v>0</v>
      </c>
      <c r="L30" s="1222">
        <f t="shared" si="17"/>
        <v>0</v>
      </c>
      <c r="M30" s="1222">
        <f t="shared" si="18"/>
        <v>0</v>
      </c>
      <c r="N30" s="1222">
        <f t="shared" si="19"/>
        <v>0</v>
      </c>
      <c r="O30" s="1222">
        <f t="shared" si="20"/>
        <v>0</v>
      </c>
      <c r="P30" s="1223">
        <f>SUMIFS(AC_SOTIEN,AC_THANG,P$1,AC_KM,$E30,AC_DA,$C30)</f>
        <v>0</v>
      </c>
      <c r="Q30" s="1223">
        <f>SUMIFS(AC_SOTIEN,AC_THANG,Q$1,AC_KM,$E30,AC_DA,$C30)</f>
        <v>0</v>
      </c>
      <c r="R30" s="1223">
        <f>SUMIFS(AC_SOTIEN,AC_THANG,R$1,AC_KM,$E30,AC_DA,$C30)</f>
        <v>0</v>
      </c>
      <c r="S30" s="1223">
        <f>SUMIFS(AC_SOTIEN,AC_THANG,S$1,AC_KM,$E30,AC_DA,$C30)</f>
        <v>0</v>
      </c>
      <c r="T30" s="1223">
        <f>SUMIFS(AC_SOTIEN,AC_THANG,T$1,AC_KM,$E30,AC_DA,$C30)</f>
        <v>0</v>
      </c>
      <c r="U30" s="1223">
        <f>SUMIFS(AC_SOTIEN,AC_THANG,U$1,AC_KM,$E30,AC_DA,$C30)</f>
        <v>0</v>
      </c>
      <c r="V30" s="1223">
        <f>SUMIFS(AC_SOTIEN,AC_THANG,V$1,AC_KM,$E30,AC_DA,$C30)</f>
        <v>0</v>
      </c>
      <c r="W30" s="1223">
        <f>SUMIFS(AC_SOTIEN,AC_THANG,W$1,AC_KM,$E30,AC_DA,$C30)</f>
        <v>0</v>
      </c>
      <c r="X30" s="1223">
        <f>SUMIFS(AC_SOTIEN,AC_THANG,X$1,AC_KM,$E30,AC_DA,$C30)</f>
        <v>0</v>
      </c>
      <c r="Y30" s="1223">
        <f>SUMIFS(AC_SOTIEN,AC_THANG,Y$1,AC_KM,$E30,AC_DA,$C30)</f>
        <v>0</v>
      </c>
      <c r="Z30" s="1223">
        <f>SUMIFS(AC_SOTIEN,AC_THANG,Z$1,AC_KM,$E30,AC_DA,$C30)</f>
        <v>0</v>
      </c>
      <c r="AA30" s="1223">
        <f>SUMIFS(AC_SOTIEN,AC_THANG,AA$1,AC_KM,$E30,AC_DA,$C30)</f>
        <v>0</v>
      </c>
    </row>
    <row r="31">
      <c r="A31" s="1215">
        <f t="shared" si="12"/>
        <v>14</v>
      </c>
      <c r="B31" s="1216" t="s">
        <v>2074</v>
      </c>
      <c r="C31" s="656" t="s">
        <v>636</v>
      </c>
      <c r="D31" s="1216" t="str">
        <f>VLOOKUP(C31,DM_DUAN,2,0)</f>
        <v>Sản phẩm Long Khánh 3</v>
      </c>
      <c r="E31" s="1229" t="s">
        <v>187</v>
      </c>
      <c r="F31" s="1218">
        <v>511.0</v>
      </c>
      <c r="G31" s="1218">
        <v>2.0</v>
      </c>
      <c r="H31" s="1219">
        <f t="shared" si="13"/>
        <v>365040000</v>
      </c>
      <c r="I31" s="1220">
        <f t="shared" si="14"/>
        <v>0.0963410257</v>
      </c>
      <c r="J31" s="1221">
        <f t="shared" si="15"/>
        <v>365040000</v>
      </c>
      <c r="K31" s="1221">
        <f t="shared" si="16"/>
        <v>0</v>
      </c>
      <c r="L31" s="1222">
        <f t="shared" si="17"/>
        <v>0</v>
      </c>
      <c r="M31" s="1222">
        <f t="shared" si="18"/>
        <v>365040000</v>
      </c>
      <c r="N31" s="1222">
        <f t="shared" si="19"/>
        <v>0</v>
      </c>
      <c r="O31" s="1222">
        <f t="shared" si="20"/>
        <v>0</v>
      </c>
      <c r="P31" s="1223">
        <f>SUMIFS(AC_SOTIEN,AC_THANG,P$1,AC_KM,$E31,AC_DA,$C31)</f>
        <v>0</v>
      </c>
      <c r="Q31" s="1223">
        <f>SUMIFS(AC_SOTIEN,AC_THANG,Q$1,AC_KM,$E31,AC_DA,$C31)</f>
        <v>0</v>
      </c>
      <c r="R31" s="1223">
        <f>SUMIFS(AC_SOTIEN,AC_THANG,R$1,AC_KM,$E31,AC_DA,$C31)</f>
        <v>0</v>
      </c>
      <c r="S31" s="1223">
        <f>SUMIFS(AC_SOTIEN,AC_THANG,S$1,AC_KM,$E31,AC_DA,$C31)</f>
        <v>365040000</v>
      </c>
      <c r="T31" s="1223">
        <f>SUMIFS(AC_SOTIEN,AC_THANG,T$1,AC_KM,$E31,AC_DA,$C31)</f>
        <v>0</v>
      </c>
      <c r="U31" s="1223">
        <f>SUMIFS(AC_SOTIEN,AC_THANG,U$1,AC_KM,$E31,AC_DA,$C31)</f>
        <v>0</v>
      </c>
      <c r="V31" s="1223">
        <f>SUMIFS(AC_SOTIEN,AC_THANG,V$1,AC_KM,$E31,AC_DA,$C31)</f>
        <v>0</v>
      </c>
      <c r="W31" s="1223">
        <f>SUMIFS(AC_SOTIEN,AC_THANG,W$1,AC_KM,$E31,AC_DA,$C31)</f>
        <v>0</v>
      </c>
      <c r="X31" s="1223">
        <f>SUMIFS(AC_SOTIEN,AC_THANG,X$1,AC_KM,$E31,AC_DA,$C31)</f>
        <v>0</v>
      </c>
      <c r="Y31" s="1223">
        <f>SUMIFS(AC_SOTIEN,AC_THANG,Y$1,AC_KM,$E31,AC_DA,$C31)</f>
        <v>0</v>
      </c>
      <c r="Z31" s="1223">
        <f>SUMIFS(AC_SOTIEN,AC_THANG,Z$1,AC_KM,$E31,AC_DA,$C31)</f>
        <v>0</v>
      </c>
      <c r="AA31" s="1223">
        <f>SUMIFS(AC_SOTIEN,AC_THANG,AA$1,AC_KM,$E31,AC_DA,$C31)</f>
        <v>0</v>
      </c>
    </row>
    <row r="32">
      <c r="A32" s="1215" t="str">
        <f t="shared" si="12"/>
        <v/>
      </c>
      <c r="B32" s="1216" t="s">
        <v>2074</v>
      </c>
      <c r="C32" s="1087"/>
      <c r="D32" s="1216" t="str">
        <f>VLOOKUP(C32,DM_DUAN,2,0)</f>
        <v>#N/A</v>
      </c>
      <c r="E32" s="1229" t="s">
        <v>187</v>
      </c>
      <c r="F32" s="1218">
        <v>511.0</v>
      </c>
      <c r="G32" s="1218">
        <v>2.0</v>
      </c>
      <c r="H32" s="1219">
        <f t="shared" si="13"/>
        <v>0</v>
      </c>
      <c r="I32" s="1220">
        <f t="shared" si="14"/>
        <v>0</v>
      </c>
      <c r="J32" s="1221">
        <f t="shared" si="15"/>
        <v>0</v>
      </c>
      <c r="K32" s="1221">
        <f t="shared" si="16"/>
        <v>0</v>
      </c>
      <c r="L32" s="1222">
        <f t="shared" si="17"/>
        <v>0</v>
      </c>
      <c r="M32" s="1222">
        <f t="shared" si="18"/>
        <v>0</v>
      </c>
      <c r="N32" s="1222">
        <f t="shared" si="19"/>
        <v>0</v>
      </c>
      <c r="O32" s="1222">
        <f t="shared" si="20"/>
        <v>0</v>
      </c>
      <c r="P32" s="1223">
        <f>SUMIFS(AC_SOTIEN,AC_THANG,P$1,AC_KM,$E32,AC_DA,$C32)</f>
        <v>0</v>
      </c>
      <c r="Q32" s="1223">
        <f>SUMIFS(AC_SOTIEN,AC_THANG,Q$1,AC_KM,$E32,AC_DA,$C32)</f>
        <v>0</v>
      </c>
      <c r="R32" s="1223">
        <f>SUMIFS(AC_SOTIEN,AC_THANG,R$1,AC_KM,$E32,AC_DA,$C32)</f>
        <v>0</v>
      </c>
      <c r="S32" s="1223">
        <f>SUMIFS(AC_SOTIEN,AC_THANG,S$1,AC_KM,$E32,AC_DA,$C32)</f>
        <v>0</v>
      </c>
      <c r="T32" s="1223">
        <f>SUMIFS(AC_SOTIEN,AC_THANG,T$1,AC_KM,$E32,AC_DA,$C32)</f>
        <v>0</v>
      </c>
      <c r="U32" s="1223">
        <f>SUMIFS(AC_SOTIEN,AC_THANG,U$1,AC_KM,$E32,AC_DA,$C32)</f>
        <v>0</v>
      </c>
      <c r="V32" s="1223">
        <f>SUMIFS(AC_SOTIEN,AC_THANG,V$1,AC_KM,$E32,AC_DA,$C32)</f>
        <v>0</v>
      </c>
      <c r="W32" s="1223">
        <f>SUMIFS(AC_SOTIEN,AC_THANG,W$1,AC_KM,$E32,AC_DA,$C32)</f>
        <v>0</v>
      </c>
      <c r="X32" s="1223">
        <f>SUMIFS(AC_SOTIEN,AC_THANG,X$1,AC_KM,$E32,AC_DA,$C32)</f>
        <v>0</v>
      </c>
      <c r="Y32" s="1223">
        <f>SUMIFS(AC_SOTIEN,AC_THANG,Y$1,AC_KM,$E32,AC_DA,$C32)</f>
        <v>0</v>
      </c>
      <c r="Z32" s="1223">
        <f>SUMIFS(AC_SOTIEN,AC_THANG,Z$1,AC_KM,$E32,AC_DA,$C32)</f>
        <v>0</v>
      </c>
      <c r="AA32" s="1223">
        <f>SUMIFS(AC_SOTIEN,AC_THANG,AA$1,AC_KM,$E32,AC_DA,$C32)</f>
        <v>0</v>
      </c>
    </row>
    <row r="33">
      <c r="A33" s="1230" t="s">
        <v>2823</v>
      </c>
      <c r="B33" s="1231"/>
      <c r="C33" s="1232"/>
      <c r="D33" s="1232"/>
      <c r="E33" s="1233"/>
      <c r="F33" s="1232"/>
      <c r="G33" s="1232"/>
      <c r="H33" s="1234">
        <f>SUM(H34:H43)</f>
        <v>0</v>
      </c>
      <c r="I33" s="1235">
        <f>SUMIF($G$34:$G$44,"1",I$34:I$44)</f>
        <v>0</v>
      </c>
      <c r="J33" s="1234">
        <f t="shared" ref="J33:AA33" si="21">SUM(J34:J43)</f>
        <v>0</v>
      </c>
      <c r="K33" s="1234">
        <f t="shared" si="21"/>
        <v>0</v>
      </c>
      <c r="L33" s="1234">
        <f t="shared" si="21"/>
        <v>0</v>
      </c>
      <c r="M33" s="1234">
        <f t="shared" si="21"/>
        <v>0</v>
      </c>
      <c r="N33" s="1234">
        <f t="shared" si="21"/>
        <v>0</v>
      </c>
      <c r="O33" s="1234">
        <f t="shared" si="21"/>
        <v>0</v>
      </c>
      <c r="P33" s="1234">
        <f t="shared" si="21"/>
        <v>0</v>
      </c>
      <c r="Q33" s="1234">
        <f t="shared" si="21"/>
        <v>0</v>
      </c>
      <c r="R33" s="1234">
        <f t="shared" si="21"/>
        <v>0</v>
      </c>
      <c r="S33" s="1234">
        <f t="shared" si="21"/>
        <v>0</v>
      </c>
      <c r="T33" s="1234">
        <f t="shared" si="21"/>
        <v>0</v>
      </c>
      <c r="U33" s="1234">
        <f t="shared" si="21"/>
        <v>0</v>
      </c>
      <c r="V33" s="1234">
        <f t="shared" si="21"/>
        <v>0</v>
      </c>
      <c r="W33" s="1234">
        <f t="shared" si="21"/>
        <v>0</v>
      </c>
      <c r="X33" s="1234">
        <f t="shared" si="21"/>
        <v>0</v>
      </c>
      <c r="Y33" s="1234">
        <f t="shared" si="21"/>
        <v>0</v>
      </c>
      <c r="Z33" s="1234">
        <f t="shared" si="21"/>
        <v>0</v>
      </c>
      <c r="AA33" s="1234">
        <f t="shared" si="21"/>
        <v>0</v>
      </c>
    </row>
    <row r="34">
      <c r="A34" s="1215">
        <f t="shared" ref="A34:A44" si="22">IF(C34="","",COUNTA(D$34:D34))</f>
        <v>1</v>
      </c>
      <c r="B34" s="1216"/>
      <c r="C34" s="1087" t="s">
        <v>215</v>
      </c>
      <c r="D34" s="1216" t="str">
        <f>VLOOKUP(C34,DM_DUAN,2,0)</f>
        <v>Phước Đông Garden</v>
      </c>
      <c r="E34" s="1217" t="s">
        <v>2239</v>
      </c>
      <c r="F34" s="1218">
        <v>632.0</v>
      </c>
      <c r="G34" s="1218">
        <v>2.0</v>
      </c>
      <c r="H34" s="1219">
        <f t="shared" ref="H34:H44" si="23">SUM(J34:K34)</f>
        <v>0</v>
      </c>
      <c r="I34" s="1220" t="str">
        <f t="shared" ref="I34:I44" si="24">IFERROR(H34/$H$33,"")</f>
        <v/>
      </c>
      <c r="J34" s="1221">
        <f t="shared" ref="J34:J44" si="25">SUM(L34:M34)</f>
        <v>0</v>
      </c>
      <c r="K34" s="1221">
        <f t="shared" ref="K34:K44" si="26">SUM(N34:O34)</f>
        <v>0</v>
      </c>
      <c r="L34" s="1222">
        <f t="shared" ref="L34:L44" si="27">SUM(P34:R34)</f>
        <v>0</v>
      </c>
      <c r="M34" s="1222">
        <f t="shared" ref="M34:M44" si="28">SUM(S34:U34)</f>
        <v>0</v>
      </c>
      <c r="N34" s="1222">
        <f t="shared" ref="N34:N44" si="29">SUM(V34:X34)</f>
        <v>0</v>
      </c>
      <c r="O34" s="1222">
        <f t="shared" ref="O34:O44" si="30">SUM(Y34:AA34)</f>
        <v>0</v>
      </c>
      <c r="P34" s="1223">
        <f>SUMIFS(AC_SOTIEN,AC_THANG,P$1,AC_KM,$E34,AC_DA,$C34)</f>
        <v>0</v>
      </c>
      <c r="Q34" s="1223">
        <f>SUMIFS(AC_SOTIEN,AC_THANG,Q$1,AC_KM,$E34,AC_DA,$C34)</f>
        <v>0</v>
      </c>
      <c r="R34" s="1223">
        <f>SUMIFS(AC_SOTIEN,AC_THANG,R$1,AC_KM,$E34,AC_DA,$C34)</f>
        <v>0</v>
      </c>
      <c r="S34" s="1223">
        <f>SUMIFS(AC_SOTIEN,AC_THANG,S$1,AC_KM,$E34,AC_DA,$C34)</f>
        <v>0</v>
      </c>
      <c r="T34" s="1223">
        <f>SUMIFS(AC_SOTIEN,AC_THANG,T$1,AC_KM,$E34,AC_DA,$C34)</f>
        <v>0</v>
      </c>
      <c r="U34" s="1223">
        <f>SUMIFS(AC_SOTIEN,AC_THANG,U$1,AC_KM,$E34,AC_DA,$C34)</f>
        <v>0</v>
      </c>
      <c r="V34" s="1223">
        <f>SUMIFS(AC_SOTIEN,AC_THANG,V$1,AC_KM,$E34,AC_DA,$C34)</f>
        <v>0</v>
      </c>
      <c r="W34" s="1223">
        <f>SUMIFS(AC_SOTIEN,AC_THANG,W$1,AC_KM,$E34,AC_DA,$C34)</f>
        <v>0</v>
      </c>
      <c r="X34" s="1223">
        <f>SUMIFS(AC_SOTIEN,AC_THANG,X$1,AC_KM,$E34,AC_DA,$C34)</f>
        <v>0</v>
      </c>
      <c r="Y34" s="1223">
        <f>SUMIFS(AC_SOTIEN,AC_THANG,Y$1,AC_KM,$E34,AC_DA,$C34)</f>
        <v>0</v>
      </c>
      <c r="Z34" s="1223">
        <f>SUMIFS(AC_SOTIEN,AC_THANG,Z$1,AC_KM,$E34,AC_DA,$C34)</f>
        <v>0</v>
      </c>
      <c r="AA34" s="1223">
        <f>SUMIFS(AC_SOTIEN,AC_THANG,AA$1,AC_KM,$E34,AC_DA,$C34)</f>
        <v>0</v>
      </c>
    </row>
    <row r="35">
      <c r="A35" s="1215">
        <f t="shared" si="22"/>
        <v>2</v>
      </c>
      <c r="B35" s="1216"/>
      <c r="C35" s="1087" t="s">
        <v>404</v>
      </c>
      <c r="D35" s="1216" t="str">
        <f>VLOOKUP(C35,DM_DUAN,2,0)</f>
        <v>Hamil ton Garden</v>
      </c>
      <c r="E35" s="1217" t="s">
        <v>2239</v>
      </c>
      <c r="F35" s="1218">
        <v>632.0</v>
      </c>
      <c r="G35" s="1218">
        <v>2.0</v>
      </c>
      <c r="H35" s="1219">
        <f t="shared" si="23"/>
        <v>0</v>
      </c>
      <c r="I35" s="1220" t="str">
        <f t="shared" si="24"/>
        <v/>
      </c>
      <c r="J35" s="1221">
        <f t="shared" si="25"/>
        <v>0</v>
      </c>
      <c r="K35" s="1221">
        <f t="shared" si="26"/>
        <v>0</v>
      </c>
      <c r="L35" s="1222">
        <f t="shared" si="27"/>
        <v>0</v>
      </c>
      <c r="M35" s="1222">
        <f t="shared" si="28"/>
        <v>0</v>
      </c>
      <c r="N35" s="1222">
        <f t="shared" si="29"/>
        <v>0</v>
      </c>
      <c r="O35" s="1222">
        <f t="shared" si="30"/>
        <v>0</v>
      </c>
      <c r="P35" s="1223">
        <f>SUMIFS(AC_SOTIEN,AC_THANG,P$1,AC_KM,$E35,AC_DA,$C35)</f>
        <v>0</v>
      </c>
      <c r="Q35" s="1223">
        <f>SUMIFS(AC_SOTIEN,AC_THANG,Q$1,AC_KM,$E35,AC_DA,$C35)</f>
        <v>0</v>
      </c>
      <c r="R35" s="1223">
        <f>SUMIFS(AC_SOTIEN,AC_THANG,R$1,AC_KM,$E35,AC_DA,$C35)</f>
        <v>0</v>
      </c>
      <c r="S35" s="1223">
        <f>SUMIFS(AC_SOTIEN,AC_THANG,S$1,AC_KM,$E35,AC_DA,$C35)</f>
        <v>0</v>
      </c>
      <c r="T35" s="1223">
        <f>SUMIFS(AC_SOTIEN,AC_THANG,T$1,AC_KM,$E35,AC_DA,$C35)</f>
        <v>0</v>
      </c>
      <c r="U35" s="1223">
        <f>SUMIFS(AC_SOTIEN,AC_THANG,U$1,AC_KM,$E35,AC_DA,$C35)</f>
        <v>0</v>
      </c>
      <c r="V35" s="1223">
        <f>SUMIFS(AC_SOTIEN,AC_THANG,V$1,AC_KM,$E35,AC_DA,$C35)</f>
        <v>0</v>
      </c>
      <c r="W35" s="1223">
        <f>SUMIFS(AC_SOTIEN,AC_THANG,W$1,AC_KM,$E35,AC_DA,$C35)</f>
        <v>0</v>
      </c>
      <c r="X35" s="1223">
        <f>SUMIFS(AC_SOTIEN,AC_THANG,X$1,AC_KM,$E35,AC_DA,$C35)</f>
        <v>0</v>
      </c>
      <c r="Y35" s="1223">
        <f>SUMIFS(AC_SOTIEN,AC_THANG,Y$1,AC_KM,$E35,AC_DA,$C35)</f>
        <v>0</v>
      </c>
      <c r="Z35" s="1223">
        <f>SUMIFS(AC_SOTIEN,AC_THANG,Z$1,AC_KM,$E35,AC_DA,$C35)</f>
        <v>0</v>
      </c>
      <c r="AA35" s="1223">
        <f>SUMIFS(AC_SOTIEN,AC_THANG,AA$1,AC_KM,$E35,AC_DA,$C35)</f>
        <v>0</v>
      </c>
    </row>
    <row r="36">
      <c r="A36" s="1215">
        <f t="shared" si="22"/>
        <v>3</v>
      </c>
      <c r="B36" s="1216"/>
      <c r="C36" s="1087" t="s">
        <v>533</v>
      </c>
      <c r="D36" s="1216" t="str">
        <f>VLOOKUP(C36,DM_DUAN,2,0)</f>
        <v>The sol city</v>
      </c>
      <c r="E36" s="1217" t="s">
        <v>2239</v>
      </c>
      <c r="F36" s="1218">
        <v>632.0</v>
      </c>
      <c r="G36" s="1218">
        <v>2.0</v>
      </c>
      <c r="H36" s="1219">
        <f t="shared" si="23"/>
        <v>0</v>
      </c>
      <c r="I36" s="1220" t="str">
        <f t="shared" si="24"/>
        <v/>
      </c>
      <c r="J36" s="1221">
        <f t="shared" si="25"/>
        <v>0</v>
      </c>
      <c r="K36" s="1221">
        <f t="shared" si="26"/>
        <v>0</v>
      </c>
      <c r="L36" s="1222">
        <f t="shared" si="27"/>
        <v>0</v>
      </c>
      <c r="M36" s="1222">
        <f t="shared" si="28"/>
        <v>0</v>
      </c>
      <c r="N36" s="1222">
        <f t="shared" si="29"/>
        <v>0</v>
      </c>
      <c r="O36" s="1222">
        <f t="shared" si="30"/>
        <v>0</v>
      </c>
      <c r="P36" s="1223">
        <f>SUMIFS(AC_SOTIEN,AC_THANG,P$1,AC_KM,$E36,AC_DA,$C36)</f>
        <v>0</v>
      </c>
      <c r="Q36" s="1223">
        <f>SUMIFS(AC_SOTIEN,AC_THANG,Q$1,AC_KM,$E36,AC_DA,$C36)</f>
        <v>0</v>
      </c>
      <c r="R36" s="1223">
        <f>SUMIFS(AC_SOTIEN,AC_THANG,R$1,AC_KM,$E36,AC_DA,$C36)</f>
        <v>0</v>
      </c>
      <c r="S36" s="1223">
        <f>SUMIFS(AC_SOTIEN,AC_THANG,S$1,AC_KM,$E36,AC_DA,$C36)</f>
        <v>0</v>
      </c>
      <c r="T36" s="1223">
        <f>SUMIFS(AC_SOTIEN,AC_THANG,T$1,AC_KM,$E36,AC_DA,$C36)</f>
        <v>0</v>
      </c>
      <c r="U36" s="1223">
        <f>SUMIFS(AC_SOTIEN,AC_THANG,U$1,AC_KM,$E36,AC_DA,$C36)</f>
        <v>0</v>
      </c>
      <c r="V36" s="1223">
        <f>SUMIFS(AC_SOTIEN,AC_THANG,V$1,AC_KM,$E36,AC_DA,$C36)</f>
        <v>0</v>
      </c>
      <c r="W36" s="1223">
        <f>SUMIFS(AC_SOTIEN,AC_THANG,W$1,AC_KM,$E36,AC_DA,$C36)</f>
        <v>0</v>
      </c>
      <c r="X36" s="1223">
        <f>SUMIFS(AC_SOTIEN,AC_THANG,X$1,AC_KM,$E36,AC_DA,$C36)</f>
        <v>0</v>
      </c>
      <c r="Y36" s="1223">
        <f>SUMIFS(AC_SOTIEN,AC_THANG,Y$1,AC_KM,$E36,AC_DA,$C36)</f>
        <v>0</v>
      </c>
      <c r="Z36" s="1223">
        <f>SUMIFS(AC_SOTIEN,AC_THANG,Z$1,AC_KM,$E36,AC_DA,$C36)</f>
        <v>0</v>
      </c>
      <c r="AA36" s="1223">
        <f>SUMIFS(AC_SOTIEN,AC_THANG,AA$1,AC_KM,$E36,AC_DA,$C36)</f>
        <v>0</v>
      </c>
    </row>
    <row r="37">
      <c r="A37" s="1215">
        <f t="shared" si="22"/>
        <v>4</v>
      </c>
      <c r="B37" s="1216"/>
      <c r="C37" s="1087" t="s">
        <v>175</v>
      </c>
      <c r="D37" s="1216" t="str">
        <f>VLOOKUP(C37,DM_DUAN,2,0)</f>
        <v>Phước hội Hồ Tràm</v>
      </c>
      <c r="E37" s="1217" t="s">
        <v>2239</v>
      </c>
      <c r="F37" s="1218">
        <v>632.0</v>
      </c>
      <c r="G37" s="1218">
        <v>2.0</v>
      </c>
      <c r="H37" s="1219">
        <f t="shared" si="23"/>
        <v>0</v>
      </c>
      <c r="I37" s="1220" t="str">
        <f t="shared" si="24"/>
        <v/>
      </c>
      <c r="J37" s="1221">
        <f t="shared" si="25"/>
        <v>0</v>
      </c>
      <c r="K37" s="1221">
        <f t="shared" si="26"/>
        <v>0</v>
      </c>
      <c r="L37" s="1222">
        <f t="shared" si="27"/>
        <v>0</v>
      </c>
      <c r="M37" s="1222">
        <f t="shared" si="28"/>
        <v>0</v>
      </c>
      <c r="N37" s="1222">
        <f t="shared" si="29"/>
        <v>0</v>
      </c>
      <c r="O37" s="1222">
        <f t="shared" si="30"/>
        <v>0</v>
      </c>
      <c r="P37" s="1223">
        <f>SUMIFS(AC_SOTIEN,AC_THANG,P$1,AC_KM,$E37,AC_DA,$C37)</f>
        <v>0</v>
      </c>
      <c r="Q37" s="1223">
        <f>SUMIFS(AC_SOTIEN,AC_THANG,Q$1,AC_KM,$E37,AC_DA,$C37)</f>
        <v>0</v>
      </c>
      <c r="R37" s="1223">
        <f>SUMIFS(AC_SOTIEN,AC_THANG,R$1,AC_KM,$E37,AC_DA,$C37)</f>
        <v>0</v>
      </c>
      <c r="S37" s="1223">
        <f>SUMIFS(AC_SOTIEN,AC_THANG,S$1,AC_KM,$E37,AC_DA,$C37)</f>
        <v>0</v>
      </c>
      <c r="T37" s="1223">
        <f>SUMIFS(AC_SOTIEN,AC_THANG,T$1,AC_KM,$E37,AC_DA,$C37)</f>
        <v>0</v>
      </c>
      <c r="U37" s="1223">
        <f>SUMIFS(AC_SOTIEN,AC_THANG,U$1,AC_KM,$E37,AC_DA,$C37)</f>
        <v>0</v>
      </c>
      <c r="V37" s="1223">
        <f>SUMIFS(AC_SOTIEN,AC_THANG,V$1,AC_KM,$E37,AC_DA,$C37)</f>
        <v>0</v>
      </c>
      <c r="W37" s="1223">
        <f>SUMIFS(AC_SOTIEN,AC_THANG,W$1,AC_KM,$E37,AC_DA,$C37)</f>
        <v>0</v>
      </c>
      <c r="X37" s="1223">
        <f>SUMIFS(AC_SOTIEN,AC_THANG,X$1,AC_KM,$E37,AC_DA,$C37)</f>
        <v>0</v>
      </c>
      <c r="Y37" s="1223">
        <f>SUMIFS(AC_SOTIEN,AC_THANG,Y$1,AC_KM,$E37,AC_DA,$C37)</f>
        <v>0</v>
      </c>
      <c r="Z37" s="1223">
        <f>SUMIFS(AC_SOTIEN,AC_THANG,Z$1,AC_KM,$E37,AC_DA,$C37)</f>
        <v>0</v>
      </c>
      <c r="AA37" s="1223">
        <f>SUMIFS(AC_SOTIEN,AC_THANG,AA$1,AC_KM,$E37,AC_DA,$C37)</f>
        <v>0</v>
      </c>
    </row>
    <row r="38">
      <c r="A38" s="1215">
        <f t="shared" si="22"/>
        <v>5</v>
      </c>
      <c r="B38" s="1216"/>
      <c r="C38" s="1087" t="s">
        <v>2067</v>
      </c>
      <c r="D38" s="1216" t="str">
        <f>VLOOKUP(C38,DM_DUAN,2,0)</f>
        <v>NAM PHONG</v>
      </c>
      <c r="E38" s="1217" t="s">
        <v>2239</v>
      </c>
      <c r="F38" s="1218">
        <v>632.0</v>
      </c>
      <c r="G38" s="1218">
        <v>2.0</v>
      </c>
      <c r="H38" s="1219">
        <f t="shared" si="23"/>
        <v>0</v>
      </c>
      <c r="I38" s="1220" t="str">
        <f t="shared" si="24"/>
        <v/>
      </c>
      <c r="J38" s="1221">
        <f t="shared" si="25"/>
        <v>0</v>
      </c>
      <c r="K38" s="1221">
        <f t="shared" si="26"/>
        <v>0</v>
      </c>
      <c r="L38" s="1222">
        <f t="shared" si="27"/>
        <v>0</v>
      </c>
      <c r="M38" s="1222">
        <f t="shared" si="28"/>
        <v>0</v>
      </c>
      <c r="N38" s="1222">
        <f t="shared" si="29"/>
        <v>0</v>
      </c>
      <c r="O38" s="1222">
        <f t="shared" si="30"/>
        <v>0</v>
      </c>
      <c r="P38" s="1223">
        <f>SUMIFS(AC_SOTIEN,AC_THANG,P$1,AC_KM,$E38,AC_DA,$C38)</f>
        <v>0</v>
      </c>
      <c r="Q38" s="1223">
        <f>SUMIFS(AC_SOTIEN,AC_THANG,Q$1,AC_KM,$E38,AC_DA,$C38)</f>
        <v>0</v>
      </c>
      <c r="R38" s="1223">
        <f>SUMIFS(AC_SOTIEN,AC_THANG,R$1,AC_KM,$E38,AC_DA,$C38)</f>
        <v>0</v>
      </c>
      <c r="S38" s="1223">
        <f>SUMIFS(AC_SOTIEN,AC_THANG,S$1,AC_KM,$E38,AC_DA,$C38)</f>
        <v>0</v>
      </c>
      <c r="T38" s="1223">
        <f>SUMIFS(AC_SOTIEN,AC_THANG,T$1,AC_KM,$E38,AC_DA,$C38)</f>
        <v>0</v>
      </c>
      <c r="U38" s="1223">
        <f>SUMIFS(AC_SOTIEN,AC_THANG,U$1,AC_KM,$E38,AC_DA,$C38)</f>
        <v>0</v>
      </c>
      <c r="V38" s="1223">
        <f>SUMIFS(AC_SOTIEN,AC_THANG,V$1,AC_KM,$E38,AC_DA,$C38)</f>
        <v>0</v>
      </c>
      <c r="W38" s="1223">
        <f>SUMIFS(AC_SOTIEN,AC_THANG,W$1,AC_KM,$E38,AC_DA,$C38)</f>
        <v>0</v>
      </c>
      <c r="X38" s="1223">
        <f>SUMIFS(AC_SOTIEN,AC_THANG,X$1,AC_KM,$E38,AC_DA,$C38)</f>
        <v>0</v>
      </c>
      <c r="Y38" s="1223">
        <f>SUMIFS(AC_SOTIEN,AC_THANG,Y$1,AC_KM,$E38,AC_DA,$C38)</f>
        <v>0</v>
      </c>
      <c r="Z38" s="1223">
        <f>SUMIFS(AC_SOTIEN,AC_THANG,Z$1,AC_KM,$E38,AC_DA,$C38)</f>
        <v>0</v>
      </c>
      <c r="AA38" s="1223">
        <f>SUMIFS(AC_SOTIEN,AC_THANG,AA$1,AC_KM,$E38,AC_DA,$C38)</f>
        <v>0</v>
      </c>
    </row>
    <row r="39">
      <c r="A39" s="1215">
        <f t="shared" si="22"/>
        <v>6</v>
      </c>
      <c r="B39" s="1216"/>
      <c r="C39" s="1087" t="s">
        <v>2069</v>
      </c>
      <c r="D39" s="1216" t="str">
        <f>VLOOKUP(C39,DM_DUAN,2,0)</f>
        <v>#N/A</v>
      </c>
      <c r="E39" s="1217" t="s">
        <v>2239</v>
      </c>
      <c r="F39" s="1218">
        <v>632.0</v>
      </c>
      <c r="G39" s="1218">
        <v>2.0</v>
      </c>
      <c r="H39" s="1219">
        <f t="shared" si="23"/>
        <v>0</v>
      </c>
      <c r="I39" s="1220" t="str">
        <f t="shared" si="24"/>
        <v/>
      </c>
      <c r="J39" s="1221">
        <f t="shared" si="25"/>
        <v>0</v>
      </c>
      <c r="K39" s="1221">
        <f t="shared" si="26"/>
        <v>0</v>
      </c>
      <c r="L39" s="1222">
        <f t="shared" si="27"/>
        <v>0</v>
      </c>
      <c r="M39" s="1222">
        <f t="shared" si="28"/>
        <v>0</v>
      </c>
      <c r="N39" s="1222">
        <f t="shared" si="29"/>
        <v>0</v>
      </c>
      <c r="O39" s="1222">
        <f t="shared" si="30"/>
        <v>0</v>
      </c>
      <c r="P39" s="1223">
        <f>SUMIFS(AC_SOTIEN,AC_THANG,P$1,AC_KM,$E39,AC_DA,$C39)</f>
        <v>0</v>
      </c>
      <c r="Q39" s="1223">
        <f>SUMIFS(AC_SOTIEN,AC_THANG,Q$1,AC_KM,$E39,AC_DA,$C39)</f>
        <v>0</v>
      </c>
      <c r="R39" s="1223">
        <f>SUMIFS(AC_SOTIEN,AC_THANG,R$1,AC_KM,$E39,AC_DA,$C39)</f>
        <v>0</v>
      </c>
      <c r="S39" s="1223">
        <f>SUMIFS(AC_SOTIEN,AC_THANG,S$1,AC_KM,$E39,AC_DA,$C39)</f>
        <v>0</v>
      </c>
      <c r="T39" s="1223">
        <f>SUMIFS(AC_SOTIEN,AC_THANG,T$1,AC_KM,$E39,AC_DA,$C39)</f>
        <v>0</v>
      </c>
      <c r="U39" s="1223">
        <f>SUMIFS(AC_SOTIEN,AC_THANG,U$1,AC_KM,$E39,AC_DA,$C39)</f>
        <v>0</v>
      </c>
      <c r="V39" s="1223">
        <f>SUMIFS(AC_SOTIEN,AC_THANG,V$1,AC_KM,$E39,AC_DA,$C39)</f>
        <v>0</v>
      </c>
      <c r="W39" s="1223">
        <f>SUMIFS(AC_SOTIEN,AC_THANG,W$1,AC_KM,$E39,AC_DA,$C39)</f>
        <v>0</v>
      </c>
      <c r="X39" s="1223">
        <f>SUMIFS(AC_SOTIEN,AC_THANG,X$1,AC_KM,$E39,AC_DA,$C39)</f>
        <v>0</v>
      </c>
      <c r="Y39" s="1223">
        <f>SUMIFS(AC_SOTIEN,AC_THANG,Y$1,AC_KM,$E39,AC_DA,$C39)</f>
        <v>0</v>
      </c>
      <c r="Z39" s="1223">
        <f>SUMIFS(AC_SOTIEN,AC_THANG,Z$1,AC_KM,$E39,AC_DA,$C39)</f>
        <v>0</v>
      </c>
      <c r="AA39" s="1223">
        <f>SUMIFS(AC_SOTIEN,AC_THANG,AA$1,AC_KM,$E39,AC_DA,$C39)</f>
        <v>0</v>
      </c>
    </row>
    <row r="40">
      <c r="A40" s="1215">
        <f t="shared" si="22"/>
        <v>7</v>
      </c>
      <c r="B40" s="1216"/>
      <c r="C40" s="1087" t="s">
        <v>2070</v>
      </c>
      <c r="D40" s="1216" t="str">
        <f>VLOOKUP(C40,DM_DUAN,2,0)</f>
        <v>KHANG VƯỢNG</v>
      </c>
      <c r="E40" s="1217" t="s">
        <v>2239</v>
      </c>
      <c r="F40" s="1218">
        <v>632.0</v>
      </c>
      <c r="G40" s="1218">
        <v>2.0</v>
      </c>
      <c r="H40" s="1219">
        <f t="shared" si="23"/>
        <v>0</v>
      </c>
      <c r="I40" s="1220" t="str">
        <f t="shared" si="24"/>
        <v/>
      </c>
      <c r="J40" s="1221">
        <f t="shared" si="25"/>
        <v>0</v>
      </c>
      <c r="K40" s="1221">
        <f t="shared" si="26"/>
        <v>0</v>
      </c>
      <c r="L40" s="1222">
        <f t="shared" si="27"/>
        <v>0</v>
      </c>
      <c r="M40" s="1222">
        <f t="shared" si="28"/>
        <v>0</v>
      </c>
      <c r="N40" s="1222">
        <f t="shared" si="29"/>
        <v>0</v>
      </c>
      <c r="O40" s="1222">
        <f t="shared" si="30"/>
        <v>0</v>
      </c>
      <c r="P40" s="1223">
        <f>SUMIFS(AC_SOTIEN,AC_THANG,P$1,AC_KM,$E40,AC_DA,$C40)</f>
        <v>0</v>
      </c>
      <c r="Q40" s="1223">
        <f>SUMIFS(AC_SOTIEN,AC_THANG,Q$1,AC_KM,$E40,AC_DA,$C40)</f>
        <v>0</v>
      </c>
      <c r="R40" s="1223">
        <f>SUMIFS(AC_SOTIEN,AC_THANG,R$1,AC_KM,$E40,AC_DA,$C40)</f>
        <v>0</v>
      </c>
      <c r="S40" s="1223">
        <f>SUMIFS(AC_SOTIEN,AC_THANG,S$1,AC_KM,$E40,AC_DA,$C40)</f>
        <v>0</v>
      </c>
      <c r="T40" s="1223">
        <f>SUMIFS(AC_SOTIEN,AC_THANG,T$1,AC_KM,$E40,AC_DA,$C40)</f>
        <v>0</v>
      </c>
      <c r="U40" s="1223">
        <f>SUMIFS(AC_SOTIEN,AC_THANG,U$1,AC_KM,$E40,AC_DA,$C40)</f>
        <v>0</v>
      </c>
      <c r="V40" s="1223">
        <f>SUMIFS(AC_SOTIEN,AC_THANG,V$1,AC_KM,$E40,AC_DA,$C40)</f>
        <v>0</v>
      </c>
      <c r="W40" s="1223">
        <f>SUMIFS(AC_SOTIEN,AC_THANG,W$1,AC_KM,$E40,AC_DA,$C40)</f>
        <v>0</v>
      </c>
      <c r="X40" s="1223">
        <f>SUMIFS(AC_SOTIEN,AC_THANG,X$1,AC_KM,$E40,AC_DA,$C40)</f>
        <v>0</v>
      </c>
      <c r="Y40" s="1223">
        <f>SUMIFS(AC_SOTIEN,AC_THANG,Y$1,AC_KM,$E40,AC_DA,$C40)</f>
        <v>0</v>
      </c>
      <c r="Z40" s="1223">
        <f>SUMIFS(AC_SOTIEN,AC_THANG,Z$1,AC_KM,$E40,AC_DA,$C40)</f>
        <v>0</v>
      </c>
      <c r="AA40" s="1223">
        <f>SUMIFS(AC_SOTIEN,AC_THANG,AA$1,AC_KM,$E40,AC_DA,$C40)</f>
        <v>0</v>
      </c>
    </row>
    <row r="41">
      <c r="A41" s="1215">
        <f t="shared" si="22"/>
        <v>8</v>
      </c>
      <c r="B41" s="1216"/>
      <c r="C41" s="1087" t="s">
        <v>2072</v>
      </c>
      <c r="D41" s="1216" t="str">
        <f>VLOOKUP(C41,DM_DUAN,2,0)</f>
        <v>TRẦN ANH GROUP</v>
      </c>
      <c r="E41" s="1217" t="s">
        <v>2239</v>
      </c>
      <c r="F41" s="1218">
        <v>632.0</v>
      </c>
      <c r="G41" s="1218">
        <v>2.0</v>
      </c>
      <c r="H41" s="1219">
        <f t="shared" si="23"/>
        <v>0</v>
      </c>
      <c r="I41" s="1220" t="str">
        <f t="shared" si="24"/>
        <v/>
      </c>
      <c r="J41" s="1221">
        <f t="shared" si="25"/>
        <v>0</v>
      </c>
      <c r="K41" s="1221">
        <f t="shared" si="26"/>
        <v>0</v>
      </c>
      <c r="L41" s="1222">
        <f t="shared" si="27"/>
        <v>0</v>
      </c>
      <c r="M41" s="1222">
        <f t="shared" si="28"/>
        <v>0</v>
      </c>
      <c r="N41" s="1222">
        <f t="shared" si="29"/>
        <v>0</v>
      </c>
      <c r="O41" s="1222">
        <f t="shared" si="30"/>
        <v>0</v>
      </c>
      <c r="P41" s="1223">
        <f>SUMIFS(AC_SOTIEN,AC_THANG,P$1,AC_KM,$E41,AC_DA,$C41)</f>
        <v>0</v>
      </c>
      <c r="Q41" s="1223">
        <f>SUMIFS(AC_SOTIEN,AC_THANG,Q$1,AC_KM,$E41,AC_DA,$C41)</f>
        <v>0</v>
      </c>
      <c r="R41" s="1223">
        <f>SUMIFS(AC_SOTIEN,AC_THANG,R$1,AC_KM,$E41,AC_DA,$C41)</f>
        <v>0</v>
      </c>
      <c r="S41" s="1223">
        <f>SUMIFS(AC_SOTIEN,AC_THANG,S$1,AC_KM,$E41,AC_DA,$C41)</f>
        <v>0</v>
      </c>
      <c r="T41" s="1223">
        <f>SUMIFS(AC_SOTIEN,AC_THANG,T$1,AC_KM,$E41,AC_DA,$C41)</f>
        <v>0</v>
      </c>
      <c r="U41" s="1223">
        <f>SUMIFS(AC_SOTIEN,AC_THANG,U$1,AC_KM,$E41,AC_DA,$C41)</f>
        <v>0</v>
      </c>
      <c r="V41" s="1223">
        <f>SUMIFS(AC_SOTIEN,AC_THANG,V$1,AC_KM,$E41,AC_DA,$C41)</f>
        <v>0</v>
      </c>
      <c r="W41" s="1223">
        <f>SUMIFS(AC_SOTIEN,AC_THANG,W$1,AC_KM,$E41,AC_DA,$C41)</f>
        <v>0</v>
      </c>
      <c r="X41" s="1223">
        <f>SUMIFS(AC_SOTIEN,AC_THANG,X$1,AC_KM,$E41,AC_DA,$C41)</f>
        <v>0</v>
      </c>
      <c r="Y41" s="1223">
        <f>SUMIFS(AC_SOTIEN,AC_THANG,Y$1,AC_KM,$E41,AC_DA,$C41)</f>
        <v>0</v>
      </c>
      <c r="Z41" s="1223">
        <f>SUMIFS(AC_SOTIEN,AC_THANG,Z$1,AC_KM,$E41,AC_DA,$C41)</f>
        <v>0</v>
      </c>
      <c r="AA41" s="1223">
        <f>SUMIFS(AC_SOTIEN,AC_THANG,AA$1,AC_KM,$E41,AC_DA,$C41)</f>
        <v>0</v>
      </c>
    </row>
    <row r="42">
      <c r="A42" s="1215">
        <f t="shared" si="22"/>
        <v>9</v>
      </c>
      <c r="B42" s="1216"/>
      <c r="C42" s="1087" t="s">
        <v>2073</v>
      </c>
      <c r="D42" s="1216" t="str">
        <f>VLOOKUP(C42,DM_DUAN,2,0)</f>
        <v>PHI TRƯỜNG</v>
      </c>
      <c r="E42" s="1217" t="s">
        <v>2239</v>
      </c>
      <c r="F42" s="1218">
        <v>632.0</v>
      </c>
      <c r="G42" s="1218">
        <v>2.0</v>
      </c>
      <c r="H42" s="1219">
        <f t="shared" si="23"/>
        <v>0</v>
      </c>
      <c r="I42" s="1220" t="str">
        <f t="shared" si="24"/>
        <v/>
      </c>
      <c r="J42" s="1221">
        <f t="shared" si="25"/>
        <v>0</v>
      </c>
      <c r="K42" s="1221">
        <f t="shared" si="26"/>
        <v>0</v>
      </c>
      <c r="L42" s="1222">
        <f t="shared" si="27"/>
        <v>0</v>
      </c>
      <c r="M42" s="1222">
        <f t="shared" si="28"/>
        <v>0</v>
      </c>
      <c r="N42" s="1222">
        <f t="shared" si="29"/>
        <v>0</v>
      </c>
      <c r="O42" s="1222">
        <f t="shared" si="30"/>
        <v>0</v>
      </c>
      <c r="P42" s="1223">
        <f>SUMIFS(AC_SOTIEN,AC_THANG,P$1,AC_KM,$E42,AC_DA,$C42)</f>
        <v>0</v>
      </c>
      <c r="Q42" s="1223">
        <f>SUMIFS(AC_SOTIEN,AC_THANG,Q$1,AC_KM,$E42,AC_DA,$C42)</f>
        <v>0</v>
      </c>
      <c r="R42" s="1223">
        <f>SUMIFS(AC_SOTIEN,AC_THANG,R$1,AC_KM,$E42,AC_DA,$C42)</f>
        <v>0</v>
      </c>
      <c r="S42" s="1223">
        <f>SUMIFS(AC_SOTIEN,AC_THANG,S$1,AC_KM,$E42,AC_DA,$C42)</f>
        <v>0</v>
      </c>
      <c r="T42" s="1223">
        <f>SUMIFS(AC_SOTIEN,AC_THANG,T$1,AC_KM,$E42,AC_DA,$C42)</f>
        <v>0</v>
      </c>
      <c r="U42" s="1223">
        <f>SUMIFS(AC_SOTIEN,AC_THANG,U$1,AC_KM,$E42,AC_DA,$C42)</f>
        <v>0</v>
      </c>
      <c r="V42" s="1223">
        <f>SUMIFS(AC_SOTIEN,AC_THANG,V$1,AC_KM,$E42,AC_DA,$C42)</f>
        <v>0</v>
      </c>
      <c r="W42" s="1223">
        <f>SUMIFS(AC_SOTIEN,AC_THANG,W$1,AC_KM,$E42,AC_DA,$C42)</f>
        <v>0</v>
      </c>
      <c r="X42" s="1223">
        <f>SUMIFS(AC_SOTIEN,AC_THANG,X$1,AC_KM,$E42,AC_DA,$C42)</f>
        <v>0</v>
      </c>
      <c r="Y42" s="1223">
        <f>SUMIFS(AC_SOTIEN,AC_THANG,Y$1,AC_KM,$E42,AC_DA,$C42)</f>
        <v>0</v>
      </c>
      <c r="Z42" s="1223">
        <f>SUMIFS(AC_SOTIEN,AC_THANG,Z$1,AC_KM,$E42,AC_DA,$C42)</f>
        <v>0</v>
      </c>
      <c r="AA42" s="1223">
        <f>SUMIFS(AC_SOTIEN,AC_THANG,AA$1,AC_KM,$E42,AC_DA,$C42)</f>
        <v>0</v>
      </c>
    </row>
    <row r="43">
      <c r="A43" s="1215">
        <f t="shared" si="22"/>
        <v>10</v>
      </c>
      <c r="B43" s="1216"/>
      <c r="C43" s="1087" t="s">
        <v>2074</v>
      </c>
      <c r="D43" s="1216" t="str">
        <f>VLOOKUP(C43,DM_DUAN,2,0)</f>
        <v>HOÀNG CÁT</v>
      </c>
      <c r="E43" s="1217" t="s">
        <v>2239</v>
      </c>
      <c r="F43" s="1218">
        <v>632.0</v>
      </c>
      <c r="G43" s="1227">
        <v>2.0</v>
      </c>
      <c r="H43" s="1219">
        <f t="shared" si="23"/>
        <v>0</v>
      </c>
      <c r="I43" s="1220" t="str">
        <f t="shared" si="24"/>
        <v/>
      </c>
      <c r="J43" s="1221">
        <f t="shared" si="25"/>
        <v>0</v>
      </c>
      <c r="K43" s="1221">
        <f t="shared" si="26"/>
        <v>0</v>
      </c>
      <c r="L43" s="1222">
        <f t="shared" si="27"/>
        <v>0</v>
      </c>
      <c r="M43" s="1222">
        <f t="shared" si="28"/>
        <v>0</v>
      </c>
      <c r="N43" s="1222">
        <f t="shared" si="29"/>
        <v>0</v>
      </c>
      <c r="O43" s="1222">
        <f t="shared" si="30"/>
        <v>0</v>
      </c>
      <c r="P43" s="1223">
        <f>SUMIFS(AC_SOTIEN,AC_THANG,P$1,AC_KM,$E43,AC_DA,$C43)</f>
        <v>0</v>
      </c>
      <c r="Q43" s="1223">
        <f>SUMIFS(AC_SOTIEN,AC_THANG,Q$1,AC_KM,$E43,AC_DA,$C43)</f>
        <v>0</v>
      </c>
      <c r="R43" s="1223">
        <f>SUMIFS(AC_SOTIEN,AC_THANG,R$1,AC_KM,$E43,AC_DA,$C43)</f>
        <v>0</v>
      </c>
      <c r="S43" s="1223">
        <f>SUMIFS(AC_SOTIEN,AC_THANG,S$1,AC_KM,$E43,AC_DA,$C43)</f>
        <v>0</v>
      </c>
      <c r="T43" s="1223">
        <f>SUMIFS(AC_SOTIEN,AC_THANG,T$1,AC_KM,$E43,AC_DA,$C43)</f>
        <v>0</v>
      </c>
      <c r="U43" s="1223">
        <f>SUMIFS(AC_SOTIEN,AC_THANG,U$1,AC_KM,$E43,AC_DA,$C43)</f>
        <v>0</v>
      </c>
      <c r="V43" s="1223">
        <f>SUMIFS(AC_SOTIEN,AC_THANG,V$1,AC_KM,$E43,AC_DA,$C43)</f>
        <v>0</v>
      </c>
      <c r="W43" s="1223">
        <f>SUMIFS(AC_SOTIEN,AC_THANG,W$1,AC_KM,$E43,AC_DA,$C43)</f>
        <v>0</v>
      </c>
      <c r="X43" s="1223">
        <f>SUMIFS(AC_SOTIEN,AC_THANG,X$1,AC_KM,$E43,AC_DA,$C43)</f>
        <v>0</v>
      </c>
      <c r="Y43" s="1223">
        <f>SUMIFS(AC_SOTIEN,AC_THANG,Y$1,AC_KM,$E43,AC_DA,$C43)</f>
        <v>0</v>
      </c>
      <c r="Z43" s="1223">
        <f>SUMIFS(AC_SOTIEN,AC_THANG,Z$1,AC_KM,$E43,AC_DA,$C43)</f>
        <v>0</v>
      </c>
      <c r="AA43" s="1223">
        <f>SUMIFS(AC_SOTIEN,AC_THANG,AA$1,AC_KM,$E43,AC_DA,$C43)</f>
        <v>0</v>
      </c>
    </row>
    <row r="44">
      <c r="A44" s="1215">
        <f t="shared" si="22"/>
        <v>11</v>
      </c>
      <c r="B44" s="1216"/>
      <c r="C44" s="656" t="s">
        <v>530</v>
      </c>
      <c r="D44" s="1216" t="str">
        <f>VLOOKUP(C44,DM_DUAN,2,0)</f>
        <v>Nhà vườn sinh thái</v>
      </c>
      <c r="E44" s="1217" t="s">
        <v>2239</v>
      </c>
      <c r="F44" s="1218">
        <v>632.0</v>
      </c>
      <c r="G44" s="1227">
        <v>2.0</v>
      </c>
      <c r="H44" s="1219">
        <f t="shared" si="23"/>
        <v>0</v>
      </c>
      <c r="I44" s="1220" t="str">
        <f t="shared" si="24"/>
        <v/>
      </c>
      <c r="J44" s="1221">
        <f t="shared" si="25"/>
        <v>0</v>
      </c>
      <c r="K44" s="1221">
        <f t="shared" si="26"/>
        <v>0</v>
      </c>
      <c r="L44" s="1222">
        <f t="shared" si="27"/>
        <v>0</v>
      </c>
      <c r="M44" s="1222">
        <f t="shared" si="28"/>
        <v>0</v>
      </c>
      <c r="N44" s="1222">
        <f t="shared" si="29"/>
        <v>0</v>
      </c>
      <c r="O44" s="1222">
        <f t="shared" si="30"/>
        <v>0</v>
      </c>
      <c r="P44" s="1223">
        <f>SUMIFS(AC_SOTIEN,AC_THANG,P$1,AC_KM,$E44,AC_DA,$C44)</f>
        <v>0</v>
      </c>
      <c r="Q44" s="1223">
        <f>SUMIFS(AC_SOTIEN,AC_THANG,Q$1,AC_KM,$E44,AC_DA,$C44)</f>
        <v>0</v>
      </c>
      <c r="R44" s="1223">
        <f>SUMIFS(AC_SOTIEN,AC_THANG,R$1,AC_KM,$E44,AC_DA,$C44)</f>
        <v>0</v>
      </c>
      <c r="S44" s="1223">
        <f>SUMIFS(AC_SOTIEN,AC_THANG,S$1,AC_KM,$E44,AC_DA,$C44)</f>
        <v>0</v>
      </c>
      <c r="T44" s="1223">
        <f>SUMIFS(AC_SOTIEN,AC_THANG,T$1,AC_KM,$E44,AC_DA,$C44)</f>
        <v>0</v>
      </c>
      <c r="U44" s="1223">
        <f>SUMIFS(AC_SOTIEN,AC_THANG,U$1,AC_KM,$E44,AC_DA,$C44)</f>
        <v>0</v>
      </c>
      <c r="V44" s="1223">
        <f>SUMIFS(AC_SOTIEN,AC_THANG,V$1,AC_KM,$E44,AC_DA,$C44)</f>
        <v>0</v>
      </c>
      <c r="W44" s="1223">
        <f>SUMIFS(AC_SOTIEN,AC_THANG,W$1,AC_KM,$E44,AC_DA,$C44)</f>
        <v>0</v>
      </c>
      <c r="X44" s="1223">
        <f>SUMIFS(AC_SOTIEN,AC_THANG,X$1,AC_KM,$E44,AC_DA,$C44)</f>
        <v>0</v>
      </c>
      <c r="Y44" s="1223">
        <f>SUMIFS(AC_SOTIEN,AC_THANG,Y$1,AC_KM,$E44,AC_DA,$C44)</f>
        <v>0</v>
      </c>
      <c r="Z44" s="1223">
        <f>SUMIFS(AC_SOTIEN,AC_THANG,Z$1,AC_KM,$E44,AC_DA,$C44)</f>
        <v>0</v>
      </c>
      <c r="AA44" s="1223">
        <f>SUMIFS(AC_SOTIEN,AC_THANG,AA$1,AC_KM,$E44,AC_DA,$C44)</f>
        <v>0</v>
      </c>
    </row>
    <row r="45">
      <c r="A45" s="1283" t="s">
        <v>2911</v>
      </c>
      <c r="B45" s="1237"/>
      <c r="C45" s="1237"/>
      <c r="D45" s="1238"/>
      <c r="E45" s="1239"/>
      <c r="F45" s="1238"/>
      <c r="G45" s="1238"/>
      <c r="H45" s="1240">
        <f>SUM(H46:H55)</f>
        <v>8438145000</v>
      </c>
      <c r="I45" s="1241">
        <f>IF(H$2=0,"",H45/H$2)</f>
        <v>0.2594186362</v>
      </c>
      <c r="J45" s="1240">
        <f t="shared" ref="J45:AA45" si="31">SUM(J46:J55)</f>
        <v>8438145000</v>
      </c>
      <c r="K45" s="1240">
        <f t="shared" si="31"/>
        <v>0</v>
      </c>
      <c r="L45" s="1240">
        <f t="shared" si="31"/>
        <v>8438145000</v>
      </c>
      <c r="M45" s="1240">
        <f t="shared" si="31"/>
        <v>0</v>
      </c>
      <c r="N45" s="1240">
        <f t="shared" si="31"/>
        <v>0</v>
      </c>
      <c r="O45" s="1240">
        <f t="shared" si="31"/>
        <v>0</v>
      </c>
      <c r="P45" s="1240">
        <f t="shared" si="31"/>
        <v>3418460000</v>
      </c>
      <c r="Q45" s="1240">
        <f t="shared" si="31"/>
        <v>1930000000</v>
      </c>
      <c r="R45" s="1240">
        <f t="shared" si="31"/>
        <v>3089685000</v>
      </c>
      <c r="S45" s="1240">
        <f t="shared" si="31"/>
        <v>0</v>
      </c>
      <c r="T45" s="1240">
        <f t="shared" si="31"/>
        <v>0</v>
      </c>
      <c r="U45" s="1240">
        <f t="shared" si="31"/>
        <v>0</v>
      </c>
      <c r="V45" s="1240">
        <f t="shared" si="31"/>
        <v>0</v>
      </c>
      <c r="W45" s="1240">
        <f t="shared" si="31"/>
        <v>0</v>
      </c>
      <c r="X45" s="1240">
        <f t="shared" si="31"/>
        <v>0</v>
      </c>
      <c r="Y45" s="1240">
        <f t="shared" si="31"/>
        <v>0</v>
      </c>
      <c r="Z45" s="1240">
        <f t="shared" si="31"/>
        <v>0</v>
      </c>
      <c r="AA45" s="1240">
        <f t="shared" si="31"/>
        <v>0</v>
      </c>
    </row>
    <row r="46">
      <c r="A46" s="1215">
        <f t="shared" ref="A46:A56" si="33">IF(C46="","",COUNTA(D$46:D46))</f>
        <v>1</v>
      </c>
      <c r="B46" s="1216"/>
      <c r="C46" s="1087" t="s">
        <v>215</v>
      </c>
      <c r="D46" s="1216" t="str">
        <f>VLOOKUP(C46,DM_DUAN,2,0)</f>
        <v>Phước Đông Garden</v>
      </c>
      <c r="E46" s="1217"/>
      <c r="F46" s="1216"/>
      <c r="G46" s="1218">
        <v>2.0</v>
      </c>
      <c r="H46" s="1219">
        <f t="shared" ref="H46:H56" si="34">SUM(J46:K46)</f>
        <v>0</v>
      </c>
      <c r="I46" s="1220">
        <f t="shared" ref="I46:I105" si="35">IF(H$45=0,"",H46/H$45)</f>
        <v>0</v>
      </c>
      <c r="J46" s="1221">
        <f t="shared" ref="J46:J56" si="36">SUM(L46:M46)</f>
        <v>0</v>
      </c>
      <c r="K46" s="1221">
        <f t="shared" ref="K46:K56" si="37">SUM(N46:O46)</f>
        <v>0</v>
      </c>
      <c r="L46" s="1222">
        <f t="shared" ref="L46:L56" si="38">SUM(P46:R46)</f>
        <v>0</v>
      </c>
      <c r="M46" s="1222">
        <f t="shared" ref="M46:M56" si="39">SUM(S46:U46)</f>
        <v>0</v>
      </c>
      <c r="N46" s="1222">
        <f t="shared" ref="N46:N56" si="40">SUM(V46:X46)</f>
        <v>0</v>
      </c>
      <c r="O46" s="1222">
        <f t="shared" ref="O46:O56" si="41">SUM(Y46:AA46)</f>
        <v>0</v>
      </c>
      <c r="P46" s="1223">
        <f t="shared" ref="P46:AA46" si="32">SUMIF($C$3:$C$16,$C46,P$3:P$16)-SUMIF($C$34:$C$44,$C46,P$34:P$44)</f>
        <v>0</v>
      </c>
      <c r="Q46" s="1223">
        <f t="shared" si="32"/>
        <v>0</v>
      </c>
      <c r="R46" s="1223">
        <f t="shared" si="32"/>
        <v>0</v>
      </c>
      <c r="S46" s="1223">
        <f t="shared" si="32"/>
        <v>0</v>
      </c>
      <c r="T46" s="1223">
        <f t="shared" si="32"/>
        <v>0</v>
      </c>
      <c r="U46" s="1223">
        <f t="shared" si="32"/>
        <v>0</v>
      </c>
      <c r="V46" s="1223">
        <f t="shared" si="32"/>
        <v>0</v>
      </c>
      <c r="W46" s="1223">
        <f t="shared" si="32"/>
        <v>0</v>
      </c>
      <c r="X46" s="1223">
        <f t="shared" si="32"/>
        <v>0</v>
      </c>
      <c r="Y46" s="1223">
        <f t="shared" si="32"/>
        <v>0</v>
      </c>
      <c r="Z46" s="1223">
        <f t="shared" si="32"/>
        <v>0</v>
      </c>
      <c r="AA46" s="1223">
        <f t="shared" si="32"/>
        <v>0</v>
      </c>
    </row>
    <row r="47">
      <c r="A47" s="1215">
        <f t="shared" si="33"/>
        <v>2</v>
      </c>
      <c r="B47" s="1216"/>
      <c r="C47" s="1087" t="s">
        <v>404</v>
      </c>
      <c r="D47" s="1216" t="str">
        <f>VLOOKUP(C47,DM_DUAN,2,0)</f>
        <v>Hamil ton Garden</v>
      </c>
      <c r="E47" s="1217"/>
      <c r="F47" s="1216"/>
      <c r="G47" s="1218">
        <v>2.0</v>
      </c>
      <c r="H47" s="1219">
        <f t="shared" si="34"/>
        <v>0</v>
      </c>
      <c r="I47" s="1220">
        <f t="shared" si="35"/>
        <v>0</v>
      </c>
      <c r="J47" s="1221">
        <f t="shared" si="36"/>
        <v>0</v>
      </c>
      <c r="K47" s="1221">
        <f t="shared" si="37"/>
        <v>0</v>
      </c>
      <c r="L47" s="1222">
        <f t="shared" si="38"/>
        <v>0</v>
      </c>
      <c r="M47" s="1222">
        <f t="shared" si="39"/>
        <v>0</v>
      </c>
      <c r="N47" s="1222">
        <f t="shared" si="40"/>
        <v>0</v>
      </c>
      <c r="O47" s="1222">
        <f t="shared" si="41"/>
        <v>0</v>
      </c>
      <c r="P47" s="1223">
        <f t="shared" ref="P47:AA47" si="42">SUMIF($C$3:$C$16,$C47,P$3:P$16)-SUMIF($C$34:$C$44,$C47,P$34:P$44)</f>
        <v>0</v>
      </c>
      <c r="Q47" s="1223">
        <f t="shared" si="42"/>
        <v>0</v>
      </c>
      <c r="R47" s="1223">
        <f t="shared" si="42"/>
        <v>0</v>
      </c>
      <c r="S47" s="1223">
        <f t="shared" si="42"/>
        <v>0</v>
      </c>
      <c r="T47" s="1223">
        <f t="shared" si="42"/>
        <v>0</v>
      </c>
      <c r="U47" s="1223">
        <f t="shared" si="42"/>
        <v>0</v>
      </c>
      <c r="V47" s="1223">
        <f t="shared" si="42"/>
        <v>0</v>
      </c>
      <c r="W47" s="1223">
        <f t="shared" si="42"/>
        <v>0</v>
      </c>
      <c r="X47" s="1223">
        <f t="shared" si="42"/>
        <v>0</v>
      </c>
      <c r="Y47" s="1223">
        <f t="shared" si="42"/>
        <v>0</v>
      </c>
      <c r="Z47" s="1223">
        <f t="shared" si="42"/>
        <v>0</v>
      </c>
      <c r="AA47" s="1223">
        <f t="shared" si="42"/>
        <v>0</v>
      </c>
    </row>
    <row r="48">
      <c r="A48" s="1215">
        <f t="shared" si="33"/>
        <v>3</v>
      </c>
      <c r="B48" s="1216"/>
      <c r="C48" s="1087" t="s">
        <v>533</v>
      </c>
      <c r="D48" s="1216" t="str">
        <f>VLOOKUP(C48,DM_DUAN,2,0)</f>
        <v>The sol city</v>
      </c>
      <c r="E48" s="1217"/>
      <c r="F48" s="1216"/>
      <c r="G48" s="1218">
        <v>2.0</v>
      </c>
      <c r="H48" s="1219">
        <f t="shared" si="34"/>
        <v>0</v>
      </c>
      <c r="I48" s="1220">
        <f t="shared" si="35"/>
        <v>0</v>
      </c>
      <c r="J48" s="1221">
        <f t="shared" si="36"/>
        <v>0</v>
      </c>
      <c r="K48" s="1221">
        <f t="shared" si="37"/>
        <v>0</v>
      </c>
      <c r="L48" s="1222">
        <f t="shared" si="38"/>
        <v>0</v>
      </c>
      <c r="M48" s="1222">
        <f t="shared" si="39"/>
        <v>0</v>
      </c>
      <c r="N48" s="1222">
        <f t="shared" si="40"/>
        <v>0</v>
      </c>
      <c r="O48" s="1222">
        <f t="shared" si="41"/>
        <v>0</v>
      </c>
      <c r="P48" s="1223">
        <f t="shared" ref="P48:AA48" si="43">SUMIF($C$3:$C$16,$C48,P$3:P$16)-SUMIF($C$34:$C$44,$C48,P$34:P$44)</f>
        <v>0</v>
      </c>
      <c r="Q48" s="1223">
        <f t="shared" si="43"/>
        <v>0</v>
      </c>
      <c r="R48" s="1223">
        <f t="shared" si="43"/>
        <v>0</v>
      </c>
      <c r="S48" s="1223">
        <f t="shared" si="43"/>
        <v>0</v>
      </c>
      <c r="T48" s="1223">
        <f t="shared" si="43"/>
        <v>0</v>
      </c>
      <c r="U48" s="1223">
        <f t="shared" si="43"/>
        <v>0</v>
      </c>
      <c r="V48" s="1223">
        <f t="shared" si="43"/>
        <v>0</v>
      </c>
      <c r="W48" s="1223">
        <f t="shared" si="43"/>
        <v>0</v>
      </c>
      <c r="X48" s="1223">
        <f t="shared" si="43"/>
        <v>0</v>
      </c>
      <c r="Y48" s="1223">
        <f t="shared" si="43"/>
        <v>0</v>
      </c>
      <c r="Z48" s="1223">
        <f t="shared" si="43"/>
        <v>0</v>
      </c>
      <c r="AA48" s="1223">
        <f t="shared" si="43"/>
        <v>0</v>
      </c>
    </row>
    <row r="49">
      <c r="A49" s="1215">
        <f t="shared" si="33"/>
        <v>4</v>
      </c>
      <c r="B49" s="1216"/>
      <c r="C49" s="1087" t="s">
        <v>175</v>
      </c>
      <c r="D49" s="1216" t="str">
        <f>VLOOKUP(C49,DM_DUAN,2,0)</f>
        <v>Phước hội Hồ Tràm</v>
      </c>
      <c r="E49" s="1217"/>
      <c r="F49" s="1216"/>
      <c r="G49" s="1218">
        <v>2.0</v>
      </c>
      <c r="H49" s="1219">
        <f t="shared" si="34"/>
        <v>8438145000</v>
      </c>
      <c r="I49" s="1220">
        <f t="shared" si="35"/>
        <v>1</v>
      </c>
      <c r="J49" s="1221">
        <f t="shared" si="36"/>
        <v>8438145000</v>
      </c>
      <c r="K49" s="1221">
        <f t="shared" si="37"/>
        <v>0</v>
      </c>
      <c r="L49" s="1222">
        <f t="shared" si="38"/>
        <v>8438145000</v>
      </c>
      <c r="M49" s="1222">
        <f t="shared" si="39"/>
        <v>0</v>
      </c>
      <c r="N49" s="1222">
        <f t="shared" si="40"/>
        <v>0</v>
      </c>
      <c r="O49" s="1222">
        <f t="shared" si="41"/>
        <v>0</v>
      </c>
      <c r="P49" s="1223">
        <f t="shared" ref="P49:AA49" si="44">SUMIF($C$3:$C$16,$C49,P$3:P$16)-SUMIF($C$34:$C$44,$C49,P$34:P$44)</f>
        <v>3418460000</v>
      </c>
      <c r="Q49" s="1223">
        <f t="shared" si="44"/>
        <v>1930000000</v>
      </c>
      <c r="R49" s="1223">
        <f t="shared" si="44"/>
        <v>3089685000</v>
      </c>
      <c r="S49" s="1223">
        <f t="shared" si="44"/>
        <v>0</v>
      </c>
      <c r="T49" s="1223">
        <f t="shared" si="44"/>
        <v>0</v>
      </c>
      <c r="U49" s="1223">
        <f t="shared" si="44"/>
        <v>0</v>
      </c>
      <c r="V49" s="1223">
        <f t="shared" si="44"/>
        <v>0</v>
      </c>
      <c r="W49" s="1223">
        <f t="shared" si="44"/>
        <v>0</v>
      </c>
      <c r="X49" s="1223">
        <f t="shared" si="44"/>
        <v>0</v>
      </c>
      <c r="Y49" s="1223">
        <f t="shared" si="44"/>
        <v>0</v>
      </c>
      <c r="Z49" s="1223">
        <f t="shared" si="44"/>
        <v>0</v>
      </c>
      <c r="AA49" s="1223">
        <f t="shared" si="44"/>
        <v>0</v>
      </c>
    </row>
    <row r="50">
      <c r="A50" s="1215">
        <f t="shared" si="33"/>
        <v>5</v>
      </c>
      <c r="B50" s="1216"/>
      <c r="C50" s="1087" t="s">
        <v>2067</v>
      </c>
      <c r="D50" s="1216" t="str">
        <f>VLOOKUP(C50,DM_DUAN,2,0)</f>
        <v>NAM PHONG</v>
      </c>
      <c r="E50" s="1217"/>
      <c r="F50" s="1216"/>
      <c r="G50" s="1218">
        <v>2.0</v>
      </c>
      <c r="H50" s="1219">
        <f t="shared" si="34"/>
        <v>0</v>
      </c>
      <c r="I50" s="1220">
        <f t="shared" si="35"/>
        <v>0</v>
      </c>
      <c r="J50" s="1221">
        <f t="shared" si="36"/>
        <v>0</v>
      </c>
      <c r="K50" s="1221">
        <f t="shared" si="37"/>
        <v>0</v>
      </c>
      <c r="L50" s="1222">
        <f t="shared" si="38"/>
        <v>0</v>
      </c>
      <c r="M50" s="1222">
        <f t="shared" si="39"/>
        <v>0</v>
      </c>
      <c r="N50" s="1222">
        <f t="shared" si="40"/>
        <v>0</v>
      </c>
      <c r="O50" s="1222">
        <f t="shared" si="41"/>
        <v>0</v>
      </c>
      <c r="P50" s="1223">
        <f t="shared" ref="P50:AA50" si="45">SUMIF($C$3:$C$16,$C50,P$3:P$16)-SUMIF($C$34:$C$44,$C50,P$34:P$44)</f>
        <v>0</v>
      </c>
      <c r="Q50" s="1223">
        <f t="shared" si="45"/>
        <v>0</v>
      </c>
      <c r="R50" s="1223">
        <f t="shared" si="45"/>
        <v>0</v>
      </c>
      <c r="S50" s="1223">
        <f t="shared" si="45"/>
        <v>0</v>
      </c>
      <c r="T50" s="1223">
        <f t="shared" si="45"/>
        <v>0</v>
      </c>
      <c r="U50" s="1223">
        <f t="shared" si="45"/>
        <v>0</v>
      </c>
      <c r="V50" s="1223">
        <f t="shared" si="45"/>
        <v>0</v>
      </c>
      <c r="W50" s="1223">
        <f t="shared" si="45"/>
        <v>0</v>
      </c>
      <c r="X50" s="1223">
        <f t="shared" si="45"/>
        <v>0</v>
      </c>
      <c r="Y50" s="1223">
        <f t="shared" si="45"/>
        <v>0</v>
      </c>
      <c r="Z50" s="1223">
        <f t="shared" si="45"/>
        <v>0</v>
      </c>
      <c r="AA50" s="1223">
        <f t="shared" si="45"/>
        <v>0</v>
      </c>
    </row>
    <row r="51">
      <c r="A51" s="1215">
        <f t="shared" si="33"/>
        <v>6</v>
      </c>
      <c r="B51" s="1216"/>
      <c r="C51" s="1087" t="s">
        <v>2069</v>
      </c>
      <c r="D51" s="1216" t="str">
        <f>VLOOKUP(C51,DM_DUAN,2,0)</f>
        <v>#N/A</v>
      </c>
      <c r="E51" s="1217"/>
      <c r="F51" s="1216"/>
      <c r="G51" s="1218">
        <v>2.0</v>
      </c>
      <c r="H51" s="1219">
        <f t="shared" si="34"/>
        <v>0</v>
      </c>
      <c r="I51" s="1220">
        <f t="shared" si="35"/>
        <v>0</v>
      </c>
      <c r="J51" s="1221">
        <f t="shared" si="36"/>
        <v>0</v>
      </c>
      <c r="K51" s="1221">
        <f t="shared" si="37"/>
        <v>0</v>
      </c>
      <c r="L51" s="1222">
        <f t="shared" si="38"/>
        <v>0</v>
      </c>
      <c r="M51" s="1222">
        <f t="shared" si="39"/>
        <v>0</v>
      </c>
      <c r="N51" s="1222">
        <f t="shared" si="40"/>
        <v>0</v>
      </c>
      <c r="O51" s="1222">
        <f t="shared" si="41"/>
        <v>0</v>
      </c>
      <c r="P51" s="1223">
        <f t="shared" ref="P51:AA51" si="46">SUMIF($C$3:$C$16,$C51,P$3:P$16)-SUMIF($C$34:$C$44,$C51,P$34:P$44)</f>
        <v>0</v>
      </c>
      <c r="Q51" s="1223">
        <f t="shared" si="46"/>
        <v>0</v>
      </c>
      <c r="R51" s="1223">
        <f t="shared" si="46"/>
        <v>0</v>
      </c>
      <c r="S51" s="1223">
        <f t="shared" si="46"/>
        <v>0</v>
      </c>
      <c r="T51" s="1223">
        <f t="shared" si="46"/>
        <v>0</v>
      </c>
      <c r="U51" s="1223">
        <f t="shared" si="46"/>
        <v>0</v>
      </c>
      <c r="V51" s="1223">
        <f t="shared" si="46"/>
        <v>0</v>
      </c>
      <c r="W51" s="1223">
        <f t="shared" si="46"/>
        <v>0</v>
      </c>
      <c r="X51" s="1223">
        <f t="shared" si="46"/>
        <v>0</v>
      </c>
      <c r="Y51" s="1223">
        <f t="shared" si="46"/>
        <v>0</v>
      </c>
      <c r="Z51" s="1223">
        <f t="shared" si="46"/>
        <v>0</v>
      </c>
      <c r="AA51" s="1223">
        <f t="shared" si="46"/>
        <v>0</v>
      </c>
    </row>
    <row r="52">
      <c r="A52" s="1215">
        <f t="shared" si="33"/>
        <v>7</v>
      </c>
      <c r="B52" s="1216"/>
      <c r="C52" s="1087" t="s">
        <v>2070</v>
      </c>
      <c r="D52" s="1216" t="str">
        <f>VLOOKUP(C52,DM_DUAN,2,0)</f>
        <v>KHANG VƯỢNG</v>
      </c>
      <c r="E52" s="1217"/>
      <c r="F52" s="1216"/>
      <c r="G52" s="1218">
        <v>2.0</v>
      </c>
      <c r="H52" s="1219">
        <f t="shared" si="34"/>
        <v>0</v>
      </c>
      <c r="I52" s="1220">
        <f t="shared" si="35"/>
        <v>0</v>
      </c>
      <c r="J52" s="1221">
        <f t="shared" si="36"/>
        <v>0</v>
      </c>
      <c r="K52" s="1221">
        <f t="shared" si="37"/>
        <v>0</v>
      </c>
      <c r="L52" s="1222">
        <f t="shared" si="38"/>
        <v>0</v>
      </c>
      <c r="M52" s="1222">
        <f t="shared" si="39"/>
        <v>0</v>
      </c>
      <c r="N52" s="1222">
        <f t="shared" si="40"/>
        <v>0</v>
      </c>
      <c r="O52" s="1222">
        <f t="shared" si="41"/>
        <v>0</v>
      </c>
      <c r="P52" s="1223">
        <f t="shared" ref="P52:AA52" si="47">SUMIF($C$3:$C$16,$C52,P$3:P$16)-SUMIF($C$34:$C$44,$C52,P$34:P$44)</f>
        <v>0</v>
      </c>
      <c r="Q52" s="1223">
        <f t="shared" si="47"/>
        <v>0</v>
      </c>
      <c r="R52" s="1223">
        <f t="shared" si="47"/>
        <v>0</v>
      </c>
      <c r="S52" s="1223">
        <f t="shared" si="47"/>
        <v>0</v>
      </c>
      <c r="T52" s="1223">
        <f t="shared" si="47"/>
        <v>0</v>
      </c>
      <c r="U52" s="1223">
        <f t="shared" si="47"/>
        <v>0</v>
      </c>
      <c r="V52" s="1223">
        <f t="shared" si="47"/>
        <v>0</v>
      </c>
      <c r="W52" s="1223">
        <f t="shared" si="47"/>
        <v>0</v>
      </c>
      <c r="X52" s="1223">
        <f t="shared" si="47"/>
        <v>0</v>
      </c>
      <c r="Y52" s="1223">
        <f t="shared" si="47"/>
        <v>0</v>
      </c>
      <c r="Z52" s="1223">
        <f t="shared" si="47"/>
        <v>0</v>
      </c>
      <c r="AA52" s="1223">
        <f t="shared" si="47"/>
        <v>0</v>
      </c>
    </row>
    <row r="53">
      <c r="A53" s="1215">
        <f t="shared" si="33"/>
        <v>8</v>
      </c>
      <c r="B53" s="1216"/>
      <c r="C53" s="1087" t="s">
        <v>2072</v>
      </c>
      <c r="D53" s="1216" t="str">
        <f>VLOOKUP(C53,DM_DUAN,2,0)</f>
        <v>TRẦN ANH GROUP</v>
      </c>
      <c r="E53" s="1217"/>
      <c r="F53" s="1216"/>
      <c r="G53" s="1218">
        <v>2.0</v>
      </c>
      <c r="H53" s="1219">
        <f t="shared" si="34"/>
        <v>0</v>
      </c>
      <c r="I53" s="1220">
        <f t="shared" si="35"/>
        <v>0</v>
      </c>
      <c r="J53" s="1221">
        <f t="shared" si="36"/>
        <v>0</v>
      </c>
      <c r="K53" s="1221">
        <f t="shared" si="37"/>
        <v>0</v>
      </c>
      <c r="L53" s="1222">
        <f t="shared" si="38"/>
        <v>0</v>
      </c>
      <c r="M53" s="1222">
        <f t="shared" si="39"/>
        <v>0</v>
      </c>
      <c r="N53" s="1222">
        <f t="shared" si="40"/>
        <v>0</v>
      </c>
      <c r="O53" s="1222">
        <f t="shared" si="41"/>
        <v>0</v>
      </c>
      <c r="P53" s="1223">
        <f t="shared" ref="P53:AA53" si="48">SUMIF($C$3:$C$16,$C53,P$3:P$16)-SUMIF($C$34:$C$44,$C53,P$34:P$44)</f>
        <v>0</v>
      </c>
      <c r="Q53" s="1223">
        <f t="shared" si="48"/>
        <v>0</v>
      </c>
      <c r="R53" s="1223">
        <f t="shared" si="48"/>
        <v>0</v>
      </c>
      <c r="S53" s="1223">
        <f t="shared" si="48"/>
        <v>0</v>
      </c>
      <c r="T53" s="1223">
        <f t="shared" si="48"/>
        <v>0</v>
      </c>
      <c r="U53" s="1223">
        <f t="shared" si="48"/>
        <v>0</v>
      </c>
      <c r="V53" s="1223">
        <f t="shared" si="48"/>
        <v>0</v>
      </c>
      <c r="W53" s="1223">
        <f t="shared" si="48"/>
        <v>0</v>
      </c>
      <c r="X53" s="1223">
        <f t="shared" si="48"/>
        <v>0</v>
      </c>
      <c r="Y53" s="1223">
        <f t="shared" si="48"/>
        <v>0</v>
      </c>
      <c r="Z53" s="1223">
        <f t="shared" si="48"/>
        <v>0</v>
      </c>
      <c r="AA53" s="1223">
        <f t="shared" si="48"/>
        <v>0</v>
      </c>
    </row>
    <row r="54">
      <c r="A54" s="1215">
        <f t="shared" si="33"/>
        <v>9</v>
      </c>
      <c r="B54" s="1216"/>
      <c r="C54" s="1087" t="s">
        <v>2073</v>
      </c>
      <c r="D54" s="1216" t="str">
        <f>VLOOKUP(C54,DM_DUAN,2,0)</f>
        <v>PHI TRƯỜNG</v>
      </c>
      <c r="E54" s="1217"/>
      <c r="F54" s="1216"/>
      <c r="G54" s="1218">
        <v>2.0</v>
      </c>
      <c r="H54" s="1219">
        <f t="shared" si="34"/>
        <v>0</v>
      </c>
      <c r="I54" s="1220">
        <f t="shared" si="35"/>
        <v>0</v>
      </c>
      <c r="J54" s="1221">
        <f t="shared" si="36"/>
        <v>0</v>
      </c>
      <c r="K54" s="1221">
        <f t="shared" si="37"/>
        <v>0</v>
      </c>
      <c r="L54" s="1222">
        <f t="shared" si="38"/>
        <v>0</v>
      </c>
      <c r="M54" s="1222">
        <f t="shared" si="39"/>
        <v>0</v>
      </c>
      <c r="N54" s="1222">
        <f t="shared" si="40"/>
        <v>0</v>
      </c>
      <c r="O54" s="1222">
        <f t="shared" si="41"/>
        <v>0</v>
      </c>
      <c r="P54" s="1223">
        <f t="shared" ref="P54:AA54" si="49">SUMIF($C$3:$C$16,$C54,P$3:P$16)-SUMIF($C$34:$C$44,$C54,P$34:P$44)</f>
        <v>0</v>
      </c>
      <c r="Q54" s="1223">
        <f t="shared" si="49"/>
        <v>0</v>
      </c>
      <c r="R54" s="1223">
        <f t="shared" si="49"/>
        <v>0</v>
      </c>
      <c r="S54" s="1223">
        <f t="shared" si="49"/>
        <v>0</v>
      </c>
      <c r="T54" s="1223">
        <f t="shared" si="49"/>
        <v>0</v>
      </c>
      <c r="U54" s="1223">
        <f t="shared" si="49"/>
        <v>0</v>
      </c>
      <c r="V54" s="1223">
        <f t="shared" si="49"/>
        <v>0</v>
      </c>
      <c r="W54" s="1223">
        <f t="shared" si="49"/>
        <v>0</v>
      </c>
      <c r="X54" s="1223">
        <f t="shared" si="49"/>
        <v>0</v>
      </c>
      <c r="Y54" s="1223">
        <f t="shared" si="49"/>
        <v>0</v>
      </c>
      <c r="Z54" s="1223">
        <f t="shared" si="49"/>
        <v>0</v>
      </c>
      <c r="AA54" s="1223">
        <f t="shared" si="49"/>
        <v>0</v>
      </c>
    </row>
    <row r="55">
      <c r="A55" s="1215">
        <f t="shared" si="33"/>
        <v>10</v>
      </c>
      <c r="B55" s="1216"/>
      <c r="C55" s="1087" t="s">
        <v>2074</v>
      </c>
      <c r="D55" s="1216" t="str">
        <f>VLOOKUP(C55,DM_DUAN,2,0)</f>
        <v>HOÀNG CÁT</v>
      </c>
      <c r="E55" s="1217"/>
      <c r="F55" s="1216"/>
      <c r="G55" s="1227">
        <v>2.0</v>
      </c>
      <c r="H55" s="1219">
        <f t="shared" si="34"/>
        <v>0</v>
      </c>
      <c r="I55" s="1220">
        <f t="shared" si="35"/>
        <v>0</v>
      </c>
      <c r="J55" s="1221">
        <f t="shared" si="36"/>
        <v>0</v>
      </c>
      <c r="K55" s="1221">
        <f t="shared" si="37"/>
        <v>0</v>
      </c>
      <c r="L55" s="1222">
        <f t="shared" si="38"/>
        <v>0</v>
      </c>
      <c r="M55" s="1222">
        <f t="shared" si="39"/>
        <v>0</v>
      </c>
      <c r="N55" s="1222">
        <f t="shared" si="40"/>
        <v>0</v>
      </c>
      <c r="O55" s="1222">
        <f t="shared" si="41"/>
        <v>0</v>
      </c>
      <c r="P55" s="1296">
        <f t="shared" ref="P55:AA55" si="50">SUMIF($C$3:$C$16,$C55,P$3:P$16)-SUMIF($C$34:$C$44,$C55,P$34:P$44)</f>
        <v>0</v>
      </c>
      <c r="Q55" s="1296">
        <f t="shared" si="50"/>
        <v>0</v>
      </c>
      <c r="R55" s="1296">
        <f t="shared" si="50"/>
        <v>0</v>
      </c>
      <c r="S55" s="1296">
        <f t="shared" si="50"/>
        <v>0</v>
      </c>
      <c r="T55" s="1296">
        <f t="shared" si="50"/>
        <v>0</v>
      </c>
      <c r="U55" s="1296">
        <f t="shared" si="50"/>
        <v>0</v>
      </c>
      <c r="V55" s="1296">
        <f t="shared" si="50"/>
        <v>0</v>
      </c>
      <c r="W55" s="1296">
        <f t="shared" si="50"/>
        <v>0</v>
      </c>
      <c r="X55" s="1296">
        <f t="shared" si="50"/>
        <v>0</v>
      </c>
      <c r="Y55" s="1296">
        <f t="shared" si="50"/>
        <v>0</v>
      </c>
      <c r="Z55" s="1296">
        <f t="shared" si="50"/>
        <v>0</v>
      </c>
      <c r="AA55" s="1296">
        <f t="shared" si="50"/>
        <v>0</v>
      </c>
    </row>
    <row r="56">
      <c r="A56" s="1242">
        <f t="shared" si="33"/>
        <v>11</v>
      </c>
      <c r="B56" s="717"/>
      <c r="C56" s="656" t="s">
        <v>530</v>
      </c>
      <c r="D56" s="1297" t="str">
        <f>VLOOKUP(C56,DM_DUAN,2,0)</f>
        <v>Nhà vườn sinh thái</v>
      </c>
      <c r="E56" s="1243"/>
      <c r="F56" s="717"/>
      <c r="G56" s="1244">
        <v>2.0</v>
      </c>
      <c r="H56" s="1219">
        <f t="shared" si="34"/>
        <v>13959990000</v>
      </c>
      <c r="I56" s="1245">
        <f t="shared" si="35"/>
        <v>1.654390864</v>
      </c>
      <c r="J56" s="1221">
        <f t="shared" si="36"/>
        <v>13959990000</v>
      </c>
      <c r="K56" s="1221">
        <f t="shared" si="37"/>
        <v>0</v>
      </c>
      <c r="L56" s="1222">
        <f t="shared" si="38"/>
        <v>5916320000</v>
      </c>
      <c r="M56" s="1222">
        <f t="shared" si="39"/>
        <v>8043670000</v>
      </c>
      <c r="N56" s="1222">
        <f t="shared" si="40"/>
        <v>0</v>
      </c>
      <c r="O56" s="1222">
        <f t="shared" si="41"/>
        <v>0</v>
      </c>
      <c r="P56" s="1296">
        <f t="shared" ref="P56:AA56" si="51">SUMIF($C$3:$C$16,$C56,P$3:P$16)-SUMIF($C$34:$C$44,$C56,P$34:P$44)</f>
        <v>0</v>
      </c>
      <c r="Q56" s="1296">
        <f t="shared" si="51"/>
        <v>0</v>
      </c>
      <c r="R56" s="1296">
        <f t="shared" si="51"/>
        <v>5916320000</v>
      </c>
      <c r="S56" s="1296">
        <f t="shared" si="51"/>
        <v>8043670000</v>
      </c>
      <c r="T56" s="1296">
        <f t="shared" si="51"/>
        <v>0</v>
      </c>
      <c r="U56" s="1296">
        <f t="shared" si="51"/>
        <v>0</v>
      </c>
      <c r="V56" s="1296">
        <f t="shared" si="51"/>
        <v>0</v>
      </c>
      <c r="W56" s="1296">
        <f t="shared" si="51"/>
        <v>0</v>
      </c>
      <c r="X56" s="1296">
        <f t="shared" si="51"/>
        <v>0</v>
      </c>
      <c r="Y56" s="1296">
        <f t="shared" si="51"/>
        <v>0</v>
      </c>
      <c r="Z56" s="1296">
        <f t="shared" si="51"/>
        <v>0</v>
      </c>
      <c r="AA56" s="1296">
        <f t="shared" si="51"/>
        <v>0</v>
      </c>
    </row>
    <row r="57">
      <c r="A57" s="1246" t="s">
        <v>2825</v>
      </c>
      <c r="B57" s="1247"/>
      <c r="C57" s="1248"/>
      <c r="D57" s="1248"/>
      <c r="E57" s="1249" t="s">
        <v>2076</v>
      </c>
      <c r="F57" s="1248"/>
      <c r="G57" s="1250">
        <v>1.0</v>
      </c>
      <c r="H57" s="1251">
        <f t="shared" ref="H57:H58" si="52">SUMIF(#REF!,#REF!,$P57:$AA57)</f>
        <v>0</v>
      </c>
      <c r="I57" s="1252">
        <f t="shared" si="35"/>
        <v>0</v>
      </c>
      <c r="J57" s="1251"/>
      <c r="K57" s="1251"/>
      <c r="L57" s="1251"/>
      <c r="M57" s="1251"/>
      <c r="N57" s="1251"/>
      <c r="O57" s="1251"/>
      <c r="P57" s="1251">
        <f>SUMIFS(AC_SOTIEN,AC_KM,$E57,AC_THANG,P$1)</f>
        <v>0</v>
      </c>
      <c r="Q57" s="1251">
        <f>SUMIFS(AC_SOTIEN,AC_KM,$E57,AC_THANG,Q$1)</f>
        <v>0</v>
      </c>
      <c r="R57" s="1251">
        <f>SUMIFS(AC_SOTIEN,AC_KM,$E57,AC_THANG,R$1)</f>
        <v>0</v>
      </c>
      <c r="S57" s="1251">
        <f>SUMIFS(AC_SOTIEN,AC_KM,$E57,AC_THANG,S$1)</f>
        <v>0</v>
      </c>
      <c r="T57" s="1251">
        <f>SUMIFS(AC_SOTIEN,AC_KM,$E57,AC_THANG,T$1)</f>
        <v>0</v>
      </c>
      <c r="U57" s="1251">
        <f>SUMIFS(AC_SOTIEN,AC_KM,$E57,AC_THANG,U$1)</f>
        <v>0</v>
      </c>
      <c r="V57" s="1251">
        <f>SUMIFS(AC_SOTIEN,AC_KM,$E57,AC_THANG,V$1)</f>
        <v>0</v>
      </c>
      <c r="W57" s="1251">
        <f>SUMIFS(AC_SOTIEN,AC_KM,$E57,AC_THANG,W$1)</f>
        <v>0</v>
      </c>
      <c r="X57" s="1251">
        <f>SUMIFS(AC_SOTIEN,AC_KM,$E57,AC_THANG,X$1)</f>
        <v>0</v>
      </c>
      <c r="Y57" s="1251">
        <f>SUMIFS(AC_SOTIEN,AC_KM,$E57,AC_THANG,Y$1)</f>
        <v>0</v>
      </c>
      <c r="Z57" s="1251">
        <f>SUMIFS(AC_SOTIEN,AC_KM,$E57,AC_THANG,Z$1)</f>
        <v>0</v>
      </c>
      <c r="AA57" s="1251">
        <f>SUMIFS(AC_SOTIEN,AC_KM,$E57,AC_THANG,AA$1)</f>
        <v>0</v>
      </c>
    </row>
    <row r="58">
      <c r="A58" s="1246" t="s">
        <v>2826</v>
      </c>
      <c r="B58" s="1247"/>
      <c r="C58" s="1248"/>
      <c r="D58" s="1248"/>
      <c r="E58" s="1249" t="s">
        <v>2083</v>
      </c>
      <c r="F58" s="1248"/>
      <c r="G58" s="1250">
        <v>1.0</v>
      </c>
      <c r="H58" s="1251">
        <f t="shared" si="52"/>
        <v>0</v>
      </c>
      <c r="I58" s="1252">
        <f t="shared" si="35"/>
        <v>0</v>
      </c>
      <c r="J58" s="1251"/>
      <c r="K58" s="1251"/>
      <c r="L58" s="1251"/>
      <c r="M58" s="1251"/>
      <c r="N58" s="1251"/>
      <c r="O58" s="1251"/>
      <c r="P58" s="1251">
        <f>SUMIFS(AC_SOTIEN,AC_KM,$E58,AC_THANG,P$1)</f>
        <v>0</v>
      </c>
      <c r="Q58" s="1251">
        <f>SUMIFS(AC_SOTIEN,AC_KM,$E58,AC_THANG,Q$1)</f>
        <v>0</v>
      </c>
      <c r="R58" s="1251">
        <f>SUMIFS(AC_SOTIEN,AC_KM,$E58,AC_THANG,R$1)</f>
        <v>0</v>
      </c>
      <c r="S58" s="1251">
        <f>SUMIFS(AC_SOTIEN,AC_KM,$E58,AC_THANG,S$1)</f>
        <v>0</v>
      </c>
      <c r="T58" s="1251">
        <f>SUMIFS(AC_SOTIEN,AC_KM,$E58,AC_THANG,T$1)</f>
        <v>0</v>
      </c>
      <c r="U58" s="1251">
        <f>SUMIFS(AC_SOTIEN,AC_KM,$E58,AC_THANG,U$1)</f>
        <v>0</v>
      </c>
      <c r="V58" s="1251">
        <f>SUMIFS(AC_SOTIEN,AC_KM,$E58,AC_THANG,V$1)</f>
        <v>0</v>
      </c>
      <c r="W58" s="1251">
        <f>SUMIFS(AC_SOTIEN,AC_KM,$E58,AC_THANG,W$1)</f>
        <v>0</v>
      </c>
      <c r="X58" s="1251">
        <f>SUMIFS(AC_SOTIEN,AC_KM,$E58,AC_THANG,X$1)</f>
        <v>0</v>
      </c>
      <c r="Y58" s="1251">
        <f>SUMIFS(AC_SOTIEN,AC_KM,$E58,AC_THANG,Y$1)</f>
        <v>0</v>
      </c>
      <c r="Z58" s="1251">
        <f>SUMIFS(AC_SOTIEN,AC_KM,$E58,AC_THANG,Z$1)</f>
        <v>0</v>
      </c>
      <c r="AA58" s="1251">
        <f>SUMIFS(AC_SOTIEN,AC_KM,$E58,AC_THANG,AA$1)</f>
        <v>0</v>
      </c>
    </row>
    <row r="59">
      <c r="A59" s="1246" t="s">
        <v>2827</v>
      </c>
      <c r="B59" s="1247"/>
      <c r="C59" s="1248"/>
      <c r="D59" s="1248"/>
      <c r="E59" s="1253"/>
      <c r="F59" s="1248"/>
      <c r="G59" s="1250">
        <v>1.0</v>
      </c>
      <c r="H59" s="1251">
        <f>SUMIF($G$60:$G$70,2,H60:H70)</f>
        <v>738325608</v>
      </c>
      <c r="I59" s="1252">
        <f t="shared" si="35"/>
        <v>0.08749856846</v>
      </c>
      <c r="J59" s="1251"/>
      <c r="K59" s="1251"/>
      <c r="L59" s="1251"/>
      <c r="M59" s="1251"/>
      <c r="N59" s="1251"/>
      <c r="O59" s="1251"/>
      <c r="P59" s="1251">
        <f t="shared" ref="P59:AA59" si="53">SUMIF($G$60:$G$70,2,P60:P70)</f>
        <v>738325608</v>
      </c>
      <c r="Q59" s="1251">
        <f t="shared" si="53"/>
        <v>178498567</v>
      </c>
      <c r="R59" s="1251">
        <f t="shared" si="53"/>
        <v>644575194</v>
      </c>
      <c r="S59" s="1251">
        <f t="shared" si="53"/>
        <v>1358782583</v>
      </c>
      <c r="T59" s="1251">
        <f t="shared" si="53"/>
        <v>537475684</v>
      </c>
      <c r="U59" s="1251">
        <f t="shared" si="53"/>
        <v>0</v>
      </c>
      <c r="V59" s="1251">
        <f t="shared" si="53"/>
        <v>0</v>
      </c>
      <c r="W59" s="1251">
        <f t="shared" si="53"/>
        <v>0</v>
      </c>
      <c r="X59" s="1251">
        <f t="shared" si="53"/>
        <v>0</v>
      </c>
      <c r="Y59" s="1251">
        <f t="shared" si="53"/>
        <v>0</v>
      </c>
      <c r="Z59" s="1251">
        <f t="shared" si="53"/>
        <v>0</v>
      </c>
      <c r="AA59" s="1251">
        <f t="shared" si="53"/>
        <v>0</v>
      </c>
    </row>
    <row r="60">
      <c r="A60" s="1254"/>
      <c r="B60" s="1216"/>
      <c r="C60" s="1255"/>
      <c r="D60" s="1216" t="s">
        <v>2828</v>
      </c>
      <c r="E60" s="1217"/>
      <c r="F60" s="1218">
        <v>641.0</v>
      </c>
      <c r="G60" s="1218">
        <v>2.0</v>
      </c>
      <c r="H60" s="1219">
        <f>SUM(H61:H64)</f>
        <v>159949385</v>
      </c>
      <c r="I60" s="1220">
        <f t="shared" si="35"/>
        <v>0.0189555151</v>
      </c>
      <c r="J60" s="1221"/>
      <c r="K60" s="1221"/>
      <c r="L60" s="1222"/>
      <c r="M60" s="1222"/>
      <c r="N60" s="1222"/>
      <c r="O60" s="1222"/>
      <c r="P60" s="1223">
        <f t="shared" ref="P60:AA60" si="54">SUM(P61:P64)</f>
        <v>159949385</v>
      </c>
      <c r="Q60" s="1223">
        <f t="shared" si="54"/>
        <v>135280667</v>
      </c>
      <c r="R60" s="1223">
        <f t="shared" si="54"/>
        <v>338236944</v>
      </c>
      <c r="S60" s="1223">
        <f t="shared" si="54"/>
        <v>865978385</v>
      </c>
      <c r="T60" s="1223">
        <f t="shared" si="54"/>
        <v>375961524</v>
      </c>
      <c r="U60" s="1223">
        <f t="shared" si="54"/>
        <v>0</v>
      </c>
      <c r="V60" s="1223">
        <f t="shared" si="54"/>
        <v>0</v>
      </c>
      <c r="W60" s="1223">
        <f t="shared" si="54"/>
        <v>0</v>
      </c>
      <c r="X60" s="1223">
        <f t="shared" si="54"/>
        <v>0</v>
      </c>
      <c r="Y60" s="1223">
        <f t="shared" si="54"/>
        <v>0</v>
      </c>
      <c r="Z60" s="1223">
        <f t="shared" si="54"/>
        <v>0</v>
      </c>
      <c r="AA60" s="1223">
        <f t="shared" si="54"/>
        <v>0</v>
      </c>
    </row>
    <row r="61">
      <c r="A61" s="1254"/>
      <c r="B61" s="1254"/>
      <c r="C61" s="1254"/>
      <c r="D61" s="1254" t="s">
        <v>2829</v>
      </c>
      <c r="E61" s="1256" t="s">
        <v>255</v>
      </c>
      <c r="F61" s="1254"/>
      <c r="G61" s="1257">
        <v>3.0</v>
      </c>
      <c r="H61" s="1258">
        <f t="shared" ref="H61:H70" si="55">SUMIF(#REF!,#REF!,$P61:$AA61)</f>
        <v>47889385</v>
      </c>
      <c r="I61" s="1220">
        <f t="shared" si="35"/>
        <v>0.005675345114</v>
      </c>
      <c r="J61" s="1259"/>
      <c r="K61" s="1259"/>
      <c r="L61" s="1260"/>
      <c r="M61" s="1260"/>
      <c r="N61" s="1260"/>
      <c r="O61" s="1260"/>
      <c r="P61" s="1261">
        <f>SUMIFS(AC_SOTIEN,AC_KM,$E61,AC_THANG,P$1)</f>
        <v>47889385</v>
      </c>
      <c r="Q61" s="1261">
        <f>SUMIFS(AC_SOTIEN,AC_KM,$E61,AC_THANG,Q$1)</f>
        <v>67320667</v>
      </c>
      <c r="R61" s="1261">
        <f>SUMIFS(AC_SOTIEN,AC_KM,$E61,AC_THANG,R$1)</f>
        <v>112944444</v>
      </c>
      <c r="S61" s="1261">
        <f>SUMIFS(AC_SOTIEN,AC_KM,$E61,AC_THANG,S$1)</f>
        <v>210235385</v>
      </c>
      <c r="T61" s="1261">
        <f>SUMIFS(AC_SOTIEN,AC_KM,$E61,AC_THANG,T$1)</f>
        <v>179446524</v>
      </c>
      <c r="U61" s="1261">
        <f>SUMIFS(AC_SOTIEN,AC_KM,$E61,AC_THANG,U$1)</f>
        <v>0</v>
      </c>
      <c r="V61" s="1261">
        <f>SUMIFS(AC_SOTIEN,AC_KM,$E61,AC_THANG,V$1)</f>
        <v>0</v>
      </c>
      <c r="W61" s="1261">
        <f>SUMIFS(AC_SOTIEN,AC_KM,$E61,AC_THANG,W$1)</f>
        <v>0</v>
      </c>
      <c r="X61" s="1261">
        <f>SUMIFS(AC_SOTIEN,AC_KM,$E61,AC_THANG,X$1)</f>
        <v>0</v>
      </c>
      <c r="Y61" s="1261">
        <f>SUMIFS(AC_SOTIEN,AC_KM,$E61,AC_THANG,Y$1)</f>
        <v>0</v>
      </c>
      <c r="Z61" s="1261">
        <f>SUMIFS(AC_SOTIEN,AC_KM,$E61,AC_THANG,Z$1)</f>
        <v>0</v>
      </c>
      <c r="AA61" s="1261">
        <f>SUMIFS(AC_SOTIEN,AC_KM,$E61,AC_THANG,AA$1)</f>
        <v>0</v>
      </c>
    </row>
    <row r="62">
      <c r="A62" s="1254"/>
      <c r="B62" s="1254"/>
      <c r="C62" s="1254"/>
      <c r="D62" s="1254" t="s">
        <v>2830</v>
      </c>
      <c r="E62" s="1256" t="s">
        <v>190</v>
      </c>
      <c r="F62" s="1257">
        <v>641.0</v>
      </c>
      <c r="G62" s="1257">
        <v>3.0</v>
      </c>
      <c r="H62" s="1258">
        <f t="shared" si="55"/>
        <v>107560000</v>
      </c>
      <c r="I62" s="1220">
        <f t="shared" si="35"/>
        <v>0.01274687742</v>
      </c>
      <c r="J62" s="1259"/>
      <c r="K62" s="1259"/>
      <c r="L62" s="1260"/>
      <c r="M62" s="1260"/>
      <c r="N62" s="1260"/>
      <c r="O62" s="1260"/>
      <c r="P62" s="1261">
        <f>SUMIFS(AC_SOTIEN,AC_KM,$E62,AC_THANG,P$1)</f>
        <v>107560000</v>
      </c>
      <c r="Q62" s="1261">
        <f>SUMIFS(AC_SOTIEN,AC_KM,$E62,AC_THANG,Q$1)</f>
        <v>55000000</v>
      </c>
      <c r="R62" s="1261">
        <f>SUMIFS(AC_SOTIEN,AC_KM,$E62,AC_THANG,R$1)</f>
        <v>214092500</v>
      </c>
      <c r="S62" s="1261">
        <f>SUMIFS(AC_SOTIEN,AC_KM,$E62,AC_THANG,S$1)</f>
        <v>609315000</v>
      </c>
      <c r="T62" s="1261">
        <f>SUMIFS(AC_SOTIEN,AC_KM,$E62,AC_THANG,T$1)</f>
        <v>182943000</v>
      </c>
      <c r="U62" s="1261">
        <f>SUMIFS(AC_SOTIEN,AC_KM,$E62,AC_THANG,U$1)</f>
        <v>0</v>
      </c>
      <c r="V62" s="1261">
        <f>SUMIFS(AC_SOTIEN,AC_KM,$E62,AC_THANG,V$1)</f>
        <v>0</v>
      </c>
      <c r="W62" s="1261">
        <f>SUMIFS(AC_SOTIEN,AC_KM,$E62,AC_THANG,W$1)</f>
        <v>0</v>
      </c>
      <c r="X62" s="1261">
        <f>SUMIFS(AC_SOTIEN,AC_KM,$E62,AC_THANG,X$1)</f>
        <v>0</v>
      </c>
      <c r="Y62" s="1261">
        <f>SUMIFS(AC_SOTIEN,AC_KM,$E62,AC_THANG,Y$1)</f>
        <v>0</v>
      </c>
      <c r="Z62" s="1261">
        <f>SUMIFS(AC_SOTIEN,AC_KM,$E62,AC_THANG,Z$1)</f>
        <v>0</v>
      </c>
      <c r="AA62" s="1261">
        <f>SUMIFS(AC_SOTIEN,AC_KM,$E62,AC_THANG,AA$1)</f>
        <v>0</v>
      </c>
    </row>
    <row r="63">
      <c r="A63" s="1254"/>
      <c r="B63" s="1254"/>
      <c r="C63" s="1254"/>
      <c r="D63" s="1254" t="s">
        <v>2831</v>
      </c>
      <c r="E63" s="1256" t="s">
        <v>194</v>
      </c>
      <c r="F63" s="1257">
        <v>641.0</v>
      </c>
      <c r="G63" s="1257">
        <v>3.0</v>
      </c>
      <c r="H63" s="1258">
        <f t="shared" si="55"/>
        <v>4500000</v>
      </c>
      <c r="I63" s="1220">
        <f t="shared" si="35"/>
        <v>0.0005332925661</v>
      </c>
      <c r="J63" s="1259"/>
      <c r="K63" s="1259"/>
      <c r="L63" s="1260"/>
      <c r="M63" s="1260"/>
      <c r="N63" s="1260"/>
      <c r="O63" s="1260"/>
      <c r="P63" s="1261">
        <f>SUMIFS(AC_SOTIEN,AC_KM,$E63,AC_THANG,P$1)</f>
        <v>4500000</v>
      </c>
      <c r="Q63" s="1261">
        <f>SUMIFS(AC_SOTIEN,AC_KM,$E63,AC_THANG,Q$1)</f>
        <v>7580000</v>
      </c>
      <c r="R63" s="1261">
        <f>SUMIFS(AC_SOTIEN,AC_KM,$E63,AC_THANG,R$1)</f>
        <v>4500000</v>
      </c>
      <c r="S63" s="1261">
        <f>SUMIFS(AC_SOTIEN,AC_KM,$E63,AC_THANG,S$1)</f>
        <v>46428000</v>
      </c>
      <c r="T63" s="1261">
        <f>SUMIFS(AC_SOTIEN,AC_KM,$E63,AC_THANG,T$1)</f>
        <v>0</v>
      </c>
      <c r="U63" s="1261">
        <f>SUMIFS(AC_SOTIEN,AC_KM,$E63,AC_THANG,U$1)</f>
        <v>0</v>
      </c>
      <c r="V63" s="1261">
        <f>SUMIFS(AC_SOTIEN,AC_KM,$E63,AC_THANG,V$1)</f>
        <v>0</v>
      </c>
      <c r="W63" s="1261">
        <f>SUMIFS(AC_SOTIEN,AC_KM,$E63,AC_THANG,W$1)</f>
        <v>0</v>
      </c>
      <c r="X63" s="1261">
        <f>SUMIFS(AC_SOTIEN,AC_KM,$E63,AC_THANG,X$1)</f>
        <v>0</v>
      </c>
      <c r="Y63" s="1261">
        <f>SUMIFS(AC_SOTIEN,AC_KM,$E63,AC_THANG,Y$1)</f>
        <v>0</v>
      </c>
      <c r="Z63" s="1261">
        <f>SUMIFS(AC_SOTIEN,AC_KM,$E63,AC_THANG,Z$1)</f>
        <v>0</v>
      </c>
      <c r="AA63" s="1261">
        <f>SUMIFS(AC_SOTIEN,AC_KM,$E63,AC_THANG,AA$1)</f>
        <v>0</v>
      </c>
    </row>
    <row r="64">
      <c r="A64" s="1254"/>
      <c r="B64" s="1254"/>
      <c r="C64" s="1254"/>
      <c r="D64" s="1254" t="s">
        <v>2832</v>
      </c>
      <c r="E64" s="1256" t="s">
        <v>374</v>
      </c>
      <c r="F64" s="1257">
        <v>641.0</v>
      </c>
      <c r="G64" s="1257">
        <v>3.0</v>
      </c>
      <c r="H64" s="1258">
        <f t="shared" si="55"/>
        <v>0</v>
      </c>
      <c r="I64" s="1220">
        <f t="shared" si="35"/>
        <v>0</v>
      </c>
      <c r="J64" s="1259"/>
      <c r="K64" s="1259"/>
      <c r="L64" s="1260"/>
      <c r="M64" s="1260"/>
      <c r="N64" s="1260"/>
      <c r="O64" s="1260"/>
      <c r="P64" s="1261">
        <f>SUMIFS(AC_SOTIEN,AC_KM,$E64,AC_THANG,P$1)</f>
        <v>0</v>
      </c>
      <c r="Q64" s="1261">
        <f>SUMIFS(AC_SOTIEN,AC_KM,$E64,AC_THANG,Q$1)</f>
        <v>5380000</v>
      </c>
      <c r="R64" s="1261">
        <f>SUMIFS(AC_SOTIEN,AC_KM,$E64,AC_THANG,R$1)</f>
        <v>6700000</v>
      </c>
      <c r="S64" s="1261">
        <f>SUMIFS(AC_SOTIEN,AC_KM,$E64,AC_THANG,S$1)</f>
        <v>0</v>
      </c>
      <c r="T64" s="1261">
        <f>SUMIFS(AC_SOTIEN,AC_KM,$E64,AC_THANG,T$1)</f>
        <v>13572000</v>
      </c>
      <c r="U64" s="1261">
        <f>SUMIFS(AC_SOTIEN,AC_KM,$E64,AC_THANG,U$1)</f>
        <v>0</v>
      </c>
      <c r="V64" s="1261">
        <f>SUMIFS(AC_SOTIEN,AC_KM,$E64,AC_THANG,V$1)</f>
        <v>0</v>
      </c>
      <c r="W64" s="1261">
        <f>SUMIFS(AC_SOTIEN,AC_KM,$E64,AC_THANG,W$1)</f>
        <v>0</v>
      </c>
      <c r="X64" s="1261">
        <f>SUMIFS(AC_SOTIEN,AC_KM,$E64,AC_THANG,X$1)</f>
        <v>0</v>
      </c>
      <c r="Y64" s="1261">
        <f>SUMIFS(AC_SOTIEN,AC_KM,$E64,AC_THANG,Y$1)</f>
        <v>0</v>
      </c>
      <c r="Z64" s="1261">
        <f>SUMIFS(AC_SOTIEN,AC_KM,$E64,AC_THANG,Z$1)</f>
        <v>0</v>
      </c>
      <c r="AA64" s="1261">
        <f>SUMIFS(AC_SOTIEN,AC_KM,$E64,AC_THANG,AA$1)</f>
        <v>0</v>
      </c>
    </row>
    <row r="65">
      <c r="A65" s="1254"/>
      <c r="B65" s="1254"/>
      <c r="C65" s="1254"/>
      <c r="D65" s="1216" t="s">
        <v>2833</v>
      </c>
      <c r="E65" s="1217" t="s">
        <v>169</v>
      </c>
      <c r="F65" s="1216"/>
      <c r="G65" s="1218">
        <v>2.0</v>
      </c>
      <c r="H65" s="1219">
        <f t="shared" si="55"/>
        <v>508000000</v>
      </c>
      <c r="I65" s="1220">
        <f t="shared" si="35"/>
        <v>0.06020280524</v>
      </c>
      <c r="J65" s="1221"/>
      <c r="K65" s="1221"/>
      <c r="L65" s="1222"/>
      <c r="M65" s="1222"/>
      <c r="N65" s="1222"/>
      <c r="O65" s="1222"/>
      <c r="P65" s="1223">
        <f>SUMIFS(AC_SOTIEN,AC_KM,$E65,AC_THANG,P$1)</f>
        <v>508000000</v>
      </c>
      <c r="Q65" s="1223">
        <f>SUMIFS(AC_SOTIEN,AC_KM,$E65,AC_THANG,Q$1)</f>
        <v>20000000</v>
      </c>
      <c r="R65" s="1223">
        <f>SUMIFS(AC_SOTIEN,AC_KM,$E65,AC_THANG,R$1)</f>
        <v>37736000</v>
      </c>
      <c r="S65" s="1223">
        <f>SUMIFS(AC_SOTIEN,AC_KM,$E65,AC_THANG,S$1)</f>
        <v>63737000</v>
      </c>
      <c r="T65" s="1223">
        <f>SUMIFS(AC_SOTIEN,AC_KM,$E65,AC_THANG,T$1)</f>
        <v>80133999</v>
      </c>
      <c r="U65" s="1223">
        <f>SUMIFS(AC_SOTIEN,AC_KM,$E65,AC_THANG,U$1)</f>
        <v>0</v>
      </c>
      <c r="V65" s="1223">
        <f>SUMIFS(AC_SOTIEN,AC_KM,$E65,AC_THANG,V$1)</f>
        <v>0</v>
      </c>
      <c r="W65" s="1223">
        <f>SUMIFS(AC_SOTIEN,AC_KM,$E65,AC_THANG,W$1)</f>
        <v>0</v>
      </c>
      <c r="X65" s="1223">
        <f>SUMIFS(AC_SOTIEN,AC_KM,$E65,AC_THANG,X$1)</f>
        <v>0</v>
      </c>
      <c r="Y65" s="1223">
        <f>SUMIFS(AC_SOTIEN,AC_KM,$E65,AC_THANG,Y$1)</f>
        <v>0</v>
      </c>
      <c r="Z65" s="1223">
        <f>SUMIFS(AC_SOTIEN,AC_KM,$E65,AC_THANG,Z$1)</f>
        <v>0</v>
      </c>
      <c r="AA65" s="1223">
        <f>SUMIFS(AC_SOTIEN,AC_KM,$E65,AC_THANG,AA$1)</f>
        <v>0</v>
      </c>
    </row>
    <row r="66">
      <c r="A66" s="1254"/>
      <c r="B66" s="1254"/>
      <c r="C66" s="1254"/>
      <c r="D66" s="1216" t="s">
        <v>2834</v>
      </c>
      <c r="E66" s="1217" t="s">
        <v>174</v>
      </c>
      <c r="F66" s="1218">
        <v>641.0</v>
      </c>
      <c r="G66" s="1218">
        <v>2.0</v>
      </c>
      <c r="H66" s="1219">
        <f t="shared" si="55"/>
        <v>19496223</v>
      </c>
      <c r="I66" s="1220">
        <f t="shared" si="35"/>
        <v>0.002310486843</v>
      </c>
      <c r="J66" s="1221"/>
      <c r="K66" s="1221"/>
      <c r="L66" s="1222"/>
      <c r="M66" s="1222"/>
      <c r="N66" s="1222"/>
      <c r="O66" s="1222"/>
      <c r="P66" s="1223">
        <f>SUMIFS(AC_SOTIEN,AC_KM,$E66,AC_THANG,P$1)</f>
        <v>19496223</v>
      </c>
      <c r="Q66" s="1223">
        <f>SUMIFS(AC_SOTIEN,AC_KM,$E66,AC_THANG,Q$1)</f>
        <v>11107900</v>
      </c>
      <c r="R66" s="1223">
        <f>SUMIFS(AC_SOTIEN,AC_KM,$E66,AC_THANG,R$1)</f>
        <v>64387250</v>
      </c>
      <c r="S66" s="1223">
        <f>SUMIFS(AC_SOTIEN,AC_KM,$E66,AC_THANG,S$1)</f>
        <v>120703998</v>
      </c>
      <c r="T66" s="1223">
        <f>SUMIFS(AC_SOTIEN,AC_KM,$E66,AC_THANG,T$1)</f>
        <v>29452001</v>
      </c>
      <c r="U66" s="1223">
        <f>SUMIFS(AC_SOTIEN,AC_KM,$E66,AC_THANG,U$1)</f>
        <v>0</v>
      </c>
      <c r="V66" s="1223">
        <f>SUMIFS(AC_SOTIEN,AC_KM,$E66,AC_THANG,V$1)</f>
        <v>0</v>
      </c>
      <c r="W66" s="1223">
        <f>SUMIFS(AC_SOTIEN,AC_KM,$E66,AC_THANG,W$1)</f>
        <v>0</v>
      </c>
      <c r="X66" s="1223">
        <f>SUMIFS(AC_SOTIEN,AC_KM,$E66,AC_THANG,X$1)</f>
        <v>0</v>
      </c>
      <c r="Y66" s="1223">
        <f>SUMIFS(AC_SOTIEN,AC_KM,$E66,AC_THANG,Y$1)</f>
        <v>0</v>
      </c>
      <c r="Z66" s="1223">
        <f>SUMIFS(AC_SOTIEN,AC_KM,$E66,AC_THANG,Z$1)</f>
        <v>0</v>
      </c>
      <c r="AA66" s="1223">
        <f>SUMIFS(AC_SOTIEN,AC_KM,$E66,AC_THANG,AA$1)</f>
        <v>0</v>
      </c>
    </row>
    <row r="67">
      <c r="A67" s="1254"/>
      <c r="B67" s="1254"/>
      <c r="C67" s="1254"/>
      <c r="D67" s="1216" t="s">
        <v>2835</v>
      </c>
      <c r="E67" s="1217" t="s">
        <v>2836</v>
      </c>
      <c r="F67" s="1216"/>
      <c r="G67" s="1218">
        <v>2.0</v>
      </c>
      <c r="H67" s="1219">
        <f t="shared" si="55"/>
        <v>0</v>
      </c>
      <c r="I67" s="1220">
        <f t="shared" si="35"/>
        <v>0</v>
      </c>
      <c r="J67" s="1221"/>
      <c r="K67" s="1221"/>
      <c r="L67" s="1222"/>
      <c r="M67" s="1222"/>
      <c r="N67" s="1222"/>
      <c r="O67" s="1222"/>
      <c r="P67" s="1223">
        <f>SUMIFS(AC_SOTIEN,AC_KM,$E67,AC_THANG,P$1)</f>
        <v>0</v>
      </c>
      <c r="Q67" s="1223">
        <f>SUMIFS(AC_SOTIEN,AC_KM,$E67,AC_THANG,Q$1)</f>
        <v>0</v>
      </c>
      <c r="R67" s="1223">
        <f>SUMIFS(AC_SOTIEN,AC_KM,$E67,AC_THANG,R$1)</f>
        <v>0</v>
      </c>
      <c r="S67" s="1223">
        <f>SUMIFS(AC_SOTIEN,AC_KM,$E67,AC_THANG,S$1)</f>
        <v>0</v>
      </c>
      <c r="T67" s="1223">
        <f>SUMIFS(AC_SOTIEN,AC_KM,$E67,AC_THANG,T$1)</f>
        <v>0</v>
      </c>
      <c r="U67" s="1223">
        <f>SUMIFS(AC_SOTIEN,AC_KM,$E67,AC_THANG,U$1)</f>
        <v>0</v>
      </c>
      <c r="V67" s="1223">
        <f>SUMIFS(AC_SOTIEN,AC_KM,$E67,AC_THANG,V$1)</f>
        <v>0</v>
      </c>
      <c r="W67" s="1223">
        <f>SUMIFS(AC_SOTIEN,AC_KM,$E67,AC_THANG,W$1)</f>
        <v>0</v>
      </c>
      <c r="X67" s="1223">
        <f>SUMIFS(AC_SOTIEN,AC_KM,$E67,AC_THANG,X$1)</f>
        <v>0</v>
      </c>
      <c r="Y67" s="1223">
        <f>SUMIFS(AC_SOTIEN,AC_KM,$E67,AC_THANG,Y$1)</f>
        <v>0</v>
      </c>
      <c r="Z67" s="1223">
        <f>SUMIFS(AC_SOTIEN,AC_KM,$E67,AC_THANG,Z$1)</f>
        <v>0</v>
      </c>
      <c r="AA67" s="1223">
        <f>SUMIFS(AC_SOTIEN,AC_KM,$E67,AC_THANG,AA$1)</f>
        <v>0</v>
      </c>
    </row>
    <row r="68">
      <c r="A68" s="1254"/>
      <c r="B68" s="1254"/>
      <c r="C68" s="1254"/>
      <c r="D68" s="1216" t="s">
        <v>2091</v>
      </c>
      <c r="E68" s="1217" t="s">
        <v>203</v>
      </c>
      <c r="F68" s="1254"/>
      <c r="G68" s="1218">
        <v>2.0</v>
      </c>
      <c r="H68" s="1219">
        <f t="shared" si="55"/>
        <v>24000000</v>
      </c>
      <c r="I68" s="1220">
        <f t="shared" si="35"/>
        <v>0.002844227019</v>
      </c>
      <c r="J68" s="1221"/>
      <c r="K68" s="1221"/>
      <c r="L68" s="1222"/>
      <c r="M68" s="1222"/>
      <c r="N68" s="1222"/>
      <c r="O68" s="1222"/>
      <c r="P68" s="1223">
        <f>SUMIFS(AC_SOTIEN,AC_KM,$E68,AC_THANG,P$1)</f>
        <v>24000000</v>
      </c>
      <c r="Q68" s="1223">
        <f>SUMIFS(AC_SOTIEN,AC_KM,$E68,AC_THANG,Q$1)</f>
        <v>12110000</v>
      </c>
      <c r="R68" s="1223">
        <f>SUMIFS(AC_SOTIEN,AC_KM,$E68,AC_THANG,R$1)</f>
        <v>42400000</v>
      </c>
      <c r="S68" s="1223">
        <f>SUMIFS(AC_SOTIEN,AC_KM,$E68,AC_THANG,S$1)</f>
        <v>202643200</v>
      </c>
      <c r="T68" s="1223">
        <f>SUMIFS(AC_SOTIEN,AC_KM,$E68,AC_THANG,T$1)</f>
        <v>42028160</v>
      </c>
      <c r="U68" s="1223">
        <f>SUMIFS(AC_SOTIEN,AC_KM,$E68,AC_THANG,U$1)</f>
        <v>0</v>
      </c>
      <c r="V68" s="1223">
        <f>SUMIFS(AC_SOTIEN,AC_KM,$E68,AC_THANG,V$1)</f>
        <v>0</v>
      </c>
      <c r="W68" s="1223">
        <f>SUMIFS(AC_SOTIEN,AC_KM,$E68,AC_THANG,W$1)</f>
        <v>0</v>
      </c>
      <c r="X68" s="1223">
        <f>SUMIFS(AC_SOTIEN,AC_KM,$E68,AC_THANG,X$1)</f>
        <v>0</v>
      </c>
      <c r="Y68" s="1223">
        <f>SUMIFS(AC_SOTIEN,AC_KM,$E68,AC_THANG,Y$1)</f>
        <v>0</v>
      </c>
      <c r="Z68" s="1223">
        <f>SUMIFS(AC_SOTIEN,AC_KM,$E68,AC_THANG,Z$1)</f>
        <v>0</v>
      </c>
      <c r="AA68" s="1223">
        <f>SUMIFS(AC_SOTIEN,AC_KM,$E68,AC_THANG,AA$1)</f>
        <v>0</v>
      </c>
    </row>
    <row r="69">
      <c r="A69" s="1254"/>
      <c r="B69" s="1254"/>
      <c r="C69" s="1254"/>
      <c r="D69" s="1254" t="s">
        <v>2245</v>
      </c>
      <c r="E69" s="1217" t="s">
        <v>181</v>
      </c>
      <c r="F69" s="1254"/>
      <c r="G69" s="1218">
        <v>2.0</v>
      </c>
      <c r="H69" s="1219">
        <f t="shared" si="55"/>
        <v>26880000</v>
      </c>
      <c r="I69" s="1220">
        <f t="shared" si="35"/>
        <v>0.003185534261</v>
      </c>
      <c r="J69" s="1221"/>
      <c r="K69" s="1221"/>
      <c r="L69" s="1222"/>
      <c r="M69" s="1222"/>
      <c r="N69" s="1222"/>
      <c r="O69" s="1222"/>
      <c r="P69" s="1223">
        <f>SUMIFS(AC_SOTIEN,AC_KM,$E69,AC_THANG,P$1)</f>
        <v>26880000</v>
      </c>
      <c r="Q69" s="1223">
        <f>SUMIFS(AC_SOTIEN,AC_KM,$E69,AC_THANG,Q$1)</f>
        <v>0</v>
      </c>
      <c r="R69" s="1223">
        <f>SUMIFS(AC_SOTIEN,AC_KM,$E69,AC_THANG,R$1)</f>
        <v>161815000</v>
      </c>
      <c r="S69" s="1223">
        <f>SUMIFS(AC_SOTIEN,AC_KM,$E69,AC_THANG,S$1)</f>
        <v>92400000</v>
      </c>
      <c r="T69" s="1223">
        <f>SUMIFS(AC_SOTIEN,AC_KM,$E69,AC_THANG,T$1)</f>
        <v>9900000</v>
      </c>
      <c r="U69" s="1223">
        <f>SUMIFS(AC_SOTIEN,AC_KM,$E69,AC_THANG,U$1)</f>
        <v>0</v>
      </c>
      <c r="V69" s="1223">
        <f>SUMIFS(AC_SOTIEN,AC_KM,$E69,AC_THANG,V$1)</f>
        <v>0</v>
      </c>
      <c r="W69" s="1223">
        <f>SUMIFS(AC_SOTIEN,AC_KM,$E69,AC_THANG,W$1)</f>
        <v>0</v>
      </c>
      <c r="X69" s="1223">
        <f>SUMIFS(AC_SOTIEN,AC_KM,$E69,AC_THANG,X$1)</f>
        <v>0</v>
      </c>
      <c r="Y69" s="1223">
        <f>SUMIFS(AC_SOTIEN,AC_KM,$E69,AC_THANG,Y$1)</f>
        <v>0</v>
      </c>
      <c r="Z69" s="1223">
        <f>SUMIFS(AC_SOTIEN,AC_KM,$E69,AC_THANG,Z$1)</f>
        <v>0</v>
      </c>
      <c r="AA69" s="1223">
        <f>SUMIFS(AC_SOTIEN,AC_KM,$E69,AC_THANG,AA$1)</f>
        <v>0</v>
      </c>
    </row>
    <row r="70">
      <c r="A70" s="1254"/>
      <c r="B70" s="1254"/>
      <c r="C70" s="1254"/>
      <c r="D70" s="1254" t="s">
        <v>2842</v>
      </c>
      <c r="E70" s="1217" t="s">
        <v>734</v>
      </c>
      <c r="F70" s="1254"/>
      <c r="G70" s="1218">
        <v>2.0</v>
      </c>
      <c r="H70" s="1219">
        <f t="shared" si="55"/>
        <v>0</v>
      </c>
      <c r="I70" s="1220">
        <f t="shared" si="35"/>
        <v>0</v>
      </c>
      <c r="J70" s="1221"/>
      <c r="K70" s="1221"/>
      <c r="L70" s="1222"/>
      <c r="M70" s="1222"/>
      <c r="N70" s="1222"/>
      <c r="O70" s="1222"/>
      <c r="P70" s="1223">
        <f>SUMIFS(AC_SOTIEN,AC_KM,$E70,AC_THANG,P$1)</f>
        <v>0</v>
      </c>
      <c r="Q70" s="1223">
        <f>SUMIFS(AC_SOTIEN,AC_KM,$E70,AC_THANG,Q$1)</f>
        <v>0</v>
      </c>
      <c r="R70" s="1223">
        <f>SUMIFS(AC_SOTIEN,AC_KM,$E70,AC_THANG,R$1)</f>
        <v>0</v>
      </c>
      <c r="S70" s="1223">
        <f>SUMIFS(AC_SOTIEN,AC_KM,$E70,AC_THANG,S$1)</f>
        <v>13320000</v>
      </c>
      <c r="T70" s="1223">
        <f>SUMIFS(AC_SOTIEN,AC_KM,$E70,AC_THANG,T$1)</f>
        <v>0</v>
      </c>
      <c r="U70" s="1223">
        <f>SUMIFS(AC_SOTIEN,AC_KM,$E70,AC_THANG,U$1)</f>
        <v>0</v>
      </c>
      <c r="V70" s="1223">
        <f>SUMIFS(AC_SOTIEN,AC_KM,$E70,AC_THANG,V$1)</f>
        <v>0</v>
      </c>
      <c r="W70" s="1223">
        <f>SUMIFS(AC_SOTIEN,AC_KM,$E70,AC_THANG,W$1)</f>
        <v>0</v>
      </c>
      <c r="X70" s="1223">
        <f>SUMIFS(AC_SOTIEN,AC_KM,$E70,AC_THANG,X$1)</f>
        <v>0</v>
      </c>
      <c r="Y70" s="1223">
        <f>SUMIFS(AC_SOTIEN,AC_KM,$E70,AC_THANG,Y$1)</f>
        <v>0</v>
      </c>
      <c r="Z70" s="1223">
        <f>SUMIFS(AC_SOTIEN,AC_KM,$E70,AC_THANG,Z$1)</f>
        <v>0</v>
      </c>
      <c r="AA70" s="1223">
        <f>SUMIFS(AC_SOTIEN,AC_KM,$E70,AC_THANG,AA$1)</f>
        <v>0</v>
      </c>
    </row>
    <row r="71">
      <c r="A71" s="1267" t="s">
        <v>2844</v>
      </c>
      <c r="B71" s="1268"/>
      <c r="C71" s="1268"/>
      <c r="D71" s="1269"/>
      <c r="E71" s="1270"/>
      <c r="F71" s="1269"/>
      <c r="G71" s="1271">
        <v>1.0</v>
      </c>
      <c r="H71" s="1272">
        <f>SUMIF($G$72:$G$97,2,H72:H97)</f>
        <v>112758462</v>
      </c>
      <c r="I71" s="1273">
        <f t="shared" si="35"/>
        <v>0.01336294434</v>
      </c>
      <c r="J71" s="1272"/>
      <c r="K71" s="1272"/>
      <c r="L71" s="1272"/>
      <c r="M71" s="1272"/>
      <c r="N71" s="1272"/>
      <c r="O71" s="1272"/>
      <c r="P71" s="1272">
        <f t="shared" ref="P71:AA71" si="56">SUMIF($G$72:$G$97,2,P72:P97)</f>
        <v>112758462</v>
      </c>
      <c r="Q71" s="1272">
        <f t="shared" si="56"/>
        <v>144093824</v>
      </c>
      <c r="R71" s="1272">
        <f t="shared" si="56"/>
        <v>206209732</v>
      </c>
      <c r="S71" s="1272">
        <f t="shared" si="56"/>
        <v>211988008</v>
      </c>
      <c r="T71" s="1272">
        <f t="shared" si="56"/>
        <v>250684393</v>
      </c>
      <c r="U71" s="1272">
        <f t="shared" si="56"/>
        <v>0</v>
      </c>
      <c r="V71" s="1272">
        <f t="shared" si="56"/>
        <v>0</v>
      </c>
      <c r="W71" s="1272">
        <f t="shared" si="56"/>
        <v>0</v>
      </c>
      <c r="X71" s="1272">
        <f t="shared" si="56"/>
        <v>0</v>
      </c>
      <c r="Y71" s="1272">
        <f t="shared" si="56"/>
        <v>0</v>
      </c>
      <c r="Z71" s="1272">
        <f t="shared" si="56"/>
        <v>0</v>
      </c>
      <c r="AA71" s="1272">
        <f t="shared" si="56"/>
        <v>0</v>
      </c>
    </row>
    <row r="72">
      <c r="A72" s="1254"/>
      <c r="B72" s="1254"/>
      <c r="C72" s="1254"/>
      <c r="D72" s="1216" t="s">
        <v>2845</v>
      </c>
      <c r="E72" s="1217"/>
      <c r="F72" s="1218">
        <v>642.0</v>
      </c>
      <c r="G72" s="1218">
        <v>2.0</v>
      </c>
      <c r="H72" s="1219">
        <f>SUM(H73:H78)</f>
        <v>53253671</v>
      </c>
      <c r="I72" s="1220">
        <f t="shared" si="35"/>
        <v>0.006311063747</v>
      </c>
      <c r="J72" s="1221"/>
      <c r="K72" s="1221"/>
      <c r="L72" s="1222"/>
      <c r="M72" s="1222"/>
      <c r="N72" s="1222"/>
      <c r="O72" s="1222"/>
      <c r="P72" s="1223">
        <f t="shared" ref="P72:AA72" si="57">SUM(P73:P78)</f>
        <v>53253671</v>
      </c>
      <c r="Q72" s="1223">
        <f t="shared" si="57"/>
        <v>84096143</v>
      </c>
      <c r="R72" s="1223">
        <f t="shared" si="57"/>
        <v>134528996</v>
      </c>
      <c r="S72" s="1223">
        <f t="shared" si="57"/>
        <v>145778846</v>
      </c>
      <c r="T72" s="1223">
        <f t="shared" si="57"/>
        <v>178717768</v>
      </c>
      <c r="U72" s="1223">
        <f t="shared" si="57"/>
        <v>0</v>
      </c>
      <c r="V72" s="1223">
        <f t="shared" si="57"/>
        <v>0</v>
      </c>
      <c r="W72" s="1223">
        <f t="shared" si="57"/>
        <v>0</v>
      </c>
      <c r="X72" s="1223">
        <f t="shared" si="57"/>
        <v>0</v>
      </c>
      <c r="Y72" s="1223">
        <f t="shared" si="57"/>
        <v>0</v>
      </c>
      <c r="Z72" s="1223">
        <f t="shared" si="57"/>
        <v>0</v>
      </c>
      <c r="AA72" s="1223">
        <f t="shared" si="57"/>
        <v>0</v>
      </c>
    </row>
    <row r="73">
      <c r="A73" s="1254"/>
      <c r="B73" s="1254"/>
      <c r="C73" s="1254"/>
      <c r="D73" s="1254" t="s">
        <v>2846</v>
      </c>
      <c r="E73" s="1256" t="s">
        <v>293</v>
      </c>
      <c r="F73" s="1254"/>
      <c r="G73" s="1257">
        <v>3.0</v>
      </c>
      <c r="H73" s="1258">
        <f t="shared" ref="H73:H97" si="58">SUMIF(#REF!,#REF!,$P73:$AA73)</f>
        <v>21000000</v>
      </c>
      <c r="I73" s="1220">
        <f t="shared" si="35"/>
        <v>0.002488698642</v>
      </c>
      <c r="J73" s="1259"/>
      <c r="K73" s="1259"/>
      <c r="L73" s="1260"/>
      <c r="M73" s="1260"/>
      <c r="N73" s="1260"/>
      <c r="O73" s="1260"/>
      <c r="P73" s="1261">
        <f>SUMIFS(AC_SOTIEN,AC_KM,$E73,AC_THANG,P$1)</f>
        <v>21000000</v>
      </c>
      <c r="Q73" s="1261">
        <f>SUMIFS(AC_SOTIEN,AC_KM,$E73,AC_THANG,Q$1)</f>
        <v>21041666</v>
      </c>
      <c r="R73" s="1261">
        <f>SUMIFS(AC_SOTIEN,AC_KM,$E73,AC_THANG,R$1)</f>
        <v>42000000</v>
      </c>
      <c r="S73" s="1261">
        <f>SUMIFS(AC_SOTIEN,AC_KM,$E73,AC_THANG,S$1)</f>
        <v>84000000</v>
      </c>
      <c r="T73" s="1261">
        <f>SUMIFS(AC_SOTIEN,AC_KM,$E73,AC_THANG,T$1)</f>
        <v>42000000</v>
      </c>
      <c r="U73" s="1261">
        <f>SUMIFS(AC_SOTIEN,AC_KM,$E73,AC_THANG,U$1)</f>
        <v>0</v>
      </c>
      <c r="V73" s="1261">
        <f>SUMIFS(AC_SOTIEN,AC_KM,$E73,AC_THANG,V$1)</f>
        <v>0</v>
      </c>
      <c r="W73" s="1261">
        <f>SUMIFS(AC_SOTIEN,AC_KM,$E73,AC_THANG,W$1)</f>
        <v>0</v>
      </c>
      <c r="X73" s="1261">
        <f>SUMIFS(AC_SOTIEN,AC_KM,$E73,AC_THANG,X$1)</f>
        <v>0</v>
      </c>
      <c r="Y73" s="1261">
        <f>SUMIFS(AC_SOTIEN,AC_KM,$E73,AC_THANG,Y$1)</f>
        <v>0</v>
      </c>
      <c r="Z73" s="1261">
        <f>SUMIFS(AC_SOTIEN,AC_KM,$E73,AC_THANG,Z$1)</f>
        <v>0</v>
      </c>
      <c r="AA73" s="1261">
        <f>SUMIFS(AC_SOTIEN,AC_KM,$E73,AC_THANG,AA$1)</f>
        <v>0</v>
      </c>
    </row>
    <row r="74">
      <c r="A74" s="1254"/>
      <c r="B74" s="1254"/>
      <c r="C74" s="1254"/>
      <c r="D74" s="1254" t="s">
        <v>2847</v>
      </c>
      <c r="E74" s="1256" t="s">
        <v>267</v>
      </c>
      <c r="F74" s="1254"/>
      <c r="G74" s="1257">
        <v>3.0</v>
      </c>
      <c r="H74" s="1258">
        <f t="shared" si="58"/>
        <v>32253671</v>
      </c>
      <c r="I74" s="1220">
        <f t="shared" si="35"/>
        <v>0.003822365105</v>
      </c>
      <c r="J74" s="1259"/>
      <c r="K74" s="1259"/>
      <c r="L74" s="1260"/>
      <c r="M74" s="1260"/>
      <c r="N74" s="1260"/>
      <c r="O74" s="1260"/>
      <c r="P74" s="1261">
        <f>SUMIFS(AC_SOTIEN,AC_KM,$E74,AC_THANG,P$1)</f>
        <v>32253671</v>
      </c>
      <c r="Q74" s="1261">
        <f>SUMIFS(AC_SOTIEN,AC_KM,$E74,AC_THANG,Q$1)</f>
        <v>63054477</v>
      </c>
      <c r="R74" s="1261">
        <f>SUMIFS(AC_SOTIEN,AC_KM,$E74,AC_THANG,R$1)</f>
        <v>92528996</v>
      </c>
      <c r="S74" s="1261">
        <f>SUMIFS(AC_SOTIEN,AC_KM,$E74,AC_THANG,S$1)</f>
        <v>61778846</v>
      </c>
      <c r="T74" s="1261">
        <f>SUMIFS(AC_SOTIEN,AC_KM,$E74,AC_THANG,T$1)</f>
        <v>110960768</v>
      </c>
      <c r="U74" s="1261">
        <f>SUMIFS(AC_SOTIEN,AC_KM,$E74,AC_THANG,U$1)</f>
        <v>0</v>
      </c>
      <c r="V74" s="1261">
        <f>SUMIFS(AC_SOTIEN,AC_KM,$E74,AC_THANG,V$1)</f>
        <v>0</v>
      </c>
      <c r="W74" s="1261">
        <f>SUMIFS(AC_SOTIEN,AC_KM,$E74,AC_THANG,W$1)</f>
        <v>0</v>
      </c>
      <c r="X74" s="1261">
        <f>SUMIFS(AC_SOTIEN,AC_KM,$E74,AC_THANG,X$1)</f>
        <v>0</v>
      </c>
      <c r="Y74" s="1261">
        <f>SUMIFS(AC_SOTIEN,AC_KM,$E74,AC_THANG,Y$1)</f>
        <v>0</v>
      </c>
      <c r="Z74" s="1261">
        <f>SUMIFS(AC_SOTIEN,AC_KM,$E74,AC_THANG,Z$1)</f>
        <v>0</v>
      </c>
      <c r="AA74" s="1261">
        <f>SUMIFS(AC_SOTIEN,AC_KM,$E74,AC_THANG,AA$1)</f>
        <v>0</v>
      </c>
    </row>
    <row r="75">
      <c r="A75" s="1254"/>
      <c r="B75" s="1254"/>
      <c r="C75" s="1254"/>
      <c r="D75" s="1254" t="s">
        <v>2848</v>
      </c>
      <c r="E75" s="1256" t="s">
        <v>1211</v>
      </c>
      <c r="F75" s="1254"/>
      <c r="G75" s="1257">
        <v>3.0</v>
      </c>
      <c r="H75" s="1258">
        <f t="shared" si="58"/>
        <v>0</v>
      </c>
      <c r="I75" s="1220">
        <f t="shared" si="35"/>
        <v>0</v>
      </c>
      <c r="J75" s="1259"/>
      <c r="K75" s="1259"/>
      <c r="L75" s="1260"/>
      <c r="M75" s="1260"/>
      <c r="N75" s="1260"/>
      <c r="O75" s="1260"/>
      <c r="P75" s="1261">
        <f>SUMIFS(AC_SOTIEN,AC_KM,$E75,AC_THANG,P$1)</f>
        <v>0</v>
      </c>
      <c r="Q75" s="1261">
        <f>SUMIFS(AC_SOTIEN,AC_KM,$E75,AC_THANG,Q$1)</f>
        <v>0</v>
      </c>
      <c r="R75" s="1261">
        <f>SUMIFS(AC_SOTIEN,AC_KM,$E75,AC_THANG,R$1)</f>
        <v>0</v>
      </c>
      <c r="S75" s="1261">
        <f>SUMIFS(AC_SOTIEN,AC_KM,$E75,AC_THANG,S$1)</f>
        <v>0</v>
      </c>
      <c r="T75" s="1261">
        <f>SUMIFS(AC_SOTIEN,AC_KM,$E75,AC_THANG,T$1)</f>
        <v>18000000</v>
      </c>
      <c r="U75" s="1261">
        <f>SUMIFS(AC_SOTIEN,AC_KM,$E75,AC_THANG,U$1)</f>
        <v>0</v>
      </c>
      <c r="V75" s="1261">
        <f>SUMIFS(AC_SOTIEN,AC_KM,$E75,AC_THANG,V$1)</f>
        <v>0</v>
      </c>
      <c r="W75" s="1261">
        <f>SUMIFS(AC_SOTIEN,AC_KM,$E75,AC_THANG,W$1)</f>
        <v>0</v>
      </c>
      <c r="X75" s="1261">
        <f>SUMIFS(AC_SOTIEN,AC_KM,$E75,AC_THANG,X$1)</f>
        <v>0</v>
      </c>
      <c r="Y75" s="1261">
        <f>SUMIFS(AC_SOTIEN,AC_KM,$E75,AC_THANG,Y$1)</f>
        <v>0</v>
      </c>
      <c r="Z75" s="1261">
        <f>SUMIFS(AC_SOTIEN,AC_KM,$E75,AC_THANG,Z$1)</f>
        <v>0</v>
      </c>
      <c r="AA75" s="1261">
        <f>SUMIFS(AC_SOTIEN,AC_KM,$E75,AC_THANG,AA$1)</f>
        <v>0</v>
      </c>
    </row>
    <row r="76">
      <c r="A76" s="1254"/>
      <c r="B76" s="1254"/>
      <c r="C76" s="1254"/>
      <c r="D76" s="1254" t="s">
        <v>2849</v>
      </c>
      <c r="E76" s="1256" t="s">
        <v>2850</v>
      </c>
      <c r="F76" s="1254"/>
      <c r="G76" s="1257">
        <v>3.0</v>
      </c>
      <c r="H76" s="1258">
        <f t="shared" si="58"/>
        <v>0</v>
      </c>
      <c r="I76" s="1220">
        <f t="shared" si="35"/>
        <v>0</v>
      </c>
      <c r="J76" s="1259"/>
      <c r="K76" s="1259"/>
      <c r="L76" s="1260"/>
      <c r="M76" s="1260"/>
      <c r="N76" s="1260"/>
      <c r="O76" s="1260"/>
      <c r="P76" s="1261">
        <f>SUMIFS(AC_SOTIEN,AC_KM,$E76,AC_THANG,P$1)</f>
        <v>0</v>
      </c>
      <c r="Q76" s="1261">
        <f>SUMIFS(AC_SOTIEN,AC_KM,$E76,AC_THANG,Q$1)</f>
        <v>0</v>
      </c>
      <c r="R76" s="1261">
        <f>SUMIFS(AC_SOTIEN,AC_KM,$E76,AC_THANG,R$1)</f>
        <v>0</v>
      </c>
      <c r="S76" s="1261">
        <f>SUMIFS(AC_SOTIEN,AC_KM,$E76,AC_THANG,S$1)</f>
        <v>0</v>
      </c>
      <c r="T76" s="1261">
        <f>SUMIFS(AC_SOTIEN,AC_KM,$E76,AC_THANG,T$1)</f>
        <v>0</v>
      </c>
      <c r="U76" s="1261">
        <f>SUMIFS(AC_SOTIEN,AC_KM,$E76,AC_THANG,U$1)</f>
        <v>0</v>
      </c>
      <c r="V76" s="1261">
        <f>SUMIFS(AC_SOTIEN,AC_KM,$E76,AC_THANG,V$1)</f>
        <v>0</v>
      </c>
      <c r="W76" s="1261">
        <f>SUMIFS(AC_SOTIEN,AC_KM,$E76,AC_THANG,W$1)</f>
        <v>0</v>
      </c>
      <c r="X76" s="1261">
        <f>SUMIFS(AC_SOTIEN,AC_KM,$E76,AC_THANG,X$1)</f>
        <v>0</v>
      </c>
      <c r="Y76" s="1261">
        <f>SUMIFS(AC_SOTIEN,AC_KM,$E76,AC_THANG,Y$1)</f>
        <v>0</v>
      </c>
      <c r="Z76" s="1261">
        <f>SUMIFS(AC_SOTIEN,AC_KM,$E76,AC_THANG,Z$1)</f>
        <v>0</v>
      </c>
      <c r="AA76" s="1261">
        <f>SUMIFS(AC_SOTIEN,AC_KM,$E76,AC_THANG,AA$1)</f>
        <v>0</v>
      </c>
    </row>
    <row r="77">
      <c r="A77" s="1254"/>
      <c r="B77" s="1254"/>
      <c r="C77" s="1254"/>
      <c r="D77" s="1254" t="s">
        <v>2851</v>
      </c>
      <c r="E77" s="1256" t="s">
        <v>1273</v>
      </c>
      <c r="F77" s="1254"/>
      <c r="G77" s="1257">
        <v>3.0</v>
      </c>
      <c r="H77" s="1258">
        <f t="shared" si="58"/>
        <v>0</v>
      </c>
      <c r="I77" s="1220">
        <f t="shared" si="35"/>
        <v>0</v>
      </c>
      <c r="J77" s="1259"/>
      <c r="K77" s="1259"/>
      <c r="L77" s="1260"/>
      <c r="M77" s="1260"/>
      <c r="N77" s="1260"/>
      <c r="O77" s="1260"/>
      <c r="P77" s="1261">
        <f>SUMIFS(AC_SOTIEN,AC_KM,$E77,AC_THANG,P$1)</f>
        <v>0</v>
      </c>
      <c r="Q77" s="1261">
        <f>SUMIFS(AC_SOTIEN,AC_KM,$E77,AC_THANG,Q$1)</f>
        <v>0</v>
      </c>
      <c r="R77" s="1261">
        <f>SUMIFS(AC_SOTIEN,AC_KM,$E77,AC_THANG,R$1)</f>
        <v>0</v>
      </c>
      <c r="S77" s="1261">
        <f>SUMIFS(AC_SOTIEN,AC_KM,$E77,AC_THANG,S$1)</f>
        <v>0</v>
      </c>
      <c r="T77" s="1261">
        <f>SUMIFS(AC_SOTIEN,AC_KM,$E77,AC_THANG,T$1)</f>
        <v>6720000</v>
      </c>
      <c r="U77" s="1261">
        <f>SUMIFS(AC_SOTIEN,AC_KM,$E77,AC_THANG,U$1)</f>
        <v>0</v>
      </c>
      <c r="V77" s="1261">
        <f>SUMIFS(AC_SOTIEN,AC_KM,$E77,AC_THANG,V$1)</f>
        <v>0</v>
      </c>
      <c r="W77" s="1261">
        <f>SUMIFS(AC_SOTIEN,AC_KM,$E77,AC_THANG,W$1)</f>
        <v>0</v>
      </c>
      <c r="X77" s="1261">
        <f>SUMIFS(AC_SOTIEN,AC_KM,$E77,AC_THANG,X$1)</f>
        <v>0</v>
      </c>
      <c r="Y77" s="1261">
        <f>SUMIFS(AC_SOTIEN,AC_KM,$E77,AC_THANG,Y$1)</f>
        <v>0</v>
      </c>
      <c r="Z77" s="1261">
        <f>SUMIFS(AC_SOTIEN,AC_KM,$E77,AC_THANG,Z$1)</f>
        <v>0</v>
      </c>
      <c r="AA77" s="1261">
        <f>SUMIFS(AC_SOTIEN,AC_KM,$E77,AC_THANG,AA$1)</f>
        <v>0</v>
      </c>
    </row>
    <row r="78">
      <c r="A78" s="1254"/>
      <c r="B78" s="1254"/>
      <c r="C78" s="1254"/>
      <c r="D78" s="1254" t="s">
        <v>2852</v>
      </c>
      <c r="E78" s="1256" t="s">
        <v>1153</v>
      </c>
      <c r="F78" s="1254"/>
      <c r="G78" s="1257">
        <v>3.0</v>
      </c>
      <c r="H78" s="1258">
        <f t="shared" si="58"/>
        <v>0</v>
      </c>
      <c r="I78" s="1220">
        <f t="shared" si="35"/>
        <v>0</v>
      </c>
      <c r="J78" s="1259"/>
      <c r="K78" s="1259"/>
      <c r="L78" s="1260"/>
      <c r="M78" s="1260"/>
      <c r="N78" s="1260"/>
      <c r="O78" s="1260"/>
      <c r="P78" s="1261">
        <f>SUMIFS(AC_SOTIEN,AC_KM,$E78,AC_THANG,P$1)</f>
        <v>0</v>
      </c>
      <c r="Q78" s="1261">
        <f>SUMIFS(AC_SOTIEN,AC_KM,$E78,AC_THANG,Q$1)</f>
        <v>0</v>
      </c>
      <c r="R78" s="1261">
        <f>SUMIFS(AC_SOTIEN,AC_KM,$E78,AC_THANG,R$1)</f>
        <v>0</v>
      </c>
      <c r="S78" s="1261">
        <f>SUMIFS(AC_SOTIEN,AC_KM,$E78,AC_THANG,S$1)</f>
        <v>0</v>
      </c>
      <c r="T78" s="1261">
        <f>SUMIFS(AC_SOTIEN,AC_KM,$E78,AC_THANG,T$1)</f>
        <v>1037000</v>
      </c>
      <c r="U78" s="1261">
        <f>SUMIFS(AC_SOTIEN,AC_KM,$E78,AC_THANG,U$1)</f>
        <v>0</v>
      </c>
      <c r="V78" s="1261">
        <f>SUMIFS(AC_SOTIEN,AC_KM,$E78,AC_THANG,V$1)</f>
        <v>0</v>
      </c>
      <c r="W78" s="1261">
        <f>SUMIFS(AC_SOTIEN,AC_KM,$E78,AC_THANG,W$1)</f>
        <v>0</v>
      </c>
      <c r="X78" s="1261">
        <f>SUMIFS(AC_SOTIEN,AC_KM,$E78,AC_THANG,X$1)</f>
        <v>0</v>
      </c>
      <c r="Y78" s="1261">
        <f>SUMIFS(AC_SOTIEN,AC_KM,$E78,AC_THANG,Y$1)</f>
        <v>0</v>
      </c>
      <c r="Z78" s="1261">
        <f>SUMIFS(AC_SOTIEN,AC_KM,$E78,AC_THANG,Z$1)</f>
        <v>0</v>
      </c>
      <c r="AA78" s="1261">
        <f>SUMIFS(AC_SOTIEN,AC_KM,$E78,AC_THANG,AA$1)</f>
        <v>0</v>
      </c>
    </row>
    <row r="79">
      <c r="A79" s="1254"/>
      <c r="B79" s="1254"/>
      <c r="C79" s="1254"/>
      <c r="D79" s="1216" t="s">
        <v>2853</v>
      </c>
      <c r="E79" s="1217" t="s">
        <v>270</v>
      </c>
      <c r="F79" s="1218">
        <v>642.0</v>
      </c>
      <c r="G79" s="1218">
        <v>2.0</v>
      </c>
      <c r="H79" s="1219">
        <f t="shared" si="58"/>
        <v>49333001</v>
      </c>
      <c r="I79" s="1220">
        <f t="shared" si="35"/>
        <v>0.005846427266</v>
      </c>
      <c r="J79" s="1221"/>
      <c r="K79" s="1221"/>
      <c r="L79" s="1222"/>
      <c r="M79" s="1222"/>
      <c r="N79" s="1222"/>
      <c r="O79" s="1222"/>
      <c r="P79" s="1223">
        <f>SUMIFS(AC_SOTIEN,AC_KM,$E79,AC_THANG,P$1)</f>
        <v>49333001</v>
      </c>
      <c r="Q79" s="1223">
        <f>SUMIFS(AC_SOTIEN,AC_KM,$E79,AC_THANG,Q$1)</f>
        <v>49358330</v>
      </c>
      <c r="R79" s="1223">
        <f>SUMIFS(AC_SOTIEN,AC_KM,$E79,AC_THANG,R$1)</f>
        <v>45333002</v>
      </c>
      <c r="S79" s="1223">
        <f>SUMIFS(AC_SOTIEN,AC_KM,$E79,AC_THANG,S$1)</f>
        <v>48666666</v>
      </c>
      <c r="T79" s="1223">
        <f>SUMIFS(AC_SOTIEN,AC_KM,$E79,AC_THANG,T$1)</f>
        <v>48333000</v>
      </c>
      <c r="U79" s="1223">
        <f>SUMIFS(AC_SOTIEN,AC_KM,$E79,AC_THANG,U$1)</f>
        <v>0</v>
      </c>
      <c r="V79" s="1223">
        <f>SUMIFS(AC_SOTIEN,AC_KM,$E79,AC_THANG,V$1)</f>
        <v>0</v>
      </c>
      <c r="W79" s="1223">
        <f>SUMIFS(AC_SOTIEN,AC_KM,$E79,AC_THANG,W$1)</f>
        <v>0</v>
      </c>
      <c r="X79" s="1223">
        <f>SUMIFS(AC_SOTIEN,AC_KM,$E79,AC_THANG,X$1)</f>
        <v>0</v>
      </c>
      <c r="Y79" s="1223">
        <f>SUMIFS(AC_SOTIEN,AC_KM,$E79,AC_THANG,Y$1)</f>
        <v>0</v>
      </c>
      <c r="Z79" s="1223">
        <f>SUMIFS(AC_SOTIEN,AC_KM,$E79,AC_THANG,Z$1)</f>
        <v>0</v>
      </c>
      <c r="AA79" s="1223">
        <f>SUMIFS(AC_SOTIEN,AC_KM,$E79,AC_THANG,AA$1)</f>
        <v>0</v>
      </c>
    </row>
    <row r="80">
      <c r="A80" s="1254"/>
      <c r="B80" s="1254"/>
      <c r="C80" s="1254"/>
      <c r="D80" s="1216" t="s">
        <v>2854</v>
      </c>
      <c r="E80" s="1217"/>
      <c r="F80" s="1218">
        <v>642.0</v>
      </c>
      <c r="G80" s="1218">
        <v>2.0</v>
      </c>
      <c r="H80" s="1219">
        <f t="shared" si="58"/>
        <v>10171790</v>
      </c>
      <c r="I80" s="1220">
        <f t="shared" si="35"/>
        <v>0.001205453331</v>
      </c>
      <c r="J80" s="1221"/>
      <c r="K80" s="1221"/>
      <c r="L80" s="1222"/>
      <c r="M80" s="1222"/>
      <c r="N80" s="1222"/>
      <c r="O80" s="1222"/>
      <c r="P80" s="1223">
        <f t="shared" ref="P80:AA80" si="59">SUM(P81:P95)</f>
        <v>10171790</v>
      </c>
      <c r="Q80" s="1223">
        <f t="shared" si="59"/>
        <v>10329351</v>
      </c>
      <c r="R80" s="1223">
        <f t="shared" si="59"/>
        <v>18027056</v>
      </c>
      <c r="S80" s="1223">
        <f t="shared" si="59"/>
        <v>17382496</v>
      </c>
      <c r="T80" s="1223">
        <f t="shared" si="59"/>
        <v>18092625</v>
      </c>
      <c r="U80" s="1223">
        <f t="shared" si="59"/>
        <v>0</v>
      </c>
      <c r="V80" s="1223">
        <f t="shared" si="59"/>
        <v>0</v>
      </c>
      <c r="W80" s="1223">
        <f t="shared" si="59"/>
        <v>0</v>
      </c>
      <c r="X80" s="1223">
        <f t="shared" si="59"/>
        <v>0</v>
      </c>
      <c r="Y80" s="1223">
        <f t="shared" si="59"/>
        <v>0</v>
      </c>
      <c r="Z80" s="1223">
        <f t="shared" si="59"/>
        <v>0</v>
      </c>
      <c r="AA80" s="1223">
        <f t="shared" si="59"/>
        <v>0</v>
      </c>
    </row>
    <row r="81">
      <c r="A81" s="1254"/>
      <c r="B81" s="1254"/>
      <c r="C81" s="1254"/>
      <c r="D81" s="1274" t="s">
        <v>2909</v>
      </c>
      <c r="E81" s="1275" t="s">
        <v>377</v>
      </c>
      <c r="F81" s="1254"/>
      <c r="G81" s="1257">
        <v>3.0</v>
      </c>
      <c r="H81" s="1258">
        <f t="shared" si="58"/>
        <v>0</v>
      </c>
      <c r="I81" s="1220">
        <f t="shared" si="35"/>
        <v>0</v>
      </c>
      <c r="J81" s="1259"/>
      <c r="K81" s="1259"/>
      <c r="L81" s="1260"/>
      <c r="M81" s="1260"/>
      <c r="N81" s="1260"/>
      <c r="O81" s="1260"/>
      <c r="P81" s="1261">
        <f>SUMIFS(AC_SOTIEN,AC_KM,$E81,AC_THANG,P$1)</f>
        <v>0</v>
      </c>
      <c r="Q81" s="1261">
        <f>SUMIFS(AC_SOTIEN,AC_KM,$E81,AC_THANG,Q$1)</f>
        <v>470600</v>
      </c>
      <c r="R81" s="1261">
        <f>SUMIFS(AC_SOTIEN,AC_KM,$E81,AC_THANG,R$1)</f>
        <v>2709500</v>
      </c>
      <c r="S81" s="1261">
        <f>SUMIFS(AC_SOTIEN,AC_KM,$E81,AC_THANG,S$1)</f>
        <v>0</v>
      </c>
      <c r="T81" s="1261">
        <f>SUMIFS(AC_SOTIEN,AC_KM,$E81,AC_THANG,T$1)</f>
        <v>1260000</v>
      </c>
      <c r="U81" s="1261">
        <f>SUMIFS(AC_SOTIEN,AC_KM,$E81,AC_THANG,U$1)</f>
        <v>0</v>
      </c>
      <c r="V81" s="1261">
        <f>SUMIFS(AC_SOTIEN,AC_KM,$E81,AC_THANG,V$1)</f>
        <v>0</v>
      </c>
      <c r="W81" s="1261">
        <f>SUMIFS(AC_SOTIEN,AC_KM,$E81,AC_THANG,W$1)</f>
        <v>0</v>
      </c>
      <c r="X81" s="1261">
        <f>SUMIFS(AC_SOTIEN,AC_KM,$E81,AC_THANG,X$1)</f>
        <v>0</v>
      </c>
      <c r="Y81" s="1261">
        <f>SUMIFS(AC_SOTIEN,AC_KM,$E81,AC_THANG,Y$1)</f>
        <v>0</v>
      </c>
      <c r="Z81" s="1261">
        <f>SUMIFS(AC_SOTIEN,AC_KM,$E81,AC_THANG,Z$1)</f>
        <v>0</v>
      </c>
      <c r="AA81" s="1261">
        <f>SUMIFS(AC_SOTIEN,AC_KM,$E81,AC_THANG,AA$1)</f>
        <v>0</v>
      </c>
    </row>
    <row r="82">
      <c r="A82" s="1254"/>
      <c r="B82" s="1254"/>
      <c r="C82" s="1254"/>
      <c r="D82" s="1254" t="s">
        <v>2856</v>
      </c>
      <c r="E82" s="1256" t="s">
        <v>419</v>
      </c>
      <c r="F82" s="1254"/>
      <c r="G82" s="1257">
        <v>3.0</v>
      </c>
      <c r="H82" s="1258">
        <f t="shared" si="58"/>
        <v>0</v>
      </c>
      <c r="I82" s="1220">
        <f t="shared" si="35"/>
        <v>0</v>
      </c>
      <c r="J82" s="1259"/>
      <c r="K82" s="1259"/>
      <c r="L82" s="1260"/>
      <c r="M82" s="1260"/>
      <c r="N82" s="1260"/>
      <c r="O82" s="1260"/>
      <c r="P82" s="1261">
        <f>SUMIFS(AC_SOTIEN,AC_KM,$E82,AC_THANG,P$1)</f>
        <v>0</v>
      </c>
      <c r="Q82" s="1261">
        <f>SUMIFS(AC_SOTIEN,AC_KM,$E82,AC_THANG,Q$1)</f>
        <v>361750</v>
      </c>
      <c r="R82" s="1261">
        <f>SUMIFS(AC_SOTIEN,AC_KM,$E82,AC_THANG,R$1)</f>
        <v>1000000</v>
      </c>
      <c r="S82" s="1261">
        <f>SUMIFS(AC_SOTIEN,AC_KM,$E82,AC_THANG,S$1)</f>
        <v>966000</v>
      </c>
      <c r="T82" s="1261">
        <f>SUMIFS(AC_SOTIEN,AC_KM,$E82,AC_THANG,T$1)</f>
        <v>0</v>
      </c>
      <c r="U82" s="1261">
        <f>SUMIFS(AC_SOTIEN,AC_KM,$E82,AC_THANG,U$1)</f>
        <v>0</v>
      </c>
      <c r="V82" s="1261">
        <f>SUMIFS(AC_SOTIEN,AC_KM,$E82,AC_THANG,V$1)</f>
        <v>0</v>
      </c>
      <c r="W82" s="1261">
        <f>SUMIFS(AC_SOTIEN,AC_KM,$E82,AC_THANG,W$1)</f>
        <v>0</v>
      </c>
      <c r="X82" s="1261">
        <f>SUMIFS(AC_SOTIEN,AC_KM,$E82,AC_THANG,X$1)</f>
        <v>0</v>
      </c>
      <c r="Y82" s="1261">
        <f>SUMIFS(AC_SOTIEN,AC_KM,$E82,AC_THANG,Y$1)</f>
        <v>0</v>
      </c>
      <c r="Z82" s="1261">
        <f>SUMIFS(AC_SOTIEN,AC_KM,$E82,AC_THANG,Z$1)</f>
        <v>0</v>
      </c>
      <c r="AA82" s="1261">
        <f>SUMIFS(AC_SOTIEN,AC_KM,$E82,AC_THANG,AA$1)</f>
        <v>0</v>
      </c>
    </row>
    <row r="83">
      <c r="A83" s="1254"/>
      <c r="B83" s="1254"/>
      <c r="C83" s="1254"/>
      <c r="D83" s="1274" t="s">
        <v>2857</v>
      </c>
      <c r="E83" s="1276" t="s">
        <v>573</v>
      </c>
      <c r="F83" s="1254"/>
      <c r="G83" s="1257">
        <v>3.0</v>
      </c>
      <c r="H83" s="1258">
        <f t="shared" si="58"/>
        <v>0</v>
      </c>
      <c r="I83" s="1220">
        <f t="shared" si="35"/>
        <v>0</v>
      </c>
      <c r="J83" s="1259"/>
      <c r="K83" s="1259"/>
      <c r="L83" s="1260"/>
      <c r="M83" s="1260"/>
      <c r="N83" s="1260"/>
      <c r="O83" s="1260"/>
      <c r="P83" s="1261">
        <f>SUMIFS(AC_SOTIEN,AC_KM,$E83,AC_THANG,P$1)</f>
        <v>0</v>
      </c>
      <c r="Q83" s="1261">
        <f>SUMIFS(AC_SOTIEN,AC_KM,$E83,AC_THANG,Q$1)</f>
        <v>0</v>
      </c>
      <c r="R83" s="1261">
        <f>SUMIFS(AC_SOTIEN,AC_KM,$E83,AC_THANG,R$1)</f>
        <v>153999</v>
      </c>
      <c r="S83" s="1261">
        <f>SUMIFS(AC_SOTIEN,AC_KM,$E83,AC_THANG,S$1)</f>
        <v>900000</v>
      </c>
      <c r="T83" s="1261">
        <f>SUMIFS(AC_SOTIEN,AC_KM,$E83,AC_THANG,T$1)</f>
        <v>0</v>
      </c>
      <c r="U83" s="1261">
        <f>SUMIFS(AC_SOTIEN,AC_KM,$E83,AC_THANG,U$1)</f>
        <v>0</v>
      </c>
      <c r="V83" s="1261">
        <f>SUMIFS(AC_SOTIEN,AC_KM,$E83,AC_THANG,V$1)</f>
        <v>0</v>
      </c>
      <c r="W83" s="1261">
        <f>SUMIFS(AC_SOTIEN,AC_KM,$E83,AC_THANG,W$1)</f>
        <v>0</v>
      </c>
      <c r="X83" s="1261">
        <f>SUMIFS(AC_SOTIEN,AC_KM,$E83,AC_THANG,X$1)</f>
        <v>0</v>
      </c>
      <c r="Y83" s="1261">
        <f>SUMIFS(AC_SOTIEN,AC_KM,$E83,AC_THANG,Y$1)</f>
        <v>0</v>
      </c>
      <c r="Z83" s="1261">
        <f>SUMIFS(AC_SOTIEN,AC_KM,$E83,AC_THANG,Z$1)</f>
        <v>0</v>
      </c>
      <c r="AA83" s="1261">
        <f>SUMIFS(AC_SOTIEN,AC_KM,$E83,AC_THANG,AA$1)</f>
        <v>0</v>
      </c>
    </row>
    <row r="84">
      <c r="A84" s="1254"/>
      <c r="B84" s="1254"/>
      <c r="C84" s="1254"/>
      <c r="D84" s="1254" t="s">
        <v>2858</v>
      </c>
      <c r="E84" s="1256" t="s">
        <v>2220</v>
      </c>
      <c r="F84" s="1254"/>
      <c r="G84" s="1257">
        <v>3.0</v>
      </c>
      <c r="H84" s="1258">
        <f t="shared" si="58"/>
        <v>0</v>
      </c>
      <c r="I84" s="1220">
        <f t="shared" si="35"/>
        <v>0</v>
      </c>
      <c r="J84" s="1259"/>
      <c r="K84" s="1259"/>
      <c r="L84" s="1260"/>
      <c r="M84" s="1260"/>
      <c r="N84" s="1260"/>
      <c r="O84" s="1260"/>
      <c r="P84" s="1261">
        <f>SUMIFS(AC_SOTIEN,AC_KM,$E84,AC_THANG,P$1)</f>
        <v>0</v>
      </c>
      <c r="Q84" s="1261">
        <f>SUMIFS(AC_SOTIEN,AC_KM,$E84,AC_THANG,Q$1)</f>
        <v>0</v>
      </c>
      <c r="R84" s="1261">
        <f>SUMIFS(AC_SOTIEN,AC_KM,$E84,AC_THANG,R$1)</f>
        <v>0</v>
      </c>
      <c r="S84" s="1261">
        <f>SUMIFS(AC_SOTIEN,AC_KM,$E84,AC_THANG,S$1)</f>
        <v>0</v>
      </c>
      <c r="T84" s="1261">
        <f>SUMIFS(AC_SOTIEN,AC_KM,$E84,AC_THANG,T$1)</f>
        <v>0</v>
      </c>
      <c r="U84" s="1261">
        <f>SUMIFS(AC_SOTIEN,AC_KM,$E84,AC_THANG,U$1)</f>
        <v>0</v>
      </c>
      <c r="V84" s="1261">
        <f>SUMIFS(AC_SOTIEN,AC_KM,$E84,AC_THANG,V$1)</f>
        <v>0</v>
      </c>
      <c r="W84" s="1261">
        <f>SUMIFS(AC_SOTIEN,AC_KM,$E84,AC_THANG,W$1)</f>
        <v>0</v>
      </c>
      <c r="X84" s="1261">
        <f>SUMIFS(AC_SOTIEN,AC_KM,$E84,AC_THANG,X$1)</f>
        <v>0</v>
      </c>
      <c r="Y84" s="1261">
        <f>SUMIFS(AC_SOTIEN,AC_KM,$E84,AC_THANG,Y$1)</f>
        <v>0</v>
      </c>
      <c r="Z84" s="1261">
        <f>SUMIFS(AC_SOTIEN,AC_KM,$E84,AC_THANG,Z$1)</f>
        <v>0</v>
      </c>
      <c r="AA84" s="1261">
        <f>SUMIFS(AC_SOTIEN,AC_KM,$E84,AC_THANG,AA$1)</f>
        <v>0</v>
      </c>
    </row>
    <row r="85">
      <c r="A85" s="1254"/>
      <c r="B85" s="1254"/>
      <c r="C85" s="1254"/>
      <c r="D85" s="1254" t="s">
        <v>2859</v>
      </c>
      <c r="E85" s="1256" t="s">
        <v>2236</v>
      </c>
      <c r="F85" s="1254"/>
      <c r="G85" s="1257">
        <v>3.0</v>
      </c>
      <c r="H85" s="1258">
        <f t="shared" si="58"/>
        <v>0</v>
      </c>
      <c r="I85" s="1220">
        <f t="shared" si="35"/>
        <v>0</v>
      </c>
      <c r="J85" s="1259"/>
      <c r="K85" s="1259"/>
      <c r="L85" s="1260"/>
      <c r="M85" s="1260"/>
      <c r="N85" s="1260"/>
      <c r="O85" s="1260"/>
      <c r="P85" s="1261">
        <f>SUMIFS(AC_SOTIEN,AC_KM,$E85,AC_THANG,P$1)</f>
        <v>0</v>
      </c>
      <c r="Q85" s="1261">
        <f>SUMIFS(AC_SOTIEN,AC_KM,$E85,AC_THANG,Q$1)</f>
        <v>0</v>
      </c>
      <c r="R85" s="1261">
        <f>SUMIFS(AC_SOTIEN,AC_KM,$E85,AC_THANG,R$1)</f>
        <v>0</v>
      </c>
      <c r="S85" s="1261">
        <f>SUMIFS(AC_SOTIEN,AC_KM,$E85,AC_THANG,S$1)</f>
        <v>0</v>
      </c>
      <c r="T85" s="1261">
        <f>SUMIFS(AC_SOTIEN,AC_KM,$E85,AC_THANG,T$1)</f>
        <v>0</v>
      </c>
      <c r="U85" s="1261">
        <f>SUMIFS(AC_SOTIEN,AC_KM,$E85,AC_THANG,U$1)</f>
        <v>0</v>
      </c>
      <c r="V85" s="1261">
        <f>SUMIFS(AC_SOTIEN,AC_KM,$E85,AC_THANG,V$1)</f>
        <v>0</v>
      </c>
      <c r="W85" s="1261">
        <f>SUMIFS(AC_SOTIEN,AC_KM,$E85,AC_THANG,W$1)</f>
        <v>0</v>
      </c>
      <c r="X85" s="1261">
        <f>SUMIFS(AC_SOTIEN,AC_KM,$E85,AC_THANG,X$1)</f>
        <v>0</v>
      </c>
      <c r="Y85" s="1261">
        <f>SUMIFS(AC_SOTIEN,AC_KM,$E85,AC_THANG,Y$1)</f>
        <v>0</v>
      </c>
      <c r="Z85" s="1261">
        <f>SUMIFS(AC_SOTIEN,AC_KM,$E85,AC_THANG,Z$1)</f>
        <v>0</v>
      </c>
      <c r="AA85" s="1261">
        <f>SUMIFS(AC_SOTIEN,AC_KM,$E85,AC_THANG,AA$1)</f>
        <v>0</v>
      </c>
    </row>
    <row r="86">
      <c r="A86" s="1254"/>
      <c r="B86" s="1254"/>
      <c r="C86" s="1254"/>
      <c r="D86" s="1254" t="s">
        <v>2860</v>
      </c>
      <c r="E86" s="1256" t="s">
        <v>413</v>
      </c>
      <c r="F86" s="1254"/>
      <c r="G86" s="1257">
        <v>3.0</v>
      </c>
      <c r="H86" s="1258">
        <f t="shared" si="58"/>
        <v>0</v>
      </c>
      <c r="I86" s="1220">
        <f t="shared" si="35"/>
        <v>0</v>
      </c>
      <c r="J86" s="1259"/>
      <c r="K86" s="1259"/>
      <c r="L86" s="1260"/>
      <c r="M86" s="1260"/>
      <c r="N86" s="1260"/>
      <c r="O86" s="1260"/>
      <c r="P86" s="1261">
        <f>SUMIFS(AC_SOTIEN,AC_KM,$E86,AC_THANG,P$1)</f>
        <v>0</v>
      </c>
      <c r="Q86" s="1261">
        <f>SUMIFS(AC_SOTIEN,AC_KM,$E86,AC_THANG,Q$1)</f>
        <v>1830000</v>
      </c>
      <c r="R86" s="1261">
        <f>SUMIFS(AC_SOTIEN,AC_KM,$E86,AC_THANG,R$1)</f>
        <v>500001</v>
      </c>
      <c r="S86" s="1261">
        <f>SUMIFS(AC_SOTIEN,AC_KM,$E86,AC_THANG,S$1)</f>
        <v>0</v>
      </c>
      <c r="T86" s="1261">
        <f>SUMIFS(AC_SOTIEN,AC_KM,$E86,AC_THANG,T$1)</f>
        <v>3050000</v>
      </c>
      <c r="U86" s="1261">
        <f>SUMIFS(AC_SOTIEN,AC_KM,$E86,AC_THANG,U$1)</f>
        <v>0</v>
      </c>
      <c r="V86" s="1261">
        <f>SUMIFS(AC_SOTIEN,AC_KM,$E86,AC_THANG,V$1)</f>
        <v>0</v>
      </c>
      <c r="W86" s="1261">
        <f>SUMIFS(AC_SOTIEN,AC_KM,$E86,AC_THANG,W$1)</f>
        <v>0</v>
      </c>
      <c r="X86" s="1261">
        <f>SUMIFS(AC_SOTIEN,AC_KM,$E86,AC_THANG,X$1)</f>
        <v>0</v>
      </c>
      <c r="Y86" s="1261">
        <f>SUMIFS(AC_SOTIEN,AC_KM,$E86,AC_THANG,Y$1)</f>
        <v>0</v>
      </c>
      <c r="Z86" s="1261">
        <f>SUMIFS(AC_SOTIEN,AC_KM,$E86,AC_THANG,Z$1)</f>
        <v>0</v>
      </c>
      <c r="AA86" s="1261">
        <f>SUMIFS(AC_SOTIEN,AC_KM,$E86,AC_THANG,AA$1)</f>
        <v>0</v>
      </c>
    </row>
    <row r="87">
      <c r="A87" s="1254"/>
      <c r="B87" s="1254"/>
      <c r="C87" s="1254"/>
      <c r="D87" s="1254" t="s">
        <v>2861</v>
      </c>
      <c r="E87" s="1256" t="s">
        <v>262</v>
      </c>
      <c r="F87" s="1254"/>
      <c r="G87" s="1257">
        <v>3.0</v>
      </c>
      <c r="H87" s="1258">
        <f t="shared" si="58"/>
        <v>1100001</v>
      </c>
      <c r="I87" s="1220">
        <f t="shared" si="35"/>
        <v>0.0001303605236</v>
      </c>
      <c r="J87" s="1259"/>
      <c r="K87" s="1259"/>
      <c r="L87" s="1260"/>
      <c r="M87" s="1260"/>
      <c r="N87" s="1260"/>
      <c r="O87" s="1260"/>
      <c r="P87" s="1261">
        <f>SUMIFS(AC_SOTIEN,AC_KM,$E87,AC_THANG,P$1)</f>
        <v>1100001</v>
      </c>
      <c r="Q87" s="1261">
        <f>SUMIFS(AC_SOTIEN,AC_KM,$E87,AC_THANG,Q$1)</f>
        <v>1080000</v>
      </c>
      <c r="R87" s="1261">
        <f>SUMIFS(AC_SOTIEN,AC_KM,$E87,AC_THANG,R$1)</f>
        <v>1329927</v>
      </c>
      <c r="S87" s="1261">
        <f>SUMIFS(AC_SOTIEN,AC_KM,$E87,AC_THANG,S$1)</f>
        <v>3295999</v>
      </c>
      <c r="T87" s="1261">
        <f>SUMIFS(AC_SOTIEN,AC_KM,$E87,AC_THANG,T$1)</f>
        <v>1971811</v>
      </c>
      <c r="U87" s="1261">
        <f>SUMIFS(AC_SOTIEN,AC_KM,$E87,AC_THANG,U$1)</f>
        <v>0</v>
      </c>
      <c r="V87" s="1261">
        <f>SUMIFS(AC_SOTIEN,AC_KM,$E87,AC_THANG,V$1)</f>
        <v>0</v>
      </c>
      <c r="W87" s="1261">
        <f>SUMIFS(AC_SOTIEN,AC_KM,$E87,AC_THANG,W$1)</f>
        <v>0</v>
      </c>
      <c r="X87" s="1261">
        <f>SUMIFS(AC_SOTIEN,AC_KM,$E87,AC_THANG,X$1)</f>
        <v>0</v>
      </c>
      <c r="Y87" s="1261">
        <f>SUMIFS(AC_SOTIEN,AC_KM,$E87,AC_THANG,Y$1)</f>
        <v>0</v>
      </c>
      <c r="Z87" s="1261">
        <f>SUMIFS(AC_SOTIEN,AC_KM,$E87,AC_THANG,Z$1)</f>
        <v>0</v>
      </c>
      <c r="AA87" s="1261">
        <f>SUMIFS(AC_SOTIEN,AC_KM,$E87,AC_THANG,AA$1)</f>
        <v>0</v>
      </c>
    </row>
    <row r="88">
      <c r="A88" s="1254"/>
      <c r="B88" s="1254"/>
      <c r="C88" s="1254"/>
      <c r="D88" s="1254" t="s">
        <v>2862</v>
      </c>
      <c r="E88" s="1275" t="s">
        <v>2223</v>
      </c>
      <c r="F88" s="1254"/>
      <c r="G88" s="1257">
        <v>3.0</v>
      </c>
      <c r="H88" s="1258">
        <f t="shared" si="58"/>
        <v>0</v>
      </c>
      <c r="I88" s="1220">
        <f t="shared" si="35"/>
        <v>0</v>
      </c>
      <c r="J88" s="1259"/>
      <c r="K88" s="1259"/>
      <c r="L88" s="1260"/>
      <c r="M88" s="1260"/>
      <c r="N88" s="1260"/>
      <c r="O88" s="1260"/>
      <c r="P88" s="1261">
        <f>SUMIFS(AC_SOTIEN,AC_KM,$E88,AC_THANG,P$1)</f>
        <v>0</v>
      </c>
      <c r="Q88" s="1261">
        <f>SUMIFS(AC_SOTIEN,AC_KM,$E88,AC_THANG,Q$1)</f>
        <v>0</v>
      </c>
      <c r="R88" s="1261">
        <f>SUMIFS(AC_SOTIEN,AC_KM,$E88,AC_THANG,R$1)</f>
        <v>0</v>
      </c>
      <c r="S88" s="1261">
        <f>SUMIFS(AC_SOTIEN,AC_KM,$E88,AC_THANG,S$1)</f>
        <v>0</v>
      </c>
      <c r="T88" s="1261">
        <f>SUMIFS(AC_SOTIEN,AC_KM,$E88,AC_THANG,T$1)</f>
        <v>0</v>
      </c>
      <c r="U88" s="1261">
        <f>SUMIFS(AC_SOTIEN,AC_KM,$E88,AC_THANG,U$1)</f>
        <v>0</v>
      </c>
      <c r="V88" s="1261">
        <f>SUMIFS(AC_SOTIEN,AC_KM,$E88,AC_THANG,V$1)</f>
        <v>0</v>
      </c>
      <c r="W88" s="1261">
        <f>SUMIFS(AC_SOTIEN,AC_KM,$E88,AC_THANG,W$1)</f>
        <v>0</v>
      </c>
      <c r="X88" s="1261">
        <f>SUMIFS(AC_SOTIEN,AC_KM,$E88,AC_THANG,X$1)</f>
        <v>0</v>
      </c>
      <c r="Y88" s="1261">
        <f>SUMIFS(AC_SOTIEN,AC_KM,$E88,AC_THANG,Y$1)</f>
        <v>0</v>
      </c>
      <c r="Z88" s="1261">
        <f>SUMIFS(AC_SOTIEN,AC_KM,$E88,AC_THANG,Z$1)</f>
        <v>0</v>
      </c>
      <c r="AA88" s="1261">
        <f>SUMIFS(AC_SOTIEN,AC_KM,$E88,AC_THANG,AA$1)</f>
        <v>0</v>
      </c>
    </row>
    <row r="89">
      <c r="A89" s="1254"/>
      <c r="B89" s="1254"/>
      <c r="C89" s="1254"/>
      <c r="D89" s="1254" t="s">
        <v>2863</v>
      </c>
      <c r="E89" s="1256" t="s">
        <v>272</v>
      </c>
      <c r="F89" s="1254"/>
      <c r="G89" s="1257">
        <v>3.0</v>
      </c>
      <c r="H89" s="1258">
        <f t="shared" si="58"/>
        <v>5345848</v>
      </c>
      <c r="I89" s="1220">
        <f t="shared" si="35"/>
        <v>0.0006335335551</v>
      </c>
      <c r="J89" s="1259"/>
      <c r="K89" s="1259"/>
      <c r="L89" s="1260"/>
      <c r="M89" s="1260"/>
      <c r="N89" s="1260"/>
      <c r="O89" s="1260"/>
      <c r="P89" s="1261">
        <f>SUMIFS(AC_SOTIEN,AC_KM,$E89,AC_THANG,P$1)</f>
        <v>5345848</v>
      </c>
      <c r="Q89" s="1261">
        <f>SUMIFS(AC_SOTIEN,AC_KM,$E89,AC_THANG,Q$1)</f>
        <v>1828999</v>
      </c>
      <c r="R89" s="1261">
        <f>SUMIFS(AC_SOTIEN,AC_KM,$E89,AC_THANG,R$1)</f>
        <v>6022356</v>
      </c>
      <c r="S89" s="1261">
        <f>SUMIFS(AC_SOTIEN,AC_KM,$E89,AC_THANG,S$1)</f>
        <v>7272500</v>
      </c>
      <c r="T89" s="1261">
        <f>SUMIFS(AC_SOTIEN,AC_KM,$E89,AC_THANG,T$1)</f>
        <v>8868815</v>
      </c>
      <c r="U89" s="1261">
        <f>SUMIFS(AC_SOTIEN,AC_KM,$E89,AC_THANG,U$1)</f>
        <v>0</v>
      </c>
      <c r="V89" s="1261">
        <f>SUMIFS(AC_SOTIEN,AC_KM,$E89,AC_THANG,V$1)</f>
        <v>0</v>
      </c>
      <c r="W89" s="1261">
        <f>SUMIFS(AC_SOTIEN,AC_KM,$E89,AC_THANG,W$1)</f>
        <v>0</v>
      </c>
      <c r="X89" s="1261">
        <f>SUMIFS(AC_SOTIEN,AC_KM,$E89,AC_THANG,X$1)</f>
        <v>0</v>
      </c>
      <c r="Y89" s="1261">
        <f>SUMIFS(AC_SOTIEN,AC_KM,$E89,AC_THANG,Y$1)</f>
        <v>0</v>
      </c>
      <c r="Z89" s="1261">
        <f>SUMIFS(AC_SOTIEN,AC_KM,$E89,AC_THANG,Z$1)</f>
        <v>0</v>
      </c>
      <c r="AA89" s="1261">
        <f>SUMIFS(AC_SOTIEN,AC_KM,$E89,AC_THANG,AA$1)</f>
        <v>0</v>
      </c>
    </row>
    <row r="90">
      <c r="A90" s="1254"/>
      <c r="B90" s="1254"/>
      <c r="C90" s="1254"/>
      <c r="D90" s="1254" t="s">
        <v>2864</v>
      </c>
      <c r="E90" s="1256" t="s">
        <v>219</v>
      </c>
      <c r="F90" s="1254"/>
      <c r="G90" s="1257">
        <v>3.0</v>
      </c>
      <c r="H90" s="1258">
        <f t="shared" si="58"/>
        <v>653999</v>
      </c>
      <c r="I90" s="1220">
        <f t="shared" si="35"/>
        <v>0.00007750506776</v>
      </c>
      <c r="J90" s="1259"/>
      <c r="K90" s="1259"/>
      <c r="L90" s="1260"/>
      <c r="M90" s="1260"/>
      <c r="N90" s="1260"/>
      <c r="O90" s="1260"/>
      <c r="P90" s="1261">
        <f>SUMIFS(AC_SOTIEN,AC_KM,$E90,AC_THANG,P$1)</f>
        <v>653999</v>
      </c>
      <c r="Q90" s="1261">
        <f>SUMIFS(AC_SOTIEN,AC_KM,$E90,AC_THANG,Q$1)</f>
        <v>195000</v>
      </c>
      <c r="R90" s="1261">
        <f>SUMIFS(AC_SOTIEN,AC_KM,$E90,AC_THANG,R$1)</f>
        <v>387001</v>
      </c>
      <c r="S90" s="1261">
        <f>SUMIFS(AC_SOTIEN,AC_KM,$E90,AC_THANG,S$1)</f>
        <v>933998</v>
      </c>
      <c r="T90" s="1261">
        <f>SUMIFS(AC_SOTIEN,AC_KM,$E90,AC_THANG,T$1)</f>
        <v>540000</v>
      </c>
      <c r="U90" s="1261">
        <f>SUMIFS(AC_SOTIEN,AC_KM,$E90,AC_THANG,U$1)</f>
        <v>0</v>
      </c>
      <c r="V90" s="1261">
        <f>SUMIFS(AC_SOTIEN,AC_KM,$E90,AC_THANG,V$1)</f>
        <v>0</v>
      </c>
      <c r="W90" s="1261">
        <f>SUMIFS(AC_SOTIEN,AC_KM,$E90,AC_THANG,W$1)</f>
        <v>0</v>
      </c>
      <c r="X90" s="1261">
        <f>SUMIFS(AC_SOTIEN,AC_KM,$E90,AC_THANG,X$1)</f>
        <v>0</v>
      </c>
      <c r="Y90" s="1261">
        <f>SUMIFS(AC_SOTIEN,AC_KM,$E90,AC_THANG,Y$1)</f>
        <v>0</v>
      </c>
      <c r="Z90" s="1261">
        <f>SUMIFS(AC_SOTIEN,AC_KM,$E90,AC_THANG,Z$1)</f>
        <v>0</v>
      </c>
      <c r="AA90" s="1261">
        <f>SUMIFS(AC_SOTIEN,AC_KM,$E90,AC_THANG,AA$1)</f>
        <v>0</v>
      </c>
    </row>
    <row r="91">
      <c r="A91" s="1254"/>
      <c r="B91" s="1254"/>
      <c r="C91" s="1254"/>
      <c r="D91" s="1254" t="s">
        <v>2865</v>
      </c>
      <c r="E91" s="1256" t="s">
        <v>222</v>
      </c>
      <c r="F91" s="1254"/>
      <c r="G91" s="1257">
        <v>3.0</v>
      </c>
      <c r="H91" s="1258">
        <f t="shared" si="58"/>
        <v>464998</v>
      </c>
      <c r="I91" s="1220">
        <f t="shared" si="35"/>
        <v>0.00005510666148</v>
      </c>
      <c r="J91" s="1259"/>
      <c r="K91" s="1259"/>
      <c r="L91" s="1260"/>
      <c r="M91" s="1260"/>
      <c r="N91" s="1260"/>
      <c r="O91" s="1260"/>
      <c r="P91" s="1261">
        <f>SUMIFS(AC_SOTIEN,AC_KM,$E91,AC_THANG,P$1)</f>
        <v>464998</v>
      </c>
      <c r="Q91" s="1261">
        <f>SUMIFS(AC_SOTIEN,AC_KM,$E91,AC_THANG,Q$1)</f>
        <v>1130000</v>
      </c>
      <c r="R91" s="1261">
        <f>SUMIFS(AC_SOTIEN,AC_KM,$E91,AC_THANG,R$1)</f>
        <v>989788</v>
      </c>
      <c r="S91" s="1261">
        <f>SUMIFS(AC_SOTIEN,AC_KM,$E91,AC_THANG,S$1)</f>
        <v>580000</v>
      </c>
      <c r="T91" s="1261">
        <f>SUMIFS(AC_SOTIEN,AC_KM,$E91,AC_THANG,T$1)</f>
        <v>625999</v>
      </c>
      <c r="U91" s="1261">
        <f>SUMIFS(AC_SOTIEN,AC_KM,$E91,AC_THANG,U$1)</f>
        <v>0</v>
      </c>
      <c r="V91" s="1261">
        <f>SUMIFS(AC_SOTIEN,AC_KM,$E91,AC_THANG,V$1)</f>
        <v>0</v>
      </c>
      <c r="W91" s="1261">
        <f>SUMIFS(AC_SOTIEN,AC_KM,$E91,AC_THANG,W$1)</f>
        <v>0</v>
      </c>
      <c r="X91" s="1261">
        <f>SUMIFS(AC_SOTIEN,AC_KM,$E91,AC_THANG,X$1)</f>
        <v>0</v>
      </c>
      <c r="Y91" s="1261">
        <f>SUMIFS(AC_SOTIEN,AC_KM,$E91,AC_THANG,Y$1)</f>
        <v>0</v>
      </c>
      <c r="Z91" s="1261">
        <f>SUMIFS(AC_SOTIEN,AC_KM,$E91,AC_THANG,Z$1)</f>
        <v>0</v>
      </c>
      <c r="AA91" s="1261">
        <f>SUMIFS(AC_SOTIEN,AC_KM,$E91,AC_THANG,AA$1)</f>
        <v>0</v>
      </c>
    </row>
    <row r="92">
      <c r="A92" s="1254"/>
      <c r="B92" s="1254"/>
      <c r="C92" s="1254"/>
      <c r="D92" s="1254" t="s">
        <v>2866</v>
      </c>
      <c r="E92" s="1256" t="s">
        <v>410</v>
      </c>
      <c r="F92" s="1254"/>
      <c r="G92" s="1257">
        <v>3.0</v>
      </c>
      <c r="H92" s="1258">
        <f t="shared" si="58"/>
        <v>0</v>
      </c>
      <c r="I92" s="1220">
        <f t="shared" si="35"/>
        <v>0</v>
      </c>
      <c r="J92" s="1259"/>
      <c r="K92" s="1259"/>
      <c r="L92" s="1260"/>
      <c r="M92" s="1260"/>
      <c r="N92" s="1260"/>
      <c r="O92" s="1260"/>
      <c r="P92" s="1261">
        <f>SUMIFS(AC_SOTIEN,AC_KM,$E92,AC_THANG,P$1)</f>
        <v>0</v>
      </c>
      <c r="Q92" s="1261">
        <f>SUMIFS(AC_SOTIEN,AC_KM,$E92,AC_THANG,Q$1)</f>
        <v>1499001</v>
      </c>
      <c r="R92" s="1261">
        <f>SUMIFS(AC_SOTIEN,AC_KM,$E92,AC_THANG,R$1)</f>
        <v>997910</v>
      </c>
      <c r="S92" s="1261">
        <f>SUMIFS(AC_SOTIEN,AC_KM,$E92,AC_THANG,S$1)</f>
        <v>1054000</v>
      </c>
      <c r="T92" s="1261">
        <f>SUMIFS(AC_SOTIEN,AC_KM,$E92,AC_THANG,T$1)</f>
        <v>96000</v>
      </c>
      <c r="U92" s="1261">
        <f>SUMIFS(AC_SOTIEN,AC_KM,$E92,AC_THANG,U$1)</f>
        <v>0</v>
      </c>
      <c r="V92" s="1261">
        <f>SUMIFS(AC_SOTIEN,AC_KM,$E92,AC_THANG,V$1)</f>
        <v>0</v>
      </c>
      <c r="W92" s="1261">
        <f>SUMIFS(AC_SOTIEN,AC_KM,$E92,AC_THANG,W$1)</f>
        <v>0</v>
      </c>
      <c r="X92" s="1261">
        <f>SUMIFS(AC_SOTIEN,AC_KM,$E92,AC_THANG,X$1)</f>
        <v>0</v>
      </c>
      <c r="Y92" s="1261">
        <f>SUMIFS(AC_SOTIEN,AC_KM,$E92,AC_THANG,Y$1)</f>
        <v>0</v>
      </c>
      <c r="Z92" s="1261">
        <f>SUMIFS(AC_SOTIEN,AC_KM,$E92,AC_THANG,Z$1)</f>
        <v>0</v>
      </c>
      <c r="AA92" s="1261">
        <f>SUMIFS(AC_SOTIEN,AC_KM,$E92,AC_THANG,AA$1)</f>
        <v>0</v>
      </c>
    </row>
    <row r="93">
      <c r="A93" s="1254"/>
      <c r="B93" s="1254"/>
      <c r="C93" s="1254"/>
      <c r="D93" s="1254" t="s">
        <v>2867</v>
      </c>
      <c r="E93" s="1256" t="s">
        <v>226</v>
      </c>
      <c r="F93" s="1254"/>
      <c r="G93" s="1257">
        <v>3.0</v>
      </c>
      <c r="H93" s="1258">
        <f t="shared" si="58"/>
        <v>306944</v>
      </c>
      <c r="I93" s="1220">
        <f t="shared" si="35"/>
        <v>0.00003637576742</v>
      </c>
      <c r="J93" s="1259"/>
      <c r="K93" s="1259"/>
      <c r="L93" s="1260"/>
      <c r="M93" s="1260"/>
      <c r="N93" s="1260"/>
      <c r="O93" s="1260"/>
      <c r="P93" s="1261">
        <f>SUMIFS(AC_SOTIEN,AC_KM,$E93,AC_THANG,P$1)</f>
        <v>306944</v>
      </c>
      <c r="Q93" s="1261">
        <f>SUMIFS(AC_SOTIEN,AC_KM,$E93,AC_THANG,Q$1)</f>
        <v>491000</v>
      </c>
      <c r="R93" s="1261">
        <f>SUMIFS(AC_SOTIEN,AC_KM,$E93,AC_THANG,R$1)</f>
        <v>1229966</v>
      </c>
      <c r="S93" s="1261">
        <f>SUMIFS(AC_SOTIEN,AC_KM,$E93,AC_THANG,S$1)</f>
        <v>1300000</v>
      </c>
      <c r="T93" s="1261">
        <f>SUMIFS(AC_SOTIEN,AC_KM,$E93,AC_THANG,T$1)</f>
        <v>600000</v>
      </c>
      <c r="U93" s="1261">
        <f>SUMIFS(AC_SOTIEN,AC_KM,$E93,AC_THANG,U$1)</f>
        <v>0</v>
      </c>
      <c r="V93" s="1261">
        <f>SUMIFS(AC_SOTIEN,AC_KM,$E93,AC_THANG,V$1)</f>
        <v>0</v>
      </c>
      <c r="W93" s="1261">
        <f>SUMIFS(AC_SOTIEN,AC_KM,$E93,AC_THANG,W$1)</f>
        <v>0</v>
      </c>
      <c r="X93" s="1261">
        <f>SUMIFS(AC_SOTIEN,AC_KM,$E93,AC_THANG,X$1)</f>
        <v>0</v>
      </c>
      <c r="Y93" s="1261">
        <f>SUMIFS(AC_SOTIEN,AC_KM,$E93,AC_THANG,Y$1)</f>
        <v>0</v>
      </c>
      <c r="Z93" s="1261">
        <f>SUMIFS(AC_SOTIEN,AC_KM,$E93,AC_THANG,Z$1)</f>
        <v>0</v>
      </c>
      <c r="AA93" s="1261">
        <f>SUMIFS(AC_SOTIEN,AC_KM,$E93,AC_THANG,AA$1)</f>
        <v>0</v>
      </c>
    </row>
    <row r="94">
      <c r="A94" s="1254"/>
      <c r="B94" s="1254"/>
      <c r="C94" s="1254"/>
      <c r="D94" s="1254" t="s">
        <v>2870</v>
      </c>
      <c r="E94" s="1256" t="s">
        <v>307</v>
      </c>
      <c r="F94" s="1254"/>
      <c r="G94" s="1257">
        <v>3.0</v>
      </c>
      <c r="H94" s="1258">
        <f t="shared" si="58"/>
        <v>1000000</v>
      </c>
      <c r="I94" s="1220">
        <f t="shared" si="35"/>
        <v>0.0001185094591</v>
      </c>
      <c r="J94" s="1259"/>
      <c r="K94" s="1259"/>
      <c r="L94" s="1260"/>
      <c r="M94" s="1260"/>
      <c r="N94" s="1260"/>
      <c r="O94" s="1260"/>
      <c r="P94" s="1261">
        <f>SUMIFS(AC_SOTIEN,AC_KM,$E94,AC_THANG,P$1)</f>
        <v>1000000</v>
      </c>
      <c r="Q94" s="1261">
        <f>SUMIFS(AC_SOTIEN,AC_KM,$E94,AC_THANG,Q$1)</f>
        <v>0</v>
      </c>
      <c r="R94" s="1261">
        <f>SUMIFS(AC_SOTIEN,AC_KM,$E94,AC_THANG,R$1)</f>
        <v>1000000</v>
      </c>
      <c r="S94" s="1261">
        <f>SUMIFS(AC_SOTIEN,AC_KM,$E94,AC_THANG,S$1)</f>
        <v>0</v>
      </c>
      <c r="T94" s="1261">
        <f>SUMIFS(AC_SOTIEN,AC_KM,$E94,AC_THANG,T$1)</f>
        <v>0</v>
      </c>
      <c r="U94" s="1261">
        <f>SUMIFS(AC_SOTIEN,AC_KM,$E94,AC_THANG,U$1)</f>
        <v>0</v>
      </c>
      <c r="V94" s="1261">
        <f>SUMIFS(AC_SOTIEN,AC_KM,$E94,AC_THANG,V$1)</f>
        <v>0</v>
      </c>
      <c r="W94" s="1261">
        <f>SUMIFS(AC_SOTIEN,AC_KM,$E94,AC_THANG,W$1)</f>
        <v>0</v>
      </c>
      <c r="X94" s="1261">
        <f>SUMIFS(AC_SOTIEN,AC_KM,$E94,AC_THANG,X$1)</f>
        <v>0</v>
      </c>
      <c r="Y94" s="1261">
        <f>SUMIFS(AC_SOTIEN,AC_KM,$E94,AC_THANG,Y$1)</f>
        <v>0</v>
      </c>
      <c r="Z94" s="1261">
        <f>SUMIFS(AC_SOTIEN,AC_KM,$E94,AC_THANG,Z$1)</f>
        <v>0</v>
      </c>
      <c r="AA94" s="1261">
        <f>SUMIFS(AC_SOTIEN,AC_KM,$E94,AC_THANG,AA$1)</f>
        <v>0</v>
      </c>
    </row>
    <row r="95">
      <c r="A95" s="1254"/>
      <c r="B95" s="1254"/>
      <c r="C95" s="1254"/>
      <c r="D95" s="1274" t="s">
        <v>2910</v>
      </c>
      <c r="E95" s="1275" t="s">
        <v>206</v>
      </c>
      <c r="F95" s="1254"/>
      <c r="G95" s="1257">
        <v>3.0</v>
      </c>
      <c r="H95" s="1258">
        <f t="shared" si="58"/>
        <v>1300000</v>
      </c>
      <c r="I95" s="1220">
        <f t="shared" si="35"/>
        <v>0.0001540622969</v>
      </c>
      <c r="J95" s="1259"/>
      <c r="K95" s="1259"/>
      <c r="L95" s="1260"/>
      <c r="M95" s="1260"/>
      <c r="N95" s="1260"/>
      <c r="O95" s="1260"/>
      <c r="P95" s="1261">
        <f>SUMIFS(AC_SOTIEN,AC_KM,$E95,AC_THANG,P$1)</f>
        <v>1300000</v>
      </c>
      <c r="Q95" s="1261">
        <f>SUMIFS(AC_SOTIEN,AC_KM,$E95,AC_THANG,Q$1)</f>
        <v>1443001</v>
      </c>
      <c r="R95" s="1261">
        <f>SUMIFS(AC_SOTIEN,AC_KM,$E95,AC_THANG,R$1)</f>
        <v>1706608</v>
      </c>
      <c r="S95" s="1261">
        <f>SUMIFS(AC_SOTIEN,AC_KM,$E95,AC_THANG,S$1)</f>
        <v>1079999</v>
      </c>
      <c r="T95" s="1261">
        <f>SUMIFS(AC_SOTIEN,AC_KM,$E95,AC_THANG,T$1)</f>
        <v>1080000</v>
      </c>
      <c r="U95" s="1261">
        <f>SUMIFS(AC_SOTIEN,AC_KM,$E95,AC_THANG,U$1)</f>
        <v>0</v>
      </c>
      <c r="V95" s="1261">
        <f>SUMIFS(AC_SOTIEN,AC_KM,$E95,AC_THANG,V$1)</f>
        <v>0</v>
      </c>
      <c r="W95" s="1261">
        <f>SUMIFS(AC_SOTIEN,AC_KM,$E95,AC_THANG,W$1)</f>
        <v>0</v>
      </c>
      <c r="X95" s="1261">
        <f>SUMIFS(AC_SOTIEN,AC_KM,$E95,AC_THANG,X$1)</f>
        <v>0</v>
      </c>
      <c r="Y95" s="1261">
        <f>SUMIFS(AC_SOTIEN,AC_KM,$E95,AC_THANG,Y$1)</f>
        <v>0</v>
      </c>
      <c r="Z95" s="1261">
        <f>SUMIFS(AC_SOTIEN,AC_KM,$E95,AC_THANG,Z$1)</f>
        <v>0</v>
      </c>
      <c r="AA95" s="1261">
        <f>SUMIFS(AC_SOTIEN,AC_KM,$E95,AC_THANG,AA$1)</f>
        <v>0</v>
      </c>
    </row>
    <row r="96">
      <c r="A96" s="1254"/>
      <c r="B96" s="1254"/>
      <c r="C96" s="1254"/>
      <c r="D96" s="1254" t="s">
        <v>2871</v>
      </c>
      <c r="E96" s="1217" t="s">
        <v>2872</v>
      </c>
      <c r="F96" s="1218">
        <v>642.0</v>
      </c>
      <c r="G96" s="1218">
        <v>2.0</v>
      </c>
      <c r="H96" s="1219">
        <f t="shared" si="58"/>
        <v>0</v>
      </c>
      <c r="I96" s="1220">
        <f t="shared" si="35"/>
        <v>0</v>
      </c>
      <c r="J96" s="1221"/>
      <c r="K96" s="1221"/>
      <c r="L96" s="1222"/>
      <c r="M96" s="1222"/>
      <c r="N96" s="1222"/>
      <c r="O96" s="1222"/>
      <c r="P96" s="1223">
        <f>SUMIFS(AC_SOTIEN,AC_KM,$E96,AC_THANG,P$1)</f>
        <v>0</v>
      </c>
      <c r="Q96" s="1223">
        <f>SUMIFS(AC_SOTIEN,AC_KM,$E96,AC_THANG,Q$1)</f>
        <v>0</v>
      </c>
      <c r="R96" s="1223">
        <f>SUMIFS(AC_SOTIEN,AC_KM,$E96,AC_THANG,R$1)</f>
        <v>0</v>
      </c>
      <c r="S96" s="1223">
        <f>SUMIFS(AC_SOTIEN,AC_KM,$E96,AC_THANG,S$1)</f>
        <v>0</v>
      </c>
      <c r="T96" s="1223">
        <f>SUMIFS(AC_SOTIEN,AC_KM,$E96,AC_THANG,T$1)</f>
        <v>0</v>
      </c>
      <c r="U96" s="1223">
        <f>SUMIFS(AC_SOTIEN,AC_KM,$E96,AC_THANG,U$1)</f>
        <v>0</v>
      </c>
      <c r="V96" s="1223">
        <f>SUMIFS(AC_SOTIEN,AC_KM,$E96,AC_THANG,V$1)</f>
        <v>0</v>
      </c>
      <c r="W96" s="1223">
        <f>SUMIFS(AC_SOTIEN,AC_KM,$E96,AC_THANG,W$1)</f>
        <v>0</v>
      </c>
      <c r="X96" s="1223">
        <f>SUMIFS(AC_SOTIEN,AC_KM,$E96,AC_THANG,X$1)</f>
        <v>0</v>
      </c>
      <c r="Y96" s="1223">
        <f>SUMIFS(AC_SOTIEN,AC_KM,$E96,AC_THANG,Y$1)</f>
        <v>0</v>
      </c>
      <c r="Z96" s="1223">
        <f>SUMIFS(AC_SOTIEN,AC_KM,$E96,AC_THANG,Z$1)</f>
        <v>0</v>
      </c>
      <c r="AA96" s="1223">
        <f>SUMIFS(AC_SOTIEN,AC_KM,$E96,AC_THANG,AA$1)</f>
        <v>0</v>
      </c>
    </row>
    <row r="97">
      <c r="A97" s="1254"/>
      <c r="B97" s="1254"/>
      <c r="C97" s="1254"/>
      <c r="D97" s="1254" t="s">
        <v>2873</v>
      </c>
      <c r="E97" s="1217" t="s">
        <v>382</v>
      </c>
      <c r="F97" s="1218">
        <v>642.0</v>
      </c>
      <c r="G97" s="1218">
        <v>2.0</v>
      </c>
      <c r="H97" s="1219">
        <f t="shared" si="58"/>
        <v>0</v>
      </c>
      <c r="I97" s="1220">
        <f t="shared" si="35"/>
        <v>0</v>
      </c>
      <c r="J97" s="1221"/>
      <c r="K97" s="1221"/>
      <c r="L97" s="1222"/>
      <c r="M97" s="1222"/>
      <c r="N97" s="1222"/>
      <c r="O97" s="1222"/>
      <c r="P97" s="1223">
        <f>SUMIFS(AC_SOTIEN,AC_KM,$E97,AC_THANG,P$1)</f>
        <v>0</v>
      </c>
      <c r="Q97" s="1223">
        <f>SUMIFS(AC_SOTIEN,AC_KM,$E97,AC_THANG,Q$1)</f>
        <v>310000</v>
      </c>
      <c r="R97" s="1223">
        <f>SUMIFS(AC_SOTIEN,AC_KM,$E97,AC_THANG,R$1)</f>
        <v>8320678</v>
      </c>
      <c r="S97" s="1223">
        <f>SUMIFS(AC_SOTIEN,AC_KM,$E97,AC_THANG,S$1)</f>
        <v>160000</v>
      </c>
      <c r="T97" s="1223">
        <f>SUMIFS(AC_SOTIEN,AC_KM,$E97,AC_THANG,T$1)</f>
        <v>5541000</v>
      </c>
      <c r="U97" s="1223">
        <f>SUMIFS(AC_SOTIEN,AC_KM,$E97,AC_THANG,U$1)</f>
        <v>0</v>
      </c>
      <c r="V97" s="1223">
        <f>SUMIFS(AC_SOTIEN,AC_KM,$E97,AC_THANG,V$1)</f>
        <v>0</v>
      </c>
      <c r="W97" s="1223">
        <f>SUMIFS(AC_SOTIEN,AC_KM,$E97,AC_THANG,W$1)</f>
        <v>0</v>
      </c>
      <c r="X97" s="1223">
        <f>SUMIFS(AC_SOTIEN,AC_KM,$E97,AC_THANG,X$1)</f>
        <v>0</v>
      </c>
      <c r="Y97" s="1223">
        <f>SUMIFS(AC_SOTIEN,AC_KM,$E97,AC_THANG,Y$1)</f>
        <v>0</v>
      </c>
      <c r="Z97" s="1223">
        <f>SUMIFS(AC_SOTIEN,AC_KM,$E97,AC_THANG,Z$1)</f>
        <v>0</v>
      </c>
      <c r="AA97" s="1223">
        <f>SUMIFS(AC_SOTIEN,AC_KM,$E97,AC_THANG,AA$1)</f>
        <v>0</v>
      </c>
    </row>
    <row r="98">
      <c r="A98" s="1277" t="s">
        <v>2874</v>
      </c>
      <c r="B98" s="1278"/>
      <c r="C98" s="1279"/>
      <c r="D98" s="1279"/>
      <c r="E98" s="1280"/>
      <c r="F98" s="1279"/>
      <c r="G98" s="1279"/>
      <c r="H98" s="1281">
        <f>H71+H59+H58+H57</f>
        <v>851084070</v>
      </c>
      <c r="I98" s="1282">
        <f t="shared" si="35"/>
        <v>0.1008615128</v>
      </c>
      <c r="J98" s="1281"/>
      <c r="K98" s="1281"/>
      <c r="L98" s="1281"/>
      <c r="M98" s="1281"/>
      <c r="N98" s="1281"/>
      <c r="O98" s="1281"/>
      <c r="P98" s="1281">
        <f t="shared" ref="P98:AA98" si="60">P71+P59+P58+P57</f>
        <v>851084070</v>
      </c>
      <c r="Q98" s="1281">
        <f t="shared" si="60"/>
        <v>322592391</v>
      </c>
      <c r="R98" s="1281">
        <f t="shared" si="60"/>
        <v>850784926</v>
      </c>
      <c r="S98" s="1281">
        <f t="shared" si="60"/>
        <v>1570770591</v>
      </c>
      <c r="T98" s="1281">
        <f t="shared" si="60"/>
        <v>788160077</v>
      </c>
      <c r="U98" s="1281">
        <f t="shared" si="60"/>
        <v>0</v>
      </c>
      <c r="V98" s="1281">
        <f t="shared" si="60"/>
        <v>0</v>
      </c>
      <c r="W98" s="1281">
        <f t="shared" si="60"/>
        <v>0</v>
      </c>
      <c r="X98" s="1281">
        <f t="shared" si="60"/>
        <v>0</v>
      </c>
      <c r="Y98" s="1281">
        <f t="shared" si="60"/>
        <v>0</v>
      </c>
      <c r="Z98" s="1281">
        <f t="shared" si="60"/>
        <v>0</v>
      </c>
      <c r="AA98" s="1281">
        <f t="shared" si="60"/>
        <v>0</v>
      </c>
    </row>
    <row r="99">
      <c r="A99" s="1283" t="s">
        <v>2875</v>
      </c>
      <c r="B99" s="1237"/>
      <c r="C99" s="1237"/>
      <c r="D99" s="1238"/>
      <c r="E99" s="1239"/>
      <c r="F99" s="1238"/>
      <c r="G99" s="1284">
        <v>1.0</v>
      </c>
      <c r="H99" s="1285">
        <f>H45-H98</f>
        <v>7587060930</v>
      </c>
      <c r="I99" s="1241">
        <f t="shared" si="35"/>
        <v>0.8991384872</v>
      </c>
      <c r="J99" s="1285"/>
      <c r="K99" s="1285"/>
      <c r="L99" s="1285"/>
      <c r="M99" s="1285"/>
      <c r="N99" s="1285"/>
      <c r="O99" s="1285"/>
      <c r="P99" s="1285">
        <f t="shared" ref="P99:AA99" si="61">P45-P98</f>
        <v>2567375930</v>
      </c>
      <c r="Q99" s="1285">
        <f t="shared" si="61"/>
        <v>1607407609</v>
      </c>
      <c r="R99" s="1285">
        <f t="shared" si="61"/>
        <v>2238900074</v>
      </c>
      <c r="S99" s="1285">
        <f t="shared" si="61"/>
        <v>-1570770591</v>
      </c>
      <c r="T99" s="1285">
        <f t="shared" si="61"/>
        <v>-788160077</v>
      </c>
      <c r="U99" s="1285">
        <f t="shared" si="61"/>
        <v>0</v>
      </c>
      <c r="V99" s="1285">
        <f t="shared" si="61"/>
        <v>0</v>
      </c>
      <c r="W99" s="1285">
        <f t="shared" si="61"/>
        <v>0</v>
      </c>
      <c r="X99" s="1285">
        <f t="shared" si="61"/>
        <v>0</v>
      </c>
      <c r="Y99" s="1285">
        <f t="shared" si="61"/>
        <v>0</v>
      </c>
      <c r="Z99" s="1285">
        <f t="shared" si="61"/>
        <v>0</v>
      </c>
      <c r="AA99" s="1285">
        <f t="shared" si="61"/>
        <v>0</v>
      </c>
    </row>
    <row r="100">
      <c r="A100" s="1254"/>
      <c r="B100" s="1254"/>
      <c r="C100" s="1254"/>
      <c r="D100" s="1254" t="s">
        <v>2876</v>
      </c>
      <c r="E100" s="1217" t="s">
        <v>2877</v>
      </c>
      <c r="F100" s="1218">
        <v>711.0</v>
      </c>
      <c r="G100" s="1218">
        <v>2.0</v>
      </c>
      <c r="H100" s="1219">
        <f t="shared" ref="H100:H101" si="62">SUMIF(#REF!,#REF!,$P100:$AA100)</f>
        <v>0</v>
      </c>
      <c r="I100" s="1220">
        <f t="shared" si="35"/>
        <v>0</v>
      </c>
      <c r="J100" s="1221"/>
      <c r="K100" s="1221"/>
      <c r="L100" s="1222"/>
      <c r="M100" s="1222"/>
      <c r="N100" s="1222"/>
      <c r="O100" s="1222"/>
      <c r="P100" s="1223">
        <f>SUMIFS(AC_SOTIEN,AC_KM,$E100,AC_THANG,P$1)</f>
        <v>0</v>
      </c>
      <c r="Q100" s="1223">
        <f>SUMIFS(AC_SOTIEN,AC_KM,$E100,AC_THANG,Q$1)</f>
        <v>0</v>
      </c>
      <c r="R100" s="1223">
        <f>SUMIFS(AC_SOTIEN,AC_KM,$E100,AC_THANG,R$1)</f>
        <v>0</v>
      </c>
      <c r="S100" s="1223">
        <f>SUMIFS(AC_SOTIEN,AC_KM,$E100,AC_THANG,S$1)</f>
        <v>0</v>
      </c>
      <c r="T100" s="1223">
        <f>SUMIFS(AC_SOTIEN,AC_KM,$E100,AC_THANG,T$1)</f>
        <v>0</v>
      </c>
      <c r="U100" s="1223">
        <f>SUMIFS(AC_SOTIEN,AC_KM,$E100,AC_THANG,U$1)</f>
        <v>0</v>
      </c>
      <c r="V100" s="1223">
        <f>SUMIFS(AC_SOTIEN,AC_KM,$E100,AC_THANG,V$1)</f>
        <v>0</v>
      </c>
      <c r="W100" s="1223">
        <f>SUMIFS(AC_SOTIEN,AC_KM,$E100,AC_THANG,W$1)</f>
        <v>0</v>
      </c>
      <c r="X100" s="1223">
        <f>SUMIFS(AC_SOTIEN,AC_KM,$E100,AC_THANG,X$1)</f>
        <v>0</v>
      </c>
      <c r="Y100" s="1223">
        <f>SUMIFS(AC_SOTIEN,AC_KM,$E100,AC_THANG,Y$1)</f>
        <v>0</v>
      </c>
      <c r="Z100" s="1223">
        <f>SUMIFS(AC_SOTIEN,AC_KM,$E100,AC_THANG,Z$1)</f>
        <v>0</v>
      </c>
      <c r="AA100" s="1223">
        <f>SUMIFS(AC_SOTIEN,AC_KM,$E100,AC_THANG,AA$1)</f>
        <v>0</v>
      </c>
    </row>
    <row r="101">
      <c r="A101" s="1254"/>
      <c r="B101" s="1254"/>
      <c r="C101" s="1254"/>
      <c r="D101" s="1254" t="s">
        <v>2090</v>
      </c>
      <c r="E101" s="1217" t="s">
        <v>380</v>
      </c>
      <c r="F101" s="1218">
        <v>811.0</v>
      </c>
      <c r="G101" s="1218">
        <v>2.0</v>
      </c>
      <c r="H101" s="1219">
        <f t="shared" si="62"/>
        <v>0</v>
      </c>
      <c r="I101" s="1220">
        <f t="shared" si="35"/>
        <v>0</v>
      </c>
      <c r="J101" s="1221"/>
      <c r="K101" s="1221"/>
      <c r="L101" s="1222"/>
      <c r="M101" s="1222"/>
      <c r="N101" s="1222"/>
      <c r="O101" s="1222"/>
      <c r="P101" s="1223">
        <f>SUMIFS(AC_SOTIEN,AC_KM,$E101,AC_THANG,P$1)</f>
        <v>0</v>
      </c>
      <c r="Q101" s="1223">
        <f>SUMIFS(AC_SOTIEN,AC_KM,$E101,AC_THANG,Q$1)</f>
        <v>160001</v>
      </c>
      <c r="R101" s="1223">
        <f>SUMIFS(AC_SOTIEN,AC_KM,$E101,AC_THANG,R$1)</f>
        <v>0</v>
      </c>
      <c r="S101" s="1223">
        <f>SUMIFS(AC_SOTIEN,AC_KM,$E101,AC_THANG,S$1)</f>
        <v>0</v>
      </c>
      <c r="T101" s="1223">
        <f>SUMIFS(AC_SOTIEN,AC_KM,$E101,AC_THANG,T$1)</f>
        <v>0</v>
      </c>
      <c r="U101" s="1223">
        <f>SUMIFS(AC_SOTIEN,AC_KM,$E101,AC_THANG,U$1)</f>
        <v>0</v>
      </c>
      <c r="V101" s="1223">
        <f>SUMIFS(AC_SOTIEN,AC_KM,$E101,AC_THANG,V$1)</f>
        <v>0</v>
      </c>
      <c r="W101" s="1223">
        <f>SUMIFS(AC_SOTIEN,AC_KM,$E101,AC_THANG,W$1)</f>
        <v>0</v>
      </c>
      <c r="X101" s="1223">
        <f>SUMIFS(AC_SOTIEN,AC_KM,$E101,AC_THANG,X$1)</f>
        <v>0</v>
      </c>
      <c r="Y101" s="1223">
        <f>SUMIFS(AC_SOTIEN,AC_KM,$E101,AC_THANG,Y$1)</f>
        <v>0</v>
      </c>
      <c r="Z101" s="1223">
        <f>SUMIFS(AC_SOTIEN,AC_KM,$E101,AC_THANG,Z$1)</f>
        <v>0</v>
      </c>
      <c r="AA101" s="1223">
        <f>SUMIFS(AC_SOTIEN,AC_KM,$E101,AC_THANG,AA$1)</f>
        <v>0</v>
      </c>
    </row>
    <row r="102">
      <c r="A102" s="1254"/>
      <c r="B102" s="1254"/>
      <c r="C102" s="1254"/>
      <c r="D102" s="1254" t="s">
        <v>2878</v>
      </c>
      <c r="E102" s="1217"/>
      <c r="F102" s="1254"/>
      <c r="G102" s="1254"/>
      <c r="H102" s="1219">
        <f>H100-H101</f>
        <v>0</v>
      </c>
      <c r="I102" s="1220">
        <f t="shared" si="35"/>
        <v>0</v>
      </c>
      <c r="J102" s="1221"/>
      <c r="K102" s="1221"/>
      <c r="L102" s="1222"/>
      <c r="M102" s="1222"/>
      <c r="N102" s="1222"/>
      <c r="O102" s="1222"/>
      <c r="P102" s="1223">
        <f t="shared" ref="P102:AA102" si="63">P100-P101</f>
        <v>0</v>
      </c>
      <c r="Q102" s="1223">
        <f t="shared" si="63"/>
        <v>-160001</v>
      </c>
      <c r="R102" s="1223">
        <f t="shared" si="63"/>
        <v>0</v>
      </c>
      <c r="S102" s="1223">
        <f t="shared" si="63"/>
        <v>0</v>
      </c>
      <c r="T102" s="1223">
        <f t="shared" si="63"/>
        <v>0</v>
      </c>
      <c r="U102" s="1223">
        <f t="shared" si="63"/>
        <v>0</v>
      </c>
      <c r="V102" s="1223">
        <f t="shared" si="63"/>
        <v>0</v>
      </c>
      <c r="W102" s="1223">
        <f t="shared" si="63"/>
        <v>0</v>
      </c>
      <c r="X102" s="1223">
        <f t="shared" si="63"/>
        <v>0</v>
      </c>
      <c r="Y102" s="1223">
        <f t="shared" si="63"/>
        <v>0</v>
      </c>
      <c r="Z102" s="1223">
        <f t="shared" si="63"/>
        <v>0</v>
      </c>
      <c r="AA102" s="1223">
        <f t="shared" si="63"/>
        <v>0</v>
      </c>
    </row>
    <row r="103">
      <c r="A103" s="1286" t="s">
        <v>2879</v>
      </c>
      <c r="B103" s="1287"/>
      <c r="C103" s="1287"/>
      <c r="D103" s="1288"/>
      <c r="E103" s="1289"/>
      <c r="F103" s="1288"/>
      <c r="G103" s="1288"/>
      <c r="H103" s="1290">
        <f>H99+H102</f>
        <v>7587060930</v>
      </c>
      <c r="I103" s="1291">
        <f t="shared" si="35"/>
        <v>0.8991384872</v>
      </c>
      <c r="J103" s="1290"/>
      <c r="K103" s="1290"/>
      <c r="L103" s="1290"/>
      <c r="M103" s="1290"/>
      <c r="N103" s="1290"/>
      <c r="O103" s="1290"/>
      <c r="P103" s="1290">
        <f t="shared" ref="P103:AA103" si="64">P99+P102</f>
        <v>2567375930</v>
      </c>
      <c r="Q103" s="1290">
        <f t="shared" si="64"/>
        <v>1607247608</v>
      </c>
      <c r="R103" s="1290">
        <f t="shared" si="64"/>
        <v>2238900074</v>
      </c>
      <c r="S103" s="1290">
        <f t="shared" si="64"/>
        <v>-1570770591</v>
      </c>
      <c r="T103" s="1290">
        <f t="shared" si="64"/>
        <v>-788160077</v>
      </c>
      <c r="U103" s="1290">
        <f t="shared" si="64"/>
        <v>0</v>
      </c>
      <c r="V103" s="1290">
        <f t="shared" si="64"/>
        <v>0</v>
      </c>
      <c r="W103" s="1290">
        <f t="shared" si="64"/>
        <v>0</v>
      </c>
      <c r="X103" s="1290">
        <f t="shared" si="64"/>
        <v>0</v>
      </c>
      <c r="Y103" s="1290">
        <f t="shared" si="64"/>
        <v>0</v>
      </c>
      <c r="Z103" s="1290">
        <f t="shared" si="64"/>
        <v>0</v>
      </c>
      <c r="AA103" s="1290">
        <f t="shared" si="64"/>
        <v>0</v>
      </c>
    </row>
    <row r="104">
      <c r="A104" s="1246" t="s">
        <v>2880</v>
      </c>
      <c r="B104" s="1247"/>
      <c r="C104" s="1247"/>
      <c r="D104" s="1248"/>
      <c r="E104" s="1249" t="s">
        <v>2881</v>
      </c>
      <c r="F104" s="1248"/>
      <c r="G104" s="1250">
        <v>1.0</v>
      </c>
      <c r="H104" s="1251">
        <f>SUMIF(#REF!,#REF!,$P104:$AA104)</f>
        <v>513475186</v>
      </c>
      <c r="I104" s="1292">
        <f t="shared" si="35"/>
        <v>0.06085166657</v>
      </c>
      <c r="J104" s="1251"/>
      <c r="K104" s="1251"/>
      <c r="L104" s="1251"/>
      <c r="M104" s="1251"/>
      <c r="N104" s="1251"/>
      <c r="O104" s="1251"/>
      <c r="P104" s="1251">
        <f t="shared" ref="P104:AA104" si="65">IF(P103&gt;0,P103*0.2,0)</f>
        <v>513475186</v>
      </c>
      <c r="Q104" s="1251">
        <f t="shared" si="65"/>
        <v>321449521.6</v>
      </c>
      <c r="R104" s="1251">
        <f t="shared" si="65"/>
        <v>447780014.8</v>
      </c>
      <c r="S104" s="1251">
        <f t="shared" si="65"/>
        <v>0</v>
      </c>
      <c r="T104" s="1251">
        <f t="shared" si="65"/>
        <v>0</v>
      </c>
      <c r="U104" s="1251">
        <f t="shared" si="65"/>
        <v>0</v>
      </c>
      <c r="V104" s="1251">
        <f t="shared" si="65"/>
        <v>0</v>
      </c>
      <c r="W104" s="1251">
        <f t="shared" si="65"/>
        <v>0</v>
      </c>
      <c r="X104" s="1251">
        <f t="shared" si="65"/>
        <v>0</v>
      </c>
      <c r="Y104" s="1251">
        <f t="shared" si="65"/>
        <v>0</v>
      </c>
      <c r="Z104" s="1251">
        <f t="shared" si="65"/>
        <v>0</v>
      </c>
      <c r="AA104" s="1251">
        <f t="shared" si="65"/>
        <v>0</v>
      </c>
    </row>
    <row r="105">
      <c r="A105" s="1286" t="s">
        <v>2882</v>
      </c>
      <c r="B105" s="1287"/>
      <c r="C105" s="1288"/>
      <c r="D105" s="1288"/>
      <c r="E105" s="1289"/>
      <c r="F105" s="1288"/>
      <c r="G105" s="1288"/>
      <c r="H105" s="1293">
        <f>H103-H104</f>
        <v>7073585744</v>
      </c>
      <c r="I105" s="1291">
        <f t="shared" si="35"/>
        <v>0.8382868206</v>
      </c>
      <c r="J105" s="1293"/>
      <c r="K105" s="1293"/>
      <c r="L105" s="1293"/>
      <c r="M105" s="1293"/>
      <c r="N105" s="1293"/>
      <c r="O105" s="1293"/>
      <c r="P105" s="1293">
        <f t="shared" ref="P105:AA105" si="66">P103-P104</f>
        <v>2053900744</v>
      </c>
      <c r="Q105" s="1293">
        <f t="shared" si="66"/>
        <v>1285798086</v>
      </c>
      <c r="R105" s="1293">
        <f t="shared" si="66"/>
        <v>1791120059</v>
      </c>
      <c r="S105" s="1293">
        <f t="shared" si="66"/>
        <v>-1570770591</v>
      </c>
      <c r="T105" s="1293">
        <f t="shared" si="66"/>
        <v>-788160077</v>
      </c>
      <c r="U105" s="1293">
        <f t="shared" si="66"/>
        <v>0</v>
      </c>
      <c r="V105" s="1293">
        <f t="shared" si="66"/>
        <v>0</v>
      </c>
      <c r="W105" s="1293">
        <f t="shared" si="66"/>
        <v>0</v>
      </c>
      <c r="X105" s="1293">
        <f t="shared" si="66"/>
        <v>0</v>
      </c>
      <c r="Y105" s="1293">
        <f t="shared" si="66"/>
        <v>0</v>
      </c>
      <c r="Z105" s="1293">
        <f t="shared" si="66"/>
        <v>0</v>
      </c>
      <c r="AA105" s="1293">
        <f t="shared" si="66"/>
        <v>0</v>
      </c>
    </row>
    <row r="106">
      <c r="A106" s="623"/>
      <c r="B106" s="623"/>
      <c r="C106" s="623"/>
      <c r="D106" s="623"/>
      <c r="E106" s="1298"/>
      <c r="F106" s="623"/>
      <c r="G106" s="623"/>
      <c r="H106" s="1299"/>
      <c r="I106" s="1299"/>
      <c r="J106" s="1300"/>
      <c r="K106" s="1300"/>
      <c r="L106" s="1301"/>
      <c r="M106" s="1301"/>
      <c r="N106" s="1301"/>
      <c r="O106" s="1301"/>
      <c r="P106" s="623"/>
      <c r="Q106" s="623"/>
      <c r="R106" s="623"/>
      <c r="S106" s="623"/>
      <c r="T106" s="623"/>
      <c r="U106" s="623"/>
      <c r="V106" s="623"/>
      <c r="W106" s="623"/>
      <c r="X106" s="623"/>
      <c r="Y106" s="623"/>
      <c r="Z106" s="623"/>
      <c r="AA106" s="623"/>
    </row>
  </sheetData>
  <mergeCells count="1">
    <mergeCell ref="H1:I1"/>
  </mergeCells>
  <dataValidations>
    <dataValidation type="list" allowBlank="1" showErrorMessage="1" sqref="C3:C16 C18:C32 C34:C44 C46:C56">
      <formula1>MA_DUAN</formula1>
    </dataValidation>
    <dataValidation type="list" allowBlank="1" showErrorMessage="1" sqref="J1:AA1">
      <formula1>THANG</formula1>
    </dataValidation>
    <dataValidation type="list" allowBlank="1" showErrorMessage="1" sqref="E3:E16 E18:E32 E34:E44 E46:E55 E57:E58 E60:E70 E72:E97 E99:E102 E104">
      <formula1>MA_KM</formula1>
    </dataValidation>
  </dataValidations>
  <hyperlinks>
    <hyperlink r:id="rId2" ref="E83"/>
  </hyperlinks>
  <drawing r:id="rId3"/>
  <legacyDrawing r:id="rId4"/>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9.0" ySplit="4.0" topLeftCell="J5" activePane="bottomRight" state="frozen"/>
      <selection activeCell="J1" sqref="J1" pane="topRight"/>
      <selection activeCell="A5" sqref="A5" pane="bottomLeft"/>
      <selection activeCell="J5" sqref="J5" pane="bottomRight"/>
    </sheetView>
  </sheetViews>
  <sheetFormatPr customHeight="1" defaultColWidth="14.43" defaultRowHeight="15.0"/>
  <cols>
    <col customWidth="1" min="1" max="1" width="16.57"/>
    <col customWidth="1" min="2" max="2" width="16.86"/>
    <col customWidth="1" min="3" max="3" width="17.71"/>
    <col customWidth="1" min="4" max="4" width="12.0"/>
    <col customWidth="1" min="5" max="5" width="15.14"/>
    <col customWidth="1" min="7" max="7" width="8.86"/>
    <col customWidth="1" min="9" max="9" width="9.14"/>
    <col customWidth="1" min="10" max="15" width="13.29"/>
  </cols>
  <sheetData>
    <row r="1" ht="23.25" customHeight="1">
      <c r="A1" s="1302" t="str">
        <f>NAME</f>
        <v>Công Ty CP BĐS Đại Hùng Thịnh</v>
      </c>
      <c r="B1" s="454"/>
      <c r="C1" s="454"/>
      <c r="D1" s="3"/>
      <c r="E1" s="1303" t="s">
        <v>2912</v>
      </c>
      <c r="J1" s="1304"/>
      <c r="K1" s="1304"/>
      <c r="L1" s="1304"/>
      <c r="M1" s="1304"/>
      <c r="N1" s="1304"/>
      <c r="O1" s="1304"/>
      <c r="P1" s="1304"/>
      <c r="Q1" s="1304"/>
      <c r="R1" s="1304"/>
      <c r="S1" s="1304"/>
      <c r="T1" s="1304"/>
      <c r="U1" s="1304"/>
      <c r="V1" s="1304"/>
      <c r="W1" s="1304"/>
      <c r="X1" s="1304"/>
      <c r="Y1" s="1304"/>
      <c r="Z1" s="1304"/>
      <c r="AA1" s="1304"/>
    </row>
    <row r="2">
      <c r="A2" s="1305" t="s">
        <v>2913</v>
      </c>
      <c r="B2" s="1306" t="s">
        <v>2914</v>
      </c>
      <c r="C2" s="1307" t="s">
        <v>2915</v>
      </c>
      <c r="D2" s="3"/>
      <c r="E2" s="1308">
        <v>44712.0</v>
      </c>
      <c r="F2" s="454"/>
      <c r="G2" s="3"/>
      <c r="H2" s="1309" t="s">
        <v>2916</v>
      </c>
      <c r="I2" s="3"/>
      <c r="J2" s="1310" t="s">
        <v>1914</v>
      </c>
      <c r="K2" s="1310" t="s">
        <v>2896</v>
      </c>
      <c r="L2" s="1311" t="s">
        <v>2806</v>
      </c>
      <c r="M2" s="1311" t="s">
        <v>2807</v>
      </c>
      <c r="N2" s="1311" t="s">
        <v>2809</v>
      </c>
      <c r="O2" s="1311" t="s">
        <v>2810</v>
      </c>
      <c r="P2" s="1312" t="s">
        <v>2897</v>
      </c>
      <c r="Q2" s="1313" t="s">
        <v>2898</v>
      </c>
      <c r="R2" s="1313" t="s">
        <v>2899</v>
      </c>
      <c r="S2" s="1313" t="s">
        <v>2900</v>
      </c>
      <c r="T2" s="1313" t="s">
        <v>2901</v>
      </c>
      <c r="U2" s="1313" t="s">
        <v>2902</v>
      </c>
      <c r="V2" s="1313" t="s">
        <v>2903</v>
      </c>
      <c r="W2" s="1313" t="s">
        <v>2904</v>
      </c>
      <c r="X2" s="1313" t="s">
        <v>2905</v>
      </c>
      <c r="Y2" s="1313" t="s">
        <v>2906</v>
      </c>
      <c r="Z2" s="1313" t="s">
        <v>2907</v>
      </c>
      <c r="AA2" s="1313" t="s">
        <v>2908</v>
      </c>
    </row>
    <row r="3">
      <c r="A3" s="709"/>
      <c r="B3" s="709"/>
      <c r="C3" s="1314" t="s">
        <v>2055</v>
      </c>
      <c r="D3" s="1315" t="s">
        <v>2056</v>
      </c>
      <c r="E3" s="1315" t="s">
        <v>2917</v>
      </c>
      <c r="F3" s="1315" t="s">
        <v>2918</v>
      </c>
      <c r="G3" s="1316" t="s">
        <v>2060</v>
      </c>
      <c r="H3" s="1314" t="s">
        <v>2055</v>
      </c>
      <c r="I3" s="1315" t="s">
        <v>2056</v>
      </c>
      <c r="P3" s="1317"/>
      <c r="Q3" s="1317"/>
      <c r="R3" s="1317"/>
      <c r="S3" s="1317"/>
      <c r="T3" s="1317"/>
      <c r="U3" s="1317"/>
      <c r="V3" s="1317"/>
      <c r="W3" s="1317"/>
      <c r="X3" s="1317"/>
      <c r="Y3" s="1317"/>
      <c r="Z3" s="1317"/>
      <c r="AA3" s="1317"/>
    </row>
    <row r="4">
      <c r="A4" s="213"/>
      <c r="B4" s="213"/>
      <c r="C4" s="1318">
        <f t="shared" ref="C4:G4" si="1">SUM(C5:C16)</f>
        <v>534000000</v>
      </c>
      <c r="D4" s="1319">
        <f t="shared" si="1"/>
        <v>1</v>
      </c>
      <c r="E4" s="1318">
        <f t="shared" si="1"/>
        <v>222500000</v>
      </c>
      <c r="F4" s="1318">
        <f t="shared" si="1"/>
        <v>36390235</v>
      </c>
      <c r="G4" s="1320">
        <f t="shared" si="1"/>
        <v>1</v>
      </c>
      <c r="H4" s="1321">
        <f>IFERROR(F4/F4,0)</f>
        <v>1</v>
      </c>
      <c r="I4" s="1320">
        <f>IFERROR((F4-C4)/C4,0)</f>
        <v>-0.9318534925</v>
      </c>
      <c r="J4" s="1322">
        <f t="shared" ref="J4:AA4" si="2">SUM(J5:J16)</f>
        <v>267000000</v>
      </c>
      <c r="K4" s="1322">
        <f t="shared" si="2"/>
        <v>178000000</v>
      </c>
      <c r="L4" s="1322">
        <f t="shared" si="2"/>
        <v>133500000</v>
      </c>
      <c r="M4" s="1322">
        <f t="shared" si="2"/>
        <v>133500000</v>
      </c>
      <c r="N4" s="1322">
        <f t="shared" si="2"/>
        <v>133500000</v>
      </c>
      <c r="O4" s="1322">
        <f t="shared" si="2"/>
        <v>44500000</v>
      </c>
      <c r="P4" s="1322">
        <f t="shared" si="2"/>
        <v>44500000</v>
      </c>
      <c r="Q4" s="1322">
        <f t="shared" si="2"/>
        <v>44500000</v>
      </c>
      <c r="R4" s="1322">
        <f t="shared" si="2"/>
        <v>44500000</v>
      </c>
      <c r="S4" s="1322">
        <f t="shared" si="2"/>
        <v>44500000</v>
      </c>
      <c r="T4" s="1322">
        <f t="shared" si="2"/>
        <v>44500000</v>
      </c>
      <c r="U4" s="1322">
        <f t="shared" si="2"/>
        <v>44500000</v>
      </c>
      <c r="V4" s="1322">
        <f t="shared" si="2"/>
        <v>44500000</v>
      </c>
      <c r="W4" s="1322">
        <f t="shared" si="2"/>
        <v>44500000</v>
      </c>
      <c r="X4" s="1322">
        <f t="shared" si="2"/>
        <v>44500000</v>
      </c>
      <c r="Y4" s="1322">
        <f t="shared" si="2"/>
        <v>44500000</v>
      </c>
      <c r="Z4" s="1322">
        <f t="shared" si="2"/>
        <v>0</v>
      </c>
      <c r="AA4" s="1322">
        <f t="shared" si="2"/>
        <v>0</v>
      </c>
    </row>
    <row r="5">
      <c r="A5" s="1323" t="s">
        <v>2066</v>
      </c>
      <c r="B5" s="1324" t="s">
        <v>2919</v>
      </c>
      <c r="C5" s="1325">
        <f t="shared" ref="C5:C16" si="4">SUMIF($A$18:$A$72,$A5,E$18:E$72)</f>
        <v>120000000</v>
      </c>
      <c r="D5" s="1326">
        <f t="shared" ref="D5:D16" si="5">C5/C$4</f>
        <v>0.2247191011</v>
      </c>
      <c r="E5" s="1325">
        <f t="shared" ref="E5:E16" si="6">sum(P5:T5)</f>
        <v>50000000</v>
      </c>
      <c r="F5" s="1325">
        <f t="shared" ref="F5:F16" si="7">SUMIF($A$18:$A$72,$A5,F$18:F$72)</f>
        <v>22398135</v>
      </c>
      <c r="G5" s="1327">
        <f t="shared" ref="G5:G16" si="8">iferror(F5/F$4,"")</f>
        <v>0.6154984984</v>
      </c>
      <c r="H5" s="1328">
        <f t="shared" ref="H5:H16" si="9">F5-E5</f>
        <v>-27601865</v>
      </c>
      <c r="I5" s="1329">
        <f t="shared" ref="I5:I16" si="10">iferror(H5/E5,"")</f>
        <v>-0.5520373</v>
      </c>
      <c r="J5" s="1330">
        <f t="shared" ref="J5:J16" si="11">SUM(L5:M5)</f>
        <v>60000000</v>
      </c>
      <c r="K5" s="1330">
        <f t="shared" ref="K5:K16" si="12">SUM(N5:O5)</f>
        <v>40000000</v>
      </c>
      <c r="L5" s="1331">
        <f t="shared" ref="L5:L16" si="13">SUM(P5:R5)</f>
        <v>30000000</v>
      </c>
      <c r="M5" s="1331">
        <f t="shared" ref="M5:M16" si="14">SUM(S5:U5)</f>
        <v>30000000</v>
      </c>
      <c r="N5" s="1331">
        <f t="shared" ref="N5:N16" si="15">SUM(V5:X5)</f>
        <v>30000000</v>
      </c>
      <c r="O5" s="1331">
        <f t="shared" ref="O5:O16" si="16">SUM(Y5:AA5)</f>
        <v>10000000</v>
      </c>
      <c r="P5" s="1332">
        <f t="shared" ref="P5:AA5" si="3">SUMIF($A$18:$A$72,$A5,R$18:R$72)</f>
        <v>10000000</v>
      </c>
      <c r="Q5" s="1332">
        <f t="shared" si="3"/>
        <v>10000000</v>
      </c>
      <c r="R5" s="1332">
        <f t="shared" si="3"/>
        <v>10000000</v>
      </c>
      <c r="S5" s="1332">
        <f t="shared" si="3"/>
        <v>10000000</v>
      </c>
      <c r="T5" s="1332">
        <f t="shared" si="3"/>
        <v>10000000</v>
      </c>
      <c r="U5" s="1332">
        <f t="shared" si="3"/>
        <v>10000000</v>
      </c>
      <c r="V5" s="1332">
        <f t="shared" si="3"/>
        <v>10000000</v>
      </c>
      <c r="W5" s="1332">
        <f t="shared" si="3"/>
        <v>10000000</v>
      </c>
      <c r="X5" s="1332">
        <f t="shared" si="3"/>
        <v>10000000</v>
      </c>
      <c r="Y5" s="1332">
        <f t="shared" si="3"/>
        <v>10000000</v>
      </c>
      <c r="Z5" s="1332">
        <f t="shared" si="3"/>
        <v>0</v>
      </c>
      <c r="AA5" s="1332">
        <f t="shared" si="3"/>
        <v>0</v>
      </c>
    </row>
    <row r="6">
      <c r="A6" s="1323" t="s">
        <v>2067</v>
      </c>
      <c r="B6" s="1324" t="s">
        <v>2920</v>
      </c>
      <c r="C6" s="1325">
        <f t="shared" si="4"/>
        <v>180000000</v>
      </c>
      <c r="D6" s="1326">
        <f t="shared" si="5"/>
        <v>0.3370786517</v>
      </c>
      <c r="E6" s="1325">
        <f t="shared" si="6"/>
        <v>75000000</v>
      </c>
      <c r="F6" s="1325">
        <f t="shared" si="7"/>
        <v>0</v>
      </c>
      <c r="G6" s="1327">
        <f t="shared" si="8"/>
        <v>0</v>
      </c>
      <c r="H6" s="1328">
        <f t="shared" si="9"/>
        <v>-75000000</v>
      </c>
      <c r="I6" s="1329">
        <f t="shared" si="10"/>
        <v>-1</v>
      </c>
      <c r="J6" s="1330">
        <f t="shared" si="11"/>
        <v>90000000</v>
      </c>
      <c r="K6" s="1330">
        <f t="shared" si="12"/>
        <v>60000000</v>
      </c>
      <c r="L6" s="1331">
        <f t="shared" si="13"/>
        <v>45000000</v>
      </c>
      <c r="M6" s="1331">
        <f t="shared" si="14"/>
        <v>45000000</v>
      </c>
      <c r="N6" s="1331">
        <f t="shared" si="15"/>
        <v>45000000</v>
      </c>
      <c r="O6" s="1331">
        <f t="shared" si="16"/>
        <v>15000000</v>
      </c>
      <c r="P6" s="1332">
        <f t="shared" ref="P6:AA6" si="17">SUMIF($A$18:$A$72,$A6,R$18:R$72)</f>
        <v>15000000</v>
      </c>
      <c r="Q6" s="1332">
        <f t="shared" si="17"/>
        <v>15000000</v>
      </c>
      <c r="R6" s="1332">
        <f t="shared" si="17"/>
        <v>15000000</v>
      </c>
      <c r="S6" s="1332">
        <f t="shared" si="17"/>
        <v>15000000</v>
      </c>
      <c r="T6" s="1332">
        <f t="shared" si="17"/>
        <v>15000000</v>
      </c>
      <c r="U6" s="1332">
        <f t="shared" si="17"/>
        <v>15000000</v>
      </c>
      <c r="V6" s="1332">
        <f t="shared" si="17"/>
        <v>15000000</v>
      </c>
      <c r="W6" s="1332">
        <f t="shared" si="17"/>
        <v>15000000</v>
      </c>
      <c r="X6" s="1332">
        <f t="shared" si="17"/>
        <v>15000000</v>
      </c>
      <c r="Y6" s="1332">
        <f t="shared" si="17"/>
        <v>15000000</v>
      </c>
      <c r="Z6" s="1332">
        <f t="shared" si="17"/>
        <v>0</v>
      </c>
      <c r="AA6" s="1332">
        <f t="shared" si="17"/>
        <v>0</v>
      </c>
    </row>
    <row r="7">
      <c r="A7" s="1323" t="s">
        <v>2068</v>
      </c>
      <c r="B7" s="1324" t="s">
        <v>2921</v>
      </c>
      <c r="C7" s="1325">
        <f t="shared" si="4"/>
        <v>0</v>
      </c>
      <c r="D7" s="1326">
        <f t="shared" si="5"/>
        <v>0</v>
      </c>
      <c r="E7" s="1325">
        <f t="shared" si="6"/>
        <v>0</v>
      </c>
      <c r="F7" s="1325">
        <f t="shared" si="7"/>
        <v>0</v>
      </c>
      <c r="G7" s="1327">
        <f t="shared" si="8"/>
        <v>0</v>
      </c>
      <c r="H7" s="1328">
        <f t="shared" si="9"/>
        <v>0</v>
      </c>
      <c r="I7" s="1329" t="str">
        <f t="shared" si="10"/>
        <v/>
      </c>
      <c r="J7" s="1330">
        <f t="shared" si="11"/>
        <v>0</v>
      </c>
      <c r="K7" s="1330">
        <f t="shared" si="12"/>
        <v>0</v>
      </c>
      <c r="L7" s="1331">
        <f t="shared" si="13"/>
        <v>0</v>
      </c>
      <c r="M7" s="1331">
        <f t="shared" si="14"/>
        <v>0</v>
      </c>
      <c r="N7" s="1331">
        <f t="shared" si="15"/>
        <v>0</v>
      </c>
      <c r="O7" s="1331">
        <f t="shared" si="16"/>
        <v>0</v>
      </c>
      <c r="P7" s="1332">
        <f t="shared" ref="P7:AA7" si="18">SUMIF($A$18:$A$72,$A7,R$18:R$72)</f>
        <v>0</v>
      </c>
      <c r="Q7" s="1332">
        <f t="shared" si="18"/>
        <v>0</v>
      </c>
      <c r="R7" s="1332">
        <f t="shared" si="18"/>
        <v>0</v>
      </c>
      <c r="S7" s="1332">
        <f t="shared" si="18"/>
        <v>0</v>
      </c>
      <c r="T7" s="1332">
        <f t="shared" si="18"/>
        <v>0</v>
      </c>
      <c r="U7" s="1332">
        <f t="shared" si="18"/>
        <v>0</v>
      </c>
      <c r="V7" s="1332">
        <f t="shared" si="18"/>
        <v>0</v>
      </c>
      <c r="W7" s="1332">
        <f t="shared" si="18"/>
        <v>0</v>
      </c>
      <c r="X7" s="1332">
        <f t="shared" si="18"/>
        <v>0</v>
      </c>
      <c r="Y7" s="1332">
        <f t="shared" si="18"/>
        <v>0</v>
      </c>
      <c r="Z7" s="1332">
        <f t="shared" si="18"/>
        <v>0</v>
      </c>
      <c r="AA7" s="1332">
        <f t="shared" si="18"/>
        <v>0</v>
      </c>
    </row>
    <row r="8">
      <c r="A8" s="1323" t="s">
        <v>2069</v>
      </c>
      <c r="B8" s="1324" t="s">
        <v>2922</v>
      </c>
      <c r="C8" s="1325">
        <f t="shared" si="4"/>
        <v>84000000</v>
      </c>
      <c r="D8" s="1326">
        <f t="shared" si="5"/>
        <v>0.1573033708</v>
      </c>
      <c r="E8" s="1325">
        <f t="shared" si="6"/>
        <v>35000000</v>
      </c>
      <c r="F8" s="1325">
        <f t="shared" si="7"/>
        <v>10129000</v>
      </c>
      <c r="G8" s="1327">
        <f t="shared" si="8"/>
        <v>0.2783439019</v>
      </c>
      <c r="H8" s="1328">
        <f t="shared" si="9"/>
        <v>-24871000</v>
      </c>
      <c r="I8" s="1329">
        <f t="shared" si="10"/>
        <v>-0.7106</v>
      </c>
      <c r="J8" s="1330">
        <f t="shared" si="11"/>
        <v>42000000</v>
      </c>
      <c r="K8" s="1330">
        <f t="shared" si="12"/>
        <v>28000000</v>
      </c>
      <c r="L8" s="1331">
        <f t="shared" si="13"/>
        <v>21000000</v>
      </c>
      <c r="M8" s="1331">
        <f t="shared" si="14"/>
        <v>21000000</v>
      </c>
      <c r="N8" s="1331">
        <f t="shared" si="15"/>
        <v>21000000</v>
      </c>
      <c r="O8" s="1331">
        <f t="shared" si="16"/>
        <v>7000000</v>
      </c>
      <c r="P8" s="1332">
        <f t="shared" ref="P8:AA8" si="19">SUMIF($A$18:$A$72,$A8,R$18:R$72)</f>
        <v>7000000</v>
      </c>
      <c r="Q8" s="1332">
        <f t="shared" si="19"/>
        <v>7000000</v>
      </c>
      <c r="R8" s="1332">
        <f t="shared" si="19"/>
        <v>7000000</v>
      </c>
      <c r="S8" s="1332">
        <f t="shared" si="19"/>
        <v>7000000</v>
      </c>
      <c r="T8" s="1332">
        <f t="shared" si="19"/>
        <v>7000000</v>
      </c>
      <c r="U8" s="1332">
        <f t="shared" si="19"/>
        <v>7000000</v>
      </c>
      <c r="V8" s="1332">
        <f t="shared" si="19"/>
        <v>7000000</v>
      </c>
      <c r="W8" s="1332">
        <f t="shared" si="19"/>
        <v>7000000</v>
      </c>
      <c r="X8" s="1332">
        <f t="shared" si="19"/>
        <v>7000000</v>
      </c>
      <c r="Y8" s="1332">
        <f t="shared" si="19"/>
        <v>7000000</v>
      </c>
      <c r="Z8" s="1332">
        <f t="shared" si="19"/>
        <v>0</v>
      </c>
      <c r="AA8" s="1332">
        <f t="shared" si="19"/>
        <v>0</v>
      </c>
    </row>
    <row r="9">
      <c r="A9" s="1323" t="s">
        <v>2070</v>
      </c>
      <c r="B9" s="1324" t="s">
        <v>2923</v>
      </c>
      <c r="C9" s="1325">
        <f t="shared" si="4"/>
        <v>0</v>
      </c>
      <c r="D9" s="1326">
        <f t="shared" si="5"/>
        <v>0</v>
      </c>
      <c r="E9" s="1325">
        <f t="shared" si="6"/>
        <v>0</v>
      </c>
      <c r="F9" s="1325">
        <f t="shared" si="7"/>
        <v>0</v>
      </c>
      <c r="G9" s="1327">
        <f t="shared" si="8"/>
        <v>0</v>
      </c>
      <c r="H9" s="1328">
        <f t="shared" si="9"/>
        <v>0</v>
      </c>
      <c r="I9" s="1329" t="str">
        <f t="shared" si="10"/>
        <v/>
      </c>
      <c r="J9" s="1330">
        <f t="shared" si="11"/>
        <v>0</v>
      </c>
      <c r="K9" s="1330">
        <f t="shared" si="12"/>
        <v>0</v>
      </c>
      <c r="L9" s="1331">
        <f t="shared" si="13"/>
        <v>0</v>
      </c>
      <c r="M9" s="1331">
        <f t="shared" si="14"/>
        <v>0</v>
      </c>
      <c r="N9" s="1331">
        <f t="shared" si="15"/>
        <v>0</v>
      </c>
      <c r="O9" s="1331">
        <f t="shared" si="16"/>
        <v>0</v>
      </c>
      <c r="P9" s="1332">
        <f t="shared" ref="P9:AA9" si="20">SUMIF($A$18:$A$72,$A9,R$18:R$72)</f>
        <v>0</v>
      </c>
      <c r="Q9" s="1332">
        <f t="shared" si="20"/>
        <v>0</v>
      </c>
      <c r="R9" s="1332">
        <f t="shared" si="20"/>
        <v>0</v>
      </c>
      <c r="S9" s="1332">
        <f t="shared" si="20"/>
        <v>0</v>
      </c>
      <c r="T9" s="1332">
        <f t="shared" si="20"/>
        <v>0</v>
      </c>
      <c r="U9" s="1332">
        <f t="shared" si="20"/>
        <v>0</v>
      </c>
      <c r="V9" s="1332">
        <f t="shared" si="20"/>
        <v>0</v>
      </c>
      <c r="W9" s="1332">
        <f t="shared" si="20"/>
        <v>0</v>
      </c>
      <c r="X9" s="1332">
        <f t="shared" si="20"/>
        <v>0</v>
      </c>
      <c r="Y9" s="1332">
        <f t="shared" si="20"/>
        <v>0</v>
      </c>
      <c r="Z9" s="1332">
        <f t="shared" si="20"/>
        <v>0</v>
      </c>
      <c r="AA9" s="1332">
        <f t="shared" si="20"/>
        <v>0</v>
      </c>
    </row>
    <row r="10">
      <c r="A10" s="1323" t="s">
        <v>2071</v>
      </c>
      <c r="B10" s="1324" t="s">
        <v>2924</v>
      </c>
      <c r="C10" s="1325">
        <f t="shared" si="4"/>
        <v>0</v>
      </c>
      <c r="D10" s="1326">
        <f t="shared" si="5"/>
        <v>0</v>
      </c>
      <c r="E10" s="1325">
        <f t="shared" si="6"/>
        <v>0</v>
      </c>
      <c r="F10" s="1325">
        <f t="shared" si="7"/>
        <v>0</v>
      </c>
      <c r="G10" s="1327">
        <f t="shared" si="8"/>
        <v>0</v>
      </c>
      <c r="H10" s="1328">
        <f t="shared" si="9"/>
        <v>0</v>
      </c>
      <c r="I10" s="1329" t="str">
        <f t="shared" si="10"/>
        <v/>
      </c>
      <c r="J10" s="1330">
        <f t="shared" si="11"/>
        <v>0</v>
      </c>
      <c r="K10" s="1330">
        <f t="shared" si="12"/>
        <v>0</v>
      </c>
      <c r="L10" s="1331">
        <f t="shared" si="13"/>
        <v>0</v>
      </c>
      <c r="M10" s="1331">
        <f t="shared" si="14"/>
        <v>0</v>
      </c>
      <c r="N10" s="1331">
        <f t="shared" si="15"/>
        <v>0</v>
      </c>
      <c r="O10" s="1331">
        <f t="shared" si="16"/>
        <v>0</v>
      </c>
      <c r="P10" s="1332">
        <f t="shared" ref="P10:AA10" si="21">SUMIF($A$18:$A$72,$A10,R$18:R$72)</f>
        <v>0</v>
      </c>
      <c r="Q10" s="1332">
        <f t="shared" si="21"/>
        <v>0</v>
      </c>
      <c r="R10" s="1332">
        <f t="shared" si="21"/>
        <v>0</v>
      </c>
      <c r="S10" s="1332">
        <f t="shared" si="21"/>
        <v>0</v>
      </c>
      <c r="T10" s="1332">
        <f t="shared" si="21"/>
        <v>0</v>
      </c>
      <c r="U10" s="1332">
        <f t="shared" si="21"/>
        <v>0</v>
      </c>
      <c r="V10" s="1332">
        <f t="shared" si="21"/>
        <v>0</v>
      </c>
      <c r="W10" s="1332">
        <f t="shared" si="21"/>
        <v>0</v>
      </c>
      <c r="X10" s="1332">
        <f t="shared" si="21"/>
        <v>0</v>
      </c>
      <c r="Y10" s="1332">
        <f t="shared" si="21"/>
        <v>0</v>
      </c>
      <c r="Z10" s="1332">
        <f t="shared" si="21"/>
        <v>0</v>
      </c>
      <c r="AA10" s="1332">
        <f t="shared" si="21"/>
        <v>0</v>
      </c>
    </row>
    <row r="11">
      <c r="A11" s="1323" t="s">
        <v>2072</v>
      </c>
      <c r="B11" s="1324" t="s">
        <v>2925</v>
      </c>
      <c r="C11" s="1325">
        <f t="shared" si="4"/>
        <v>0</v>
      </c>
      <c r="D11" s="1326">
        <f t="shared" si="5"/>
        <v>0</v>
      </c>
      <c r="E11" s="1325">
        <f t="shared" si="6"/>
        <v>0</v>
      </c>
      <c r="F11" s="1325">
        <f t="shared" si="7"/>
        <v>0</v>
      </c>
      <c r="G11" s="1327">
        <f t="shared" si="8"/>
        <v>0</v>
      </c>
      <c r="H11" s="1328">
        <f t="shared" si="9"/>
        <v>0</v>
      </c>
      <c r="I11" s="1329" t="str">
        <f t="shared" si="10"/>
        <v/>
      </c>
      <c r="J11" s="1330">
        <f t="shared" si="11"/>
        <v>0</v>
      </c>
      <c r="K11" s="1330">
        <f t="shared" si="12"/>
        <v>0</v>
      </c>
      <c r="L11" s="1331">
        <f t="shared" si="13"/>
        <v>0</v>
      </c>
      <c r="M11" s="1331">
        <f t="shared" si="14"/>
        <v>0</v>
      </c>
      <c r="N11" s="1331">
        <f t="shared" si="15"/>
        <v>0</v>
      </c>
      <c r="O11" s="1331">
        <f t="shared" si="16"/>
        <v>0</v>
      </c>
      <c r="P11" s="1332">
        <f t="shared" ref="P11:AA11" si="22">SUMIF($A$18:$A$72,$A11,R$18:R$72)</f>
        <v>0</v>
      </c>
      <c r="Q11" s="1332">
        <f t="shared" si="22"/>
        <v>0</v>
      </c>
      <c r="R11" s="1332">
        <f t="shared" si="22"/>
        <v>0</v>
      </c>
      <c r="S11" s="1332">
        <f t="shared" si="22"/>
        <v>0</v>
      </c>
      <c r="T11" s="1332">
        <f t="shared" si="22"/>
        <v>0</v>
      </c>
      <c r="U11" s="1332">
        <f t="shared" si="22"/>
        <v>0</v>
      </c>
      <c r="V11" s="1332">
        <f t="shared" si="22"/>
        <v>0</v>
      </c>
      <c r="W11" s="1332">
        <f t="shared" si="22"/>
        <v>0</v>
      </c>
      <c r="X11" s="1332">
        <f t="shared" si="22"/>
        <v>0</v>
      </c>
      <c r="Y11" s="1332">
        <f t="shared" si="22"/>
        <v>0</v>
      </c>
      <c r="Z11" s="1332">
        <f t="shared" si="22"/>
        <v>0</v>
      </c>
      <c r="AA11" s="1332">
        <f t="shared" si="22"/>
        <v>0</v>
      </c>
    </row>
    <row r="12">
      <c r="A12" s="1323" t="s">
        <v>2073</v>
      </c>
      <c r="B12" s="1324" t="s">
        <v>2926</v>
      </c>
      <c r="C12" s="1325">
        <f t="shared" si="4"/>
        <v>0</v>
      </c>
      <c r="D12" s="1326">
        <f t="shared" si="5"/>
        <v>0</v>
      </c>
      <c r="E12" s="1325">
        <f t="shared" si="6"/>
        <v>0</v>
      </c>
      <c r="F12" s="1325">
        <f t="shared" si="7"/>
        <v>0</v>
      </c>
      <c r="G12" s="1327">
        <f t="shared" si="8"/>
        <v>0</v>
      </c>
      <c r="H12" s="1328">
        <f t="shared" si="9"/>
        <v>0</v>
      </c>
      <c r="I12" s="1329" t="str">
        <f t="shared" si="10"/>
        <v/>
      </c>
      <c r="J12" s="1330">
        <f t="shared" si="11"/>
        <v>0</v>
      </c>
      <c r="K12" s="1330">
        <f t="shared" si="12"/>
        <v>0</v>
      </c>
      <c r="L12" s="1331">
        <f t="shared" si="13"/>
        <v>0</v>
      </c>
      <c r="M12" s="1331">
        <f t="shared" si="14"/>
        <v>0</v>
      </c>
      <c r="N12" s="1331">
        <f t="shared" si="15"/>
        <v>0</v>
      </c>
      <c r="O12" s="1331">
        <f t="shared" si="16"/>
        <v>0</v>
      </c>
      <c r="P12" s="1332">
        <f t="shared" ref="P12:AA12" si="23">SUMIF($A$18:$A$72,$A12,R$18:R$72)</f>
        <v>0</v>
      </c>
      <c r="Q12" s="1332">
        <f t="shared" si="23"/>
        <v>0</v>
      </c>
      <c r="R12" s="1332">
        <f t="shared" si="23"/>
        <v>0</v>
      </c>
      <c r="S12" s="1332">
        <f t="shared" si="23"/>
        <v>0</v>
      </c>
      <c r="T12" s="1332">
        <f t="shared" si="23"/>
        <v>0</v>
      </c>
      <c r="U12" s="1332">
        <f t="shared" si="23"/>
        <v>0</v>
      </c>
      <c r="V12" s="1332">
        <f t="shared" si="23"/>
        <v>0</v>
      </c>
      <c r="W12" s="1332">
        <f t="shared" si="23"/>
        <v>0</v>
      </c>
      <c r="X12" s="1332">
        <f t="shared" si="23"/>
        <v>0</v>
      </c>
      <c r="Y12" s="1332">
        <f t="shared" si="23"/>
        <v>0</v>
      </c>
      <c r="Z12" s="1332">
        <f t="shared" si="23"/>
        <v>0</v>
      </c>
      <c r="AA12" s="1332">
        <f t="shared" si="23"/>
        <v>0</v>
      </c>
    </row>
    <row r="13">
      <c r="A13" s="1333" t="s">
        <v>2821</v>
      </c>
      <c r="B13" s="1334" t="s">
        <v>2927</v>
      </c>
      <c r="C13" s="1325">
        <f t="shared" si="4"/>
        <v>150000000</v>
      </c>
      <c r="D13" s="1326">
        <f t="shared" si="5"/>
        <v>0.2808988764</v>
      </c>
      <c r="E13" s="1325">
        <f t="shared" si="6"/>
        <v>62500000</v>
      </c>
      <c r="F13" s="1325">
        <f t="shared" si="7"/>
        <v>3863100</v>
      </c>
      <c r="G13" s="1327">
        <f t="shared" si="8"/>
        <v>0.1061575997</v>
      </c>
      <c r="H13" s="1328">
        <f t="shared" si="9"/>
        <v>-58636900</v>
      </c>
      <c r="I13" s="1329">
        <f t="shared" si="10"/>
        <v>-0.9381904</v>
      </c>
      <c r="J13" s="1330">
        <f t="shared" si="11"/>
        <v>75000000</v>
      </c>
      <c r="K13" s="1330">
        <f t="shared" si="12"/>
        <v>50000000</v>
      </c>
      <c r="L13" s="1331">
        <f t="shared" si="13"/>
        <v>37500000</v>
      </c>
      <c r="M13" s="1331">
        <f t="shared" si="14"/>
        <v>37500000</v>
      </c>
      <c r="N13" s="1331">
        <f t="shared" si="15"/>
        <v>37500000</v>
      </c>
      <c r="O13" s="1331">
        <f t="shared" si="16"/>
        <v>12500000</v>
      </c>
      <c r="P13" s="1332">
        <f t="shared" ref="P13:AA13" si="24">SUMIF($A$18:$A$72,$A13,R$18:R$72)</f>
        <v>12500000</v>
      </c>
      <c r="Q13" s="1332">
        <f t="shared" si="24"/>
        <v>12500000</v>
      </c>
      <c r="R13" s="1332">
        <f t="shared" si="24"/>
        <v>12500000</v>
      </c>
      <c r="S13" s="1332">
        <f t="shared" si="24"/>
        <v>12500000</v>
      </c>
      <c r="T13" s="1332">
        <f t="shared" si="24"/>
        <v>12500000</v>
      </c>
      <c r="U13" s="1332">
        <f t="shared" si="24"/>
        <v>12500000</v>
      </c>
      <c r="V13" s="1332">
        <f t="shared" si="24"/>
        <v>12500000</v>
      </c>
      <c r="W13" s="1332">
        <f t="shared" si="24"/>
        <v>12500000</v>
      </c>
      <c r="X13" s="1332">
        <f t="shared" si="24"/>
        <v>12500000</v>
      </c>
      <c r="Y13" s="1332">
        <f t="shared" si="24"/>
        <v>12500000</v>
      </c>
      <c r="Z13" s="1332">
        <f t="shared" si="24"/>
        <v>0</v>
      </c>
      <c r="AA13" s="1332">
        <f t="shared" si="24"/>
        <v>0</v>
      </c>
    </row>
    <row r="14" hidden="1">
      <c r="A14" s="1323"/>
      <c r="B14" s="1324"/>
      <c r="C14" s="1325">
        <f t="shared" si="4"/>
        <v>0</v>
      </c>
      <c r="D14" s="1326">
        <f t="shared" si="5"/>
        <v>0</v>
      </c>
      <c r="E14" s="1325">
        <f t="shared" si="6"/>
        <v>0</v>
      </c>
      <c r="F14" s="1325">
        <f t="shared" si="7"/>
        <v>0</v>
      </c>
      <c r="G14" s="1327">
        <f t="shared" si="8"/>
        <v>0</v>
      </c>
      <c r="H14" s="1328">
        <f t="shared" si="9"/>
        <v>0</v>
      </c>
      <c r="I14" s="1329" t="str">
        <f t="shared" si="10"/>
        <v/>
      </c>
      <c r="J14" s="1330">
        <f t="shared" si="11"/>
        <v>0</v>
      </c>
      <c r="K14" s="1330">
        <f t="shared" si="12"/>
        <v>0</v>
      </c>
      <c r="L14" s="1331">
        <f t="shared" si="13"/>
        <v>0</v>
      </c>
      <c r="M14" s="1331">
        <f t="shared" si="14"/>
        <v>0</v>
      </c>
      <c r="N14" s="1331">
        <f t="shared" si="15"/>
        <v>0</v>
      </c>
      <c r="O14" s="1331">
        <f t="shared" si="16"/>
        <v>0</v>
      </c>
      <c r="P14" s="1332">
        <f t="shared" ref="P14:AA14" si="25">SUMIF($A$18:$A$72,$A14,R$18:R$72)</f>
        <v>0</v>
      </c>
      <c r="Q14" s="1332">
        <f t="shared" si="25"/>
        <v>0</v>
      </c>
      <c r="R14" s="1332">
        <f t="shared" si="25"/>
        <v>0</v>
      </c>
      <c r="S14" s="1332">
        <f t="shared" si="25"/>
        <v>0</v>
      </c>
      <c r="T14" s="1332">
        <f t="shared" si="25"/>
        <v>0</v>
      </c>
      <c r="U14" s="1332">
        <f t="shared" si="25"/>
        <v>0</v>
      </c>
      <c r="V14" s="1332">
        <f t="shared" si="25"/>
        <v>0</v>
      </c>
      <c r="W14" s="1332">
        <f t="shared" si="25"/>
        <v>0</v>
      </c>
      <c r="X14" s="1332">
        <f t="shared" si="25"/>
        <v>0</v>
      </c>
      <c r="Y14" s="1332">
        <f t="shared" si="25"/>
        <v>0</v>
      </c>
      <c r="Z14" s="1332">
        <f t="shared" si="25"/>
        <v>0</v>
      </c>
      <c r="AA14" s="1332">
        <f t="shared" si="25"/>
        <v>0</v>
      </c>
    </row>
    <row r="15" hidden="1">
      <c r="A15" s="1323"/>
      <c r="B15" s="1324"/>
      <c r="C15" s="1325">
        <f t="shared" si="4"/>
        <v>0</v>
      </c>
      <c r="D15" s="1326">
        <f t="shared" si="5"/>
        <v>0</v>
      </c>
      <c r="E15" s="1325">
        <f t="shared" si="6"/>
        <v>0</v>
      </c>
      <c r="F15" s="1325">
        <f t="shared" si="7"/>
        <v>0</v>
      </c>
      <c r="G15" s="1327">
        <f t="shared" si="8"/>
        <v>0</v>
      </c>
      <c r="H15" s="1328">
        <f t="shared" si="9"/>
        <v>0</v>
      </c>
      <c r="I15" s="1329" t="str">
        <f t="shared" si="10"/>
        <v/>
      </c>
      <c r="J15" s="1330">
        <f t="shared" si="11"/>
        <v>0</v>
      </c>
      <c r="K15" s="1330">
        <f t="shared" si="12"/>
        <v>0</v>
      </c>
      <c r="L15" s="1331">
        <f t="shared" si="13"/>
        <v>0</v>
      </c>
      <c r="M15" s="1331">
        <f t="shared" si="14"/>
        <v>0</v>
      </c>
      <c r="N15" s="1331">
        <f t="shared" si="15"/>
        <v>0</v>
      </c>
      <c r="O15" s="1331">
        <f t="shared" si="16"/>
        <v>0</v>
      </c>
      <c r="P15" s="1332">
        <f t="shared" ref="P15:AA15" si="26">SUMIF($A$18:$A$72,$A15,R$18:R$72)</f>
        <v>0</v>
      </c>
      <c r="Q15" s="1332">
        <f t="shared" si="26"/>
        <v>0</v>
      </c>
      <c r="R15" s="1332">
        <f t="shared" si="26"/>
        <v>0</v>
      </c>
      <c r="S15" s="1332">
        <f t="shared" si="26"/>
        <v>0</v>
      </c>
      <c r="T15" s="1332">
        <f t="shared" si="26"/>
        <v>0</v>
      </c>
      <c r="U15" s="1332">
        <f t="shared" si="26"/>
        <v>0</v>
      </c>
      <c r="V15" s="1332">
        <f t="shared" si="26"/>
        <v>0</v>
      </c>
      <c r="W15" s="1332">
        <f t="shared" si="26"/>
        <v>0</v>
      </c>
      <c r="X15" s="1332">
        <f t="shared" si="26"/>
        <v>0</v>
      </c>
      <c r="Y15" s="1332">
        <f t="shared" si="26"/>
        <v>0</v>
      </c>
      <c r="Z15" s="1332">
        <f t="shared" si="26"/>
        <v>0</v>
      </c>
      <c r="AA15" s="1332">
        <f t="shared" si="26"/>
        <v>0</v>
      </c>
    </row>
    <row r="16">
      <c r="A16" s="1323" t="s">
        <v>2074</v>
      </c>
      <c r="B16" s="1324" t="s">
        <v>2928</v>
      </c>
      <c r="C16" s="1325">
        <f t="shared" si="4"/>
        <v>0</v>
      </c>
      <c r="D16" s="1326">
        <f t="shared" si="5"/>
        <v>0</v>
      </c>
      <c r="E16" s="1325">
        <f t="shared" si="6"/>
        <v>0</v>
      </c>
      <c r="F16" s="1325">
        <f t="shared" si="7"/>
        <v>0</v>
      </c>
      <c r="G16" s="1327">
        <f t="shared" si="8"/>
        <v>0</v>
      </c>
      <c r="H16" s="1328">
        <f t="shared" si="9"/>
        <v>0</v>
      </c>
      <c r="I16" s="1329" t="str">
        <f t="shared" si="10"/>
        <v/>
      </c>
      <c r="J16" s="1330">
        <f t="shared" si="11"/>
        <v>0</v>
      </c>
      <c r="K16" s="1330">
        <f t="shared" si="12"/>
        <v>0</v>
      </c>
      <c r="L16" s="1331">
        <f t="shared" si="13"/>
        <v>0</v>
      </c>
      <c r="M16" s="1331">
        <f t="shared" si="14"/>
        <v>0</v>
      </c>
      <c r="N16" s="1331">
        <f t="shared" si="15"/>
        <v>0</v>
      </c>
      <c r="O16" s="1331">
        <f t="shared" si="16"/>
        <v>0</v>
      </c>
      <c r="P16" s="1332">
        <f t="shared" ref="P16:AA16" si="27">SUMIF($A$18:$A$72,$A16,R$18:R$72)</f>
        <v>0</v>
      </c>
      <c r="Q16" s="1332">
        <f t="shared" si="27"/>
        <v>0</v>
      </c>
      <c r="R16" s="1332">
        <f t="shared" si="27"/>
        <v>0</v>
      </c>
      <c r="S16" s="1332">
        <f t="shared" si="27"/>
        <v>0</v>
      </c>
      <c r="T16" s="1332">
        <f t="shared" si="27"/>
        <v>0</v>
      </c>
      <c r="U16" s="1332">
        <f t="shared" si="27"/>
        <v>0</v>
      </c>
      <c r="V16" s="1332">
        <f t="shared" si="27"/>
        <v>0</v>
      </c>
      <c r="W16" s="1332">
        <f t="shared" si="27"/>
        <v>0</v>
      </c>
      <c r="X16" s="1332">
        <f t="shared" si="27"/>
        <v>0</v>
      </c>
      <c r="Y16" s="1332">
        <f t="shared" si="27"/>
        <v>0</v>
      </c>
      <c r="Z16" s="1332">
        <f t="shared" si="27"/>
        <v>0</v>
      </c>
      <c r="AA16" s="1332">
        <f t="shared" si="27"/>
        <v>0</v>
      </c>
    </row>
    <row r="17">
      <c r="A17" s="1335" t="s">
        <v>2929</v>
      </c>
      <c r="B17" s="1335" t="s">
        <v>2914</v>
      </c>
      <c r="C17" s="1315" t="s">
        <v>2930</v>
      </c>
      <c r="D17" s="1336" t="s">
        <v>2931</v>
      </c>
      <c r="E17" s="1315" t="s">
        <v>2917</v>
      </c>
      <c r="F17" s="1315" t="s">
        <v>2918</v>
      </c>
      <c r="G17" s="1316" t="s">
        <v>2060</v>
      </c>
      <c r="H17" s="1315" t="s">
        <v>2059</v>
      </c>
      <c r="I17" s="1315" t="s">
        <v>2058</v>
      </c>
      <c r="J17" s="1337" t="s">
        <v>1914</v>
      </c>
      <c r="K17" s="1337" t="s">
        <v>2896</v>
      </c>
      <c r="L17" s="1338" t="s">
        <v>2806</v>
      </c>
      <c r="M17" s="1338" t="s">
        <v>2807</v>
      </c>
      <c r="N17" s="1338" t="s">
        <v>2809</v>
      </c>
      <c r="O17" s="1338" t="s">
        <v>2810</v>
      </c>
      <c r="P17" s="1339" t="s">
        <v>2897</v>
      </c>
      <c r="Q17" s="1340" t="s">
        <v>2898</v>
      </c>
      <c r="R17" s="1340" t="s">
        <v>2899</v>
      </c>
      <c r="S17" s="1340" t="s">
        <v>2900</v>
      </c>
      <c r="T17" s="1340" t="s">
        <v>2901</v>
      </c>
      <c r="U17" s="1340" t="s">
        <v>2902</v>
      </c>
      <c r="V17" s="1340" t="s">
        <v>2903</v>
      </c>
      <c r="W17" s="1340" t="s">
        <v>2904</v>
      </c>
      <c r="X17" s="1340" t="s">
        <v>2905</v>
      </c>
      <c r="Y17" s="1340" t="s">
        <v>2906</v>
      </c>
      <c r="Z17" s="1340" t="s">
        <v>2907</v>
      </c>
      <c r="AA17" s="1340" t="s">
        <v>2908</v>
      </c>
    </row>
    <row r="18">
      <c r="A18" s="1323" t="s">
        <v>2066</v>
      </c>
      <c r="B18" s="1324" t="s">
        <v>2919</v>
      </c>
      <c r="C18" s="1341"/>
      <c r="D18" s="1342"/>
      <c r="E18" s="1343">
        <f t="shared" ref="E18:E36" si="29">I18*H18</f>
        <v>120000000</v>
      </c>
      <c r="F18" s="1344">
        <f>sumifs(AC_SOTIEN,AC_DA,C18,AC_NGAY,"&lt;="&amp;$E$2,AC_KM,"DOANHSO")/1000</f>
        <v>0</v>
      </c>
      <c r="G18" s="1345">
        <f t="shared" ref="G18:G36" si="30">F18/SUM($F$18:$F$72)</f>
        <v>0</v>
      </c>
      <c r="H18" s="1346">
        <v>1200000.0</v>
      </c>
      <c r="I18" s="1347">
        <v>100.0</v>
      </c>
      <c r="J18" s="1330">
        <f t="shared" ref="J18:J72" si="31">SUM(L18:M18)</f>
        <v>60000000</v>
      </c>
      <c r="K18" s="1330">
        <f t="shared" ref="K18:K72" si="32">SUM(N18:O18)</f>
        <v>60000000</v>
      </c>
      <c r="L18" s="1331">
        <f t="shared" ref="L18:L72" si="33">SUM(P18:R18)</f>
        <v>30000000</v>
      </c>
      <c r="M18" s="1331">
        <f t="shared" ref="M18:M72" si="34">SUM(S18:U18)</f>
        <v>30000000</v>
      </c>
      <c r="N18" s="1331">
        <f t="shared" ref="N18:N72" si="35">SUM(V18:X18)</f>
        <v>30000000</v>
      </c>
      <c r="O18" s="1331">
        <f t="shared" ref="O18:O72" si="36">SUM(Y18:AA18)</f>
        <v>30000000</v>
      </c>
      <c r="P18" s="1348">
        <f t="shared" ref="P18:AA18" si="28">$E18/12</f>
        <v>10000000</v>
      </c>
      <c r="Q18" s="1348">
        <f t="shared" si="28"/>
        <v>10000000</v>
      </c>
      <c r="R18" s="1348">
        <f t="shared" si="28"/>
        <v>10000000</v>
      </c>
      <c r="S18" s="1348">
        <f t="shared" si="28"/>
        <v>10000000</v>
      </c>
      <c r="T18" s="1348">
        <f t="shared" si="28"/>
        <v>10000000</v>
      </c>
      <c r="U18" s="1348">
        <f t="shared" si="28"/>
        <v>10000000</v>
      </c>
      <c r="V18" s="1348">
        <f t="shared" si="28"/>
        <v>10000000</v>
      </c>
      <c r="W18" s="1348">
        <f t="shared" si="28"/>
        <v>10000000</v>
      </c>
      <c r="X18" s="1348">
        <f t="shared" si="28"/>
        <v>10000000</v>
      </c>
      <c r="Y18" s="1348">
        <f t="shared" si="28"/>
        <v>10000000</v>
      </c>
      <c r="Z18" s="1348">
        <f t="shared" si="28"/>
        <v>10000000</v>
      </c>
      <c r="AA18" s="1348">
        <f t="shared" si="28"/>
        <v>10000000</v>
      </c>
    </row>
    <row r="19">
      <c r="A19" s="1323" t="s">
        <v>2067</v>
      </c>
      <c r="B19" s="1324" t="s">
        <v>2920</v>
      </c>
      <c r="C19" s="1341"/>
      <c r="D19" s="1342"/>
      <c r="E19" s="1343">
        <f t="shared" si="29"/>
        <v>180000000</v>
      </c>
      <c r="F19" s="1344">
        <f>sumifs(AC_SOTIEN,AC_DA,C19,AC_NGAY,"&lt;="&amp;$E$2,AC_KM,"DOANHSO")/1000</f>
        <v>0</v>
      </c>
      <c r="G19" s="1345">
        <f t="shared" si="30"/>
        <v>0</v>
      </c>
      <c r="H19" s="1346">
        <v>1200000.0</v>
      </c>
      <c r="I19" s="1349">
        <v>150.0</v>
      </c>
      <c r="J19" s="1330">
        <f t="shared" si="31"/>
        <v>90000000</v>
      </c>
      <c r="K19" s="1330">
        <f t="shared" si="32"/>
        <v>90000000</v>
      </c>
      <c r="L19" s="1331">
        <f t="shared" si="33"/>
        <v>45000000</v>
      </c>
      <c r="M19" s="1331">
        <f t="shared" si="34"/>
        <v>45000000</v>
      </c>
      <c r="N19" s="1331">
        <f t="shared" si="35"/>
        <v>45000000</v>
      </c>
      <c r="O19" s="1331">
        <f t="shared" si="36"/>
        <v>45000000</v>
      </c>
      <c r="P19" s="1348">
        <f t="shared" ref="P19:AA19" si="37">$E19/12</f>
        <v>15000000</v>
      </c>
      <c r="Q19" s="1348">
        <f t="shared" si="37"/>
        <v>15000000</v>
      </c>
      <c r="R19" s="1348">
        <f t="shared" si="37"/>
        <v>15000000</v>
      </c>
      <c r="S19" s="1348">
        <f t="shared" si="37"/>
        <v>15000000</v>
      </c>
      <c r="T19" s="1348">
        <f t="shared" si="37"/>
        <v>15000000</v>
      </c>
      <c r="U19" s="1348">
        <f t="shared" si="37"/>
        <v>15000000</v>
      </c>
      <c r="V19" s="1348">
        <f t="shared" si="37"/>
        <v>15000000</v>
      </c>
      <c r="W19" s="1348">
        <f t="shared" si="37"/>
        <v>15000000</v>
      </c>
      <c r="X19" s="1348">
        <f t="shared" si="37"/>
        <v>15000000</v>
      </c>
      <c r="Y19" s="1348">
        <f t="shared" si="37"/>
        <v>15000000</v>
      </c>
      <c r="Z19" s="1348">
        <f t="shared" si="37"/>
        <v>15000000</v>
      </c>
      <c r="AA19" s="1348">
        <f t="shared" si="37"/>
        <v>15000000</v>
      </c>
    </row>
    <row r="20">
      <c r="A20" s="1323" t="s">
        <v>2068</v>
      </c>
      <c r="B20" s="1324" t="s">
        <v>2921</v>
      </c>
      <c r="C20" s="1341"/>
      <c r="D20" s="1342"/>
      <c r="E20" s="1343">
        <f t="shared" si="29"/>
        <v>0</v>
      </c>
      <c r="F20" s="1344">
        <f>sumifs(AC_SOTIEN,AC_DA,C20,AC_NGAY,"&lt;="&amp;$E$2,AC_KM,"DOANHSO")/1000</f>
        <v>0</v>
      </c>
      <c r="G20" s="1345">
        <f t="shared" si="30"/>
        <v>0</v>
      </c>
      <c r="H20" s="1346">
        <v>1200000.0</v>
      </c>
      <c r="I20" s="1349"/>
      <c r="J20" s="1330">
        <f t="shared" si="31"/>
        <v>0</v>
      </c>
      <c r="K20" s="1330">
        <f t="shared" si="32"/>
        <v>0</v>
      </c>
      <c r="L20" s="1331">
        <f t="shared" si="33"/>
        <v>0</v>
      </c>
      <c r="M20" s="1331">
        <f t="shared" si="34"/>
        <v>0</v>
      </c>
      <c r="N20" s="1331">
        <f t="shared" si="35"/>
        <v>0</v>
      </c>
      <c r="O20" s="1331">
        <f t="shared" si="36"/>
        <v>0</v>
      </c>
      <c r="P20" s="1348">
        <f t="shared" ref="P20:AA20" si="38">$E20/12</f>
        <v>0</v>
      </c>
      <c r="Q20" s="1348">
        <f t="shared" si="38"/>
        <v>0</v>
      </c>
      <c r="R20" s="1348">
        <f t="shared" si="38"/>
        <v>0</v>
      </c>
      <c r="S20" s="1348">
        <f t="shared" si="38"/>
        <v>0</v>
      </c>
      <c r="T20" s="1348">
        <f t="shared" si="38"/>
        <v>0</v>
      </c>
      <c r="U20" s="1348">
        <f t="shared" si="38"/>
        <v>0</v>
      </c>
      <c r="V20" s="1348">
        <f t="shared" si="38"/>
        <v>0</v>
      </c>
      <c r="W20" s="1348">
        <f t="shared" si="38"/>
        <v>0</v>
      </c>
      <c r="X20" s="1348">
        <f t="shared" si="38"/>
        <v>0</v>
      </c>
      <c r="Y20" s="1348">
        <f t="shared" si="38"/>
        <v>0</v>
      </c>
      <c r="Z20" s="1348">
        <f t="shared" si="38"/>
        <v>0</v>
      </c>
      <c r="AA20" s="1348">
        <f t="shared" si="38"/>
        <v>0</v>
      </c>
    </row>
    <row r="21">
      <c r="A21" s="1323" t="s">
        <v>2069</v>
      </c>
      <c r="B21" s="1324" t="s">
        <v>2922</v>
      </c>
      <c r="C21" s="1341"/>
      <c r="D21" s="1342"/>
      <c r="E21" s="1343">
        <f t="shared" si="29"/>
        <v>84000000</v>
      </c>
      <c r="F21" s="1344">
        <f>sumifs(AC_SOTIEN,AC_DA,C21,AC_NGAY,"&lt;="&amp;$E$2,AC_KM,"DOANHSO")/1000</f>
        <v>0</v>
      </c>
      <c r="G21" s="1345">
        <f t="shared" si="30"/>
        <v>0</v>
      </c>
      <c r="H21" s="1349">
        <v>700000.0</v>
      </c>
      <c r="I21" s="1350">
        <v>120.0</v>
      </c>
      <c r="J21" s="1330">
        <f t="shared" si="31"/>
        <v>42000000</v>
      </c>
      <c r="K21" s="1330">
        <f t="shared" si="32"/>
        <v>42000000</v>
      </c>
      <c r="L21" s="1331">
        <f t="shared" si="33"/>
        <v>21000000</v>
      </c>
      <c r="M21" s="1331">
        <f t="shared" si="34"/>
        <v>21000000</v>
      </c>
      <c r="N21" s="1331">
        <f t="shared" si="35"/>
        <v>21000000</v>
      </c>
      <c r="O21" s="1331">
        <f t="shared" si="36"/>
        <v>21000000</v>
      </c>
      <c r="P21" s="1348">
        <f t="shared" ref="P21:AA21" si="39">$E21/12</f>
        <v>7000000</v>
      </c>
      <c r="Q21" s="1348">
        <f t="shared" si="39"/>
        <v>7000000</v>
      </c>
      <c r="R21" s="1348">
        <f t="shared" si="39"/>
        <v>7000000</v>
      </c>
      <c r="S21" s="1348">
        <f t="shared" si="39"/>
        <v>7000000</v>
      </c>
      <c r="T21" s="1348">
        <f t="shared" si="39"/>
        <v>7000000</v>
      </c>
      <c r="U21" s="1348">
        <f t="shared" si="39"/>
        <v>7000000</v>
      </c>
      <c r="V21" s="1348">
        <f t="shared" si="39"/>
        <v>7000000</v>
      </c>
      <c r="W21" s="1348">
        <f t="shared" si="39"/>
        <v>7000000</v>
      </c>
      <c r="X21" s="1348">
        <f t="shared" si="39"/>
        <v>7000000</v>
      </c>
      <c r="Y21" s="1348">
        <f t="shared" si="39"/>
        <v>7000000</v>
      </c>
      <c r="Z21" s="1348">
        <f t="shared" si="39"/>
        <v>7000000</v>
      </c>
      <c r="AA21" s="1348">
        <f t="shared" si="39"/>
        <v>7000000</v>
      </c>
    </row>
    <row r="22">
      <c r="A22" s="1323" t="s">
        <v>2070</v>
      </c>
      <c r="B22" s="1324" t="s">
        <v>2923</v>
      </c>
      <c r="C22" s="1341"/>
      <c r="D22" s="1342"/>
      <c r="E22" s="1343">
        <f t="shared" si="29"/>
        <v>0</v>
      </c>
      <c r="F22" s="1344">
        <f>sumifs(AC_SOTIEN,AC_DA,C22,AC_NGAY,"&lt;="&amp;$E$2,AC_KM,"DOANHSO")/1000</f>
        <v>0</v>
      </c>
      <c r="G22" s="1345">
        <f t="shared" si="30"/>
        <v>0</v>
      </c>
      <c r="H22" s="1346">
        <v>1200000.0</v>
      </c>
      <c r="I22" s="1346"/>
      <c r="J22" s="1330">
        <f t="shared" si="31"/>
        <v>0</v>
      </c>
      <c r="K22" s="1330">
        <f t="shared" si="32"/>
        <v>0</v>
      </c>
      <c r="L22" s="1331">
        <f t="shared" si="33"/>
        <v>0</v>
      </c>
      <c r="M22" s="1331">
        <f t="shared" si="34"/>
        <v>0</v>
      </c>
      <c r="N22" s="1331">
        <f t="shared" si="35"/>
        <v>0</v>
      </c>
      <c r="O22" s="1331">
        <f t="shared" si="36"/>
        <v>0</v>
      </c>
      <c r="P22" s="1348">
        <f t="shared" ref="P22:AA22" si="40">$E22/12</f>
        <v>0</v>
      </c>
      <c r="Q22" s="1348">
        <f t="shared" si="40"/>
        <v>0</v>
      </c>
      <c r="R22" s="1348">
        <f t="shared" si="40"/>
        <v>0</v>
      </c>
      <c r="S22" s="1348">
        <f t="shared" si="40"/>
        <v>0</v>
      </c>
      <c r="T22" s="1348">
        <f t="shared" si="40"/>
        <v>0</v>
      </c>
      <c r="U22" s="1348">
        <f t="shared" si="40"/>
        <v>0</v>
      </c>
      <c r="V22" s="1348">
        <f t="shared" si="40"/>
        <v>0</v>
      </c>
      <c r="W22" s="1348">
        <f t="shared" si="40"/>
        <v>0</v>
      </c>
      <c r="X22" s="1348">
        <f t="shared" si="40"/>
        <v>0</v>
      </c>
      <c r="Y22" s="1348">
        <f t="shared" si="40"/>
        <v>0</v>
      </c>
      <c r="Z22" s="1348">
        <f t="shared" si="40"/>
        <v>0</v>
      </c>
      <c r="AA22" s="1348">
        <f t="shared" si="40"/>
        <v>0</v>
      </c>
    </row>
    <row r="23">
      <c r="A23" s="1323" t="s">
        <v>2071</v>
      </c>
      <c r="B23" s="1324" t="s">
        <v>2924</v>
      </c>
      <c r="C23" s="1341"/>
      <c r="D23" s="1342"/>
      <c r="E23" s="1343">
        <f t="shared" si="29"/>
        <v>0</v>
      </c>
      <c r="F23" s="1344">
        <f>sumifs(AC_SOTIEN,AC_DA,C23,AC_NGAY,"&lt;="&amp;$E$2,AC_KM,"DOANHSO")/1000</f>
        <v>0</v>
      </c>
      <c r="G23" s="1345">
        <f t="shared" si="30"/>
        <v>0</v>
      </c>
      <c r="H23" s="1346">
        <v>1200000.0</v>
      </c>
      <c r="I23" s="1346"/>
      <c r="J23" s="1330">
        <f t="shared" si="31"/>
        <v>0</v>
      </c>
      <c r="K23" s="1330">
        <f t="shared" si="32"/>
        <v>0</v>
      </c>
      <c r="L23" s="1331">
        <f t="shared" si="33"/>
        <v>0</v>
      </c>
      <c r="M23" s="1331">
        <f t="shared" si="34"/>
        <v>0</v>
      </c>
      <c r="N23" s="1331">
        <f t="shared" si="35"/>
        <v>0</v>
      </c>
      <c r="O23" s="1331">
        <f t="shared" si="36"/>
        <v>0</v>
      </c>
      <c r="P23" s="1348">
        <f t="shared" ref="P23:AA23" si="41">$E23/12</f>
        <v>0</v>
      </c>
      <c r="Q23" s="1348">
        <f t="shared" si="41"/>
        <v>0</v>
      </c>
      <c r="R23" s="1348">
        <f t="shared" si="41"/>
        <v>0</v>
      </c>
      <c r="S23" s="1348">
        <f t="shared" si="41"/>
        <v>0</v>
      </c>
      <c r="T23" s="1348">
        <f t="shared" si="41"/>
        <v>0</v>
      </c>
      <c r="U23" s="1348">
        <f t="shared" si="41"/>
        <v>0</v>
      </c>
      <c r="V23" s="1348">
        <f t="shared" si="41"/>
        <v>0</v>
      </c>
      <c r="W23" s="1348">
        <f t="shared" si="41"/>
        <v>0</v>
      </c>
      <c r="X23" s="1348">
        <f t="shared" si="41"/>
        <v>0</v>
      </c>
      <c r="Y23" s="1348">
        <f t="shared" si="41"/>
        <v>0</v>
      </c>
      <c r="Z23" s="1348">
        <f t="shared" si="41"/>
        <v>0</v>
      </c>
      <c r="AA23" s="1348">
        <f t="shared" si="41"/>
        <v>0</v>
      </c>
    </row>
    <row r="24">
      <c r="A24" s="1323" t="s">
        <v>2072</v>
      </c>
      <c r="B24" s="1324" t="s">
        <v>2925</v>
      </c>
      <c r="C24" s="1341"/>
      <c r="D24" s="1342"/>
      <c r="E24" s="1343">
        <f t="shared" si="29"/>
        <v>0</v>
      </c>
      <c r="F24" s="1344">
        <f>sumifs(AC_SOTIEN,AC_DA,C24,AC_NGAY,"&lt;="&amp;$E$2,AC_KM,"DOANHSO")/1000</f>
        <v>0</v>
      </c>
      <c r="G24" s="1345">
        <f t="shared" si="30"/>
        <v>0</v>
      </c>
      <c r="H24" s="1346">
        <v>1200000.0</v>
      </c>
      <c r="I24" s="1346"/>
      <c r="J24" s="1330">
        <f t="shared" si="31"/>
        <v>0</v>
      </c>
      <c r="K24" s="1330">
        <f t="shared" si="32"/>
        <v>0</v>
      </c>
      <c r="L24" s="1331">
        <f t="shared" si="33"/>
        <v>0</v>
      </c>
      <c r="M24" s="1331">
        <f t="shared" si="34"/>
        <v>0</v>
      </c>
      <c r="N24" s="1331">
        <f t="shared" si="35"/>
        <v>0</v>
      </c>
      <c r="O24" s="1331">
        <f t="shared" si="36"/>
        <v>0</v>
      </c>
      <c r="P24" s="1348">
        <f t="shared" ref="P24:AA24" si="42">$E24/12</f>
        <v>0</v>
      </c>
      <c r="Q24" s="1348">
        <f t="shared" si="42"/>
        <v>0</v>
      </c>
      <c r="R24" s="1348">
        <f t="shared" si="42"/>
        <v>0</v>
      </c>
      <c r="S24" s="1348">
        <f t="shared" si="42"/>
        <v>0</v>
      </c>
      <c r="T24" s="1348">
        <f t="shared" si="42"/>
        <v>0</v>
      </c>
      <c r="U24" s="1348">
        <f t="shared" si="42"/>
        <v>0</v>
      </c>
      <c r="V24" s="1348">
        <f t="shared" si="42"/>
        <v>0</v>
      </c>
      <c r="W24" s="1348">
        <f t="shared" si="42"/>
        <v>0</v>
      </c>
      <c r="X24" s="1348">
        <f t="shared" si="42"/>
        <v>0</v>
      </c>
      <c r="Y24" s="1348">
        <f t="shared" si="42"/>
        <v>0</v>
      </c>
      <c r="Z24" s="1348">
        <f t="shared" si="42"/>
        <v>0</v>
      </c>
      <c r="AA24" s="1348">
        <f t="shared" si="42"/>
        <v>0</v>
      </c>
    </row>
    <row r="25">
      <c r="A25" s="1323" t="s">
        <v>2073</v>
      </c>
      <c r="B25" s="1324" t="s">
        <v>2926</v>
      </c>
      <c r="C25" s="1341"/>
      <c r="D25" s="1342"/>
      <c r="E25" s="1343">
        <f t="shared" si="29"/>
        <v>0</v>
      </c>
      <c r="F25" s="1344">
        <f>sumifs(AC_SOTIEN,AC_DA,C25,AC_NGAY,"&lt;="&amp;$E$2,AC_KM,"DOANHSO")/1000</f>
        <v>0</v>
      </c>
      <c r="G25" s="1345">
        <f t="shared" si="30"/>
        <v>0</v>
      </c>
      <c r="H25" s="1346">
        <v>1200000.0</v>
      </c>
      <c r="I25" s="1346"/>
      <c r="J25" s="1330">
        <f t="shared" si="31"/>
        <v>0</v>
      </c>
      <c r="K25" s="1330">
        <f t="shared" si="32"/>
        <v>0</v>
      </c>
      <c r="L25" s="1331">
        <f t="shared" si="33"/>
        <v>0</v>
      </c>
      <c r="M25" s="1331">
        <f t="shared" si="34"/>
        <v>0</v>
      </c>
      <c r="N25" s="1331">
        <f t="shared" si="35"/>
        <v>0</v>
      </c>
      <c r="O25" s="1331">
        <f t="shared" si="36"/>
        <v>0</v>
      </c>
      <c r="P25" s="1348">
        <f t="shared" ref="P25:AA25" si="43">$E25/12</f>
        <v>0</v>
      </c>
      <c r="Q25" s="1348">
        <f t="shared" si="43"/>
        <v>0</v>
      </c>
      <c r="R25" s="1348">
        <f t="shared" si="43"/>
        <v>0</v>
      </c>
      <c r="S25" s="1348">
        <f t="shared" si="43"/>
        <v>0</v>
      </c>
      <c r="T25" s="1348">
        <f t="shared" si="43"/>
        <v>0</v>
      </c>
      <c r="U25" s="1348">
        <f t="shared" si="43"/>
        <v>0</v>
      </c>
      <c r="V25" s="1348">
        <f t="shared" si="43"/>
        <v>0</v>
      </c>
      <c r="W25" s="1348">
        <f t="shared" si="43"/>
        <v>0</v>
      </c>
      <c r="X25" s="1348">
        <f t="shared" si="43"/>
        <v>0</v>
      </c>
      <c r="Y25" s="1348">
        <f t="shared" si="43"/>
        <v>0</v>
      </c>
      <c r="Z25" s="1348">
        <f t="shared" si="43"/>
        <v>0</v>
      </c>
      <c r="AA25" s="1348">
        <f t="shared" si="43"/>
        <v>0</v>
      </c>
    </row>
    <row r="26">
      <c r="A26" s="1323" t="s">
        <v>2074</v>
      </c>
      <c r="B26" s="1324" t="s">
        <v>2928</v>
      </c>
      <c r="C26" s="1341"/>
      <c r="D26" s="1342"/>
      <c r="E26" s="1343">
        <f t="shared" si="29"/>
        <v>0</v>
      </c>
      <c r="F26" s="1344">
        <f>sumifs(AC_SOTIEN,AC_DA,C26,AC_NGAY,"&lt;="&amp;$E$2,AC_KM,"DOANHSO")/1000</f>
        <v>0</v>
      </c>
      <c r="G26" s="1345">
        <f t="shared" si="30"/>
        <v>0</v>
      </c>
      <c r="H26" s="1346">
        <v>1200000.0</v>
      </c>
      <c r="I26" s="1346"/>
      <c r="J26" s="1330">
        <f t="shared" si="31"/>
        <v>0</v>
      </c>
      <c r="K26" s="1330">
        <f t="shared" si="32"/>
        <v>0</v>
      </c>
      <c r="L26" s="1331">
        <f t="shared" si="33"/>
        <v>0</v>
      </c>
      <c r="M26" s="1331">
        <f t="shared" si="34"/>
        <v>0</v>
      </c>
      <c r="N26" s="1331">
        <f t="shared" si="35"/>
        <v>0</v>
      </c>
      <c r="O26" s="1331">
        <f t="shared" si="36"/>
        <v>0</v>
      </c>
      <c r="P26" s="1348">
        <f t="shared" ref="P26:AA26" si="44">$E26/12</f>
        <v>0</v>
      </c>
      <c r="Q26" s="1348">
        <f t="shared" si="44"/>
        <v>0</v>
      </c>
      <c r="R26" s="1348">
        <f t="shared" si="44"/>
        <v>0</v>
      </c>
      <c r="S26" s="1348">
        <f t="shared" si="44"/>
        <v>0</v>
      </c>
      <c r="T26" s="1348">
        <f t="shared" si="44"/>
        <v>0</v>
      </c>
      <c r="U26" s="1348">
        <f t="shared" si="44"/>
        <v>0</v>
      </c>
      <c r="V26" s="1348">
        <f t="shared" si="44"/>
        <v>0</v>
      </c>
      <c r="W26" s="1348">
        <f t="shared" si="44"/>
        <v>0</v>
      </c>
      <c r="X26" s="1348">
        <f t="shared" si="44"/>
        <v>0</v>
      </c>
      <c r="Y26" s="1348">
        <f t="shared" si="44"/>
        <v>0</v>
      </c>
      <c r="Z26" s="1348">
        <f t="shared" si="44"/>
        <v>0</v>
      </c>
      <c r="AA26" s="1348">
        <f t="shared" si="44"/>
        <v>0</v>
      </c>
    </row>
    <row r="27">
      <c r="A27" s="1351" t="s">
        <v>2932</v>
      </c>
      <c r="B27" s="1352"/>
      <c r="C27" s="1353" t="s">
        <v>215</v>
      </c>
      <c r="D27" s="1354"/>
      <c r="E27" s="1343">
        <f t="shared" si="29"/>
        <v>0</v>
      </c>
      <c r="F27" s="1344">
        <f>sumifs(AC_SOTIEN,AC_DA,C27,AC_NGAY,"&lt;="&amp;$E$2,AC_KM,"DOANHSO")/1000</f>
        <v>0</v>
      </c>
      <c r="G27" s="1345">
        <f t="shared" si="30"/>
        <v>0</v>
      </c>
      <c r="H27" s="1354"/>
      <c r="I27" s="1354"/>
      <c r="J27" s="1330">
        <f t="shared" si="31"/>
        <v>0</v>
      </c>
      <c r="K27" s="1330">
        <f t="shared" si="32"/>
        <v>0</v>
      </c>
      <c r="L27" s="1331">
        <f t="shared" si="33"/>
        <v>0</v>
      </c>
      <c r="M27" s="1331">
        <f t="shared" si="34"/>
        <v>0</v>
      </c>
      <c r="N27" s="1331">
        <f t="shared" si="35"/>
        <v>0</v>
      </c>
      <c r="O27" s="1331">
        <f t="shared" si="36"/>
        <v>0</v>
      </c>
      <c r="P27" s="1348">
        <f t="shared" ref="P27:AA27" si="45">$E27/12</f>
        <v>0</v>
      </c>
      <c r="Q27" s="1348">
        <f t="shared" si="45"/>
        <v>0</v>
      </c>
      <c r="R27" s="1348">
        <f t="shared" si="45"/>
        <v>0</v>
      </c>
      <c r="S27" s="1348">
        <f t="shared" si="45"/>
        <v>0</v>
      </c>
      <c r="T27" s="1348">
        <f t="shared" si="45"/>
        <v>0</v>
      </c>
      <c r="U27" s="1348">
        <f t="shared" si="45"/>
        <v>0</v>
      </c>
      <c r="V27" s="1348">
        <f t="shared" si="45"/>
        <v>0</v>
      </c>
      <c r="W27" s="1348">
        <f t="shared" si="45"/>
        <v>0</v>
      </c>
      <c r="X27" s="1348">
        <f t="shared" si="45"/>
        <v>0</v>
      </c>
      <c r="Y27" s="1348">
        <f t="shared" si="45"/>
        <v>0</v>
      </c>
      <c r="Z27" s="1348">
        <f t="shared" si="45"/>
        <v>0</v>
      </c>
      <c r="AA27" s="1348">
        <f t="shared" si="45"/>
        <v>0</v>
      </c>
    </row>
    <row r="28">
      <c r="A28" s="1351" t="s">
        <v>2067</v>
      </c>
      <c r="B28" s="1352"/>
      <c r="C28" s="1353" t="s">
        <v>404</v>
      </c>
      <c r="D28" s="1354"/>
      <c r="E28" s="1343">
        <f t="shared" si="29"/>
        <v>0</v>
      </c>
      <c r="F28" s="1344">
        <f>sumifs(AC_SOTIEN,AC_DA,C28,AC_NGAY,"&lt;="&amp;$E$2,AC_KM,"DOANHSO")/1000</f>
        <v>0</v>
      </c>
      <c r="G28" s="1345">
        <f t="shared" si="30"/>
        <v>0</v>
      </c>
      <c r="H28" s="1354"/>
      <c r="I28" s="1354"/>
      <c r="J28" s="1330">
        <f t="shared" si="31"/>
        <v>0</v>
      </c>
      <c r="K28" s="1330">
        <f t="shared" si="32"/>
        <v>0</v>
      </c>
      <c r="L28" s="1331">
        <f t="shared" si="33"/>
        <v>0</v>
      </c>
      <c r="M28" s="1331">
        <f t="shared" si="34"/>
        <v>0</v>
      </c>
      <c r="N28" s="1331">
        <f t="shared" si="35"/>
        <v>0</v>
      </c>
      <c r="O28" s="1331">
        <f t="shared" si="36"/>
        <v>0</v>
      </c>
      <c r="P28" s="1348">
        <f t="shared" ref="P28:AA28" si="46">$E28/12</f>
        <v>0</v>
      </c>
      <c r="Q28" s="1348">
        <f t="shared" si="46"/>
        <v>0</v>
      </c>
      <c r="R28" s="1348">
        <f t="shared" si="46"/>
        <v>0</v>
      </c>
      <c r="S28" s="1348">
        <f t="shared" si="46"/>
        <v>0</v>
      </c>
      <c r="T28" s="1348">
        <f t="shared" si="46"/>
        <v>0</v>
      </c>
      <c r="U28" s="1348">
        <f t="shared" si="46"/>
        <v>0</v>
      </c>
      <c r="V28" s="1348">
        <f t="shared" si="46"/>
        <v>0</v>
      </c>
      <c r="W28" s="1348">
        <f t="shared" si="46"/>
        <v>0</v>
      </c>
      <c r="X28" s="1348">
        <f t="shared" si="46"/>
        <v>0</v>
      </c>
      <c r="Y28" s="1348">
        <f t="shared" si="46"/>
        <v>0</v>
      </c>
      <c r="Z28" s="1348">
        <f t="shared" si="46"/>
        <v>0</v>
      </c>
      <c r="AA28" s="1348">
        <f t="shared" si="46"/>
        <v>0</v>
      </c>
    </row>
    <row r="29">
      <c r="A29" s="1351" t="s">
        <v>2068</v>
      </c>
      <c r="B29" s="1352"/>
      <c r="C29" s="1353" t="s">
        <v>533</v>
      </c>
      <c r="D29" s="1354"/>
      <c r="E29" s="1343">
        <f t="shared" si="29"/>
        <v>0</v>
      </c>
      <c r="F29" s="1344">
        <f>sumifs(AC_SOTIEN,AC_DA,C29,AC_NGAY,"&lt;="&amp;$E$2,AC_KM,"DOANHSO")/1000</f>
        <v>0</v>
      </c>
      <c r="G29" s="1345">
        <f t="shared" si="30"/>
        <v>0</v>
      </c>
      <c r="H29" s="1354"/>
      <c r="I29" s="1354"/>
      <c r="J29" s="1330">
        <f t="shared" si="31"/>
        <v>0</v>
      </c>
      <c r="K29" s="1330">
        <f t="shared" si="32"/>
        <v>0</v>
      </c>
      <c r="L29" s="1331">
        <f t="shared" si="33"/>
        <v>0</v>
      </c>
      <c r="M29" s="1331">
        <f t="shared" si="34"/>
        <v>0</v>
      </c>
      <c r="N29" s="1331">
        <f t="shared" si="35"/>
        <v>0</v>
      </c>
      <c r="O29" s="1331">
        <f t="shared" si="36"/>
        <v>0</v>
      </c>
      <c r="P29" s="1348">
        <f t="shared" ref="P29:AA29" si="47">$E29/12</f>
        <v>0</v>
      </c>
      <c r="Q29" s="1348">
        <f t="shared" si="47"/>
        <v>0</v>
      </c>
      <c r="R29" s="1348">
        <f t="shared" si="47"/>
        <v>0</v>
      </c>
      <c r="S29" s="1348">
        <f t="shared" si="47"/>
        <v>0</v>
      </c>
      <c r="T29" s="1348">
        <f t="shared" si="47"/>
        <v>0</v>
      </c>
      <c r="U29" s="1348">
        <f t="shared" si="47"/>
        <v>0</v>
      </c>
      <c r="V29" s="1348">
        <f t="shared" si="47"/>
        <v>0</v>
      </c>
      <c r="W29" s="1348">
        <f t="shared" si="47"/>
        <v>0</v>
      </c>
      <c r="X29" s="1348">
        <f t="shared" si="47"/>
        <v>0</v>
      </c>
      <c r="Y29" s="1348">
        <f t="shared" si="47"/>
        <v>0</v>
      </c>
      <c r="Z29" s="1348">
        <f t="shared" si="47"/>
        <v>0</v>
      </c>
      <c r="AA29" s="1348">
        <f t="shared" si="47"/>
        <v>0</v>
      </c>
    </row>
    <row r="30">
      <c r="A30" s="1351" t="s">
        <v>2066</v>
      </c>
      <c r="B30" s="1352"/>
      <c r="C30" s="1353" t="s">
        <v>175</v>
      </c>
      <c r="D30" s="1354"/>
      <c r="E30" s="1343">
        <f t="shared" si="29"/>
        <v>0</v>
      </c>
      <c r="F30" s="1344">
        <f>sumifs(AC_SOTIEN,AC_DA,C30,AC_NGAY,"&lt;="&amp;$E$2,AC_KM,"DOANHSO")/1000</f>
        <v>8438145</v>
      </c>
      <c r="G30" s="1345">
        <f t="shared" si="30"/>
        <v>0.2318793764</v>
      </c>
      <c r="H30" s="1354"/>
      <c r="I30" s="1354"/>
      <c r="J30" s="1330">
        <f t="shared" si="31"/>
        <v>0</v>
      </c>
      <c r="K30" s="1330">
        <f t="shared" si="32"/>
        <v>0</v>
      </c>
      <c r="L30" s="1331">
        <f t="shared" si="33"/>
        <v>0</v>
      </c>
      <c r="M30" s="1331">
        <f t="shared" si="34"/>
        <v>0</v>
      </c>
      <c r="N30" s="1331">
        <f t="shared" si="35"/>
        <v>0</v>
      </c>
      <c r="O30" s="1331">
        <f t="shared" si="36"/>
        <v>0</v>
      </c>
      <c r="P30" s="1348">
        <f t="shared" ref="P30:AA30" si="48">$E30/12</f>
        <v>0</v>
      </c>
      <c r="Q30" s="1348">
        <f t="shared" si="48"/>
        <v>0</v>
      </c>
      <c r="R30" s="1348">
        <f t="shared" si="48"/>
        <v>0</v>
      </c>
      <c r="S30" s="1348">
        <f t="shared" si="48"/>
        <v>0</v>
      </c>
      <c r="T30" s="1348">
        <f t="shared" si="48"/>
        <v>0</v>
      </c>
      <c r="U30" s="1348">
        <f t="shared" si="48"/>
        <v>0</v>
      </c>
      <c r="V30" s="1348">
        <f t="shared" si="48"/>
        <v>0</v>
      </c>
      <c r="W30" s="1348">
        <f t="shared" si="48"/>
        <v>0</v>
      </c>
      <c r="X30" s="1348">
        <f t="shared" si="48"/>
        <v>0</v>
      </c>
      <c r="Y30" s="1348">
        <f t="shared" si="48"/>
        <v>0</v>
      </c>
      <c r="Z30" s="1348">
        <f t="shared" si="48"/>
        <v>0</v>
      </c>
      <c r="AA30" s="1348">
        <f t="shared" si="48"/>
        <v>0</v>
      </c>
    </row>
    <row r="31">
      <c r="A31" s="1352"/>
      <c r="B31" s="1352"/>
      <c r="C31" s="1353" t="s">
        <v>2067</v>
      </c>
      <c r="D31" s="1354"/>
      <c r="E31" s="1343">
        <f t="shared" si="29"/>
        <v>0</v>
      </c>
      <c r="F31" s="1344">
        <f>sumifs(AC_SOTIEN,AC_DA,C31,AC_NGAY,"&lt;="&amp;$E$2,AC_KM,"DOANHSO")/1000</f>
        <v>0</v>
      </c>
      <c r="G31" s="1345">
        <f t="shared" si="30"/>
        <v>0</v>
      </c>
      <c r="H31" s="1354"/>
      <c r="I31" s="1354"/>
      <c r="J31" s="1330">
        <f t="shared" si="31"/>
        <v>0</v>
      </c>
      <c r="K31" s="1330">
        <f t="shared" si="32"/>
        <v>0</v>
      </c>
      <c r="L31" s="1331">
        <f t="shared" si="33"/>
        <v>0</v>
      </c>
      <c r="M31" s="1331">
        <f t="shared" si="34"/>
        <v>0</v>
      </c>
      <c r="N31" s="1331">
        <f t="shared" si="35"/>
        <v>0</v>
      </c>
      <c r="O31" s="1331">
        <f t="shared" si="36"/>
        <v>0</v>
      </c>
      <c r="P31" s="1348">
        <f t="shared" ref="P31:AA31" si="49">$E31/12</f>
        <v>0</v>
      </c>
      <c r="Q31" s="1348">
        <f t="shared" si="49"/>
        <v>0</v>
      </c>
      <c r="R31" s="1348">
        <f t="shared" si="49"/>
        <v>0</v>
      </c>
      <c r="S31" s="1348">
        <f t="shared" si="49"/>
        <v>0</v>
      </c>
      <c r="T31" s="1348">
        <f t="shared" si="49"/>
        <v>0</v>
      </c>
      <c r="U31" s="1348">
        <f t="shared" si="49"/>
        <v>0</v>
      </c>
      <c r="V31" s="1348">
        <f t="shared" si="49"/>
        <v>0</v>
      </c>
      <c r="W31" s="1348">
        <f t="shared" si="49"/>
        <v>0</v>
      </c>
      <c r="X31" s="1348">
        <f t="shared" si="49"/>
        <v>0</v>
      </c>
      <c r="Y31" s="1348">
        <f t="shared" si="49"/>
        <v>0</v>
      </c>
      <c r="Z31" s="1348">
        <f t="shared" si="49"/>
        <v>0</v>
      </c>
      <c r="AA31" s="1348">
        <f t="shared" si="49"/>
        <v>0</v>
      </c>
    </row>
    <row r="32">
      <c r="A32" s="1351" t="s">
        <v>2069</v>
      </c>
      <c r="B32" s="1352"/>
      <c r="C32" s="1355" t="s">
        <v>638</v>
      </c>
      <c r="D32" s="1354"/>
      <c r="E32" s="1343">
        <f t="shared" si="29"/>
        <v>0</v>
      </c>
      <c r="F32" s="1344">
        <f>sumifs(AC_SOTIEN,AC_DA,C32,AC_NGAY,"&lt;="&amp;$E$2,AC_KM,"DOANHSO")/1000</f>
        <v>7885000</v>
      </c>
      <c r="G32" s="1345">
        <f t="shared" si="30"/>
        <v>0.2166790074</v>
      </c>
      <c r="H32" s="1354"/>
      <c r="I32" s="1354"/>
      <c r="J32" s="1330">
        <f t="shared" si="31"/>
        <v>0</v>
      </c>
      <c r="K32" s="1330">
        <f t="shared" si="32"/>
        <v>0</v>
      </c>
      <c r="L32" s="1331">
        <f t="shared" si="33"/>
        <v>0</v>
      </c>
      <c r="M32" s="1331">
        <f t="shared" si="34"/>
        <v>0</v>
      </c>
      <c r="N32" s="1331">
        <f t="shared" si="35"/>
        <v>0</v>
      </c>
      <c r="O32" s="1331">
        <f t="shared" si="36"/>
        <v>0</v>
      </c>
      <c r="P32" s="1348">
        <f t="shared" ref="P32:AA32" si="50">$E32/12</f>
        <v>0</v>
      </c>
      <c r="Q32" s="1348">
        <f t="shared" si="50"/>
        <v>0</v>
      </c>
      <c r="R32" s="1348">
        <f t="shared" si="50"/>
        <v>0</v>
      </c>
      <c r="S32" s="1348">
        <f t="shared" si="50"/>
        <v>0</v>
      </c>
      <c r="T32" s="1348">
        <f t="shared" si="50"/>
        <v>0</v>
      </c>
      <c r="U32" s="1348">
        <f t="shared" si="50"/>
        <v>0</v>
      </c>
      <c r="V32" s="1348">
        <f t="shared" si="50"/>
        <v>0</v>
      </c>
      <c r="W32" s="1348">
        <f t="shared" si="50"/>
        <v>0</v>
      </c>
      <c r="X32" s="1348">
        <f t="shared" si="50"/>
        <v>0</v>
      </c>
      <c r="Y32" s="1348">
        <f t="shared" si="50"/>
        <v>0</v>
      </c>
      <c r="Z32" s="1348">
        <f t="shared" si="50"/>
        <v>0</v>
      </c>
      <c r="AA32" s="1348">
        <f t="shared" si="50"/>
        <v>0</v>
      </c>
    </row>
    <row r="33">
      <c r="A33" s="1351" t="s">
        <v>2066</v>
      </c>
      <c r="B33" s="1352"/>
      <c r="C33" s="1355" t="s">
        <v>530</v>
      </c>
      <c r="D33" s="1354"/>
      <c r="E33" s="1343">
        <f t="shared" si="29"/>
        <v>0</v>
      </c>
      <c r="F33" s="1344">
        <f>sumifs(AC_SOTIEN,AC_DA,C33,AC_NGAY,"&lt;="&amp;$E$2,AC_KM,"DOANHSO")/1000</f>
        <v>13959990</v>
      </c>
      <c r="G33" s="1345">
        <f t="shared" si="30"/>
        <v>0.383619122</v>
      </c>
      <c r="H33" s="1354"/>
      <c r="I33" s="1354"/>
      <c r="J33" s="1330">
        <f t="shared" si="31"/>
        <v>0</v>
      </c>
      <c r="K33" s="1330">
        <f t="shared" si="32"/>
        <v>0</v>
      </c>
      <c r="L33" s="1331">
        <f t="shared" si="33"/>
        <v>0</v>
      </c>
      <c r="M33" s="1331">
        <f t="shared" si="34"/>
        <v>0</v>
      </c>
      <c r="N33" s="1331">
        <f t="shared" si="35"/>
        <v>0</v>
      </c>
      <c r="O33" s="1331">
        <f t="shared" si="36"/>
        <v>0</v>
      </c>
      <c r="P33" s="1348">
        <f t="shared" ref="P33:AA33" si="51">$E33/12</f>
        <v>0</v>
      </c>
      <c r="Q33" s="1348">
        <f t="shared" si="51"/>
        <v>0</v>
      </c>
      <c r="R33" s="1348">
        <f t="shared" si="51"/>
        <v>0</v>
      </c>
      <c r="S33" s="1348">
        <f t="shared" si="51"/>
        <v>0</v>
      </c>
      <c r="T33" s="1348">
        <f t="shared" si="51"/>
        <v>0</v>
      </c>
      <c r="U33" s="1348">
        <f t="shared" si="51"/>
        <v>0</v>
      </c>
      <c r="V33" s="1348">
        <f t="shared" si="51"/>
        <v>0</v>
      </c>
      <c r="W33" s="1348">
        <f t="shared" si="51"/>
        <v>0</v>
      </c>
      <c r="X33" s="1348">
        <f t="shared" si="51"/>
        <v>0</v>
      </c>
      <c r="Y33" s="1348">
        <f t="shared" si="51"/>
        <v>0</v>
      </c>
      <c r="Z33" s="1348">
        <f t="shared" si="51"/>
        <v>0</v>
      </c>
      <c r="AA33" s="1348">
        <f t="shared" si="51"/>
        <v>0</v>
      </c>
    </row>
    <row r="34">
      <c r="A34" s="1351" t="s">
        <v>2069</v>
      </c>
      <c r="B34" s="1352"/>
      <c r="C34" s="1355" t="s">
        <v>875</v>
      </c>
      <c r="D34" s="1354"/>
      <c r="E34" s="1343">
        <f t="shared" si="29"/>
        <v>0</v>
      </c>
      <c r="F34" s="1344">
        <f>sumifs(AC_SOTIEN,AC_DA,C34,AC_NGAY,"&lt;="&amp;$E$2,AC_KM,"DOANHSO")/1000</f>
        <v>0</v>
      </c>
      <c r="G34" s="1345">
        <f t="shared" si="30"/>
        <v>0</v>
      </c>
      <c r="H34" s="1354"/>
      <c r="I34" s="1354"/>
      <c r="J34" s="1330">
        <f t="shared" si="31"/>
        <v>0</v>
      </c>
      <c r="K34" s="1330">
        <f t="shared" si="32"/>
        <v>0</v>
      </c>
      <c r="L34" s="1331">
        <f t="shared" si="33"/>
        <v>0</v>
      </c>
      <c r="M34" s="1331">
        <f t="shared" si="34"/>
        <v>0</v>
      </c>
      <c r="N34" s="1331">
        <f t="shared" si="35"/>
        <v>0</v>
      </c>
      <c r="O34" s="1331">
        <f t="shared" si="36"/>
        <v>0</v>
      </c>
      <c r="P34" s="1348">
        <f t="shared" ref="P34:AA34" si="52">$E34/12</f>
        <v>0</v>
      </c>
      <c r="Q34" s="1348">
        <f t="shared" si="52"/>
        <v>0</v>
      </c>
      <c r="R34" s="1348">
        <f t="shared" si="52"/>
        <v>0</v>
      </c>
      <c r="S34" s="1348">
        <f t="shared" si="52"/>
        <v>0</v>
      </c>
      <c r="T34" s="1348">
        <f t="shared" si="52"/>
        <v>0</v>
      </c>
      <c r="U34" s="1348">
        <f t="shared" si="52"/>
        <v>0</v>
      </c>
      <c r="V34" s="1348">
        <f t="shared" si="52"/>
        <v>0</v>
      </c>
      <c r="W34" s="1348">
        <f t="shared" si="52"/>
        <v>0</v>
      </c>
      <c r="X34" s="1348">
        <f t="shared" si="52"/>
        <v>0</v>
      </c>
      <c r="Y34" s="1348">
        <f t="shared" si="52"/>
        <v>0</v>
      </c>
      <c r="Z34" s="1348">
        <f t="shared" si="52"/>
        <v>0</v>
      </c>
      <c r="AA34" s="1348">
        <f t="shared" si="52"/>
        <v>0</v>
      </c>
    </row>
    <row r="35">
      <c r="A35" s="1351" t="s">
        <v>2069</v>
      </c>
      <c r="B35" s="1352"/>
      <c r="C35" s="1355" t="s">
        <v>636</v>
      </c>
      <c r="D35" s="1354"/>
      <c r="E35" s="1343">
        <f t="shared" si="29"/>
        <v>0</v>
      </c>
      <c r="F35" s="1344">
        <f>sumifs(AC_SOTIEN,AC_DA,C35,AC_NGAY,"&lt;="&amp;$E$2,AC_KM,"DOANHSO")/1000</f>
        <v>2244000</v>
      </c>
      <c r="G35" s="1345">
        <f t="shared" si="30"/>
        <v>0.06166489444</v>
      </c>
      <c r="H35" s="1354"/>
      <c r="I35" s="1354"/>
      <c r="J35" s="1330">
        <f t="shared" si="31"/>
        <v>0</v>
      </c>
      <c r="K35" s="1330">
        <f t="shared" si="32"/>
        <v>0</v>
      </c>
      <c r="L35" s="1331">
        <f t="shared" si="33"/>
        <v>0</v>
      </c>
      <c r="M35" s="1331">
        <f t="shared" si="34"/>
        <v>0</v>
      </c>
      <c r="N35" s="1331">
        <f t="shared" si="35"/>
        <v>0</v>
      </c>
      <c r="O35" s="1331">
        <f t="shared" si="36"/>
        <v>0</v>
      </c>
      <c r="P35" s="1348">
        <f t="shared" ref="P35:AA35" si="53">$E35/12</f>
        <v>0</v>
      </c>
      <c r="Q35" s="1348">
        <f t="shared" si="53"/>
        <v>0</v>
      </c>
      <c r="R35" s="1348">
        <f t="shared" si="53"/>
        <v>0</v>
      </c>
      <c r="S35" s="1348">
        <f t="shared" si="53"/>
        <v>0</v>
      </c>
      <c r="T35" s="1348">
        <f t="shared" si="53"/>
        <v>0</v>
      </c>
      <c r="U35" s="1348">
        <f t="shared" si="53"/>
        <v>0</v>
      </c>
      <c r="V35" s="1348">
        <f t="shared" si="53"/>
        <v>0</v>
      </c>
      <c r="W35" s="1348">
        <f t="shared" si="53"/>
        <v>0</v>
      </c>
      <c r="X35" s="1348">
        <f t="shared" si="53"/>
        <v>0</v>
      </c>
      <c r="Y35" s="1348">
        <f t="shared" si="53"/>
        <v>0</v>
      </c>
      <c r="Z35" s="1348">
        <f t="shared" si="53"/>
        <v>0</v>
      </c>
      <c r="AA35" s="1348">
        <f t="shared" si="53"/>
        <v>0</v>
      </c>
    </row>
    <row r="36">
      <c r="A36" s="1351" t="s">
        <v>2821</v>
      </c>
      <c r="B36" s="1352"/>
      <c r="C36" s="1355" t="s">
        <v>956</v>
      </c>
      <c r="D36" s="1354"/>
      <c r="E36" s="1343">
        <f t="shared" si="29"/>
        <v>150000000</v>
      </c>
      <c r="F36" s="1344">
        <f>sumifs(AC_SOTIEN,AC_DA,C36,AC_NGAY,"&lt;="&amp;$E$2,AC_KM,"DOANHSO")/1000</f>
        <v>3863100</v>
      </c>
      <c r="G36" s="1345">
        <f t="shared" si="30"/>
        <v>0.1061575997</v>
      </c>
      <c r="H36" s="1346">
        <v>1500000.0</v>
      </c>
      <c r="I36" s="1356">
        <v>100.0</v>
      </c>
      <c r="J36" s="1330">
        <f t="shared" si="31"/>
        <v>75000000</v>
      </c>
      <c r="K36" s="1330">
        <f t="shared" si="32"/>
        <v>75000000</v>
      </c>
      <c r="L36" s="1331">
        <f t="shared" si="33"/>
        <v>37500000</v>
      </c>
      <c r="M36" s="1331">
        <f t="shared" si="34"/>
        <v>37500000</v>
      </c>
      <c r="N36" s="1331">
        <f t="shared" si="35"/>
        <v>37500000</v>
      </c>
      <c r="O36" s="1331">
        <f t="shared" si="36"/>
        <v>37500000</v>
      </c>
      <c r="P36" s="1348">
        <f t="shared" ref="P36:AA36" si="54">$E36/12</f>
        <v>12500000</v>
      </c>
      <c r="Q36" s="1348">
        <f t="shared" si="54"/>
        <v>12500000</v>
      </c>
      <c r="R36" s="1348">
        <f t="shared" si="54"/>
        <v>12500000</v>
      </c>
      <c r="S36" s="1348">
        <f t="shared" si="54"/>
        <v>12500000</v>
      </c>
      <c r="T36" s="1348">
        <f t="shared" si="54"/>
        <v>12500000</v>
      </c>
      <c r="U36" s="1348">
        <f t="shared" si="54"/>
        <v>12500000</v>
      </c>
      <c r="V36" s="1348">
        <f t="shared" si="54"/>
        <v>12500000</v>
      </c>
      <c r="W36" s="1348">
        <f t="shared" si="54"/>
        <v>12500000</v>
      </c>
      <c r="X36" s="1348">
        <f t="shared" si="54"/>
        <v>12500000</v>
      </c>
      <c r="Y36" s="1348">
        <f t="shared" si="54"/>
        <v>12500000</v>
      </c>
      <c r="Z36" s="1348">
        <f t="shared" si="54"/>
        <v>12500000</v>
      </c>
      <c r="AA36" s="1348">
        <f t="shared" si="54"/>
        <v>12500000</v>
      </c>
    </row>
    <row r="37">
      <c r="A37" s="1352"/>
      <c r="B37" s="1352"/>
      <c r="C37" s="1354"/>
      <c r="D37" s="1354"/>
      <c r="E37" s="1343"/>
      <c r="F37" s="1344"/>
      <c r="G37" s="1345"/>
      <c r="H37" s="1354"/>
      <c r="I37" s="1354"/>
      <c r="J37" s="1330">
        <f t="shared" si="31"/>
        <v>0</v>
      </c>
      <c r="K37" s="1330">
        <f t="shared" si="32"/>
        <v>0</v>
      </c>
      <c r="L37" s="1331">
        <f t="shared" si="33"/>
        <v>0</v>
      </c>
      <c r="M37" s="1331">
        <f t="shared" si="34"/>
        <v>0</v>
      </c>
      <c r="N37" s="1331">
        <f t="shared" si="35"/>
        <v>0</v>
      </c>
      <c r="O37" s="1331">
        <f t="shared" si="36"/>
        <v>0</v>
      </c>
      <c r="P37" s="1348">
        <f t="shared" ref="P37:AA37" si="55">$E37/12</f>
        <v>0</v>
      </c>
      <c r="Q37" s="1348">
        <f t="shared" si="55"/>
        <v>0</v>
      </c>
      <c r="R37" s="1348">
        <f t="shared" si="55"/>
        <v>0</v>
      </c>
      <c r="S37" s="1348">
        <f t="shared" si="55"/>
        <v>0</v>
      </c>
      <c r="T37" s="1348">
        <f t="shared" si="55"/>
        <v>0</v>
      </c>
      <c r="U37" s="1348">
        <f t="shared" si="55"/>
        <v>0</v>
      </c>
      <c r="V37" s="1348">
        <f t="shared" si="55"/>
        <v>0</v>
      </c>
      <c r="W37" s="1348">
        <f t="shared" si="55"/>
        <v>0</v>
      </c>
      <c r="X37" s="1348">
        <f t="shared" si="55"/>
        <v>0</v>
      </c>
      <c r="Y37" s="1348">
        <f t="shared" si="55"/>
        <v>0</v>
      </c>
      <c r="Z37" s="1348">
        <f t="shared" si="55"/>
        <v>0</v>
      </c>
      <c r="AA37" s="1348">
        <f t="shared" si="55"/>
        <v>0</v>
      </c>
    </row>
    <row r="38">
      <c r="A38" s="1352"/>
      <c r="B38" s="1352"/>
      <c r="C38" s="1354"/>
      <c r="D38" s="1354"/>
      <c r="E38" s="1357"/>
      <c r="F38" s="1344"/>
      <c r="G38" s="1345"/>
      <c r="H38" s="1354"/>
      <c r="I38" s="1354"/>
      <c r="J38" s="1330">
        <f t="shared" si="31"/>
        <v>0</v>
      </c>
      <c r="K38" s="1330">
        <f t="shared" si="32"/>
        <v>0</v>
      </c>
      <c r="L38" s="1331">
        <f t="shared" si="33"/>
        <v>0</v>
      </c>
      <c r="M38" s="1331">
        <f t="shared" si="34"/>
        <v>0</v>
      </c>
      <c r="N38" s="1331">
        <f t="shared" si="35"/>
        <v>0</v>
      </c>
      <c r="O38" s="1331">
        <f t="shared" si="36"/>
        <v>0</v>
      </c>
      <c r="P38" s="1348">
        <f t="shared" ref="P38:AA38" si="56">$E38/12</f>
        <v>0</v>
      </c>
      <c r="Q38" s="1348">
        <f t="shared" si="56"/>
        <v>0</v>
      </c>
      <c r="R38" s="1348">
        <f t="shared" si="56"/>
        <v>0</v>
      </c>
      <c r="S38" s="1348">
        <f t="shared" si="56"/>
        <v>0</v>
      </c>
      <c r="T38" s="1348">
        <f t="shared" si="56"/>
        <v>0</v>
      </c>
      <c r="U38" s="1348">
        <f t="shared" si="56"/>
        <v>0</v>
      </c>
      <c r="V38" s="1348">
        <f t="shared" si="56"/>
        <v>0</v>
      </c>
      <c r="W38" s="1348">
        <f t="shared" si="56"/>
        <v>0</v>
      </c>
      <c r="X38" s="1348">
        <f t="shared" si="56"/>
        <v>0</v>
      </c>
      <c r="Y38" s="1348">
        <f t="shared" si="56"/>
        <v>0</v>
      </c>
      <c r="Z38" s="1348">
        <f t="shared" si="56"/>
        <v>0</v>
      </c>
      <c r="AA38" s="1348">
        <f t="shared" si="56"/>
        <v>0</v>
      </c>
    </row>
    <row r="39">
      <c r="A39" s="1352"/>
      <c r="B39" s="1352"/>
      <c r="C39" s="1354"/>
      <c r="D39" s="1354"/>
      <c r="E39" s="1357"/>
      <c r="F39" s="1344"/>
      <c r="G39" s="1345"/>
      <c r="H39" s="1354"/>
      <c r="I39" s="1354"/>
      <c r="J39" s="1330">
        <f t="shared" si="31"/>
        <v>0</v>
      </c>
      <c r="K39" s="1330">
        <f t="shared" si="32"/>
        <v>0</v>
      </c>
      <c r="L39" s="1331">
        <f t="shared" si="33"/>
        <v>0</v>
      </c>
      <c r="M39" s="1331">
        <f t="shared" si="34"/>
        <v>0</v>
      </c>
      <c r="N39" s="1331">
        <f t="shared" si="35"/>
        <v>0</v>
      </c>
      <c r="O39" s="1331">
        <f t="shared" si="36"/>
        <v>0</v>
      </c>
      <c r="P39" s="1348">
        <f t="shared" ref="P39:AA39" si="57">$E39/12</f>
        <v>0</v>
      </c>
      <c r="Q39" s="1348">
        <f t="shared" si="57"/>
        <v>0</v>
      </c>
      <c r="R39" s="1348">
        <f t="shared" si="57"/>
        <v>0</v>
      </c>
      <c r="S39" s="1348">
        <f t="shared" si="57"/>
        <v>0</v>
      </c>
      <c r="T39" s="1348">
        <f t="shared" si="57"/>
        <v>0</v>
      </c>
      <c r="U39" s="1348">
        <f t="shared" si="57"/>
        <v>0</v>
      </c>
      <c r="V39" s="1348">
        <f t="shared" si="57"/>
        <v>0</v>
      </c>
      <c r="W39" s="1348">
        <f t="shared" si="57"/>
        <v>0</v>
      </c>
      <c r="X39" s="1348">
        <f t="shared" si="57"/>
        <v>0</v>
      </c>
      <c r="Y39" s="1348">
        <f t="shared" si="57"/>
        <v>0</v>
      </c>
      <c r="Z39" s="1348">
        <f t="shared" si="57"/>
        <v>0</v>
      </c>
      <c r="AA39" s="1348">
        <f t="shared" si="57"/>
        <v>0</v>
      </c>
    </row>
    <row r="40">
      <c r="A40" s="1352"/>
      <c r="B40" s="1352"/>
      <c r="C40" s="1354"/>
      <c r="D40" s="1354"/>
      <c r="E40" s="1357"/>
      <c r="F40" s="1344"/>
      <c r="G40" s="1345"/>
      <c r="H40" s="1354"/>
      <c r="I40" s="1354"/>
      <c r="J40" s="1330">
        <f t="shared" si="31"/>
        <v>0</v>
      </c>
      <c r="K40" s="1330">
        <f t="shared" si="32"/>
        <v>0</v>
      </c>
      <c r="L40" s="1331">
        <f t="shared" si="33"/>
        <v>0</v>
      </c>
      <c r="M40" s="1331">
        <f t="shared" si="34"/>
        <v>0</v>
      </c>
      <c r="N40" s="1331">
        <f t="shared" si="35"/>
        <v>0</v>
      </c>
      <c r="O40" s="1331">
        <f t="shared" si="36"/>
        <v>0</v>
      </c>
      <c r="P40" s="1348">
        <f t="shared" ref="P40:AA40" si="58">$E40/12</f>
        <v>0</v>
      </c>
      <c r="Q40" s="1348">
        <f t="shared" si="58"/>
        <v>0</v>
      </c>
      <c r="R40" s="1348">
        <f t="shared" si="58"/>
        <v>0</v>
      </c>
      <c r="S40" s="1348">
        <f t="shared" si="58"/>
        <v>0</v>
      </c>
      <c r="T40" s="1348">
        <f t="shared" si="58"/>
        <v>0</v>
      </c>
      <c r="U40" s="1348">
        <f t="shared" si="58"/>
        <v>0</v>
      </c>
      <c r="V40" s="1348">
        <f t="shared" si="58"/>
        <v>0</v>
      </c>
      <c r="W40" s="1348">
        <f t="shared" si="58"/>
        <v>0</v>
      </c>
      <c r="X40" s="1348">
        <f t="shared" si="58"/>
        <v>0</v>
      </c>
      <c r="Y40" s="1348">
        <f t="shared" si="58"/>
        <v>0</v>
      </c>
      <c r="Z40" s="1348">
        <f t="shared" si="58"/>
        <v>0</v>
      </c>
      <c r="AA40" s="1348">
        <f t="shared" si="58"/>
        <v>0</v>
      </c>
    </row>
    <row r="41">
      <c r="A41" s="1352"/>
      <c r="B41" s="1352"/>
      <c r="C41" s="1354"/>
      <c r="D41" s="1354"/>
      <c r="E41" s="1357"/>
      <c r="F41" s="1354"/>
      <c r="G41" s="1345"/>
      <c r="H41" s="1354"/>
      <c r="I41" s="1354"/>
      <c r="J41" s="1330">
        <f t="shared" si="31"/>
        <v>0</v>
      </c>
      <c r="K41" s="1330">
        <f t="shared" si="32"/>
        <v>0</v>
      </c>
      <c r="L41" s="1331">
        <f t="shared" si="33"/>
        <v>0</v>
      </c>
      <c r="M41" s="1331">
        <f t="shared" si="34"/>
        <v>0</v>
      </c>
      <c r="N41" s="1331">
        <f t="shared" si="35"/>
        <v>0</v>
      </c>
      <c r="O41" s="1331">
        <f t="shared" si="36"/>
        <v>0</v>
      </c>
      <c r="P41" s="1348">
        <f t="shared" ref="P41:AA41" si="59">$E41/12</f>
        <v>0</v>
      </c>
      <c r="Q41" s="1348">
        <f t="shared" si="59"/>
        <v>0</v>
      </c>
      <c r="R41" s="1348">
        <f t="shared" si="59"/>
        <v>0</v>
      </c>
      <c r="S41" s="1348">
        <f t="shared" si="59"/>
        <v>0</v>
      </c>
      <c r="T41" s="1348">
        <f t="shared" si="59"/>
        <v>0</v>
      </c>
      <c r="U41" s="1348">
        <f t="shared" si="59"/>
        <v>0</v>
      </c>
      <c r="V41" s="1348">
        <f t="shared" si="59"/>
        <v>0</v>
      </c>
      <c r="W41" s="1348">
        <f t="shared" si="59"/>
        <v>0</v>
      </c>
      <c r="X41" s="1348">
        <f t="shared" si="59"/>
        <v>0</v>
      </c>
      <c r="Y41" s="1348">
        <f t="shared" si="59"/>
        <v>0</v>
      </c>
      <c r="Z41" s="1348">
        <f t="shared" si="59"/>
        <v>0</v>
      </c>
      <c r="AA41" s="1348">
        <f t="shared" si="59"/>
        <v>0</v>
      </c>
    </row>
    <row r="42">
      <c r="A42" s="1352"/>
      <c r="B42" s="1352"/>
      <c r="C42" s="1354"/>
      <c r="D42" s="1354"/>
      <c r="E42" s="1357"/>
      <c r="F42" s="1354"/>
      <c r="G42" s="1345"/>
      <c r="H42" s="1354"/>
      <c r="I42" s="1354"/>
      <c r="J42" s="1330">
        <f t="shared" si="31"/>
        <v>0</v>
      </c>
      <c r="K42" s="1330">
        <f t="shared" si="32"/>
        <v>0</v>
      </c>
      <c r="L42" s="1331">
        <f t="shared" si="33"/>
        <v>0</v>
      </c>
      <c r="M42" s="1331">
        <f t="shared" si="34"/>
        <v>0</v>
      </c>
      <c r="N42" s="1331">
        <f t="shared" si="35"/>
        <v>0</v>
      </c>
      <c r="O42" s="1331">
        <f t="shared" si="36"/>
        <v>0</v>
      </c>
      <c r="P42" s="1348">
        <f t="shared" ref="P42:AA42" si="60">$E42/12</f>
        <v>0</v>
      </c>
      <c r="Q42" s="1348">
        <f t="shared" si="60"/>
        <v>0</v>
      </c>
      <c r="R42" s="1348">
        <f t="shared" si="60"/>
        <v>0</v>
      </c>
      <c r="S42" s="1348">
        <f t="shared" si="60"/>
        <v>0</v>
      </c>
      <c r="T42" s="1348">
        <f t="shared" si="60"/>
        <v>0</v>
      </c>
      <c r="U42" s="1348">
        <f t="shared" si="60"/>
        <v>0</v>
      </c>
      <c r="V42" s="1348">
        <f t="shared" si="60"/>
        <v>0</v>
      </c>
      <c r="W42" s="1348">
        <f t="shared" si="60"/>
        <v>0</v>
      </c>
      <c r="X42" s="1348">
        <f t="shared" si="60"/>
        <v>0</v>
      </c>
      <c r="Y42" s="1348">
        <f t="shared" si="60"/>
        <v>0</v>
      </c>
      <c r="Z42" s="1348">
        <f t="shared" si="60"/>
        <v>0</v>
      </c>
      <c r="AA42" s="1348">
        <f t="shared" si="60"/>
        <v>0</v>
      </c>
    </row>
    <row r="43">
      <c r="A43" s="1352"/>
      <c r="B43" s="1352"/>
      <c r="C43" s="1354"/>
      <c r="D43" s="1354"/>
      <c r="E43" s="1357"/>
      <c r="F43" s="1354"/>
      <c r="G43" s="1345"/>
      <c r="H43" s="1354"/>
      <c r="I43" s="1354"/>
      <c r="J43" s="1330">
        <f t="shared" si="31"/>
        <v>0</v>
      </c>
      <c r="K43" s="1330">
        <f t="shared" si="32"/>
        <v>0</v>
      </c>
      <c r="L43" s="1331">
        <f t="shared" si="33"/>
        <v>0</v>
      </c>
      <c r="M43" s="1331">
        <f t="shared" si="34"/>
        <v>0</v>
      </c>
      <c r="N43" s="1331">
        <f t="shared" si="35"/>
        <v>0</v>
      </c>
      <c r="O43" s="1331">
        <f t="shared" si="36"/>
        <v>0</v>
      </c>
      <c r="P43" s="1348">
        <f t="shared" ref="P43:AA43" si="61">$E43/12</f>
        <v>0</v>
      </c>
      <c r="Q43" s="1348">
        <f t="shared" si="61"/>
        <v>0</v>
      </c>
      <c r="R43" s="1348">
        <f t="shared" si="61"/>
        <v>0</v>
      </c>
      <c r="S43" s="1348">
        <f t="shared" si="61"/>
        <v>0</v>
      </c>
      <c r="T43" s="1348">
        <f t="shared" si="61"/>
        <v>0</v>
      </c>
      <c r="U43" s="1348">
        <f t="shared" si="61"/>
        <v>0</v>
      </c>
      <c r="V43" s="1348">
        <f t="shared" si="61"/>
        <v>0</v>
      </c>
      <c r="W43" s="1348">
        <f t="shared" si="61"/>
        <v>0</v>
      </c>
      <c r="X43" s="1348">
        <f t="shared" si="61"/>
        <v>0</v>
      </c>
      <c r="Y43" s="1348">
        <f t="shared" si="61"/>
        <v>0</v>
      </c>
      <c r="Z43" s="1348">
        <f t="shared" si="61"/>
        <v>0</v>
      </c>
      <c r="AA43" s="1348">
        <f t="shared" si="61"/>
        <v>0</v>
      </c>
    </row>
    <row r="44">
      <c r="A44" s="1352"/>
      <c r="B44" s="1352"/>
      <c r="C44" s="1354"/>
      <c r="D44" s="1354"/>
      <c r="E44" s="1357"/>
      <c r="F44" s="1354"/>
      <c r="G44" s="1345"/>
      <c r="H44" s="1354"/>
      <c r="I44" s="1354"/>
      <c r="J44" s="1330">
        <f t="shared" si="31"/>
        <v>0</v>
      </c>
      <c r="K44" s="1330">
        <f t="shared" si="32"/>
        <v>0</v>
      </c>
      <c r="L44" s="1331">
        <f t="shared" si="33"/>
        <v>0</v>
      </c>
      <c r="M44" s="1331">
        <f t="shared" si="34"/>
        <v>0</v>
      </c>
      <c r="N44" s="1331">
        <f t="shared" si="35"/>
        <v>0</v>
      </c>
      <c r="O44" s="1331">
        <f t="shared" si="36"/>
        <v>0</v>
      </c>
      <c r="P44" s="1348">
        <f t="shared" ref="P44:AA44" si="62">$E44/12</f>
        <v>0</v>
      </c>
      <c r="Q44" s="1348">
        <f t="shared" si="62"/>
        <v>0</v>
      </c>
      <c r="R44" s="1348">
        <f t="shared" si="62"/>
        <v>0</v>
      </c>
      <c r="S44" s="1348">
        <f t="shared" si="62"/>
        <v>0</v>
      </c>
      <c r="T44" s="1348">
        <f t="shared" si="62"/>
        <v>0</v>
      </c>
      <c r="U44" s="1348">
        <f t="shared" si="62"/>
        <v>0</v>
      </c>
      <c r="V44" s="1348">
        <f t="shared" si="62"/>
        <v>0</v>
      </c>
      <c r="W44" s="1348">
        <f t="shared" si="62"/>
        <v>0</v>
      </c>
      <c r="X44" s="1348">
        <f t="shared" si="62"/>
        <v>0</v>
      </c>
      <c r="Y44" s="1348">
        <f t="shared" si="62"/>
        <v>0</v>
      </c>
      <c r="Z44" s="1348">
        <f t="shared" si="62"/>
        <v>0</v>
      </c>
      <c r="AA44" s="1348">
        <f t="shared" si="62"/>
        <v>0</v>
      </c>
    </row>
    <row r="45">
      <c r="A45" s="1352"/>
      <c r="B45" s="1352"/>
      <c r="C45" s="1354"/>
      <c r="D45" s="1354"/>
      <c r="E45" s="1357"/>
      <c r="F45" s="1354"/>
      <c r="G45" s="1345"/>
      <c r="H45" s="1354"/>
      <c r="I45" s="1354"/>
      <c r="J45" s="1330">
        <f t="shared" si="31"/>
        <v>0</v>
      </c>
      <c r="K45" s="1330">
        <f t="shared" si="32"/>
        <v>0</v>
      </c>
      <c r="L45" s="1331">
        <f t="shared" si="33"/>
        <v>0</v>
      </c>
      <c r="M45" s="1331">
        <f t="shared" si="34"/>
        <v>0</v>
      </c>
      <c r="N45" s="1331">
        <f t="shared" si="35"/>
        <v>0</v>
      </c>
      <c r="O45" s="1331">
        <f t="shared" si="36"/>
        <v>0</v>
      </c>
      <c r="P45" s="1348">
        <f t="shared" ref="P45:AA45" si="63">$E45/12</f>
        <v>0</v>
      </c>
      <c r="Q45" s="1348">
        <f t="shared" si="63"/>
        <v>0</v>
      </c>
      <c r="R45" s="1348">
        <f t="shared" si="63"/>
        <v>0</v>
      </c>
      <c r="S45" s="1348">
        <f t="shared" si="63"/>
        <v>0</v>
      </c>
      <c r="T45" s="1348">
        <f t="shared" si="63"/>
        <v>0</v>
      </c>
      <c r="U45" s="1348">
        <f t="shared" si="63"/>
        <v>0</v>
      </c>
      <c r="V45" s="1348">
        <f t="shared" si="63"/>
        <v>0</v>
      </c>
      <c r="W45" s="1348">
        <f t="shared" si="63"/>
        <v>0</v>
      </c>
      <c r="X45" s="1348">
        <f t="shared" si="63"/>
        <v>0</v>
      </c>
      <c r="Y45" s="1348">
        <f t="shared" si="63"/>
        <v>0</v>
      </c>
      <c r="Z45" s="1348">
        <f t="shared" si="63"/>
        <v>0</v>
      </c>
      <c r="AA45" s="1348">
        <f t="shared" si="63"/>
        <v>0</v>
      </c>
    </row>
    <row r="46">
      <c r="A46" s="1352"/>
      <c r="B46" s="1352"/>
      <c r="C46" s="1354"/>
      <c r="D46" s="1354"/>
      <c r="E46" s="1357"/>
      <c r="F46" s="1354"/>
      <c r="G46" s="1345"/>
      <c r="H46" s="1354"/>
      <c r="I46" s="1354"/>
      <c r="J46" s="1330">
        <f t="shared" si="31"/>
        <v>0</v>
      </c>
      <c r="K46" s="1330">
        <f t="shared" si="32"/>
        <v>0</v>
      </c>
      <c r="L46" s="1331">
        <f t="shared" si="33"/>
        <v>0</v>
      </c>
      <c r="M46" s="1331">
        <f t="shared" si="34"/>
        <v>0</v>
      </c>
      <c r="N46" s="1331">
        <f t="shared" si="35"/>
        <v>0</v>
      </c>
      <c r="O46" s="1331">
        <f t="shared" si="36"/>
        <v>0</v>
      </c>
      <c r="P46" s="1348">
        <f t="shared" ref="P46:AA46" si="64">$E46/12</f>
        <v>0</v>
      </c>
      <c r="Q46" s="1348">
        <f t="shared" si="64"/>
        <v>0</v>
      </c>
      <c r="R46" s="1348">
        <f t="shared" si="64"/>
        <v>0</v>
      </c>
      <c r="S46" s="1348">
        <f t="shared" si="64"/>
        <v>0</v>
      </c>
      <c r="T46" s="1348">
        <f t="shared" si="64"/>
        <v>0</v>
      </c>
      <c r="U46" s="1348">
        <f t="shared" si="64"/>
        <v>0</v>
      </c>
      <c r="V46" s="1348">
        <f t="shared" si="64"/>
        <v>0</v>
      </c>
      <c r="W46" s="1348">
        <f t="shared" si="64"/>
        <v>0</v>
      </c>
      <c r="X46" s="1348">
        <f t="shared" si="64"/>
        <v>0</v>
      </c>
      <c r="Y46" s="1348">
        <f t="shared" si="64"/>
        <v>0</v>
      </c>
      <c r="Z46" s="1348">
        <f t="shared" si="64"/>
        <v>0</v>
      </c>
      <c r="AA46" s="1348">
        <f t="shared" si="64"/>
        <v>0</v>
      </c>
    </row>
    <row r="47">
      <c r="A47" s="1352"/>
      <c r="B47" s="1352"/>
      <c r="C47" s="1354"/>
      <c r="D47" s="1354"/>
      <c r="E47" s="1357"/>
      <c r="F47" s="1354"/>
      <c r="G47" s="1345"/>
      <c r="H47" s="1354"/>
      <c r="I47" s="1354"/>
      <c r="J47" s="1330">
        <f t="shared" si="31"/>
        <v>0</v>
      </c>
      <c r="K47" s="1330">
        <f t="shared" si="32"/>
        <v>0</v>
      </c>
      <c r="L47" s="1331">
        <f t="shared" si="33"/>
        <v>0</v>
      </c>
      <c r="M47" s="1331">
        <f t="shared" si="34"/>
        <v>0</v>
      </c>
      <c r="N47" s="1331">
        <f t="shared" si="35"/>
        <v>0</v>
      </c>
      <c r="O47" s="1331">
        <f t="shared" si="36"/>
        <v>0</v>
      </c>
      <c r="P47" s="1348">
        <f t="shared" ref="P47:AA47" si="65">$E47/12</f>
        <v>0</v>
      </c>
      <c r="Q47" s="1348">
        <f t="shared" si="65"/>
        <v>0</v>
      </c>
      <c r="R47" s="1348">
        <f t="shared" si="65"/>
        <v>0</v>
      </c>
      <c r="S47" s="1348">
        <f t="shared" si="65"/>
        <v>0</v>
      </c>
      <c r="T47" s="1348">
        <f t="shared" si="65"/>
        <v>0</v>
      </c>
      <c r="U47" s="1348">
        <f t="shared" si="65"/>
        <v>0</v>
      </c>
      <c r="V47" s="1348">
        <f t="shared" si="65"/>
        <v>0</v>
      </c>
      <c r="W47" s="1348">
        <f t="shared" si="65"/>
        <v>0</v>
      </c>
      <c r="X47" s="1348">
        <f t="shared" si="65"/>
        <v>0</v>
      </c>
      <c r="Y47" s="1348">
        <f t="shared" si="65"/>
        <v>0</v>
      </c>
      <c r="Z47" s="1348">
        <f t="shared" si="65"/>
        <v>0</v>
      </c>
      <c r="AA47" s="1348">
        <f t="shared" si="65"/>
        <v>0</v>
      </c>
    </row>
    <row r="48">
      <c r="A48" s="1352"/>
      <c r="B48" s="1352"/>
      <c r="C48" s="1354"/>
      <c r="D48" s="1354"/>
      <c r="E48" s="1357"/>
      <c r="F48" s="1354"/>
      <c r="G48" s="1345"/>
      <c r="H48" s="1354"/>
      <c r="I48" s="1354"/>
      <c r="J48" s="1330">
        <f t="shared" si="31"/>
        <v>0</v>
      </c>
      <c r="K48" s="1330">
        <f t="shared" si="32"/>
        <v>0</v>
      </c>
      <c r="L48" s="1331">
        <f t="shared" si="33"/>
        <v>0</v>
      </c>
      <c r="M48" s="1331">
        <f t="shared" si="34"/>
        <v>0</v>
      </c>
      <c r="N48" s="1331">
        <f t="shared" si="35"/>
        <v>0</v>
      </c>
      <c r="O48" s="1331">
        <f t="shared" si="36"/>
        <v>0</v>
      </c>
      <c r="P48" s="1348">
        <f t="shared" ref="P48:AA48" si="66">$E48/12</f>
        <v>0</v>
      </c>
      <c r="Q48" s="1348">
        <f t="shared" si="66"/>
        <v>0</v>
      </c>
      <c r="R48" s="1348">
        <f t="shared" si="66"/>
        <v>0</v>
      </c>
      <c r="S48" s="1348">
        <f t="shared" si="66"/>
        <v>0</v>
      </c>
      <c r="T48" s="1348">
        <f t="shared" si="66"/>
        <v>0</v>
      </c>
      <c r="U48" s="1348">
        <f t="shared" si="66"/>
        <v>0</v>
      </c>
      <c r="V48" s="1348">
        <f t="shared" si="66"/>
        <v>0</v>
      </c>
      <c r="W48" s="1348">
        <f t="shared" si="66"/>
        <v>0</v>
      </c>
      <c r="X48" s="1348">
        <f t="shared" si="66"/>
        <v>0</v>
      </c>
      <c r="Y48" s="1348">
        <f t="shared" si="66"/>
        <v>0</v>
      </c>
      <c r="Z48" s="1348">
        <f t="shared" si="66"/>
        <v>0</v>
      </c>
      <c r="AA48" s="1348">
        <f t="shared" si="66"/>
        <v>0</v>
      </c>
    </row>
    <row r="49">
      <c r="A49" s="1352"/>
      <c r="B49" s="1352"/>
      <c r="C49" s="1354"/>
      <c r="D49" s="1354"/>
      <c r="E49" s="1357"/>
      <c r="F49" s="1354"/>
      <c r="G49" s="1345"/>
      <c r="H49" s="1354"/>
      <c r="I49" s="1354"/>
      <c r="J49" s="1330">
        <f t="shared" si="31"/>
        <v>0</v>
      </c>
      <c r="K49" s="1330">
        <f t="shared" si="32"/>
        <v>0</v>
      </c>
      <c r="L49" s="1331">
        <f t="shared" si="33"/>
        <v>0</v>
      </c>
      <c r="M49" s="1331">
        <f t="shared" si="34"/>
        <v>0</v>
      </c>
      <c r="N49" s="1331">
        <f t="shared" si="35"/>
        <v>0</v>
      </c>
      <c r="O49" s="1331">
        <f t="shared" si="36"/>
        <v>0</v>
      </c>
      <c r="P49" s="1348">
        <f t="shared" ref="P49:AA49" si="67">$E49/12</f>
        <v>0</v>
      </c>
      <c r="Q49" s="1348">
        <f t="shared" si="67"/>
        <v>0</v>
      </c>
      <c r="R49" s="1348">
        <f t="shared" si="67"/>
        <v>0</v>
      </c>
      <c r="S49" s="1348">
        <f t="shared" si="67"/>
        <v>0</v>
      </c>
      <c r="T49" s="1348">
        <f t="shared" si="67"/>
        <v>0</v>
      </c>
      <c r="U49" s="1348">
        <f t="shared" si="67"/>
        <v>0</v>
      </c>
      <c r="V49" s="1348">
        <f t="shared" si="67"/>
        <v>0</v>
      </c>
      <c r="W49" s="1348">
        <f t="shared" si="67"/>
        <v>0</v>
      </c>
      <c r="X49" s="1348">
        <f t="shared" si="67"/>
        <v>0</v>
      </c>
      <c r="Y49" s="1348">
        <f t="shared" si="67"/>
        <v>0</v>
      </c>
      <c r="Z49" s="1348">
        <f t="shared" si="67"/>
        <v>0</v>
      </c>
      <c r="AA49" s="1348">
        <f t="shared" si="67"/>
        <v>0</v>
      </c>
    </row>
    <row r="50">
      <c r="A50" s="1352"/>
      <c r="B50" s="1352"/>
      <c r="C50" s="1354"/>
      <c r="D50" s="1354"/>
      <c r="E50" s="1357"/>
      <c r="F50" s="1354"/>
      <c r="G50" s="1345"/>
      <c r="H50" s="1354"/>
      <c r="I50" s="1354"/>
      <c r="J50" s="1330">
        <f t="shared" si="31"/>
        <v>0</v>
      </c>
      <c r="K50" s="1330">
        <f t="shared" si="32"/>
        <v>0</v>
      </c>
      <c r="L50" s="1331">
        <f t="shared" si="33"/>
        <v>0</v>
      </c>
      <c r="M50" s="1331">
        <f t="shared" si="34"/>
        <v>0</v>
      </c>
      <c r="N50" s="1331">
        <f t="shared" si="35"/>
        <v>0</v>
      </c>
      <c r="O50" s="1331">
        <f t="shared" si="36"/>
        <v>0</v>
      </c>
      <c r="P50" s="1348">
        <f t="shared" ref="P50:AA50" si="68">$E50/12</f>
        <v>0</v>
      </c>
      <c r="Q50" s="1348">
        <f t="shared" si="68"/>
        <v>0</v>
      </c>
      <c r="R50" s="1348">
        <f t="shared" si="68"/>
        <v>0</v>
      </c>
      <c r="S50" s="1348">
        <f t="shared" si="68"/>
        <v>0</v>
      </c>
      <c r="T50" s="1348">
        <f t="shared" si="68"/>
        <v>0</v>
      </c>
      <c r="U50" s="1348">
        <f t="shared" si="68"/>
        <v>0</v>
      </c>
      <c r="V50" s="1348">
        <f t="shared" si="68"/>
        <v>0</v>
      </c>
      <c r="W50" s="1348">
        <f t="shared" si="68"/>
        <v>0</v>
      </c>
      <c r="X50" s="1348">
        <f t="shared" si="68"/>
        <v>0</v>
      </c>
      <c r="Y50" s="1348">
        <f t="shared" si="68"/>
        <v>0</v>
      </c>
      <c r="Z50" s="1348">
        <f t="shared" si="68"/>
        <v>0</v>
      </c>
      <c r="AA50" s="1348">
        <f t="shared" si="68"/>
        <v>0</v>
      </c>
    </row>
    <row r="51">
      <c r="A51" s="1352"/>
      <c r="B51" s="1352"/>
      <c r="C51" s="1354"/>
      <c r="D51" s="1354"/>
      <c r="E51" s="1357"/>
      <c r="F51" s="1354"/>
      <c r="G51" s="1345"/>
      <c r="H51" s="1354"/>
      <c r="I51" s="1354"/>
      <c r="J51" s="1330">
        <f t="shared" si="31"/>
        <v>0</v>
      </c>
      <c r="K51" s="1330">
        <f t="shared" si="32"/>
        <v>0</v>
      </c>
      <c r="L51" s="1331">
        <f t="shared" si="33"/>
        <v>0</v>
      </c>
      <c r="M51" s="1331">
        <f t="shared" si="34"/>
        <v>0</v>
      </c>
      <c r="N51" s="1331">
        <f t="shared" si="35"/>
        <v>0</v>
      </c>
      <c r="O51" s="1331">
        <f t="shared" si="36"/>
        <v>0</v>
      </c>
      <c r="P51" s="1348">
        <f t="shared" ref="P51:AA51" si="69">$E51/12</f>
        <v>0</v>
      </c>
      <c r="Q51" s="1348">
        <f t="shared" si="69"/>
        <v>0</v>
      </c>
      <c r="R51" s="1348">
        <f t="shared" si="69"/>
        <v>0</v>
      </c>
      <c r="S51" s="1348">
        <f t="shared" si="69"/>
        <v>0</v>
      </c>
      <c r="T51" s="1348">
        <f t="shared" si="69"/>
        <v>0</v>
      </c>
      <c r="U51" s="1348">
        <f t="shared" si="69"/>
        <v>0</v>
      </c>
      <c r="V51" s="1348">
        <f t="shared" si="69"/>
        <v>0</v>
      </c>
      <c r="W51" s="1348">
        <f t="shared" si="69"/>
        <v>0</v>
      </c>
      <c r="X51" s="1348">
        <f t="shared" si="69"/>
        <v>0</v>
      </c>
      <c r="Y51" s="1348">
        <f t="shared" si="69"/>
        <v>0</v>
      </c>
      <c r="Z51" s="1348">
        <f t="shared" si="69"/>
        <v>0</v>
      </c>
      <c r="AA51" s="1348">
        <f t="shared" si="69"/>
        <v>0</v>
      </c>
    </row>
    <row r="52">
      <c r="A52" s="1352"/>
      <c r="B52" s="1352"/>
      <c r="C52" s="1354"/>
      <c r="D52" s="1354"/>
      <c r="E52" s="1357"/>
      <c r="F52" s="1354"/>
      <c r="G52" s="1345"/>
      <c r="H52" s="1354"/>
      <c r="I52" s="1354"/>
      <c r="J52" s="1330">
        <f t="shared" si="31"/>
        <v>0</v>
      </c>
      <c r="K52" s="1330">
        <f t="shared" si="32"/>
        <v>0</v>
      </c>
      <c r="L52" s="1331">
        <f t="shared" si="33"/>
        <v>0</v>
      </c>
      <c r="M52" s="1331">
        <f t="shared" si="34"/>
        <v>0</v>
      </c>
      <c r="N52" s="1331">
        <f t="shared" si="35"/>
        <v>0</v>
      </c>
      <c r="O52" s="1331">
        <f t="shared" si="36"/>
        <v>0</v>
      </c>
      <c r="P52" s="1348">
        <f t="shared" ref="P52:AA52" si="70">$E52/12</f>
        <v>0</v>
      </c>
      <c r="Q52" s="1348">
        <f t="shared" si="70"/>
        <v>0</v>
      </c>
      <c r="R52" s="1348">
        <f t="shared" si="70"/>
        <v>0</v>
      </c>
      <c r="S52" s="1348">
        <f t="shared" si="70"/>
        <v>0</v>
      </c>
      <c r="T52" s="1348">
        <f t="shared" si="70"/>
        <v>0</v>
      </c>
      <c r="U52" s="1348">
        <f t="shared" si="70"/>
        <v>0</v>
      </c>
      <c r="V52" s="1348">
        <f t="shared" si="70"/>
        <v>0</v>
      </c>
      <c r="W52" s="1348">
        <f t="shared" si="70"/>
        <v>0</v>
      </c>
      <c r="X52" s="1348">
        <f t="shared" si="70"/>
        <v>0</v>
      </c>
      <c r="Y52" s="1348">
        <f t="shared" si="70"/>
        <v>0</v>
      </c>
      <c r="Z52" s="1348">
        <f t="shared" si="70"/>
        <v>0</v>
      </c>
      <c r="AA52" s="1348">
        <f t="shared" si="70"/>
        <v>0</v>
      </c>
    </row>
    <row r="53">
      <c r="A53" s="1352"/>
      <c r="B53" s="1352"/>
      <c r="C53" s="1354"/>
      <c r="D53" s="1354"/>
      <c r="E53" s="1357"/>
      <c r="F53" s="1354"/>
      <c r="G53" s="1345"/>
      <c r="H53" s="1354"/>
      <c r="I53" s="1354"/>
      <c r="J53" s="1330">
        <f t="shared" si="31"/>
        <v>0</v>
      </c>
      <c r="K53" s="1330">
        <f t="shared" si="32"/>
        <v>0</v>
      </c>
      <c r="L53" s="1331">
        <f t="shared" si="33"/>
        <v>0</v>
      </c>
      <c r="M53" s="1331">
        <f t="shared" si="34"/>
        <v>0</v>
      </c>
      <c r="N53" s="1331">
        <f t="shared" si="35"/>
        <v>0</v>
      </c>
      <c r="O53" s="1331">
        <f t="shared" si="36"/>
        <v>0</v>
      </c>
      <c r="P53" s="1348">
        <f t="shared" ref="P53:AA53" si="71">$E53/12</f>
        <v>0</v>
      </c>
      <c r="Q53" s="1348">
        <f t="shared" si="71"/>
        <v>0</v>
      </c>
      <c r="R53" s="1348">
        <f t="shared" si="71"/>
        <v>0</v>
      </c>
      <c r="S53" s="1348">
        <f t="shared" si="71"/>
        <v>0</v>
      </c>
      <c r="T53" s="1348">
        <f t="shared" si="71"/>
        <v>0</v>
      </c>
      <c r="U53" s="1348">
        <f t="shared" si="71"/>
        <v>0</v>
      </c>
      <c r="V53" s="1348">
        <f t="shared" si="71"/>
        <v>0</v>
      </c>
      <c r="W53" s="1348">
        <f t="shared" si="71"/>
        <v>0</v>
      </c>
      <c r="X53" s="1348">
        <f t="shared" si="71"/>
        <v>0</v>
      </c>
      <c r="Y53" s="1348">
        <f t="shared" si="71"/>
        <v>0</v>
      </c>
      <c r="Z53" s="1348">
        <f t="shared" si="71"/>
        <v>0</v>
      </c>
      <c r="AA53" s="1348">
        <f t="shared" si="71"/>
        <v>0</v>
      </c>
    </row>
    <row r="54">
      <c r="A54" s="1352"/>
      <c r="B54" s="1352"/>
      <c r="C54" s="1354"/>
      <c r="D54" s="1354"/>
      <c r="E54" s="1357"/>
      <c r="F54" s="1354"/>
      <c r="G54" s="1345"/>
      <c r="H54" s="1354"/>
      <c r="I54" s="1354"/>
      <c r="J54" s="1330">
        <f t="shared" si="31"/>
        <v>0</v>
      </c>
      <c r="K54" s="1330">
        <f t="shared" si="32"/>
        <v>0</v>
      </c>
      <c r="L54" s="1331">
        <f t="shared" si="33"/>
        <v>0</v>
      </c>
      <c r="M54" s="1331">
        <f t="shared" si="34"/>
        <v>0</v>
      </c>
      <c r="N54" s="1331">
        <f t="shared" si="35"/>
        <v>0</v>
      </c>
      <c r="O54" s="1331">
        <f t="shared" si="36"/>
        <v>0</v>
      </c>
      <c r="P54" s="1348">
        <f t="shared" ref="P54:AA54" si="72">$E54/12</f>
        <v>0</v>
      </c>
      <c r="Q54" s="1348">
        <f t="shared" si="72"/>
        <v>0</v>
      </c>
      <c r="R54" s="1348">
        <f t="shared" si="72"/>
        <v>0</v>
      </c>
      <c r="S54" s="1348">
        <f t="shared" si="72"/>
        <v>0</v>
      </c>
      <c r="T54" s="1348">
        <f t="shared" si="72"/>
        <v>0</v>
      </c>
      <c r="U54" s="1348">
        <f t="shared" si="72"/>
        <v>0</v>
      </c>
      <c r="V54" s="1348">
        <f t="shared" si="72"/>
        <v>0</v>
      </c>
      <c r="W54" s="1348">
        <f t="shared" si="72"/>
        <v>0</v>
      </c>
      <c r="X54" s="1348">
        <f t="shared" si="72"/>
        <v>0</v>
      </c>
      <c r="Y54" s="1348">
        <f t="shared" si="72"/>
        <v>0</v>
      </c>
      <c r="Z54" s="1348">
        <f t="shared" si="72"/>
        <v>0</v>
      </c>
      <c r="AA54" s="1348">
        <f t="shared" si="72"/>
        <v>0</v>
      </c>
    </row>
    <row r="55">
      <c r="A55" s="1352"/>
      <c r="B55" s="1352"/>
      <c r="C55" s="1354"/>
      <c r="D55" s="1354"/>
      <c r="E55" s="1357"/>
      <c r="F55" s="1354"/>
      <c r="G55" s="1345"/>
      <c r="H55" s="1354"/>
      <c r="I55" s="1354"/>
      <c r="J55" s="1330">
        <f t="shared" si="31"/>
        <v>0</v>
      </c>
      <c r="K55" s="1330">
        <f t="shared" si="32"/>
        <v>0</v>
      </c>
      <c r="L55" s="1331">
        <f t="shared" si="33"/>
        <v>0</v>
      </c>
      <c r="M55" s="1331">
        <f t="shared" si="34"/>
        <v>0</v>
      </c>
      <c r="N55" s="1331">
        <f t="shared" si="35"/>
        <v>0</v>
      </c>
      <c r="O55" s="1331">
        <f t="shared" si="36"/>
        <v>0</v>
      </c>
      <c r="P55" s="1348">
        <f t="shared" ref="P55:AA55" si="73">$E55/12</f>
        <v>0</v>
      </c>
      <c r="Q55" s="1348">
        <f t="shared" si="73"/>
        <v>0</v>
      </c>
      <c r="R55" s="1348">
        <f t="shared" si="73"/>
        <v>0</v>
      </c>
      <c r="S55" s="1348">
        <f t="shared" si="73"/>
        <v>0</v>
      </c>
      <c r="T55" s="1348">
        <f t="shared" si="73"/>
        <v>0</v>
      </c>
      <c r="U55" s="1348">
        <f t="shared" si="73"/>
        <v>0</v>
      </c>
      <c r="V55" s="1348">
        <f t="shared" si="73"/>
        <v>0</v>
      </c>
      <c r="W55" s="1348">
        <f t="shared" si="73"/>
        <v>0</v>
      </c>
      <c r="X55" s="1348">
        <f t="shared" si="73"/>
        <v>0</v>
      </c>
      <c r="Y55" s="1348">
        <f t="shared" si="73"/>
        <v>0</v>
      </c>
      <c r="Z55" s="1348">
        <f t="shared" si="73"/>
        <v>0</v>
      </c>
      <c r="AA55" s="1348">
        <f t="shared" si="73"/>
        <v>0</v>
      </c>
    </row>
    <row r="56">
      <c r="A56" s="1352"/>
      <c r="B56" s="1352"/>
      <c r="C56" s="1354"/>
      <c r="D56" s="1354"/>
      <c r="E56" s="1357"/>
      <c r="F56" s="1354"/>
      <c r="G56" s="1345"/>
      <c r="H56" s="1354"/>
      <c r="I56" s="1354"/>
      <c r="J56" s="1330">
        <f t="shared" si="31"/>
        <v>0</v>
      </c>
      <c r="K56" s="1330">
        <f t="shared" si="32"/>
        <v>0</v>
      </c>
      <c r="L56" s="1331">
        <f t="shared" si="33"/>
        <v>0</v>
      </c>
      <c r="M56" s="1331">
        <f t="shared" si="34"/>
        <v>0</v>
      </c>
      <c r="N56" s="1331">
        <f t="shared" si="35"/>
        <v>0</v>
      </c>
      <c r="O56" s="1331">
        <f t="shared" si="36"/>
        <v>0</v>
      </c>
      <c r="P56" s="1348">
        <f t="shared" ref="P56:AA56" si="74">$E56/12</f>
        <v>0</v>
      </c>
      <c r="Q56" s="1348">
        <f t="shared" si="74"/>
        <v>0</v>
      </c>
      <c r="R56" s="1348">
        <f t="shared" si="74"/>
        <v>0</v>
      </c>
      <c r="S56" s="1348">
        <f t="shared" si="74"/>
        <v>0</v>
      </c>
      <c r="T56" s="1348">
        <f t="shared" si="74"/>
        <v>0</v>
      </c>
      <c r="U56" s="1348">
        <f t="shared" si="74"/>
        <v>0</v>
      </c>
      <c r="V56" s="1348">
        <f t="shared" si="74"/>
        <v>0</v>
      </c>
      <c r="W56" s="1348">
        <f t="shared" si="74"/>
        <v>0</v>
      </c>
      <c r="X56" s="1348">
        <f t="shared" si="74"/>
        <v>0</v>
      </c>
      <c r="Y56" s="1348">
        <f t="shared" si="74"/>
        <v>0</v>
      </c>
      <c r="Z56" s="1348">
        <f t="shared" si="74"/>
        <v>0</v>
      </c>
      <c r="AA56" s="1348">
        <f t="shared" si="74"/>
        <v>0</v>
      </c>
    </row>
    <row r="57">
      <c r="A57" s="1352"/>
      <c r="B57" s="1352"/>
      <c r="C57" s="1354"/>
      <c r="D57" s="1354"/>
      <c r="E57" s="1357"/>
      <c r="F57" s="1354"/>
      <c r="G57" s="1345"/>
      <c r="H57" s="1354"/>
      <c r="I57" s="1354"/>
      <c r="J57" s="1330">
        <f t="shared" si="31"/>
        <v>0</v>
      </c>
      <c r="K57" s="1330">
        <f t="shared" si="32"/>
        <v>0</v>
      </c>
      <c r="L57" s="1331">
        <f t="shared" si="33"/>
        <v>0</v>
      </c>
      <c r="M57" s="1331">
        <f t="shared" si="34"/>
        <v>0</v>
      </c>
      <c r="N57" s="1331">
        <f t="shared" si="35"/>
        <v>0</v>
      </c>
      <c r="O57" s="1331">
        <f t="shared" si="36"/>
        <v>0</v>
      </c>
      <c r="P57" s="1348">
        <f t="shared" ref="P57:AA57" si="75">$E57/12</f>
        <v>0</v>
      </c>
      <c r="Q57" s="1348">
        <f t="shared" si="75"/>
        <v>0</v>
      </c>
      <c r="R57" s="1348">
        <f t="shared" si="75"/>
        <v>0</v>
      </c>
      <c r="S57" s="1348">
        <f t="shared" si="75"/>
        <v>0</v>
      </c>
      <c r="T57" s="1348">
        <f t="shared" si="75"/>
        <v>0</v>
      </c>
      <c r="U57" s="1348">
        <f t="shared" si="75"/>
        <v>0</v>
      </c>
      <c r="V57" s="1348">
        <f t="shared" si="75"/>
        <v>0</v>
      </c>
      <c r="W57" s="1348">
        <f t="shared" si="75"/>
        <v>0</v>
      </c>
      <c r="X57" s="1348">
        <f t="shared" si="75"/>
        <v>0</v>
      </c>
      <c r="Y57" s="1348">
        <f t="shared" si="75"/>
        <v>0</v>
      </c>
      <c r="Z57" s="1348">
        <f t="shared" si="75"/>
        <v>0</v>
      </c>
      <c r="AA57" s="1348">
        <f t="shared" si="75"/>
        <v>0</v>
      </c>
    </row>
    <row r="58">
      <c r="A58" s="1352"/>
      <c r="B58" s="1352"/>
      <c r="C58" s="1354"/>
      <c r="D58" s="1354"/>
      <c r="E58" s="1357"/>
      <c r="F58" s="1354"/>
      <c r="G58" s="1345"/>
      <c r="H58" s="1354"/>
      <c r="I58" s="1354"/>
      <c r="J58" s="1330">
        <f t="shared" si="31"/>
        <v>0</v>
      </c>
      <c r="K58" s="1330">
        <f t="shared" si="32"/>
        <v>0</v>
      </c>
      <c r="L58" s="1331">
        <f t="shared" si="33"/>
        <v>0</v>
      </c>
      <c r="M58" s="1331">
        <f t="shared" si="34"/>
        <v>0</v>
      </c>
      <c r="N58" s="1331">
        <f t="shared" si="35"/>
        <v>0</v>
      </c>
      <c r="O58" s="1331">
        <f t="shared" si="36"/>
        <v>0</v>
      </c>
      <c r="P58" s="1348">
        <f t="shared" ref="P58:AA58" si="76">$E58/12</f>
        <v>0</v>
      </c>
      <c r="Q58" s="1348">
        <f t="shared" si="76"/>
        <v>0</v>
      </c>
      <c r="R58" s="1348">
        <f t="shared" si="76"/>
        <v>0</v>
      </c>
      <c r="S58" s="1348">
        <f t="shared" si="76"/>
        <v>0</v>
      </c>
      <c r="T58" s="1348">
        <f t="shared" si="76"/>
        <v>0</v>
      </c>
      <c r="U58" s="1348">
        <f t="shared" si="76"/>
        <v>0</v>
      </c>
      <c r="V58" s="1348">
        <f t="shared" si="76"/>
        <v>0</v>
      </c>
      <c r="W58" s="1348">
        <f t="shared" si="76"/>
        <v>0</v>
      </c>
      <c r="X58" s="1348">
        <f t="shared" si="76"/>
        <v>0</v>
      </c>
      <c r="Y58" s="1348">
        <f t="shared" si="76"/>
        <v>0</v>
      </c>
      <c r="Z58" s="1348">
        <f t="shared" si="76"/>
        <v>0</v>
      </c>
      <c r="AA58" s="1348">
        <f t="shared" si="76"/>
        <v>0</v>
      </c>
    </row>
    <row r="59">
      <c r="A59" s="1352"/>
      <c r="B59" s="1352"/>
      <c r="C59" s="1354"/>
      <c r="D59" s="1354"/>
      <c r="E59" s="1357"/>
      <c r="F59" s="1354"/>
      <c r="G59" s="1345"/>
      <c r="H59" s="1354"/>
      <c r="I59" s="1354"/>
      <c r="J59" s="1330">
        <f t="shared" si="31"/>
        <v>0</v>
      </c>
      <c r="K59" s="1330">
        <f t="shared" si="32"/>
        <v>0</v>
      </c>
      <c r="L59" s="1331">
        <f t="shared" si="33"/>
        <v>0</v>
      </c>
      <c r="M59" s="1331">
        <f t="shared" si="34"/>
        <v>0</v>
      </c>
      <c r="N59" s="1331">
        <f t="shared" si="35"/>
        <v>0</v>
      </c>
      <c r="O59" s="1331">
        <f t="shared" si="36"/>
        <v>0</v>
      </c>
      <c r="P59" s="1348">
        <f t="shared" ref="P59:AA59" si="77">$E59/12</f>
        <v>0</v>
      </c>
      <c r="Q59" s="1348">
        <f t="shared" si="77"/>
        <v>0</v>
      </c>
      <c r="R59" s="1348">
        <f t="shared" si="77"/>
        <v>0</v>
      </c>
      <c r="S59" s="1348">
        <f t="shared" si="77"/>
        <v>0</v>
      </c>
      <c r="T59" s="1348">
        <f t="shared" si="77"/>
        <v>0</v>
      </c>
      <c r="U59" s="1348">
        <f t="shared" si="77"/>
        <v>0</v>
      </c>
      <c r="V59" s="1348">
        <f t="shared" si="77"/>
        <v>0</v>
      </c>
      <c r="W59" s="1348">
        <f t="shared" si="77"/>
        <v>0</v>
      </c>
      <c r="X59" s="1348">
        <f t="shared" si="77"/>
        <v>0</v>
      </c>
      <c r="Y59" s="1348">
        <f t="shared" si="77"/>
        <v>0</v>
      </c>
      <c r="Z59" s="1348">
        <f t="shared" si="77"/>
        <v>0</v>
      </c>
      <c r="AA59" s="1348">
        <f t="shared" si="77"/>
        <v>0</v>
      </c>
    </row>
    <row r="60">
      <c r="A60" s="1352"/>
      <c r="B60" s="1352"/>
      <c r="C60" s="1354"/>
      <c r="D60" s="1354"/>
      <c r="E60" s="1357"/>
      <c r="F60" s="1354"/>
      <c r="G60" s="1345"/>
      <c r="H60" s="1354"/>
      <c r="I60" s="1354"/>
      <c r="J60" s="1330">
        <f t="shared" si="31"/>
        <v>0</v>
      </c>
      <c r="K60" s="1330">
        <f t="shared" si="32"/>
        <v>0</v>
      </c>
      <c r="L60" s="1331">
        <f t="shared" si="33"/>
        <v>0</v>
      </c>
      <c r="M60" s="1331">
        <f t="shared" si="34"/>
        <v>0</v>
      </c>
      <c r="N60" s="1331">
        <f t="shared" si="35"/>
        <v>0</v>
      </c>
      <c r="O60" s="1331">
        <f t="shared" si="36"/>
        <v>0</v>
      </c>
      <c r="P60" s="1348">
        <f t="shared" ref="P60:AA60" si="78">$E60/12</f>
        <v>0</v>
      </c>
      <c r="Q60" s="1348">
        <f t="shared" si="78"/>
        <v>0</v>
      </c>
      <c r="R60" s="1348">
        <f t="shared" si="78"/>
        <v>0</v>
      </c>
      <c r="S60" s="1348">
        <f t="shared" si="78"/>
        <v>0</v>
      </c>
      <c r="T60" s="1348">
        <f t="shared" si="78"/>
        <v>0</v>
      </c>
      <c r="U60" s="1348">
        <f t="shared" si="78"/>
        <v>0</v>
      </c>
      <c r="V60" s="1348">
        <f t="shared" si="78"/>
        <v>0</v>
      </c>
      <c r="W60" s="1348">
        <f t="shared" si="78"/>
        <v>0</v>
      </c>
      <c r="X60" s="1348">
        <f t="shared" si="78"/>
        <v>0</v>
      </c>
      <c r="Y60" s="1348">
        <f t="shared" si="78"/>
        <v>0</v>
      </c>
      <c r="Z60" s="1348">
        <f t="shared" si="78"/>
        <v>0</v>
      </c>
      <c r="AA60" s="1348">
        <f t="shared" si="78"/>
        <v>0</v>
      </c>
    </row>
    <row r="61">
      <c r="A61" s="1352"/>
      <c r="B61" s="1352"/>
      <c r="C61" s="1354"/>
      <c r="D61" s="1354"/>
      <c r="E61" s="1357"/>
      <c r="F61" s="1354"/>
      <c r="G61" s="1345"/>
      <c r="H61" s="1354"/>
      <c r="I61" s="1354"/>
      <c r="J61" s="1330">
        <f t="shared" si="31"/>
        <v>0</v>
      </c>
      <c r="K61" s="1330">
        <f t="shared" si="32"/>
        <v>0</v>
      </c>
      <c r="L61" s="1331">
        <f t="shared" si="33"/>
        <v>0</v>
      </c>
      <c r="M61" s="1331">
        <f t="shared" si="34"/>
        <v>0</v>
      </c>
      <c r="N61" s="1331">
        <f t="shared" si="35"/>
        <v>0</v>
      </c>
      <c r="O61" s="1331">
        <f t="shared" si="36"/>
        <v>0</v>
      </c>
      <c r="P61" s="1348">
        <f t="shared" ref="P61:AA61" si="79">$E61/12</f>
        <v>0</v>
      </c>
      <c r="Q61" s="1348">
        <f t="shared" si="79"/>
        <v>0</v>
      </c>
      <c r="R61" s="1348">
        <f t="shared" si="79"/>
        <v>0</v>
      </c>
      <c r="S61" s="1348">
        <f t="shared" si="79"/>
        <v>0</v>
      </c>
      <c r="T61" s="1348">
        <f t="shared" si="79"/>
        <v>0</v>
      </c>
      <c r="U61" s="1348">
        <f t="shared" si="79"/>
        <v>0</v>
      </c>
      <c r="V61" s="1348">
        <f t="shared" si="79"/>
        <v>0</v>
      </c>
      <c r="W61" s="1348">
        <f t="shared" si="79"/>
        <v>0</v>
      </c>
      <c r="X61" s="1348">
        <f t="shared" si="79"/>
        <v>0</v>
      </c>
      <c r="Y61" s="1348">
        <f t="shared" si="79"/>
        <v>0</v>
      </c>
      <c r="Z61" s="1348">
        <f t="shared" si="79"/>
        <v>0</v>
      </c>
      <c r="AA61" s="1348">
        <f t="shared" si="79"/>
        <v>0</v>
      </c>
    </row>
    <row r="62">
      <c r="A62" s="1352"/>
      <c r="B62" s="1352"/>
      <c r="C62" s="1354"/>
      <c r="D62" s="1354"/>
      <c r="E62" s="1357"/>
      <c r="F62" s="1354"/>
      <c r="G62" s="1345"/>
      <c r="H62" s="1354"/>
      <c r="I62" s="1354"/>
      <c r="J62" s="1330">
        <f t="shared" si="31"/>
        <v>0</v>
      </c>
      <c r="K62" s="1330">
        <f t="shared" si="32"/>
        <v>0</v>
      </c>
      <c r="L62" s="1331">
        <f t="shared" si="33"/>
        <v>0</v>
      </c>
      <c r="M62" s="1331">
        <f t="shared" si="34"/>
        <v>0</v>
      </c>
      <c r="N62" s="1331">
        <f t="shared" si="35"/>
        <v>0</v>
      </c>
      <c r="O62" s="1331">
        <f t="shared" si="36"/>
        <v>0</v>
      </c>
      <c r="P62" s="1348">
        <f t="shared" ref="P62:AA62" si="80">$E62/12</f>
        <v>0</v>
      </c>
      <c r="Q62" s="1348">
        <f t="shared" si="80"/>
        <v>0</v>
      </c>
      <c r="R62" s="1348">
        <f t="shared" si="80"/>
        <v>0</v>
      </c>
      <c r="S62" s="1348">
        <f t="shared" si="80"/>
        <v>0</v>
      </c>
      <c r="T62" s="1348">
        <f t="shared" si="80"/>
        <v>0</v>
      </c>
      <c r="U62" s="1348">
        <f t="shared" si="80"/>
        <v>0</v>
      </c>
      <c r="V62" s="1348">
        <f t="shared" si="80"/>
        <v>0</v>
      </c>
      <c r="W62" s="1348">
        <f t="shared" si="80"/>
        <v>0</v>
      </c>
      <c r="X62" s="1348">
        <f t="shared" si="80"/>
        <v>0</v>
      </c>
      <c r="Y62" s="1348">
        <f t="shared" si="80"/>
        <v>0</v>
      </c>
      <c r="Z62" s="1348">
        <f t="shared" si="80"/>
        <v>0</v>
      </c>
      <c r="AA62" s="1348">
        <f t="shared" si="80"/>
        <v>0</v>
      </c>
    </row>
    <row r="63">
      <c r="A63" s="1352"/>
      <c r="B63" s="1352"/>
      <c r="C63" s="1354"/>
      <c r="D63" s="1354"/>
      <c r="E63" s="1357"/>
      <c r="F63" s="1354"/>
      <c r="G63" s="1345"/>
      <c r="H63" s="1354"/>
      <c r="I63" s="1354"/>
      <c r="J63" s="1330">
        <f t="shared" si="31"/>
        <v>0</v>
      </c>
      <c r="K63" s="1330">
        <f t="shared" si="32"/>
        <v>0</v>
      </c>
      <c r="L63" s="1331">
        <f t="shared" si="33"/>
        <v>0</v>
      </c>
      <c r="M63" s="1331">
        <f t="shared" si="34"/>
        <v>0</v>
      </c>
      <c r="N63" s="1331">
        <f t="shared" si="35"/>
        <v>0</v>
      </c>
      <c r="O63" s="1331">
        <f t="shared" si="36"/>
        <v>0</v>
      </c>
      <c r="P63" s="1348">
        <f t="shared" ref="P63:AA63" si="81">$E63/12</f>
        <v>0</v>
      </c>
      <c r="Q63" s="1348">
        <f t="shared" si="81"/>
        <v>0</v>
      </c>
      <c r="R63" s="1348">
        <f t="shared" si="81"/>
        <v>0</v>
      </c>
      <c r="S63" s="1348">
        <f t="shared" si="81"/>
        <v>0</v>
      </c>
      <c r="T63" s="1348">
        <f t="shared" si="81"/>
        <v>0</v>
      </c>
      <c r="U63" s="1348">
        <f t="shared" si="81"/>
        <v>0</v>
      </c>
      <c r="V63" s="1348">
        <f t="shared" si="81"/>
        <v>0</v>
      </c>
      <c r="W63" s="1348">
        <f t="shared" si="81"/>
        <v>0</v>
      </c>
      <c r="X63" s="1348">
        <f t="shared" si="81"/>
        <v>0</v>
      </c>
      <c r="Y63" s="1348">
        <f t="shared" si="81"/>
        <v>0</v>
      </c>
      <c r="Z63" s="1348">
        <f t="shared" si="81"/>
        <v>0</v>
      </c>
      <c r="AA63" s="1348">
        <f t="shared" si="81"/>
        <v>0</v>
      </c>
    </row>
    <row r="64">
      <c r="A64" s="1352"/>
      <c r="B64" s="1352"/>
      <c r="C64" s="1354"/>
      <c r="D64" s="1354"/>
      <c r="E64" s="1357"/>
      <c r="F64" s="1354"/>
      <c r="G64" s="1345"/>
      <c r="H64" s="1354"/>
      <c r="I64" s="1354"/>
      <c r="J64" s="1330">
        <f t="shared" si="31"/>
        <v>0</v>
      </c>
      <c r="K64" s="1330">
        <f t="shared" si="32"/>
        <v>0</v>
      </c>
      <c r="L64" s="1331">
        <f t="shared" si="33"/>
        <v>0</v>
      </c>
      <c r="M64" s="1331">
        <f t="shared" si="34"/>
        <v>0</v>
      </c>
      <c r="N64" s="1331">
        <f t="shared" si="35"/>
        <v>0</v>
      </c>
      <c r="O64" s="1331">
        <f t="shared" si="36"/>
        <v>0</v>
      </c>
      <c r="P64" s="1348">
        <f t="shared" ref="P64:AA64" si="82">$E64/12</f>
        <v>0</v>
      </c>
      <c r="Q64" s="1348">
        <f t="shared" si="82"/>
        <v>0</v>
      </c>
      <c r="R64" s="1348">
        <f t="shared" si="82"/>
        <v>0</v>
      </c>
      <c r="S64" s="1348">
        <f t="shared" si="82"/>
        <v>0</v>
      </c>
      <c r="T64" s="1348">
        <f t="shared" si="82"/>
        <v>0</v>
      </c>
      <c r="U64" s="1348">
        <f t="shared" si="82"/>
        <v>0</v>
      </c>
      <c r="V64" s="1348">
        <f t="shared" si="82"/>
        <v>0</v>
      </c>
      <c r="W64" s="1348">
        <f t="shared" si="82"/>
        <v>0</v>
      </c>
      <c r="X64" s="1348">
        <f t="shared" si="82"/>
        <v>0</v>
      </c>
      <c r="Y64" s="1348">
        <f t="shared" si="82"/>
        <v>0</v>
      </c>
      <c r="Z64" s="1348">
        <f t="shared" si="82"/>
        <v>0</v>
      </c>
      <c r="AA64" s="1348">
        <f t="shared" si="82"/>
        <v>0</v>
      </c>
    </row>
    <row r="65">
      <c r="A65" s="1352"/>
      <c r="B65" s="1352"/>
      <c r="C65" s="1354"/>
      <c r="D65" s="1354"/>
      <c r="E65" s="1357"/>
      <c r="F65" s="1354"/>
      <c r="G65" s="1345"/>
      <c r="H65" s="1354"/>
      <c r="I65" s="1354"/>
      <c r="J65" s="1330">
        <f t="shared" si="31"/>
        <v>0</v>
      </c>
      <c r="K65" s="1330">
        <f t="shared" si="32"/>
        <v>0</v>
      </c>
      <c r="L65" s="1331">
        <f t="shared" si="33"/>
        <v>0</v>
      </c>
      <c r="M65" s="1331">
        <f t="shared" si="34"/>
        <v>0</v>
      </c>
      <c r="N65" s="1331">
        <f t="shared" si="35"/>
        <v>0</v>
      </c>
      <c r="O65" s="1331">
        <f t="shared" si="36"/>
        <v>0</v>
      </c>
      <c r="P65" s="1348">
        <f t="shared" ref="P65:AA65" si="83">$E65/12</f>
        <v>0</v>
      </c>
      <c r="Q65" s="1348">
        <f t="shared" si="83"/>
        <v>0</v>
      </c>
      <c r="R65" s="1348">
        <f t="shared" si="83"/>
        <v>0</v>
      </c>
      <c r="S65" s="1348">
        <f t="shared" si="83"/>
        <v>0</v>
      </c>
      <c r="T65" s="1348">
        <f t="shared" si="83"/>
        <v>0</v>
      </c>
      <c r="U65" s="1348">
        <f t="shared" si="83"/>
        <v>0</v>
      </c>
      <c r="V65" s="1348">
        <f t="shared" si="83"/>
        <v>0</v>
      </c>
      <c r="W65" s="1348">
        <f t="shared" si="83"/>
        <v>0</v>
      </c>
      <c r="X65" s="1348">
        <f t="shared" si="83"/>
        <v>0</v>
      </c>
      <c r="Y65" s="1348">
        <f t="shared" si="83"/>
        <v>0</v>
      </c>
      <c r="Z65" s="1348">
        <f t="shared" si="83"/>
        <v>0</v>
      </c>
      <c r="AA65" s="1348">
        <f t="shared" si="83"/>
        <v>0</v>
      </c>
    </row>
    <row r="66">
      <c r="A66" s="1352"/>
      <c r="B66" s="1352"/>
      <c r="C66" s="1354"/>
      <c r="D66" s="1354"/>
      <c r="E66" s="1357"/>
      <c r="F66" s="1354"/>
      <c r="G66" s="1345"/>
      <c r="H66" s="1354"/>
      <c r="I66" s="1354"/>
      <c r="J66" s="1330">
        <f t="shared" si="31"/>
        <v>0</v>
      </c>
      <c r="K66" s="1330">
        <f t="shared" si="32"/>
        <v>0</v>
      </c>
      <c r="L66" s="1331">
        <f t="shared" si="33"/>
        <v>0</v>
      </c>
      <c r="M66" s="1331">
        <f t="shared" si="34"/>
        <v>0</v>
      </c>
      <c r="N66" s="1331">
        <f t="shared" si="35"/>
        <v>0</v>
      </c>
      <c r="O66" s="1331">
        <f t="shared" si="36"/>
        <v>0</v>
      </c>
      <c r="P66" s="1348">
        <f t="shared" ref="P66:AA66" si="84">$E66/12</f>
        <v>0</v>
      </c>
      <c r="Q66" s="1348">
        <f t="shared" si="84"/>
        <v>0</v>
      </c>
      <c r="R66" s="1348">
        <f t="shared" si="84"/>
        <v>0</v>
      </c>
      <c r="S66" s="1348">
        <f t="shared" si="84"/>
        <v>0</v>
      </c>
      <c r="T66" s="1348">
        <f t="shared" si="84"/>
        <v>0</v>
      </c>
      <c r="U66" s="1348">
        <f t="shared" si="84"/>
        <v>0</v>
      </c>
      <c r="V66" s="1348">
        <f t="shared" si="84"/>
        <v>0</v>
      </c>
      <c r="W66" s="1348">
        <f t="shared" si="84"/>
        <v>0</v>
      </c>
      <c r="X66" s="1348">
        <f t="shared" si="84"/>
        <v>0</v>
      </c>
      <c r="Y66" s="1348">
        <f t="shared" si="84"/>
        <v>0</v>
      </c>
      <c r="Z66" s="1348">
        <f t="shared" si="84"/>
        <v>0</v>
      </c>
      <c r="AA66" s="1348">
        <f t="shared" si="84"/>
        <v>0</v>
      </c>
    </row>
    <row r="67">
      <c r="A67" s="1352"/>
      <c r="B67" s="1352"/>
      <c r="C67" s="1354"/>
      <c r="D67" s="1354"/>
      <c r="E67" s="1357"/>
      <c r="F67" s="1354"/>
      <c r="G67" s="1345"/>
      <c r="H67" s="1354"/>
      <c r="I67" s="1354"/>
      <c r="J67" s="1330">
        <f t="shared" si="31"/>
        <v>0</v>
      </c>
      <c r="K67" s="1330">
        <f t="shared" si="32"/>
        <v>0</v>
      </c>
      <c r="L67" s="1331">
        <f t="shared" si="33"/>
        <v>0</v>
      </c>
      <c r="M67" s="1331">
        <f t="shared" si="34"/>
        <v>0</v>
      </c>
      <c r="N67" s="1331">
        <f t="shared" si="35"/>
        <v>0</v>
      </c>
      <c r="O67" s="1331">
        <f t="shared" si="36"/>
        <v>0</v>
      </c>
      <c r="P67" s="1348">
        <f t="shared" ref="P67:AA67" si="85">$E67/12</f>
        <v>0</v>
      </c>
      <c r="Q67" s="1348">
        <f t="shared" si="85"/>
        <v>0</v>
      </c>
      <c r="R67" s="1348">
        <f t="shared" si="85"/>
        <v>0</v>
      </c>
      <c r="S67" s="1348">
        <f t="shared" si="85"/>
        <v>0</v>
      </c>
      <c r="T67" s="1348">
        <f t="shared" si="85"/>
        <v>0</v>
      </c>
      <c r="U67" s="1348">
        <f t="shared" si="85"/>
        <v>0</v>
      </c>
      <c r="V67" s="1348">
        <f t="shared" si="85"/>
        <v>0</v>
      </c>
      <c r="W67" s="1348">
        <f t="shared" si="85"/>
        <v>0</v>
      </c>
      <c r="X67" s="1348">
        <f t="shared" si="85"/>
        <v>0</v>
      </c>
      <c r="Y67" s="1348">
        <f t="shared" si="85"/>
        <v>0</v>
      </c>
      <c r="Z67" s="1348">
        <f t="shared" si="85"/>
        <v>0</v>
      </c>
      <c r="AA67" s="1348">
        <f t="shared" si="85"/>
        <v>0</v>
      </c>
    </row>
    <row r="68">
      <c r="A68" s="1352"/>
      <c r="B68" s="1352"/>
      <c r="C68" s="1354"/>
      <c r="D68" s="1354"/>
      <c r="E68" s="1357"/>
      <c r="F68" s="1354"/>
      <c r="G68" s="1345"/>
      <c r="H68" s="1354"/>
      <c r="I68" s="1354"/>
      <c r="J68" s="1330">
        <f t="shared" si="31"/>
        <v>0</v>
      </c>
      <c r="K68" s="1330">
        <f t="shared" si="32"/>
        <v>0</v>
      </c>
      <c r="L68" s="1331">
        <f t="shared" si="33"/>
        <v>0</v>
      </c>
      <c r="M68" s="1331">
        <f t="shared" si="34"/>
        <v>0</v>
      </c>
      <c r="N68" s="1331">
        <f t="shared" si="35"/>
        <v>0</v>
      </c>
      <c r="O68" s="1331">
        <f t="shared" si="36"/>
        <v>0</v>
      </c>
      <c r="P68" s="1348">
        <f t="shared" ref="P68:AA68" si="86">$E68/12</f>
        <v>0</v>
      </c>
      <c r="Q68" s="1348">
        <f t="shared" si="86"/>
        <v>0</v>
      </c>
      <c r="R68" s="1348">
        <f t="shared" si="86"/>
        <v>0</v>
      </c>
      <c r="S68" s="1348">
        <f t="shared" si="86"/>
        <v>0</v>
      </c>
      <c r="T68" s="1348">
        <f t="shared" si="86"/>
        <v>0</v>
      </c>
      <c r="U68" s="1348">
        <f t="shared" si="86"/>
        <v>0</v>
      </c>
      <c r="V68" s="1348">
        <f t="shared" si="86"/>
        <v>0</v>
      </c>
      <c r="W68" s="1348">
        <f t="shared" si="86"/>
        <v>0</v>
      </c>
      <c r="X68" s="1348">
        <f t="shared" si="86"/>
        <v>0</v>
      </c>
      <c r="Y68" s="1348">
        <f t="shared" si="86"/>
        <v>0</v>
      </c>
      <c r="Z68" s="1348">
        <f t="shared" si="86"/>
        <v>0</v>
      </c>
      <c r="AA68" s="1348">
        <f t="shared" si="86"/>
        <v>0</v>
      </c>
    </row>
    <row r="69">
      <c r="A69" s="1352"/>
      <c r="B69" s="1352"/>
      <c r="C69" s="1354"/>
      <c r="D69" s="1354"/>
      <c r="E69" s="1357"/>
      <c r="F69" s="1354"/>
      <c r="G69" s="1345"/>
      <c r="H69" s="1354"/>
      <c r="I69" s="1354"/>
      <c r="J69" s="1330">
        <f t="shared" si="31"/>
        <v>0</v>
      </c>
      <c r="K69" s="1330">
        <f t="shared" si="32"/>
        <v>0</v>
      </c>
      <c r="L69" s="1331">
        <f t="shared" si="33"/>
        <v>0</v>
      </c>
      <c r="M69" s="1331">
        <f t="shared" si="34"/>
        <v>0</v>
      </c>
      <c r="N69" s="1331">
        <f t="shared" si="35"/>
        <v>0</v>
      </c>
      <c r="O69" s="1331">
        <f t="shared" si="36"/>
        <v>0</v>
      </c>
      <c r="P69" s="1348">
        <f t="shared" ref="P69:AA69" si="87">$E69/12</f>
        <v>0</v>
      </c>
      <c r="Q69" s="1348">
        <f t="shared" si="87"/>
        <v>0</v>
      </c>
      <c r="R69" s="1348">
        <f t="shared" si="87"/>
        <v>0</v>
      </c>
      <c r="S69" s="1348">
        <f t="shared" si="87"/>
        <v>0</v>
      </c>
      <c r="T69" s="1348">
        <f t="shared" si="87"/>
        <v>0</v>
      </c>
      <c r="U69" s="1348">
        <f t="shared" si="87"/>
        <v>0</v>
      </c>
      <c r="V69" s="1348">
        <f t="shared" si="87"/>
        <v>0</v>
      </c>
      <c r="W69" s="1348">
        <f t="shared" si="87"/>
        <v>0</v>
      </c>
      <c r="X69" s="1348">
        <f t="shared" si="87"/>
        <v>0</v>
      </c>
      <c r="Y69" s="1348">
        <f t="shared" si="87"/>
        <v>0</v>
      </c>
      <c r="Z69" s="1348">
        <f t="shared" si="87"/>
        <v>0</v>
      </c>
      <c r="AA69" s="1348">
        <f t="shared" si="87"/>
        <v>0</v>
      </c>
    </row>
    <row r="70">
      <c r="A70" s="1352"/>
      <c r="B70" s="1352"/>
      <c r="C70" s="1354"/>
      <c r="D70" s="1354"/>
      <c r="E70" s="1357"/>
      <c r="F70" s="1354"/>
      <c r="G70" s="1345"/>
      <c r="H70" s="1354"/>
      <c r="I70" s="1354"/>
      <c r="J70" s="1330">
        <f t="shared" si="31"/>
        <v>0</v>
      </c>
      <c r="K70" s="1330">
        <f t="shared" si="32"/>
        <v>0</v>
      </c>
      <c r="L70" s="1331">
        <f t="shared" si="33"/>
        <v>0</v>
      </c>
      <c r="M70" s="1331">
        <f t="shared" si="34"/>
        <v>0</v>
      </c>
      <c r="N70" s="1331">
        <f t="shared" si="35"/>
        <v>0</v>
      </c>
      <c r="O70" s="1331">
        <f t="shared" si="36"/>
        <v>0</v>
      </c>
      <c r="P70" s="1348">
        <f t="shared" ref="P70:AA70" si="88">$E70/12</f>
        <v>0</v>
      </c>
      <c r="Q70" s="1348">
        <f t="shared" si="88"/>
        <v>0</v>
      </c>
      <c r="R70" s="1348">
        <f t="shared" si="88"/>
        <v>0</v>
      </c>
      <c r="S70" s="1348">
        <f t="shared" si="88"/>
        <v>0</v>
      </c>
      <c r="T70" s="1348">
        <f t="shared" si="88"/>
        <v>0</v>
      </c>
      <c r="U70" s="1348">
        <f t="shared" si="88"/>
        <v>0</v>
      </c>
      <c r="V70" s="1348">
        <f t="shared" si="88"/>
        <v>0</v>
      </c>
      <c r="W70" s="1348">
        <f t="shared" si="88"/>
        <v>0</v>
      </c>
      <c r="X70" s="1348">
        <f t="shared" si="88"/>
        <v>0</v>
      </c>
      <c r="Y70" s="1348">
        <f t="shared" si="88"/>
        <v>0</v>
      </c>
      <c r="Z70" s="1348">
        <f t="shared" si="88"/>
        <v>0</v>
      </c>
      <c r="AA70" s="1348">
        <f t="shared" si="88"/>
        <v>0</v>
      </c>
    </row>
    <row r="71">
      <c r="A71" s="1352"/>
      <c r="B71" s="1352"/>
      <c r="C71" s="1354"/>
      <c r="D71" s="1354"/>
      <c r="E71" s="1357"/>
      <c r="F71" s="1354"/>
      <c r="G71" s="1345"/>
      <c r="H71" s="1354"/>
      <c r="I71" s="1354"/>
      <c r="J71" s="1330">
        <f t="shared" si="31"/>
        <v>0</v>
      </c>
      <c r="K71" s="1330">
        <f t="shared" si="32"/>
        <v>0</v>
      </c>
      <c r="L71" s="1331">
        <f t="shared" si="33"/>
        <v>0</v>
      </c>
      <c r="M71" s="1331">
        <f t="shared" si="34"/>
        <v>0</v>
      </c>
      <c r="N71" s="1331">
        <f t="shared" si="35"/>
        <v>0</v>
      </c>
      <c r="O71" s="1331">
        <f t="shared" si="36"/>
        <v>0</v>
      </c>
      <c r="P71" s="1348">
        <f t="shared" ref="P71:AA71" si="89">$E71/12</f>
        <v>0</v>
      </c>
      <c r="Q71" s="1348">
        <f t="shared" si="89"/>
        <v>0</v>
      </c>
      <c r="R71" s="1348">
        <f t="shared" si="89"/>
        <v>0</v>
      </c>
      <c r="S71" s="1348">
        <f t="shared" si="89"/>
        <v>0</v>
      </c>
      <c r="T71" s="1348">
        <f t="shared" si="89"/>
        <v>0</v>
      </c>
      <c r="U71" s="1348">
        <f t="shared" si="89"/>
        <v>0</v>
      </c>
      <c r="V71" s="1348">
        <f t="shared" si="89"/>
        <v>0</v>
      </c>
      <c r="W71" s="1348">
        <f t="shared" si="89"/>
        <v>0</v>
      </c>
      <c r="X71" s="1348">
        <f t="shared" si="89"/>
        <v>0</v>
      </c>
      <c r="Y71" s="1348">
        <f t="shared" si="89"/>
        <v>0</v>
      </c>
      <c r="Z71" s="1348">
        <f t="shared" si="89"/>
        <v>0</v>
      </c>
      <c r="AA71" s="1348">
        <f t="shared" si="89"/>
        <v>0</v>
      </c>
    </row>
    <row r="72">
      <c r="A72" s="1352"/>
      <c r="B72" s="1352"/>
      <c r="C72" s="1354"/>
      <c r="D72" s="1354"/>
      <c r="E72" s="1357"/>
      <c r="F72" s="1354"/>
      <c r="G72" s="1345"/>
      <c r="H72" s="1354"/>
      <c r="I72" s="1354"/>
      <c r="J72" s="1330">
        <f t="shared" si="31"/>
        <v>0</v>
      </c>
      <c r="K72" s="1330">
        <f t="shared" si="32"/>
        <v>0</v>
      </c>
      <c r="L72" s="1331">
        <f t="shared" si="33"/>
        <v>0</v>
      </c>
      <c r="M72" s="1331">
        <f t="shared" si="34"/>
        <v>0</v>
      </c>
      <c r="N72" s="1331">
        <f t="shared" si="35"/>
        <v>0</v>
      </c>
      <c r="O72" s="1331">
        <f t="shared" si="36"/>
        <v>0</v>
      </c>
      <c r="P72" s="1348">
        <f t="shared" ref="P72:AA72" si="90">$E72/12</f>
        <v>0</v>
      </c>
      <c r="Q72" s="1348">
        <f t="shared" si="90"/>
        <v>0</v>
      </c>
      <c r="R72" s="1348">
        <f t="shared" si="90"/>
        <v>0</v>
      </c>
      <c r="S72" s="1348">
        <f t="shared" si="90"/>
        <v>0</v>
      </c>
      <c r="T72" s="1348">
        <f t="shared" si="90"/>
        <v>0</v>
      </c>
      <c r="U72" s="1348">
        <f t="shared" si="90"/>
        <v>0</v>
      </c>
      <c r="V72" s="1348">
        <f t="shared" si="90"/>
        <v>0</v>
      </c>
      <c r="W72" s="1348">
        <f t="shared" si="90"/>
        <v>0</v>
      </c>
      <c r="X72" s="1348">
        <f t="shared" si="90"/>
        <v>0</v>
      </c>
      <c r="Y72" s="1348">
        <f t="shared" si="90"/>
        <v>0</v>
      </c>
      <c r="Z72" s="1348">
        <f t="shared" si="90"/>
        <v>0</v>
      </c>
      <c r="AA72" s="1348">
        <f t="shared" si="90"/>
        <v>0</v>
      </c>
    </row>
  </sheetData>
  <mergeCells count="13">
    <mergeCell ref="J2:J3"/>
    <mergeCell ref="K2:K3"/>
    <mergeCell ref="L2:L3"/>
    <mergeCell ref="M2:M3"/>
    <mergeCell ref="N2:N3"/>
    <mergeCell ref="O2:O3"/>
    <mergeCell ref="A1:D1"/>
    <mergeCell ref="E1:I1"/>
    <mergeCell ref="A2:A4"/>
    <mergeCell ref="B2:B4"/>
    <mergeCell ref="C2:D2"/>
    <mergeCell ref="E2:G2"/>
    <mergeCell ref="H2:I2"/>
  </mergeCells>
  <dataValidations>
    <dataValidation type="list" allowBlank="1" showErrorMessage="1" sqref="A5:A16 A18:A72">
      <formula1>MA_CDT</formula1>
    </dataValidation>
    <dataValidation type="list" allowBlank="1" showErrorMessage="1" sqref="C18:C72">
      <formula1>MA_DUAN</formula1>
    </dataValidation>
    <dataValidation type="list" allowBlank="1" showErrorMessage="1" sqref="J2:AA2 J17:AA17">
      <formula1>THANG</formula1>
    </dataValidation>
  </dataValidation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9.0" ySplit="2.0" topLeftCell="J3" activePane="bottomRight" state="frozen"/>
      <selection activeCell="J1" sqref="J1" pane="topRight"/>
      <selection activeCell="A3" sqref="A3" pane="bottomLeft"/>
      <selection activeCell="J3" sqref="J3" pane="bottomRight"/>
    </sheetView>
  </sheetViews>
  <sheetFormatPr customHeight="1" defaultColWidth="14.43" defaultRowHeight="15.0" outlineLevelCol="1"/>
  <cols>
    <col collapsed="1" customWidth="1" min="1" max="1" width="5.86"/>
    <col customWidth="1" hidden="1" min="2" max="2" width="15.29" outlineLevel="1"/>
    <col customWidth="1" min="3" max="3" width="17.86"/>
    <col customWidth="1" min="4" max="4" width="33.0"/>
    <col customWidth="1" min="5" max="5" width="15.14"/>
    <col customWidth="1" min="6" max="6" width="7.71"/>
    <col customWidth="1" hidden="1" min="7" max="7" width="5.43"/>
    <col customWidth="1" min="9" max="9" width="8.29"/>
    <col customWidth="1" min="10" max="10" width="15.57"/>
  </cols>
  <sheetData>
    <row r="1">
      <c r="A1" s="1358" t="s">
        <v>2933</v>
      </c>
      <c r="B1" s="1204" t="s">
        <v>2209</v>
      </c>
      <c r="C1" s="1204" t="s">
        <v>1799</v>
      </c>
      <c r="D1" s="1203"/>
      <c r="E1" s="1205"/>
      <c r="F1" s="15" t="s">
        <v>2805</v>
      </c>
      <c r="G1" s="1203"/>
      <c r="H1" s="1206" t="s">
        <v>2895</v>
      </c>
      <c r="J1" s="1207" t="s">
        <v>1914</v>
      </c>
      <c r="K1" s="1207" t="s">
        <v>2896</v>
      </c>
      <c r="L1" s="1208" t="s">
        <v>2806</v>
      </c>
      <c r="M1" s="1208" t="s">
        <v>2807</v>
      </c>
      <c r="N1" s="1208" t="s">
        <v>2809</v>
      </c>
      <c r="O1" s="1208" t="s">
        <v>2810</v>
      </c>
      <c r="P1" s="1294">
        <v>44562.0</v>
      </c>
      <c r="Q1" s="1295">
        <v>44593.0</v>
      </c>
      <c r="R1" s="1295">
        <v>44621.0</v>
      </c>
      <c r="S1" s="1295">
        <v>44652.0</v>
      </c>
      <c r="T1" s="1295">
        <v>44682.0</v>
      </c>
      <c r="U1" s="1295">
        <v>44713.0</v>
      </c>
      <c r="V1" s="1295">
        <v>44743.0</v>
      </c>
      <c r="W1" s="1295">
        <v>44774.0</v>
      </c>
      <c r="X1" s="1295">
        <v>44805.0</v>
      </c>
      <c r="Y1" s="1295">
        <v>44835.0</v>
      </c>
      <c r="Z1" s="1295">
        <v>44866.0</v>
      </c>
      <c r="AA1" s="1295">
        <v>44896.0</v>
      </c>
    </row>
    <row r="2">
      <c r="A2" s="1211" t="s">
        <v>2818</v>
      </c>
      <c r="B2" s="1212"/>
      <c r="C2" s="1212"/>
      <c r="D2" s="1212"/>
      <c r="E2" s="1213"/>
      <c r="F2" s="1212"/>
      <c r="G2" s="1212"/>
      <c r="H2" s="1214">
        <f>SUM(H3:H12)</f>
        <v>1070999980</v>
      </c>
      <c r="I2" s="1214">
        <f>SUMIF($G$3:$G$13,"1",I$3:I$13)</f>
        <v>0</v>
      </c>
      <c r="J2" s="1214">
        <f t="shared" ref="J2:AA2" si="1">SUM(J3:J12)</f>
        <v>31000000</v>
      </c>
      <c r="K2" s="1214">
        <f t="shared" si="1"/>
        <v>1039999980</v>
      </c>
      <c r="L2" s="1214">
        <f t="shared" si="1"/>
        <v>31000000</v>
      </c>
      <c r="M2" s="1214">
        <f t="shared" si="1"/>
        <v>0</v>
      </c>
      <c r="N2" s="1214">
        <f t="shared" si="1"/>
        <v>519999990</v>
      </c>
      <c r="O2" s="1214">
        <f t="shared" si="1"/>
        <v>519999990</v>
      </c>
      <c r="P2" s="1214">
        <f t="shared" si="1"/>
        <v>1000000</v>
      </c>
      <c r="Q2" s="1214">
        <f t="shared" si="1"/>
        <v>0</v>
      </c>
      <c r="R2" s="1214">
        <f t="shared" si="1"/>
        <v>30000000</v>
      </c>
      <c r="S2" s="1214">
        <f t="shared" si="1"/>
        <v>0</v>
      </c>
      <c r="T2" s="1214">
        <f t="shared" si="1"/>
        <v>0</v>
      </c>
      <c r="U2" s="1214">
        <f t="shared" si="1"/>
        <v>0</v>
      </c>
      <c r="V2" s="1214">
        <f t="shared" si="1"/>
        <v>173333330</v>
      </c>
      <c r="W2" s="1214">
        <f t="shared" si="1"/>
        <v>173333330</v>
      </c>
      <c r="X2" s="1214">
        <f t="shared" si="1"/>
        <v>173333330</v>
      </c>
      <c r="Y2" s="1214">
        <f t="shared" si="1"/>
        <v>173333330</v>
      </c>
      <c r="Z2" s="1214">
        <f t="shared" si="1"/>
        <v>173333330</v>
      </c>
      <c r="AA2" s="1214">
        <f t="shared" si="1"/>
        <v>173333330</v>
      </c>
    </row>
    <row r="3">
      <c r="A3" s="1215">
        <f t="shared" ref="A3:A13" si="2">IF(C3="","",COUNTA(D$3:D3))</f>
        <v>1</v>
      </c>
      <c r="B3" s="1216" t="s">
        <v>2066</v>
      </c>
      <c r="C3" s="1087" t="s">
        <v>215</v>
      </c>
      <c r="D3" s="1216" t="str">
        <f>VLOOKUP(C3,DM_DUAN,2,0)</f>
        <v>Phước Đông Garden</v>
      </c>
      <c r="E3" s="1217" t="s">
        <v>198</v>
      </c>
      <c r="F3" s="1218"/>
      <c r="G3" s="1218">
        <v>2.0</v>
      </c>
      <c r="H3" s="1219">
        <f t="shared" ref="H3:H13" si="3">SUM(J3:K3)</f>
        <v>79999998</v>
      </c>
      <c r="I3" s="1220">
        <f t="shared" ref="I3:I13" si="4">IFERROR(H3/$H$2,"")</f>
        <v>0.07469654481</v>
      </c>
      <c r="J3" s="1221">
        <f t="shared" ref="J3:J13" si="5">SUM(L3:M3)</f>
        <v>0</v>
      </c>
      <c r="K3" s="1221">
        <f t="shared" ref="K3:K13" si="6">SUM(N3:O3)</f>
        <v>79999998</v>
      </c>
      <c r="L3" s="1222">
        <f t="shared" ref="L3:L13" si="7">SUM(P3:R3)</f>
        <v>0</v>
      </c>
      <c r="M3" s="1222">
        <f t="shared" ref="M3:M13" si="8">SUM(S3:U3)</f>
        <v>0</v>
      </c>
      <c r="N3" s="1222">
        <f t="shared" ref="N3:N13" si="9">SUM(V3:X3)</f>
        <v>39999999</v>
      </c>
      <c r="O3" s="1222">
        <f t="shared" ref="O3:O13" si="10">SUM(Y3:AA3)</f>
        <v>39999999</v>
      </c>
      <c r="P3" s="1223">
        <f>SUMIFS(TF_SOTIEN,TF_THANG,P$1,TF_KM,$E3,TF_DA,$C3)/1000</f>
        <v>0</v>
      </c>
      <c r="Q3" s="1223">
        <f>SUMIFS(TF_SOTIEN,TF_THANG,Q$1,TF_KM,$E3,TF_DA,$C3)/1000</f>
        <v>0</v>
      </c>
      <c r="R3" s="1223">
        <f>SUMIFS(TF_SOTIEN,TF_THANG,R$1,TF_KM,$E3,TF_DA,$C3)/1000</f>
        <v>0</v>
      </c>
      <c r="S3" s="1223">
        <f>SUMIFS(TF_SOTIEN,TF_THANG,S$1,TF_KM,$E3,TF_DA,$C3)/1000</f>
        <v>0</v>
      </c>
      <c r="T3" s="1223">
        <f>SUMIFS(TF_SOTIEN,TF_THANG,T$1,TF_KM,$E3,TF_DA,$C3)/1000</f>
        <v>0</v>
      </c>
      <c r="U3" s="1223">
        <f>SUMIFS(TF_SOTIEN,TF_THANG,U$1,TF_KM,$E3,TF_DA,$C3)/1000</f>
        <v>0</v>
      </c>
      <c r="V3" s="1223">
        <f>SUMIFS(TF_SOTIEN,TF_THANG,V$1,TF_KM,$E3,TF_DA,$C3)/1000</f>
        <v>13333333</v>
      </c>
      <c r="W3" s="1223">
        <f>SUMIFS(TF_SOTIEN,TF_THANG,W$1,TF_KM,$E3,TF_DA,$C3)/1000</f>
        <v>13333333</v>
      </c>
      <c r="X3" s="1223">
        <f>SUMIFS(TF_SOTIEN,TF_THANG,X$1,TF_KM,$E3,TF_DA,$C3)/1000</f>
        <v>13333333</v>
      </c>
      <c r="Y3" s="1223">
        <f>SUMIFS(TF_SOTIEN,TF_THANG,Y$1,TF_KM,$E3,TF_DA,$C3)/1000</f>
        <v>13333333</v>
      </c>
      <c r="Z3" s="1223">
        <f>SUMIFS(TF_SOTIEN,TF_THANG,Z$1,TF_KM,$E3,TF_DA,$C3)/1000</f>
        <v>13333333</v>
      </c>
      <c r="AA3" s="1223">
        <f>SUMIFS(TF_SOTIEN,TF_THANG,AA$1,TF_KM,$E3,TF_DA,$C3)/1000</f>
        <v>13333333</v>
      </c>
    </row>
    <row r="4">
      <c r="A4" s="1215">
        <f t="shared" si="2"/>
        <v>2</v>
      </c>
      <c r="B4" s="1216" t="s">
        <v>2067</v>
      </c>
      <c r="C4" s="1087" t="s">
        <v>404</v>
      </c>
      <c r="D4" s="1216" t="str">
        <f>VLOOKUP(C4,DM_DUAN,2,0)</f>
        <v>Hamil ton Garden</v>
      </c>
      <c r="E4" s="1217" t="s">
        <v>198</v>
      </c>
      <c r="F4" s="1218"/>
      <c r="G4" s="1218">
        <v>2.0</v>
      </c>
      <c r="H4" s="1219">
        <f t="shared" si="3"/>
        <v>39999996</v>
      </c>
      <c r="I4" s="1220">
        <f t="shared" si="4"/>
        <v>0.03734826961</v>
      </c>
      <c r="J4" s="1221">
        <f t="shared" si="5"/>
        <v>0</v>
      </c>
      <c r="K4" s="1221">
        <f t="shared" si="6"/>
        <v>39999996</v>
      </c>
      <c r="L4" s="1222">
        <f t="shared" si="7"/>
        <v>0</v>
      </c>
      <c r="M4" s="1222">
        <f t="shared" si="8"/>
        <v>0</v>
      </c>
      <c r="N4" s="1222">
        <f t="shared" si="9"/>
        <v>19999998</v>
      </c>
      <c r="O4" s="1222">
        <f t="shared" si="10"/>
        <v>19999998</v>
      </c>
      <c r="P4" s="1223">
        <f>SUMIFS(TF_SOTIEN,TF_THANG,P$1,TF_KM,$E4,TF_DA,$C4)/1000</f>
        <v>0</v>
      </c>
      <c r="Q4" s="1223">
        <f>SUMIFS(TF_SOTIEN,TF_THANG,Q$1,TF_KM,$E4,TF_DA,$C4)/1000</f>
        <v>0</v>
      </c>
      <c r="R4" s="1223">
        <f>SUMIFS(TF_SOTIEN,TF_THANG,R$1,TF_KM,$E4,TF_DA,$C4)/1000</f>
        <v>0</v>
      </c>
      <c r="S4" s="1223">
        <f>SUMIFS(TF_SOTIEN,TF_THANG,S$1,TF_KM,$E4,TF_DA,$C4)/1000</f>
        <v>0</v>
      </c>
      <c r="T4" s="1223">
        <f>SUMIFS(TF_SOTIEN,TF_THANG,T$1,TF_KM,$E4,TF_DA,$C4)/1000</f>
        <v>0</v>
      </c>
      <c r="U4" s="1223">
        <f>SUMIFS(TF_SOTIEN,TF_THANG,U$1,TF_KM,$E4,TF_DA,$C4)/1000</f>
        <v>0</v>
      </c>
      <c r="V4" s="1223">
        <f>SUMIFS(TF_SOTIEN,TF_THANG,V$1,TF_KM,$E4,TF_DA,$C4)/1000</f>
        <v>6666666</v>
      </c>
      <c r="W4" s="1223">
        <f>SUMIFS(TF_SOTIEN,TF_THANG,W$1,TF_KM,$E4,TF_DA,$C4)/1000</f>
        <v>6666666</v>
      </c>
      <c r="X4" s="1223">
        <f>SUMIFS(TF_SOTIEN,TF_THANG,X$1,TF_KM,$E4,TF_DA,$C4)/1000</f>
        <v>6666666</v>
      </c>
      <c r="Y4" s="1223">
        <f>SUMIFS(TF_SOTIEN,TF_THANG,Y$1,TF_KM,$E4,TF_DA,$C4)/1000</f>
        <v>6666666</v>
      </c>
      <c r="Z4" s="1223">
        <f>SUMIFS(TF_SOTIEN,TF_THANG,Z$1,TF_KM,$E4,TF_DA,$C4)/1000</f>
        <v>6666666</v>
      </c>
      <c r="AA4" s="1223">
        <f>SUMIFS(TF_SOTIEN,TF_THANG,AA$1,TF_KM,$E4,TF_DA,$C4)/1000</f>
        <v>6666666</v>
      </c>
    </row>
    <row r="5">
      <c r="A5" s="1215">
        <f t="shared" si="2"/>
        <v>3</v>
      </c>
      <c r="B5" s="1216" t="s">
        <v>2068</v>
      </c>
      <c r="C5" s="1087" t="s">
        <v>533</v>
      </c>
      <c r="D5" s="1216" t="str">
        <f>VLOOKUP(C5,DM_DUAN,2,0)</f>
        <v>The sol city</v>
      </c>
      <c r="E5" s="1217" t="s">
        <v>198</v>
      </c>
      <c r="F5" s="1218"/>
      <c r="G5" s="1218">
        <v>2.0</v>
      </c>
      <c r="H5" s="1219">
        <f t="shared" si="3"/>
        <v>0</v>
      </c>
      <c r="I5" s="1220">
        <f t="shared" si="4"/>
        <v>0</v>
      </c>
      <c r="J5" s="1221">
        <f t="shared" si="5"/>
        <v>0</v>
      </c>
      <c r="K5" s="1221">
        <f t="shared" si="6"/>
        <v>0</v>
      </c>
      <c r="L5" s="1222">
        <f t="shared" si="7"/>
        <v>0</v>
      </c>
      <c r="M5" s="1222">
        <f t="shared" si="8"/>
        <v>0</v>
      </c>
      <c r="N5" s="1222">
        <f t="shared" si="9"/>
        <v>0</v>
      </c>
      <c r="O5" s="1222">
        <f t="shared" si="10"/>
        <v>0</v>
      </c>
      <c r="P5" s="1223">
        <f>SUMIFS(TF_SOTIEN,TF_THANG,P$1,TF_KM,$E5,TF_DA,$C5)/1000</f>
        <v>0</v>
      </c>
      <c r="Q5" s="1223">
        <f>SUMIFS(TF_SOTIEN,TF_THANG,Q$1,TF_KM,$E5,TF_DA,$C5)/1000</f>
        <v>0</v>
      </c>
      <c r="R5" s="1223">
        <f>SUMIFS(TF_SOTIEN,TF_THANG,R$1,TF_KM,$E5,TF_DA,$C5)/1000</f>
        <v>0</v>
      </c>
      <c r="S5" s="1223">
        <f>SUMIFS(TF_SOTIEN,TF_THANG,S$1,TF_KM,$E5,TF_DA,$C5)/1000</f>
        <v>0</v>
      </c>
      <c r="T5" s="1223">
        <f>SUMIFS(TF_SOTIEN,TF_THANG,T$1,TF_KM,$E5,TF_DA,$C5)/1000</f>
        <v>0</v>
      </c>
      <c r="U5" s="1223">
        <f>SUMIFS(TF_SOTIEN,TF_THANG,U$1,TF_KM,$E5,TF_DA,$C5)/1000</f>
        <v>0</v>
      </c>
      <c r="V5" s="1223">
        <f>SUMIFS(TF_SOTIEN,TF_THANG,V$1,TF_KM,$E5,TF_DA,$C5)/1000</f>
        <v>0</v>
      </c>
      <c r="W5" s="1223">
        <f>SUMIFS(TF_SOTIEN,TF_THANG,W$1,TF_KM,$E5,TF_DA,$C5)/1000</f>
        <v>0</v>
      </c>
      <c r="X5" s="1223">
        <f>SUMIFS(TF_SOTIEN,TF_THANG,X$1,TF_KM,$E5,TF_DA,$C5)/1000</f>
        <v>0</v>
      </c>
      <c r="Y5" s="1223">
        <f>SUMIFS(TF_SOTIEN,TF_THANG,Y$1,TF_KM,$E5,TF_DA,$C5)/1000</f>
        <v>0</v>
      </c>
      <c r="Z5" s="1223">
        <f>SUMIFS(TF_SOTIEN,TF_THANG,Z$1,TF_KM,$E5,TF_DA,$C5)/1000</f>
        <v>0</v>
      </c>
      <c r="AA5" s="1223">
        <f>SUMIFS(TF_SOTIEN,TF_THANG,AA$1,TF_KM,$E5,TF_DA,$C5)/1000</f>
        <v>0</v>
      </c>
    </row>
    <row r="6">
      <c r="A6" s="1215">
        <f t="shared" si="2"/>
        <v>4</v>
      </c>
      <c r="B6" s="1216" t="s">
        <v>2069</v>
      </c>
      <c r="C6" s="1087" t="s">
        <v>175</v>
      </c>
      <c r="D6" s="1216" t="str">
        <f>VLOOKUP(C6,DM_DUAN,2,0)</f>
        <v>Phước hội Hồ Tràm</v>
      </c>
      <c r="E6" s="1217" t="s">
        <v>198</v>
      </c>
      <c r="F6" s="1218"/>
      <c r="G6" s="1218">
        <v>2.0</v>
      </c>
      <c r="H6" s="1219">
        <f t="shared" si="3"/>
        <v>110999998</v>
      </c>
      <c r="I6" s="1220">
        <f t="shared" si="4"/>
        <v>0.1036414567</v>
      </c>
      <c r="J6" s="1221">
        <f t="shared" si="5"/>
        <v>31000000</v>
      </c>
      <c r="K6" s="1221">
        <f t="shared" si="6"/>
        <v>79999998</v>
      </c>
      <c r="L6" s="1222">
        <f t="shared" si="7"/>
        <v>31000000</v>
      </c>
      <c r="M6" s="1222">
        <f t="shared" si="8"/>
        <v>0</v>
      </c>
      <c r="N6" s="1222">
        <f t="shared" si="9"/>
        <v>39999999</v>
      </c>
      <c r="O6" s="1222">
        <f t="shared" si="10"/>
        <v>39999999</v>
      </c>
      <c r="P6" s="1223">
        <f>SUMIFS(TF_SOTIEN,TF_THANG,P$1,TF_KM,$E6,TF_DA,$C6)/1000</f>
        <v>1000000</v>
      </c>
      <c r="Q6" s="1223">
        <f>SUMIFS(TF_SOTIEN,TF_THANG,Q$1,TF_KM,$E6,TF_DA,$C6)/1000</f>
        <v>0</v>
      </c>
      <c r="R6" s="1223">
        <f>SUMIFS(TF_SOTIEN,TF_THANG,R$1,TF_KM,$E6,TF_DA,$C6)/1000</f>
        <v>30000000</v>
      </c>
      <c r="S6" s="1223">
        <f>SUMIFS(TF_SOTIEN,TF_THANG,S$1,TF_KM,$E6,TF_DA,$C6)/1000</f>
        <v>0</v>
      </c>
      <c r="T6" s="1223">
        <f>SUMIFS(TF_SOTIEN,TF_THANG,T$1,TF_KM,$E6,TF_DA,$C6)/1000</f>
        <v>0</v>
      </c>
      <c r="U6" s="1223">
        <f>SUMIFS(TF_SOTIEN,TF_THANG,U$1,TF_KM,$E6,TF_DA,$C6)/1000</f>
        <v>0</v>
      </c>
      <c r="V6" s="1223">
        <f>SUMIFS(TF_SOTIEN,TF_THANG,V$1,TF_KM,$E6,TF_DA,$C6)/1000</f>
        <v>13333333</v>
      </c>
      <c r="W6" s="1223">
        <f>SUMIFS(TF_SOTIEN,TF_THANG,W$1,TF_KM,$E6,TF_DA,$C6)/1000</f>
        <v>13333333</v>
      </c>
      <c r="X6" s="1223">
        <f>SUMIFS(TF_SOTIEN,TF_THANG,X$1,TF_KM,$E6,TF_DA,$C6)/1000</f>
        <v>13333333</v>
      </c>
      <c r="Y6" s="1223">
        <f>SUMIFS(TF_SOTIEN,TF_THANG,Y$1,TF_KM,$E6,TF_DA,$C6)/1000</f>
        <v>13333333</v>
      </c>
      <c r="Z6" s="1223">
        <f>SUMIFS(TF_SOTIEN,TF_THANG,Z$1,TF_KM,$E6,TF_DA,$C6)/1000</f>
        <v>13333333</v>
      </c>
      <c r="AA6" s="1223">
        <f>SUMIFS(TF_SOTIEN,TF_THANG,AA$1,TF_KM,$E6,TF_DA,$C6)/1000</f>
        <v>13333333</v>
      </c>
    </row>
    <row r="7">
      <c r="A7" s="1215">
        <f t="shared" si="2"/>
        <v>5</v>
      </c>
      <c r="B7" s="1216" t="s">
        <v>2070</v>
      </c>
      <c r="C7" s="1087" t="s">
        <v>2067</v>
      </c>
      <c r="D7" s="1216" t="str">
        <f>VLOOKUP(C7,DM_DUAN,2,0)</f>
        <v>NAM PHONG</v>
      </c>
      <c r="E7" s="1217" t="s">
        <v>198</v>
      </c>
      <c r="F7" s="1218"/>
      <c r="G7" s="1218">
        <v>2.0</v>
      </c>
      <c r="H7" s="1219">
        <f t="shared" si="3"/>
        <v>240000000</v>
      </c>
      <c r="I7" s="1220">
        <f t="shared" si="4"/>
        <v>0.22408964</v>
      </c>
      <c r="J7" s="1221">
        <f t="shared" si="5"/>
        <v>0</v>
      </c>
      <c r="K7" s="1221">
        <f t="shared" si="6"/>
        <v>240000000</v>
      </c>
      <c r="L7" s="1222">
        <f t="shared" si="7"/>
        <v>0</v>
      </c>
      <c r="M7" s="1222">
        <f t="shared" si="8"/>
        <v>0</v>
      </c>
      <c r="N7" s="1222">
        <f t="shared" si="9"/>
        <v>120000000</v>
      </c>
      <c r="O7" s="1222">
        <f t="shared" si="10"/>
        <v>120000000</v>
      </c>
      <c r="P7" s="1223">
        <f>SUMIFS(TF_SOTIEN,TF_THANG,P$1,TF_KM,$E7,TF_DA,$C7)/1000</f>
        <v>0</v>
      </c>
      <c r="Q7" s="1223">
        <f>SUMIFS(TF_SOTIEN,TF_THANG,Q$1,TF_KM,$E7,TF_DA,$C7)/1000</f>
        <v>0</v>
      </c>
      <c r="R7" s="1223">
        <f>SUMIFS(TF_SOTIEN,TF_THANG,R$1,TF_KM,$E7,TF_DA,$C7)/1000</f>
        <v>0</v>
      </c>
      <c r="S7" s="1223">
        <f>SUMIFS(TF_SOTIEN,TF_THANG,S$1,TF_KM,$E7,TF_DA,$C7)/1000</f>
        <v>0</v>
      </c>
      <c r="T7" s="1223">
        <f>SUMIFS(TF_SOTIEN,TF_THANG,T$1,TF_KM,$E7,TF_DA,$C7)/1000</f>
        <v>0</v>
      </c>
      <c r="U7" s="1223">
        <f>SUMIFS(TF_SOTIEN,TF_THANG,U$1,TF_KM,$E7,TF_DA,$C7)/1000</f>
        <v>0</v>
      </c>
      <c r="V7" s="1223">
        <f>SUMIFS(TF_SOTIEN,TF_THANG,V$1,TF_KM,$E7,TF_DA,$C7)/1000</f>
        <v>40000000</v>
      </c>
      <c r="W7" s="1223">
        <f>SUMIFS(TF_SOTIEN,TF_THANG,W$1,TF_KM,$E7,TF_DA,$C7)/1000</f>
        <v>40000000</v>
      </c>
      <c r="X7" s="1223">
        <f>SUMIFS(TF_SOTIEN,TF_THANG,X$1,TF_KM,$E7,TF_DA,$C7)/1000</f>
        <v>40000000</v>
      </c>
      <c r="Y7" s="1223">
        <f>SUMIFS(TF_SOTIEN,TF_THANG,Y$1,TF_KM,$E7,TF_DA,$C7)/1000</f>
        <v>40000000</v>
      </c>
      <c r="Z7" s="1223">
        <f>SUMIFS(TF_SOTIEN,TF_THANG,Z$1,TF_KM,$E7,TF_DA,$C7)/1000</f>
        <v>40000000</v>
      </c>
      <c r="AA7" s="1223">
        <f>SUMIFS(TF_SOTIEN,TF_THANG,AA$1,TF_KM,$E7,TF_DA,$C7)/1000</f>
        <v>40000000</v>
      </c>
    </row>
    <row r="8">
      <c r="A8" s="1215">
        <f t="shared" si="2"/>
        <v>6</v>
      </c>
      <c r="B8" s="1216" t="s">
        <v>2071</v>
      </c>
      <c r="C8" s="1087" t="s">
        <v>2069</v>
      </c>
      <c r="D8" s="1216" t="str">
        <f>VLOOKUP(C8,DM_DUAN,2,0)</f>
        <v>#N/A</v>
      </c>
      <c r="E8" s="1217" t="s">
        <v>198</v>
      </c>
      <c r="F8" s="1218"/>
      <c r="G8" s="1218">
        <v>2.0</v>
      </c>
      <c r="H8" s="1219">
        <f t="shared" si="3"/>
        <v>0</v>
      </c>
      <c r="I8" s="1220">
        <f t="shared" si="4"/>
        <v>0</v>
      </c>
      <c r="J8" s="1221">
        <f t="shared" si="5"/>
        <v>0</v>
      </c>
      <c r="K8" s="1221">
        <f t="shared" si="6"/>
        <v>0</v>
      </c>
      <c r="L8" s="1222">
        <f t="shared" si="7"/>
        <v>0</v>
      </c>
      <c r="M8" s="1222">
        <f t="shared" si="8"/>
        <v>0</v>
      </c>
      <c r="N8" s="1222">
        <f t="shared" si="9"/>
        <v>0</v>
      </c>
      <c r="O8" s="1222">
        <f t="shared" si="10"/>
        <v>0</v>
      </c>
      <c r="P8" s="1223">
        <f>SUMIFS(TF_SOTIEN,TF_THANG,P$1,TF_KM,$E8,TF_DA,$C8)/1000</f>
        <v>0</v>
      </c>
      <c r="Q8" s="1223">
        <f>SUMIFS(TF_SOTIEN,TF_THANG,Q$1,TF_KM,$E8,TF_DA,$C8)/1000</f>
        <v>0</v>
      </c>
      <c r="R8" s="1223">
        <f>SUMIFS(TF_SOTIEN,TF_THANG,R$1,TF_KM,$E8,TF_DA,$C8)/1000</f>
        <v>0</v>
      </c>
      <c r="S8" s="1223">
        <f>SUMIFS(TF_SOTIEN,TF_THANG,S$1,TF_KM,$E8,TF_DA,$C8)/1000</f>
        <v>0</v>
      </c>
      <c r="T8" s="1223">
        <f>SUMIFS(TF_SOTIEN,TF_THANG,T$1,TF_KM,$E8,TF_DA,$C8)/1000</f>
        <v>0</v>
      </c>
      <c r="U8" s="1223">
        <f>SUMIFS(TF_SOTIEN,TF_THANG,U$1,TF_KM,$E8,TF_DA,$C8)/1000</f>
        <v>0</v>
      </c>
      <c r="V8" s="1223">
        <f>SUMIFS(TF_SOTIEN,TF_THANG,V$1,TF_KM,$E8,TF_DA,$C8)/1000</f>
        <v>0</v>
      </c>
      <c r="W8" s="1223">
        <f>SUMIFS(TF_SOTIEN,TF_THANG,W$1,TF_KM,$E8,TF_DA,$C8)/1000</f>
        <v>0</v>
      </c>
      <c r="X8" s="1223">
        <f>SUMIFS(TF_SOTIEN,TF_THANG,X$1,TF_KM,$E8,TF_DA,$C8)/1000</f>
        <v>0</v>
      </c>
      <c r="Y8" s="1223">
        <f>SUMIFS(TF_SOTIEN,TF_THANG,Y$1,TF_KM,$E8,TF_DA,$C8)/1000</f>
        <v>0</v>
      </c>
      <c r="Z8" s="1223">
        <f>SUMIFS(TF_SOTIEN,TF_THANG,Z$1,TF_KM,$E8,TF_DA,$C8)/1000</f>
        <v>0</v>
      </c>
      <c r="AA8" s="1223">
        <f>SUMIFS(TF_SOTIEN,TF_THANG,AA$1,TF_KM,$E8,TF_DA,$C8)/1000</f>
        <v>0</v>
      </c>
    </row>
    <row r="9">
      <c r="A9" s="1215">
        <f t="shared" si="2"/>
        <v>7</v>
      </c>
      <c r="B9" s="1216" t="s">
        <v>2072</v>
      </c>
      <c r="C9" s="1087" t="s">
        <v>2070</v>
      </c>
      <c r="D9" s="1216" t="str">
        <f>VLOOKUP(C9,DM_DUAN,2,0)</f>
        <v>KHANG VƯỢNG</v>
      </c>
      <c r="E9" s="1217" t="s">
        <v>198</v>
      </c>
      <c r="F9" s="1218"/>
      <c r="G9" s="1218">
        <v>2.0</v>
      </c>
      <c r="H9" s="1219">
        <f t="shared" si="3"/>
        <v>39999996</v>
      </c>
      <c r="I9" s="1220">
        <f t="shared" si="4"/>
        <v>0.03734826961</v>
      </c>
      <c r="J9" s="1221">
        <f t="shared" si="5"/>
        <v>0</v>
      </c>
      <c r="K9" s="1221">
        <f t="shared" si="6"/>
        <v>39999996</v>
      </c>
      <c r="L9" s="1222">
        <f t="shared" si="7"/>
        <v>0</v>
      </c>
      <c r="M9" s="1222">
        <f t="shared" si="8"/>
        <v>0</v>
      </c>
      <c r="N9" s="1222">
        <f t="shared" si="9"/>
        <v>19999998</v>
      </c>
      <c r="O9" s="1222">
        <f t="shared" si="10"/>
        <v>19999998</v>
      </c>
      <c r="P9" s="1223">
        <f>SUMIFS(TF_SOTIEN,TF_THANG,P$1,TF_KM,$E9,TF_DA,$C9)/1000</f>
        <v>0</v>
      </c>
      <c r="Q9" s="1223">
        <f>SUMIFS(TF_SOTIEN,TF_THANG,Q$1,TF_KM,$E9,TF_DA,$C9)/1000</f>
        <v>0</v>
      </c>
      <c r="R9" s="1223">
        <f>SUMIFS(TF_SOTIEN,TF_THANG,R$1,TF_KM,$E9,TF_DA,$C9)/1000</f>
        <v>0</v>
      </c>
      <c r="S9" s="1223">
        <f>SUMIFS(TF_SOTIEN,TF_THANG,S$1,TF_KM,$E9,TF_DA,$C9)/1000</f>
        <v>0</v>
      </c>
      <c r="T9" s="1223">
        <f>SUMIFS(TF_SOTIEN,TF_THANG,T$1,TF_KM,$E9,TF_DA,$C9)/1000</f>
        <v>0</v>
      </c>
      <c r="U9" s="1223">
        <f>SUMIFS(TF_SOTIEN,TF_THANG,U$1,TF_KM,$E9,TF_DA,$C9)/1000</f>
        <v>0</v>
      </c>
      <c r="V9" s="1223">
        <f>SUMIFS(TF_SOTIEN,TF_THANG,V$1,TF_KM,$E9,TF_DA,$C9)/1000</f>
        <v>6666666</v>
      </c>
      <c r="W9" s="1223">
        <f>SUMIFS(TF_SOTIEN,TF_THANG,W$1,TF_KM,$E9,TF_DA,$C9)/1000</f>
        <v>6666666</v>
      </c>
      <c r="X9" s="1223">
        <f>SUMIFS(TF_SOTIEN,TF_THANG,X$1,TF_KM,$E9,TF_DA,$C9)/1000</f>
        <v>6666666</v>
      </c>
      <c r="Y9" s="1223">
        <f>SUMIFS(TF_SOTIEN,TF_THANG,Y$1,TF_KM,$E9,TF_DA,$C9)/1000</f>
        <v>6666666</v>
      </c>
      <c r="Z9" s="1223">
        <f>SUMIFS(TF_SOTIEN,TF_THANG,Z$1,TF_KM,$E9,TF_DA,$C9)/1000</f>
        <v>6666666</v>
      </c>
      <c r="AA9" s="1223">
        <f>SUMIFS(TF_SOTIEN,TF_THANG,AA$1,TF_KM,$E9,TF_DA,$C9)/1000</f>
        <v>6666666</v>
      </c>
    </row>
    <row r="10">
      <c r="A10" s="1215">
        <f t="shared" si="2"/>
        <v>8</v>
      </c>
      <c r="B10" s="1216" t="s">
        <v>2073</v>
      </c>
      <c r="C10" s="1087" t="s">
        <v>2072</v>
      </c>
      <c r="D10" s="1216" t="str">
        <f>VLOOKUP(C10,DM_DUAN,2,0)</f>
        <v>TRẦN ANH GROUP</v>
      </c>
      <c r="E10" s="1217" t="s">
        <v>198</v>
      </c>
      <c r="F10" s="1218"/>
      <c r="G10" s="1218">
        <v>2.0</v>
      </c>
      <c r="H10" s="1219">
        <f t="shared" si="3"/>
        <v>79999998</v>
      </c>
      <c r="I10" s="1220">
        <f t="shared" si="4"/>
        <v>0.07469654481</v>
      </c>
      <c r="J10" s="1221">
        <f t="shared" si="5"/>
        <v>0</v>
      </c>
      <c r="K10" s="1221">
        <f t="shared" si="6"/>
        <v>79999998</v>
      </c>
      <c r="L10" s="1222">
        <f t="shared" si="7"/>
        <v>0</v>
      </c>
      <c r="M10" s="1222">
        <f t="shared" si="8"/>
        <v>0</v>
      </c>
      <c r="N10" s="1222">
        <f t="shared" si="9"/>
        <v>39999999</v>
      </c>
      <c r="O10" s="1222">
        <f t="shared" si="10"/>
        <v>39999999</v>
      </c>
      <c r="P10" s="1223">
        <f>SUMIFS(TF_SOTIEN,TF_THANG,P$1,TF_KM,$E10,TF_DA,$C10)/1000</f>
        <v>0</v>
      </c>
      <c r="Q10" s="1223">
        <f>SUMIFS(TF_SOTIEN,TF_THANG,Q$1,TF_KM,$E10,TF_DA,$C10)/1000</f>
        <v>0</v>
      </c>
      <c r="R10" s="1223">
        <f>SUMIFS(TF_SOTIEN,TF_THANG,R$1,TF_KM,$E10,TF_DA,$C10)/1000</f>
        <v>0</v>
      </c>
      <c r="S10" s="1223">
        <f>SUMIFS(TF_SOTIEN,TF_THANG,S$1,TF_KM,$E10,TF_DA,$C10)/1000</f>
        <v>0</v>
      </c>
      <c r="T10" s="1223">
        <f>SUMIFS(TF_SOTIEN,TF_THANG,T$1,TF_KM,$E10,TF_DA,$C10)/1000</f>
        <v>0</v>
      </c>
      <c r="U10" s="1223">
        <f>SUMIFS(TF_SOTIEN,TF_THANG,U$1,TF_KM,$E10,TF_DA,$C10)/1000</f>
        <v>0</v>
      </c>
      <c r="V10" s="1223">
        <f>SUMIFS(TF_SOTIEN,TF_THANG,V$1,TF_KM,$E10,TF_DA,$C10)/1000</f>
        <v>13333333</v>
      </c>
      <c r="W10" s="1223">
        <f>SUMIFS(TF_SOTIEN,TF_THANG,W$1,TF_KM,$E10,TF_DA,$C10)/1000</f>
        <v>13333333</v>
      </c>
      <c r="X10" s="1223">
        <f>SUMIFS(TF_SOTIEN,TF_THANG,X$1,TF_KM,$E10,TF_DA,$C10)/1000</f>
        <v>13333333</v>
      </c>
      <c r="Y10" s="1223">
        <f>SUMIFS(TF_SOTIEN,TF_THANG,Y$1,TF_KM,$E10,TF_DA,$C10)/1000</f>
        <v>13333333</v>
      </c>
      <c r="Z10" s="1223">
        <f>SUMIFS(TF_SOTIEN,TF_THANG,Z$1,TF_KM,$E10,TF_DA,$C10)/1000</f>
        <v>13333333</v>
      </c>
      <c r="AA10" s="1223">
        <f>SUMIFS(TF_SOTIEN,TF_THANG,AA$1,TF_KM,$E10,TF_DA,$C10)/1000</f>
        <v>13333333</v>
      </c>
    </row>
    <row r="11">
      <c r="A11" s="1215">
        <f t="shared" si="2"/>
        <v>9</v>
      </c>
      <c r="B11" s="1216" t="s">
        <v>2074</v>
      </c>
      <c r="C11" s="1087" t="s">
        <v>2073</v>
      </c>
      <c r="D11" s="1216" t="str">
        <f>VLOOKUP(C11,DM_DUAN,2,0)</f>
        <v>PHI TRƯỜNG</v>
      </c>
      <c r="E11" s="1217" t="s">
        <v>198</v>
      </c>
      <c r="F11" s="1218"/>
      <c r="G11" s="1218">
        <v>2.0</v>
      </c>
      <c r="H11" s="1219">
        <f t="shared" si="3"/>
        <v>319999998</v>
      </c>
      <c r="I11" s="1220">
        <f t="shared" si="4"/>
        <v>0.2987861849</v>
      </c>
      <c r="J11" s="1221">
        <f t="shared" si="5"/>
        <v>0</v>
      </c>
      <c r="K11" s="1221">
        <f t="shared" si="6"/>
        <v>319999998</v>
      </c>
      <c r="L11" s="1222">
        <f t="shared" si="7"/>
        <v>0</v>
      </c>
      <c r="M11" s="1222">
        <f t="shared" si="8"/>
        <v>0</v>
      </c>
      <c r="N11" s="1222">
        <f t="shared" si="9"/>
        <v>159999999</v>
      </c>
      <c r="O11" s="1222">
        <f t="shared" si="10"/>
        <v>159999999</v>
      </c>
      <c r="P11" s="1223">
        <f>SUMIFS(TF_SOTIEN,TF_THANG,P$1,TF_KM,$E11,TF_DA,$C11)/1000</f>
        <v>0</v>
      </c>
      <c r="Q11" s="1223">
        <f>SUMIFS(TF_SOTIEN,TF_THANG,Q$1,TF_KM,$E11,TF_DA,$C11)/1000</f>
        <v>0</v>
      </c>
      <c r="R11" s="1223">
        <f>SUMIFS(TF_SOTIEN,TF_THANG,R$1,TF_KM,$E11,TF_DA,$C11)/1000</f>
        <v>0</v>
      </c>
      <c r="S11" s="1223">
        <f>SUMIFS(TF_SOTIEN,TF_THANG,S$1,TF_KM,$E11,TF_DA,$C11)/1000</f>
        <v>0</v>
      </c>
      <c r="T11" s="1223">
        <f>SUMIFS(TF_SOTIEN,TF_THANG,T$1,TF_KM,$E11,TF_DA,$C11)/1000</f>
        <v>0</v>
      </c>
      <c r="U11" s="1223">
        <f>SUMIFS(TF_SOTIEN,TF_THANG,U$1,TF_KM,$E11,TF_DA,$C11)/1000</f>
        <v>0</v>
      </c>
      <c r="V11" s="1223">
        <f>SUMIFS(TF_SOTIEN,TF_THANG,V$1,TF_KM,$E11,TF_DA,$C11)/1000</f>
        <v>53333333</v>
      </c>
      <c r="W11" s="1223">
        <f>SUMIFS(TF_SOTIEN,TF_THANG,W$1,TF_KM,$E11,TF_DA,$C11)/1000</f>
        <v>53333333</v>
      </c>
      <c r="X11" s="1223">
        <f>SUMIFS(TF_SOTIEN,TF_THANG,X$1,TF_KM,$E11,TF_DA,$C11)/1000</f>
        <v>53333333</v>
      </c>
      <c r="Y11" s="1223">
        <f>SUMIFS(TF_SOTIEN,TF_THANG,Y$1,TF_KM,$E11,TF_DA,$C11)/1000</f>
        <v>53333333</v>
      </c>
      <c r="Z11" s="1223">
        <f>SUMIFS(TF_SOTIEN,TF_THANG,Z$1,TF_KM,$E11,TF_DA,$C11)/1000</f>
        <v>53333333</v>
      </c>
      <c r="AA11" s="1223">
        <f>SUMIFS(TF_SOTIEN,TF_THANG,AA$1,TF_KM,$E11,TF_DA,$C11)/1000</f>
        <v>53333333</v>
      </c>
    </row>
    <row r="12">
      <c r="A12" s="1224">
        <f t="shared" si="2"/>
        <v>10</v>
      </c>
      <c r="B12" s="1225"/>
      <c r="C12" s="1087" t="s">
        <v>2074</v>
      </c>
      <c r="D12" s="1225" t="str">
        <f>VLOOKUP(C12,DM_DUAN,2,0)</f>
        <v>HOÀNG CÁT</v>
      </c>
      <c r="E12" s="1226" t="s">
        <v>198</v>
      </c>
      <c r="F12" s="1227"/>
      <c r="G12" s="1227">
        <v>2.0</v>
      </c>
      <c r="H12" s="1219">
        <f t="shared" si="3"/>
        <v>159999996</v>
      </c>
      <c r="I12" s="1220">
        <f t="shared" si="4"/>
        <v>0.1493930896</v>
      </c>
      <c r="J12" s="1221">
        <f t="shared" si="5"/>
        <v>0</v>
      </c>
      <c r="K12" s="1221">
        <f t="shared" si="6"/>
        <v>159999996</v>
      </c>
      <c r="L12" s="1222">
        <f t="shared" si="7"/>
        <v>0</v>
      </c>
      <c r="M12" s="1222">
        <f t="shared" si="8"/>
        <v>0</v>
      </c>
      <c r="N12" s="1222">
        <f t="shared" si="9"/>
        <v>79999998</v>
      </c>
      <c r="O12" s="1222">
        <f t="shared" si="10"/>
        <v>79999998</v>
      </c>
      <c r="P12" s="1223">
        <f>SUMIFS(TF_SOTIEN,TF_THANG,P$1,TF_KM,$E12,TF_DA,$C12)/1000</f>
        <v>0</v>
      </c>
      <c r="Q12" s="1223">
        <f>SUMIFS(TF_SOTIEN,TF_THANG,Q$1,TF_KM,$E12,TF_DA,$C12)/1000</f>
        <v>0</v>
      </c>
      <c r="R12" s="1223">
        <f>SUMIFS(TF_SOTIEN,TF_THANG,R$1,TF_KM,$E12,TF_DA,$C12)/1000</f>
        <v>0</v>
      </c>
      <c r="S12" s="1223">
        <f>SUMIFS(TF_SOTIEN,TF_THANG,S$1,TF_KM,$E12,TF_DA,$C12)/1000</f>
        <v>0</v>
      </c>
      <c r="T12" s="1223">
        <f>SUMIFS(TF_SOTIEN,TF_THANG,T$1,TF_KM,$E12,TF_DA,$C12)/1000</f>
        <v>0</v>
      </c>
      <c r="U12" s="1223">
        <f>SUMIFS(TF_SOTIEN,TF_THANG,U$1,TF_KM,$E12,TF_DA,$C12)/1000</f>
        <v>0</v>
      </c>
      <c r="V12" s="1223">
        <f>SUMIFS(TF_SOTIEN,TF_THANG,V$1,TF_KM,$E12,TF_DA,$C12)/1000</f>
        <v>26666666</v>
      </c>
      <c r="W12" s="1223">
        <f>SUMIFS(TF_SOTIEN,TF_THANG,W$1,TF_KM,$E12,TF_DA,$C12)/1000</f>
        <v>26666666</v>
      </c>
      <c r="X12" s="1223">
        <f>SUMIFS(TF_SOTIEN,TF_THANG,X$1,TF_KM,$E12,TF_DA,$C12)/1000</f>
        <v>26666666</v>
      </c>
      <c r="Y12" s="1223">
        <f>SUMIFS(TF_SOTIEN,TF_THANG,Y$1,TF_KM,$E12,TF_DA,$C12)/1000</f>
        <v>26666666</v>
      </c>
      <c r="Z12" s="1223">
        <f>SUMIFS(TF_SOTIEN,TF_THANG,Z$1,TF_KM,$E12,TF_DA,$C12)/1000</f>
        <v>26666666</v>
      </c>
      <c r="AA12" s="1223">
        <f>SUMIFS(TF_SOTIEN,TF_THANG,AA$1,TF_KM,$E12,TF_DA,$C12)/1000</f>
        <v>26666666</v>
      </c>
    </row>
    <row r="13">
      <c r="A13" s="1224">
        <f t="shared" si="2"/>
        <v>11</v>
      </c>
      <c r="B13" s="1225"/>
      <c r="C13" s="656" t="s">
        <v>530</v>
      </c>
      <c r="D13" s="1225" t="str">
        <f>VLOOKUP(C13,DM_DUAN,2,0)</f>
        <v>Nhà vườn sinh thái</v>
      </c>
      <c r="E13" s="1226" t="s">
        <v>198</v>
      </c>
      <c r="F13" s="1227"/>
      <c r="G13" s="1227">
        <v>2.0</v>
      </c>
      <c r="H13" s="1219">
        <f t="shared" si="3"/>
        <v>10000000</v>
      </c>
      <c r="I13" s="1220">
        <f t="shared" si="4"/>
        <v>0.009337068335</v>
      </c>
      <c r="J13" s="1221">
        <f t="shared" si="5"/>
        <v>10000000</v>
      </c>
      <c r="K13" s="1221">
        <f t="shared" si="6"/>
        <v>0</v>
      </c>
      <c r="L13" s="1222">
        <f t="shared" si="7"/>
        <v>0</v>
      </c>
      <c r="M13" s="1222">
        <f t="shared" si="8"/>
        <v>10000000</v>
      </c>
      <c r="N13" s="1222">
        <f t="shared" si="9"/>
        <v>0</v>
      </c>
      <c r="O13" s="1222">
        <f t="shared" si="10"/>
        <v>0</v>
      </c>
      <c r="P13" s="1223">
        <f>SUMIFS(TF_SOTIEN,TF_THANG,P$1,TF_KM,$E13,TF_DA,$C13)/1000</f>
        <v>0</v>
      </c>
      <c r="Q13" s="1223">
        <f>SUMIFS(TF_SOTIEN,TF_THANG,Q$1,TF_KM,$E13,TF_DA,$C13)/1000</f>
        <v>0</v>
      </c>
      <c r="R13" s="1223">
        <f>SUMIFS(TF_SOTIEN,TF_THANG,R$1,TF_KM,$E13,TF_DA,$C13)/1000</f>
        <v>0</v>
      </c>
      <c r="S13" s="1223">
        <f>SUMIFS(TF_SOTIEN,TF_THANG,S$1,TF_KM,$E13,TF_DA,$C13)/1000</f>
        <v>10000000</v>
      </c>
      <c r="T13" s="1223">
        <f>SUMIFS(TF_SOTIEN,TF_THANG,T$1,TF_KM,$E13,TF_DA,$C13)/1000</f>
        <v>0</v>
      </c>
      <c r="U13" s="1223">
        <f>SUMIFS(TF_SOTIEN,TF_THANG,U$1,TF_KM,$E13,TF_DA,$C13)/1000</f>
        <v>0</v>
      </c>
      <c r="V13" s="1223">
        <f>SUMIFS(TF_SOTIEN,TF_THANG,V$1,TF_KM,$E13,TF_DA,$C13)/1000</f>
        <v>0</v>
      </c>
      <c r="W13" s="1223">
        <f>SUMIFS(TF_SOTIEN,TF_THANG,W$1,TF_KM,$E13,TF_DA,$C13)/1000</f>
        <v>0</v>
      </c>
      <c r="X13" s="1223">
        <f>SUMIFS(TF_SOTIEN,TF_THANG,X$1,TF_KM,$E13,TF_DA,$C13)/1000</f>
        <v>0</v>
      </c>
      <c r="Y13" s="1223">
        <f>SUMIFS(TF_SOTIEN,TF_THANG,Y$1,TF_KM,$E13,TF_DA,$C13)/1000</f>
        <v>0</v>
      </c>
      <c r="Z13" s="1223">
        <f>SUMIFS(TF_SOTIEN,TF_THANG,Z$1,TF_KM,$E13,TF_DA,$C13)/1000</f>
        <v>0</v>
      </c>
      <c r="AA13" s="1223">
        <f>SUMIFS(TF_SOTIEN,TF_THANG,AA$1,TF_KM,$E13,TF_DA,$C13)/1000</f>
        <v>0</v>
      </c>
    </row>
    <row r="14">
      <c r="A14" s="1228" t="s">
        <v>2822</v>
      </c>
      <c r="B14" s="1212"/>
      <c r="C14" s="1212"/>
      <c r="D14" s="1212"/>
      <c r="E14" s="1213"/>
      <c r="F14" s="1212"/>
      <c r="G14" s="1212"/>
      <c r="H14" s="1214">
        <f>SUM(H15:H24)</f>
        <v>126359997.6</v>
      </c>
      <c r="I14" s="1214">
        <f>IF(H$2=0,"",H14/H$2)</f>
        <v>0.1179831932</v>
      </c>
      <c r="J14" s="1214">
        <f t="shared" ref="J14:AA14" si="11">SUM(J15:J24)</f>
        <v>3720000</v>
      </c>
      <c r="K14" s="1214">
        <f t="shared" si="11"/>
        <v>122639997.6</v>
      </c>
      <c r="L14" s="1214">
        <f t="shared" si="11"/>
        <v>3720000</v>
      </c>
      <c r="M14" s="1214">
        <f t="shared" si="11"/>
        <v>0</v>
      </c>
      <c r="N14" s="1214">
        <f t="shared" si="11"/>
        <v>61319998.8</v>
      </c>
      <c r="O14" s="1214">
        <f t="shared" si="11"/>
        <v>61319998.8</v>
      </c>
      <c r="P14" s="1214">
        <f t="shared" si="11"/>
        <v>120000</v>
      </c>
      <c r="Q14" s="1214">
        <f t="shared" si="11"/>
        <v>0</v>
      </c>
      <c r="R14" s="1214">
        <f t="shared" si="11"/>
        <v>3600000</v>
      </c>
      <c r="S14" s="1214">
        <f t="shared" si="11"/>
        <v>0</v>
      </c>
      <c r="T14" s="1214">
        <f t="shared" si="11"/>
        <v>0</v>
      </c>
      <c r="U14" s="1214">
        <f t="shared" si="11"/>
        <v>0</v>
      </c>
      <c r="V14" s="1214">
        <f t="shared" si="11"/>
        <v>20439999.6</v>
      </c>
      <c r="W14" s="1214">
        <f t="shared" si="11"/>
        <v>20439999.6</v>
      </c>
      <c r="X14" s="1214">
        <f t="shared" si="11"/>
        <v>20439999.6</v>
      </c>
      <c r="Y14" s="1214">
        <f t="shared" si="11"/>
        <v>20439999.6</v>
      </c>
      <c r="Z14" s="1214">
        <f t="shared" si="11"/>
        <v>20439999.6</v>
      </c>
      <c r="AA14" s="1214">
        <f t="shared" si="11"/>
        <v>20439999.6</v>
      </c>
    </row>
    <row r="15">
      <c r="A15" s="1215">
        <f t="shared" ref="A15:A25" si="12">IF(C15="","",COUNTA(D$15:D15))</f>
        <v>1</v>
      </c>
      <c r="B15" s="1216" t="s">
        <v>2066</v>
      </c>
      <c r="C15" s="1087" t="s">
        <v>215</v>
      </c>
      <c r="D15" s="1216" t="str">
        <f>VLOOKUP(C15,DM_DUAN,2,0)</f>
        <v>Phước Đông Garden</v>
      </c>
      <c r="E15" s="1229" t="s">
        <v>187</v>
      </c>
      <c r="F15" s="1218">
        <v>511.0</v>
      </c>
      <c r="G15" s="1218">
        <v>2.0</v>
      </c>
      <c r="H15" s="1219">
        <f t="shared" ref="H15:H25" si="13">SUM(J15:K15)</f>
        <v>9599999.76</v>
      </c>
      <c r="I15" s="1220">
        <f t="shared" ref="I15:I25" si="14">IFERROR(H15/$H$14,"")</f>
        <v>0.07597340885</v>
      </c>
      <c r="J15" s="1221">
        <f t="shared" ref="J15:J25" si="15">SUM(L15:M15)</f>
        <v>0</v>
      </c>
      <c r="K15" s="1221">
        <f t="shared" ref="K15:K25" si="16">SUM(N15:O15)</f>
        <v>9599999.76</v>
      </c>
      <c r="L15" s="1222">
        <f t="shared" ref="L15:L25" si="17">SUM(P15:R15)</f>
        <v>0</v>
      </c>
      <c r="M15" s="1222">
        <f t="shared" ref="M15:M25" si="18">SUM(S15:U15)</f>
        <v>0</v>
      </c>
      <c r="N15" s="1222">
        <f t="shared" ref="N15:N25" si="19">SUM(V15:X15)</f>
        <v>4799999.88</v>
      </c>
      <c r="O15" s="1222">
        <f t="shared" ref="O15:O25" si="20">SUM(Y15:AA15)</f>
        <v>4799999.88</v>
      </c>
      <c r="P15" s="1223">
        <f>SUMIFS(TF_SOTIEN,TF_THANG,P$1,TF_KM,$E15,TF_DA,$C15)/1000</f>
        <v>0</v>
      </c>
      <c r="Q15" s="1223">
        <f>SUMIFS(TF_SOTIEN,TF_THANG,Q$1,TF_KM,$E15,TF_DA,$C15)/1000</f>
        <v>0</v>
      </c>
      <c r="R15" s="1223">
        <f>SUMIFS(TF_SOTIEN,TF_THANG,R$1,TF_KM,$E15,TF_DA,$C15)/1000</f>
        <v>0</v>
      </c>
      <c r="S15" s="1223">
        <f>SUMIFS(TF_SOTIEN,TF_THANG,S$1,TF_KM,$E15,TF_DA,$C15)/1000</f>
        <v>0</v>
      </c>
      <c r="T15" s="1223">
        <f>SUMIFS(TF_SOTIEN,TF_THANG,T$1,TF_KM,$E15,TF_DA,$C15)/1000</f>
        <v>0</v>
      </c>
      <c r="U15" s="1223">
        <f>SUMIFS(TF_SOTIEN,TF_THANG,U$1,TF_KM,$E15,TF_DA,$C15)/1000</f>
        <v>0</v>
      </c>
      <c r="V15" s="1223">
        <f>SUMIFS(TF_SOTIEN,TF_THANG,V$1,TF_KM,$E15,TF_DA,$C15)/1000</f>
        <v>1599999.96</v>
      </c>
      <c r="W15" s="1223">
        <f>SUMIFS(TF_SOTIEN,TF_THANG,W$1,TF_KM,$E15,TF_DA,$C15)/1000</f>
        <v>1599999.96</v>
      </c>
      <c r="X15" s="1223">
        <f>SUMIFS(TF_SOTIEN,TF_THANG,X$1,TF_KM,$E15,TF_DA,$C15)/1000</f>
        <v>1599999.96</v>
      </c>
      <c r="Y15" s="1223">
        <f>SUMIFS(TF_SOTIEN,TF_THANG,Y$1,TF_KM,$E15,TF_DA,$C15)/1000</f>
        <v>1599999.96</v>
      </c>
      <c r="Z15" s="1223">
        <f>SUMIFS(TF_SOTIEN,TF_THANG,Z$1,TF_KM,$E15,TF_DA,$C15)/1000</f>
        <v>1599999.96</v>
      </c>
      <c r="AA15" s="1223">
        <f>SUMIFS(TF_SOTIEN,TF_THANG,AA$1,TF_KM,$E15,TF_DA,$C15)/1000</f>
        <v>1599999.96</v>
      </c>
    </row>
    <row r="16">
      <c r="A16" s="1215">
        <f t="shared" si="12"/>
        <v>2</v>
      </c>
      <c r="B16" s="1216" t="s">
        <v>2067</v>
      </c>
      <c r="C16" s="1087" t="s">
        <v>404</v>
      </c>
      <c r="D16" s="1216" t="str">
        <f>VLOOKUP(C16,DM_DUAN,2,0)</f>
        <v>Hamil ton Garden</v>
      </c>
      <c r="E16" s="1229" t="s">
        <v>187</v>
      </c>
      <c r="F16" s="1218">
        <v>511.0</v>
      </c>
      <c r="G16" s="1218">
        <v>2.0</v>
      </c>
      <c r="H16" s="1219">
        <f t="shared" si="13"/>
        <v>4799999.52</v>
      </c>
      <c r="I16" s="1220">
        <f t="shared" si="14"/>
        <v>0.03798670158</v>
      </c>
      <c r="J16" s="1221">
        <f t="shared" si="15"/>
        <v>0</v>
      </c>
      <c r="K16" s="1221">
        <f t="shared" si="16"/>
        <v>4799999.52</v>
      </c>
      <c r="L16" s="1222">
        <f t="shared" si="17"/>
        <v>0</v>
      </c>
      <c r="M16" s="1222">
        <f t="shared" si="18"/>
        <v>0</v>
      </c>
      <c r="N16" s="1222">
        <f t="shared" si="19"/>
        <v>2399999.76</v>
      </c>
      <c r="O16" s="1222">
        <f t="shared" si="20"/>
        <v>2399999.76</v>
      </c>
      <c r="P16" s="1223">
        <f>SUMIFS(TF_SOTIEN,TF_THANG,P$1,TF_KM,$E16,TF_DA,$C16)/1000</f>
        <v>0</v>
      </c>
      <c r="Q16" s="1223">
        <f>SUMIFS(TF_SOTIEN,TF_THANG,Q$1,TF_KM,$E16,TF_DA,$C16)/1000</f>
        <v>0</v>
      </c>
      <c r="R16" s="1223">
        <f>SUMIFS(TF_SOTIEN,TF_THANG,R$1,TF_KM,$E16,TF_DA,$C16)/1000</f>
        <v>0</v>
      </c>
      <c r="S16" s="1223">
        <f>SUMIFS(TF_SOTIEN,TF_THANG,S$1,TF_KM,$E16,TF_DA,$C16)/1000</f>
        <v>0</v>
      </c>
      <c r="T16" s="1223">
        <f>SUMIFS(TF_SOTIEN,TF_THANG,T$1,TF_KM,$E16,TF_DA,$C16)/1000</f>
        <v>0</v>
      </c>
      <c r="U16" s="1223">
        <f>SUMIFS(TF_SOTIEN,TF_THANG,U$1,TF_KM,$E16,TF_DA,$C16)/1000</f>
        <v>0</v>
      </c>
      <c r="V16" s="1223">
        <f>SUMIFS(TF_SOTIEN,TF_THANG,V$1,TF_KM,$E16,TF_DA,$C16)/1000</f>
        <v>799999.92</v>
      </c>
      <c r="W16" s="1223">
        <f>SUMIFS(TF_SOTIEN,TF_THANG,W$1,TF_KM,$E16,TF_DA,$C16)/1000</f>
        <v>799999.92</v>
      </c>
      <c r="X16" s="1223">
        <f>SUMIFS(TF_SOTIEN,TF_THANG,X$1,TF_KM,$E16,TF_DA,$C16)/1000</f>
        <v>799999.92</v>
      </c>
      <c r="Y16" s="1223">
        <f>SUMIFS(TF_SOTIEN,TF_THANG,Y$1,TF_KM,$E16,TF_DA,$C16)/1000</f>
        <v>799999.92</v>
      </c>
      <c r="Z16" s="1223">
        <f>SUMIFS(TF_SOTIEN,TF_THANG,Z$1,TF_KM,$E16,TF_DA,$C16)/1000</f>
        <v>799999.92</v>
      </c>
      <c r="AA16" s="1223">
        <f>SUMIFS(TF_SOTIEN,TF_THANG,AA$1,TF_KM,$E16,TF_DA,$C16)/1000</f>
        <v>799999.92</v>
      </c>
    </row>
    <row r="17">
      <c r="A17" s="1215">
        <f t="shared" si="12"/>
        <v>3</v>
      </c>
      <c r="B17" s="1216" t="s">
        <v>2068</v>
      </c>
      <c r="C17" s="1087" t="s">
        <v>533</v>
      </c>
      <c r="D17" s="1216" t="str">
        <f>VLOOKUP(C17,DM_DUAN,2,0)</f>
        <v>The sol city</v>
      </c>
      <c r="E17" s="1229" t="s">
        <v>187</v>
      </c>
      <c r="F17" s="1218">
        <v>511.0</v>
      </c>
      <c r="G17" s="1218">
        <v>2.0</v>
      </c>
      <c r="H17" s="1219">
        <f t="shared" si="13"/>
        <v>0</v>
      </c>
      <c r="I17" s="1220">
        <f t="shared" si="14"/>
        <v>0</v>
      </c>
      <c r="J17" s="1221">
        <f t="shared" si="15"/>
        <v>0</v>
      </c>
      <c r="K17" s="1221">
        <f t="shared" si="16"/>
        <v>0</v>
      </c>
      <c r="L17" s="1222">
        <f t="shared" si="17"/>
        <v>0</v>
      </c>
      <c r="M17" s="1222">
        <f t="shared" si="18"/>
        <v>0</v>
      </c>
      <c r="N17" s="1222">
        <f t="shared" si="19"/>
        <v>0</v>
      </c>
      <c r="O17" s="1222">
        <f t="shared" si="20"/>
        <v>0</v>
      </c>
      <c r="P17" s="1223">
        <f>SUMIFS(TF_SOTIEN,TF_THANG,P$1,TF_KM,$E17,TF_DA,$C17)/1000</f>
        <v>0</v>
      </c>
      <c r="Q17" s="1223">
        <f>SUMIFS(TF_SOTIEN,TF_THANG,Q$1,TF_KM,$E17,TF_DA,$C17)/1000</f>
        <v>0</v>
      </c>
      <c r="R17" s="1223">
        <f>SUMIFS(TF_SOTIEN,TF_THANG,R$1,TF_KM,$E17,TF_DA,$C17)/1000</f>
        <v>0</v>
      </c>
      <c r="S17" s="1223">
        <f>SUMIFS(TF_SOTIEN,TF_THANG,S$1,TF_KM,$E17,TF_DA,$C17)/1000</f>
        <v>0</v>
      </c>
      <c r="T17" s="1223">
        <f>SUMIFS(TF_SOTIEN,TF_THANG,T$1,TF_KM,$E17,TF_DA,$C17)/1000</f>
        <v>0</v>
      </c>
      <c r="U17" s="1223">
        <f>SUMIFS(TF_SOTIEN,TF_THANG,U$1,TF_KM,$E17,TF_DA,$C17)/1000</f>
        <v>0</v>
      </c>
      <c r="V17" s="1223">
        <f>SUMIFS(TF_SOTIEN,TF_THANG,V$1,TF_KM,$E17,TF_DA,$C17)/1000</f>
        <v>0</v>
      </c>
      <c r="W17" s="1223">
        <f>SUMIFS(TF_SOTIEN,TF_THANG,W$1,TF_KM,$E17,TF_DA,$C17)/1000</f>
        <v>0</v>
      </c>
      <c r="X17" s="1223">
        <f>SUMIFS(TF_SOTIEN,TF_THANG,X$1,TF_KM,$E17,TF_DA,$C17)/1000</f>
        <v>0</v>
      </c>
      <c r="Y17" s="1223">
        <f>SUMIFS(TF_SOTIEN,TF_THANG,Y$1,TF_KM,$E17,TF_DA,$C17)/1000</f>
        <v>0</v>
      </c>
      <c r="Z17" s="1223">
        <f>SUMIFS(TF_SOTIEN,TF_THANG,Z$1,TF_KM,$E17,TF_DA,$C17)/1000</f>
        <v>0</v>
      </c>
      <c r="AA17" s="1223">
        <f>SUMIFS(TF_SOTIEN,TF_THANG,AA$1,TF_KM,$E17,TF_DA,$C17)/1000</f>
        <v>0</v>
      </c>
    </row>
    <row r="18">
      <c r="A18" s="1215">
        <f t="shared" si="12"/>
        <v>4</v>
      </c>
      <c r="B18" s="1216" t="s">
        <v>2069</v>
      </c>
      <c r="C18" s="1087" t="s">
        <v>175</v>
      </c>
      <c r="D18" s="1216" t="str">
        <f>VLOOKUP(C18,DM_DUAN,2,0)</f>
        <v>Phước hội Hồ Tràm</v>
      </c>
      <c r="E18" s="1229" t="s">
        <v>187</v>
      </c>
      <c r="F18" s="1218">
        <v>511.0</v>
      </c>
      <c r="G18" s="1218">
        <v>2.0</v>
      </c>
      <c r="H18" s="1219">
        <f t="shared" si="13"/>
        <v>11159999.76</v>
      </c>
      <c r="I18" s="1220">
        <f t="shared" si="14"/>
        <v>0.0883190881</v>
      </c>
      <c r="J18" s="1221">
        <f t="shared" si="15"/>
        <v>3720000</v>
      </c>
      <c r="K18" s="1221">
        <f t="shared" si="16"/>
        <v>7439999.76</v>
      </c>
      <c r="L18" s="1222">
        <f t="shared" si="17"/>
        <v>3720000</v>
      </c>
      <c r="M18" s="1222">
        <f t="shared" si="18"/>
        <v>0</v>
      </c>
      <c r="N18" s="1222">
        <f t="shared" si="19"/>
        <v>3719999.88</v>
      </c>
      <c r="O18" s="1222">
        <f t="shared" si="20"/>
        <v>3719999.88</v>
      </c>
      <c r="P18" s="1223">
        <f>SUMIFS(TF_SOTIEN,TF_THANG,P$1,TF_KM,$E18,TF_DA,$C18)/1000</f>
        <v>120000</v>
      </c>
      <c r="Q18" s="1223">
        <f>SUMIFS(TF_SOTIEN,TF_THANG,Q$1,TF_KM,$E18,TF_DA,$C18)/1000</f>
        <v>0</v>
      </c>
      <c r="R18" s="1223">
        <f>SUMIFS(TF_SOTIEN,TF_THANG,R$1,TF_KM,$E18,TF_DA,$C18)/1000</f>
        <v>3600000</v>
      </c>
      <c r="S18" s="1223">
        <f>SUMIFS(TF_SOTIEN,TF_THANG,S$1,TF_KM,$E18,TF_DA,$C18)/1000</f>
        <v>0</v>
      </c>
      <c r="T18" s="1223">
        <f>SUMIFS(TF_SOTIEN,TF_THANG,T$1,TF_KM,$E18,TF_DA,$C18)/1000</f>
        <v>0</v>
      </c>
      <c r="U18" s="1223">
        <f>SUMIFS(TF_SOTIEN,TF_THANG,U$1,TF_KM,$E18,TF_DA,$C18)/1000</f>
        <v>0</v>
      </c>
      <c r="V18" s="1223">
        <f>SUMIFS(TF_SOTIEN,TF_THANG,V$1,TF_KM,$E18,TF_DA,$C18)/1000</f>
        <v>1239999.96</v>
      </c>
      <c r="W18" s="1223">
        <f>SUMIFS(TF_SOTIEN,TF_THANG,W$1,TF_KM,$E18,TF_DA,$C18)/1000</f>
        <v>1239999.96</v>
      </c>
      <c r="X18" s="1223">
        <f>SUMIFS(TF_SOTIEN,TF_THANG,X$1,TF_KM,$E18,TF_DA,$C18)/1000</f>
        <v>1239999.96</v>
      </c>
      <c r="Y18" s="1223">
        <f>SUMIFS(TF_SOTIEN,TF_THANG,Y$1,TF_KM,$E18,TF_DA,$C18)/1000</f>
        <v>1239999.96</v>
      </c>
      <c r="Z18" s="1223">
        <f>SUMIFS(TF_SOTIEN,TF_THANG,Z$1,TF_KM,$E18,TF_DA,$C18)/1000</f>
        <v>1239999.96</v>
      </c>
      <c r="AA18" s="1223">
        <f>SUMIFS(TF_SOTIEN,TF_THANG,AA$1,TF_KM,$E18,TF_DA,$C18)/1000</f>
        <v>1239999.96</v>
      </c>
    </row>
    <row r="19">
      <c r="A19" s="1215">
        <f t="shared" si="12"/>
        <v>5</v>
      </c>
      <c r="B19" s="1216" t="s">
        <v>2070</v>
      </c>
      <c r="C19" s="1087" t="s">
        <v>2067</v>
      </c>
      <c r="D19" s="1216" t="str">
        <f>VLOOKUP(C19,DM_DUAN,2,0)</f>
        <v>NAM PHONG</v>
      </c>
      <c r="E19" s="1229" t="s">
        <v>187</v>
      </c>
      <c r="F19" s="1218">
        <v>511.0</v>
      </c>
      <c r="G19" s="1218">
        <v>2.0</v>
      </c>
      <c r="H19" s="1219">
        <f t="shared" si="13"/>
        <v>28800000</v>
      </c>
      <c r="I19" s="1220">
        <f t="shared" si="14"/>
        <v>0.2279202322</v>
      </c>
      <c r="J19" s="1221">
        <f t="shared" si="15"/>
        <v>0</v>
      </c>
      <c r="K19" s="1221">
        <f t="shared" si="16"/>
        <v>28800000</v>
      </c>
      <c r="L19" s="1222">
        <f t="shared" si="17"/>
        <v>0</v>
      </c>
      <c r="M19" s="1222">
        <f t="shared" si="18"/>
        <v>0</v>
      </c>
      <c r="N19" s="1222">
        <f t="shared" si="19"/>
        <v>14400000</v>
      </c>
      <c r="O19" s="1222">
        <f t="shared" si="20"/>
        <v>14400000</v>
      </c>
      <c r="P19" s="1223">
        <f>SUMIFS(TF_SOTIEN,TF_THANG,P$1,TF_KM,$E19,TF_DA,$C19)/1000</f>
        <v>0</v>
      </c>
      <c r="Q19" s="1223">
        <f>SUMIFS(TF_SOTIEN,TF_THANG,Q$1,TF_KM,$E19,TF_DA,$C19)/1000</f>
        <v>0</v>
      </c>
      <c r="R19" s="1223">
        <f>SUMIFS(TF_SOTIEN,TF_THANG,R$1,TF_KM,$E19,TF_DA,$C19)/1000</f>
        <v>0</v>
      </c>
      <c r="S19" s="1223">
        <f>SUMIFS(TF_SOTIEN,TF_THANG,S$1,TF_KM,$E19,TF_DA,$C19)/1000</f>
        <v>0</v>
      </c>
      <c r="T19" s="1223">
        <f>SUMIFS(TF_SOTIEN,TF_THANG,T$1,TF_KM,$E19,TF_DA,$C19)/1000</f>
        <v>0</v>
      </c>
      <c r="U19" s="1223">
        <f>SUMIFS(TF_SOTIEN,TF_THANG,U$1,TF_KM,$E19,TF_DA,$C19)/1000</f>
        <v>0</v>
      </c>
      <c r="V19" s="1223">
        <f>SUMIFS(TF_SOTIEN,TF_THANG,V$1,TF_KM,$E19,TF_DA,$C19)/1000</f>
        <v>4800000</v>
      </c>
      <c r="W19" s="1223">
        <f>SUMIFS(TF_SOTIEN,TF_THANG,W$1,TF_KM,$E19,TF_DA,$C19)/1000</f>
        <v>4800000</v>
      </c>
      <c r="X19" s="1223">
        <f>SUMIFS(TF_SOTIEN,TF_THANG,X$1,TF_KM,$E19,TF_DA,$C19)/1000</f>
        <v>4800000</v>
      </c>
      <c r="Y19" s="1223">
        <f>SUMIFS(TF_SOTIEN,TF_THANG,Y$1,TF_KM,$E19,TF_DA,$C19)/1000</f>
        <v>4800000</v>
      </c>
      <c r="Z19" s="1223">
        <f>SUMIFS(TF_SOTIEN,TF_THANG,Z$1,TF_KM,$E19,TF_DA,$C19)/1000</f>
        <v>4800000</v>
      </c>
      <c r="AA19" s="1223">
        <f>SUMIFS(TF_SOTIEN,TF_THANG,AA$1,TF_KM,$E19,TF_DA,$C19)/1000</f>
        <v>4800000</v>
      </c>
    </row>
    <row r="20">
      <c r="A20" s="1215">
        <f t="shared" si="12"/>
        <v>6</v>
      </c>
      <c r="B20" s="1216" t="s">
        <v>2071</v>
      </c>
      <c r="C20" s="1087" t="s">
        <v>2069</v>
      </c>
      <c r="D20" s="1216" t="str">
        <f>VLOOKUP(C20,DM_DUAN,2,0)</f>
        <v>#N/A</v>
      </c>
      <c r="E20" s="1229" t="s">
        <v>187</v>
      </c>
      <c r="F20" s="1218">
        <v>511.0</v>
      </c>
      <c r="G20" s="1218">
        <v>2.0</v>
      </c>
      <c r="H20" s="1219">
        <f t="shared" si="13"/>
        <v>0</v>
      </c>
      <c r="I20" s="1220">
        <f t="shared" si="14"/>
        <v>0</v>
      </c>
      <c r="J20" s="1221">
        <f t="shared" si="15"/>
        <v>0</v>
      </c>
      <c r="K20" s="1221">
        <f t="shared" si="16"/>
        <v>0</v>
      </c>
      <c r="L20" s="1222">
        <f t="shared" si="17"/>
        <v>0</v>
      </c>
      <c r="M20" s="1222">
        <f t="shared" si="18"/>
        <v>0</v>
      </c>
      <c r="N20" s="1222">
        <f t="shared" si="19"/>
        <v>0</v>
      </c>
      <c r="O20" s="1222">
        <f t="shared" si="20"/>
        <v>0</v>
      </c>
      <c r="P20" s="1223">
        <f>SUMIFS(TF_SOTIEN,TF_THANG,P$1,TF_KM,$E20,TF_DA,$C20)/1000</f>
        <v>0</v>
      </c>
      <c r="Q20" s="1223">
        <f>SUMIFS(TF_SOTIEN,TF_THANG,Q$1,TF_KM,$E20,TF_DA,$C20)/1000</f>
        <v>0</v>
      </c>
      <c r="R20" s="1223">
        <f>SUMIFS(TF_SOTIEN,TF_THANG,R$1,TF_KM,$E20,TF_DA,$C20)/1000</f>
        <v>0</v>
      </c>
      <c r="S20" s="1223">
        <f>SUMIFS(TF_SOTIEN,TF_THANG,S$1,TF_KM,$E20,TF_DA,$C20)/1000</f>
        <v>0</v>
      </c>
      <c r="T20" s="1223">
        <f>SUMIFS(TF_SOTIEN,TF_THANG,T$1,TF_KM,$E20,TF_DA,$C20)/1000</f>
        <v>0</v>
      </c>
      <c r="U20" s="1223">
        <f>SUMIFS(TF_SOTIEN,TF_THANG,U$1,TF_KM,$E20,TF_DA,$C20)/1000</f>
        <v>0</v>
      </c>
      <c r="V20" s="1223">
        <f>SUMIFS(TF_SOTIEN,TF_THANG,V$1,TF_KM,$E20,TF_DA,$C20)/1000</f>
        <v>0</v>
      </c>
      <c r="W20" s="1223">
        <f>SUMIFS(TF_SOTIEN,TF_THANG,W$1,TF_KM,$E20,TF_DA,$C20)/1000</f>
        <v>0</v>
      </c>
      <c r="X20" s="1223">
        <f>SUMIFS(TF_SOTIEN,TF_THANG,X$1,TF_KM,$E20,TF_DA,$C20)/1000</f>
        <v>0</v>
      </c>
      <c r="Y20" s="1223">
        <f>SUMIFS(TF_SOTIEN,TF_THANG,Y$1,TF_KM,$E20,TF_DA,$C20)/1000</f>
        <v>0</v>
      </c>
      <c r="Z20" s="1223">
        <f>SUMIFS(TF_SOTIEN,TF_THANG,Z$1,TF_KM,$E20,TF_DA,$C20)/1000</f>
        <v>0</v>
      </c>
      <c r="AA20" s="1223">
        <f>SUMIFS(TF_SOTIEN,TF_THANG,AA$1,TF_KM,$E20,TF_DA,$C20)/1000</f>
        <v>0</v>
      </c>
    </row>
    <row r="21">
      <c r="A21" s="1215">
        <f t="shared" si="12"/>
        <v>7</v>
      </c>
      <c r="B21" s="1216" t="s">
        <v>2072</v>
      </c>
      <c r="C21" s="1087" t="s">
        <v>2070</v>
      </c>
      <c r="D21" s="1216" t="str">
        <f>VLOOKUP(C21,DM_DUAN,2,0)</f>
        <v>KHANG VƯỢNG</v>
      </c>
      <c r="E21" s="1229" t="s">
        <v>187</v>
      </c>
      <c r="F21" s="1218">
        <v>511.0</v>
      </c>
      <c r="G21" s="1218">
        <v>2.0</v>
      </c>
      <c r="H21" s="1219">
        <f t="shared" si="13"/>
        <v>4799999.52</v>
      </c>
      <c r="I21" s="1220">
        <f t="shared" si="14"/>
        <v>0.03798670158</v>
      </c>
      <c r="J21" s="1221">
        <f t="shared" si="15"/>
        <v>0</v>
      </c>
      <c r="K21" s="1221">
        <f t="shared" si="16"/>
        <v>4799999.52</v>
      </c>
      <c r="L21" s="1222">
        <f t="shared" si="17"/>
        <v>0</v>
      </c>
      <c r="M21" s="1222">
        <f t="shared" si="18"/>
        <v>0</v>
      </c>
      <c r="N21" s="1222">
        <f t="shared" si="19"/>
        <v>2399999.76</v>
      </c>
      <c r="O21" s="1222">
        <f t="shared" si="20"/>
        <v>2399999.76</v>
      </c>
      <c r="P21" s="1223">
        <f>SUMIFS(TF_SOTIEN,TF_THANG,P$1,TF_KM,$E21,TF_DA,$C21)/1000</f>
        <v>0</v>
      </c>
      <c r="Q21" s="1223">
        <f>SUMIFS(TF_SOTIEN,TF_THANG,Q$1,TF_KM,$E21,TF_DA,$C21)/1000</f>
        <v>0</v>
      </c>
      <c r="R21" s="1223">
        <f>SUMIFS(TF_SOTIEN,TF_THANG,R$1,TF_KM,$E21,TF_DA,$C21)/1000</f>
        <v>0</v>
      </c>
      <c r="S21" s="1223">
        <f>SUMIFS(TF_SOTIEN,TF_THANG,S$1,TF_KM,$E21,TF_DA,$C21)/1000</f>
        <v>0</v>
      </c>
      <c r="T21" s="1223">
        <f>SUMIFS(TF_SOTIEN,TF_THANG,T$1,TF_KM,$E21,TF_DA,$C21)/1000</f>
        <v>0</v>
      </c>
      <c r="U21" s="1223">
        <f>SUMIFS(TF_SOTIEN,TF_THANG,U$1,TF_KM,$E21,TF_DA,$C21)/1000</f>
        <v>0</v>
      </c>
      <c r="V21" s="1223">
        <f>SUMIFS(TF_SOTIEN,TF_THANG,V$1,TF_KM,$E21,TF_DA,$C21)/1000</f>
        <v>799999.92</v>
      </c>
      <c r="W21" s="1223">
        <f>SUMIFS(TF_SOTIEN,TF_THANG,W$1,TF_KM,$E21,TF_DA,$C21)/1000</f>
        <v>799999.92</v>
      </c>
      <c r="X21" s="1223">
        <f>SUMIFS(TF_SOTIEN,TF_THANG,X$1,TF_KM,$E21,TF_DA,$C21)/1000</f>
        <v>799999.92</v>
      </c>
      <c r="Y21" s="1223">
        <f>SUMIFS(TF_SOTIEN,TF_THANG,Y$1,TF_KM,$E21,TF_DA,$C21)/1000</f>
        <v>799999.92</v>
      </c>
      <c r="Z21" s="1223">
        <f>SUMIFS(TF_SOTIEN,TF_THANG,Z$1,TF_KM,$E21,TF_DA,$C21)/1000</f>
        <v>799999.92</v>
      </c>
      <c r="AA21" s="1223">
        <f>SUMIFS(TF_SOTIEN,TF_THANG,AA$1,TF_KM,$E21,TF_DA,$C21)/1000</f>
        <v>799999.92</v>
      </c>
    </row>
    <row r="22">
      <c r="A22" s="1215">
        <f t="shared" si="12"/>
        <v>8</v>
      </c>
      <c r="B22" s="1216" t="s">
        <v>2073</v>
      </c>
      <c r="C22" s="1087" t="s">
        <v>2072</v>
      </c>
      <c r="D22" s="1216" t="str">
        <f>VLOOKUP(C22,DM_DUAN,2,0)</f>
        <v>TRẦN ANH GROUP</v>
      </c>
      <c r="E22" s="1229" t="s">
        <v>187</v>
      </c>
      <c r="F22" s="1218">
        <v>511.0</v>
      </c>
      <c r="G22" s="1218">
        <v>2.0</v>
      </c>
      <c r="H22" s="1219">
        <f t="shared" si="13"/>
        <v>9599999.76</v>
      </c>
      <c r="I22" s="1220">
        <f t="shared" si="14"/>
        <v>0.07597340885</v>
      </c>
      <c r="J22" s="1221">
        <f t="shared" si="15"/>
        <v>0</v>
      </c>
      <c r="K22" s="1221">
        <f t="shared" si="16"/>
        <v>9599999.76</v>
      </c>
      <c r="L22" s="1222">
        <f t="shared" si="17"/>
        <v>0</v>
      </c>
      <c r="M22" s="1222">
        <f t="shared" si="18"/>
        <v>0</v>
      </c>
      <c r="N22" s="1222">
        <f t="shared" si="19"/>
        <v>4799999.88</v>
      </c>
      <c r="O22" s="1222">
        <f t="shared" si="20"/>
        <v>4799999.88</v>
      </c>
      <c r="P22" s="1223">
        <f>SUMIFS(TF_SOTIEN,TF_THANG,P$1,TF_KM,$E22,TF_DA,$C22)/1000</f>
        <v>0</v>
      </c>
      <c r="Q22" s="1223">
        <f>SUMIFS(TF_SOTIEN,TF_THANG,Q$1,TF_KM,$E22,TF_DA,$C22)/1000</f>
        <v>0</v>
      </c>
      <c r="R22" s="1223">
        <f>SUMIFS(TF_SOTIEN,TF_THANG,R$1,TF_KM,$E22,TF_DA,$C22)/1000</f>
        <v>0</v>
      </c>
      <c r="S22" s="1223">
        <f>SUMIFS(TF_SOTIEN,TF_THANG,S$1,TF_KM,$E22,TF_DA,$C22)/1000</f>
        <v>0</v>
      </c>
      <c r="T22" s="1223">
        <f>SUMIFS(TF_SOTIEN,TF_THANG,T$1,TF_KM,$E22,TF_DA,$C22)/1000</f>
        <v>0</v>
      </c>
      <c r="U22" s="1223">
        <f>SUMIFS(TF_SOTIEN,TF_THANG,U$1,TF_KM,$E22,TF_DA,$C22)/1000</f>
        <v>0</v>
      </c>
      <c r="V22" s="1223">
        <f>SUMIFS(TF_SOTIEN,TF_THANG,V$1,TF_KM,$E22,TF_DA,$C22)/1000</f>
        <v>1599999.96</v>
      </c>
      <c r="W22" s="1223">
        <f>SUMIFS(TF_SOTIEN,TF_THANG,W$1,TF_KM,$E22,TF_DA,$C22)/1000</f>
        <v>1599999.96</v>
      </c>
      <c r="X22" s="1223">
        <f>SUMIFS(TF_SOTIEN,TF_THANG,X$1,TF_KM,$E22,TF_DA,$C22)/1000</f>
        <v>1599999.96</v>
      </c>
      <c r="Y22" s="1223">
        <f>SUMIFS(TF_SOTIEN,TF_THANG,Y$1,TF_KM,$E22,TF_DA,$C22)/1000</f>
        <v>1599999.96</v>
      </c>
      <c r="Z22" s="1223">
        <f>SUMIFS(TF_SOTIEN,TF_THANG,Z$1,TF_KM,$E22,TF_DA,$C22)/1000</f>
        <v>1599999.96</v>
      </c>
      <c r="AA22" s="1223">
        <f>SUMIFS(TF_SOTIEN,TF_THANG,AA$1,TF_KM,$E22,TF_DA,$C22)/1000</f>
        <v>1599999.96</v>
      </c>
    </row>
    <row r="23">
      <c r="A23" s="1215">
        <f t="shared" si="12"/>
        <v>9</v>
      </c>
      <c r="B23" s="1216" t="s">
        <v>2074</v>
      </c>
      <c r="C23" s="1087" t="s">
        <v>2073</v>
      </c>
      <c r="D23" s="1216" t="str">
        <f>VLOOKUP(C23,DM_DUAN,2,0)</f>
        <v>PHI TRƯỜNG</v>
      </c>
      <c r="E23" s="1229" t="s">
        <v>187</v>
      </c>
      <c r="F23" s="1218">
        <v>511.0</v>
      </c>
      <c r="G23" s="1218">
        <v>2.0</v>
      </c>
      <c r="H23" s="1219">
        <f t="shared" si="13"/>
        <v>38399999.76</v>
      </c>
      <c r="I23" s="1220">
        <f t="shared" si="14"/>
        <v>0.3038936411</v>
      </c>
      <c r="J23" s="1221">
        <f t="shared" si="15"/>
        <v>0</v>
      </c>
      <c r="K23" s="1221">
        <f t="shared" si="16"/>
        <v>38399999.76</v>
      </c>
      <c r="L23" s="1222">
        <f t="shared" si="17"/>
        <v>0</v>
      </c>
      <c r="M23" s="1222">
        <f t="shared" si="18"/>
        <v>0</v>
      </c>
      <c r="N23" s="1222">
        <f t="shared" si="19"/>
        <v>19199999.88</v>
      </c>
      <c r="O23" s="1222">
        <f t="shared" si="20"/>
        <v>19199999.88</v>
      </c>
      <c r="P23" s="1223">
        <f>SUMIFS(TF_SOTIEN,TF_THANG,P$1,TF_KM,$E23,TF_DA,$C23)/1000</f>
        <v>0</v>
      </c>
      <c r="Q23" s="1223">
        <f>SUMIFS(TF_SOTIEN,TF_THANG,Q$1,TF_KM,$E23,TF_DA,$C23)/1000</f>
        <v>0</v>
      </c>
      <c r="R23" s="1223">
        <f>SUMIFS(TF_SOTIEN,TF_THANG,R$1,TF_KM,$E23,TF_DA,$C23)/1000</f>
        <v>0</v>
      </c>
      <c r="S23" s="1223">
        <f>SUMIFS(TF_SOTIEN,TF_THANG,S$1,TF_KM,$E23,TF_DA,$C23)/1000</f>
        <v>0</v>
      </c>
      <c r="T23" s="1223">
        <f>SUMIFS(TF_SOTIEN,TF_THANG,T$1,TF_KM,$E23,TF_DA,$C23)/1000</f>
        <v>0</v>
      </c>
      <c r="U23" s="1223">
        <f>SUMIFS(TF_SOTIEN,TF_THANG,U$1,TF_KM,$E23,TF_DA,$C23)/1000</f>
        <v>0</v>
      </c>
      <c r="V23" s="1223">
        <f>SUMIFS(TF_SOTIEN,TF_THANG,V$1,TF_KM,$E23,TF_DA,$C23)/1000</f>
        <v>6399999.96</v>
      </c>
      <c r="W23" s="1223">
        <f>SUMIFS(TF_SOTIEN,TF_THANG,W$1,TF_KM,$E23,TF_DA,$C23)/1000</f>
        <v>6399999.96</v>
      </c>
      <c r="X23" s="1223">
        <f>SUMIFS(TF_SOTIEN,TF_THANG,X$1,TF_KM,$E23,TF_DA,$C23)/1000</f>
        <v>6399999.96</v>
      </c>
      <c r="Y23" s="1223">
        <f>SUMIFS(TF_SOTIEN,TF_THANG,Y$1,TF_KM,$E23,TF_DA,$C23)/1000</f>
        <v>6399999.96</v>
      </c>
      <c r="Z23" s="1223">
        <f>SUMIFS(TF_SOTIEN,TF_THANG,Z$1,TF_KM,$E23,TF_DA,$C23)/1000</f>
        <v>6399999.96</v>
      </c>
      <c r="AA23" s="1223">
        <f>SUMIFS(TF_SOTIEN,TF_THANG,AA$1,TF_KM,$E23,TF_DA,$C23)/1000</f>
        <v>6399999.96</v>
      </c>
    </row>
    <row r="24">
      <c r="A24" s="1215">
        <f t="shared" si="12"/>
        <v>10</v>
      </c>
      <c r="B24" s="1225"/>
      <c r="C24" s="1087" t="s">
        <v>2074</v>
      </c>
      <c r="D24" s="1225" t="str">
        <f>VLOOKUP(C24,DM_DUAN,2,0)</f>
        <v>HOÀNG CÁT</v>
      </c>
      <c r="E24" s="1229" t="s">
        <v>187</v>
      </c>
      <c r="F24" s="1227">
        <v>511.0</v>
      </c>
      <c r="G24" s="1227">
        <v>2.0</v>
      </c>
      <c r="H24" s="1219">
        <f t="shared" si="13"/>
        <v>19199999.52</v>
      </c>
      <c r="I24" s="1220">
        <f t="shared" si="14"/>
        <v>0.1519468177</v>
      </c>
      <c r="J24" s="1221">
        <f t="shared" si="15"/>
        <v>0</v>
      </c>
      <c r="K24" s="1221">
        <f t="shared" si="16"/>
        <v>19199999.52</v>
      </c>
      <c r="L24" s="1222">
        <f t="shared" si="17"/>
        <v>0</v>
      </c>
      <c r="M24" s="1222">
        <f t="shared" si="18"/>
        <v>0</v>
      </c>
      <c r="N24" s="1222">
        <f t="shared" si="19"/>
        <v>9599999.76</v>
      </c>
      <c r="O24" s="1222">
        <f t="shared" si="20"/>
        <v>9599999.76</v>
      </c>
      <c r="P24" s="1223">
        <f>SUMIFS(TF_SOTIEN,TF_THANG,P$1,TF_KM,$E24,TF_DA,$C24)/1000</f>
        <v>0</v>
      </c>
      <c r="Q24" s="1223">
        <f>SUMIFS(TF_SOTIEN,TF_THANG,Q$1,TF_KM,$E24,TF_DA,$C24)/1000</f>
        <v>0</v>
      </c>
      <c r="R24" s="1223">
        <f>SUMIFS(TF_SOTIEN,TF_THANG,R$1,TF_KM,$E24,TF_DA,$C24)/1000</f>
        <v>0</v>
      </c>
      <c r="S24" s="1223">
        <f>SUMIFS(TF_SOTIEN,TF_THANG,S$1,TF_KM,$E24,TF_DA,$C24)/1000</f>
        <v>0</v>
      </c>
      <c r="T24" s="1223">
        <f>SUMIFS(TF_SOTIEN,TF_THANG,T$1,TF_KM,$E24,TF_DA,$C24)/1000</f>
        <v>0</v>
      </c>
      <c r="U24" s="1223">
        <f>SUMIFS(TF_SOTIEN,TF_THANG,U$1,TF_KM,$E24,TF_DA,$C24)/1000</f>
        <v>0</v>
      </c>
      <c r="V24" s="1223">
        <f>SUMIFS(TF_SOTIEN,TF_THANG,V$1,TF_KM,$E24,TF_DA,$C24)/1000</f>
        <v>3199999.92</v>
      </c>
      <c r="W24" s="1223">
        <f>SUMIFS(TF_SOTIEN,TF_THANG,W$1,TF_KM,$E24,TF_DA,$C24)/1000</f>
        <v>3199999.92</v>
      </c>
      <c r="X24" s="1223">
        <f>SUMIFS(TF_SOTIEN,TF_THANG,X$1,TF_KM,$E24,TF_DA,$C24)/1000</f>
        <v>3199999.92</v>
      </c>
      <c r="Y24" s="1223">
        <f>SUMIFS(TF_SOTIEN,TF_THANG,Y$1,TF_KM,$E24,TF_DA,$C24)/1000</f>
        <v>3199999.92</v>
      </c>
      <c r="Z24" s="1223">
        <f>SUMIFS(TF_SOTIEN,TF_THANG,Z$1,TF_KM,$E24,TF_DA,$C24)/1000</f>
        <v>3199999.92</v>
      </c>
      <c r="AA24" s="1223">
        <f>SUMIFS(TF_SOTIEN,TF_THANG,AA$1,TF_KM,$E24,TF_DA,$C24)/1000</f>
        <v>3199999.92</v>
      </c>
    </row>
    <row r="25">
      <c r="A25" s="1215">
        <f t="shared" si="12"/>
        <v>11</v>
      </c>
      <c r="B25" s="1225"/>
      <c r="C25" s="656" t="s">
        <v>530</v>
      </c>
      <c r="D25" s="1225" t="str">
        <f>VLOOKUP(C25,DM_DUAN,2,0)</f>
        <v>Nhà vườn sinh thái</v>
      </c>
      <c r="E25" s="1229" t="s">
        <v>187</v>
      </c>
      <c r="F25" s="1227">
        <v>511.0</v>
      </c>
      <c r="G25" s="1227">
        <v>2.0</v>
      </c>
      <c r="H25" s="1219">
        <f t="shared" si="13"/>
        <v>0</v>
      </c>
      <c r="I25" s="1220">
        <f t="shared" si="14"/>
        <v>0</v>
      </c>
      <c r="J25" s="1221">
        <f t="shared" si="15"/>
        <v>0</v>
      </c>
      <c r="K25" s="1221">
        <f t="shared" si="16"/>
        <v>0</v>
      </c>
      <c r="L25" s="1222">
        <f t="shared" si="17"/>
        <v>0</v>
      </c>
      <c r="M25" s="1222">
        <f t="shared" si="18"/>
        <v>0</v>
      </c>
      <c r="N25" s="1222">
        <f t="shared" si="19"/>
        <v>0</v>
      </c>
      <c r="O25" s="1222">
        <f t="shared" si="20"/>
        <v>0</v>
      </c>
      <c r="P25" s="1223">
        <f>SUMIFS(TF_SOTIEN,TF_THANG,P$1,TF_KM,$E25,TF_DA,$C25)/1000</f>
        <v>0</v>
      </c>
      <c r="Q25" s="1223">
        <f>SUMIFS(TF_SOTIEN,TF_THANG,Q$1,TF_KM,$E25,TF_DA,$C25)/1000</f>
        <v>0</v>
      </c>
      <c r="R25" s="1223">
        <f>SUMIFS(TF_SOTIEN,TF_THANG,R$1,TF_KM,$E25,TF_DA,$C25)/1000</f>
        <v>0</v>
      </c>
      <c r="S25" s="1223">
        <f>SUMIFS(TF_SOTIEN,TF_THANG,S$1,TF_KM,$E25,TF_DA,$C25)/1000</f>
        <v>0</v>
      </c>
      <c r="T25" s="1223">
        <f>SUMIFS(TF_SOTIEN,TF_THANG,T$1,TF_KM,$E25,TF_DA,$C25)/1000</f>
        <v>0</v>
      </c>
      <c r="U25" s="1223">
        <f>SUMIFS(TF_SOTIEN,TF_THANG,U$1,TF_KM,$E25,TF_DA,$C25)/1000</f>
        <v>0</v>
      </c>
      <c r="V25" s="1223">
        <f>SUMIFS(TF_SOTIEN,TF_THANG,V$1,TF_KM,$E25,TF_DA,$C25)/1000</f>
        <v>0</v>
      </c>
      <c r="W25" s="1223">
        <f>SUMIFS(TF_SOTIEN,TF_THANG,W$1,TF_KM,$E25,TF_DA,$C25)/1000</f>
        <v>0</v>
      </c>
      <c r="X25" s="1223">
        <f>SUMIFS(TF_SOTIEN,TF_THANG,X$1,TF_KM,$E25,TF_DA,$C25)/1000</f>
        <v>0</v>
      </c>
      <c r="Y25" s="1223">
        <f>SUMIFS(TF_SOTIEN,TF_THANG,Y$1,TF_KM,$E25,TF_DA,$C25)/1000</f>
        <v>0</v>
      </c>
      <c r="Z25" s="1223">
        <f>SUMIFS(TF_SOTIEN,TF_THANG,Z$1,TF_KM,$E25,TF_DA,$C25)/1000</f>
        <v>0</v>
      </c>
      <c r="AA25" s="1223">
        <f>SUMIFS(TF_SOTIEN,TF_THANG,AA$1,TF_KM,$E25,TF_DA,$C25)/1000</f>
        <v>0</v>
      </c>
    </row>
    <row r="26">
      <c r="A26" s="1230" t="s">
        <v>2823</v>
      </c>
      <c r="B26" s="1231"/>
      <c r="C26" s="1232"/>
      <c r="D26" s="1232"/>
      <c r="E26" s="1233"/>
      <c r="F26" s="1232"/>
      <c r="G26" s="1232"/>
      <c r="H26" s="1234">
        <f>SUM(H27:H36)</f>
        <v>0</v>
      </c>
      <c r="I26" s="1235">
        <f>SUMIF($G$27:$G$37,"1",I$27:I$37)</f>
        <v>0</v>
      </c>
      <c r="J26" s="1234">
        <f t="shared" ref="J26:AA26" si="21">SUM(J27:J36)</f>
        <v>0</v>
      </c>
      <c r="K26" s="1234">
        <f t="shared" si="21"/>
        <v>0</v>
      </c>
      <c r="L26" s="1234">
        <f t="shared" si="21"/>
        <v>0</v>
      </c>
      <c r="M26" s="1234">
        <f t="shared" si="21"/>
        <v>0</v>
      </c>
      <c r="N26" s="1234">
        <f t="shared" si="21"/>
        <v>0</v>
      </c>
      <c r="O26" s="1234">
        <f t="shared" si="21"/>
        <v>0</v>
      </c>
      <c r="P26" s="1234">
        <f t="shared" si="21"/>
        <v>0</v>
      </c>
      <c r="Q26" s="1234">
        <f t="shared" si="21"/>
        <v>0</v>
      </c>
      <c r="R26" s="1234">
        <f t="shared" si="21"/>
        <v>0</v>
      </c>
      <c r="S26" s="1234">
        <f t="shared" si="21"/>
        <v>0</v>
      </c>
      <c r="T26" s="1234">
        <f t="shared" si="21"/>
        <v>0</v>
      </c>
      <c r="U26" s="1234">
        <f t="shared" si="21"/>
        <v>0</v>
      </c>
      <c r="V26" s="1234">
        <f t="shared" si="21"/>
        <v>0</v>
      </c>
      <c r="W26" s="1234">
        <f t="shared" si="21"/>
        <v>0</v>
      </c>
      <c r="X26" s="1234">
        <f t="shared" si="21"/>
        <v>0</v>
      </c>
      <c r="Y26" s="1234">
        <f t="shared" si="21"/>
        <v>0</v>
      </c>
      <c r="Z26" s="1234">
        <f t="shared" si="21"/>
        <v>0</v>
      </c>
      <c r="AA26" s="1234">
        <f t="shared" si="21"/>
        <v>0</v>
      </c>
    </row>
    <row r="27">
      <c r="A27" s="1215">
        <f t="shared" ref="A27:A37" si="22">IF(C27="","",COUNTA(D$27:D27))</f>
        <v>1</v>
      </c>
      <c r="B27" s="1216"/>
      <c r="C27" s="1087" t="s">
        <v>215</v>
      </c>
      <c r="D27" s="1216" t="str">
        <f>VLOOKUP(C27,DM_DUAN,2,0)</f>
        <v>Phước Đông Garden</v>
      </c>
      <c r="E27" s="1217" t="s">
        <v>2239</v>
      </c>
      <c r="F27" s="1218">
        <v>632.0</v>
      </c>
      <c r="G27" s="1218">
        <v>2.0</v>
      </c>
      <c r="H27" s="1219">
        <f t="shared" ref="H27:H37" si="23">SUM(J27:K27)</f>
        <v>0</v>
      </c>
      <c r="I27" s="1220" t="str">
        <f t="shared" ref="I27:I37" si="24">IFERROR(H27/$H$26,"")</f>
        <v/>
      </c>
      <c r="J27" s="1221">
        <f t="shared" ref="J27:J37" si="25">SUM(L27:M27)</f>
        <v>0</v>
      </c>
      <c r="K27" s="1221">
        <f t="shared" ref="K27:K37" si="26">SUM(N27:O27)</f>
        <v>0</v>
      </c>
      <c r="L27" s="1222">
        <f t="shared" ref="L27:L37" si="27">SUM(P27:R27)</f>
        <v>0</v>
      </c>
      <c r="M27" s="1222">
        <f t="shared" ref="M27:M37" si="28">SUM(S27:U27)</f>
        <v>0</v>
      </c>
      <c r="N27" s="1222">
        <f t="shared" ref="N27:N37" si="29">SUM(V27:X27)</f>
        <v>0</v>
      </c>
      <c r="O27" s="1222">
        <f t="shared" ref="O27:O37" si="30">SUM(Y27:AA27)</f>
        <v>0</v>
      </c>
      <c r="P27" s="1223">
        <f>SUMIFS(TF_SOTIEN,TF_THANG,P$1,TF_KM,$E27,TF_DA,$C27)/1000</f>
        <v>0</v>
      </c>
      <c r="Q27" s="1223">
        <f>SUMIFS(TF_SOTIEN,TF_THANG,Q$1,TF_KM,$E27,TF_DA,$C27)/1000</f>
        <v>0</v>
      </c>
      <c r="R27" s="1223">
        <f>SUMIFS(TF_SOTIEN,TF_THANG,R$1,TF_KM,$E27,TF_DA,$C27)/1000</f>
        <v>0</v>
      </c>
      <c r="S27" s="1223">
        <f>SUMIFS(TF_SOTIEN,TF_THANG,S$1,TF_KM,$E27,TF_DA,$C27)/1000</f>
        <v>0</v>
      </c>
      <c r="T27" s="1223">
        <f>SUMIFS(TF_SOTIEN,TF_THANG,T$1,TF_KM,$E27,TF_DA,$C27)/1000</f>
        <v>0</v>
      </c>
      <c r="U27" s="1223">
        <f>SUMIFS(TF_SOTIEN,TF_THANG,U$1,TF_KM,$E27,TF_DA,$C27)/1000</f>
        <v>0</v>
      </c>
      <c r="V27" s="1223">
        <f>SUMIFS(TF_SOTIEN,TF_THANG,V$1,TF_KM,$E27,TF_DA,$C27)/1000</f>
        <v>0</v>
      </c>
      <c r="W27" s="1223">
        <f>SUMIFS(TF_SOTIEN,TF_THANG,W$1,TF_KM,$E27,TF_DA,$C27)/1000</f>
        <v>0</v>
      </c>
      <c r="X27" s="1223">
        <f>SUMIFS(TF_SOTIEN,TF_THANG,X$1,TF_KM,$E27,TF_DA,$C27)/1000</f>
        <v>0</v>
      </c>
      <c r="Y27" s="1223">
        <f>SUMIFS(TF_SOTIEN,TF_THANG,Y$1,TF_KM,$E27,TF_DA,$C27)/1000</f>
        <v>0</v>
      </c>
      <c r="Z27" s="1223">
        <f>SUMIFS(TF_SOTIEN,TF_THANG,Z$1,TF_KM,$E27,TF_DA,$C27)/1000</f>
        <v>0</v>
      </c>
      <c r="AA27" s="1223">
        <f>SUMIFS(TF_SOTIEN,TF_THANG,AA$1,TF_KM,$E27,TF_DA,$C27)/1000</f>
        <v>0</v>
      </c>
    </row>
    <row r="28">
      <c r="A28" s="1215">
        <f t="shared" si="22"/>
        <v>2</v>
      </c>
      <c r="B28" s="1216"/>
      <c r="C28" s="1087" t="s">
        <v>404</v>
      </c>
      <c r="D28" s="1216" t="str">
        <f>VLOOKUP(C28,DM_DUAN,2,0)</f>
        <v>Hamil ton Garden</v>
      </c>
      <c r="E28" s="1217" t="s">
        <v>2239</v>
      </c>
      <c r="F28" s="1218">
        <v>632.0</v>
      </c>
      <c r="G28" s="1218">
        <v>2.0</v>
      </c>
      <c r="H28" s="1219">
        <f t="shared" si="23"/>
        <v>0</v>
      </c>
      <c r="I28" s="1220" t="str">
        <f t="shared" si="24"/>
        <v/>
      </c>
      <c r="J28" s="1221">
        <f t="shared" si="25"/>
        <v>0</v>
      </c>
      <c r="K28" s="1221">
        <f t="shared" si="26"/>
        <v>0</v>
      </c>
      <c r="L28" s="1222">
        <f t="shared" si="27"/>
        <v>0</v>
      </c>
      <c r="M28" s="1222">
        <f t="shared" si="28"/>
        <v>0</v>
      </c>
      <c r="N28" s="1222">
        <f t="shared" si="29"/>
        <v>0</v>
      </c>
      <c r="O28" s="1222">
        <f t="shared" si="30"/>
        <v>0</v>
      </c>
      <c r="P28" s="1223">
        <f>SUMIFS(TF_SOTIEN,TF_THANG,P$1,TF_KM,$E28,TF_DA,$C28)/1000</f>
        <v>0</v>
      </c>
      <c r="Q28" s="1223">
        <f>SUMIFS(TF_SOTIEN,TF_THANG,Q$1,TF_KM,$E28,TF_DA,$C28)/1000</f>
        <v>0</v>
      </c>
      <c r="R28" s="1223">
        <f>SUMIFS(TF_SOTIEN,TF_THANG,R$1,TF_KM,$E28,TF_DA,$C28)/1000</f>
        <v>0</v>
      </c>
      <c r="S28" s="1223">
        <f>SUMIFS(TF_SOTIEN,TF_THANG,S$1,TF_KM,$E28,TF_DA,$C28)/1000</f>
        <v>0</v>
      </c>
      <c r="T28" s="1223">
        <f>SUMIFS(TF_SOTIEN,TF_THANG,T$1,TF_KM,$E28,TF_DA,$C28)/1000</f>
        <v>0</v>
      </c>
      <c r="U28" s="1223">
        <f>SUMIFS(TF_SOTIEN,TF_THANG,U$1,TF_KM,$E28,TF_DA,$C28)/1000</f>
        <v>0</v>
      </c>
      <c r="V28" s="1223">
        <f>SUMIFS(TF_SOTIEN,TF_THANG,V$1,TF_KM,$E28,TF_DA,$C28)/1000</f>
        <v>0</v>
      </c>
      <c r="W28" s="1223">
        <f>SUMIFS(TF_SOTIEN,TF_THANG,W$1,TF_KM,$E28,TF_DA,$C28)/1000</f>
        <v>0</v>
      </c>
      <c r="X28" s="1223">
        <f>SUMIFS(TF_SOTIEN,TF_THANG,X$1,TF_KM,$E28,TF_DA,$C28)/1000</f>
        <v>0</v>
      </c>
      <c r="Y28" s="1223">
        <f>SUMIFS(TF_SOTIEN,TF_THANG,Y$1,TF_KM,$E28,TF_DA,$C28)/1000</f>
        <v>0</v>
      </c>
      <c r="Z28" s="1223">
        <f>SUMIFS(TF_SOTIEN,TF_THANG,Z$1,TF_KM,$E28,TF_DA,$C28)/1000</f>
        <v>0</v>
      </c>
      <c r="AA28" s="1223">
        <f>SUMIFS(TF_SOTIEN,TF_THANG,AA$1,TF_KM,$E28,TF_DA,$C28)/1000</f>
        <v>0</v>
      </c>
    </row>
    <row r="29">
      <c r="A29" s="1215">
        <f t="shared" si="22"/>
        <v>3</v>
      </c>
      <c r="B29" s="1216"/>
      <c r="C29" s="1087" t="s">
        <v>533</v>
      </c>
      <c r="D29" s="1216" t="str">
        <f>VLOOKUP(C29,DM_DUAN,2,0)</f>
        <v>The sol city</v>
      </c>
      <c r="E29" s="1217" t="s">
        <v>2239</v>
      </c>
      <c r="F29" s="1218">
        <v>632.0</v>
      </c>
      <c r="G29" s="1218">
        <v>2.0</v>
      </c>
      <c r="H29" s="1219">
        <f t="shared" si="23"/>
        <v>0</v>
      </c>
      <c r="I29" s="1220" t="str">
        <f t="shared" si="24"/>
        <v/>
      </c>
      <c r="J29" s="1221">
        <f t="shared" si="25"/>
        <v>0</v>
      </c>
      <c r="K29" s="1221">
        <f t="shared" si="26"/>
        <v>0</v>
      </c>
      <c r="L29" s="1222">
        <f t="shared" si="27"/>
        <v>0</v>
      </c>
      <c r="M29" s="1222">
        <f t="shared" si="28"/>
        <v>0</v>
      </c>
      <c r="N29" s="1222">
        <f t="shared" si="29"/>
        <v>0</v>
      </c>
      <c r="O29" s="1222">
        <f t="shared" si="30"/>
        <v>0</v>
      </c>
      <c r="P29" s="1223">
        <f>SUMIFS(TF_SOTIEN,TF_THANG,P$1,TF_KM,$E29,TF_DA,$C29)/1000</f>
        <v>0</v>
      </c>
      <c r="Q29" s="1223">
        <f>SUMIFS(TF_SOTIEN,TF_THANG,Q$1,TF_KM,$E29,TF_DA,$C29)/1000</f>
        <v>0</v>
      </c>
      <c r="R29" s="1223">
        <f>SUMIFS(TF_SOTIEN,TF_THANG,R$1,TF_KM,$E29,TF_DA,$C29)/1000</f>
        <v>0</v>
      </c>
      <c r="S29" s="1223">
        <f>SUMIFS(TF_SOTIEN,TF_THANG,S$1,TF_KM,$E29,TF_DA,$C29)/1000</f>
        <v>0</v>
      </c>
      <c r="T29" s="1223">
        <f>SUMIFS(TF_SOTIEN,TF_THANG,T$1,TF_KM,$E29,TF_DA,$C29)/1000</f>
        <v>0</v>
      </c>
      <c r="U29" s="1223">
        <f>SUMIFS(TF_SOTIEN,TF_THANG,U$1,TF_KM,$E29,TF_DA,$C29)/1000</f>
        <v>0</v>
      </c>
      <c r="V29" s="1223">
        <f>SUMIFS(TF_SOTIEN,TF_THANG,V$1,TF_KM,$E29,TF_DA,$C29)/1000</f>
        <v>0</v>
      </c>
      <c r="W29" s="1223">
        <f>SUMIFS(TF_SOTIEN,TF_THANG,W$1,TF_KM,$E29,TF_DA,$C29)/1000</f>
        <v>0</v>
      </c>
      <c r="X29" s="1223">
        <f>SUMIFS(TF_SOTIEN,TF_THANG,X$1,TF_KM,$E29,TF_DA,$C29)/1000</f>
        <v>0</v>
      </c>
      <c r="Y29" s="1223">
        <f>SUMIFS(TF_SOTIEN,TF_THANG,Y$1,TF_KM,$E29,TF_DA,$C29)/1000</f>
        <v>0</v>
      </c>
      <c r="Z29" s="1223">
        <f>SUMIFS(TF_SOTIEN,TF_THANG,Z$1,TF_KM,$E29,TF_DA,$C29)/1000</f>
        <v>0</v>
      </c>
      <c r="AA29" s="1223">
        <f>SUMIFS(TF_SOTIEN,TF_THANG,AA$1,TF_KM,$E29,TF_DA,$C29)/1000</f>
        <v>0</v>
      </c>
    </row>
    <row r="30">
      <c r="A30" s="1215">
        <f t="shared" si="22"/>
        <v>4</v>
      </c>
      <c r="B30" s="1216"/>
      <c r="C30" s="1087" t="s">
        <v>175</v>
      </c>
      <c r="D30" s="1216" t="str">
        <f>VLOOKUP(C30,DM_DUAN,2,0)</f>
        <v>Phước hội Hồ Tràm</v>
      </c>
      <c r="E30" s="1217" t="s">
        <v>2239</v>
      </c>
      <c r="F30" s="1218">
        <v>632.0</v>
      </c>
      <c r="G30" s="1218">
        <v>2.0</v>
      </c>
      <c r="H30" s="1219">
        <f t="shared" si="23"/>
        <v>0</v>
      </c>
      <c r="I30" s="1220" t="str">
        <f t="shared" si="24"/>
        <v/>
      </c>
      <c r="J30" s="1221">
        <f t="shared" si="25"/>
        <v>0</v>
      </c>
      <c r="K30" s="1221">
        <f t="shared" si="26"/>
        <v>0</v>
      </c>
      <c r="L30" s="1222">
        <f t="shared" si="27"/>
        <v>0</v>
      </c>
      <c r="M30" s="1222">
        <f t="shared" si="28"/>
        <v>0</v>
      </c>
      <c r="N30" s="1222">
        <f t="shared" si="29"/>
        <v>0</v>
      </c>
      <c r="O30" s="1222">
        <f t="shared" si="30"/>
        <v>0</v>
      </c>
      <c r="P30" s="1223">
        <f>SUMIFS(TF_SOTIEN,TF_THANG,P$1,TF_KM,$E30,TF_DA,$C30)/1000</f>
        <v>0</v>
      </c>
      <c r="Q30" s="1223">
        <f>SUMIFS(TF_SOTIEN,TF_THANG,Q$1,TF_KM,$E30,TF_DA,$C30)/1000</f>
        <v>0</v>
      </c>
      <c r="R30" s="1223">
        <f>SUMIFS(TF_SOTIEN,TF_THANG,R$1,TF_KM,$E30,TF_DA,$C30)/1000</f>
        <v>0</v>
      </c>
      <c r="S30" s="1223">
        <f>SUMIFS(TF_SOTIEN,TF_THANG,S$1,TF_KM,$E30,TF_DA,$C30)/1000</f>
        <v>0</v>
      </c>
      <c r="T30" s="1223">
        <f>SUMIFS(TF_SOTIEN,TF_THANG,T$1,TF_KM,$E30,TF_DA,$C30)/1000</f>
        <v>0</v>
      </c>
      <c r="U30" s="1223">
        <f>SUMIFS(TF_SOTIEN,TF_THANG,U$1,TF_KM,$E30,TF_DA,$C30)/1000</f>
        <v>0</v>
      </c>
      <c r="V30" s="1223">
        <f>SUMIFS(TF_SOTIEN,TF_THANG,V$1,TF_KM,$E30,TF_DA,$C30)/1000</f>
        <v>0</v>
      </c>
      <c r="W30" s="1223">
        <f>SUMIFS(TF_SOTIEN,TF_THANG,W$1,TF_KM,$E30,TF_DA,$C30)/1000</f>
        <v>0</v>
      </c>
      <c r="X30" s="1223">
        <f>SUMIFS(TF_SOTIEN,TF_THANG,X$1,TF_KM,$E30,TF_DA,$C30)/1000</f>
        <v>0</v>
      </c>
      <c r="Y30" s="1223">
        <f>SUMIFS(TF_SOTIEN,TF_THANG,Y$1,TF_KM,$E30,TF_DA,$C30)/1000</f>
        <v>0</v>
      </c>
      <c r="Z30" s="1223">
        <f>SUMIFS(TF_SOTIEN,TF_THANG,Z$1,TF_KM,$E30,TF_DA,$C30)/1000</f>
        <v>0</v>
      </c>
      <c r="AA30" s="1223">
        <f>SUMIFS(TF_SOTIEN,TF_THANG,AA$1,TF_KM,$E30,TF_DA,$C30)/1000</f>
        <v>0</v>
      </c>
    </row>
    <row r="31">
      <c r="A31" s="1215">
        <f t="shared" si="22"/>
        <v>5</v>
      </c>
      <c r="B31" s="1216"/>
      <c r="C31" s="1087" t="s">
        <v>2067</v>
      </c>
      <c r="D31" s="1216" t="str">
        <f>VLOOKUP(C31,DM_DUAN,2,0)</f>
        <v>NAM PHONG</v>
      </c>
      <c r="E31" s="1217" t="s">
        <v>2239</v>
      </c>
      <c r="F31" s="1218">
        <v>632.0</v>
      </c>
      <c r="G31" s="1218">
        <v>2.0</v>
      </c>
      <c r="H31" s="1219">
        <f t="shared" si="23"/>
        <v>0</v>
      </c>
      <c r="I31" s="1220" t="str">
        <f t="shared" si="24"/>
        <v/>
      </c>
      <c r="J31" s="1221">
        <f t="shared" si="25"/>
        <v>0</v>
      </c>
      <c r="K31" s="1221">
        <f t="shared" si="26"/>
        <v>0</v>
      </c>
      <c r="L31" s="1222">
        <f t="shared" si="27"/>
        <v>0</v>
      </c>
      <c r="M31" s="1222">
        <f t="shared" si="28"/>
        <v>0</v>
      </c>
      <c r="N31" s="1222">
        <f t="shared" si="29"/>
        <v>0</v>
      </c>
      <c r="O31" s="1222">
        <f t="shared" si="30"/>
        <v>0</v>
      </c>
      <c r="P31" s="1223">
        <f>SUMIFS(TF_SOTIEN,TF_THANG,P$1,TF_KM,$E31,TF_DA,$C31)/1000</f>
        <v>0</v>
      </c>
      <c r="Q31" s="1223">
        <f>SUMIFS(TF_SOTIEN,TF_THANG,Q$1,TF_KM,$E31,TF_DA,$C31)/1000</f>
        <v>0</v>
      </c>
      <c r="R31" s="1223">
        <f>SUMIFS(TF_SOTIEN,TF_THANG,R$1,TF_KM,$E31,TF_DA,$C31)/1000</f>
        <v>0</v>
      </c>
      <c r="S31" s="1223">
        <f>SUMIFS(TF_SOTIEN,TF_THANG,S$1,TF_KM,$E31,TF_DA,$C31)/1000</f>
        <v>0</v>
      </c>
      <c r="T31" s="1223">
        <f>SUMIFS(TF_SOTIEN,TF_THANG,T$1,TF_KM,$E31,TF_DA,$C31)/1000</f>
        <v>0</v>
      </c>
      <c r="U31" s="1223">
        <f>SUMIFS(TF_SOTIEN,TF_THANG,U$1,TF_KM,$E31,TF_DA,$C31)/1000</f>
        <v>0</v>
      </c>
      <c r="V31" s="1223">
        <f>SUMIFS(TF_SOTIEN,TF_THANG,V$1,TF_KM,$E31,TF_DA,$C31)/1000</f>
        <v>0</v>
      </c>
      <c r="W31" s="1223">
        <f>SUMIFS(TF_SOTIEN,TF_THANG,W$1,TF_KM,$E31,TF_DA,$C31)/1000</f>
        <v>0</v>
      </c>
      <c r="X31" s="1223">
        <f>SUMIFS(TF_SOTIEN,TF_THANG,X$1,TF_KM,$E31,TF_DA,$C31)/1000</f>
        <v>0</v>
      </c>
      <c r="Y31" s="1223">
        <f>SUMIFS(TF_SOTIEN,TF_THANG,Y$1,TF_KM,$E31,TF_DA,$C31)/1000</f>
        <v>0</v>
      </c>
      <c r="Z31" s="1223">
        <f>SUMIFS(TF_SOTIEN,TF_THANG,Z$1,TF_KM,$E31,TF_DA,$C31)/1000</f>
        <v>0</v>
      </c>
      <c r="AA31" s="1223">
        <f>SUMIFS(TF_SOTIEN,TF_THANG,AA$1,TF_KM,$E31,TF_DA,$C31)/1000</f>
        <v>0</v>
      </c>
    </row>
    <row r="32">
      <c r="A32" s="1215">
        <f t="shared" si="22"/>
        <v>6</v>
      </c>
      <c r="B32" s="1216"/>
      <c r="C32" s="1087" t="s">
        <v>2069</v>
      </c>
      <c r="D32" s="1216" t="str">
        <f>VLOOKUP(C32,DM_DUAN,2,0)</f>
        <v>#N/A</v>
      </c>
      <c r="E32" s="1217" t="s">
        <v>2239</v>
      </c>
      <c r="F32" s="1218">
        <v>632.0</v>
      </c>
      <c r="G32" s="1218">
        <v>2.0</v>
      </c>
      <c r="H32" s="1219">
        <f t="shared" si="23"/>
        <v>0</v>
      </c>
      <c r="I32" s="1220" t="str">
        <f t="shared" si="24"/>
        <v/>
      </c>
      <c r="J32" s="1221">
        <f t="shared" si="25"/>
        <v>0</v>
      </c>
      <c r="K32" s="1221">
        <f t="shared" si="26"/>
        <v>0</v>
      </c>
      <c r="L32" s="1222">
        <f t="shared" si="27"/>
        <v>0</v>
      </c>
      <c r="M32" s="1222">
        <f t="shared" si="28"/>
        <v>0</v>
      </c>
      <c r="N32" s="1222">
        <f t="shared" si="29"/>
        <v>0</v>
      </c>
      <c r="O32" s="1222">
        <f t="shared" si="30"/>
        <v>0</v>
      </c>
      <c r="P32" s="1223">
        <f>SUMIFS(TF_SOTIEN,TF_THANG,P$1,TF_KM,$E32,TF_DA,$C32)/1000</f>
        <v>0</v>
      </c>
      <c r="Q32" s="1223">
        <f>SUMIFS(TF_SOTIEN,TF_THANG,Q$1,TF_KM,$E32,TF_DA,$C32)/1000</f>
        <v>0</v>
      </c>
      <c r="R32" s="1223">
        <f>SUMIFS(TF_SOTIEN,TF_THANG,R$1,TF_KM,$E32,TF_DA,$C32)/1000</f>
        <v>0</v>
      </c>
      <c r="S32" s="1223">
        <f>SUMIFS(TF_SOTIEN,TF_THANG,S$1,TF_KM,$E32,TF_DA,$C32)/1000</f>
        <v>0</v>
      </c>
      <c r="T32" s="1223">
        <f>SUMIFS(TF_SOTIEN,TF_THANG,T$1,TF_KM,$E32,TF_DA,$C32)/1000</f>
        <v>0</v>
      </c>
      <c r="U32" s="1223">
        <f>SUMIFS(TF_SOTIEN,TF_THANG,U$1,TF_KM,$E32,TF_DA,$C32)/1000</f>
        <v>0</v>
      </c>
      <c r="V32" s="1223">
        <f>SUMIFS(TF_SOTIEN,TF_THANG,V$1,TF_KM,$E32,TF_DA,$C32)/1000</f>
        <v>0</v>
      </c>
      <c r="W32" s="1223">
        <f>SUMIFS(TF_SOTIEN,TF_THANG,W$1,TF_KM,$E32,TF_DA,$C32)/1000</f>
        <v>0</v>
      </c>
      <c r="X32" s="1223">
        <f>SUMIFS(TF_SOTIEN,TF_THANG,X$1,TF_KM,$E32,TF_DA,$C32)/1000</f>
        <v>0</v>
      </c>
      <c r="Y32" s="1223">
        <f>SUMIFS(TF_SOTIEN,TF_THANG,Y$1,TF_KM,$E32,TF_DA,$C32)/1000</f>
        <v>0</v>
      </c>
      <c r="Z32" s="1223">
        <f>SUMIFS(TF_SOTIEN,TF_THANG,Z$1,TF_KM,$E32,TF_DA,$C32)/1000</f>
        <v>0</v>
      </c>
      <c r="AA32" s="1223">
        <f>SUMIFS(TF_SOTIEN,TF_THANG,AA$1,TF_KM,$E32,TF_DA,$C32)/1000</f>
        <v>0</v>
      </c>
    </row>
    <row r="33">
      <c r="A33" s="1215">
        <f t="shared" si="22"/>
        <v>7</v>
      </c>
      <c r="B33" s="1216"/>
      <c r="C33" s="1087" t="s">
        <v>2070</v>
      </c>
      <c r="D33" s="1216" t="str">
        <f>VLOOKUP(C33,DM_DUAN,2,0)</f>
        <v>KHANG VƯỢNG</v>
      </c>
      <c r="E33" s="1217" t="s">
        <v>2239</v>
      </c>
      <c r="F33" s="1218">
        <v>632.0</v>
      </c>
      <c r="G33" s="1218">
        <v>2.0</v>
      </c>
      <c r="H33" s="1219">
        <f t="shared" si="23"/>
        <v>0</v>
      </c>
      <c r="I33" s="1220" t="str">
        <f t="shared" si="24"/>
        <v/>
      </c>
      <c r="J33" s="1221">
        <f t="shared" si="25"/>
        <v>0</v>
      </c>
      <c r="K33" s="1221">
        <f t="shared" si="26"/>
        <v>0</v>
      </c>
      <c r="L33" s="1222">
        <f t="shared" si="27"/>
        <v>0</v>
      </c>
      <c r="M33" s="1222">
        <f t="shared" si="28"/>
        <v>0</v>
      </c>
      <c r="N33" s="1222">
        <f t="shared" si="29"/>
        <v>0</v>
      </c>
      <c r="O33" s="1222">
        <f t="shared" si="30"/>
        <v>0</v>
      </c>
      <c r="P33" s="1223">
        <f>SUMIFS(TF_SOTIEN,TF_THANG,P$1,TF_KM,$E33,TF_DA,$C33)/1000</f>
        <v>0</v>
      </c>
      <c r="Q33" s="1223">
        <f>SUMIFS(TF_SOTIEN,TF_THANG,Q$1,TF_KM,$E33,TF_DA,$C33)/1000</f>
        <v>0</v>
      </c>
      <c r="R33" s="1223">
        <f>SUMIFS(TF_SOTIEN,TF_THANG,R$1,TF_KM,$E33,TF_DA,$C33)/1000</f>
        <v>0</v>
      </c>
      <c r="S33" s="1223">
        <f>SUMIFS(TF_SOTIEN,TF_THANG,S$1,TF_KM,$E33,TF_DA,$C33)/1000</f>
        <v>0</v>
      </c>
      <c r="T33" s="1223">
        <f>SUMIFS(TF_SOTIEN,TF_THANG,T$1,TF_KM,$E33,TF_DA,$C33)/1000</f>
        <v>0</v>
      </c>
      <c r="U33" s="1223">
        <f>SUMIFS(TF_SOTIEN,TF_THANG,U$1,TF_KM,$E33,TF_DA,$C33)/1000</f>
        <v>0</v>
      </c>
      <c r="V33" s="1223">
        <f>SUMIFS(TF_SOTIEN,TF_THANG,V$1,TF_KM,$E33,TF_DA,$C33)/1000</f>
        <v>0</v>
      </c>
      <c r="W33" s="1223">
        <f>SUMIFS(TF_SOTIEN,TF_THANG,W$1,TF_KM,$E33,TF_DA,$C33)/1000</f>
        <v>0</v>
      </c>
      <c r="X33" s="1223">
        <f>SUMIFS(TF_SOTIEN,TF_THANG,X$1,TF_KM,$E33,TF_DA,$C33)/1000</f>
        <v>0</v>
      </c>
      <c r="Y33" s="1223">
        <f>SUMIFS(TF_SOTIEN,TF_THANG,Y$1,TF_KM,$E33,TF_DA,$C33)/1000</f>
        <v>0</v>
      </c>
      <c r="Z33" s="1223">
        <f>SUMIFS(TF_SOTIEN,TF_THANG,Z$1,TF_KM,$E33,TF_DA,$C33)/1000</f>
        <v>0</v>
      </c>
      <c r="AA33" s="1223">
        <f>SUMIFS(TF_SOTIEN,TF_THANG,AA$1,TF_KM,$E33,TF_DA,$C33)/1000</f>
        <v>0</v>
      </c>
    </row>
    <row r="34">
      <c r="A34" s="1215">
        <f t="shared" si="22"/>
        <v>8</v>
      </c>
      <c r="B34" s="1216"/>
      <c r="C34" s="1087" t="s">
        <v>2072</v>
      </c>
      <c r="D34" s="1216" t="str">
        <f>VLOOKUP(C34,DM_DUAN,2,0)</f>
        <v>TRẦN ANH GROUP</v>
      </c>
      <c r="E34" s="1217" t="s">
        <v>2239</v>
      </c>
      <c r="F34" s="1218">
        <v>632.0</v>
      </c>
      <c r="G34" s="1218">
        <v>2.0</v>
      </c>
      <c r="H34" s="1219">
        <f t="shared" si="23"/>
        <v>0</v>
      </c>
      <c r="I34" s="1220" t="str">
        <f t="shared" si="24"/>
        <v/>
      </c>
      <c r="J34" s="1221">
        <f t="shared" si="25"/>
        <v>0</v>
      </c>
      <c r="K34" s="1221">
        <f t="shared" si="26"/>
        <v>0</v>
      </c>
      <c r="L34" s="1222">
        <f t="shared" si="27"/>
        <v>0</v>
      </c>
      <c r="M34" s="1222">
        <f t="shared" si="28"/>
        <v>0</v>
      </c>
      <c r="N34" s="1222">
        <f t="shared" si="29"/>
        <v>0</v>
      </c>
      <c r="O34" s="1222">
        <f t="shared" si="30"/>
        <v>0</v>
      </c>
      <c r="P34" s="1223">
        <f>SUMIFS(TF_SOTIEN,TF_THANG,P$1,TF_KM,$E34,TF_DA,$C34)/1000</f>
        <v>0</v>
      </c>
      <c r="Q34" s="1223">
        <f>SUMIFS(TF_SOTIEN,TF_THANG,Q$1,TF_KM,$E34,TF_DA,$C34)/1000</f>
        <v>0</v>
      </c>
      <c r="R34" s="1223">
        <f>SUMIFS(TF_SOTIEN,TF_THANG,R$1,TF_KM,$E34,TF_DA,$C34)/1000</f>
        <v>0</v>
      </c>
      <c r="S34" s="1223">
        <f>SUMIFS(TF_SOTIEN,TF_THANG,S$1,TF_KM,$E34,TF_DA,$C34)/1000</f>
        <v>0</v>
      </c>
      <c r="T34" s="1223">
        <f>SUMIFS(TF_SOTIEN,TF_THANG,T$1,TF_KM,$E34,TF_DA,$C34)/1000</f>
        <v>0</v>
      </c>
      <c r="U34" s="1223">
        <f>SUMIFS(TF_SOTIEN,TF_THANG,U$1,TF_KM,$E34,TF_DA,$C34)/1000</f>
        <v>0</v>
      </c>
      <c r="V34" s="1223">
        <f>SUMIFS(TF_SOTIEN,TF_THANG,V$1,TF_KM,$E34,TF_DA,$C34)/1000</f>
        <v>0</v>
      </c>
      <c r="W34" s="1223">
        <f>SUMIFS(TF_SOTIEN,TF_THANG,W$1,TF_KM,$E34,TF_DA,$C34)/1000</f>
        <v>0</v>
      </c>
      <c r="X34" s="1223">
        <f>SUMIFS(TF_SOTIEN,TF_THANG,X$1,TF_KM,$E34,TF_DA,$C34)/1000</f>
        <v>0</v>
      </c>
      <c r="Y34" s="1223">
        <f>SUMIFS(TF_SOTIEN,TF_THANG,Y$1,TF_KM,$E34,TF_DA,$C34)/1000</f>
        <v>0</v>
      </c>
      <c r="Z34" s="1223">
        <f>SUMIFS(TF_SOTIEN,TF_THANG,Z$1,TF_KM,$E34,TF_DA,$C34)/1000</f>
        <v>0</v>
      </c>
      <c r="AA34" s="1223">
        <f>SUMIFS(TF_SOTIEN,TF_THANG,AA$1,TF_KM,$E34,TF_DA,$C34)/1000</f>
        <v>0</v>
      </c>
    </row>
    <row r="35">
      <c r="A35" s="1215">
        <f t="shared" si="22"/>
        <v>9</v>
      </c>
      <c r="B35" s="1216"/>
      <c r="C35" s="1087" t="s">
        <v>2073</v>
      </c>
      <c r="D35" s="1216" t="str">
        <f>VLOOKUP(C35,DM_DUAN,2,0)</f>
        <v>PHI TRƯỜNG</v>
      </c>
      <c r="E35" s="1217" t="s">
        <v>2239</v>
      </c>
      <c r="F35" s="1218">
        <v>632.0</v>
      </c>
      <c r="G35" s="1218">
        <v>2.0</v>
      </c>
      <c r="H35" s="1219">
        <f t="shared" si="23"/>
        <v>0</v>
      </c>
      <c r="I35" s="1220" t="str">
        <f t="shared" si="24"/>
        <v/>
      </c>
      <c r="J35" s="1221">
        <f t="shared" si="25"/>
        <v>0</v>
      </c>
      <c r="K35" s="1221">
        <f t="shared" si="26"/>
        <v>0</v>
      </c>
      <c r="L35" s="1222">
        <f t="shared" si="27"/>
        <v>0</v>
      </c>
      <c r="M35" s="1222">
        <f t="shared" si="28"/>
        <v>0</v>
      </c>
      <c r="N35" s="1222">
        <f t="shared" si="29"/>
        <v>0</v>
      </c>
      <c r="O35" s="1222">
        <f t="shared" si="30"/>
        <v>0</v>
      </c>
      <c r="P35" s="1223">
        <f>SUMIFS(TF_SOTIEN,TF_THANG,P$1,TF_KM,$E35,TF_DA,$C35)/1000</f>
        <v>0</v>
      </c>
      <c r="Q35" s="1223">
        <f>SUMIFS(TF_SOTIEN,TF_THANG,Q$1,TF_KM,$E35,TF_DA,$C35)/1000</f>
        <v>0</v>
      </c>
      <c r="R35" s="1223">
        <f>SUMIFS(TF_SOTIEN,TF_THANG,R$1,TF_KM,$E35,TF_DA,$C35)/1000</f>
        <v>0</v>
      </c>
      <c r="S35" s="1223">
        <f>SUMIFS(TF_SOTIEN,TF_THANG,S$1,TF_KM,$E35,TF_DA,$C35)/1000</f>
        <v>0</v>
      </c>
      <c r="T35" s="1223">
        <f>SUMIFS(TF_SOTIEN,TF_THANG,T$1,TF_KM,$E35,TF_DA,$C35)/1000</f>
        <v>0</v>
      </c>
      <c r="U35" s="1223">
        <f>SUMIFS(TF_SOTIEN,TF_THANG,U$1,TF_KM,$E35,TF_DA,$C35)/1000</f>
        <v>0</v>
      </c>
      <c r="V35" s="1223">
        <f>SUMIFS(TF_SOTIEN,TF_THANG,V$1,TF_KM,$E35,TF_DA,$C35)/1000</f>
        <v>0</v>
      </c>
      <c r="W35" s="1223">
        <f>SUMIFS(TF_SOTIEN,TF_THANG,W$1,TF_KM,$E35,TF_DA,$C35)/1000</f>
        <v>0</v>
      </c>
      <c r="X35" s="1223">
        <f>SUMIFS(TF_SOTIEN,TF_THANG,X$1,TF_KM,$E35,TF_DA,$C35)/1000</f>
        <v>0</v>
      </c>
      <c r="Y35" s="1223">
        <f>SUMIFS(TF_SOTIEN,TF_THANG,Y$1,TF_KM,$E35,TF_DA,$C35)/1000</f>
        <v>0</v>
      </c>
      <c r="Z35" s="1223">
        <f>SUMIFS(TF_SOTIEN,TF_THANG,Z$1,TF_KM,$E35,TF_DA,$C35)/1000</f>
        <v>0</v>
      </c>
      <c r="AA35" s="1223">
        <f>SUMIFS(TF_SOTIEN,TF_THANG,AA$1,TF_KM,$E35,TF_DA,$C35)/1000</f>
        <v>0</v>
      </c>
    </row>
    <row r="36">
      <c r="A36" s="1215">
        <f t="shared" si="22"/>
        <v>10</v>
      </c>
      <c r="B36" s="1216"/>
      <c r="C36" s="1087" t="s">
        <v>2074</v>
      </c>
      <c r="D36" s="1216" t="str">
        <f>VLOOKUP(C36,DM_DUAN,2,0)</f>
        <v>HOÀNG CÁT</v>
      </c>
      <c r="E36" s="1217" t="s">
        <v>2239</v>
      </c>
      <c r="F36" s="1218">
        <v>632.0</v>
      </c>
      <c r="G36" s="1227">
        <v>2.0</v>
      </c>
      <c r="H36" s="1219">
        <f t="shared" si="23"/>
        <v>0</v>
      </c>
      <c r="I36" s="1220" t="str">
        <f t="shared" si="24"/>
        <v/>
      </c>
      <c r="J36" s="1221">
        <f t="shared" si="25"/>
        <v>0</v>
      </c>
      <c r="K36" s="1221">
        <f t="shared" si="26"/>
        <v>0</v>
      </c>
      <c r="L36" s="1222">
        <f t="shared" si="27"/>
        <v>0</v>
      </c>
      <c r="M36" s="1222">
        <f t="shared" si="28"/>
        <v>0</v>
      </c>
      <c r="N36" s="1222">
        <f t="shared" si="29"/>
        <v>0</v>
      </c>
      <c r="O36" s="1222">
        <f t="shared" si="30"/>
        <v>0</v>
      </c>
      <c r="P36" s="1223">
        <f>SUMIFS(TF_SOTIEN,TF_THANG,P$1,TF_KM,$E36,TF_DA,$C36)/1000</f>
        <v>0</v>
      </c>
      <c r="Q36" s="1223">
        <f>SUMIFS(TF_SOTIEN,TF_THANG,Q$1,TF_KM,$E36,TF_DA,$C36)/1000</f>
        <v>0</v>
      </c>
      <c r="R36" s="1223">
        <f>SUMIFS(TF_SOTIEN,TF_THANG,R$1,TF_KM,$E36,TF_DA,$C36)/1000</f>
        <v>0</v>
      </c>
      <c r="S36" s="1223">
        <f>SUMIFS(TF_SOTIEN,TF_THANG,S$1,TF_KM,$E36,TF_DA,$C36)/1000</f>
        <v>0</v>
      </c>
      <c r="T36" s="1223">
        <f>SUMIFS(TF_SOTIEN,TF_THANG,T$1,TF_KM,$E36,TF_DA,$C36)/1000</f>
        <v>0</v>
      </c>
      <c r="U36" s="1223">
        <f>SUMIFS(TF_SOTIEN,TF_THANG,U$1,TF_KM,$E36,TF_DA,$C36)/1000</f>
        <v>0</v>
      </c>
      <c r="V36" s="1223">
        <f>SUMIFS(TF_SOTIEN,TF_THANG,V$1,TF_KM,$E36,TF_DA,$C36)/1000</f>
        <v>0</v>
      </c>
      <c r="W36" s="1223">
        <f>SUMIFS(TF_SOTIEN,TF_THANG,W$1,TF_KM,$E36,TF_DA,$C36)/1000</f>
        <v>0</v>
      </c>
      <c r="X36" s="1223">
        <f>SUMIFS(TF_SOTIEN,TF_THANG,X$1,TF_KM,$E36,TF_DA,$C36)/1000</f>
        <v>0</v>
      </c>
      <c r="Y36" s="1223">
        <f>SUMIFS(TF_SOTIEN,TF_THANG,Y$1,TF_KM,$E36,TF_DA,$C36)/1000</f>
        <v>0</v>
      </c>
      <c r="Z36" s="1223">
        <f>SUMIFS(TF_SOTIEN,TF_THANG,Z$1,TF_KM,$E36,TF_DA,$C36)/1000</f>
        <v>0</v>
      </c>
      <c r="AA36" s="1223">
        <f>SUMIFS(TF_SOTIEN,TF_THANG,AA$1,TF_KM,$E36,TF_DA,$C36)/1000</f>
        <v>0</v>
      </c>
    </row>
    <row r="37">
      <c r="A37" s="1215">
        <f t="shared" si="22"/>
        <v>11</v>
      </c>
      <c r="B37" s="1216"/>
      <c r="C37" s="656" t="s">
        <v>530</v>
      </c>
      <c r="D37" s="1216" t="str">
        <f>VLOOKUP(C37,DM_DUAN,2,0)</f>
        <v>Nhà vườn sinh thái</v>
      </c>
      <c r="E37" s="1217" t="s">
        <v>2239</v>
      </c>
      <c r="F37" s="1218">
        <v>632.0</v>
      </c>
      <c r="G37" s="1227">
        <v>2.0</v>
      </c>
      <c r="H37" s="1219">
        <f t="shared" si="23"/>
        <v>0</v>
      </c>
      <c r="I37" s="1220" t="str">
        <f t="shared" si="24"/>
        <v/>
      </c>
      <c r="J37" s="1221">
        <f t="shared" si="25"/>
        <v>0</v>
      </c>
      <c r="K37" s="1221">
        <f t="shared" si="26"/>
        <v>0</v>
      </c>
      <c r="L37" s="1222">
        <f t="shared" si="27"/>
        <v>0</v>
      </c>
      <c r="M37" s="1222">
        <f t="shared" si="28"/>
        <v>0</v>
      </c>
      <c r="N37" s="1222">
        <f t="shared" si="29"/>
        <v>0</v>
      </c>
      <c r="O37" s="1222">
        <f t="shared" si="30"/>
        <v>0</v>
      </c>
      <c r="P37" s="1223">
        <f>SUMIFS(TF_SOTIEN,TF_THANG,P$1,TF_KM,$E37,TF_DA,$C37)/1000</f>
        <v>0</v>
      </c>
      <c r="Q37" s="1223">
        <f>SUMIFS(TF_SOTIEN,TF_THANG,Q$1,TF_KM,$E37,TF_DA,$C37)/1000</f>
        <v>0</v>
      </c>
      <c r="R37" s="1223">
        <f>SUMIFS(TF_SOTIEN,TF_THANG,R$1,TF_KM,$E37,TF_DA,$C37)/1000</f>
        <v>0</v>
      </c>
      <c r="S37" s="1223">
        <f>SUMIFS(TF_SOTIEN,TF_THANG,S$1,TF_KM,$E37,TF_DA,$C37)/1000</f>
        <v>0</v>
      </c>
      <c r="T37" s="1223">
        <f>SUMIFS(TF_SOTIEN,TF_THANG,T$1,TF_KM,$E37,TF_DA,$C37)/1000</f>
        <v>0</v>
      </c>
      <c r="U37" s="1223">
        <f>SUMIFS(TF_SOTIEN,TF_THANG,U$1,TF_KM,$E37,TF_DA,$C37)/1000</f>
        <v>0</v>
      </c>
      <c r="V37" s="1223">
        <f>SUMIFS(TF_SOTIEN,TF_THANG,V$1,TF_KM,$E37,TF_DA,$C37)/1000</f>
        <v>0</v>
      </c>
      <c r="W37" s="1223">
        <f>SUMIFS(TF_SOTIEN,TF_THANG,W$1,TF_KM,$E37,TF_DA,$C37)/1000</f>
        <v>0</v>
      </c>
      <c r="X37" s="1223">
        <f>SUMIFS(TF_SOTIEN,TF_THANG,X$1,TF_KM,$E37,TF_DA,$C37)/1000</f>
        <v>0</v>
      </c>
      <c r="Y37" s="1223">
        <f>SUMIFS(TF_SOTIEN,TF_THANG,Y$1,TF_KM,$E37,TF_DA,$C37)/1000</f>
        <v>0</v>
      </c>
      <c r="Z37" s="1223">
        <f>SUMIFS(TF_SOTIEN,TF_THANG,Z$1,TF_KM,$E37,TF_DA,$C37)/1000</f>
        <v>0</v>
      </c>
      <c r="AA37" s="1223">
        <f>SUMIFS(TF_SOTIEN,TF_THANG,AA$1,TF_KM,$E37,TF_DA,$C37)/1000</f>
        <v>0</v>
      </c>
    </row>
    <row r="38">
      <c r="A38" s="1283" t="s">
        <v>2911</v>
      </c>
      <c r="B38" s="1237"/>
      <c r="C38" s="1237"/>
      <c r="D38" s="1238"/>
      <c r="E38" s="1239"/>
      <c r="F38" s="1238"/>
      <c r="G38" s="1238"/>
      <c r="H38" s="1240">
        <f>SUM(H39:H48)</f>
        <v>1070999980</v>
      </c>
      <c r="I38" s="1241">
        <f>IF(H$2=0,"",H38/H$2)</f>
        <v>1</v>
      </c>
      <c r="J38" s="1240">
        <f t="shared" ref="J38:AA38" si="31">SUM(J39:J48)</f>
        <v>31000000</v>
      </c>
      <c r="K38" s="1240">
        <f t="shared" si="31"/>
        <v>1039999980</v>
      </c>
      <c r="L38" s="1240">
        <f t="shared" si="31"/>
        <v>31000000</v>
      </c>
      <c r="M38" s="1240">
        <f t="shared" si="31"/>
        <v>0</v>
      </c>
      <c r="N38" s="1240">
        <f t="shared" si="31"/>
        <v>519999990</v>
      </c>
      <c r="O38" s="1240">
        <f t="shared" si="31"/>
        <v>519999990</v>
      </c>
      <c r="P38" s="1240">
        <f t="shared" si="31"/>
        <v>1000000</v>
      </c>
      <c r="Q38" s="1240">
        <f t="shared" si="31"/>
        <v>0</v>
      </c>
      <c r="R38" s="1240">
        <f t="shared" si="31"/>
        <v>30000000</v>
      </c>
      <c r="S38" s="1240">
        <f t="shared" si="31"/>
        <v>0</v>
      </c>
      <c r="T38" s="1240">
        <f t="shared" si="31"/>
        <v>0</v>
      </c>
      <c r="U38" s="1240">
        <f t="shared" si="31"/>
        <v>0</v>
      </c>
      <c r="V38" s="1240">
        <f t="shared" si="31"/>
        <v>173333330</v>
      </c>
      <c r="W38" s="1240">
        <f t="shared" si="31"/>
        <v>173333330</v>
      </c>
      <c r="X38" s="1240">
        <f t="shared" si="31"/>
        <v>173333330</v>
      </c>
      <c r="Y38" s="1240">
        <f t="shared" si="31"/>
        <v>173333330</v>
      </c>
      <c r="Z38" s="1240">
        <f t="shared" si="31"/>
        <v>173333330</v>
      </c>
      <c r="AA38" s="1240">
        <f t="shared" si="31"/>
        <v>173333330</v>
      </c>
    </row>
    <row r="39">
      <c r="A39" s="1215">
        <f t="shared" ref="A39:A49" si="33">IF(C39="","",COUNTA(D$39:D39))</f>
        <v>1</v>
      </c>
      <c r="B39" s="1216"/>
      <c r="C39" s="1087" t="s">
        <v>215</v>
      </c>
      <c r="D39" s="1216" t="str">
        <f>VLOOKUP(C39,DM_DUAN,2,0)</f>
        <v>Phước Đông Garden</v>
      </c>
      <c r="E39" s="1217"/>
      <c r="F39" s="1216"/>
      <c r="G39" s="1218">
        <v>2.0</v>
      </c>
      <c r="H39" s="1219">
        <f t="shared" ref="H39:H49" si="34">SUM(J39:K39)</f>
        <v>79999998</v>
      </c>
      <c r="I39" s="1220">
        <f t="shared" ref="I39:I98" si="35">IF(H$38=0,"",H39/H$38)</f>
        <v>0.07469654481</v>
      </c>
      <c r="J39" s="1221">
        <f t="shared" ref="J39:J49" si="36">SUM(L39:M39)</f>
        <v>0</v>
      </c>
      <c r="K39" s="1221">
        <f t="shared" ref="K39:K49" si="37">SUM(N39:O39)</f>
        <v>79999998</v>
      </c>
      <c r="L39" s="1222">
        <f t="shared" ref="L39:L49" si="38">SUM(P39:R39)</f>
        <v>0</v>
      </c>
      <c r="M39" s="1222">
        <f t="shared" ref="M39:M49" si="39">SUM(S39:U39)</f>
        <v>0</v>
      </c>
      <c r="N39" s="1222">
        <f t="shared" ref="N39:N49" si="40">SUM(V39:X39)</f>
        <v>39999999</v>
      </c>
      <c r="O39" s="1222">
        <f t="shared" ref="O39:O49" si="41">SUM(Y39:AA39)</f>
        <v>39999999</v>
      </c>
      <c r="P39" s="1223">
        <f t="shared" ref="P39:AA39" si="32">SUMIF($C$3:$C$13,$C39,P$3:P$13)-SUMIF($C$27:$C$37,$C39,P$27:P$37)</f>
        <v>0</v>
      </c>
      <c r="Q39" s="1223">
        <f t="shared" si="32"/>
        <v>0</v>
      </c>
      <c r="R39" s="1223">
        <f t="shared" si="32"/>
        <v>0</v>
      </c>
      <c r="S39" s="1223">
        <f t="shared" si="32"/>
        <v>0</v>
      </c>
      <c r="T39" s="1223">
        <f t="shared" si="32"/>
        <v>0</v>
      </c>
      <c r="U39" s="1223">
        <f t="shared" si="32"/>
        <v>0</v>
      </c>
      <c r="V39" s="1223">
        <f t="shared" si="32"/>
        <v>13333333</v>
      </c>
      <c r="W39" s="1223">
        <f t="shared" si="32"/>
        <v>13333333</v>
      </c>
      <c r="X39" s="1223">
        <f t="shared" si="32"/>
        <v>13333333</v>
      </c>
      <c r="Y39" s="1223">
        <f t="shared" si="32"/>
        <v>13333333</v>
      </c>
      <c r="Z39" s="1223">
        <f t="shared" si="32"/>
        <v>13333333</v>
      </c>
      <c r="AA39" s="1223">
        <f t="shared" si="32"/>
        <v>13333333</v>
      </c>
    </row>
    <row r="40">
      <c r="A40" s="1215">
        <f t="shared" si="33"/>
        <v>2</v>
      </c>
      <c r="B40" s="1216"/>
      <c r="C40" s="1087" t="s">
        <v>404</v>
      </c>
      <c r="D40" s="1216" t="str">
        <f>VLOOKUP(C40,DM_DUAN,2,0)</f>
        <v>Hamil ton Garden</v>
      </c>
      <c r="E40" s="1217"/>
      <c r="F40" s="1216"/>
      <c r="G40" s="1218">
        <v>2.0</v>
      </c>
      <c r="H40" s="1219">
        <f t="shared" si="34"/>
        <v>39999996</v>
      </c>
      <c r="I40" s="1220">
        <f t="shared" si="35"/>
        <v>0.03734826961</v>
      </c>
      <c r="J40" s="1221">
        <f t="shared" si="36"/>
        <v>0</v>
      </c>
      <c r="K40" s="1221">
        <f t="shared" si="37"/>
        <v>39999996</v>
      </c>
      <c r="L40" s="1222">
        <f t="shared" si="38"/>
        <v>0</v>
      </c>
      <c r="M40" s="1222">
        <f t="shared" si="39"/>
        <v>0</v>
      </c>
      <c r="N40" s="1222">
        <f t="shared" si="40"/>
        <v>19999998</v>
      </c>
      <c r="O40" s="1222">
        <f t="shared" si="41"/>
        <v>19999998</v>
      </c>
      <c r="P40" s="1223">
        <f t="shared" ref="P40:AA40" si="42">SUMIF($C$3:$C$13,$C40,P$3:P$13)-SUMIF($C$27:$C$37,$C40,P$27:P$37)</f>
        <v>0</v>
      </c>
      <c r="Q40" s="1223">
        <f t="shared" si="42"/>
        <v>0</v>
      </c>
      <c r="R40" s="1223">
        <f t="shared" si="42"/>
        <v>0</v>
      </c>
      <c r="S40" s="1223">
        <f t="shared" si="42"/>
        <v>0</v>
      </c>
      <c r="T40" s="1223">
        <f t="shared" si="42"/>
        <v>0</v>
      </c>
      <c r="U40" s="1223">
        <f t="shared" si="42"/>
        <v>0</v>
      </c>
      <c r="V40" s="1223">
        <f t="shared" si="42"/>
        <v>6666666</v>
      </c>
      <c r="W40" s="1223">
        <f t="shared" si="42"/>
        <v>6666666</v>
      </c>
      <c r="X40" s="1223">
        <f t="shared" si="42"/>
        <v>6666666</v>
      </c>
      <c r="Y40" s="1223">
        <f t="shared" si="42"/>
        <v>6666666</v>
      </c>
      <c r="Z40" s="1223">
        <f t="shared" si="42"/>
        <v>6666666</v>
      </c>
      <c r="AA40" s="1223">
        <f t="shared" si="42"/>
        <v>6666666</v>
      </c>
    </row>
    <row r="41">
      <c r="A41" s="1215">
        <f t="shared" si="33"/>
        <v>3</v>
      </c>
      <c r="B41" s="1216"/>
      <c r="C41" s="1087" t="s">
        <v>533</v>
      </c>
      <c r="D41" s="1216" t="str">
        <f>VLOOKUP(C41,DM_DUAN,2,0)</f>
        <v>The sol city</v>
      </c>
      <c r="E41" s="1217"/>
      <c r="F41" s="1216"/>
      <c r="G41" s="1218">
        <v>2.0</v>
      </c>
      <c r="H41" s="1219">
        <f t="shared" si="34"/>
        <v>0</v>
      </c>
      <c r="I41" s="1220">
        <f t="shared" si="35"/>
        <v>0</v>
      </c>
      <c r="J41" s="1221">
        <f t="shared" si="36"/>
        <v>0</v>
      </c>
      <c r="K41" s="1221">
        <f t="shared" si="37"/>
        <v>0</v>
      </c>
      <c r="L41" s="1222">
        <f t="shared" si="38"/>
        <v>0</v>
      </c>
      <c r="M41" s="1222">
        <f t="shared" si="39"/>
        <v>0</v>
      </c>
      <c r="N41" s="1222">
        <f t="shared" si="40"/>
        <v>0</v>
      </c>
      <c r="O41" s="1222">
        <f t="shared" si="41"/>
        <v>0</v>
      </c>
      <c r="P41" s="1223">
        <f t="shared" ref="P41:AA41" si="43">SUMIF($C$3:$C$13,$C41,P$3:P$13)-SUMIF($C$27:$C$37,$C41,P$27:P$37)</f>
        <v>0</v>
      </c>
      <c r="Q41" s="1223">
        <f t="shared" si="43"/>
        <v>0</v>
      </c>
      <c r="R41" s="1223">
        <f t="shared" si="43"/>
        <v>0</v>
      </c>
      <c r="S41" s="1223">
        <f t="shared" si="43"/>
        <v>0</v>
      </c>
      <c r="T41" s="1223">
        <f t="shared" si="43"/>
        <v>0</v>
      </c>
      <c r="U41" s="1223">
        <f t="shared" si="43"/>
        <v>0</v>
      </c>
      <c r="V41" s="1223">
        <f t="shared" si="43"/>
        <v>0</v>
      </c>
      <c r="W41" s="1223">
        <f t="shared" si="43"/>
        <v>0</v>
      </c>
      <c r="X41" s="1223">
        <f t="shared" si="43"/>
        <v>0</v>
      </c>
      <c r="Y41" s="1223">
        <f t="shared" si="43"/>
        <v>0</v>
      </c>
      <c r="Z41" s="1223">
        <f t="shared" si="43"/>
        <v>0</v>
      </c>
      <c r="AA41" s="1223">
        <f t="shared" si="43"/>
        <v>0</v>
      </c>
    </row>
    <row r="42">
      <c r="A42" s="1215">
        <f t="shared" si="33"/>
        <v>4</v>
      </c>
      <c r="B42" s="1216"/>
      <c r="C42" s="1087" t="s">
        <v>175</v>
      </c>
      <c r="D42" s="1216" t="str">
        <f>VLOOKUP(C42,DM_DUAN,2,0)</f>
        <v>Phước hội Hồ Tràm</v>
      </c>
      <c r="E42" s="1217"/>
      <c r="F42" s="1216"/>
      <c r="G42" s="1218">
        <v>2.0</v>
      </c>
      <c r="H42" s="1219">
        <f t="shared" si="34"/>
        <v>110999998</v>
      </c>
      <c r="I42" s="1220">
        <f t="shared" si="35"/>
        <v>0.1036414567</v>
      </c>
      <c r="J42" s="1221">
        <f t="shared" si="36"/>
        <v>31000000</v>
      </c>
      <c r="K42" s="1221">
        <f t="shared" si="37"/>
        <v>79999998</v>
      </c>
      <c r="L42" s="1222">
        <f t="shared" si="38"/>
        <v>31000000</v>
      </c>
      <c r="M42" s="1222">
        <f t="shared" si="39"/>
        <v>0</v>
      </c>
      <c r="N42" s="1222">
        <f t="shared" si="40"/>
        <v>39999999</v>
      </c>
      <c r="O42" s="1222">
        <f t="shared" si="41"/>
        <v>39999999</v>
      </c>
      <c r="P42" s="1223">
        <f t="shared" ref="P42:AA42" si="44">SUMIF($C$3:$C$13,$C42,P$3:P$13)-SUMIF($C$27:$C$37,$C42,P$27:P$37)</f>
        <v>1000000</v>
      </c>
      <c r="Q42" s="1223">
        <f t="shared" si="44"/>
        <v>0</v>
      </c>
      <c r="R42" s="1223">
        <f t="shared" si="44"/>
        <v>30000000</v>
      </c>
      <c r="S42" s="1223">
        <f t="shared" si="44"/>
        <v>0</v>
      </c>
      <c r="T42" s="1223">
        <f t="shared" si="44"/>
        <v>0</v>
      </c>
      <c r="U42" s="1223">
        <f t="shared" si="44"/>
        <v>0</v>
      </c>
      <c r="V42" s="1223">
        <f t="shared" si="44"/>
        <v>13333333</v>
      </c>
      <c r="W42" s="1223">
        <f t="shared" si="44"/>
        <v>13333333</v>
      </c>
      <c r="X42" s="1223">
        <f t="shared" si="44"/>
        <v>13333333</v>
      </c>
      <c r="Y42" s="1223">
        <f t="shared" si="44"/>
        <v>13333333</v>
      </c>
      <c r="Z42" s="1223">
        <f t="shared" si="44"/>
        <v>13333333</v>
      </c>
      <c r="AA42" s="1223">
        <f t="shared" si="44"/>
        <v>13333333</v>
      </c>
    </row>
    <row r="43">
      <c r="A43" s="1215">
        <f t="shared" si="33"/>
        <v>5</v>
      </c>
      <c r="B43" s="1216"/>
      <c r="C43" s="1087" t="s">
        <v>2067</v>
      </c>
      <c r="D43" s="1216" t="str">
        <f>VLOOKUP(C43,DM_DUAN,2,0)</f>
        <v>NAM PHONG</v>
      </c>
      <c r="E43" s="1217"/>
      <c r="F43" s="1216"/>
      <c r="G43" s="1218">
        <v>2.0</v>
      </c>
      <c r="H43" s="1219">
        <f t="shared" si="34"/>
        <v>240000000</v>
      </c>
      <c r="I43" s="1220">
        <f t="shared" si="35"/>
        <v>0.22408964</v>
      </c>
      <c r="J43" s="1221">
        <f t="shared" si="36"/>
        <v>0</v>
      </c>
      <c r="K43" s="1221">
        <f t="shared" si="37"/>
        <v>240000000</v>
      </c>
      <c r="L43" s="1222">
        <f t="shared" si="38"/>
        <v>0</v>
      </c>
      <c r="M43" s="1222">
        <f t="shared" si="39"/>
        <v>0</v>
      </c>
      <c r="N43" s="1222">
        <f t="shared" si="40"/>
        <v>120000000</v>
      </c>
      <c r="O43" s="1222">
        <f t="shared" si="41"/>
        <v>120000000</v>
      </c>
      <c r="P43" s="1223">
        <f t="shared" ref="P43:AA43" si="45">SUMIF($C$3:$C$13,$C43,P$3:P$13)-SUMIF($C$27:$C$37,$C43,P$27:P$37)</f>
        <v>0</v>
      </c>
      <c r="Q43" s="1223">
        <f t="shared" si="45"/>
        <v>0</v>
      </c>
      <c r="R43" s="1223">
        <f t="shared" si="45"/>
        <v>0</v>
      </c>
      <c r="S43" s="1223">
        <f t="shared" si="45"/>
        <v>0</v>
      </c>
      <c r="T43" s="1223">
        <f t="shared" si="45"/>
        <v>0</v>
      </c>
      <c r="U43" s="1223">
        <f t="shared" si="45"/>
        <v>0</v>
      </c>
      <c r="V43" s="1223">
        <f t="shared" si="45"/>
        <v>40000000</v>
      </c>
      <c r="W43" s="1223">
        <f t="shared" si="45"/>
        <v>40000000</v>
      </c>
      <c r="X43" s="1223">
        <f t="shared" si="45"/>
        <v>40000000</v>
      </c>
      <c r="Y43" s="1223">
        <f t="shared" si="45"/>
        <v>40000000</v>
      </c>
      <c r="Z43" s="1223">
        <f t="shared" si="45"/>
        <v>40000000</v>
      </c>
      <c r="AA43" s="1223">
        <f t="shared" si="45"/>
        <v>40000000</v>
      </c>
    </row>
    <row r="44">
      <c r="A44" s="1215">
        <f t="shared" si="33"/>
        <v>6</v>
      </c>
      <c r="B44" s="1216"/>
      <c r="C44" s="1087" t="s">
        <v>2069</v>
      </c>
      <c r="D44" s="1216" t="str">
        <f>VLOOKUP(C44,DM_DUAN,2,0)</f>
        <v>#N/A</v>
      </c>
      <c r="E44" s="1217"/>
      <c r="F44" s="1216"/>
      <c r="G44" s="1218">
        <v>2.0</v>
      </c>
      <c r="H44" s="1219">
        <f t="shared" si="34"/>
        <v>0</v>
      </c>
      <c r="I44" s="1220">
        <f t="shared" si="35"/>
        <v>0</v>
      </c>
      <c r="J44" s="1221">
        <f t="shared" si="36"/>
        <v>0</v>
      </c>
      <c r="K44" s="1221">
        <f t="shared" si="37"/>
        <v>0</v>
      </c>
      <c r="L44" s="1222">
        <f t="shared" si="38"/>
        <v>0</v>
      </c>
      <c r="M44" s="1222">
        <f t="shared" si="39"/>
        <v>0</v>
      </c>
      <c r="N44" s="1222">
        <f t="shared" si="40"/>
        <v>0</v>
      </c>
      <c r="O44" s="1222">
        <f t="shared" si="41"/>
        <v>0</v>
      </c>
      <c r="P44" s="1223">
        <f t="shared" ref="P44:AA44" si="46">SUMIF($C$3:$C$13,$C44,P$3:P$13)-SUMIF($C$27:$C$37,$C44,P$27:P$37)</f>
        <v>0</v>
      </c>
      <c r="Q44" s="1223">
        <f t="shared" si="46"/>
        <v>0</v>
      </c>
      <c r="R44" s="1223">
        <f t="shared" si="46"/>
        <v>0</v>
      </c>
      <c r="S44" s="1223">
        <f t="shared" si="46"/>
        <v>0</v>
      </c>
      <c r="T44" s="1223">
        <f t="shared" si="46"/>
        <v>0</v>
      </c>
      <c r="U44" s="1223">
        <f t="shared" si="46"/>
        <v>0</v>
      </c>
      <c r="V44" s="1223">
        <f t="shared" si="46"/>
        <v>0</v>
      </c>
      <c r="W44" s="1223">
        <f t="shared" si="46"/>
        <v>0</v>
      </c>
      <c r="X44" s="1223">
        <f t="shared" si="46"/>
        <v>0</v>
      </c>
      <c r="Y44" s="1223">
        <f t="shared" si="46"/>
        <v>0</v>
      </c>
      <c r="Z44" s="1223">
        <f t="shared" si="46"/>
        <v>0</v>
      </c>
      <c r="AA44" s="1223">
        <f t="shared" si="46"/>
        <v>0</v>
      </c>
    </row>
    <row r="45">
      <c r="A45" s="1215">
        <f t="shared" si="33"/>
        <v>7</v>
      </c>
      <c r="B45" s="1216"/>
      <c r="C45" s="1087" t="s">
        <v>2070</v>
      </c>
      <c r="D45" s="1216" t="str">
        <f>VLOOKUP(C45,DM_DUAN,2,0)</f>
        <v>KHANG VƯỢNG</v>
      </c>
      <c r="E45" s="1217"/>
      <c r="F45" s="1216"/>
      <c r="G45" s="1218">
        <v>2.0</v>
      </c>
      <c r="H45" s="1219">
        <f t="shared" si="34"/>
        <v>39999996</v>
      </c>
      <c r="I45" s="1220">
        <f t="shared" si="35"/>
        <v>0.03734826961</v>
      </c>
      <c r="J45" s="1221">
        <f t="shared" si="36"/>
        <v>0</v>
      </c>
      <c r="K45" s="1221">
        <f t="shared" si="37"/>
        <v>39999996</v>
      </c>
      <c r="L45" s="1222">
        <f t="shared" si="38"/>
        <v>0</v>
      </c>
      <c r="M45" s="1222">
        <f t="shared" si="39"/>
        <v>0</v>
      </c>
      <c r="N45" s="1222">
        <f t="shared" si="40"/>
        <v>19999998</v>
      </c>
      <c r="O45" s="1222">
        <f t="shared" si="41"/>
        <v>19999998</v>
      </c>
      <c r="P45" s="1223">
        <f t="shared" ref="P45:AA45" si="47">SUMIF($C$3:$C$13,$C45,P$3:P$13)-SUMIF($C$27:$C$37,$C45,P$27:P$37)</f>
        <v>0</v>
      </c>
      <c r="Q45" s="1223">
        <f t="shared" si="47"/>
        <v>0</v>
      </c>
      <c r="R45" s="1223">
        <f t="shared" si="47"/>
        <v>0</v>
      </c>
      <c r="S45" s="1223">
        <f t="shared" si="47"/>
        <v>0</v>
      </c>
      <c r="T45" s="1223">
        <f t="shared" si="47"/>
        <v>0</v>
      </c>
      <c r="U45" s="1223">
        <f t="shared" si="47"/>
        <v>0</v>
      </c>
      <c r="V45" s="1223">
        <f t="shared" si="47"/>
        <v>6666666</v>
      </c>
      <c r="W45" s="1223">
        <f t="shared" si="47"/>
        <v>6666666</v>
      </c>
      <c r="X45" s="1223">
        <f t="shared" si="47"/>
        <v>6666666</v>
      </c>
      <c r="Y45" s="1223">
        <f t="shared" si="47"/>
        <v>6666666</v>
      </c>
      <c r="Z45" s="1223">
        <f t="shared" si="47"/>
        <v>6666666</v>
      </c>
      <c r="AA45" s="1223">
        <f t="shared" si="47"/>
        <v>6666666</v>
      </c>
    </row>
    <row r="46">
      <c r="A46" s="1215">
        <f t="shared" si="33"/>
        <v>8</v>
      </c>
      <c r="B46" s="1216"/>
      <c r="C46" s="1087" t="s">
        <v>2072</v>
      </c>
      <c r="D46" s="1216" t="str">
        <f>VLOOKUP(C46,DM_DUAN,2,0)</f>
        <v>TRẦN ANH GROUP</v>
      </c>
      <c r="E46" s="1217"/>
      <c r="F46" s="1216"/>
      <c r="G46" s="1218">
        <v>2.0</v>
      </c>
      <c r="H46" s="1219">
        <f t="shared" si="34"/>
        <v>79999998</v>
      </c>
      <c r="I46" s="1220">
        <f t="shared" si="35"/>
        <v>0.07469654481</v>
      </c>
      <c r="J46" s="1221">
        <f t="shared" si="36"/>
        <v>0</v>
      </c>
      <c r="K46" s="1221">
        <f t="shared" si="37"/>
        <v>79999998</v>
      </c>
      <c r="L46" s="1222">
        <f t="shared" si="38"/>
        <v>0</v>
      </c>
      <c r="M46" s="1222">
        <f t="shared" si="39"/>
        <v>0</v>
      </c>
      <c r="N46" s="1222">
        <f t="shared" si="40"/>
        <v>39999999</v>
      </c>
      <c r="O46" s="1222">
        <f t="shared" si="41"/>
        <v>39999999</v>
      </c>
      <c r="P46" s="1223">
        <f t="shared" ref="P46:AA46" si="48">SUMIF($C$3:$C$13,$C46,P$3:P$13)-SUMIF($C$27:$C$37,$C46,P$27:P$37)</f>
        <v>0</v>
      </c>
      <c r="Q46" s="1223">
        <f t="shared" si="48"/>
        <v>0</v>
      </c>
      <c r="R46" s="1223">
        <f t="shared" si="48"/>
        <v>0</v>
      </c>
      <c r="S46" s="1223">
        <f t="shared" si="48"/>
        <v>0</v>
      </c>
      <c r="T46" s="1223">
        <f t="shared" si="48"/>
        <v>0</v>
      </c>
      <c r="U46" s="1223">
        <f t="shared" si="48"/>
        <v>0</v>
      </c>
      <c r="V46" s="1223">
        <f t="shared" si="48"/>
        <v>13333333</v>
      </c>
      <c r="W46" s="1223">
        <f t="shared" si="48"/>
        <v>13333333</v>
      </c>
      <c r="X46" s="1223">
        <f t="shared" si="48"/>
        <v>13333333</v>
      </c>
      <c r="Y46" s="1223">
        <f t="shared" si="48"/>
        <v>13333333</v>
      </c>
      <c r="Z46" s="1223">
        <f t="shared" si="48"/>
        <v>13333333</v>
      </c>
      <c r="AA46" s="1223">
        <f t="shared" si="48"/>
        <v>13333333</v>
      </c>
    </row>
    <row r="47">
      <c r="A47" s="1215">
        <f t="shared" si="33"/>
        <v>9</v>
      </c>
      <c r="B47" s="1216"/>
      <c r="C47" s="1087" t="s">
        <v>2073</v>
      </c>
      <c r="D47" s="1216" t="str">
        <f>VLOOKUP(C47,DM_DUAN,2,0)</f>
        <v>PHI TRƯỜNG</v>
      </c>
      <c r="E47" s="1217"/>
      <c r="F47" s="1216"/>
      <c r="G47" s="1218">
        <v>2.0</v>
      </c>
      <c r="H47" s="1219">
        <f t="shared" si="34"/>
        <v>319999998</v>
      </c>
      <c r="I47" s="1220">
        <f t="shared" si="35"/>
        <v>0.2987861849</v>
      </c>
      <c r="J47" s="1221">
        <f t="shared" si="36"/>
        <v>0</v>
      </c>
      <c r="K47" s="1221">
        <f t="shared" si="37"/>
        <v>319999998</v>
      </c>
      <c r="L47" s="1222">
        <f t="shared" si="38"/>
        <v>0</v>
      </c>
      <c r="M47" s="1222">
        <f t="shared" si="39"/>
        <v>0</v>
      </c>
      <c r="N47" s="1222">
        <f t="shared" si="40"/>
        <v>159999999</v>
      </c>
      <c r="O47" s="1222">
        <f t="shared" si="41"/>
        <v>159999999</v>
      </c>
      <c r="P47" s="1223">
        <f t="shared" ref="P47:AA47" si="49">SUMIF($C$3:$C$13,$C47,P$3:P$13)-SUMIF($C$27:$C$37,$C47,P$27:P$37)</f>
        <v>0</v>
      </c>
      <c r="Q47" s="1223">
        <f t="shared" si="49"/>
        <v>0</v>
      </c>
      <c r="R47" s="1223">
        <f t="shared" si="49"/>
        <v>0</v>
      </c>
      <c r="S47" s="1223">
        <f t="shared" si="49"/>
        <v>0</v>
      </c>
      <c r="T47" s="1223">
        <f t="shared" si="49"/>
        <v>0</v>
      </c>
      <c r="U47" s="1223">
        <f t="shared" si="49"/>
        <v>0</v>
      </c>
      <c r="V47" s="1223">
        <f t="shared" si="49"/>
        <v>53333333</v>
      </c>
      <c r="W47" s="1223">
        <f t="shared" si="49"/>
        <v>53333333</v>
      </c>
      <c r="X47" s="1223">
        <f t="shared" si="49"/>
        <v>53333333</v>
      </c>
      <c r="Y47" s="1223">
        <f t="shared" si="49"/>
        <v>53333333</v>
      </c>
      <c r="Z47" s="1223">
        <f t="shared" si="49"/>
        <v>53333333</v>
      </c>
      <c r="AA47" s="1223">
        <f t="shared" si="49"/>
        <v>53333333</v>
      </c>
    </row>
    <row r="48">
      <c r="A48" s="1215">
        <f t="shared" si="33"/>
        <v>10</v>
      </c>
      <c r="B48" s="1216"/>
      <c r="C48" s="1087" t="s">
        <v>2074</v>
      </c>
      <c r="D48" s="1216" t="str">
        <f>VLOOKUP(C48,DM_DUAN,2,0)</f>
        <v>HOÀNG CÁT</v>
      </c>
      <c r="E48" s="1217"/>
      <c r="F48" s="1216"/>
      <c r="G48" s="1227">
        <v>2.0</v>
      </c>
      <c r="H48" s="1219">
        <f t="shared" si="34"/>
        <v>159999996</v>
      </c>
      <c r="I48" s="1220">
        <f t="shared" si="35"/>
        <v>0.1493930896</v>
      </c>
      <c r="J48" s="1221">
        <f t="shared" si="36"/>
        <v>0</v>
      </c>
      <c r="K48" s="1221">
        <f t="shared" si="37"/>
        <v>159999996</v>
      </c>
      <c r="L48" s="1222">
        <f t="shared" si="38"/>
        <v>0</v>
      </c>
      <c r="M48" s="1222">
        <f t="shared" si="39"/>
        <v>0</v>
      </c>
      <c r="N48" s="1222">
        <f t="shared" si="40"/>
        <v>79999998</v>
      </c>
      <c r="O48" s="1222">
        <f t="shared" si="41"/>
        <v>79999998</v>
      </c>
      <c r="P48" s="1296">
        <f t="shared" ref="P48:AA48" si="50">SUMIF($C$3:$C$13,$C48,P$3:P$13)-SUMIF($C$27:$C$37,$C48,P$27:P$37)</f>
        <v>0</v>
      </c>
      <c r="Q48" s="1296">
        <f t="shared" si="50"/>
        <v>0</v>
      </c>
      <c r="R48" s="1296">
        <f t="shared" si="50"/>
        <v>0</v>
      </c>
      <c r="S48" s="1296">
        <f t="shared" si="50"/>
        <v>0</v>
      </c>
      <c r="T48" s="1296">
        <f t="shared" si="50"/>
        <v>0</v>
      </c>
      <c r="U48" s="1296">
        <f t="shared" si="50"/>
        <v>0</v>
      </c>
      <c r="V48" s="1296">
        <f t="shared" si="50"/>
        <v>26666666</v>
      </c>
      <c r="W48" s="1296">
        <f t="shared" si="50"/>
        <v>26666666</v>
      </c>
      <c r="X48" s="1296">
        <f t="shared" si="50"/>
        <v>26666666</v>
      </c>
      <c r="Y48" s="1296">
        <f t="shared" si="50"/>
        <v>26666666</v>
      </c>
      <c r="Z48" s="1296">
        <f t="shared" si="50"/>
        <v>26666666</v>
      </c>
      <c r="AA48" s="1296">
        <f t="shared" si="50"/>
        <v>26666666</v>
      </c>
    </row>
    <row r="49">
      <c r="A49" s="1242">
        <f t="shared" si="33"/>
        <v>11</v>
      </c>
      <c r="B49" s="717"/>
      <c r="C49" s="656" t="s">
        <v>530</v>
      </c>
      <c r="D49" s="1297" t="str">
        <f>VLOOKUP(C49,DM_DUAN,2,0)</f>
        <v>Nhà vườn sinh thái</v>
      </c>
      <c r="E49" s="1243"/>
      <c r="F49" s="717"/>
      <c r="G49" s="1244">
        <v>2.0</v>
      </c>
      <c r="H49" s="1219">
        <f t="shared" si="34"/>
        <v>10000000</v>
      </c>
      <c r="I49" s="1245">
        <f t="shared" si="35"/>
        <v>0.009337068335</v>
      </c>
      <c r="J49" s="1221">
        <f t="shared" si="36"/>
        <v>10000000</v>
      </c>
      <c r="K49" s="1221">
        <f t="shared" si="37"/>
        <v>0</v>
      </c>
      <c r="L49" s="1222">
        <f t="shared" si="38"/>
        <v>0</v>
      </c>
      <c r="M49" s="1222">
        <f t="shared" si="39"/>
        <v>10000000</v>
      </c>
      <c r="N49" s="1222">
        <f t="shared" si="40"/>
        <v>0</v>
      </c>
      <c r="O49" s="1222">
        <f t="shared" si="41"/>
        <v>0</v>
      </c>
      <c r="P49" s="1296">
        <f t="shared" ref="P49:AA49" si="51">SUMIF($C$3:$C$13,$C49,P$3:P$13)-SUMIF($C$27:$C$37,$C49,P$27:P$37)</f>
        <v>0</v>
      </c>
      <c r="Q49" s="1296">
        <f t="shared" si="51"/>
        <v>0</v>
      </c>
      <c r="R49" s="1296">
        <f t="shared" si="51"/>
        <v>0</v>
      </c>
      <c r="S49" s="1296">
        <f t="shared" si="51"/>
        <v>10000000</v>
      </c>
      <c r="T49" s="1296">
        <f t="shared" si="51"/>
        <v>0</v>
      </c>
      <c r="U49" s="1296">
        <f t="shared" si="51"/>
        <v>0</v>
      </c>
      <c r="V49" s="1296">
        <f t="shared" si="51"/>
        <v>0</v>
      </c>
      <c r="W49" s="1296">
        <f t="shared" si="51"/>
        <v>0</v>
      </c>
      <c r="X49" s="1296">
        <f t="shared" si="51"/>
        <v>0</v>
      </c>
      <c r="Y49" s="1296">
        <f t="shared" si="51"/>
        <v>0</v>
      </c>
      <c r="Z49" s="1296">
        <f t="shared" si="51"/>
        <v>0</v>
      </c>
      <c r="AA49" s="1296">
        <f t="shared" si="51"/>
        <v>0</v>
      </c>
    </row>
    <row r="50">
      <c r="A50" s="1246" t="s">
        <v>2825</v>
      </c>
      <c r="B50" s="1247"/>
      <c r="C50" s="1248"/>
      <c r="D50" s="1248"/>
      <c r="E50" s="1249" t="s">
        <v>2076</v>
      </c>
      <c r="F50" s="1248"/>
      <c r="G50" s="1250">
        <v>1.0</v>
      </c>
      <c r="H50" s="1251">
        <f t="shared" ref="H50:H51" si="52">SUMIF(#REF!,#REF!,$P50:$AA50)</f>
        <v>0</v>
      </c>
      <c r="I50" s="1252">
        <f t="shared" si="35"/>
        <v>0</v>
      </c>
      <c r="J50" s="1251"/>
      <c r="K50" s="1251"/>
      <c r="L50" s="1251"/>
      <c r="M50" s="1251"/>
      <c r="N50" s="1251"/>
      <c r="O50" s="1251"/>
      <c r="P50" s="1251">
        <f>SUMIFS(AC_SOTIEN,AC_KM,$E50,AC_THANG,P$1)</f>
        <v>0</v>
      </c>
      <c r="Q50" s="1251">
        <f>SUMIFS(AC_SOTIEN,AC_KM,$E50,AC_THANG,Q$1)</f>
        <v>0</v>
      </c>
      <c r="R50" s="1251">
        <f>SUMIFS(AC_SOTIEN,AC_KM,$E50,AC_THANG,R$1)</f>
        <v>0</v>
      </c>
      <c r="S50" s="1251">
        <f>SUMIFS(AC_SOTIEN,AC_KM,$E50,AC_THANG,S$1)</f>
        <v>0</v>
      </c>
      <c r="T50" s="1251">
        <f>SUMIFS(AC_SOTIEN,AC_KM,$E50,AC_THANG,T$1)</f>
        <v>0</v>
      </c>
      <c r="U50" s="1251">
        <f>SUMIFS(AC_SOTIEN,AC_KM,$E50,AC_THANG,U$1)</f>
        <v>0</v>
      </c>
      <c r="V50" s="1251">
        <f>SUMIFS(AC_SOTIEN,AC_KM,$E50,AC_THANG,V$1)</f>
        <v>0</v>
      </c>
      <c r="W50" s="1251">
        <f>SUMIFS(AC_SOTIEN,AC_KM,$E50,AC_THANG,W$1)</f>
        <v>0</v>
      </c>
      <c r="X50" s="1251">
        <f>SUMIFS(AC_SOTIEN,AC_KM,$E50,AC_THANG,X$1)</f>
        <v>0</v>
      </c>
      <c r="Y50" s="1251">
        <f>SUMIFS(AC_SOTIEN,AC_KM,$E50,AC_THANG,Y$1)</f>
        <v>0</v>
      </c>
      <c r="Z50" s="1251">
        <f>SUMIFS(AC_SOTIEN,AC_KM,$E50,AC_THANG,Z$1)</f>
        <v>0</v>
      </c>
      <c r="AA50" s="1251">
        <f>SUMIFS(AC_SOTIEN,AC_KM,$E50,AC_THANG,AA$1)</f>
        <v>0</v>
      </c>
    </row>
    <row r="51">
      <c r="A51" s="1246" t="s">
        <v>2826</v>
      </c>
      <c r="B51" s="1247"/>
      <c r="C51" s="1248"/>
      <c r="D51" s="1248"/>
      <c r="E51" s="1249" t="s">
        <v>2083</v>
      </c>
      <c r="F51" s="1248"/>
      <c r="G51" s="1250">
        <v>1.0</v>
      </c>
      <c r="H51" s="1251">
        <f t="shared" si="52"/>
        <v>0</v>
      </c>
      <c r="I51" s="1252">
        <f t="shared" si="35"/>
        <v>0</v>
      </c>
      <c r="J51" s="1251"/>
      <c r="K51" s="1251"/>
      <c r="L51" s="1251"/>
      <c r="M51" s="1251"/>
      <c r="N51" s="1251"/>
      <c r="O51" s="1251"/>
      <c r="P51" s="1251">
        <f>SUMIFS(AC_SOTIEN,AC_KM,$E51,AC_THANG,P$1)</f>
        <v>0</v>
      </c>
      <c r="Q51" s="1251">
        <f>SUMIFS(AC_SOTIEN,AC_KM,$E51,AC_THANG,Q$1)</f>
        <v>0</v>
      </c>
      <c r="R51" s="1251">
        <f>SUMIFS(AC_SOTIEN,AC_KM,$E51,AC_THANG,R$1)</f>
        <v>0</v>
      </c>
      <c r="S51" s="1251">
        <f>SUMIFS(AC_SOTIEN,AC_KM,$E51,AC_THANG,S$1)</f>
        <v>0</v>
      </c>
      <c r="T51" s="1251">
        <f>SUMIFS(AC_SOTIEN,AC_KM,$E51,AC_THANG,T$1)</f>
        <v>0</v>
      </c>
      <c r="U51" s="1251">
        <f>SUMIFS(AC_SOTIEN,AC_KM,$E51,AC_THANG,U$1)</f>
        <v>0</v>
      </c>
      <c r="V51" s="1251">
        <f>SUMIFS(AC_SOTIEN,AC_KM,$E51,AC_THANG,V$1)</f>
        <v>0</v>
      </c>
      <c r="W51" s="1251">
        <f>SUMIFS(AC_SOTIEN,AC_KM,$E51,AC_THANG,W$1)</f>
        <v>0</v>
      </c>
      <c r="X51" s="1251">
        <f>SUMIFS(AC_SOTIEN,AC_KM,$E51,AC_THANG,X$1)</f>
        <v>0</v>
      </c>
      <c r="Y51" s="1251">
        <f>SUMIFS(AC_SOTIEN,AC_KM,$E51,AC_THANG,Y$1)</f>
        <v>0</v>
      </c>
      <c r="Z51" s="1251">
        <f>SUMIFS(AC_SOTIEN,AC_KM,$E51,AC_THANG,Z$1)</f>
        <v>0</v>
      </c>
      <c r="AA51" s="1251">
        <f>SUMIFS(AC_SOTIEN,AC_KM,$E51,AC_THANG,AA$1)</f>
        <v>0</v>
      </c>
    </row>
    <row r="52">
      <c r="A52" s="1246" t="s">
        <v>2827</v>
      </c>
      <c r="B52" s="1247"/>
      <c r="C52" s="1248"/>
      <c r="D52" s="1248"/>
      <c r="E52" s="1253"/>
      <c r="F52" s="1248"/>
      <c r="G52" s="1250">
        <v>1.0</v>
      </c>
      <c r="H52" s="1251">
        <f>SUMIF($G$53:$G$63,2,H53:H63)</f>
        <v>738325608</v>
      </c>
      <c r="I52" s="1252">
        <f t="shared" si="35"/>
        <v>0.6893796655</v>
      </c>
      <c r="J52" s="1251"/>
      <c r="K52" s="1251"/>
      <c r="L52" s="1251"/>
      <c r="M52" s="1251"/>
      <c r="N52" s="1251"/>
      <c r="O52" s="1251"/>
      <c r="P52" s="1251">
        <f t="shared" ref="P52:AA52" si="53">SUMIF($G$53:$G$63,2,P53:P63)</f>
        <v>738325608</v>
      </c>
      <c r="Q52" s="1251">
        <f t="shared" si="53"/>
        <v>178498567</v>
      </c>
      <c r="R52" s="1251">
        <f t="shared" si="53"/>
        <v>644575194</v>
      </c>
      <c r="S52" s="1251">
        <f t="shared" si="53"/>
        <v>1358782583</v>
      </c>
      <c r="T52" s="1251">
        <f t="shared" si="53"/>
        <v>537475684</v>
      </c>
      <c r="U52" s="1251">
        <f t="shared" si="53"/>
        <v>0</v>
      </c>
      <c r="V52" s="1251">
        <f t="shared" si="53"/>
        <v>0</v>
      </c>
      <c r="W52" s="1251">
        <f t="shared" si="53"/>
        <v>0</v>
      </c>
      <c r="X52" s="1251">
        <f t="shared" si="53"/>
        <v>0</v>
      </c>
      <c r="Y52" s="1251">
        <f t="shared" si="53"/>
        <v>0</v>
      </c>
      <c r="Z52" s="1251">
        <f t="shared" si="53"/>
        <v>0</v>
      </c>
      <c r="AA52" s="1251">
        <f t="shared" si="53"/>
        <v>0</v>
      </c>
    </row>
    <row r="53">
      <c r="A53" s="1254"/>
      <c r="B53" s="1216"/>
      <c r="C53" s="1255"/>
      <c r="D53" s="1216" t="s">
        <v>2828</v>
      </c>
      <c r="E53" s="1217"/>
      <c r="F53" s="1218">
        <v>641.0</v>
      </c>
      <c r="G53" s="1218">
        <v>2.0</v>
      </c>
      <c r="H53" s="1219">
        <f>SUM(H54:H57)</f>
        <v>159949385</v>
      </c>
      <c r="I53" s="1220">
        <f t="shared" si="35"/>
        <v>0.1493458338</v>
      </c>
      <c r="J53" s="1221"/>
      <c r="K53" s="1221"/>
      <c r="L53" s="1222"/>
      <c r="M53" s="1222"/>
      <c r="N53" s="1222"/>
      <c r="O53" s="1222"/>
      <c r="P53" s="1223">
        <f t="shared" ref="P53:AA53" si="54">SUM(P54:P57)</f>
        <v>159949385</v>
      </c>
      <c r="Q53" s="1223">
        <f t="shared" si="54"/>
        <v>135280667</v>
      </c>
      <c r="R53" s="1223">
        <f t="shared" si="54"/>
        <v>338236944</v>
      </c>
      <c r="S53" s="1223">
        <f t="shared" si="54"/>
        <v>865978385</v>
      </c>
      <c r="T53" s="1223">
        <f t="shared" si="54"/>
        <v>375961524</v>
      </c>
      <c r="U53" s="1223">
        <f t="shared" si="54"/>
        <v>0</v>
      </c>
      <c r="V53" s="1223">
        <f t="shared" si="54"/>
        <v>0</v>
      </c>
      <c r="W53" s="1223">
        <f t="shared" si="54"/>
        <v>0</v>
      </c>
      <c r="X53" s="1223">
        <f t="shared" si="54"/>
        <v>0</v>
      </c>
      <c r="Y53" s="1223">
        <f t="shared" si="54"/>
        <v>0</v>
      </c>
      <c r="Z53" s="1223">
        <f t="shared" si="54"/>
        <v>0</v>
      </c>
      <c r="AA53" s="1223">
        <f t="shared" si="54"/>
        <v>0</v>
      </c>
    </row>
    <row r="54">
      <c r="A54" s="1254"/>
      <c r="B54" s="1254"/>
      <c r="C54" s="1254"/>
      <c r="D54" s="1254" t="s">
        <v>2829</v>
      </c>
      <c r="E54" s="1256" t="s">
        <v>255</v>
      </c>
      <c r="F54" s="1254"/>
      <c r="G54" s="1257">
        <v>3.0</v>
      </c>
      <c r="H54" s="1258">
        <f t="shared" ref="H54:H63" si="55">SUMIF(#REF!,#REF!,$P54:$AA54)</f>
        <v>47889385</v>
      </c>
      <c r="I54" s="1220">
        <f t="shared" si="35"/>
        <v>0.04471464603</v>
      </c>
      <c r="J54" s="1259"/>
      <c r="K54" s="1259"/>
      <c r="L54" s="1260"/>
      <c r="M54" s="1260"/>
      <c r="N54" s="1260"/>
      <c r="O54" s="1260"/>
      <c r="P54" s="1261">
        <f>SUMIFS(AC_SOTIEN,AC_KM,$E54,AC_THANG,P$1)</f>
        <v>47889385</v>
      </c>
      <c r="Q54" s="1261">
        <f>SUMIFS(AC_SOTIEN,AC_KM,$E54,AC_THANG,Q$1)</f>
        <v>67320667</v>
      </c>
      <c r="R54" s="1261">
        <f>SUMIFS(AC_SOTIEN,AC_KM,$E54,AC_THANG,R$1)</f>
        <v>112944444</v>
      </c>
      <c r="S54" s="1261">
        <f>SUMIFS(AC_SOTIEN,AC_KM,$E54,AC_THANG,S$1)</f>
        <v>210235385</v>
      </c>
      <c r="T54" s="1261">
        <f>SUMIFS(AC_SOTIEN,AC_KM,$E54,AC_THANG,T$1)</f>
        <v>179446524</v>
      </c>
      <c r="U54" s="1261">
        <f>SUMIFS(AC_SOTIEN,AC_KM,$E54,AC_THANG,U$1)</f>
        <v>0</v>
      </c>
      <c r="V54" s="1261">
        <f>SUMIFS(AC_SOTIEN,AC_KM,$E54,AC_THANG,V$1)</f>
        <v>0</v>
      </c>
      <c r="W54" s="1261">
        <f>SUMIFS(AC_SOTIEN,AC_KM,$E54,AC_THANG,W$1)</f>
        <v>0</v>
      </c>
      <c r="X54" s="1261">
        <f>SUMIFS(AC_SOTIEN,AC_KM,$E54,AC_THANG,X$1)</f>
        <v>0</v>
      </c>
      <c r="Y54" s="1261">
        <f>SUMIFS(AC_SOTIEN,AC_KM,$E54,AC_THANG,Y$1)</f>
        <v>0</v>
      </c>
      <c r="Z54" s="1261">
        <f>SUMIFS(AC_SOTIEN,AC_KM,$E54,AC_THANG,Z$1)</f>
        <v>0</v>
      </c>
      <c r="AA54" s="1261">
        <f>SUMIFS(AC_SOTIEN,AC_KM,$E54,AC_THANG,AA$1)</f>
        <v>0</v>
      </c>
    </row>
    <row r="55">
      <c r="A55" s="1254"/>
      <c r="B55" s="1254"/>
      <c r="C55" s="1254"/>
      <c r="D55" s="1254" t="s">
        <v>2830</v>
      </c>
      <c r="E55" s="1256" t="s">
        <v>190</v>
      </c>
      <c r="F55" s="1257">
        <v>641.0</v>
      </c>
      <c r="G55" s="1257">
        <v>3.0</v>
      </c>
      <c r="H55" s="1258">
        <f t="shared" si="55"/>
        <v>107560000</v>
      </c>
      <c r="I55" s="1220">
        <f t="shared" si="35"/>
        <v>0.100429507</v>
      </c>
      <c r="J55" s="1259"/>
      <c r="K55" s="1259"/>
      <c r="L55" s="1260"/>
      <c r="M55" s="1260"/>
      <c r="N55" s="1260"/>
      <c r="O55" s="1260"/>
      <c r="P55" s="1261">
        <f>SUMIFS(AC_SOTIEN,AC_KM,$E55,AC_THANG,P$1)</f>
        <v>107560000</v>
      </c>
      <c r="Q55" s="1261">
        <f>SUMIFS(AC_SOTIEN,AC_KM,$E55,AC_THANG,Q$1)</f>
        <v>55000000</v>
      </c>
      <c r="R55" s="1261">
        <f>SUMIFS(AC_SOTIEN,AC_KM,$E55,AC_THANG,R$1)</f>
        <v>214092500</v>
      </c>
      <c r="S55" s="1261">
        <f>SUMIFS(AC_SOTIEN,AC_KM,$E55,AC_THANG,S$1)</f>
        <v>609315000</v>
      </c>
      <c r="T55" s="1261">
        <f>SUMIFS(AC_SOTIEN,AC_KM,$E55,AC_THANG,T$1)</f>
        <v>182943000</v>
      </c>
      <c r="U55" s="1261">
        <f>SUMIFS(AC_SOTIEN,AC_KM,$E55,AC_THANG,U$1)</f>
        <v>0</v>
      </c>
      <c r="V55" s="1261">
        <f>SUMIFS(AC_SOTIEN,AC_KM,$E55,AC_THANG,V$1)</f>
        <v>0</v>
      </c>
      <c r="W55" s="1261">
        <f>SUMIFS(AC_SOTIEN,AC_KM,$E55,AC_THANG,W$1)</f>
        <v>0</v>
      </c>
      <c r="X55" s="1261">
        <f>SUMIFS(AC_SOTIEN,AC_KM,$E55,AC_THANG,X$1)</f>
        <v>0</v>
      </c>
      <c r="Y55" s="1261">
        <f>SUMIFS(AC_SOTIEN,AC_KM,$E55,AC_THANG,Y$1)</f>
        <v>0</v>
      </c>
      <c r="Z55" s="1261">
        <f>SUMIFS(AC_SOTIEN,AC_KM,$E55,AC_THANG,Z$1)</f>
        <v>0</v>
      </c>
      <c r="AA55" s="1261">
        <f>SUMIFS(AC_SOTIEN,AC_KM,$E55,AC_THANG,AA$1)</f>
        <v>0</v>
      </c>
    </row>
    <row r="56">
      <c r="A56" s="1254"/>
      <c r="B56" s="1254"/>
      <c r="C56" s="1254"/>
      <c r="D56" s="1254" t="s">
        <v>2831</v>
      </c>
      <c r="E56" s="1256" t="s">
        <v>194</v>
      </c>
      <c r="F56" s="1257">
        <v>641.0</v>
      </c>
      <c r="G56" s="1257">
        <v>3.0</v>
      </c>
      <c r="H56" s="1258">
        <f t="shared" si="55"/>
        <v>4500000</v>
      </c>
      <c r="I56" s="1220">
        <f t="shared" si="35"/>
        <v>0.004201680751</v>
      </c>
      <c r="J56" s="1259"/>
      <c r="K56" s="1259"/>
      <c r="L56" s="1260"/>
      <c r="M56" s="1260"/>
      <c r="N56" s="1260"/>
      <c r="O56" s="1260"/>
      <c r="P56" s="1261">
        <f>SUMIFS(AC_SOTIEN,AC_KM,$E56,AC_THANG,P$1)</f>
        <v>4500000</v>
      </c>
      <c r="Q56" s="1261">
        <f>SUMIFS(AC_SOTIEN,AC_KM,$E56,AC_THANG,Q$1)</f>
        <v>7580000</v>
      </c>
      <c r="R56" s="1261">
        <f>SUMIFS(AC_SOTIEN,AC_KM,$E56,AC_THANG,R$1)</f>
        <v>4500000</v>
      </c>
      <c r="S56" s="1261">
        <f>SUMIFS(AC_SOTIEN,AC_KM,$E56,AC_THANG,S$1)</f>
        <v>46428000</v>
      </c>
      <c r="T56" s="1261">
        <f>SUMIFS(AC_SOTIEN,AC_KM,$E56,AC_THANG,T$1)</f>
        <v>0</v>
      </c>
      <c r="U56" s="1261">
        <f>SUMIFS(AC_SOTIEN,AC_KM,$E56,AC_THANG,U$1)</f>
        <v>0</v>
      </c>
      <c r="V56" s="1261">
        <f>SUMIFS(AC_SOTIEN,AC_KM,$E56,AC_THANG,V$1)</f>
        <v>0</v>
      </c>
      <c r="W56" s="1261">
        <f>SUMIFS(AC_SOTIEN,AC_KM,$E56,AC_THANG,W$1)</f>
        <v>0</v>
      </c>
      <c r="X56" s="1261">
        <f>SUMIFS(AC_SOTIEN,AC_KM,$E56,AC_THANG,X$1)</f>
        <v>0</v>
      </c>
      <c r="Y56" s="1261">
        <f>SUMIFS(AC_SOTIEN,AC_KM,$E56,AC_THANG,Y$1)</f>
        <v>0</v>
      </c>
      <c r="Z56" s="1261">
        <f>SUMIFS(AC_SOTIEN,AC_KM,$E56,AC_THANG,Z$1)</f>
        <v>0</v>
      </c>
      <c r="AA56" s="1261">
        <f>SUMIFS(AC_SOTIEN,AC_KM,$E56,AC_THANG,AA$1)</f>
        <v>0</v>
      </c>
    </row>
    <row r="57">
      <c r="A57" s="1254"/>
      <c r="B57" s="1254"/>
      <c r="C57" s="1254"/>
      <c r="D57" s="1254" t="s">
        <v>2832</v>
      </c>
      <c r="E57" s="1256" t="s">
        <v>374</v>
      </c>
      <c r="F57" s="1257">
        <v>641.0</v>
      </c>
      <c r="G57" s="1257">
        <v>3.0</v>
      </c>
      <c r="H57" s="1258">
        <f t="shared" si="55"/>
        <v>0</v>
      </c>
      <c r="I57" s="1220">
        <f t="shared" si="35"/>
        <v>0</v>
      </c>
      <c r="J57" s="1259"/>
      <c r="K57" s="1259"/>
      <c r="L57" s="1260"/>
      <c r="M57" s="1260"/>
      <c r="N57" s="1260"/>
      <c r="O57" s="1260"/>
      <c r="P57" s="1261">
        <f>SUMIFS(AC_SOTIEN,AC_KM,$E57,AC_THANG,P$1)</f>
        <v>0</v>
      </c>
      <c r="Q57" s="1261">
        <f>SUMIFS(AC_SOTIEN,AC_KM,$E57,AC_THANG,Q$1)</f>
        <v>5380000</v>
      </c>
      <c r="R57" s="1261">
        <f>SUMIFS(AC_SOTIEN,AC_KM,$E57,AC_THANG,R$1)</f>
        <v>6700000</v>
      </c>
      <c r="S57" s="1261">
        <f>SUMIFS(AC_SOTIEN,AC_KM,$E57,AC_THANG,S$1)</f>
        <v>0</v>
      </c>
      <c r="T57" s="1261">
        <f>SUMIFS(AC_SOTIEN,AC_KM,$E57,AC_THANG,T$1)</f>
        <v>13572000</v>
      </c>
      <c r="U57" s="1261">
        <f>SUMIFS(AC_SOTIEN,AC_KM,$E57,AC_THANG,U$1)</f>
        <v>0</v>
      </c>
      <c r="V57" s="1261">
        <f>SUMIFS(AC_SOTIEN,AC_KM,$E57,AC_THANG,V$1)</f>
        <v>0</v>
      </c>
      <c r="W57" s="1261">
        <f>SUMIFS(AC_SOTIEN,AC_KM,$E57,AC_THANG,W$1)</f>
        <v>0</v>
      </c>
      <c r="X57" s="1261">
        <f>SUMIFS(AC_SOTIEN,AC_KM,$E57,AC_THANG,X$1)</f>
        <v>0</v>
      </c>
      <c r="Y57" s="1261">
        <f>SUMIFS(AC_SOTIEN,AC_KM,$E57,AC_THANG,Y$1)</f>
        <v>0</v>
      </c>
      <c r="Z57" s="1261">
        <f>SUMIFS(AC_SOTIEN,AC_KM,$E57,AC_THANG,Z$1)</f>
        <v>0</v>
      </c>
      <c r="AA57" s="1261">
        <f>SUMIFS(AC_SOTIEN,AC_KM,$E57,AC_THANG,AA$1)</f>
        <v>0</v>
      </c>
    </row>
    <row r="58">
      <c r="A58" s="1254"/>
      <c r="B58" s="1254"/>
      <c r="C58" s="1254"/>
      <c r="D58" s="1216" t="s">
        <v>2833</v>
      </c>
      <c r="E58" s="1217" t="s">
        <v>169</v>
      </c>
      <c r="F58" s="1216"/>
      <c r="G58" s="1218">
        <v>2.0</v>
      </c>
      <c r="H58" s="1219">
        <f t="shared" si="55"/>
        <v>508000000</v>
      </c>
      <c r="I58" s="1220">
        <f t="shared" si="35"/>
        <v>0.4743230714</v>
      </c>
      <c r="J58" s="1221"/>
      <c r="K58" s="1221"/>
      <c r="L58" s="1222"/>
      <c r="M58" s="1222"/>
      <c r="N58" s="1222"/>
      <c r="O58" s="1222"/>
      <c r="P58" s="1223">
        <f>SUMIFS(AC_SOTIEN,AC_KM,$E58,AC_THANG,P$1)</f>
        <v>508000000</v>
      </c>
      <c r="Q58" s="1223">
        <f>SUMIFS(AC_SOTIEN,AC_KM,$E58,AC_THANG,Q$1)</f>
        <v>20000000</v>
      </c>
      <c r="R58" s="1223">
        <f>SUMIFS(AC_SOTIEN,AC_KM,$E58,AC_THANG,R$1)</f>
        <v>37736000</v>
      </c>
      <c r="S58" s="1223">
        <f>SUMIFS(AC_SOTIEN,AC_KM,$E58,AC_THANG,S$1)</f>
        <v>63737000</v>
      </c>
      <c r="T58" s="1223">
        <f>SUMIFS(AC_SOTIEN,AC_KM,$E58,AC_THANG,T$1)</f>
        <v>80133999</v>
      </c>
      <c r="U58" s="1223">
        <f>SUMIFS(AC_SOTIEN,AC_KM,$E58,AC_THANG,U$1)</f>
        <v>0</v>
      </c>
      <c r="V58" s="1223">
        <f>SUMIFS(AC_SOTIEN,AC_KM,$E58,AC_THANG,V$1)</f>
        <v>0</v>
      </c>
      <c r="W58" s="1223">
        <f>SUMIFS(AC_SOTIEN,AC_KM,$E58,AC_THANG,W$1)</f>
        <v>0</v>
      </c>
      <c r="X58" s="1223">
        <f>SUMIFS(AC_SOTIEN,AC_KM,$E58,AC_THANG,X$1)</f>
        <v>0</v>
      </c>
      <c r="Y58" s="1223">
        <f>SUMIFS(AC_SOTIEN,AC_KM,$E58,AC_THANG,Y$1)</f>
        <v>0</v>
      </c>
      <c r="Z58" s="1223">
        <f>SUMIFS(AC_SOTIEN,AC_KM,$E58,AC_THANG,Z$1)</f>
        <v>0</v>
      </c>
      <c r="AA58" s="1223">
        <f>SUMIFS(AC_SOTIEN,AC_KM,$E58,AC_THANG,AA$1)</f>
        <v>0</v>
      </c>
    </row>
    <row r="59">
      <c r="A59" s="1254"/>
      <c r="B59" s="1254"/>
      <c r="C59" s="1254"/>
      <c r="D59" s="1216" t="s">
        <v>2834</v>
      </c>
      <c r="E59" s="1217" t="s">
        <v>174</v>
      </c>
      <c r="F59" s="1218">
        <v>641.0</v>
      </c>
      <c r="G59" s="1218">
        <v>2.0</v>
      </c>
      <c r="H59" s="1219">
        <f t="shared" si="55"/>
        <v>19496223</v>
      </c>
      <c r="I59" s="1220">
        <f t="shared" si="35"/>
        <v>0.01820375664</v>
      </c>
      <c r="J59" s="1221"/>
      <c r="K59" s="1221"/>
      <c r="L59" s="1222"/>
      <c r="M59" s="1222"/>
      <c r="N59" s="1222"/>
      <c r="O59" s="1222"/>
      <c r="P59" s="1223">
        <f>SUMIFS(AC_SOTIEN,AC_KM,$E59,AC_THANG,P$1)</f>
        <v>19496223</v>
      </c>
      <c r="Q59" s="1223">
        <f>SUMIFS(AC_SOTIEN,AC_KM,$E59,AC_THANG,Q$1)</f>
        <v>11107900</v>
      </c>
      <c r="R59" s="1223">
        <f>SUMIFS(AC_SOTIEN,AC_KM,$E59,AC_THANG,R$1)</f>
        <v>64387250</v>
      </c>
      <c r="S59" s="1223">
        <f>SUMIFS(AC_SOTIEN,AC_KM,$E59,AC_THANG,S$1)</f>
        <v>120703998</v>
      </c>
      <c r="T59" s="1223">
        <f>SUMIFS(AC_SOTIEN,AC_KM,$E59,AC_THANG,T$1)</f>
        <v>29452001</v>
      </c>
      <c r="U59" s="1223">
        <f>SUMIFS(AC_SOTIEN,AC_KM,$E59,AC_THANG,U$1)</f>
        <v>0</v>
      </c>
      <c r="V59" s="1223">
        <f>SUMIFS(AC_SOTIEN,AC_KM,$E59,AC_THANG,V$1)</f>
        <v>0</v>
      </c>
      <c r="W59" s="1223">
        <f>SUMIFS(AC_SOTIEN,AC_KM,$E59,AC_THANG,W$1)</f>
        <v>0</v>
      </c>
      <c r="X59" s="1223">
        <f>SUMIFS(AC_SOTIEN,AC_KM,$E59,AC_THANG,X$1)</f>
        <v>0</v>
      </c>
      <c r="Y59" s="1223">
        <f>SUMIFS(AC_SOTIEN,AC_KM,$E59,AC_THANG,Y$1)</f>
        <v>0</v>
      </c>
      <c r="Z59" s="1223">
        <f>SUMIFS(AC_SOTIEN,AC_KM,$E59,AC_THANG,Z$1)</f>
        <v>0</v>
      </c>
      <c r="AA59" s="1223">
        <f>SUMIFS(AC_SOTIEN,AC_KM,$E59,AC_THANG,AA$1)</f>
        <v>0</v>
      </c>
    </row>
    <row r="60">
      <c r="A60" s="1254"/>
      <c r="B60" s="1254"/>
      <c r="C60" s="1254"/>
      <c r="D60" s="1216" t="s">
        <v>2835</v>
      </c>
      <c r="E60" s="1217" t="s">
        <v>2836</v>
      </c>
      <c r="F60" s="1216"/>
      <c r="G60" s="1218">
        <v>2.0</v>
      </c>
      <c r="H60" s="1219">
        <f t="shared" si="55"/>
        <v>0</v>
      </c>
      <c r="I60" s="1220">
        <f t="shared" si="35"/>
        <v>0</v>
      </c>
      <c r="J60" s="1221"/>
      <c r="K60" s="1221"/>
      <c r="L60" s="1222"/>
      <c r="M60" s="1222"/>
      <c r="N60" s="1222"/>
      <c r="O60" s="1222"/>
      <c r="P60" s="1223">
        <f>SUMIFS(AC_SOTIEN,AC_KM,$E60,AC_THANG,P$1)</f>
        <v>0</v>
      </c>
      <c r="Q60" s="1223">
        <f>SUMIFS(AC_SOTIEN,AC_KM,$E60,AC_THANG,Q$1)</f>
        <v>0</v>
      </c>
      <c r="R60" s="1223">
        <f>SUMIFS(AC_SOTIEN,AC_KM,$E60,AC_THANG,R$1)</f>
        <v>0</v>
      </c>
      <c r="S60" s="1223">
        <f>SUMIFS(AC_SOTIEN,AC_KM,$E60,AC_THANG,S$1)</f>
        <v>0</v>
      </c>
      <c r="T60" s="1223">
        <f>SUMIFS(AC_SOTIEN,AC_KM,$E60,AC_THANG,T$1)</f>
        <v>0</v>
      </c>
      <c r="U60" s="1223">
        <f>SUMIFS(AC_SOTIEN,AC_KM,$E60,AC_THANG,U$1)</f>
        <v>0</v>
      </c>
      <c r="V60" s="1223">
        <f>SUMIFS(AC_SOTIEN,AC_KM,$E60,AC_THANG,V$1)</f>
        <v>0</v>
      </c>
      <c r="W60" s="1223">
        <f>SUMIFS(AC_SOTIEN,AC_KM,$E60,AC_THANG,W$1)</f>
        <v>0</v>
      </c>
      <c r="X60" s="1223">
        <f>SUMIFS(AC_SOTIEN,AC_KM,$E60,AC_THANG,X$1)</f>
        <v>0</v>
      </c>
      <c r="Y60" s="1223">
        <f>SUMIFS(AC_SOTIEN,AC_KM,$E60,AC_THANG,Y$1)</f>
        <v>0</v>
      </c>
      <c r="Z60" s="1223">
        <f>SUMIFS(AC_SOTIEN,AC_KM,$E60,AC_THANG,Z$1)</f>
        <v>0</v>
      </c>
      <c r="AA60" s="1223">
        <f>SUMIFS(AC_SOTIEN,AC_KM,$E60,AC_THANG,AA$1)</f>
        <v>0</v>
      </c>
    </row>
    <row r="61">
      <c r="A61" s="1254"/>
      <c r="B61" s="1254"/>
      <c r="C61" s="1254"/>
      <c r="D61" s="1216" t="s">
        <v>2091</v>
      </c>
      <c r="E61" s="1217" t="s">
        <v>203</v>
      </c>
      <c r="F61" s="1254"/>
      <c r="G61" s="1218">
        <v>2.0</v>
      </c>
      <c r="H61" s="1219">
        <f t="shared" si="55"/>
        <v>24000000</v>
      </c>
      <c r="I61" s="1220">
        <f t="shared" si="35"/>
        <v>0.022408964</v>
      </c>
      <c r="J61" s="1221"/>
      <c r="K61" s="1221"/>
      <c r="L61" s="1222"/>
      <c r="M61" s="1222"/>
      <c r="N61" s="1222"/>
      <c r="O61" s="1222"/>
      <c r="P61" s="1223">
        <f>SUMIFS(AC_SOTIEN,AC_KM,$E61,AC_THANG,P$1)</f>
        <v>24000000</v>
      </c>
      <c r="Q61" s="1223">
        <f>SUMIFS(AC_SOTIEN,AC_KM,$E61,AC_THANG,Q$1)</f>
        <v>12110000</v>
      </c>
      <c r="R61" s="1223">
        <f>SUMIFS(AC_SOTIEN,AC_KM,$E61,AC_THANG,R$1)</f>
        <v>42400000</v>
      </c>
      <c r="S61" s="1223">
        <f>SUMIFS(AC_SOTIEN,AC_KM,$E61,AC_THANG,S$1)</f>
        <v>202643200</v>
      </c>
      <c r="T61" s="1223">
        <f>SUMIFS(AC_SOTIEN,AC_KM,$E61,AC_THANG,T$1)</f>
        <v>42028160</v>
      </c>
      <c r="U61" s="1223">
        <f>SUMIFS(AC_SOTIEN,AC_KM,$E61,AC_THANG,U$1)</f>
        <v>0</v>
      </c>
      <c r="V61" s="1223">
        <f>SUMIFS(AC_SOTIEN,AC_KM,$E61,AC_THANG,V$1)</f>
        <v>0</v>
      </c>
      <c r="W61" s="1223">
        <f>SUMIFS(AC_SOTIEN,AC_KM,$E61,AC_THANG,W$1)</f>
        <v>0</v>
      </c>
      <c r="X61" s="1223">
        <f>SUMIFS(AC_SOTIEN,AC_KM,$E61,AC_THANG,X$1)</f>
        <v>0</v>
      </c>
      <c r="Y61" s="1223">
        <f>SUMIFS(AC_SOTIEN,AC_KM,$E61,AC_THANG,Y$1)</f>
        <v>0</v>
      </c>
      <c r="Z61" s="1223">
        <f>SUMIFS(AC_SOTIEN,AC_KM,$E61,AC_THANG,Z$1)</f>
        <v>0</v>
      </c>
      <c r="AA61" s="1223">
        <f>SUMIFS(AC_SOTIEN,AC_KM,$E61,AC_THANG,AA$1)</f>
        <v>0</v>
      </c>
    </row>
    <row r="62">
      <c r="A62" s="1254"/>
      <c r="B62" s="1254"/>
      <c r="C62" s="1254"/>
      <c r="D62" s="1254" t="s">
        <v>2245</v>
      </c>
      <c r="E62" s="1217" t="s">
        <v>181</v>
      </c>
      <c r="F62" s="1254"/>
      <c r="G62" s="1218">
        <v>2.0</v>
      </c>
      <c r="H62" s="1219">
        <f t="shared" si="55"/>
        <v>26880000</v>
      </c>
      <c r="I62" s="1220">
        <f t="shared" si="35"/>
        <v>0.02509803968</v>
      </c>
      <c r="J62" s="1221"/>
      <c r="K62" s="1221"/>
      <c r="L62" s="1222"/>
      <c r="M62" s="1222"/>
      <c r="N62" s="1222"/>
      <c r="O62" s="1222"/>
      <c r="P62" s="1223">
        <f>SUMIFS(AC_SOTIEN,AC_KM,$E62,AC_THANG,P$1)</f>
        <v>26880000</v>
      </c>
      <c r="Q62" s="1223">
        <f>SUMIFS(AC_SOTIEN,AC_KM,$E62,AC_THANG,Q$1)</f>
        <v>0</v>
      </c>
      <c r="R62" s="1223">
        <f>SUMIFS(AC_SOTIEN,AC_KM,$E62,AC_THANG,R$1)</f>
        <v>161815000</v>
      </c>
      <c r="S62" s="1223">
        <f>SUMIFS(AC_SOTIEN,AC_KM,$E62,AC_THANG,S$1)</f>
        <v>92400000</v>
      </c>
      <c r="T62" s="1223">
        <f>SUMIFS(AC_SOTIEN,AC_KM,$E62,AC_THANG,T$1)</f>
        <v>9900000</v>
      </c>
      <c r="U62" s="1223">
        <f>SUMIFS(AC_SOTIEN,AC_KM,$E62,AC_THANG,U$1)</f>
        <v>0</v>
      </c>
      <c r="V62" s="1223">
        <f>SUMIFS(AC_SOTIEN,AC_KM,$E62,AC_THANG,V$1)</f>
        <v>0</v>
      </c>
      <c r="W62" s="1223">
        <f>SUMIFS(AC_SOTIEN,AC_KM,$E62,AC_THANG,W$1)</f>
        <v>0</v>
      </c>
      <c r="X62" s="1223">
        <f>SUMIFS(AC_SOTIEN,AC_KM,$E62,AC_THANG,X$1)</f>
        <v>0</v>
      </c>
      <c r="Y62" s="1223">
        <f>SUMIFS(AC_SOTIEN,AC_KM,$E62,AC_THANG,Y$1)</f>
        <v>0</v>
      </c>
      <c r="Z62" s="1223">
        <f>SUMIFS(AC_SOTIEN,AC_KM,$E62,AC_THANG,Z$1)</f>
        <v>0</v>
      </c>
      <c r="AA62" s="1223">
        <f>SUMIFS(AC_SOTIEN,AC_KM,$E62,AC_THANG,AA$1)</f>
        <v>0</v>
      </c>
    </row>
    <row r="63">
      <c r="A63" s="1254"/>
      <c r="B63" s="1254"/>
      <c r="C63" s="1254"/>
      <c r="D63" s="1254" t="s">
        <v>2842</v>
      </c>
      <c r="E63" s="1217" t="s">
        <v>734</v>
      </c>
      <c r="F63" s="1254"/>
      <c r="G63" s="1218">
        <v>2.0</v>
      </c>
      <c r="H63" s="1219">
        <f t="shared" si="55"/>
        <v>0</v>
      </c>
      <c r="I63" s="1220">
        <f t="shared" si="35"/>
        <v>0</v>
      </c>
      <c r="J63" s="1221"/>
      <c r="K63" s="1221"/>
      <c r="L63" s="1222"/>
      <c r="M63" s="1222"/>
      <c r="N63" s="1222"/>
      <c r="O63" s="1222"/>
      <c r="P63" s="1223">
        <f>SUMIFS(AC_SOTIEN,AC_KM,$E63,AC_THANG,P$1)</f>
        <v>0</v>
      </c>
      <c r="Q63" s="1223">
        <f>SUMIFS(AC_SOTIEN,AC_KM,$E63,AC_THANG,Q$1)</f>
        <v>0</v>
      </c>
      <c r="R63" s="1223">
        <f>SUMIFS(AC_SOTIEN,AC_KM,$E63,AC_THANG,R$1)</f>
        <v>0</v>
      </c>
      <c r="S63" s="1223">
        <f>SUMIFS(AC_SOTIEN,AC_KM,$E63,AC_THANG,S$1)</f>
        <v>13320000</v>
      </c>
      <c r="T63" s="1223">
        <f>SUMIFS(AC_SOTIEN,AC_KM,$E63,AC_THANG,T$1)</f>
        <v>0</v>
      </c>
      <c r="U63" s="1223">
        <f>SUMIFS(AC_SOTIEN,AC_KM,$E63,AC_THANG,U$1)</f>
        <v>0</v>
      </c>
      <c r="V63" s="1223">
        <f>SUMIFS(AC_SOTIEN,AC_KM,$E63,AC_THANG,V$1)</f>
        <v>0</v>
      </c>
      <c r="W63" s="1223">
        <f>SUMIFS(AC_SOTIEN,AC_KM,$E63,AC_THANG,W$1)</f>
        <v>0</v>
      </c>
      <c r="X63" s="1223">
        <f>SUMIFS(AC_SOTIEN,AC_KM,$E63,AC_THANG,X$1)</f>
        <v>0</v>
      </c>
      <c r="Y63" s="1223">
        <f>SUMIFS(AC_SOTIEN,AC_KM,$E63,AC_THANG,Y$1)</f>
        <v>0</v>
      </c>
      <c r="Z63" s="1223">
        <f>SUMIFS(AC_SOTIEN,AC_KM,$E63,AC_THANG,Z$1)</f>
        <v>0</v>
      </c>
      <c r="AA63" s="1223">
        <f>SUMIFS(AC_SOTIEN,AC_KM,$E63,AC_THANG,AA$1)</f>
        <v>0</v>
      </c>
    </row>
    <row r="64">
      <c r="A64" s="1267" t="s">
        <v>2844</v>
      </c>
      <c r="B64" s="1268"/>
      <c r="C64" s="1268"/>
      <c r="D64" s="1269"/>
      <c r="E64" s="1270"/>
      <c r="F64" s="1269"/>
      <c r="G64" s="1271">
        <v>1.0</v>
      </c>
      <c r="H64" s="1272">
        <f>SUMIF($G$65:$G$90,2,H65:H90)</f>
        <v>112758462</v>
      </c>
      <c r="I64" s="1273">
        <f t="shared" si="35"/>
        <v>0.1052833465</v>
      </c>
      <c r="J64" s="1272"/>
      <c r="K64" s="1272"/>
      <c r="L64" s="1272"/>
      <c r="M64" s="1272"/>
      <c r="N64" s="1272"/>
      <c r="O64" s="1272"/>
      <c r="P64" s="1272">
        <f t="shared" ref="P64:AA64" si="56">SUMIF($G$65:$G$90,2,P65:P90)</f>
        <v>112758462</v>
      </c>
      <c r="Q64" s="1272">
        <f t="shared" si="56"/>
        <v>144093824</v>
      </c>
      <c r="R64" s="1272">
        <f t="shared" si="56"/>
        <v>206209732</v>
      </c>
      <c r="S64" s="1272">
        <f t="shared" si="56"/>
        <v>211988008</v>
      </c>
      <c r="T64" s="1272">
        <f t="shared" si="56"/>
        <v>250684393</v>
      </c>
      <c r="U64" s="1272">
        <f t="shared" si="56"/>
        <v>0</v>
      </c>
      <c r="V64" s="1272">
        <f t="shared" si="56"/>
        <v>0</v>
      </c>
      <c r="W64" s="1272">
        <f t="shared" si="56"/>
        <v>0</v>
      </c>
      <c r="X64" s="1272">
        <f t="shared" si="56"/>
        <v>0</v>
      </c>
      <c r="Y64" s="1272">
        <f t="shared" si="56"/>
        <v>0</v>
      </c>
      <c r="Z64" s="1272">
        <f t="shared" si="56"/>
        <v>0</v>
      </c>
      <c r="AA64" s="1272">
        <f t="shared" si="56"/>
        <v>0</v>
      </c>
    </row>
    <row r="65">
      <c r="A65" s="1254"/>
      <c r="B65" s="1254"/>
      <c r="C65" s="1254"/>
      <c r="D65" s="1216" t="s">
        <v>2845</v>
      </c>
      <c r="E65" s="1217"/>
      <c r="F65" s="1218">
        <v>642.0</v>
      </c>
      <c r="G65" s="1218">
        <v>2.0</v>
      </c>
      <c r="H65" s="1219">
        <f>SUM(H66:H71)</f>
        <v>53253671</v>
      </c>
      <c r="I65" s="1220">
        <f t="shared" si="35"/>
        <v>0.04972331652</v>
      </c>
      <c r="J65" s="1221"/>
      <c r="K65" s="1221"/>
      <c r="L65" s="1222"/>
      <c r="M65" s="1222"/>
      <c r="N65" s="1222"/>
      <c r="O65" s="1222"/>
      <c r="P65" s="1223">
        <f t="shared" ref="P65:AA65" si="57">SUM(P66:P71)</f>
        <v>53253671</v>
      </c>
      <c r="Q65" s="1223">
        <f t="shared" si="57"/>
        <v>84096143</v>
      </c>
      <c r="R65" s="1223">
        <f t="shared" si="57"/>
        <v>134528996</v>
      </c>
      <c r="S65" s="1223">
        <f t="shared" si="57"/>
        <v>145778846</v>
      </c>
      <c r="T65" s="1223">
        <f t="shared" si="57"/>
        <v>178717768</v>
      </c>
      <c r="U65" s="1223">
        <f t="shared" si="57"/>
        <v>0</v>
      </c>
      <c r="V65" s="1223">
        <f t="shared" si="57"/>
        <v>0</v>
      </c>
      <c r="W65" s="1223">
        <f t="shared" si="57"/>
        <v>0</v>
      </c>
      <c r="X65" s="1223">
        <f t="shared" si="57"/>
        <v>0</v>
      </c>
      <c r="Y65" s="1223">
        <f t="shared" si="57"/>
        <v>0</v>
      </c>
      <c r="Z65" s="1223">
        <f t="shared" si="57"/>
        <v>0</v>
      </c>
      <c r="AA65" s="1223">
        <f t="shared" si="57"/>
        <v>0</v>
      </c>
    </row>
    <row r="66">
      <c r="A66" s="1254"/>
      <c r="B66" s="1254"/>
      <c r="C66" s="1254"/>
      <c r="D66" s="1254" t="s">
        <v>2846</v>
      </c>
      <c r="E66" s="1256" t="s">
        <v>293</v>
      </c>
      <c r="F66" s="1254"/>
      <c r="G66" s="1257">
        <v>3.0</v>
      </c>
      <c r="H66" s="1258">
        <f t="shared" ref="H66:H90" si="58">SUMIF(#REF!,#REF!,$P66:$AA66)</f>
        <v>21000000</v>
      </c>
      <c r="I66" s="1220">
        <f t="shared" si="35"/>
        <v>0.0196078435</v>
      </c>
      <c r="J66" s="1259"/>
      <c r="K66" s="1259"/>
      <c r="L66" s="1260"/>
      <c r="M66" s="1260"/>
      <c r="N66" s="1260"/>
      <c r="O66" s="1260"/>
      <c r="P66" s="1261">
        <f>SUMIFS(AC_SOTIEN,AC_KM,$E66,AC_THANG,P$1)</f>
        <v>21000000</v>
      </c>
      <c r="Q66" s="1261">
        <f>SUMIFS(AC_SOTIEN,AC_KM,$E66,AC_THANG,Q$1)</f>
        <v>21041666</v>
      </c>
      <c r="R66" s="1261">
        <f>SUMIFS(AC_SOTIEN,AC_KM,$E66,AC_THANG,R$1)</f>
        <v>42000000</v>
      </c>
      <c r="S66" s="1261">
        <f>SUMIFS(AC_SOTIEN,AC_KM,$E66,AC_THANG,S$1)</f>
        <v>84000000</v>
      </c>
      <c r="T66" s="1261">
        <f>SUMIFS(AC_SOTIEN,AC_KM,$E66,AC_THANG,T$1)</f>
        <v>42000000</v>
      </c>
      <c r="U66" s="1261">
        <f>SUMIFS(AC_SOTIEN,AC_KM,$E66,AC_THANG,U$1)</f>
        <v>0</v>
      </c>
      <c r="V66" s="1261">
        <f>SUMIFS(AC_SOTIEN,AC_KM,$E66,AC_THANG,V$1)</f>
        <v>0</v>
      </c>
      <c r="W66" s="1261">
        <f>SUMIFS(AC_SOTIEN,AC_KM,$E66,AC_THANG,W$1)</f>
        <v>0</v>
      </c>
      <c r="X66" s="1261">
        <f>SUMIFS(AC_SOTIEN,AC_KM,$E66,AC_THANG,X$1)</f>
        <v>0</v>
      </c>
      <c r="Y66" s="1261">
        <f>SUMIFS(AC_SOTIEN,AC_KM,$E66,AC_THANG,Y$1)</f>
        <v>0</v>
      </c>
      <c r="Z66" s="1261">
        <f>SUMIFS(AC_SOTIEN,AC_KM,$E66,AC_THANG,Z$1)</f>
        <v>0</v>
      </c>
      <c r="AA66" s="1261">
        <f>SUMIFS(AC_SOTIEN,AC_KM,$E66,AC_THANG,AA$1)</f>
        <v>0</v>
      </c>
    </row>
    <row r="67">
      <c r="A67" s="1254"/>
      <c r="B67" s="1254"/>
      <c r="C67" s="1254"/>
      <c r="D67" s="1254" t="s">
        <v>2847</v>
      </c>
      <c r="E67" s="1256" t="s">
        <v>267</v>
      </c>
      <c r="F67" s="1254"/>
      <c r="G67" s="1257">
        <v>3.0</v>
      </c>
      <c r="H67" s="1258">
        <f t="shared" si="58"/>
        <v>32253671</v>
      </c>
      <c r="I67" s="1220">
        <f t="shared" si="35"/>
        <v>0.03011547302</v>
      </c>
      <c r="J67" s="1259"/>
      <c r="K67" s="1259"/>
      <c r="L67" s="1260"/>
      <c r="M67" s="1260"/>
      <c r="N67" s="1260"/>
      <c r="O67" s="1260"/>
      <c r="P67" s="1261">
        <f>SUMIFS(AC_SOTIEN,AC_KM,$E67,AC_THANG,P$1)</f>
        <v>32253671</v>
      </c>
      <c r="Q67" s="1261">
        <f>SUMIFS(AC_SOTIEN,AC_KM,$E67,AC_THANG,Q$1)</f>
        <v>63054477</v>
      </c>
      <c r="R67" s="1261">
        <f>SUMIFS(AC_SOTIEN,AC_KM,$E67,AC_THANG,R$1)</f>
        <v>92528996</v>
      </c>
      <c r="S67" s="1261">
        <f>SUMIFS(AC_SOTIEN,AC_KM,$E67,AC_THANG,S$1)</f>
        <v>61778846</v>
      </c>
      <c r="T67" s="1261">
        <f>SUMIFS(AC_SOTIEN,AC_KM,$E67,AC_THANG,T$1)</f>
        <v>110960768</v>
      </c>
      <c r="U67" s="1261">
        <f>SUMIFS(AC_SOTIEN,AC_KM,$E67,AC_THANG,U$1)</f>
        <v>0</v>
      </c>
      <c r="V67" s="1261">
        <f>SUMIFS(AC_SOTIEN,AC_KM,$E67,AC_THANG,V$1)</f>
        <v>0</v>
      </c>
      <c r="W67" s="1261">
        <f>SUMIFS(AC_SOTIEN,AC_KM,$E67,AC_THANG,W$1)</f>
        <v>0</v>
      </c>
      <c r="X67" s="1261">
        <f>SUMIFS(AC_SOTIEN,AC_KM,$E67,AC_THANG,X$1)</f>
        <v>0</v>
      </c>
      <c r="Y67" s="1261">
        <f>SUMIFS(AC_SOTIEN,AC_KM,$E67,AC_THANG,Y$1)</f>
        <v>0</v>
      </c>
      <c r="Z67" s="1261">
        <f>SUMIFS(AC_SOTIEN,AC_KM,$E67,AC_THANG,Z$1)</f>
        <v>0</v>
      </c>
      <c r="AA67" s="1261">
        <f>SUMIFS(AC_SOTIEN,AC_KM,$E67,AC_THANG,AA$1)</f>
        <v>0</v>
      </c>
    </row>
    <row r="68">
      <c r="A68" s="1254"/>
      <c r="B68" s="1254"/>
      <c r="C68" s="1254"/>
      <c r="D68" s="1254" t="s">
        <v>2848</v>
      </c>
      <c r="E68" s="1256" t="s">
        <v>1211</v>
      </c>
      <c r="F68" s="1254"/>
      <c r="G68" s="1257">
        <v>3.0</v>
      </c>
      <c r="H68" s="1258">
        <f t="shared" si="58"/>
        <v>0</v>
      </c>
      <c r="I68" s="1220">
        <f t="shared" si="35"/>
        <v>0</v>
      </c>
      <c r="J68" s="1259"/>
      <c r="K68" s="1259"/>
      <c r="L68" s="1260"/>
      <c r="M68" s="1260"/>
      <c r="N68" s="1260"/>
      <c r="O68" s="1260"/>
      <c r="P68" s="1261">
        <f>SUMIFS(AC_SOTIEN,AC_KM,$E68,AC_THANG,P$1)</f>
        <v>0</v>
      </c>
      <c r="Q68" s="1261">
        <f>SUMIFS(AC_SOTIEN,AC_KM,$E68,AC_THANG,Q$1)</f>
        <v>0</v>
      </c>
      <c r="R68" s="1261">
        <f>SUMIFS(AC_SOTIEN,AC_KM,$E68,AC_THANG,R$1)</f>
        <v>0</v>
      </c>
      <c r="S68" s="1261">
        <f>SUMIFS(AC_SOTIEN,AC_KM,$E68,AC_THANG,S$1)</f>
        <v>0</v>
      </c>
      <c r="T68" s="1261">
        <f>SUMIFS(AC_SOTIEN,AC_KM,$E68,AC_THANG,T$1)</f>
        <v>18000000</v>
      </c>
      <c r="U68" s="1261">
        <f>SUMIFS(AC_SOTIEN,AC_KM,$E68,AC_THANG,U$1)</f>
        <v>0</v>
      </c>
      <c r="V68" s="1261">
        <f>SUMIFS(AC_SOTIEN,AC_KM,$E68,AC_THANG,V$1)</f>
        <v>0</v>
      </c>
      <c r="W68" s="1261">
        <f>SUMIFS(AC_SOTIEN,AC_KM,$E68,AC_THANG,W$1)</f>
        <v>0</v>
      </c>
      <c r="X68" s="1261">
        <f>SUMIFS(AC_SOTIEN,AC_KM,$E68,AC_THANG,X$1)</f>
        <v>0</v>
      </c>
      <c r="Y68" s="1261">
        <f>SUMIFS(AC_SOTIEN,AC_KM,$E68,AC_THANG,Y$1)</f>
        <v>0</v>
      </c>
      <c r="Z68" s="1261">
        <f>SUMIFS(AC_SOTIEN,AC_KM,$E68,AC_THANG,Z$1)</f>
        <v>0</v>
      </c>
      <c r="AA68" s="1261">
        <f>SUMIFS(AC_SOTIEN,AC_KM,$E68,AC_THANG,AA$1)</f>
        <v>0</v>
      </c>
    </row>
    <row r="69">
      <c r="A69" s="1254"/>
      <c r="B69" s="1254"/>
      <c r="C69" s="1254"/>
      <c r="D69" s="1254" t="s">
        <v>2849</v>
      </c>
      <c r="E69" s="1256" t="s">
        <v>2850</v>
      </c>
      <c r="F69" s="1254"/>
      <c r="G69" s="1257">
        <v>3.0</v>
      </c>
      <c r="H69" s="1258">
        <f t="shared" si="58"/>
        <v>0</v>
      </c>
      <c r="I69" s="1220">
        <f t="shared" si="35"/>
        <v>0</v>
      </c>
      <c r="J69" s="1259"/>
      <c r="K69" s="1259"/>
      <c r="L69" s="1260"/>
      <c r="M69" s="1260"/>
      <c r="N69" s="1260"/>
      <c r="O69" s="1260"/>
      <c r="P69" s="1261">
        <f>SUMIFS(AC_SOTIEN,AC_KM,$E69,AC_THANG,P$1)</f>
        <v>0</v>
      </c>
      <c r="Q69" s="1261">
        <f>SUMIFS(AC_SOTIEN,AC_KM,$E69,AC_THANG,Q$1)</f>
        <v>0</v>
      </c>
      <c r="R69" s="1261">
        <f>SUMIFS(AC_SOTIEN,AC_KM,$E69,AC_THANG,R$1)</f>
        <v>0</v>
      </c>
      <c r="S69" s="1261">
        <f>SUMIFS(AC_SOTIEN,AC_KM,$E69,AC_THANG,S$1)</f>
        <v>0</v>
      </c>
      <c r="T69" s="1261">
        <f>SUMIFS(AC_SOTIEN,AC_KM,$E69,AC_THANG,T$1)</f>
        <v>0</v>
      </c>
      <c r="U69" s="1261">
        <f>SUMIFS(AC_SOTIEN,AC_KM,$E69,AC_THANG,U$1)</f>
        <v>0</v>
      </c>
      <c r="V69" s="1261">
        <f>SUMIFS(AC_SOTIEN,AC_KM,$E69,AC_THANG,V$1)</f>
        <v>0</v>
      </c>
      <c r="W69" s="1261">
        <f>SUMIFS(AC_SOTIEN,AC_KM,$E69,AC_THANG,W$1)</f>
        <v>0</v>
      </c>
      <c r="X69" s="1261">
        <f>SUMIFS(AC_SOTIEN,AC_KM,$E69,AC_THANG,X$1)</f>
        <v>0</v>
      </c>
      <c r="Y69" s="1261">
        <f>SUMIFS(AC_SOTIEN,AC_KM,$E69,AC_THANG,Y$1)</f>
        <v>0</v>
      </c>
      <c r="Z69" s="1261">
        <f>SUMIFS(AC_SOTIEN,AC_KM,$E69,AC_THANG,Z$1)</f>
        <v>0</v>
      </c>
      <c r="AA69" s="1261">
        <f>SUMIFS(AC_SOTIEN,AC_KM,$E69,AC_THANG,AA$1)</f>
        <v>0</v>
      </c>
    </row>
    <row r="70">
      <c r="A70" s="1254"/>
      <c r="B70" s="1254"/>
      <c r="C70" s="1254"/>
      <c r="D70" s="1254" t="s">
        <v>2851</v>
      </c>
      <c r="E70" s="1256" t="s">
        <v>1273</v>
      </c>
      <c r="F70" s="1254"/>
      <c r="G70" s="1257">
        <v>3.0</v>
      </c>
      <c r="H70" s="1258">
        <f t="shared" si="58"/>
        <v>0</v>
      </c>
      <c r="I70" s="1220">
        <f t="shared" si="35"/>
        <v>0</v>
      </c>
      <c r="J70" s="1259"/>
      <c r="K70" s="1259"/>
      <c r="L70" s="1260"/>
      <c r="M70" s="1260"/>
      <c r="N70" s="1260"/>
      <c r="O70" s="1260"/>
      <c r="P70" s="1261">
        <f>SUMIFS(AC_SOTIEN,AC_KM,$E70,AC_THANG,P$1)</f>
        <v>0</v>
      </c>
      <c r="Q70" s="1261">
        <f>SUMIFS(AC_SOTIEN,AC_KM,$E70,AC_THANG,Q$1)</f>
        <v>0</v>
      </c>
      <c r="R70" s="1261">
        <f>SUMIFS(AC_SOTIEN,AC_KM,$E70,AC_THANG,R$1)</f>
        <v>0</v>
      </c>
      <c r="S70" s="1261">
        <f>SUMIFS(AC_SOTIEN,AC_KM,$E70,AC_THANG,S$1)</f>
        <v>0</v>
      </c>
      <c r="T70" s="1261">
        <f>SUMIFS(AC_SOTIEN,AC_KM,$E70,AC_THANG,T$1)</f>
        <v>6720000</v>
      </c>
      <c r="U70" s="1261">
        <f>SUMIFS(AC_SOTIEN,AC_KM,$E70,AC_THANG,U$1)</f>
        <v>0</v>
      </c>
      <c r="V70" s="1261">
        <f>SUMIFS(AC_SOTIEN,AC_KM,$E70,AC_THANG,V$1)</f>
        <v>0</v>
      </c>
      <c r="W70" s="1261">
        <f>SUMIFS(AC_SOTIEN,AC_KM,$E70,AC_THANG,W$1)</f>
        <v>0</v>
      </c>
      <c r="X70" s="1261">
        <f>SUMIFS(AC_SOTIEN,AC_KM,$E70,AC_THANG,X$1)</f>
        <v>0</v>
      </c>
      <c r="Y70" s="1261">
        <f>SUMIFS(AC_SOTIEN,AC_KM,$E70,AC_THANG,Y$1)</f>
        <v>0</v>
      </c>
      <c r="Z70" s="1261">
        <f>SUMIFS(AC_SOTIEN,AC_KM,$E70,AC_THANG,Z$1)</f>
        <v>0</v>
      </c>
      <c r="AA70" s="1261">
        <f>SUMIFS(AC_SOTIEN,AC_KM,$E70,AC_THANG,AA$1)</f>
        <v>0</v>
      </c>
    </row>
    <row r="71">
      <c r="A71" s="1254"/>
      <c r="B71" s="1254"/>
      <c r="C71" s="1254"/>
      <c r="D71" s="1254" t="s">
        <v>2852</v>
      </c>
      <c r="E71" s="1256" t="s">
        <v>1153</v>
      </c>
      <c r="F71" s="1254"/>
      <c r="G71" s="1257">
        <v>3.0</v>
      </c>
      <c r="H71" s="1258">
        <f t="shared" si="58"/>
        <v>0</v>
      </c>
      <c r="I71" s="1220">
        <f t="shared" si="35"/>
        <v>0</v>
      </c>
      <c r="J71" s="1259"/>
      <c r="K71" s="1259"/>
      <c r="L71" s="1260"/>
      <c r="M71" s="1260"/>
      <c r="N71" s="1260"/>
      <c r="O71" s="1260"/>
      <c r="P71" s="1261">
        <f>SUMIFS(AC_SOTIEN,AC_KM,$E71,AC_THANG,P$1)</f>
        <v>0</v>
      </c>
      <c r="Q71" s="1261">
        <f>SUMIFS(AC_SOTIEN,AC_KM,$E71,AC_THANG,Q$1)</f>
        <v>0</v>
      </c>
      <c r="R71" s="1261">
        <f>SUMIFS(AC_SOTIEN,AC_KM,$E71,AC_THANG,R$1)</f>
        <v>0</v>
      </c>
      <c r="S71" s="1261">
        <f>SUMIFS(AC_SOTIEN,AC_KM,$E71,AC_THANG,S$1)</f>
        <v>0</v>
      </c>
      <c r="T71" s="1261">
        <f>SUMIFS(AC_SOTIEN,AC_KM,$E71,AC_THANG,T$1)</f>
        <v>1037000</v>
      </c>
      <c r="U71" s="1261">
        <f>SUMIFS(AC_SOTIEN,AC_KM,$E71,AC_THANG,U$1)</f>
        <v>0</v>
      </c>
      <c r="V71" s="1261">
        <f>SUMIFS(AC_SOTIEN,AC_KM,$E71,AC_THANG,V$1)</f>
        <v>0</v>
      </c>
      <c r="W71" s="1261">
        <f>SUMIFS(AC_SOTIEN,AC_KM,$E71,AC_THANG,W$1)</f>
        <v>0</v>
      </c>
      <c r="X71" s="1261">
        <f>SUMIFS(AC_SOTIEN,AC_KM,$E71,AC_THANG,X$1)</f>
        <v>0</v>
      </c>
      <c r="Y71" s="1261">
        <f>SUMIFS(AC_SOTIEN,AC_KM,$E71,AC_THANG,Y$1)</f>
        <v>0</v>
      </c>
      <c r="Z71" s="1261">
        <f>SUMIFS(AC_SOTIEN,AC_KM,$E71,AC_THANG,Z$1)</f>
        <v>0</v>
      </c>
      <c r="AA71" s="1261">
        <f>SUMIFS(AC_SOTIEN,AC_KM,$E71,AC_THANG,AA$1)</f>
        <v>0</v>
      </c>
    </row>
    <row r="72">
      <c r="A72" s="1254"/>
      <c r="B72" s="1254"/>
      <c r="C72" s="1254"/>
      <c r="D72" s="1216" t="s">
        <v>2853</v>
      </c>
      <c r="E72" s="1217" t="s">
        <v>270</v>
      </c>
      <c r="F72" s="1218">
        <v>642.0</v>
      </c>
      <c r="G72" s="1218">
        <v>2.0</v>
      </c>
      <c r="H72" s="1219">
        <f t="shared" si="58"/>
        <v>49333001</v>
      </c>
      <c r="I72" s="1220">
        <f t="shared" si="35"/>
        <v>0.04606256015</v>
      </c>
      <c r="J72" s="1221"/>
      <c r="K72" s="1221"/>
      <c r="L72" s="1222"/>
      <c r="M72" s="1222"/>
      <c r="N72" s="1222"/>
      <c r="O72" s="1222"/>
      <c r="P72" s="1223">
        <f>SUMIFS(AC_SOTIEN,AC_KM,$E72,AC_THANG,P$1)</f>
        <v>49333001</v>
      </c>
      <c r="Q72" s="1223">
        <f>SUMIFS(AC_SOTIEN,AC_KM,$E72,AC_THANG,Q$1)</f>
        <v>49358330</v>
      </c>
      <c r="R72" s="1223">
        <f>SUMIFS(AC_SOTIEN,AC_KM,$E72,AC_THANG,R$1)</f>
        <v>45333002</v>
      </c>
      <c r="S72" s="1223">
        <f>SUMIFS(AC_SOTIEN,AC_KM,$E72,AC_THANG,S$1)</f>
        <v>48666666</v>
      </c>
      <c r="T72" s="1223">
        <f>SUMIFS(AC_SOTIEN,AC_KM,$E72,AC_THANG,T$1)</f>
        <v>48333000</v>
      </c>
      <c r="U72" s="1223">
        <f>SUMIFS(AC_SOTIEN,AC_KM,$E72,AC_THANG,U$1)</f>
        <v>0</v>
      </c>
      <c r="V72" s="1223">
        <f>SUMIFS(AC_SOTIEN,AC_KM,$E72,AC_THANG,V$1)</f>
        <v>0</v>
      </c>
      <c r="W72" s="1223">
        <f>SUMIFS(AC_SOTIEN,AC_KM,$E72,AC_THANG,W$1)</f>
        <v>0</v>
      </c>
      <c r="X72" s="1223">
        <f>SUMIFS(AC_SOTIEN,AC_KM,$E72,AC_THANG,X$1)</f>
        <v>0</v>
      </c>
      <c r="Y72" s="1223">
        <f>SUMIFS(AC_SOTIEN,AC_KM,$E72,AC_THANG,Y$1)</f>
        <v>0</v>
      </c>
      <c r="Z72" s="1223">
        <f>SUMIFS(AC_SOTIEN,AC_KM,$E72,AC_THANG,Z$1)</f>
        <v>0</v>
      </c>
      <c r="AA72" s="1223">
        <f>SUMIFS(AC_SOTIEN,AC_KM,$E72,AC_THANG,AA$1)</f>
        <v>0</v>
      </c>
    </row>
    <row r="73">
      <c r="A73" s="1254"/>
      <c r="B73" s="1254"/>
      <c r="C73" s="1254"/>
      <c r="D73" s="1216" t="s">
        <v>2854</v>
      </c>
      <c r="E73" s="1217"/>
      <c r="F73" s="1218">
        <v>642.0</v>
      </c>
      <c r="G73" s="1218">
        <v>2.0</v>
      </c>
      <c r="H73" s="1219">
        <f t="shared" si="58"/>
        <v>10171790</v>
      </c>
      <c r="I73" s="1220">
        <f t="shared" si="35"/>
        <v>0.009497469832</v>
      </c>
      <c r="J73" s="1221"/>
      <c r="K73" s="1221"/>
      <c r="L73" s="1222"/>
      <c r="M73" s="1222"/>
      <c r="N73" s="1222"/>
      <c r="O73" s="1222"/>
      <c r="P73" s="1223">
        <f t="shared" ref="P73:AA73" si="59">SUM(P74:P88)</f>
        <v>10171790</v>
      </c>
      <c r="Q73" s="1223">
        <f t="shared" si="59"/>
        <v>10329351</v>
      </c>
      <c r="R73" s="1223">
        <f t="shared" si="59"/>
        <v>18027056</v>
      </c>
      <c r="S73" s="1223">
        <f t="shared" si="59"/>
        <v>17382496</v>
      </c>
      <c r="T73" s="1223">
        <f t="shared" si="59"/>
        <v>18092625</v>
      </c>
      <c r="U73" s="1223">
        <f t="shared" si="59"/>
        <v>0</v>
      </c>
      <c r="V73" s="1223">
        <f t="shared" si="59"/>
        <v>0</v>
      </c>
      <c r="W73" s="1223">
        <f t="shared" si="59"/>
        <v>0</v>
      </c>
      <c r="X73" s="1223">
        <f t="shared" si="59"/>
        <v>0</v>
      </c>
      <c r="Y73" s="1223">
        <f t="shared" si="59"/>
        <v>0</v>
      </c>
      <c r="Z73" s="1223">
        <f t="shared" si="59"/>
        <v>0</v>
      </c>
      <c r="AA73" s="1223">
        <f t="shared" si="59"/>
        <v>0</v>
      </c>
    </row>
    <row r="74">
      <c r="A74" s="1254"/>
      <c r="B74" s="1254"/>
      <c r="C74" s="1254"/>
      <c r="D74" s="1274" t="s">
        <v>2909</v>
      </c>
      <c r="E74" s="1275" t="s">
        <v>377</v>
      </c>
      <c r="F74" s="1254"/>
      <c r="G74" s="1257">
        <v>3.0</v>
      </c>
      <c r="H74" s="1258">
        <f t="shared" si="58"/>
        <v>0</v>
      </c>
      <c r="I74" s="1220">
        <f t="shared" si="35"/>
        <v>0</v>
      </c>
      <c r="J74" s="1259"/>
      <c r="K74" s="1259"/>
      <c r="L74" s="1260"/>
      <c r="M74" s="1260"/>
      <c r="N74" s="1260"/>
      <c r="O74" s="1260"/>
      <c r="P74" s="1261">
        <f>SUMIFS(AC_SOTIEN,AC_KM,$E74,AC_THANG,P$1)</f>
        <v>0</v>
      </c>
      <c r="Q74" s="1261">
        <f>SUMIFS(AC_SOTIEN,AC_KM,$E74,AC_THANG,Q$1)</f>
        <v>470600</v>
      </c>
      <c r="R74" s="1261">
        <f>SUMIFS(AC_SOTIEN,AC_KM,$E74,AC_THANG,R$1)</f>
        <v>2709500</v>
      </c>
      <c r="S74" s="1261">
        <f>SUMIFS(AC_SOTIEN,AC_KM,$E74,AC_THANG,S$1)</f>
        <v>0</v>
      </c>
      <c r="T74" s="1261">
        <f>SUMIFS(AC_SOTIEN,AC_KM,$E74,AC_THANG,T$1)</f>
        <v>1260000</v>
      </c>
      <c r="U74" s="1261">
        <f>SUMIFS(AC_SOTIEN,AC_KM,$E74,AC_THANG,U$1)</f>
        <v>0</v>
      </c>
      <c r="V74" s="1261">
        <f>SUMIFS(AC_SOTIEN,AC_KM,$E74,AC_THANG,V$1)</f>
        <v>0</v>
      </c>
      <c r="W74" s="1261">
        <f>SUMIFS(AC_SOTIEN,AC_KM,$E74,AC_THANG,W$1)</f>
        <v>0</v>
      </c>
      <c r="X74" s="1261">
        <f>SUMIFS(AC_SOTIEN,AC_KM,$E74,AC_THANG,X$1)</f>
        <v>0</v>
      </c>
      <c r="Y74" s="1261">
        <f>SUMIFS(AC_SOTIEN,AC_KM,$E74,AC_THANG,Y$1)</f>
        <v>0</v>
      </c>
      <c r="Z74" s="1261">
        <f>SUMIFS(AC_SOTIEN,AC_KM,$E74,AC_THANG,Z$1)</f>
        <v>0</v>
      </c>
      <c r="AA74" s="1261">
        <f>SUMIFS(AC_SOTIEN,AC_KM,$E74,AC_THANG,AA$1)</f>
        <v>0</v>
      </c>
    </row>
    <row r="75">
      <c r="A75" s="1254"/>
      <c r="B75" s="1254"/>
      <c r="C75" s="1254"/>
      <c r="D75" s="1254" t="s">
        <v>2856</v>
      </c>
      <c r="E75" s="1256" t="s">
        <v>419</v>
      </c>
      <c r="F75" s="1254"/>
      <c r="G75" s="1257">
        <v>3.0</v>
      </c>
      <c r="H75" s="1258">
        <f t="shared" si="58"/>
        <v>0</v>
      </c>
      <c r="I75" s="1220">
        <f t="shared" si="35"/>
        <v>0</v>
      </c>
      <c r="J75" s="1259"/>
      <c r="K75" s="1259"/>
      <c r="L75" s="1260"/>
      <c r="M75" s="1260"/>
      <c r="N75" s="1260"/>
      <c r="O75" s="1260"/>
      <c r="P75" s="1261">
        <f>SUMIFS(AC_SOTIEN,AC_KM,$E75,AC_THANG,P$1)</f>
        <v>0</v>
      </c>
      <c r="Q75" s="1261">
        <f>SUMIFS(AC_SOTIEN,AC_KM,$E75,AC_THANG,Q$1)</f>
        <v>361750</v>
      </c>
      <c r="R75" s="1261">
        <f>SUMIFS(AC_SOTIEN,AC_KM,$E75,AC_THANG,R$1)</f>
        <v>1000000</v>
      </c>
      <c r="S75" s="1261">
        <f>SUMIFS(AC_SOTIEN,AC_KM,$E75,AC_THANG,S$1)</f>
        <v>966000</v>
      </c>
      <c r="T75" s="1261">
        <f>SUMIFS(AC_SOTIEN,AC_KM,$E75,AC_THANG,T$1)</f>
        <v>0</v>
      </c>
      <c r="U75" s="1261">
        <f>SUMIFS(AC_SOTIEN,AC_KM,$E75,AC_THANG,U$1)</f>
        <v>0</v>
      </c>
      <c r="V75" s="1261">
        <f>SUMIFS(AC_SOTIEN,AC_KM,$E75,AC_THANG,V$1)</f>
        <v>0</v>
      </c>
      <c r="W75" s="1261">
        <f>SUMIFS(AC_SOTIEN,AC_KM,$E75,AC_THANG,W$1)</f>
        <v>0</v>
      </c>
      <c r="X75" s="1261">
        <f>SUMIFS(AC_SOTIEN,AC_KM,$E75,AC_THANG,X$1)</f>
        <v>0</v>
      </c>
      <c r="Y75" s="1261">
        <f>SUMIFS(AC_SOTIEN,AC_KM,$E75,AC_THANG,Y$1)</f>
        <v>0</v>
      </c>
      <c r="Z75" s="1261">
        <f>SUMIFS(AC_SOTIEN,AC_KM,$E75,AC_THANG,Z$1)</f>
        <v>0</v>
      </c>
      <c r="AA75" s="1261">
        <f>SUMIFS(AC_SOTIEN,AC_KM,$E75,AC_THANG,AA$1)</f>
        <v>0</v>
      </c>
    </row>
    <row r="76">
      <c r="A76" s="1254"/>
      <c r="B76" s="1254"/>
      <c r="C76" s="1254"/>
      <c r="D76" s="1274" t="s">
        <v>2857</v>
      </c>
      <c r="E76" s="1276" t="s">
        <v>573</v>
      </c>
      <c r="F76" s="1254"/>
      <c r="G76" s="1257">
        <v>3.0</v>
      </c>
      <c r="H76" s="1258">
        <f t="shared" si="58"/>
        <v>0</v>
      </c>
      <c r="I76" s="1220">
        <f t="shared" si="35"/>
        <v>0</v>
      </c>
      <c r="J76" s="1259"/>
      <c r="K76" s="1259"/>
      <c r="L76" s="1260"/>
      <c r="M76" s="1260"/>
      <c r="N76" s="1260"/>
      <c r="O76" s="1260"/>
      <c r="P76" s="1261">
        <f>SUMIFS(AC_SOTIEN,AC_KM,$E76,AC_THANG,P$1)</f>
        <v>0</v>
      </c>
      <c r="Q76" s="1261">
        <f>SUMIFS(AC_SOTIEN,AC_KM,$E76,AC_THANG,Q$1)</f>
        <v>0</v>
      </c>
      <c r="R76" s="1261">
        <f>SUMIFS(AC_SOTIEN,AC_KM,$E76,AC_THANG,R$1)</f>
        <v>153999</v>
      </c>
      <c r="S76" s="1261">
        <f>SUMIFS(AC_SOTIEN,AC_KM,$E76,AC_THANG,S$1)</f>
        <v>900000</v>
      </c>
      <c r="T76" s="1261">
        <f>SUMIFS(AC_SOTIEN,AC_KM,$E76,AC_THANG,T$1)</f>
        <v>0</v>
      </c>
      <c r="U76" s="1261">
        <f>SUMIFS(AC_SOTIEN,AC_KM,$E76,AC_THANG,U$1)</f>
        <v>0</v>
      </c>
      <c r="V76" s="1261">
        <f>SUMIFS(AC_SOTIEN,AC_KM,$E76,AC_THANG,V$1)</f>
        <v>0</v>
      </c>
      <c r="W76" s="1261">
        <f>SUMIFS(AC_SOTIEN,AC_KM,$E76,AC_THANG,W$1)</f>
        <v>0</v>
      </c>
      <c r="X76" s="1261">
        <f>SUMIFS(AC_SOTIEN,AC_KM,$E76,AC_THANG,X$1)</f>
        <v>0</v>
      </c>
      <c r="Y76" s="1261">
        <f>SUMIFS(AC_SOTIEN,AC_KM,$E76,AC_THANG,Y$1)</f>
        <v>0</v>
      </c>
      <c r="Z76" s="1261">
        <f>SUMIFS(AC_SOTIEN,AC_KM,$E76,AC_THANG,Z$1)</f>
        <v>0</v>
      </c>
      <c r="AA76" s="1261">
        <f>SUMIFS(AC_SOTIEN,AC_KM,$E76,AC_THANG,AA$1)</f>
        <v>0</v>
      </c>
    </row>
    <row r="77">
      <c r="A77" s="1254"/>
      <c r="B77" s="1254"/>
      <c r="C77" s="1254"/>
      <c r="D77" s="1254" t="s">
        <v>2858</v>
      </c>
      <c r="E77" s="1256" t="s">
        <v>2220</v>
      </c>
      <c r="F77" s="1254"/>
      <c r="G77" s="1257">
        <v>3.0</v>
      </c>
      <c r="H77" s="1258">
        <f t="shared" si="58"/>
        <v>0</v>
      </c>
      <c r="I77" s="1220">
        <f t="shared" si="35"/>
        <v>0</v>
      </c>
      <c r="J77" s="1259"/>
      <c r="K77" s="1259"/>
      <c r="L77" s="1260"/>
      <c r="M77" s="1260"/>
      <c r="N77" s="1260"/>
      <c r="O77" s="1260"/>
      <c r="P77" s="1261">
        <f>SUMIFS(AC_SOTIEN,AC_KM,$E77,AC_THANG,P$1)</f>
        <v>0</v>
      </c>
      <c r="Q77" s="1261">
        <f>SUMIFS(AC_SOTIEN,AC_KM,$E77,AC_THANG,Q$1)</f>
        <v>0</v>
      </c>
      <c r="R77" s="1261">
        <f>SUMIFS(AC_SOTIEN,AC_KM,$E77,AC_THANG,R$1)</f>
        <v>0</v>
      </c>
      <c r="S77" s="1261">
        <f>SUMIFS(AC_SOTIEN,AC_KM,$E77,AC_THANG,S$1)</f>
        <v>0</v>
      </c>
      <c r="T77" s="1261">
        <f>SUMIFS(AC_SOTIEN,AC_KM,$E77,AC_THANG,T$1)</f>
        <v>0</v>
      </c>
      <c r="U77" s="1261">
        <f>SUMIFS(AC_SOTIEN,AC_KM,$E77,AC_THANG,U$1)</f>
        <v>0</v>
      </c>
      <c r="V77" s="1261">
        <f>SUMIFS(AC_SOTIEN,AC_KM,$E77,AC_THANG,V$1)</f>
        <v>0</v>
      </c>
      <c r="W77" s="1261">
        <f>SUMIFS(AC_SOTIEN,AC_KM,$E77,AC_THANG,W$1)</f>
        <v>0</v>
      </c>
      <c r="X77" s="1261">
        <f>SUMIFS(AC_SOTIEN,AC_KM,$E77,AC_THANG,X$1)</f>
        <v>0</v>
      </c>
      <c r="Y77" s="1261">
        <f>SUMIFS(AC_SOTIEN,AC_KM,$E77,AC_THANG,Y$1)</f>
        <v>0</v>
      </c>
      <c r="Z77" s="1261">
        <f>SUMIFS(AC_SOTIEN,AC_KM,$E77,AC_THANG,Z$1)</f>
        <v>0</v>
      </c>
      <c r="AA77" s="1261">
        <f>SUMIFS(AC_SOTIEN,AC_KM,$E77,AC_THANG,AA$1)</f>
        <v>0</v>
      </c>
    </row>
    <row r="78">
      <c r="A78" s="1254"/>
      <c r="B78" s="1254"/>
      <c r="C78" s="1254"/>
      <c r="D78" s="1254" t="s">
        <v>2859</v>
      </c>
      <c r="E78" s="1256" t="s">
        <v>2236</v>
      </c>
      <c r="F78" s="1254"/>
      <c r="G78" s="1257">
        <v>3.0</v>
      </c>
      <c r="H78" s="1258">
        <f t="shared" si="58"/>
        <v>0</v>
      </c>
      <c r="I78" s="1220">
        <f t="shared" si="35"/>
        <v>0</v>
      </c>
      <c r="J78" s="1259"/>
      <c r="K78" s="1259"/>
      <c r="L78" s="1260"/>
      <c r="M78" s="1260"/>
      <c r="N78" s="1260"/>
      <c r="O78" s="1260"/>
      <c r="P78" s="1261">
        <f>SUMIFS(AC_SOTIEN,AC_KM,$E78,AC_THANG,P$1)</f>
        <v>0</v>
      </c>
      <c r="Q78" s="1261">
        <f>SUMIFS(AC_SOTIEN,AC_KM,$E78,AC_THANG,Q$1)</f>
        <v>0</v>
      </c>
      <c r="R78" s="1261">
        <f>SUMIFS(AC_SOTIEN,AC_KM,$E78,AC_THANG,R$1)</f>
        <v>0</v>
      </c>
      <c r="S78" s="1261">
        <f>SUMIFS(AC_SOTIEN,AC_KM,$E78,AC_THANG,S$1)</f>
        <v>0</v>
      </c>
      <c r="T78" s="1261">
        <f>SUMIFS(AC_SOTIEN,AC_KM,$E78,AC_THANG,T$1)</f>
        <v>0</v>
      </c>
      <c r="U78" s="1261">
        <f>SUMIFS(AC_SOTIEN,AC_KM,$E78,AC_THANG,U$1)</f>
        <v>0</v>
      </c>
      <c r="V78" s="1261">
        <f>SUMIFS(AC_SOTIEN,AC_KM,$E78,AC_THANG,V$1)</f>
        <v>0</v>
      </c>
      <c r="W78" s="1261">
        <f>SUMIFS(AC_SOTIEN,AC_KM,$E78,AC_THANG,W$1)</f>
        <v>0</v>
      </c>
      <c r="X78" s="1261">
        <f>SUMIFS(AC_SOTIEN,AC_KM,$E78,AC_THANG,X$1)</f>
        <v>0</v>
      </c>
      <c r="Y78" s="1261">
        <f>SUMIFS(AC_SOTIEN,AC_KM,$E78,AC_THANG,Y$1)</f>
        <v>0</v>
      </c>
      <c r="Z78" s="1261">
        <f>SUMIFS(AC_SOTIEN,AC_KM,$E78,AC_THANG,Z$1)</f>
        <v>0</v>
      </c>
      <c r="AA78" s="1261">
        <f>SUMIFS(AC_SOTIEN,AC_KM,$E78,AC_THANG,AA$1)</f>
        <v>0</v>
      </c>
    </row>
    <row r="79">
      <c r="A79" s="1254"/>
      <c r="B79" s="1254"/>
      <c r="C79" s="1254"/>
      <c r="D79" s="1254" t="s">
        <v>2860</v>
      </c>
      <c r="E79" s="1256" t="s">
        <v>413</v>
      </c>
      <c r="F79" s="1254"/>
      <c r="G79" s="1257">
        <v>3.0</v>
      </c>
      <c r="H79" s="1258">
        <f t="shared" si="58"/>
        <v>0</v>
      </c>
      <c r="I79" s="1220">
        <f t="shared" si="35"/>
        <v>0</v>
      </c>
      <c r="J79" s="1259"/>
      <c r="K79" s="1259"/>
      <c r="L79" s="1260"/>
      <c r="M79" s="1260"/>
      <c r="N79" s="1260"/>
      <c r="O79" s="1260"/>
      <c r="P79" s="1261">
        <f>SUMIFS(AC_SOTIEN,AC_KM,$E79,AC_THANG,P$1)</f>
        <v>0</v>
      </c>
      <c r="Q79" s="1261">
        <f>SUMIFS(AC_SOTIEN,AC_KM,$E79,AC_THANG,Q$1)</f>
        <v>1830000</v>
      </c>
      <c r="R79" s="1261">
        <f>SUMIFS(AC_SOTIEN,AC_KM,$E79,AC_THANG,R$1)</f>
        <v>500001</v>
      </c>
      <c r="S79" s="1261">
        <f>SUMIFS(AC_SOTIEN,AC_KM,$E79,AC_THANG,S$1)</f>
        <v>0</v>
      </c>
      <c r="T79" s="1261">
        <f>SUMIFS(AC_SOTIEN,AC_KM,$E79,AC_THANG,T$1)</f>
        <v>3050000</v>
      </c>
      <c r="U79" s="1261">
        <f>SUMIFS(AC_SOTIEN,AC_KM,$E79,AC_THANG,U$1)</f>
        <v>0</v>
      </c>
      <c r="V79" s="1261">
        <f>SUMIFS(AC_SOTIEN,AC_KM,$E79,AC_THANG,V$1)</f>
        <v>0</v>
      </c>
      <c r="W79" s="1261">
        <f>SUMIFS(AC_SOTIEN,AC_KM,$E79,AC_THANG,W$1)</f>
        <v>0</v>
      </c>
      <c r="X79" s="1261">
        <f>SUMIFS(AC_SOTIEN,AC_KM,$E79,AC_THANG,X$1)</f>
        <v>0</v>
      </c>
      <c r="Y79" s="1261">
        <f>SUMIFS(AC_SOTIEN,AC_KM,$E79,AC_THANG,Y$1)</f>
        <v>0</v>
      </c>
      <c r="Z79" s="1261">
        <f>SUMIFS(AC_SOTIEN,AC_KM,$E79,AC_THANG,Z$1)</f>
        <v>0</v>
      </c>
      <c r="AA79" s="1261">
        <f>SUMIFS(AC_SOTIEN,AC_KM,$E79,AC_THANG,AA$1)</f>
        <v>0</v>
      </c>
    </row>
    <row r="80">
      <c r="A80" s="1254"/>
      <c r="B80" s="1254"/>
      <c r="C80" s="1254"/>
      <c r="D80" s="1254" t="s">
        <v>2861</v>
      </c>
      <c r="E80" s="1256" t="s">
        <v>262</v>
      </c>
      <c r="F80" s="1254"/>
      <c r="G80" s="1257">
        <v>3.0</v>
      </c>
      <c r="H80" s="1258">
        <f t="shared" si="58"/>
        <v>1100001</v>
      </c>
      <c r="I80" s="1220">
        <f t="shared" si="35"/>
        <v>0.001027078451</v>
      </c>
      <c r="J80" s="1259"/>
      <c r="K80" s="1259"/>
      <c r="L80" s="1260"/>
      <c r="M80" s="1260"/>
      <c r="N80" s="1260"/>
      <c r="O80" s="1260"/>
      <c r="P80" s="1261">
        <f>SUMIFS(AC_SOTIEN,AC_KM,$E80,AC_THANG,P$1)</f>
        <v>1100001</v>
      </c>
      <c r="Q80" s="1261">
        <f>SUMIFS(AC_SOTIEN,AC_KM,$E80,AC_THANG,Q$1)</f>
        <v>1080000</v>
      </c>
      <c r="R80" s="1261">
        <f>SUMIFS(AC_SOTIEN,AC_KM,$E80,AC_THANG,R$1)</f>
        <v>1329927</v>
      </c>
      <c r="S80" s="1261">
        <f>SUMIFS(AC_SOTIEN,AC_KM,$E80,AC_THANG,S$1)</f>
        <v>3295999</v>
      </c>
      <c r="T80" s="1261">
        <f>SUMIFS(AC_SOTIEN,AC_KM,$E80,AC_THANG,T$1)</f>
        <v>1971811</v>
      </c>
      <c r="U80" s="1261">
        <f>SUMIFS(AC_SOTIEN,AC_KM,$E80,AC_THANG,U$1)</f>
        <v>0</v>
      </c>
      <c r="V80" s="1261">
        <f>SUMIFS(AC_SOTIEN,AC_KM,$E80,AC_THANG,V$1)</f>
        <v>0</v>
      </c>
      <c r="W80" s="1261">
        <f>SUMIFS(AC_SOTIEN,AC_KM,$E80,AC_THANG,W$1)</f>
        <v>0</v>
      </c>
      <c r="X80" s="1261">
        <f>SUMIFS(AC_SOTIEN,AC_KM,$E80,AC_THANG,X$1)</f>
        <v>0</v>
      </c>
      <c r="Y80" s="1261">
        <f>SUMIFS(AC_SOTIEN,AC_KM,$E80,AC_THANG,Y$1)</f>
        <v>0</v>
      </c>
      <c r="Z80" s="1261">
        <f>SUMIFS(AC_SOTIEN,AC_KM,$E80,AC_THANG,Z$1)</f>
        <v>0</v>
      </c>
      <c r="AA80" s="1261">
        <f>SUMIFS(AC_SOTIEN,AC_KM,$E80,AC_THANG,AA$1)</f>
        <v>0</v>
      </c>
    </row>
    <row r="81">
      <c r="A81" s="1254"/>
      <c r="B81" s="1254"/>
      <c r="C81" s="1254"/>
      <c r="D81" s="1254" t="s">
        <v>2862</v>
      </c>
      <c r="E81" s="1275" t="s">
        <v>2223</v>
      </c>
      <c r="F81" s="1254"/>
      <c r="G81" s="1257">
        <v>3.0</v>
      </c>
      <c r="H81" s="1258">
        <f t="shared" si="58"/>
        <v>0</v>
      </c>
      <c r="I81" s="1220">
        <f t="shared" si="35"/>
        <v>0</v>
      </c>
      <c r="J81" s="1259"/>
      <c r="K81" s="1259"/>
      <c r="L81" s="1260"/>
      <c r="M81" s="1260"/>
      <c r="N81" s="1260"/>
      <c r="O81" s="1260"/>
      <c r="P81" s="1261">
        <f>SUMIFS(AC_SOTIEN,AC_KM,$E81,AC_THANG,P$1)</f>
        <v>0</v>
      </c>
      <c r="Q81" s="1261">
        <f>SUMIFS(AC_SOTIEN,AC_KM,$E81,AC_THANG,Q$1)</f>
        <v>0</v>
      </c>
      <c r="R81" s="1261">
        <f>SUMIFS(AC_SOTIEN,AC_KM,$E81,AC_THANG,R$1)</f>
        <v>0</v>
      </c>
      <c r="S81" s="1261">
        <f>SUMIFS(AC_SOTIEN,AC_KM,$E81,AC_THANG,S$1)</f>
        <v>0</v>
      </c>
      <c r="T81" s="1261">
        <f>SUMIFS(AC_SOTIEN,AC_KM,$E81,AC_THANG,T$1)</f>
        <v>0</v>
      </c>
      <c r="U81" s="1261">
        <f>SUMIFS(AC_SOTIEN,AC_KM,$E81,AC_THANG,U$1)</f>
        <v>0</v>
      </c>
      <c r="V81" s="1261">
        <f>SUMIFS(AC_SOTIEN,AC_KM,$E81,AC_THANG,V$1)</f>
        <v>0</v>
      </c>
      <c r="W81" s="1261">
        <f>SUMIFS(AC_SOTIEN,AC_KM,$E81,AC_THANG,W$1)</f>
        <v>0</v>
      </c>
      <c r="X81" s="1261">
        <f>SUMIFS(AC_SOTIEN,AC_KM,$E81,AC_THANG,X$1)</f>
        <v>0</v>
      </c>
      <c r="Y81" s="1261">
        <f>SUMIFS(AC_SOTIEN,AC_KM,$E81,AC_THANG,Y$1)</f>
        <v>0</v>
      </c>
      <c r="Z81" s="1261">
        <f>SUMIFS(AC_SOTIEN,AC_KM,$E81,AC_THANG,Z$1)</f>
        <v>0</v>
      </c>
      <c r="AA81" s="1261">
        <f>SUMIFS(AC_SOTIEN,AC_KM,$E81,AC_THANG,AA$1)</f>
        <v>0</v>
      </c>
    </row>
    <row r="82">
      <c r="A82" s="1254"/>
      <c r="B82" s="1254"/>
      <c r="C82" s="1254"/>
      <c r="D82" s="1254" t="s">
        <v>2863</v>
      </c>
      <c r="E82" s="1256" t="s">
        <v>272</v>
      </c>
      <c r="F82" s="1254"/>
      <c r="G82" s="1257">
        <v>3.0</v>
      </c>
      <c r="H82" s="1258">
        <f t="shared" si="58"/>
        <v>5345848</v>
      </c>
      <c r="I82" s="1220">
        <f t="shared" si="35"/>
        <v>0.004991454808</v>
      </c>
      <c r="J82" s="1259"/>
      <c r="K82" s="1259"/>
      <c r="L82" s="1260"/>
      <c r="M82" s="1260"/>
      <c r="N82" s="1260"/>
      <c r="O82" s="1260"/>
      <c r="P82" s="1261">
        <f>SUMIFS(AC_SOTIEN,AC_KM,$E82,AC_THANG,P$1)</f>
        <v>5345848</v>
      </c>
      <c r="Q82" s="1261">
        <f>SUMIFS(AC_SOTIEN,AC_KM,$E82,AC_THANG,Q$1)</f>
        <v>1828999</v>
      </c>
      <c r="R82" s="1261">
        <f>SUMIFS(AC_SOTIEN,AC_KM,$E82,AC_THANG,R$1)</f>
        <v>6022356</v>
      </c>
      <c r="S82" s="1261">
        <f>SUMIFS(AC_SOTIEN,AC_KM,$E82,AC_THANG,S$1)</f>
        <v>7272500</v>
      </c>
      <c r="T82" s="1261">
        <f>SUMIFS(AC_SOTIEN,AC_KM,$E82,AC_THANG,T$1)</f>
        <v>8868815</v>
      </c>
      <c r="U82" s="1261">
        <f>SUMIFS(AC_SOTIEN,AC_KM,$E82,AC_THANG,U$1)</f>
        <v>0</v>
      </c>
      <c r="V82" s="1261">
        <f>SUMIFS(AC_SOTIEN,AC_KM,$E82,AC_THANG,V$1)</f>
        <v>0</v>
      </c>
      <c r="W82" s="1261">
        <f>SUMIFS(AC_SOTIEN,AC_KM,$E82,AC_THANG,W$1)</f>
        <v>0</v>
      </c>
      <c r="X82" s="1261">
        <f>SUMIFS(AC_SOTIEN,AC_KM,$E82,AC_THANG,X$1)</f>
        <v>0</v>
      </c>
      <c r="Y82" s="1261">
        <f>SUMIFS(AC_SOTIEN,AC_KM,$E82,AC_THANG,Y$1)</f>
        <v>0</v>
      </c>
      <c r="Z82" s="1261">
        <f>SUMIFS(AC_SOTIEN,AC_KM,$E82,AC_THANG,Z$1)</f>
        <v>0</v>
      </c>
      <c r="AA82" s="1261">
        <f>SUMIFS(AC_SOTIEN,AC_KM,$E82,AC_THANG,AA$1)</f>
        <v>0</v>
      </c>
    </row>
    <row r="83">
      <c r="A83" s="1254"/>
      <c r="B83" s="1254"/>
      <c r="C83" s="1254"/>
      <c r="D83" s="1254" t="s">
        <v>2864</v>
      </c>
      <c r="E83" s="1256" t="s">
        <v>219</v>
      </c>
      <c r="F83" s="1254"/>
      <c r="G83" s="1257">
        <v>3.0</v>
      </c>
      <c r="H83" s="1258">
        <f t="shared" si="58"/>
        <v>653999</v>
      </c>
      <c r="I83" s="1220">
        <f t="shared" si="35"/>
        <v>0.0006106433354</v>
      </c>
      <c r="J83" s="1259"/>
      <c r="K83" s="1259"/>
      <c r="L83" s="1260"/>
      <c r="M83" s="1260"/>
      <c r="N83" s="1260"/>
      <c r="O83" s="1260"/>
      <c r="P83" s="1261">
        <f>SUMIFS(AC_SOTIEN,AC_KM,$E83,AC_THANG,P$1)</f>
        <v>653999</v>
      </c>
      <c r="Q83" s="1261">
        <f>SUMIFS(AC_SOTIEN,AC_KM,$E83,AC_THANG,Q$1)</f>
        <v>195000</v>
      </c>
      <c r="R83" s="1261">
        <f>SUMIFS(AC_SOTIEN,AC_KM,$E83,AC_THANG,R$1)</f>
        <v>387001</v>
      </c>
      <c r="S83" s="1261">
        <f>SUMIFS(AC_SOTIEN,AC_KM,$E83,AC_THANG,S$1)</f>
        <v>933998</v>
      </c>
      <c r="T83" s="1261">
        <f>SUMIFS(AC_SOTIEN,AC_KM,$E83,AC_THANG,T$1)</f>
        <v>540000</v>
      </c>
      <c r="U83" s="1261">
        <f>SUMIFS(AC_SOTIEN,AC_KM,$E83,AC_THANG,U$1)</f>
        <v>0</v>
      </c>
      <c r="V83" s="1261">
        <f>SUMIFS(AC_SOTIEN,AC_KM,$E83,AC_THANG,V$1)</f>
        <v>0</v>
      </c>
      <c r="W83" s="1261">
        <f>SUMIFS(AC_SOTIEN,AC_KM,$E83,AC_THANG,W$1)</f>
        <v>0</v>
      </c>
      <c r="X83" s="1261">
        <f>SUMIFS(AC_SOTIEN,AC_KM,$E83,AC_THANG,X$1)</f>
        <v>0</v>
      </c>
      <c r="Y83" s="1261">
        <f>SUMIFS(AC_SOTIEN,AC_KM,$E83,AC_THANG,Y$1)</f>
        <v>0</v>
      </c>
      <c r="Z83" s="1261">
        <f>SUMIFS(AC_SOTIEN,AC_KM,$E83,AC_THANG,Z$1)</f>
        <v>0</v>
      </c>
      <c r="AA83" s="1261">
        <f>SUMIFS(AC_SOTIEN,AC_KM,$E83,AC_THANG,AA$1)</f>
        <v>0</v>
      </c>
    </row>
    <row r="84">
      <c r="A84" s="1254"/>
      <c r="B84" s="1254"/>
      <c r="C84" s="1254"/>
      <c r="D84" s="1254" t="s">
        <v>2865</v>
      </c>
      <c r="E84" s="1256" t="s">
        <v>222</v>
      </c>
      <c r="F84" s="1254"/>
      <c r="G84" s="1257">
        <v>3.0</v>
      </c>
      <c r="H84" s="1258">
        <f t="shared" si="58"/>
        <v>464998</v>
      </c>
      <c r="I84" s="1220">
        <f t="shared" si="35"/>
        <v>0.0004341718102</v>
      </c>
      <c r="J84" s="1259"/>
      <c r="K84" s="1259"/>
      <c r="L84" s="1260"/>
      <c r="M84" s="1260"/>
      <c r="N84" s="1260"/>
      <c r="O84" s="1260"/>
      <c r="P84" s="1261">
        <f>SUMIFS(AC_SOTIEN,AC_KM,$E84,AC_THANG,P$1)</f>
        <v>464998</v>
      </c>
      <c r="Q84" s="1261">
        <f>SUMIFS(AC_SOTIEN,AC_KM,$E84,AC_THANG,Q$1)</f>
        <v>1130000</v>
      </c>
      <c r="R84" s="1261">
        <f>SUMIFS(AC_SOTIEN,AC_KM,$E84,AC_THANG,R$1)</f>
        <v>989788</v>
      </c>
      <c r="S84" s="1261">
        <f>SUMIFS(AC_SOTIEN,AC_KM,$E84,AC_THANG,S$1)</f>
        <v>580000</v>
      </c>
      <c r="T84" s="1261">
        <f>SUMIFS(AC_SOTIEN,AC_KM,$E84,AC_THANG,T$1)</f>
        <v>625999</v>
      </c>
      <c r="U84" s="1261">
        <f>SUMIFS(AC_SOTIEN,AC_KM,$E84,AC_THANG,U$1)</f>
        <v>0</v>
      </c>
      <c r="V84" s="1261">
        <f>SUMIFS(AC_SOTIEN,AC_KM,$E84,AC_THANG,V$1)</f>
        <v>0</v>
      </c>
      <c r="W84" s="1261">
        <f>SUMIFS(AC_SOTIEN,AC_KM,$E84,AC_THANG,W$1)</f>
        <v>0</v>
      </c>
      <c r="X84" s="1261">
        <f>SUMIFS(AC_SOTIEN,AC_KM,$E84,AC_THANG,X$1)</f>
        <v>0</v>
      </c>
      <c r="Y84" s="1261">
        <f>SUMIFS(AC_SOTIEN,AC_KM,$E84,AC_THANG,Y$1)</f>
        <v>0</v>
      </c>
      <c r="Z84" s="1261">
        <f>SUMIFS(AC_SOTIEN,AC_KM,$E84,AC_THANG,Z$1)</f>
        <v>0</v>
      </c>
      <c r="AA84" s="1261">
        <f>SUMIFS(AC_SOTIEN,AC_KM,$E84,AC_THANG,AA$1)</f>
        <v>0</v>
      </c>
    </row>
    <row r="85">
      <c r="A85" s="1254"/>
      <c r="B85" s="1254"/>
      <c r="C85" s="1254"/>
      <c r="D85" s="1254" t="s">
        <v>2866</v>
      </c>
      <c r="E85" s="1256" t="s">
        <v>410</v>
      </c>
      <c r="F85" s="1254"/>
      <c r="G85" s="1257">
        <v>3.0</v>
      </c>
      <c r="H85" s="1258">
        <f t="shared" si="58"/>
        <v>0</v>
      </c>
      <c r="I85" s="1220">
        <f t="shared" si="35"/>
        <v>0</v>
      </c>
      <c r="J85" s="1259"/>
      <c r="K85" s="1259"/>
      <c r="L85" s="1260"/>
      <c r="M85" s="1260"/>
      <c r="N85" s="1260"/>
      <c r="O85" s="1260"/>
      <c r="P85" s="1261">
        <f>SUMIFS(AC_SOTIEN,AC_KM,$E85,AC_THANG,P$1)</f>
        <v>0</v>
      </c>
      <c r="Q85" s="1261">
        <f>SUMIFS(AC_SOTIEN,AC_KM,$E85,AC_THANG,Q$1)</f>
        <v>1499001</v>
      </c>
      <c r="R85" s="1261">
        <f>SUMIFS(AC_SOTIEN,AC_KM,$E85,AC_THANG,R$1)</f>
        <v>997910</v>
      </c>
      <c r="S85" s="1261">
        <f>SUMIFS(AC_SOTIEN,AC_KM,$E85,AC_THANG,S$1)</f>
        <v>1054000</v>
      </c>
      <c r="T85" s="1261">
        <f>SUMIFS(AC_SOTIEN,AC_KM,$E85,AC_THANG,T$1)</f>
        <v>96000</v>
      </c>
      <c r="U85" s="1261">
        <f>SUMIFS(AC_SOTIEN,AC_KM,$E85,AC_THANG,U$1)</f>
        <v>0</v>
      </c>
      <c r="V85" s="1261">
        <f>SUMIFS(AC_SOTIEN,AC_KM,$E85,AC_THANG,V$1)</f>
        <v>0</v>
      </c>
      <c r="W85" s="1261">
        <f>SUMIFS(AC_SOTIEN,AC_KM,$E85,AC_THANG,W$1)</f>
        <v>0</v>
      </c>
      <c r="X85" s="1261">
        <f>SUMIFS(AC_SOTIEN,AC_KM,$E85,AC_THANG,X$1)</f>
        <v>0</v>
      </c>
      <c r="Y85" s="1261">
        <f>SUMIFS(AC_SOTIEN,AC_KM,$E85,AC_THANG,Y$1)</f>
        <v>0</v>
      </c>
      <c r="Z85" s="1261">
        <f>SUMIFS(AC_SOTIEN,AC_KM,$E85,AC_THANG,Z$1)</f>
        <v>0</v>
      </c>
      <c r="AA85" s="1261">
        <f>SUMIFS(AC_SOTIEN,AC_KM,$E85,AC_THANG,AA$1)</f>
        <v>0</v>
      </c>
    </row>
    <row r="86">
      <c r="A86" s="1254"/>
      <c r="B86" s="1254"/>
      <c r="C86" s="1254"/>
      <c r="D86" s="1254" t="s">
        <v>2867</v>
      </c>
      <c r="E86" s="1256" t="s">
        <v>226</v>
      </c>
      <c r="F86" s="1254"/>
      <c r="G86" s="1257">
        <v>3.0</v>
      </c>
      <c r="H86" s="1258">
        <f t="shared" si="58"/>
        <v>306944</v>
      </c>
      <c r="I86" s="1220">
        <f t="shared" si="35"/>
        <v>0.0002865957103</v>
      </c>
      <c r="J86" s="1259"/>
      <c r="K86" s="1259"/>
      <c r="L86" s="1260"/>
      <c r="M86" s="1260"/>
      <c r="N86" s="1260"/>
      <c r="O86" s="1260"/>
      <c r="P86" s="1261">
        <f>SUMIFS(AC_SOTIEN,AC_KM,$E86,AC_THANG,P$1)</f>
        <v>306944</v>
      </c>
      <c r="Q86" s="1261">
        <f>SUMIFS(AC_SOTIEN,AC_KM,$E86,AC_THANG,Q$1)</f>
        <v>491000</v>
      </c>
      <c r="R86" s="1261">
        <f>SUMIFS(AC_SOTIEN,AC_KM,$E86,AC_THANG,R$1)</f>
        <v>1229966</v>
      </c>
      <c r="S86" s="1261">
        <f>SUMIFS(AC_SOTIEN,AC_KM,$E86,AC_THANG,S$1)</f>
        <v>1300000</v>
      </c>
      <c r="T86" s="1261">
        <f>SUMIFS(AC_SOTIEN,AC_KM,$E86,AC_THANG,T$1)</f>
        <v>600000</v>
      </c>
      <c r="U86" s="1261">
        <f>SUMIFS(AC_SOTIEN,AC_KM,$E86,AC_THANG,U$1)</f>
        <v>0</v>
      </c>
      <c r="V86" s="1261">
        <f>SUMIFS(AC_SOTIEN,AC_KM,$E86,AC_THANG,V$1)</f>
        <v>0</v>
      </c>
      <c r="W86" s="1261">
        <f>SUMIFS(AC_SOTIEN,AC_KM,$E86,AC_THANG,W$1)</f>
        <v>0</v>
      </c>
      <c r="X86" s="1261">
        <f>SUMIFS(AC_SOTIEN,AC_KM,$E86,AC_THANG,X$1)</f>
        <v>0</v>
      </c>
      <c r="Y86" s="1261">
        <f>SUMIFS(AC_SOTIEN,AC_KM,$E86,AC_THANG,Y$1)</f>
        <v>0</v>
      </c>
      <c r="Z86" s="1261">
        <f>SUMIFS(AC_SOTIEN,AC_KM,$E86,AC_THANG,Z$1)</f>
        <v>0</v>
      </c>
      <c r="AA86" s="1261">
        <f>SUMIFS(AC_SOTIEN,AC_KM,$E86,AC_THANG,AA$1)</f>
        <v>0</v>
      </c>
    </row>
    <row r="87">
      <c r="A87" s="1254"/>
      <c r="B87" s="1254"/>
      <c r="C87" s="1254"/>
      <c r="D87" s="1254" t="s">
        <v>2870</v>
      </c>
      <c r="E87" s="1256" t="s">
        <v>307</v>
      </c>
      <c r="F87" s="1254"/>
      <c r="G87" s="1257">
        <v>3.0</v>
      </c>
      <c r="H87" s="1258">
        <f t="shared" si="58"/>
        <v>1000000</v>
      </c>
      <c r="I87" s="1220">
        <f t="shared" si="35"/>
        <v>0.0009337068335</v>
      </c>
      <c r="J87" s="1259"/>
      <c r="K87" s="1259"/>
      <c r="L87" s="1260"/>
      <c r="M87" s="1260"/>
      <c r="N87" s="1260"/>
      <c r="O87" s="1260"/>
      <c r="P87" s="1261">
        <f>SUMIFS(AC_SOTIEN,AC_KM,$E87,AC_THANG,P$1)</f>
        <v>1000000</v>
      </c>
      <c r="Q87" s="1261">
        <f>SUMIFS(AC_SOTIEN,AC_KM,$E87,AC_THANG,Q$1)</f>
        <v>0</v>
      </c>
      <c r="R87" s="1261">
        <f>SUMIFS(AC_SOTIEN,AC_KM,$E87,AC_THANG,R$1)</f>
        <v>1000000</v>
      </c>
      <c r="S87" s="1261">
        <f>SUMIFS(AC_SOTIEN,AC_KM,$E87,AC_THANG,S$1)</f>
        <v>0</v>
      </c>
      <c r="T87" s="1261">
        <f>SUMIFS(AC_SOTIEN,AC_KM,$E87,AC_THANG,T$1)</f>
        <v>0</v>
      </c>
      <c r="U87" s="1261">
        <f>SUMIFS(AC_SOTIEN,AC_KM,$E87,AC_THANG,U$1)</f>
        <v>0</v>
      </c>
      <c r="V87" s="1261">
        <f>SUMIFS(AC_SOTIEN,AC_KM,$E87,AC_THANG,V$1)</f>
        <v>0</v>
      </c>
      <c r="W87" s="1261">
        <f>SUMIFS(AC_SOTIEN,AC_KM,$E87,AC_THANG,W$1)</f>
        <v>0</v>
      </c>
      <c r="X87" s="1261">
        <f>SUMIFS(AC_SOTIEN,AC_KM,$E87,AC_THANG,X$1)</f>
        <v>0</v>
      </c>
      <c r="Y87" s="1261">
        <f>SUMIFS(AC_SOTIEN,AC_KM,$E87,AC_THANG,Y$1)</f>
        <v>0</v>
      </c>
      <c r="Z87" s="1261">
        <f>SUMIFS(AC_SOTIEN,AC_KM,$E87,AC_THANG,Z$1)</f>
        <v>0</v>
      </c>
      <c r="AA87" s="1261">
        <f>SUMIFS(AC_SOTIEN,AC_KM,$E87,AC_THANG,AA$1)</f>
        <v>0</v>
      </c>
    </row>
    <row r="88">
      <c r="A88" s="1254"/>
      <c r="B88" s="1254"/>
      <c r="C88" s="1254"/>
      <c r="D88" s="1274" t="s">
        <v>2910</v>
      </c>
      <c r="E88" s="1275" t="s">
        <v>206</v>
      </c>
      <c r="F88" s="1254"/>
      <c r="G88" s="1257">
        <v>3.0</v>
      </c>
      <c r="H88" s="1258">
        <f t="shared" si="58"/>
        <v>1300000</v>
      </c>
      <c r="I88" s="1220">
        <f t="shared" si="35"/>
        <v>0.001213818884</v>
      </c>
      <c r="J88" s="1259"/>
      <c r="K88" s="1259"/>
      <c r="L88" s="1260"/>
      <c r="M88" s="1260"/>
      <c r="N88" s="1260"/>
      <c r="O88" s="1260"/>
      <c r="P88" s="1261">
        <f>SUMIFS(AC_SOTIEN,AC_KM,$E88,AC_THANG,P$1)</f>
        <v>1300000</v>
      </c>
      <c r="Q88" s="1261">
        <f>SUMIFS(AC_SOTIEN,AC_KM,$E88,AC_THANG,Q$1)</f>
        <v>1443001</v>
      </c>
      <c r="R88" s="1261">
        <f>SUMIFS(AC_SOTIEN,AC_KM,$E88,AC_THANG,R$1)</f>
        <v>1706608</v>
      </c>
      <c r="S88" s="1261">
        <f>SUMIFS(AC_SOTIEN,AC_KM,$E88,AC_THANG,S$1)</f>
        <v>1079999</v>
      </c>
      <c r="T88" s="1261">
        <f>SUMIFS(AC_SOTIEN,AC_KM,$E88,AC_THANG,T$1)</f>
        <v>1080000</v>
      </c>
      <c r="U88" s="1261">
        <f>SUMIFS(AC_SOTIEN,AC_KM,$E88,AC_THANG,U$1)</f>
        <v>0</v>
      </c>
      <c r="V88" s="1261">
        <f>SUMIFS(AC_SOTIEN,AC_KM,$E88,AC_THANG,V$1)</f>
        <v>0</v>
      </c>
      <c r="W88" s="1261">
        <f>SUMIFS(AC_SOTIEN,AC_KM,$E88,AC_THANG,W$1)</f>
        <v>0</v>
      </c>
      <c r="X88" s="1261">
        <f>SUMIFS(AC_SOTIEN,AC_KM,$E88,AC_THANG,X$1)</f>
        <v>0</v>
      </c>
      <c r="Y88" s="1261">
        <f>SUMIFS(AC_SOTIEN,AC_KM,$E88,AC_THANG,Y$1)</f>
        <v>0</v>
      </c>
      <c r="Z88" s="1261">
        <f>SUMIFS(AC_SOTIEN,AC_KM,$E88,AC_THANG,Z$1)</f>
        <v>0</v>
      </c>
      <c r="AA88" s="1261">
        <f>SUMIFS(AC_SOTIEN,AC_KM,$E88,AC_THANG,AA$1)</f>
        <v>0</v>
      </c>
    </row>
    <row r="89">
      <c r="A89" s="1254"/>
      <c r="B89" s="1254"/>
      <c r="C89" s="1254"/>
      <c r="D89" s="1254" t="s">
        <v>2871</v>
      </c>
      <c r="E89" s="1217" t="s">
        <v>2872</v>
      </c>
      <c r="F89" s="1218">
        <v>642.0</v>
      </c>
      <c r="G89" s="1218">
        <v>2.0</v>
      </c>
      <c r="H89" s="1219">
        <f t="shared" si="58"/>
        <v>0</v>
      </c>
      <c r="I89" s="1220">
        <f t="shared" si="35"/>
        <v>0</v>
      </c>
      <c r="J89" s="1221"/>
      <c r="K89" s="1221"/>
      <c r="L89" s="1222"/>
      <c r="M89" s="1222"/>
      <c r="N89" s="1222"/>
      <c r="O89" s="1222"/>
      <c r="P89" s="1223">
        <f>SUMIFS(AC_SOTIEN,AC_KM,$E89,AC_THANG,P$1)</f>
        <v>0</v>
      </c>
      <c r="Q89" s="1223">
        <f>SUMIFS(AC_SOTIEN,AC_KM,$E89,AC_THANG,Q$1)</f>
        <v>0</v>
      </c>
      <c r="R89" s="1223">
        <f>SUMIFS(AC_SOTIEN,AC_KM,$E89,AC_THANG,R$1)</f>
        <v>0</v>
      </c>
      <c r="S89" s="1223">
        <f>SUMIFS(AC_SOTIEN,AC_KM,$E89,AC_THANG,S$1)</f>
        <v>0</v>
      </c>
      <c r="T89" s="1223">
        <f>SUMIFS(AC_SOTIEN,AC_KM,$E89,AC_THANG,T$1)</f>
        <v>0</v>
      </c>
      <c r="U89" s="1223">
        <f>SUMIFS(AC_SOTIEN,AC_KM,$E89,AC_THANG,U$1)</f>
        <v>0</v>
      </c>
      <c r="V89" s="1223">
        <f>SUMIFS(AC_SOTIEN,AC_KM,$E89,AC_THANG,V$1)</f>
        <v>0</v>
      </c>
      <c r="W89" s="1223">
        <f>SUMIFS(AC_SOTIEN,AC_KM,$E89,AC_THANG,W$1)</f>
        <v>0</v>
      </c>
      <c r="X89" s="1223">
        <f>SUMIFS(AC_SOTIEN,AC_KM,$E89,AC_THANG,X$1)</f>
        <v>0</v>
      </c>
      <c r="Y89" s="1223">
        <f>SUMIFS(AC_SOTIEN,AC_KM,$E89,AC_THANG,Y$1)</f>
        <v>0</v>
      </c>
      <c r="Z89" s="1223">
        <f>SUMIFS(AC_SOTIEN,AC_KM,$E89,AC_THANG,Z$1)</f>
        <v>0</v>
      </c>
      <c r="AA89" s="1223">
        <f>SUMIFS(AC_SOTIEN,AC_KM,$E89,AC_THANG,AA$1)</f>
        <v>0</v>
      </c>
    </row>
    <row r="90">
      <c r="A90" s="1254"/>
      <c r="B90" s="1254"/>
      <c r="C90" s="1254"/>
      <c r="D90" s="1254" t="s">
        <v>2873</v>
      </c>
      <c r="E90" s="1217" t="s">
        <v>382</v>
      </c>
      <c r="F90" s="1218">
        <v>642.0</v>
      </c>
      <c r="G90" s="1218">
        <v>2.0</v>
      </c>
      <c r="H90" s="1219">
        <f t="shared" si="58"/>
        <v>0</v>
      </c>
      <c r="I90" s="1220">
        <f t="shared" si="35"/>
        <v>0</v>
      </c>
      <c r="J90" s="1221"/>
      <c r="K90" s="1221"/>
      <c r="L90" s="1222"/>
      <c r="M90" s="1222"/>
      <c r="N90" s="1222"/>
      <c r="O90" s="1222"/>
      <c r="P90" s="1223">
        <f>SUMIFS(AC_SOTIEN,AC_KM,$E90,AC_THANG,P$1)</f>
        <v>0</v>
      </c>
      <c r="Q90" s="1223">
        <f>SUMIFS(AC_SOTIEN,AC_KM,$E90,AC_THANG,Q$1)</f>
        <v>310000</v>
      </c>
      <c r="R90" s="1223">
        <f>SUMIFS(AC_SOTIEN,AC_KM,$E90,AC_THANG,R$1)</f>
        <v>8320678</v>
      </c>
      <c r="S90" s="1223">
        <f>SUMIFS(AC_SOTIEN,AC_KM,$E90,AC_THANG,S$1)</f>
        <v>160000</v>
      </c>
      <c r="T90" s="1223">
        <f>SUMIFS(AC_SOTIEN,AC_KM,$E90,AC_THANG,T$1)</f>
        <v>5541000</v>
      </c>
      <c r="U90" s="1223">
        <f>SUMIFS(AC_SOTIEN,AC_KM,$E90,AC_THANG,U$1)</f>
        <v>0</v>
      </c>
      <c r="V90" s="1223">
        <f>SUMIFS(AC_SOTIEN,AC_KM,$E90,AC_THANG,V$1)</f>
        <v>0</v>
      </c>
      <c r="W90" s="1223">
        <f>SUMIFS(AC_SOTIEN,AC_KM,$E90,AC_THANG,W$1)</f>
        <v>0</v>
      </c>
      <c r="X90" s="1223">
        <f>SUMIFS(AC_SOTIEN,AC_KM,$E90,AC_THANG,X$1)</f>
        <v>0</v>
      </c>
      <c r="Y90" s="1223">
        <f>SUMIFS(AC_SOTIEN,AC_KM,$E90,AC_THANG,Y$1)</f>
        <v>0</v>
      </c>
      <c r="Z90" s="1223">
        <f>SUMIFS(AC_SOTIEN,AC_KM,$E90,AC_THANG,Z$1)</f>
        <v>0</v>
      </c>
      <c r="AA90" s="1223">
        <f>SUMIFS(AC_SOTIEN,AC_KM,$E90,AC_THANG,AA$1)</f>
        <v>0</v>
      </c>
    </row>
    <row r="91">
      <c r="A91" s="1277" t="s">
        <v>2874</v>
      </c>
      <c r="B91" s="1278"/>
      <c r="C91" s="1279"/>
      <c r="D91" s="1279"/>
      <c r="E91" s="1280"/>
      <c r="F91" s="1279"/>
      <c r="G91" s="1279"/>
      <c r="H91" s="1281">
        <f>H64+H52+H51+H50</f>
        <v>851084070</v>
      </c>
      <c r="I91" s="1282">
        <f t="shared" si="35"/>
        <v>0.794663012</v>
      </c>
      <c r="J91" s="1281"/>
      <c r="K91" s="1281"/>
      <c r="L91" s="1281"/>
      <c r="M91" s="1281"/>
      <c r="N91" s="1281"/>
      <c r="O91" s="1281"/>
      <c r="P91" s="1281">
        <f t="shared" ref="P91:AA91" si="60">P64+P52+P51+P50</f>
        <v>851084070</v>
      </c>
      <c r="Q91" s="1281">
        <f t="shared" si="60"/>
        <v>322592391</v>
      </c>
      <c r="R91" s="1281">
        <f t="shared" si="60"/>
        <v>850784926</v>
      </c>
      <c r="S91" s="1281">
        <f t="shared" si="60"/>
        <v>1570770591</v>
      </c>
      <c r="T91" s="1281">
        <f t="shared" si="60"/>
        <v>788160077</v>
      </c>
      <c r="U91" s="1281">
        <f t="shared" si="60"/>
        <v>0</v>
      </c>
      <c r="V91" s="1281">
        <f t="shared" si="60"/>
        <v>0</v>
      </c>
      <c r="W91" s="1281">
        <f t="shared" si="60"/>
        <v>0</v>
      </c>
      <c r="X91" s="1281">
        <f t="shared" si="60"/>
        <v>0</v>
      </c>
      <c r="Y91" s="1281">
        <f t="shared" si="60"/>
        <v>0</v>
      </c>
      <c r="Z91" s="1281">
        <f t="shared" si="60"/>
        <v>0</v>
      </c>
      <c r="AA91" s="1281">
        <f t="shared" si="60"/>
        <v>0</v>
      </c>
    </row>
    <row r="92">
      <c r="A92" s="1283" t="s">
        <v>2875</v>
      </c>
      <c r="B92" s="1237"/>
      <c r="C92" s="1237"/>
      <c r="D92" s="1238"/>
      <c r="E92" s="1239"/>
      <c r="F92" s="1238"/>
      <c r="G92" s="1284">
        <v>1.0</v>
      </c>
      <c r="H92" s="1285">
        <f>H38-H91</f>
        <v>219915910</v>
      </c>
      <c r="I92" s="1241">
        <f t="shared" si="35"/>
        <v>0.205336988</v>
      </c>
      <c r="J92" s="1285"/>
      <c r="K92" s="1285"/>
      <c r="L92" s="1285"/>
      <c r="M92" s="1285"/>
      <c r="N92" s="1285"/>
      <c r="O92" s="1285"/>
      <c r="P92" s="1285">
        <f t="shared" ref="P92:AA92" si="61">P38-P91</f>
        <v>-850084070</v>
      </c>
      <c r="Q92" s="1285">
        <f t="shared" si="61"/>
        <v>-322592391</v>
      </c>
      <c r="R92" s="1285">
        <f t="shared" si="61"/>
        <v>-820784926</v>
      </c>
      <c r="S92" s="1285">
        <f t="shared" si="61"/>
        <v>-1570770591</v>
      </c>
      <c r="T92" s="1285">
        <f t="shared" si="61"/>
        <v>-788160077</v>
      </c>
      <c r="U92" s="1285">
        <f t="shared" si="61"/>
        <v>0</v>
      </c>
      <c r="V92" s="1285">
        <f t="shared" si="61"/>
        <v>173333330</v>
      </c>
      <c r="W92" s="1285">
        <f t="shared" si="61"/>
        <v>173333330</v>
      </c>
      <c r="X92" s="1285">
        <f t="shared" si="61"/>
        <v>173333330</v>
      </c>
      <c r="Y92" s="1285">
        <f t="shared" si="61"/>
        <v>173333330</v>
      </c>
      <c r="Z92" s="1285">
        <f t="shared" si="61"/>
        <v>173333330</v>
      </c>
      <c r="AA92" s="1285">
        <f t="shared" si="61"/>
        <v>173333330</v>
      </c>
    </row>
    <row r="93">
      <c r="A93" s="1254"/>
      <c r="B93" s="1254"/>
      <c r="C93" s="1254"/>
      <c r="D93" s="1254" t="s">
        <v>2876</v>
      </c>
      <c r="E93" s="1217" t="s">
        <v>2877</v>
      </c>
      <c r="F93" s="1218">
        <v>711.0</v>
      </c>
      <c r="G93" s="1218">
        <v>2.0</v>
      </c>
      <c r="H93" s="1219">
        <f t="shared" ref="H93:H94" si="62">SUMIF(#REF!,#REF!,$P93:$AA93)</f>
        <v>0</v>
      </c>
      <c r="I93" s="1220">
        <f t="shared" si="35"/>
        <v>0</v>
      </c>
      <c r="J93" s="1221"/>
      <c r="K93" s="1221"/>
      <c r="L93" s="1222"/>
      <c r="M93" s="1222"/>
      <c r="N93" s="1222"/>
      <c r="O93" s="1222"/>
      <c r="P93" s="1223">
        <f>SUMIFS(AC_SOTIEN,AC_KM,$E93,AC_THANG,P$1)</f>
        <v>0</v>
      </c>
      <c r="Q93" s="1223">
        <f>SUMIFS(AC_SOTIEN,AC_KM,$E93,AC_THANG,Q$1)</f>
        <v>0</v>
      </c>
      <c r="R93" s="1223">
        <f>SUMIFS(AC_SOTIEN,AC_KM,$E93,AC_THANG,R$1)</f>
        <v>0</v>
      </c>
      <c r="S93" s="1223">
        <f>SUMIFS(AC_SOTIEN,AC_KM,$E93,AC_THANG,S$1)</f>
        <v>0</v>
      </c>
      <c r="T93" s="1223">
        <f>SUMIFS(AC_SOTIEN,AC_KM,$E93,AC_THANG,T$1)</f>
        <v>0</v>
      </c>
      <c r="U93" s="1223">
        <f>SUMIFS(AC_SOTIEN,AC_KM,$E93,AC_THANG,U$1)</f>
        <v>0</v>
      </c>
      <c r="V93" s="1223">
        <f>SUMIFS(AC_SOTIEN,AC_KM,$E93,AC_THANG,V$1)</f>
        <v>0</v>
      </c>
      <c r="W93" s="1223">
        <f>SUMIFS(AC_SOTIEN,AC_KM,$E93,AC_THANG,W$1)</f>
        <v>0</v>
      </c>
      <c r="X93" s="1223">
        <f>SUMIFS(AC_SOTIEN,AC_KM,$E93,AC_THANG,X$1)</f>
        <v>0</v>
      </c>
      <c r="Y93" s="1223">
        <f>SUMIFS(AC_SOTIEN,AC_KM,$E93,AC_THANG,Y$1)</f>
        <v>0</v>
      </c>
      <c r="Z93" s="1223">
        <f>SUMIFS(AC_SOTIEN,AC_KM,$E93,AC_THANG,Z$1)</f>
        <v>0</v>
      </c>
      <c r="AA93" s="1223">
        <f>SUMIFS(AC_SOTIEN,AC_KM,$E93,AC_THANG,AA$1)</f>
        <v>0</v>
      </c>
    </row>
    <row r="94">
      <c r="A94" s="1254"/>
      <c r="B94" s="1254"/>
      <c r="C94" s="1254"/>
      <c r="D94" s="1254" t="s">
        <v>2090</v>
      </c>
      <c r="E94" s="1217" t="s">
        <v>380</v>
      </c>
      <c r="F94" s="1218">
        <v>811.0</v>
      </c>
      <c r="G94" s="1218">
        <v>2.0</v>
      </c>
      <c r="H94" s="1219">
        <f t="shared" si="62"/>
        <v>0</v>
      </c>
      <c r="I94" s="1220">
        <f t="shared" si="35"/>
        <v>0</v>
      </c>
      <c r="J94" s="1221"/>
      <c r="K94" s="1221"/>
      <c r="L94" s="1222"/>
      <c r="M94" s="1222"/>
      <c r="N94" s="1222"/>
      <c r="O94" s="1222"/>
      <c r="P94" s="1223">
        <f>SUMIFS(AC_SOTIEN,AC_KM,$E94,AC_THANG,P$1)</f>
        <v>0</v>
      </c>
      <c r="Q94" s="1223">
        <f>SUMIFS(AC_SOTIEN,AC_KM,$E94,AC_THANG,Q$1)</f>
        <v>160001</v>
      </c>
      <c r="R94" s="1223">
        <f>SUMIFS(AC_SOTIEN,AC_KM,$E94,AC_THANG,R$1)</f>
        <v>0</v>
      </c>
      <c r="S94" s="1223">
        <f>SUMIFS(AC_SOTIEN,AC_KM,$E94,AC_THANG,S$1)</f>
        <v>0</v>
      </c>
      <c r="T94" s="1223">
        <f>SUMIFS(AC_SOTIEN,AC_KM,$E94,AC_THANG,T$1)</f>
        <v>0</v>
      </c>
      <c r="U94" s="1223">
        <f>SUMIFS(AC_SOTIEN,AC_KM,$E94,AC_THANG,U$1)</f>
        <v>0</v>
      </c>
      <c r="V94" s="1223">
        <f>SUMIFS(AC_SOTIEN,AC_KM,$E94,AC_THANG,V$1)</f>
        <v>0</v>
      </c>
      <c r="W94" s="1223">
        <f>SUMIFS(AC_SOTIEN,AC_KM,$E94,AC_THANG,W$1)</f>
        <v>0</v>
      </c>
      <c r="X94" s="1223">
        <f>SUMIFS(AC_SOTIEN,AC_KM,$E94,AC_THANG,X$1)</f>
        <v>0</v>
      </c>
      <c r="Y94" s="1223">
        <f>SUMIFS(AC_SOTIEN,AC_KM,$E94,AC_THANG,Y$1)</f>
        <v>0</v>
      </c>
      <c r="Z94" s="1223">
        <f>SUMIFS(AC_SOTIEN,AC_KM,$E94,AC_THANG,Z$1)</f>
        <v>0</v>
      </c>
      <c r="AA94" s="1223">
        <f>SUMIFS(AC_SOTIEN,AC_KM,$E94,AC_THANG,AA$1)</f>
        <v>0</v>
      </c>
    </row>
    <row r="95">
      <c r="A95" s="1254"/>
      <c r="B95" s="1254"/>
      <c r="C95" s="1254"/>
      <c r="D95" s="1254" t="s">
        <v>2878</v>
      </c>
      <c r="E95" s="1217"/>
      <c r="F95" s="1254"/>
      <c r="G95" s="1254"/>
      <c r="H95" s="1219">
        <f>H93-H94</f>
        <v>0</v>
      </c>
      <c r="I95" s="1220">
        <f t="shared" si="35"/>
        <v>0</v>
      </c>
      <c r="J95" s="1221"/>
      <c r="K95" s="1221"/>
      <c r="L95" s="1222"/>
      <c r="M95" s="1222"/>
      <c r="N95" s="1222"/>
      <c r="O95" s="1222"/>
      <c r="P95" s="1223">
        <f t="shared" ref="P95:AA95" si="63">P93-P94</f>
        <v>0</v>
      </c>
      <c r="Q95" s="1223">
        <f t="shared" si="63"/>
        <v>-160001</v>
      </c>
      <c r="R95" s="1223">
        <f t="shared" si="63"/>
        <v>0</v>
      </c>
      <c r="S95" s="1223">
        <f t="shared" si="63"/>
        <v>0</v>
      </c>
      <c r="T95" s="1223">
        <f t="shared" si="63"/>
        <v>0</v>
      </c>
      <c r="U95" s="1223">
        <f t="shared" si="63"/>
        <v>0</v>
      </c>
      <c r="V95" s="1223">
        <f t="shared" si="63"/>
        <v>0</v>
      </c>
      <c r="W95" s="1223">
        <f t="shared" si="63"/>
        <v>0</v>
      </c>
      <c r="X95" s="1223">
        <f t="shared" si="63"/>
        <v>0</v>
      </c>
      <c r="Y95" s="1223">
        <f t="shared" si="63"/>
        <v>0</v>
      </c>
      <c r="Z95" s="1223">
        <f t="shared" si="63"/>
        <v>0</v>
      </c>
      <c r="AA95" s="1223">
        <f t="shared" si="63"/>
        <v>0</v>
      </c>
    </row>
    <row r="96">
      <c r="A96" s="1286" t="s">
        <v>2879</v>
      </c>
      <c r="B96" s="1287"/>
      <c r="C96" s="1287"/>
      <c r="D96" s="1288"/>
      <c r="E96" s="1289"/>
      <c r="F96" s="1288"/>
      <c r="G96" s="1288"/>
      <c r="H96" s="1290">
        <f>H92+H95</f>
        <v>219915910</v>
      </c>
      <c r="I96" s="1291">
        <f t="shared" si="35"/>
        <v>0.205336988</v>
      </c>
      <c r="J96" s="1290"/>
      <c r="K96" s="1290"/>
      <c r="L96" s="1290"/>
      <c r="M96" s="1290"/>
      <c r="N96" s="1290"/>
      <c r="O96" s="1290"/>
      <c r="P96" s="1290">
        <f t="shared" ref="P96:AA96" si="64">P92+P95</f>
        <v>-850084070</v>
      </c>
      <c r="Q96" s="1290">
        <f t="shared" si="64"/>
        <v>-322752392</v>
      </c>
      <c r="R96" s="1290">
        <f t="shared" si="64"/>
        <v>-820784926</v>
      </c>
      <c r="S96" s="1290">
        <f t="shared" si="64"/>
        <v>-1570770591</v>
      </c>
      <c r="T96" s="1290">
        <f t="shared" si="64"/>
        <v>-788160077</v>
      </c>
      <c r="U96" s="1290">
        <f t="shared" si="64"/>
        <v>0</v>
      </c>
      <c r="V96" s="1290">
        <f t="shared" si="64"/>
        <v>173333330</v>
      </c>
      <c r="W96" s="1290">
        <f t="shared" si="64"/>
        <v>173333330</v>
      </c>
      <c r="X96" s="1290">
        <f t="shared" si="64"/>
        <v>173333330</v>
      </c>
      <c r="Y96" s="1290">
        <f t="shared" si="64"/>
        <v>173333330</v>
      </c>
      <c r="Z96" s="1290">
        <f t="shared" si="64"/>
        <v>173333330</v>
      </c>
      <c r="AA96" s="1290">
        <f t="shared" si="64"/>
        <v>173333330</v>
      </c>
    </row>
    <row r="97">
      <c r="A97" s="1246" t="s">
        <v>2880</v>
      </c>
      <c r="B97" s="1247"/>
      <c r="C97" s="1247"/>
      <c r="D97" s="1248"/>
      <c r="E97" s="1249" t="s">
        <v>2881</v>
      </c>
      <c r="F97" s="1248"/>
      <c r="G97" s="1250">
        <v>1.0</v>
      </c>
      <c r="H97" s="1251">
        <f>SUMIF(#REF!,#REF!,$P97:$AA97)</f>
        <v>0</v>
      </c>
      <c r="I97" s="1292">
        <f t="shared" si="35"/>
        <v>0</v>
      </c>
      <c r="J97" s="1251"/>
      <c r="K97" s="1251"/>
      <c r="L97" s="1251"/>
      <c r="M97" s="1251"/>
      <c r="N97" s="1251"/>
      <c r="O97" s="1251"/>
      <c r="P97" s="1251">
        <f t="shared" ref="P97:AA97" si="65">IF(P96&gt;0,P96*0.2,0)</f>
        <v>0</v>
      </c>
      <c r="Q97" s="1251">
        <f t="shared" si="65"/>
        <v>0</v>
      </c>
      <c r="R97" s="1251">
        <f t="shared" si="65"/>
        <v>0</v>
      </c>
      <c r="S97" s="1251">
        <f t="shared" si="65"/>
        <v>0</v>
      </c>
      <c r="T97" s="1251">
        <f t="shared" si="65"/>
        <v>0</v>
      </c>
      <c r="U97" s="1251">
        <f t="shared" si="65"/>
        <v>0</v>
      </c>
      <c r="V97" s="1251">
        <f t="shared" si="65"/>
        <v>34666666</v>
      </c>
      <c r="W97" s="1251">
        <f t="shared" si="65"/>
        <v>34666666</v>
      </c>
      <c r="X97" s="1251">
        <f t="shared" si="65"/>
        <v>34666666</v>
      </c>
      <c r="Y97" s="1251">
        <f t="shared" si="65"/>
        <v>34666666</v>
      </c>
      <c r="Z97" s="1251">
        <f t="shared" si="65"/>
        <v>34666666</v>
      </c>
      <c r="AA97" s="1251">
        <f t="shared" si="65"/>
        <v>34666666</v>
      </c>
    </row>
    <row r="98">
      <c r="A98" s="1286" t="s">
        <v>2882</v>
      </c>
      <c r="B98" s="1287"/>
      <c r="C98" s="1288"/>
      <c r="D98" s="1288"/>
      <c r="E98" s="1289"/>
      <c r="F98" s="1288"/>
      <c r="G98" s="1288"/>
      <c r="H98" s="1293">
        <f>H96-H97</f>
        <v>219915910</v>
      </c>
      <c r="I98" s="1291">
        <f t="shared" si="35"/>
        <v>0.205336988</v>
      </c>
      <c r="J98" s="1293"/>
      <c r="K98" s="1293"/>
      <c r="L98" s="1293"/>
      <c r="M98" s="1293"/>
      <c r="N98" s="1293"/>
      <c r="O98" s="1293"/>
      <c r="P98" s="1293">
        <f t="shared" ref="P98:AA98" si="66">P96-P97</f>
        <v>-850084070</v>
      </c>
      <c r="Q98" s="1293">
        <f t="shared" si="66"/>
        <v>-322752392</v>
      </c>
      <c r="R98" s="1293">
        <f t="shared" si="66"/>
        <v>-820784926</v>
      </c>
      <c r="S98" s="1293">
        <f t="shared" si="66"/>
        <v>-1570770591</v>
      </c>
      <c r="T98" s="1293">
        <f t="shared" si="66"/>
        <v>-788160077</v>
      </c>
      <c r="U98" s="1293">
        <f t="shared" si="66"/>
        <v>0</v>
      </c>
      <c r="V98" s="1293">
        <f t="shared" si="66"/>
        <v>138666664</v>
      </c>
      <c r="W98" s="1293">
        <f t="shared" si="66"/>
        <v>138666664</v>
      </c>
      <c r="X98" s="1293">
        <f t="shared" si="66"/>
        <v>138666664</v>
      </c>
      <c r="Y98" s="1293">
        <f t="shared" si="66"/>
        <v>138666664</v>
      </c>
      <c r="Z98" s="1293">
        <f t="shared" si="66"/>
        <v>138666664</v>
      </c>
      <c r="AA98" s="1293">
        <f t="shared" si="66"/>
        <v>138666664</v>
      </c>
    </row>
    <row r="99">
      <c r="A99" s="623"/>
      <c r="B99" s="623"/>
      <c r="C99" s="623"/>
      <c r="D99" s="623"/>
      <c r="E99" s="1298"/>
      <c r="F99" s="623"/>
      <c r="G99" s="623"/>
      <c r="H99" s="1299"/>
      <c r="I99" s="1299"/>
      <c r="J99" s="1300"/>
      <c r="K99" s="1300"/>
      <c r="L99" s="1301"/>
      <c r="M99" s="1301"/>
      <c r="N99" s="1301"/>
      <c r="O99" s="1301"/>
      <c r="P99" s="623"/>
      <c r="Q99" s="623"/>
      <c r="R99" s="623"/>
      <c r="S99" s="623"/>
      <c r="T99" s="623"/>
      <c r="U99" s="623"/>
      <c r="V99" s="623"/>
      <c r="W99" s="623"/>
      <c r="X99" s="623"/>
      <c r="Y99" s="623"/>
      <c r="Z99" s="623"/>
      <c r="AA99" s="623"/>
    </row>
  </sheetData>
  <mergeCells count="1">
    <mergeCell ref="H1:I1"/>
  </mergeCells>
  <dataValidations>
    <dataValidation type="list" allowBlank="1" showErrorMessage="1" sqref="C3:C13 C15:C25 C27:C37 C39:C49">
      <formula1>MA_DUAN</formula1>
    </dataValidation>
    <dataValidation type="list" allowBlank="1" showErrorMessage="1" sqref="J1:AA1">
      <formula1>THANG</formula1>
    </dataValidation>
    <dataValidation type="list" allowBlank="1" showErrorMessage="1" sqref="E3:E13 E15:E25 E27:E37 E39:E48 E50:E51 E53:E63 E65:E90 E92:E95 E97">
      <formula1>MA_KM</formula1>
    </dataValidation>
  </dataValidations>
  <hyperlinks>
    <hyperlink r:id="rId2" ref="E76"/>
  </hyperlinks>
  <drawing r:id="rId3"/>
  <legacyDrawing r:id="rId4"/>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0.71"/>
    <col customWidth="1" min="4" max="4" width="13.0"/>
    <col customWidth="1" min="5" max="5" width="10.0"/>
    <col customWidth="1" min="6" max="6" width="7.14"/>
    <col customWidth="1" min="7" max="7" width="13.0"/>
    <col customWidth="1" min="8" max="8" width="10.0"/>
    <col customWidth="1" min="9" max="9" width="7.14"/>
    <col customWidth="1" min="10" max="10" width="11.71"/>
    <col customWidth="1" min="11" max="11" width="6.29"/>
  </cols>
  <sheetData>
    <row r="1">
      <c r="A1" s="1359" t="s">
        <v>2934</v>
      </c>
      <c r="B1" s="1025"/>
      <c r="C1" s="1025"/>
      <c r="D1" s="1025"/>
      <c r="E1" s="1025"/>
      <c r="F1" s="1025"/>
      <c r="G1" s="1025"/>
      <c r="H1" s="1025"/>
      <c r="I1" s="1025"/>
      <c r="J1" s="1025"/>
      <c r="K1" s="1026"/>
    </row>
    <row r="2">
      <c r="A2" s="1360" t="str">
        <f>"Năm "&amp;('Thông tin DN'!B9)</f>
        <v>#REF!</v>
      </c>
      <c r="B2" s="1025"/>
      <c r="C2" s="1025"/>
      <c r="D2" s="1025"/>
      <c r="E2" s="1025"/>
      <c r="F2" s="1025"/>
      <c r="G2" s="1026"/>
      <c r="H2" s="1361"/>
      <c r="I2" s="1362"/>
      <c r="J2" s="1361"/>
      <c r="K2" s="1362"/>
    </row>
    <row r="3">
      <c r="A3" s="1363" t="s">
        <v>2935</v>
      </c>
      <c r="B3" s="1364"/>
      <c r="C3" s="1364"/>
      <c r="D3" s="1364"/>
      <c r="E3" s="1364"/>
      <c r="F3" s="1364"/>
      <c r="G3" s="1364"/>
      <c r="H3" s="1364"/>
      <c r="I3" s="1364"/>
      <c r="J3" s="1364"/>
      <c r="K3" s="1365"/>
    </row>
    <row r="4">
      <c r="A4" s="1366" t="s">
        <v>2936</v>
      </c>
      <c r="B4" s="1367" t="s">
        <v>124</v>
      </c>
      <c r="C4" s="1367" t="s">
        <v>125</v>
      </c>
      <c r="D4" s="1368" t="s">
        <v>2900</v>
      </c>
      <c r="E4" s="1369" t="s">
        <v>2937</v>
      </c>
      <c r="F4" s="1370" t="s">
        <v>2938</v>
      </c>
      <c r="G4" s="1368" t="s">
        <v>2901</v>
      </c>
      <c r="H4" s="1371" t="s">
        <v>2937</v>
      </c>
      <c r="I4" s="1372" t="s">
        <v>2938</v>
      </c>
      <c r="J4" s="1373" t="s">
        <v>2939</v>
      </c>
      <c r="K4" s="1374" t="s">
        <v>2940</v>
      </c>
    </row>
    <row r="5">
      <c r="A5" s="1375" t="s">
        <v>2941</v>
      </c>
      <c r="B5" s="1376" t="s">
        <v>2942</v>
      </c>
      <c r="C5" s="1376" t="s">
        <v>2943</v>
      </c>
      <c r="D5" s="1377">
        <f>SUMIFS(AC_SOTIEN,AC_THANG,D$4,AC_TKNO,$B5,AC_TKCO,$C5)</f>
        <v>0</v>
      </c>
      <c r="E5" s="1378">
        <f>IFERROR(D5/$D$6,0)</f>
        <v>0</v>
      </c>
      <c r="F5" s="1379"/>
      <c r="G5" s="1377">
        <f>HLOOKUP($G$4,BCTH_AC!$A$1:$AA$121,ROW(G5)+13,0)</f>
        <v>555572</v>
      </c>
      <c r="H5" s="1380">
        <f t="shared" ref="H5:H21" si="1">IFERROR(G5/$G$5,0)</f>
        <v>1</v>
      </c>
      <c r="I5" s="1381"/>
      <c r="J5" s="1382">
        <f t="shared" ref="J5:J20" si="2">G5-D5</f>
        <v>555572</v>
      </c>
      <c r="K5" s="1383">
        <f t="shared" ref="K5:K21" si="3">IFERROR(J5/D5,0)</f>
        <v>0</v>
      </c>
    </row>
    <row r="6">
      <c r="A6" s="1375" t="s">
        <v>2944</v>
      </c>
      <c r="B6" s="1376" t="s">
        <v>2943</v>
      </c>
      <c r="C6" s="1376" t="s">
        <v>2945</v>
      </c>
      <c r="D6" s="1384">
        <v>0.0</v>
      </c>
      <c r="E6" s="1385">
        <f t="shared" ref="E6:E21" si="4">IFERROR(D6/$D$5,0)</f>
        <v>0</v>
      </c>
      <c r="F6" s="1379"/>
      <c r="G6" s="1386"/>
      <c r="H6" s="1380">
        <f t="shared" si="1"/>
        <v>0</v>
      </c>
      <c r="I6" s="1381"/>
      <c r="J6" s="1387">
        <f t="shared" si="2"/>
        <v>0</v>
      </c>
      <c r="K6" s="1388">
        <f t="shared" si="3"/>
        <v>0</v>
      </c>
    </row>
    <row r="7">
      <c r="A7" s="1375" t="s">
        <v>2946</v>
      </c>
      <c r="B7" s="1376" t="s">
        <v>2214</v>
      </c>
      <c r="C7" s="1376" t="s">
        <v>2214</v>
      </c>
      <c r="D7" s="1386">
        <f>D5-D6</f>
        <v>0</v>
      </c>
      <c r="E7" s="1385">
        <f t="shared" si="4"/>
        <v>0</v>
      </c>
      <c r="F7" s="1379"/>
      <c r="G7" s="1386">
        <f>G5-G6</f>
        <v>555572</v>
      </c>
      <c r="H7" s="1380">
        <f t="shared" si="1"/>
        <v>1</v>
      </c>
      <c r="I7" s="1381"/>
      <c r="J7" s="1389">
        <f t="shared" si="2"/>
        <v>555572</v>
      </c>
      <c r="K7" s="1390">
        <f t="shared" si="3"/>
        <v>0</v>
      </c>
    </row>
    <row r="8">
      <c r="A8" s="1375" t="s">
        <v>2947</v>
      </c>
      <c r="B8" s="1376" t="s">
        <v>2943</v>
      </c>
      <c r="C8" s="1376" t="s">
        <v>2948</v>
      </c>
      <c r="D8" s="1384"/>
      <c r="E8" s="1385">
        <f t="shared" si="4"/>
        <v>0</v>
      </c>
      <c r="F8" s="1391">
        <f>IFERROR(D8/$D$21,0)</f>
        <v>0</v>
      </c>
      <c r="G8" s="1386"/>
      <c r="H8" s="1380">
        <f t="shared" si="1"/>
        <v>0</v>
      </c>
      <c r="I8" s="1392">
        <f>IFERROR(G8/$G$21,0)</f>
        <v>0</v>
      </c>
      <c r="J8" s="1389">
        <f t="shared" si="2"/>
        <v>0</v>
      </c>
      <c r="K8" s="1390">
        <f t="shared" si="3"/>
        <v>0</v>
      </c>
    </row>
    <row r="9">
      <c r="A9" s="1375" t="s">
        <v>2949</v>
      </c>
      <c r="B9" s="1376" t="s">
        <v>2214</v>
      </c>
      <c r="C9" s="1376" t="s">
        <v>2214</v>
      </c>
      <c r="D9" s="1386">
        <f>D7-D8</f>
        <v>0</v>
      </c>
      <c r="E9" s="1385">
        <f t="shared" si="4"/>
        <v>0</v>
      </c>
      <c r="F9" s="1379"/>
      <c r="G9" s="1386">
        <f>G7-G8</f>
        <v>555572</v>
      </c>
      <c r="H9" s="1380">
        <f t="shared" si="1"/>
        <v>1</v>
      </c>
      <c r="I9" s="1381"/>
      <c r="J9" s="1382">
        <f t="shared" si="2"/>
        <v>555572</v>
      </c>
      <c r="K9" s="1383">
        <f t="shared" si="3"/>
        <v>0</v>
      </c>
    </row>
    <row r="10">
      <c r="A10" s="1375" t="s">
        <v>2950</v>
      </c>
      <c r="B10" s="1376" t="s">
        <v>2951</v>
      </c>
      <c r="C10" s="1376" t="s">
        <v>2943</v>
      </c>
      <c r="D10" s="1384">
        <f>HLOOKUP($D$4,BCTH_AC!$A$1:$AA$121,ROW(D10)+56,0)</f>
        <v>0</v>
      </c>
      <c r="E10" s="1385">
        <f t="shared" si="4"/>
        <v>0</v>
      </c>
      <c r="F10" s="1379"/>
      <c r="G10" s="1386">
        <f>HLOOKUP($G$4,BCTH_AC!$A$1:$AA$121,ROW(G10)+56,0)</f>
        <v>0</v>
      </c>
      <c r="H10" s="1380">
        <f t="shared" si="1"/>
        <v>0</v>
      </c>
      <c r="I10" s="1381"/>
      <c r="J10" s="1387">
        <f t="shared" si="2"/>
        <v>0</v>
      </c>
      <c r="K10" s="1388">
        <f t="shared" si="3"/>
        <v>0</v>
      </c>
    </row>
    <row r="11">
      <c r="A11" s="1375" t="s">
        <v>2952</v>
      </c>
      <c r="B11" s="1376" t="s">
        <v>2943</v>
      </c>
      <c r="C11" s="1376" t="s">
        <v>2953</v>
      </c>
      <c r="D11" s="1384">
        <f>HLOOKUP($D$4,BCTH_AC!$A$1:$AA$121,ROW(D11)+56,0)</f>
        <v>0</v>
      </c>
      <c r="E11" s="1385">
        <f t="shared" si="4"/>
        <v>0</v>
      </c>
      <c r="F11" s="1391">
        <f t="shared" ref="F11:F13" si="5">IFERROR(D11/$D$21,0)</f>
        <v>0</v>
      </c>
      <c r="G11" s="1386">
        <f>HLOOKUP($G$4,BCTH_AC!$A$1:$AA$121,ROW(G11)+56,0)</f>
        <v>0</v>
      </c>
      <c r="H11" s="1380">
        <f t="shared" si="1"/>
        <v>0</v>
      </c>
      <c r="I11" s="1392">
        <f t="shared" ref="I11:I13" si="6">IFERROR(G11/$G$21,0)</f>
        <v>0</v>
      </c>
      <c r="J11" s="1387">
        <f t="shared" si="2"/>
        <v>0</v>
      </c>
      <c r="K11" s="1388">
        <f t="shared" si="3"/>
        <v>0</v>
      </c>
    </row>
    <row r="12">
      <c r="A12" s="1375" t="s">
        <v>2954</v>
      </c>
      <c r="B12" s="1376" t="s">
        <v>2943</v>
      </c>
      <c r="C12" s="1376" t="s">
        <v>2955</v>
      </c>
      <c r="D12" s="1384">
        <f>HLOOKUP($D$4,BCTH_AC!$A$1:$AA$121,ROW(D12)+56,0)</f>
        <v>1185113.083</v>
      </c>
      <c r="E12" s="1385">
        <f t="shared" si="4"/>
        <v>0</v>
      </c>
      <c r="F12" s="1391">
        <f t="shared" si="5"/>
        <v>0.848265806</v>
      </c>
      <c r="G12" s="1386">
        <f>HLOOKUP($G$4,BCTH_AC!$A$1:$AA$121,ROW(G12)+56,0)</f>
        <v>537626.524</v>
      </c>
      <c r="H12" s="1380">
        <f t="shared" si="1"/>
        <v>0.9676990993</v>
      </c>
      <c r="I12" s="1392">
        <f t="shared" si="6"/>
        <v>0.6809097352</v>
      </c>
      <c r="J12" s="1387">
        <f t="shared" si="2"/>
        <v>-647486.559</v>
      </c>
      <c r="K12" s="1388">
        <f t="shared" si="3"/>
        <v>-0.546350022</v>
      </c>
    </row>
    <row r="13">
      <c r="A13" s="1375" t="s">
        <v>2956</v>
      </c>
      <c r="B13" s="1376" t="s">
        <v>2943</v>
      </c>
      <c r="C13" s="1376" t="s">
        <v>1874</v>
      </c>
      <c r="D13" s="1384">
        <f>HLOOKUP($D$4,BCTH_AC!$A$1:$AA$121,ROW(D13)+72,0)</f>
        <v>211988.008</v>
      </c>
      <c r="E13" s="1385">
        <f t="shared" si="4"/>
        <v>0</v>
      </c>
      <c r="F13" s="1391">
        <f t="shared" si="5"/>
        <v>0.151734194</v>
      </c>
      <c r="G13" s="1386">
        <f>HLOOKUP($G$4,BCTH_AC!$A$1:$AA$121,ROW(G13)+72,0)</f>
        <v>251944.393</v>
      </c>
      <c r="H13" s="1380">
        <f t="shared" si="1"/>
        <v>0.4534864842</v>
      </c>
      <c r="I13" s="1392">
        <f t="shared" si="6"/>
        <v>0.3190902648</v>
      </c>
      <c r="J13" s="1387">
        <f t="shared" si="2"/>
        <v>39956.385</v>
      </c>
      <c r="K13" s="1388">
        <f t="shared" si="3"/>
        <v>0.188484176</v>
      </c>
    </row>
    <row r="14">
      <c r="A14" s="1375" t="s">
        <v>2957</v>
      </c>
      <c r="B14" s="1376" t="s">
        <v>2214</v>
      </c>
      <c r="C14" s="1376" t="s">
        <v>2214</v>
      </c>
      <c r="D14" s="1386">
        <f>D9+D10-D11-D12-D13</f>
        <v>-1397101.091</v>
      </c>
      <c r="E14" s="1385">
        <f t="shared" si="4"/>
        <v>0</v>
      </c>
      <c r="F14" s="1379"/>
      <c r="G14" s="1386">
        <f>G9+G10-G11-G12-G13</f>
        <v>-233998.917</v>
      </c>
      <c r="H14" s="1380">
        <f t="shared" si="1"/>
        <v>-0.4211855835</v>
      </c>
      <c r="I14" s="1381"/>
      <c r="J14" s="1382">
        <f t="shared" si="2"/>
        <v>1163102.174</v>
      </c>
      <c r="K14" s="1383">
        <f t="shared" si="3"/>
        <v>-0.8325111057</v>
      </c>
    </row>
    <row r="15">
      <c r="A15" s="1375" t="s">
        <v>2958</v>
      </c>
      <c r="B15" s="1376" t="s">
        <v>2959</v>
      </c>
      <c r="C15" s="1376" t="s">
        <v>2943</v>
      </c>
      <c r="D15" s="1384">
        <f>HLOOKUP($D$4,BCTH_AC!$A$1:$AA$121,ROW(D15)+100,0)</f>
        <v>0</v>
      </c>
      <c r="E15" s="1385">
        <f t="shared" si="4"/>
        <v>0</v>
      </c>
      <c r="F15" s="1379"/>
      <c r="G15" s="1386">
        <f>HLOOKUP($G$4,BCTH_AC!$A$1:$AA$121,ROW(G15)+100,0)</f>
        <v>0</v>
      </c>
      <c r="H15" s="1380">
        <f t="shared" si="1"/>
        <v>0</v>
      </c>
      <c r="I15" s="1381"/>
      <c r="J15" s="1387">
        <f t="shared" si="2"/>
        <v>0</v>
      </c>
      <c r="K15" s="1388">
        <f t="shared" si="3"/>
        <v>0</v>
      </c>
    </row>
    <row r="16">
      <c r="A16" s="1375" t="s">
        <v>2960</v>
      </c>
      <c r="B16" s="1376" t="s">
        <v>2943</v>
      </c>
      <c r="C16" s="1376" t="s">
        <v>2961</v>
      </c>
      <c r="D16" s="1384">
        <f>HLOOKUP($D$4,BCTH_AC!$A$1:$AA$121,ROW(D16)+100,0)</f>
        <v>0</v>
      </c>
      <c r="E16" s="1385">
        <f t="shared" si="4"/>
        <v>0</v>
      </c>
      <c r="F16" s="1391">
        <f>IFERROR(D16/$D$21,0)</f>
        <v>0</v>
      </c>
      <c r="G16" s="1386">
        <f>HLOOKUP($G$4,BCTH_AC!$A$1:$AA$121,ROW(G16)+100,0)</f>
        <v>0</v>
      </c>
      <c r="H16" s="1380">
        <f t="shared" si="1"/>
        <v>0</v>
      </c>
      <c r="I16" s="1392">
        <f>IFERROR(G16/$G$21,0)</f>
        <v>0</v>
      </c>
      <c r="J16" s="1387">
        <f t="shared" si="2"/>
        <v>0</v>
      </c>
      <c r="K16" s="1388">
        <f t="shared" si="3"/>
        <v>0</v>
      </c>
    </row>
    <row r="17">
      <c r="A17" s="1375" t="s">
        <v>2962</v>
      </c>
      <c r="B17" s="1376" t="s">
        <v>2214</v>
      </c>
      <c r="C17" s="1376" t="s">
        <v>2214</v>
      </c>
      <c r="D17" s="1386">
        <f>D15-D16</f>
        <v>0</v>
      </c>
      <c r="E17" s="1385">
        <f t="shared" si="4"/>
        <v>0</v>
      </c>
      <c r="F17" s="1379"/>
      <c r="G17" s="1386">
        <f>G15-G16</f>
        <v>0</v>
      </c>
      <c r="H17" s="1380">
        <f t="shared" si="1"/>
        <v>0</v>
      </c>
      <c r="I17" s="1381"/>
      <c r="J17" s="1387">
        <f t="shared" si="2"/>
        <v>0</v>
      </c>
      <c r="K17" s="1388">
        <f t="shared" si="3"/>
        <v>0</v>
      </c>
    </row>
    <row r="18">
      <c r="A18" s="1375" t="s">
        <v>2963</v>
      </c>
      <c r="B18" s="1376" t="s">
        <v>2214</v>
      </c>
      <c r="C18" s="1376" t="s">
        <v>2214</v>
      </c>
      <c r="D18" s="1386">
        <f>D17+D14</f>
        <v>-1397101.091</v>
      </c>
      <c r="E18" s="1385">
        <f t="shared" si="4"/>
        <v>0</v>
      </c>
      <c r="F18" s="1379"/>
      <c r="G18" s="1386">
        <f>G17+G14</f>
        <v>-233998.917</v>
      </c>
      <c r="H18" s="1380">
        <f t="shared" si="1"/>
        <v>-0.4211855835</v>
      </c>
      <c r="I18" s="1381"/>
      <c r="J18" s="1382">
        <f t="shared" si="2"/>
        <v>1163102.174</v>
      </c>
      <c r="K18" s="1383">
        <f t="shared" si="3"/>
        <v>-0.8325111057</v>
      </c>
    </row>
    <row r="19">
      <c r="A19" s="1375" t="s">
        <v>2964</v>
      </c>
      <c r="B19" s="1376" t="s">
        <v>2943</v>
      </c>
      <c r="C19" s="1376" t="s">
        <v>2965</v>
      </c>
      <c r="D19" s="1384">
        <f>HLOOKUP($D$4,BCTH_AC!$A$1:$AA$121,ROW(D19)+100,0)</f>
        <v>168551.4473</v>
      </c>
      <c r="E19" s="1385">
        <f t="shared" si="4"/>
        <v>0</v>
      </c>
      <c r="F19" s="1379"/>
      <c r="G19" s="1386">
        <f>HLOOKUP($G$4,BCTH_AC!$A$1:$AA$121,ROW(G19)+100,0)</f>
        <v>0</v>
      </c>
      <c r="H19" s="1380">
        <f t="shared" si="1"/>
        <v>0</v>
      </c>
      <c r="I19" s="1381"/>
      <c r="J19" s="1382">
        <f t="shared" si="2"/>
        <v>-168551.4473</v>
      </c>
      <c r="K19" s="1383">
        <f t="shared" si="3"/>
        <v>-1</v>
      </c>
    </row>
    <row r="20">
      <c r="A20" s="1375" t="s">
        <v>2966</v>
      </c>
      <c r="B20" s="1376" t="s">
        <v>2214</v>
      </c>
      <c r="C20" s="1376" t="s">
        <v>2214</v>
      </c>
      <c r="D20" s="1386">
        <f>D18-D19</f>
        <v>-1565652.538</v>
      </c>
      <c r="E20" s="1385">
        <f t="shared" si="4"/>
        <v>0</v>
      </c>
      <c r="F20" s="1379"/>
      <c r="G20" s="1386">
        <f>G18-G19</f>
        <v>-233998.917</v>
      </c>
      <c r="H20" s="1380">
        <f t="shared" si="1"/>
        <v>-0.4211855835</v>
      </c>
      <c r="I20" s="1381"/>
      <c r="J20" s="1382">
        <f t="shared" si="2"/>
        <v>1331653.621</v>
      </c>
      <c r="K20" s="1383">
        <f t="shared" si="3"/>
        <v>-0.8505422428</v>
      </c>
    </row>
    <row r="21">
      <c r="A21" s="1393" t="s">
        <v>2967</v>
      </c>
      <c r="B21" s="1394" t="s">
        <v>2214</v>
      </c>
      <c r="C21" s="1394" t="s">
        <v>2214</v>
      </c>
      <c r="D21" s="1395">
        <f>D8+D11+D12+D13+D16</f>
        <v>1397101.091</v>
      </c>
      <c r="E21" s="1396">
        <f t="shared" si="4"/>
        <v>0</v>
      </c>
      <c r="F21" s="1397">
        <f>IFERROR(D21/$D$21,0)</f>
        <v>1</v>
      </c>
      <c r="G21" s="1395">
        <f>G8+G11+G12+G13+G16</f>
        <v>789570.917</v>
      </c>
      <c r="H21" s="1398">
        <f t="shared" si="1"/>
        <v>1.421185584</v>
      </c>
      <c r="I21" s="1397">
        <f>IFERROR(G21/$G$21,0)</f>
        <v>1</v>
      </c>
      <c r="J21" s="1395">
        <f>J8+J11+J12+J13+J16</f>
        <v>-607530.174</v>
      </c>
      <c r="K21" s="1399">
        <f t="shared" si="3"/>
        <v>-0.4348505473</v>
      </c>
    </row>
    <row r="22">
      <c r="A22" s="1400"/>
      <c r="B22" s="1400"/>
      <c r="C22" s="1400"/>
      <c r="D22" s="1058"/>
      <c r="E22" s="1025"/>
      <c r="F22" s="1025"/>
      <c r="G22" s="1026"/>
      <c r="H22" s="1401"/>
      <c r="I22" s="1402"/>
      <c r="J22" s="1401"/>
      <c r="K22" s="1402"/>
    </row>
    <row r="23">
      <c r="A23" s="1403" t="s">
        <v>2968</v>
      </c>
      <c r="B23" s="1400"/>
      <c r="C23" s="1400"/>
      <c r="D23" s="1404" t="s">
        <v>14</v>
      </c>
      <c r="E23" s="1025"/>
      <c r="F23" s="1025"/>
      <c r="G23" s="1026"/>
      <c r="H23" s="1405"/>
      <c r="I23" s="1406"/>
      <c r="J23" s="1405"/>
      <c r="K23" s="1406"/>
    </row>
    <row r="24">
      <c r="A24" s="1407" t="s">
        <v>1825</v>
      </c>
      <c r="B24" s="1400"/>
      <c r="C24" s="1400"/>
      <c r="D24" s="1408" t="s">
        <v>2969</v>
      </c>
      <c r="E24" s="1025"/>
      <c r="F24" s="1025"/>
      <c r="G24" s="1026"/>
      <c r="H24" s="1407"/>
      <c r="I24" s="1409"/>
      <c r="J24" s="1407"/>
      <c r="K24" s="1409"/>
    </row>
  </sheetData>
  <mergeCells count="6">
    <mergeCell ref="A1:K1"/>
    <mergeCell ref="A2:G2"/>
    <mergeCell ref="A3:K3"/>
    <mergeCell ref="D22:G22"/>
    <mergeCell ref="D23:G23"/>
    <mergeCell ref="D24:G24"/>
  </mergeCells>
  <dataValidations>
    <dataValidation type="list" allowBlank="1" showErrorMessage="1" sqref="D4 G4">
      <formula1>THANG</formula1>
    </dataValidation>
  </dataValidation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0" ySplit="4.0" topLeftCell="K5" activePane="bottomRight" state="frozen"/>
      <selection activeCell="K1" sqref="K1" pane="topRight"/>
      <selection activeCell="A5" sqref="A5" pane="bottomLeft"/>
      <selection activeCell="K5" sqref="K5" pane="bottomRight"/>
    </sheetView>
  </sheetViews>
  <sheetFormatPr customHeight="1" defaultColWidth="14.43" defaultRowHeight="15.0" outlineLevelCol="1" outlineLevelRow="1"/>
  <cols>
    <col customWidth="1" hidden="1" min="1" max="1" width="6.29"/>
    <col customWidth="1" min="2" max="2" width="8.43"/>
    <col customWidth="1" min="3" max="3" width="9.43"/>
    <col customWidth="1" min="4" max="4" width="41.71"/>
    <col collapsed="1" min="12" max="12" width="14.43"/>
    <col hidden="1" min="13" max="50" width="14.43" outlineLevel="1"/>
  </cols>
  <sheetData>
    <row r="1">
      <c r="A1" s="1410"/>
      <c r="B1" s="1411" t="str">
        <f> NAME</f>
        <v>Công Ty CP BĐS Đại Hùng Thịnh</v>
      </c>
      <c r="E1" s="623" t="str">
        <f>IF(F225-G225&lt;&gt;0,"Số dư đầu kỳ chưa cân, Ktra lại","")</f>
        <v/>
      </c>
      <c r="G1" s="1412" t="str">
        <f>IF(G223-H223&lt;&gt;0,"Số phát sinh chưa cân, Ktra lại","")</f>
        <v>Số phát sinh chưa cân, Ktra lại</v>
      </c>
      <c r="I1" s="1412" t="str">
        <f>IF(I223-J223&lt;&gt;0,"Số dư cuối kỳ chưa cân, Ktra lại","")</f>
        <v>Số dư cuối kỳ chưa cân, Ktra lại</v>
      </c>
      <c r="K1" s="1413" t="s">
        <v>2970</v>
      </c>
      <c r="L1" s="1414"/>
      <c r="M1" s="1415"/>
      <c r="N1" s="1416"/>
      <c r="O1" s="1415"/>
      <c r="P1" s="1417"/>
      <c r="Q1" s="1417"/>
      <c r="R1" s="1417"/>
      <c r="S1" s="1417"/>
      <c r="T1" s="1417"/>
      <c r="U1" s="1417"/>
      <c r="V1" s="1417"/>
      <c r="W1" s="1417"/>
      <c r="X1" s="1416"/>
      <c r="Y1" s="1415"/>
      <c r="Z1" s="1417"/>
      <c r="AA1" s="1417"/>
      <c r="AB1" s="1416"/>
      <c r="AC1" s="1415"/>
      <c r="AD1" s="1416"/>
      <c r="AE1" s="1415"/>
      <c r="AF1" s="1416"/>
      <c r="AG1" s="1415"/>
      <c r="AH1" s="1416"/>
      <c r="AI1" s="1415"/>
      <c r="AJ1" s="1416"/>
      <c r="AK1" s="1415"/>
      <c r="AL1" s="1416"/>
      <c r="AM1" s="1415"/>
      <c r="AN1" s="1416"/>
      <c r="AO1" s="1415"/>
      <c r="AP1" s="1416"/>
      <c r="AQ1" s="1415"/>
      <c r="AR1" s="1416"/>
      <c r="AS1" s="1415"/>
      <c r="AT1" s="1416"/>
      <c r="AU1" s="1415"/>
      <c r="AV1" s="1416"/>
      <c r="AW1" s="1415"/>
      <c r="AX1" s="1417"/>
    </row>
    <row r="2">
      <c r="A2" s="1410"/>
      <c r="B2" s="1418" t="s">
        <v>2971</v>
      </c>
      <c r="J2" s="1419"/>
      <c r="K2" s="1420"/>
      <c r="L2" s="1421"/>
      <c r="M2" s="1422"/>
      <c r="N2" s="1422"/>
      <c r="O2" s="1422"/>
      <c r="P2" s="1422"/>
      <c r="Q2" s="1422"/>
      <c r="R2" s="1422"/>
      <c r="S2" s="1422"/>
      <c r="T2" s="1422"/>
      <c r="U2" s="1422"/>
      <c r="V2" s="1422"/>
      <c r="W2" s="1422"/>
      <c r="X2" s="1422"/>
      <c r="Y2" s="1422"/>
      <c r="Z2" s="1422"/>
      <c r="AA2" s="1422"/>
      <c r="AB2" s="1422"/>
      <c r="AC2" s="1422"/>
      <c r="AD2" s="1422"/>
      <c r="AE2" s="1422"/>
      <c r="AF2" s="1422"/>
      <c r="AG2" s="1422"/>
      <c r="AH2" s="1422"/>
      <c r="AI2" s="1422"/>
      <c r="AJ2" s="1422"/>
      <c r="AK2" s="1422"/>
      <c r="AL2" s="1422"/>
      <c r="AM2" s="1422"/>
      <c r="AN2" s="1422"/>
      <c r="AO2" s="1422"/>
      <c r="AP2" s="1422"/>
      <c r="AQ2" s="1422"/>
      <c r="AR2" s="1422"/>
      <c r="AS2" s="1422"/>
      <c r="AT2" s="1422"/>
      <c r="AU2" s="1422"/>
      <c r="AV2" s="1422"/>
      <c r="AW2" s="1422"/>
      <c r="AX2" s="1422"/>
    </row>
    <row r="3">
      <c r="A3" s="1423" t="s">
        <v>2972</v>
      </c>
      <c r="B3" s="1424" t="s">
        <v>2973</v>
      </c>
      <c r="C3" s="3"/>
      <c r="D3" s="1425" t="s">
        <v>1980</v>
      </c>
      <c r="E3" s="1426" t="s">
        <v>102</v>
      </c>
      <c r="F3" s="3"/>
      <c r="G3" s="1426" t="s">
        <v>2974</v>
      </c>
      <c r="H3" s="3"/>
      <c r="I3" s="1426" t="s">
        <v>1798</v>
      </c>
      <c r="J3" s="3"/>
      <c r="K3" s="1427" t="s">
        <v>151</v>
      </c>
      <c r="L3" s="1428" t="s">
        <v>2975</v>
      </c>
      <c r="M3" s="1429" t="s">
        <v>2808</v>
      </c>
      <c r="O3" s="1429" t="s">
        <v>2811</v>
      </c>
      <c r="Q3" s="1430" t="s">
        <v>2806</v>
      </c>
      <c r="S3" s="1430" t="s">
        <v>2807</v>
      </c>
      <c r="U3" s="1430" t="s">
        <v>2809</v>
      </c>
      <c r="W3" s="1430" t="s">
        <v>2810</v>
      </c>
      <c r="Y3" s="1431" t="s">
        <v>102</v>
      </c>
      <c r="AA3" s="1431" t="str">
        <f>'THAM CHIẾU'!N3</f>
        <v/>
      </c>
      <c r="AC3" s="1431" t="str">
        <f>'THAM CHIẾU'!N4</f>
        <v/>
      </c>
      <c r="AE3" s="1431" t="str">
        <f>'THAM CHIẾU'!N5</f>
        <v/>
      </c>
      <c r="AG3" s="1431" t="str">
        <f>'THAM CHIẾU'!N6</f>
        <v/>
      </c>
      <c r="AI3" s="1431" t="str">
        <f>'THAM CHIẾU'!N7</f>
        <v/>
      </c>
      <c r="AK3" s="1431" t="str">
        <f>'THAM CHIẾU'!N8</f>
        <v/>
      </c>
      <c r="AM3" s="1431" t="str">
        <f>'THAM CHIẾU'!N9</f>
        <v/>
      </c>
      <c r="AO3" s="1431" t="str">
        <f>'THAM CHIẾU'!N10</f>
        <v/>
      </c>
      <c r="AQ3" s="1431" t="str">
        <f>'THAM CHIẾU'!N11</f>
        <v/>
      </c>
      <c r="AS3" s="1431" t="str">
        <f>'THAM CHIẾU'!N12</f>
        <v/>
      </c>
      <c r="AU3" s="1431" t="str">
        <f>'THAM CHIẾU'!N13</f>
        <v/>
      </c>
      <c r="AW3" s="1431" t="str">
        <f>'THAM CHIẾU'!N14</f>
        <v/>
      </c>
    </row>
    <row r="4">
      <c r="A4" s="254"/>
      <c r="B4" s="1432" t="s">
        <v>1313</v>
      </c>
      <c r="C4" s="1432" t="s">
        <v>1314</v>
      </c>
      <c r="D4" s="1433"/>
      <c r="E4" s="1434" t="s">
        <v>2976</v>
      </c>
      <c r="F4" s="1434" t="s">
        <v>2977</v>
      </c>
      <c r="G4" s="1434" t="s">
        <v>2978</v>
      </c>
      <c r="H4" s="1434" t="s">
        <v>2979</v>
      </c>
      <c r="I4" s="1434" t="s">
        <v>2976</v>
      </c>
      <c r="J4" s="1434" t="s">
        <v>2977</v>
      </c>
      <c r="M4" s="1435" t="s">
        <v>2976</v>
      </c>
      <c r="N4" s="1435" t="s">
        <v>2977</v>
      </c>
      <c r="O4" s="1435" t="s">
        <v>2976</v>
      </c>
      <c r="P4" s="1435" t="s">
        <v>2977</v>
      </c>
      <c r="Q4" s="1436" t="s">
        <v>2976</v>
      </c>
      <c r="R4" s="1436" t="s">
        <v>2977</v>
      </c>
      <c r="S4" s="1436" t="s">
        <v>2976</v>
      </c>
      <c r="T4" s="1436" t="s">
        <v>2977</v>
      </c>
      <c r="U4" s="1436" t="s">
        <v>2976</v>
      </c>
      <c r="V4" s="1436" t="s">
        <v>2977</v>
      </c>
      <c r="W4" s="1436" t="s">
        <v>2976</v>
      </c>
      <c r="X4" s="1436" t="s">
        <v>2977</v>
      </c>
      <c r="Y4" s="1437" t="s">
        <v>2976</v>
      </c>
      <c r="Z4" s="1437" t="s">
        <v>2977</v>
      </c>
      <c r="AA4" s="1438" t="s">
        <v>2976</v>
      </c>
      <c r="AB4" s="1438" t="s">
        <v>2977</v>
      </c>
      <c r="AC4" s="1438" t="s">
        <v>2976</v>
      </c>
      <c r="AD4" s="1438" t="s">
        <v>2977</v>
      </c>
      <c r="AE4" s="1438" t="s">
        <v>2976</v>
      </c>
      <c r="AF4" s="1438" t="s">
        <v>2977</v>
      </c>
      <c r="AG4" s="1438" t="s">
        <v>2976</v>
      </c>
      <c r="AH4" s="1438" t="s">
        <v>2977</v>
      </c>
      <c r="AI4" s="1438" t="s">
        <v>2976</v>
      </c>
      <c r="AJ4" s="1438" t="s">
        <v>2977</v>
      </c>
      <c r="AK4" s="1438" t="s">
        <v>2976</v>
      </c>
      <c r="AL4" s="1438" t="s">
        <v>2977</v>
      </c>
      <c r="AM4" s="1438" t="s">
        <v>2976</v>
      </c>
      <c r="AN4" s="1438" t="s">
        <v>2977</v>
      </c>
      <c r="AO4" s="1438" t="s">
        <v>2976</v>
      </c>
      <c r="AP4" s="1438" t="s">
        <v>2977</v>
      </c>
      <c r="AQ4" s="1438" t="s">
        <v>2976</v>
      </c>
      <c r="AR4" s="1438" t="s">
        <v>2977</v>
      </c>
      <c r="AS4" s="1438" t="s">
        <v>2976</v>
      </c>
      <c r="AT4" s="1438" t="s">
        <v>2977</v>
      </c>
      <c r="AU4" s="1438" t="s">
        <v>2976</v>
      </c>
      <c r="AV4" s="1438" t="s">
        <v>2977</v>
      </c>
      <c r="AW4" s="1438" t="s">
        <v>2976</v>
      </c>
      <c r="AX4" s="1438" t="s">
        <v>2977</v>
      </c>
    </row>
    <row r="5">
      <c r="A5" s="1424">
        <v>1.0</v>
      </c>
      <c r="B5" s="1439" t="s">
        <v>2980</v>
      </c>
      <c r="C5" s="1440"/>
      <c r="D5" s="1441" t="s">
        <v>2981</v>
      </c>
      <c r="E5" s="1442">
        <f t="shared" ref="E5:J5" si="1">SUM(E6:E8)</f>
        <v>0</v>
      </c>
      <c r="F5" s="1442">
        <f t="shared" si="1"/>
        <v>0</v>
      </c>
      <c r="G5" s="1442">
        <f t="shared" si="1"/>
        <v>3987594000</v>
      </c>
      <c r="H5" s="1442">
        <f t="shared" si="1"/>
        <v>2814505290</v>
      </c>
      <c r="I5" s="1442">
        <f t="shared" si="1"/>
        <v>1173088710</v>
      </c>
      <c r="J5" s="1442">
        <f t="shared" si="1"/>
        <v>0</v>
      </c>
      <c r="K5" s="1443"/>
      <c r="L5" s="1443"/>
      <c r="M5" s="1444" t="str">
        <f t="shared" ref="M5:N5" si="2">S5</f>
        <v>#N/A</v>
      </c>
      <c r="N5" s="1444" t="str">
        <f t="shared" si="2"/>
        <v>#N/A</v>
      </c>
      <c r="O5" s="1444" t="str">
        <f t="shared" ref="O5:P5" si="3">W5</f>
        <v>#N/A</v>
      </c>
      <c r="P5" s="1444" t="str">
        <f t="shared" si="3"/>
        <v>#N/A</v>
      </c>
      <c r="Q5" s="1445" t="str">
        <f t="shared" ref="Q5:R5" si="4">AE5</f>
        <v>#N/A</v>
      </c>
      <c r="R5" s="1445" t="str">
        <f t="shared" si="4"/>
        <v>#N/A</v>
      </c>
      <c r="S5" s="1445" t="str">
        <f t="shared" ref="S5:T5" si="5">AK5</f>
        <v>#N/A</v>
      </c>
      <c r="T5" s="1445" t="str">
        <f t="shared" si="5"/>
        <v>#N/A</v>
      </c>
      <c r="U5" s="1445" t="str">
        <f t="shared" ref="U5:V5" si="6">AQ5</f>
        <v>#N/A</v>
      </c>
      <c r="V5" s="1445" t="str">
        <f t="shared" si="6"/>
        <v>#N/A</v>
      </c>
      <c r="W5" s="1445" t="str">
        <f t="shared" ref="W5:X5" si="7">AW5</f>
        <v>#N/A</v>
      </c>
      <c r="X5" s="1445" t="str">
        <f t="shared" si="7"/>
        <v>#N/A</v>
      </c>
      <c r="Y5" s="1446">
        <f t="shared" ref="Y5:Z5" si="8">E5</f>
        <v>0</v>
      </c>
      <c r="Z5" s="1446">
        <f t="shared" si="8"/>
        <v>0</v>
      </c>
      <c r="AA5" s="1447" t="str">
        <f>IF(Y5+SUMIFS(PS_SOTIEN,PS_TKNO,#REF!,PS_MONTH,AA$3)-Z5-SUMIFS(PS_SOTIEN,PS_TKCO,#REF!,PS_MONTH,AA$3)&gt;0,Y5+SUMIFS(PS_SOTIEN,PS_TKNO,#REF!,PS_MONTH,AA$3)-Z5-SUMIFS(PS_SOTIEN,PS_TKCO,#REF!,PS_MONTH,AA$3),0)</f>
        <v>#N/A</v>
      </c>
      <c r="AB5" s="1447" t="str">
        <f>IF(Z5+SUMIFS(PS_SOTIEN,PS_TKCO,#REF!,PS_MONTH,AA$3)-Y5-SUMIFS(PS_SOTIEN,PS_TKNO,#REF!,PS_MONTH,AA$3)&gt;0,Z5+SUMIFS(PS_SOTIEN,PS_TKCO,#REF!,PS_MONTH,AA$3)-Y5-SUMIFS(PS_SOTIEN,PS_TKNO,#REF!,PS_MONTH,AA$3),0)</f>
        <v>#N/A</v>
      </c>
      <c r="AC5" s="1447" t="str">
        <f>IF(AA5+SUMIFS(PS_SOTIEN,PS_TKNO,#REF!,PS_MONTH,AC$3)-AB5-SUMIFS(PS_SOTIEN,PS_TKCO,#REF!,PS_MONTH,AC$3)&gt;0,AA5+SUMIFS(PS_SOTIEN,PS_TKNO,#REF!,PS_MONTH,AC$3)-AB5-SUMIFS(PS_SOTIEN,PS_TKCO,#REF!,PS_MONTH,AC$3),0)</f>
        <v>#N/A</v>
      </c>
      <c r="AD5" s="1447" t="str">
        <f>IF(AB5+SUMIFS(PS_SOTIEN,PS_TKCO,#REF!,PS_MONTH,AC$3)-AA5-SUMIFS(PS_SOTIEN,PS_TKNO,#REF!,PS_MONTH,AC$3)&gt;0,AB5+SUMIFS(PS_SOTIEN,PS_TKCO,#REF!,PS_MONTH,AC$3)-AA5-SUMIFS(PS_SOTIEN,PS_TKNO,#REF!,PS_MONTH,AC$3),0)</f>
        <v>#N/A</v>
      </c>
      <c r="AE5" s="1447" t="str">
        <f>IF(AC5+SUMIFS(PS_SOTIEN,PS_TKNO,#REF!,PS_MONTH,AE$3)-AD5-SUMIFS(PS_SOTIEN,PS_TKCO,#REF!,PS_MONTH,AE$3)&gt;0,AC5+SUMIFS(PS_SOTIEN,PS_TKNO,#REF!,PS_MONTH,AE$3)-AD5-SUMIFS(PS_SOTIEN,PS_TKCO,#REF!,PS_MONTH,AE$3),0)</f>
        <v>#N/A</v>
      </c>
      <c r="AF5" s="1447" t="str">
        <f>IF(AD5+SUMIFS(PS_SOTIEN,PS_TKCO,#REF!,PS_MONTH,AE$3)-AC5-SUMIFS(PS_SOTIEN,PS_TKNO,#REF!,PS_MONTH,AE$3)&gt;0,AD5+SUMIFS(PS_SOTIEN,PS_TKCO,#REF!,PS_MONTH,AE$3)-AC5-SUMIFS(PS_SOTIEN,PS_TKNO,#REF!,PS_MONTH,AE$3),0)</f>
        <v>#N/A</v>
      </c>
      <c r="AG5" s="1447" t="str">
        <f>IF(AE5+SUMIFS(PS_SOTIEN,PS_TKNO,#REF!,PS_MONTH,AG$3)-AF5-SUMIFS(PS_SOTIEN,PS_TKCO,#REF!,PS_MONTH,AG$3)&gt;0,AE5+SUMIFS(PS_SOTIEN,PS_TKNO,#REF!,PS_MONTH,AG$3)-AF5-SUMIFS(PS_SOTIEN,PS_TKCO,#REF!,PS_MONTH,AG$3),0)</f>
        <v>#N/A</v>
      </c>
      <c r="AH5" s="1447" t="str">
        <f>IF(AF5+SUMIFS(PS_SOTIEN,PS_TKCO,#REF!,PS_MONTH,AG$3)-AE5-SUMIFS(PS_SOTIEN,PS_TKNO,#REF!,PS_MONTH,AG$3)&gt;0,AF5+SUMIFS(PS_SOTIEN,PS_TKCO,#REF!,PS_MONTH,AG$3)-AE5-SUMIFS(PS_SOTIEN,PS_TKNO,#REF!,PS_MONTH,AG$3),0)</f>
        <v>#N/A</v>
      </c>
      <c r="AI5" s="1447" t="str">
        <f>IF(AG5+SUMIFS(PS_SOTIEN,PS_TKNO,#REF!,PS_MONTH,AI$3)-AH5-SUMIFS(PS_SOTIEN,PS_TKCO,#REF!,PS_MONTH,AI$3)&gt;0,AG5+SUMIFS(PS_SOTIEN,PS_TKNO,#REF!,PS_MONTH,AI$3)-AH5-SUMIFS(PS_SOTIEN,PS_TKCO,#REF!,PS_MONTH,AI$3),0)</f>
        <v>#N/A</v>
      </c>
      <c r="AJ5" s="1447" t="str">
        <f>IF(AH5+SUMIFS(PS_SOTIEN,PS_TKCO,#REF!,PS_MONTH,AI$3)-AG5-SUMIFS(PS_SOTIEN,PS_TKNO,#REF!,PS_MONTH,AI$3)&gt;0,AH5+SUMIFS(PS_SOTIEN,PS_TKCO,#REF!,PS_MONTH,AI$3)-AG5-SUMIFS(PS_SOTIEN,PS_TKNO,#REF!,PS_MONTH,AI$3),0)</f>
        <v>#N/A</v>
      </c>
      <c r="AK5" s="1447" t="str">
        <f>IF(AI5+SUMIFS(PS_SOTIEN,PS_TKNO,#REF!,PS_MONTH,AK$3)-AJ5-SUMIFS(PS_SOTIEN,PS_TKCO,#REF!,PS_MONTH,AK$3)&gt;0,AI5+SUMIFS(PS_SOTIEN,PS_TKNO,#REF!,PS_MONTH,AK$3)-AJ5-SUMIFS(PS_SOTIEN,PS_TKCO,#REF!,PS_MONTH,AK$3),0)</f>
        <v>#N/A</v>
      </c>
      <c r="AL5" s="1447" t="str">
        <f>IF(AJ5+SUMIFS(PS_SOTIEN,PS_TKCO,#REF!,PS_MONTH,AK$3)-AI5-SUMIFS(PS_SOTIEN,PS_TKNO,#REF!,PS_MONTH,AK$3)&gt;0,AJ5+SUMIFS(PS_SOTIEN,PS_TKCO,#REF!,PS_MONTH,AK$3)-AI5-SUMIFS(PS_SOTIEN,PS_TKNO,#REF!,PS_MONTH,AK$3),0)</f>
        <v>#N/A</v>
      </c>
      <c r="AM5" s="1447" t="str">
        <f>IF(AK5+SUMIFS(PS_SOTIEN,PS_TKNO,#REF!,PS_MONTH,AM$3)-AL5-SUMIFS(PS_SOTIEN,PS_TKCO,#REF!,PS_MONTH,AM$3)&gt;0,AK5+SUMIFS(PS_SOTIEN,PS_TKNO,#REF!,PS_MONTH,AM$3)-AL5-SUMIFS(PS_SOTIEN,PS_TKCO,#REF!,PS_MONTH,AM$3),0)</f>
        <v>#N/A</v>
      </c>
      <c r="AN5" s="1447" t="str">
        <f>IF(AL5+SUMIFS(PS_SOTIEN,PS_TKCO,#REF!,PS_MONTH,AM$3)-AK5-SUMIFS(PS_SOTIEN,PS_TKNO,#REF!,PS_MONTH,AM$3)&gt;0,AL5+SUMIFS(PS_SOTIEN,PS_TKCO,#REF!,PS_MONTH,AM$3)-AK5-SUMIFS(PS_SOTIEN,PS_TKNO,#REF!,PS_MONTH,AM$3),0)</f>
        <v>#N/A</v>
      </c>
      <c r="AO5" s="1447" t="str">
        <f>IF(AM5+SUMIFS(PS_SOTIEN,PS_TKNO,#REF!,PS_MONTH,AO$3)-AN5-SUMIFS(PS_SOTIEN,PS_TKCO,#REF!,PS_MONTH,AO$3)&gt;0,AM5+SUMIFS(PS_SOTIEN,PS_TKNO,#REF!,PS_MONTH,AO$3)-AN5-SUMIFS(PS_SOTIEN,PS_TKCO,#REF!,PS_MONTH,AO$3),0)</f>
        <v>#N/A</v>
      </c>
      <c r="AP5" s="1447" t="str">
        <f>IF(AN5+SUMIFS(PS_SOTIEN,PS_TKCO,#REF!,PS_MONTH,AO$3)-AM5-SUMIFS(PS_SOTIEN,PS_TKNO,#REF!,PS_MONTH,AO$3)&gt;0,AN5+SUMIFS(PS_SOTIEN,PS_TKCO,#REF!,PS_MONTH,AO$3)-AM5-SUMIFS(PS_SOTIEN,PS_TKNO,#REF!,PS_MONTH,AO$3),0)</f>
        <v>#N/A</v>
      </c>
      <c r="AQ5" s="1447" t="str">
        <f>IF(AO5+SUMIFS(PS_SOTIEN,PS_TKNO,#REF!,PS_MONTH,AQ$3)-AP5-SUMIFS(PS_SOTIEN,PS_TKCO,#REF!,PS_MONTH,AQ$3)&gt;0,AO5+SUMIFS(PS_SOTIEN,PS_TKNO,#REF!,PS_MONTH,AQ$3)-AP5-SUMIFS(PS_SOTIEN,PS_TKCO,#REF!,PS_MONTH,AQ$3),0)</f>
        <v>#N/A</v>
      </c>
      <c r="AR5" s="1447" t="str">
        <f>IF(AP5+SUMIFS(PS_SOTIEN,PS_TKCO,#REF!,PS_MONTH,AQ$3)-AO5-SUMIFS(PS_SOTIEN,PS_TKNO,#REF!,PS_MONTH,AQ$3)&gt;0,AP5+SUMIFS(PS_SOTIEN,PS_TKCO,#REF!,PS_MONTH,AQ$3)-AO5-SUMIFS(PS_SOTIEN,PS_TKNO,#REF!,PS_MONTH,AQ$3),0)</f>
        <v>#N/A</v>
      </c>
      <c r="AS5" s="1447" t="str">
        <f>IF(AQ5+SUMIFS(PS_SOTIEN,PS_TKNO,#REF!,PS_MONTH,AS$3)-AR5-SUMIFS(PS_SOTIEN,PS_TKCO,#REF!,PS_MONTH,AS$3)&gt;0,AQ5+SUMIFS(PS_SOTIEN,PS_TKNO,#REF!,PS_MONTH,AS$3)-AR5-SUMIFS(PS_SOTIEN,PS_TKCO,#REF!,PS_MONTH,AS$3),0)</f>
        <v>#N/A</v>
      </c>
      <c r="AT5" s="1447" t="str">
        <f>IF(AR5+SUMIFS(PS_SOTIEN,PS_TKCO,#REF!,PS_MONTH,AS$3)-AQ5-SUMIFS(PS_SOTIEN,PS_TKNO,#REF!,PS_MONTH,AS$3)&gt;0,AR5+SUMIFS(PS_SOTIEN,PS_TKCO,#REF!,PS_MONTH,AS$3)-AQ5-SUMIFS(PS_SOTIEN,PS_TKNO,#REF!,PS_MONTH,AS$3),0)</f>
        <v>#N/A</v>
      </c>
      <c r="AU5" s="1447" t="str">
        <f>IF(AS5+SUMIFS(PS_SOTIEN,PS_TKNO,#REF!,PS_MONTH,AU$3)-AT5-SUMIFS(PS_SOTIEN,PS_TKCO,#REF!,PS_MONTH,AU$3)&gt;0,AS5+SUMIFS(PS_SOTIEN,PS_TKNO,#REF!,PS_MONTH,AU$3)-AT5-SUMIFS(PS_SOTIEN,PS_TKCO,#REF!,PS_MONTH,AU$3),0)</f>
        <v>#N/A</v>
      </c>
      <c r="AV5" s="1447" t="str">
        <f>IF(AT5+SUMIFS(PS_SOTIEN,PS_TKCO,#REF!,PS_MONTH,AU$3)-AS5-SUMIFS(PS_SOTIEN,PS_TKNO,#REF!,PS_MONTH,AU$3)&gt;0,AT5+SUMIFS(PS_SOTIEN,PS_TKCO,#REF!,PS_MONTH,AU$3)-AS5-SUMIFS(PS_SOTIEN,PS_TKNO,#REF!,PS_MONTH,AU$3),0)</f>
        <v>#N/A</v>
      </c>
      <c r="AW5" s="1447" t="str">
        <f>IF(AU5+SUMIFS(PS_SOTIEN,PS_TKNO,#REF!,PS_MONTH,AW$3)-AV5-SUMIFS(PS_SOTIEN,PS_TKCO,#REF!,PS_MONTH,AW$3)&gt;0,AU5+SUMIFS(PS_SOTIEN,PS_TKNO,#REF!,PS_MONTH,AW$3)-AV5-SUMIFS(PS_SOTIEN,PS_TKCO,#REF!,PS_MONTH,AW$3),0)</f>
        <v>#N/A</v>
      </c>
      <c r="AX5" s="1447" t="str">
        <f>IF(AV5+SUMIFS(PS_SOTIEN,PS_TKCO,#REF!,PS_MONTH,AW$3)-AU5-SUMIFS(PS_SOTIEN,PS_TKNO,#REF!,PS_MONTH,AW$3)&gt;0,AV5+SUMIFS(PS_SOTIEN,PS_TKCO,#REF!,PS_MONTH,AW$3)-AU5-SUMIFS(PS_SOTIEN,PS_TKNO,#REF!,PS_MONTH,AW$3),0)</f>
        <v>#N/A</v>
      </c>
    </row>
    <row r="6">
      <c r="A6" s="1448"/>
      <c r="B6" s="1440"/>
      <c r="C6" s="1449" t="s">
        <v>1328</v>
      </c>
      <c r="D6" s="1433" t="s">
        <v>2982</v>
      </c>
      <c r="E6" s="1450"/>
      <c r="F6" s="1450"/>
      <c r="G6" s="1450">
        <f>SUMIF(AC_TKNO,$C6,AC_SOTIEN)</f>
        <v>3987594000</v>
      </c>
      <c r="H6" s="1450">
        <f>SUMIF(AC_TKCO,$C6,AC_SOTIEN)</f>
        <v>2814505290</v>
      </c>
      <c r="I6" s="1450">
        <f t="shared" ref="I6:I8" si="16">IF(E6+G6-F6-H6&gt;0,E6+G6-F6-H6,"-")</f>
        <v>1173088710</v>
      </c>
      <c r="J6" s="1450" t="str">
        <f t="shared" ref="J6:J8" si="17">IF(F6+H6-E6-G6&gt;0,F6+H6-E6-G6,"-")</f>
        <v>-</v>
      </c>
      <c r="K6" s="1443"/>
      <c r="L6" s="1443"/>
      <c r="M6" s="1444" t="str">
        <f t="shared" ref="M6:N6" si="9">S6</f>
        <v>#N/A</v>
      </c>
      <c r="N6" s="1444" t="str">
        <f t="shared" si="9"/>
        <v>#N/A</v>
      </c>
      <c r="O6" s="1444" t="str">
        <f t="shared" ref="O6:P6" si="10">W6</f>
        <v>#N/A</v>
      </c>
      <c r="P6" s="1444" t="str">
        <f t="shared" si="10"/>
        <v>#N/A</v>
      </c>
      <c r="Q6" s="1445" t="str">
        <f t="shared" ref="Q6:R6" si="11">AE6</f>
        <v>#N/A</v>
      </c>
      <c r="R6" s="1445" t="str">
        <f t="shared" si="11"/>
        <v>#N/A</v>
      </c>
      <c r="S6" s="1445" t="str">
        <f t="shared" ref="S6:T6" si="12">AK6</f>
        <v>#N/A</v>
      </c>
      <c r="T6" s="1445" t="str">
        <f t="shared" si="12"/>
        <v>#N/A</v>
      </c>
      <c r="U6" s="1445" t="str">
        <f t="shared" ref="U6:V6" si="13">AQ6</f>
        <v>#N/A</v>
      </c>
      <c r="V6" s="1445" t="str">
        <f t="shared" si="13"/>
        <v>#N/A</v>
      </c>
      <c r="W6" s="1445" t="str">
        <f t="shared" ref="W6:X6" si="14">AW6</f>
        <v>#N/A</v>
      </c>
      <c r="X6" s="1445" t="str">
        <f t="shared" si="14"/>
        <v>#N/A</v>
      </c>
      <c r="Y6" s="1447">
        <f t="shared" ref="Y6:AX6" si="15">SUM(Y7:Y9)</f>
        <v>0</v>
      </c>
      <c r="Z6" s="1447">
        <f t="shared" si="15"/>
        <v>0</v>
      </c>
      <c r="AA6" s="1447" t="str">
        <f t="shared" si="15"/>
        <v>#N/A</v>
      </c>
      <c r="AB6" s="1447" t="str">
        <f t="shared" si="15"/>
        <v>#N/A</v>
      </c>
      <c r="AC6" s="1447" t="str">
        <f t="shared" si="15"/>
        <v>#N/A</v>
      </c>
      <c r="AD6" s="1447" t="str">
        <f t="shared" si="15"/>
        <v>#N/A</v>
      </c>
      <c r="AE6" s="1447" t="str">
        <f t="shared" si="15"/>
        <v>#N/A</v>
      </c>
      <c r="AF6" s="1447" t="str">
        <f t="shared" si="15"/>
        <v>#N/A</v>
      </c>
      <c r="AG6" s="1447" t="str">
        <f t="shared" si="15"/>
        <v>#N/A</v>
      </c>
      <c r="AH6" s="1447" t="str">
        <f t="shared" si="15"/>
        <v>#N/A</v>
      </c>
      <c r="AI6" s="1447" t="str">
        <f t="shared" si="15"/>
        <v>#N/A</v>
      </c>
      <c r="AJ6" s="1447" t="str">
        <f t="shared" si="15"/>
        <v>#N/A</v>
      </c>
      <c r="AK6" s="1447" t="str">
        <f t="shared" si="15"/>
        <v>#N/A</v>
      </c>
      <c r="AL6" s="1447" t="str">
        <f t="shared" si="15"/>
        <v>#N/A</v>
      </c>
      <c r="AM6" s="1447" t="str">
        <f t="shared" si="15"/>
        <v>#N/A</v>
      </c>
      <c r="AN6" s="1447" t="str">
        <f t="shared" si="15"/>
        <v>#N/A</v>
      </c>
      <c r="AO6" s="1447" t="str">
        <f t="shared" si="15"/>
        <v>#N/A</v>
      </c>
      <c r="AP6" s="1447" t="str">
        <f t="shared" si="15"/>
        <v>#N/A</v>
      </c>
      <c r="AQ6" s="1447" t="str">
        <f t="shared" si="15"/>
        <v>#N/A</v>
      </c>
      <c r="AR6" s="1447" t="str">
        <f t="shared" si="15"/>
        <v>#N/A</v>
      </c>
      <c r="AS6" s="1447" t="str">
        <f t="shared" si="15"/>
        <v>#N/A</v>
      </c>
      <c r="AT6" s="1447" t="str">
        <f t="shared" si="15"/>
        <v>#N/A</v>
      </c>
      <c r="AU6" s="1447" t="str">
        <f t="shared" si="15"/>
        <v>#N/A</v>
      </c>
      <c r="AV6" s="1447" t="str">
        <f t="shared" si="15"/>
        <v>#N/A</v>
      </c>
      <c r="AW6" s="1447" t="str">
        <f t="shared" si="15"/>
        <v>#N/A</v>
      </c>
      <c r="AX6" s="1447" t="str">
        <f t="shared" si="15"/>
        <v>#N/A</v>
      </c>
    </row>
    <row r="7">
      <c r="A7" s="1448"/>
      <c r="B7" s="1440"/>
      <c r="C7" s="1449" t="s">
        <v>1330</v>
      </c>
      <c r="D7" s="1433" t="s">
        <v>2983</v>
      </c>
      <c r="E7" s="1451"/>
      <c r="F7" s="1450"/>
      <c r="G7" s="1450">
        <f>SUMIF(AC_TKNO,$C7,AC_SOTIEN)</f>
        <v>0</v>
      </c>
      <c r="H7" s="1450">
        <f>SUMIF(AC_TKCO,$C7,AC_SOTIEN)</f>
        <v>0</v>
      </c>
      <c r="I7" s="1450" t="str">
        <f t="shared" si="16"/>
        <v>-</v>
      </c>
      <c r="J7" s="1450" t="str">
        <f t="shared" si="17"/>
        <v>-</v>
      </c>
      <c r="K7" s="1443"/>
      <c r="L7" s="1443"/>
      <c r="M7" s="1444" t="str">
        <f t="shared" ref="M7:N7" si="18">S7</f>
        <v>#N/A</v>
      </c>
      <c r="N7" s="1444" t="str">
        <f t="shared" si="18"/>
        <v>#N/A</v>
      </c>
      <c r="O7" s="1444" t="str">
        <f t="shared" ref="O7:P7" si="19">W7</f>
        <v>#N/A</v>
      </c>
      <c r="P7" s="1444" t="str">
        <f t="shared" si="19"/>
        <v>#N/A</v>
      </c>
      <c r="Q7" s="1445" t="str">
        <f t="shared" ref="Q7:R7" si="20">AE7</f>
        <v>#N/A</v>
      </c>
      <c r="R7" s="1445" t="str">
        <f t="shared" si="20"/>
        <v>#N/A</v>
      </c>
      <c r="S7" s="1445" t="str">
        <f t="shared" ref="S7:T7" si="21">AK7</f>
        <v>#N/A</v>
      </c>
      <c r="T7" s="1445" t="str">
        <f t="shared" si="21"/>
        <v>#N/A</v>
      </c>
      <c r="U7" s="1445" t="str">
        <f t="shared" ref="U7:V7" si="22">AQ7</f>
        <v>#N/A</v>
      </c>
      <c r="V7" s="1445" t="str">
        <f t="shared" si="22"/>
        <v>#N/A</v>
      </c>
      <c r="W7" s="1445" t="str">
        <f t="shared" ref="W7:X7" si="23">AW7</f>
        <v>#N/A</v>
      </c>
      <c r="X7" s="1445" t="str">
        <f t="shared" si="23"/>
        <v>#N/A</v>
      </c>
      <c r="Y7" s="630" t="str">
        <f t="shared" ref="Y7:Z7" si="24">E7</f>
        <v/>
      </c>
      <c r="Z7" s="630" t="str">
        <f t="shared" si="24"/>
        <v/>
      </c>
      <c r="AA7" s="630" t="str">
        <f t="shared" ref="AA7:AA9" si="32">IF(Y7+SUMIFS(PS_SOTIEN,PS_TKNO,$B5,PS_MONTH,AA$3)-Z7-SUMIFS(PS_SOTIEN,PS_TKCO,$B5,PS_MONTH,AA$3)&gt;0,Y7+SUMIFS(PS_SOTIEN,PS_TKNO,$B5,PS_MONTH,AA$3)-Z7-SUMIFS(PS_SOTIEN,PS_TKCO,$B5,PS_MONTH,AA$3),0)</f>
        <v>#N/A</v>
      </c>
      <c r="AB7" s="630" t="str">
        <f t="shared" ref="AB7:AB9" si="33">IF(Z7+SUMIFS(PS_SOTIEN,PS_TKCO,$B5,PS_MONTH,AA$3)-Y7-SUMIFS(PS_SOTIEN,PS_TKNO,$B5,PS_MONTH,AA$3)&gt;0,Z7+SUMIFS(PS_SOTIEN,PS_TKCO,$B5,PS_MONTH,AA$3)-Y7-SUMIFS(PS_SOTIEN,PS_TKNO,$B5,PS_MONTH,AA$3),0)</f>
        <v>#N/A</v>
      </c>
      <c r="AC7" s="630" t="str">
        <f t="shared" ref="AC7:AC9" si="34">IF(AA7+SUMIFS(PS_SOTIEN,PS_TKNO,$B5,PS_MONTH,AC$3)-AB7-SUMIFS(PS_SOTIEN,PS_TKCO,$B5,PS_MONTH,AC$3)&gt;0,AA7+SUMIFS(PS_SOTIEN,PS_TKNO,$B5,PS_MONTH,AC$3)-AB7-SUMIFS(PS_SOTIEN,PS_TKCO,$B5,PS_MONTH,AC$3),0)</f>
        <v>#N/A</v>
      </c>
      <c r="AD7" s="630" t="str">
        <f t="shared" ref="AD7:AD9" si="35">IF(AB7+SUMIFS(PS_SOTIEN,PS_TKCO,$B5,PS_MONTH,AC$3)-AA7-SUMIFS(PS_SOTIEN,PS_TKNO,$B5,PS_MONTH,AC$3)&gt;0,AB7+SUMIFS(PS_SOTIEN,PS_TKCO,$B5,PS_MONTH,AC$3)-AA7-SUMIFS(PS_SOTIEN,PS_TKNO,$B5,PS_MONTH,AC$3),0)</f>
        <v>#N/A</v>
      </c>
      <c r="AE7" s="630" t="str">
        <f t="shared" ref="AE7:AE9" si="36">IF(AC7+SUMIFS(PS_SOTIEN,PS_TKNO,$B5,PS_MONTH,AE$3)-AD7-SUMIFS(PS_SOTIEN,PS_TKCO,$B5,PS_MONTH,AE$3)&gt;0,AC7+SUMIFS(PS_SOTIEN,PS_TKNO,$B5,PS_MONTH,AE$3)-AD7-SUMIFS(PS_SOTIEN,PS_TKCO,$B5,PS_MONTH,AE$3),0)</f>
        <v>#N/A</v>
      </c>
      <c r="AF7" s="630" t="str">
        <f t="shared" ref="AF7:AF9" si="37">IF(AD7+SUMIFS(PS_SOTIEN,PS_TKCO,$B5,PS_MONTH,AE$3)-AC7-SUMIFS(PS_SOTIEN,PS_TKNO,$B5,PS_MONTH,AE$3)&gt;0,AD7+SUMIFS(PS_SOTIEN,PS_TKCO,$B5,PS_MONTH,AE$3)-AC7-SUMIFS(PS_SOTIEN,PS_TKNO,$B5,PS_MONTH,AE$3),0)</f>
        <v>#N/A</v>
      </c>
      <c r="AG7" s="630" t="str">
        <f t="shared" ref="AG7:AG9" si="38">IF(AE7+SUMIFS(PS_SOTIEN,PS_TKNO,$B5,PS_MONTH,AG$3)-AF7-SUMIFS(PS_SOTIEN,PS_TKCO,$B5,PS_MONTH,AG$3)&gt;0,AE7+SUMIFS(PS_SOTIEN,PS_TKNO,$B5,PS_MONTH,AG$3)-AF7-SUMIFS(PS_SOTIEN,PS_TKCO,$B5,PS_MONTH,AG$3),0)</f>
        <v>#N/A</v>
      </c>
      <c r="AH7" s="630" t="str">
        <f t="shared" ref="AH7:AH9" si="39">IF(AF7+SUMIFS(PS_SOTIEN,PS_TKCO,$B5,PS_MONTH,AG$3)-AE7-SUMIFS(PS_SOTIEN,PS_TKNO,$B5,PS_MONTH,AG$3)&gt;0,AF7+SUMIFS(PS_SOTIEN,PS_TKCO,$B5,PS_MONTH,AG$3)-AE7-SUMIFS(PS_SOTIEN,PS_TKNO,$B5,PS_MONTH,AG$3),0)</f>
        <v>#N/A</v>
      </c>
      <c r="AI7" s="630" t="str">
        <f t="shared" ref="AI7:AI9" si="40">IF(AG7+SUMIFS(PS_SOTIEN,PS_TKNO,$B5,PS_MONTH,AI$3)-AH7-SUMIFS(PS_SOTIEN,PS_TKCO,$B5,PS_MONTH,AI$3)&gt;0,AG7+SUMIFS(PS_SOTIEN,PS_TKNO,$B5,PS_MONTH,AI$3)-AH7-SUMIFS(PS_SOTIEN,PS_TKCO,$B5,PS_MONTH,AI$3),0)</f>
        <v>#N/A</v>
      </c>
      <c r="AJ7" s="630" t="str">
        <f t="shared" ref="AJ7:AJ9" si="41">IF(AH7+SUMIFS(PS_SOTIEN,PS_TKCO,$B5,PS_MONTH,AI$3)-AG7-SUMIFS(PS_SOTIEN,PS_TKNO,$B5,PS_MONTH,AI$3)&gt;0,AH7+SUMIFS(PS_SOTIEN,PS_TKCO,$B5,PS_MONTH,AI$3)-AG7-SUMIFS(PS_SOTIEN,PS_TKNO,$B5,PS_MONTH,AI$3),0)</f>
        <v>#N/A</v>
      </c>
      <c r="AK7" s="630" t="str">
        <f t="shared" ref="AK7:AK9" si="42">IF(AI7+SUMIFS(PS_SOTIEN,PS_TKNO,$B5,PS_MONTH,AK$3)-AJ7-SUMIFS(PS_SOTIEN,PS_TKCO,$B5,PS_MONTH,AK$3)&gt;0,AI7+SUMIFS(PS_SOTIEN,PS_TKNO,$B5,PS_MONTH,AK$3)-AJ7-SUMIFS(PS_SOTIEN,PS_TKCO,$B5,PS_MONTH,AK$3),0)</f>
        <v>#N/A</v>
      </c>
      <c r="AL7" s="630" t="str">
        <f t="shared" ref="AL7:AL9" si="43">IF(AJ7+SUMIFS(PS_SOTIEN,PS_TKCO,$B5,PS_MONTH,AK$3)-AI7-SUMIFS(PS_SOTIEN,PS_TKNO,$B5,PS_MONTH,AK$3)&gt;0,AJ7+SUMIFS(PS_SOTIEN,PS_TKCO,$B5,PS_MONTH,AK$3)-AI7-SUMIFS(PS_SOTIEN,PS_TKNO,$B5,PS_MONTH,AK$3),0)</f>
        <v>#N/A</v>
      </c>
      <c r="AM7" s="630" t="str">
        <f t="shared" ref="AM7:AM9" si="44">IF(AK7+SUMIFS(PS_SOTIEN,PS_TKNO,$B5,PS_MONTH,AM$3)-AL7-SUMIFS(PS_SOTIEN,PS_TKCO,$B5,PS_MONTH,AM$3)&gt;0,AK7+SUMIFS(PS_SOTIEN,PS_TKNO,$B5,PS_MONTH,AM$3)-AL7-SUMIFS(PS_SOTIEN,PS_TKCO,$B5,PS_MONTH,AM$3),0)</f>
        <v>#N/A</v>
      </c>
      <c r="AN7" s="630" t="str">
        <f t="shared" ref="AN7:AN9" si="45">IF(AL7+SUMIFS(PS_SOTIEN,PS_TKCO,$B5,PS_MONTH,AM$3)-AK7-SUMIFS(PS_SOTIEN,PS_TKNO,$B5,PS_MONTH,AM$3)&gt;0,AL7+SUMIFS(PS_SOTIEN,PS_TKCO,$B5,PS_MONTH,AM$3)-AK7-SUMIFS(PS_SOTIEN,PS_TKNO,$B5,PS_MONTH,AM$3),0)</f>
        <v>#N/A</v>
      </c>
      <c r="AO7" s="630" t="str">
        <f t="shared" ref="AO7:AO9" si="46">IF(AM7+SUMIFS(PS_SOTIEN,PS_TKNO,$B5,PS_MONTH,AO$3)-AN7-SUMIFS(PS_SOTIEN,PS_TKCO,$B5,PS_MONTH,AO$3)&gt;0,AM7+SUMIFS(PS_SOTIEN,PS_TKNO,$B5,PS_MONTH,AO$3)-AN7-SUMIFS(PS_SOTIEN,PS_TKCO,$B5,PS_MONTH,AO$3),0)</f>
        <v>#N/A</v>
      </c>
      <c r="AP7" s="630" t="str">
        <f t="shared" ref="AP7:AP9" si="47">IF(AN7+SUMIFS(PS_SOTIEN,PS_TKCO,$B5,PS_MONTH,AO$3)-AM7-SUMIFS(PS_SOTIEN,PS_TKNO,$B5,PS_MONTH,AO$3)&gt;0,AN7+SUMIFS(PS_SOTIEN,PS_TKCO,$B5,PS_MONTH,AO$3)-AM7-SUMIFS(PS_SOTIEN,PS_TKNO,$B5,PS_MONTH,AO$3),0)</f>
        <v>#N/A</v>
      </c>
      <c r="AQ7" s="630" t="str">
        <f t="shared" ref="AQ7:AQ9" si="48">IF(AO7+SUMIFS(PS_SOTIEN,PS_TKNO,$B5,PS_MONTH,AQ$3)-AP7-SUMIFS(PS_SOTIEN,PS_TKCO,$B5,PS_MONTH,AQ$3)&gt;0,AO7+SUMIFS(PS_SOTIEN,PS_TKNO,$B5,PS_MONTH,AQ$3)-AP7-SUMIFS(PS_SOTIEN,PS_TKCO,$B5,PS_MONTH,AQ$3),0)</f>
        <v>#N/A</v>
      </c>
      <c r="AR7" s="630" t="str">
        <f t="shared" ref="AR7:AR9" si="49">IF(AP7+SUMIFS(PS_SOTIEN,PS_TKCO,$B5,PS_MONTH,AQ$3)-AO7-SUMIFS(PS_SOTIEN,PS_TKNO,$B5,PS_MONTH,AQ$3)&gt;0,AP7+SUMIFS(PS_SOTIEN,PS_TKCO,$B5,PS_MONTH,AQ$3)-AO7-SUMIFS(PS_SOTIEN,PS_TKNO,$B5,PS_MONTH,AQ$3),0)</f>
        <v>#N/A</v>
      </c>
      <c r="AS7" s="630" t="str">
        <f t="shared" ref="AS7:AS9" si="50">IF(AQ7+SUMIFS(PS_SOTIEN,PS_TKNO,$B5,PS_MONTH,AS$3)-AR7-SUMIFS(PS_SOTIEN,PS_TKCO,$B5,PS_MONTH,AS$3)&gt;0,AQ7+SUMIFS(PS_SOTIEN,PS_TKNO,$B5,PS_MONTH,AS$3)-AR7-SUMIFS(PS_SOTIEN,PS_TKCO,$B5,PS_MONTH,AS$3),0)</f>
        <v>#N/A</v>
      </c>
      <c r="AT7" s="630" t="str">
        <f t="shared" ref="AT7:AT9" si="51">IF(AR7+SUMIFS(PS_SOTIEN,PS_TKCO,$B5,PS_MONTH,AS$3)-AQ7-SUMIFS(PS_SOTIEN,PS_TKNO,$B5,PS_MONTH,AS$3)&gt;0,AR7+SUMIFS(PS_SOTIEN,PS_TKCO,$B5,PS_MONTH,AS$3)-AQ7-SUMIFS(PS_SOTIEN,PS_TKNO,$B5,PS_MONTH,AS$3),0)</f>
        <v>#N/A</v>
      </c>
      <c r="AU7" s="630" t="str">
        <f t="shared" ref="AU7:AU9" si="52">IF(AS7+SUMIFS(PS_SOTIEN,PS_TKNO,$B5,PS_MONTH,AU$3)-AT7-SUMIFS(PS_SOTIEN,PS_TKCO,$B5,PS_MONTH,AU$3)&gt;0,AS7+SUMIFS(PS_SOTIEN,PS_TKNO,$B5,PS_MONTH,AU$3)-AT7-SUMIFS(PS_SOTIEN,PS_TKCO,$B5,PS_MONTH,AU$3),0)</f>
        <v>#N/A</v>
      </c>
      <c r="AV7" s="630" t="str">
        <f t="shared" ref="AV7:AV9" si="53">IF(AT7+SUMIFS(PS_SOTIEN,PS_TKCO,$B5,PS_MONTH,AU$3)-AS7-SUMIFS(PS_SOTIEN,PS_TKNO,$B5,PS_MONTH,AU$3)&gt;0,AT7+SUMIFS(PS_SOTIEN,PS_TKCO,$B5,PS_MONTH,AU$3)-AS7-SUMIFS(PS_SOTIEN,PS_TKNO,$B5,PS_MONTH,AU$3),0)</f>
        <v>#N/A</v>
      </c>
      <c r="AW7" s="630" t="str">
        <f t="shared" ref="AW7:AW9" si="54">IF(AU7+SUMIFS(PS_SOTIEN,PS_TKNO,$B5,PS_MONTH,AW$3)-AV7-SUMIFS(PS_SOTIEN,PS_TKCO,$B5,PS_MONTH,AW$3)&gt;0,AU7+SUMIFS(PS_SOTIEN,PS_TKNO,$B5,PS_MONTH,AW$3)-AV7-SUMIFS(PS_SOTIEN,PS_TKCO,$B5,PS_MONTH,AW$3),0)</f>
        <v>#N/A</v>
      </c>
      <c r="AX7" s="630" t="str">
        <f t="shared" ref="AX7:AX9" si="55">IF(AV7+SUMIFS(PS_SOTIEN,PS_TKCO,$B5,PS_MONTH,AW$3)-AU7-SUMIFS(PS_SOTIEN,PS_TKNO,$B5,PS_MONTH,AW$3)&gt;0,AV7+SUMIFS(PS_SOTIEN,PS_TKCO,$B5,PS_MONTH,AW$3)-AU7-SUMIFS(PS_SOTIEN,PS_TKNO,$B5,PS_MONTH,AW$3),0)</f>
        <v>#N/A</v>
      </c>
    </row>
    <row r="8">
      <c r="A8" s="1448"/>
      <c r="B8" s="1440"/>
      <c r="C8" s="1449" t="s">
        <v>2984</v>
      </c>
      <c r="D8" s="1433" t="s">
        <v>2985</v>
      </c>
      <c r="E8" s="1451"/>
      <c r="F8" s="1450"/>
      <c r="G8" s="1450">
        <f>SUMIF(AC_TKNO,$C8,AC_SOTIEN)</f>
        <v>0</v>
      </c>
      <c r="H8" s="1450">
        <f>SUMIF(AC_TKCO,$C8,AC_SOTIEN)</f>
        <v>0</v>
      </c>
      <c r="I8" s="1450" t="str">
        <f t="shared" si="16"/>
        <v>-</v>
      </c>
      <c r="J8" s="1450" t="str">
        <f t="shared" si="17"/>
        <v>-</v>
      </c>
      <c r="K8" s="1443"/>
      <c r="L8" s="1443"/>
      <c r="M8" s="1444" t="str">
        <f t="shared" ref="M8:N8" si="25">S8</f>
        <v>#N/A</v>
      </c>
      <c r="N8" s="1444" t="str">
        <f t="shared" si="25"/>
        <v>#N/A</v>
      </c>
      <c r="O8" s="1444" t="str">
        <f t="shared" ref="O8:P8" si="26">W8</f>
        <v>#N/A</v>
      </c>
      <c r="P8" s="1444" t="str">
        <f t="shared" si="26"/>
        <v>#N/A</v>
      </c>
      <c r="Q8" s="1445" t="str">
        <f t="shared" ref="Q8:R8" si="27">AE8</f>
        <v>#N/A</v>
      </c>
      <c r="R8" s="1445" t="str">
        <f t="shared" si="27"/>
        <v>#N/A</v>
      </c>
      <c r="S8" s="1445" t="str">
        <f t="shared" ref="S8:T8" si="28">AK8</f>
        <v>#N/A</v>
      </c>
      <c r="T8" s="1445" t="str">
        <f t="shared" si="28"/>
        <v>#N/A</v>
      </c>
      <c r="U8" s="1445" t="str">
        <f t="shared" ref="U8:V8" si="29">AQ8</f>
        <v>#N/A</v>
      </c>
      <c r="V8" s="1445" t="str">
        <f t="shared" si="29"/>
        <v>#N/A</v>
      </c>
      <c r="W8" s="1445" t="str">
        <f t="shared" ref="W8:X8" si="30">AW8</f>
        <v>#N/A</v>
      </c>
      <c r="X8" s="1445" t="str">
        <f t="shared" si="30"/>
        <v>#N/A</v>
      </c>
      <c r="Y8" s="630" t="str">
        <f t="shared" ref="Y8:Z8" si="31">E8</f>
        <v/>
      </c>
      <c r="Z8" s="630" t="str">
        <f t="shared" si="31"/>
        <v/>
      </c>
      <c r="AA8" s="630" t="str">
        <f t="shared" si="32"/>
        <v>#N/A</v>
      </c>
      <c r="AB8" s="630" t="str">
        <f t="shared" si="33"/>
        <v>#N/A</v>
      </c>
      <c r="AC8" s="630" t="str">
        <f t="shared" si="34"/>
        <v>#N/A</v>
      </c>
      <c r="AD8" s="630" t="str">
        <f t="shared" si="35"/>
        <v>#N/A</v>
      </c>
      <c r="AE8" s="630" t="str">
        <f t="shared" si="36"/>
        <v>#N/A</v>
      </c>
      <c r="AF8" s="630" t="str">
        <f t="shared" si="37"/>
        <v>#N/A</v>
      </c>
      <c r="AG8" s="630" t="str">
        <f t="shared" si="38"/>
        <v>#N/A</v>
      </c>
      <c r="AH8" s="630" t="str">
        <f t="shared" si="39"/>
        <v>#N/A</v>
      </c>
      <c r="AI8" s="630" t="str">
        <f t="shared" si="40"/>
        <v>#N/A</v>
      </c>
      <c r="AJ8" s="630" t="str">
        <f t="shared" si="41"/>
        <v>#N/A</v>
      </c>
      <c r="AK8" s="630" t="str">
        <f t="shared" si="42"/>
        <v>#N/A</v>
      </c>
      <c r="AL8" s="630" t="str">
        <f t="shared" si="43"/>
        <v>#N/A</v>
      </c>
      <c r="AM8" s="630" t="str">
        <f t="shared" si="44"/>
        <v>#N/A</v>
      </c>
      <c r="AN8" s="630" t="str">
        <f t="shared" si="45"/>
        <v>#N/A</v>
      </c>
      <c r="AO8" s="630" t="str">
        <f t="shared" si="46"/>
        <v>#N/A</v>
      </c>
      <c r="AP8" s="630" t="str">
        <f t="shared" si="47"/>
        <v>#N/A</v>
      </c>
      <c r="AQ8" s="630" t="str">
        <f t="shared" si="48"/>
        <v>#N/A</v>
      </c>
      <c r="AR8" s="630" t="str">
        <f t="shared" si="49"/>
        <v>#N/A</v>
      </c>
      <c r="AS8" s="630" t="str">
        <f t="shared" si="50"/>
        <v>#N/A</v>
      </c>
      <c r="AT8" s="630" t="str">
        <f t="shared" si="51"/>
        <v>#N/A</v>
      </c>
      <c r="AU8" s="630" t="str">
        <f t="shared" si="52"/>
        <v>#N/A</v>
      </c>
      <c r="AV8" s="630" t="str">
        <f t="shared" si="53"/>
        <v>#N/A</v>
      </c>
      <c r="AW8" s="630" t="str">
        <f t="shared" si="54"/>
        <v>#N/A</v>
      </c>
      <c r="AX8" s="630" t="str">
        <f t="shared" si="55"/>
        <v>#N/A</v>
      </c>
    </row>
    <row r="9">
      <c r="A9" s="1452" t="s">
        <v>2986</v>
      </c>
      <c r="B9" s="1439" t="s">
        <v>2987</v>
      </c>
      <c r="C9" s="1440"/>
      <c r="D9" s="1441" t="s">
        <v>2988</v>
      </c>
      <c r="E9" s="1442">
        <f t="shared" ref="E9:J9" si="56">SUM(E10:E12)</f>
        <v>0</v>
      </c>
      <c r="F9" s="1442">
        <f t="shared" si="56"/>
        <v>0</v>
      </c>
      <c r="G9" s="1442">
        <f t="shared" si="56"/>
        <v>0</v>
      </c>
      <c r="H9" s="1442">
        <f t="shared" si="56"/>
        <v>0</v>
      </c>
      <c r="I9" s="1442">
        <f t="shared" si="56"/>
        <v>0</v>
      </c>
      <c r="J9" s="1442">
        <f t="shared" si="56"/>
        <v>0</v>
      </c>
      <c r="K9" s="1443"/>
      <c r="L9" s="1443"/>
      <c r="M9" s="1444" t="str">
        <f t="shared" ref="M9:N9" si="57">S9</f>
        <v>#N/A</v>
      </c>
      <c r="N9" s="1444" t="str">
        <f t="shared" si="57"/>
        <v>#N/A</v>
      </c>
      <c r="O9" s="1444" t="str">
        <f t="shared" ref="O9:P9" si="58">W9</f>
        <v>#N/A</v>
      </c>
      <c r="P9" s="1444" t="str">
        <f t="shared" si="58"/>
        <v>#N/A</v>
      </c>
      <c r="Q9" s="1445" t="str">
        <f t="shared" ref="Q9:R9" si="59">AE9</f>
        <v>#N/A</v>
      </c>
      <c r="R9" s="1445" t="str">
        <f t="shared" si="59"/>
        <v>#N/A</v>
      </c>
      <c r="S9" s="1445" t="str">
        <f t="shared" ref="S9:T9" si="60">AK9</f>
        <v>#N/A</v>
      </c>
      <c r="T9" s="1445" t="str">
        <f t="shared" si="60"/>
        <v>#N/A</v>
      </c>
      <c r="U9" s="1445" t="str">
        <f t="shared" ref="U9:V9" si="61">AQ9</f>
        <v>#N/A</v>
      </c>
      <c r="V9" s="1445" t="str">
        <f t="shared" si="61"/>
        <v>#N/A</v>
      </c>
      <c r="W9" s="1445" t="str">
        <f t="shared" ref="W9:X9" si="62">AW9</f>
        <v>#N/A</v>
      </c>
      <c r="X9" s="1445" t="str">
        <f t="shared" si="62"/>
        <v>#N/A</v>
      </c>
      <c r="Y9" s="630">
        <f t="shared" ref="Y9:Z9" si="63">E9</f>
        <v>0</v>
      </c>
      <c r="Z9" s="630">
        <f t="shared" si="63"/>
        <v>0</v>
      </c>
      <c r="AA9" s="630" t="str">
        <f t="shared" si="32"/>
        <v>#N/A</v>
      </c>
      <c r="AB9" s="630" t="str">
        <f t="shared" si="33"/>
        <v>#N/A</v>
      </c>
      <c r="AC9" s="630" t="str">
        <f t="shared" si="34"/>
        <v>#N/A</v>
      </c>
      <c r="AD9" s="630" t="str">
        <f t="shared" si="35"/>
        <v>#N/A</v>
      </c>
      <c r="AE9" s="630" t="str">
        <f t="shared" si="36"/>
        <v>#N/A</v>
      </c>
      <c r="AF9" s="630" t="str">
        <f t="shared" si="37"/>
        <v>#N/A</v>
      </c>
      <c r="AG9" s="630" t="str">
        <f t="shared" si="38"/>
        <v>#N/A</v>
      </c>
      <c r="AH9" s="630" t="str">
        <f t="shared" si="39"/>
        <v>#N/A</v>
      </c>
      <c r="AI9" s="630" t="str">
        <f t="shared" si="40"/>
        <v>#N/A</v>
      </c>
      <c r="AJ9" s="630" t="str">
        <f t="shared" si="41"/>
        <v>#N/A</v>
      </c>
      <c r="AK9" s="630" t="str">
        <f t="shared" si="42"/>
        <v>#N/A</v>
      </c>
      <c r="AL9" s="630" t="str">
        <f t="shared" si="43"/>
        <v>#N/A</v>
      </c>
      <c r="AM9" s="630" t="str">
        <f t="shared" si="44"/>
        <v>#N/A</v>
      </c>
      <c r="AN9" s="630" t="str">
        <f t="shared" si="45"/>
        <v>#N/A</v>
      </c>
      <c r="AO9" s="630" t="str">
        <f t="shared" si="46"/>
        <v>#N/A</v>
      </c>
      <c r="AP9" s="630" t="str">
        <f t="shared" si="47"/>
        <v>#N/A</v>
      </c>
      <c r="AQ9" s="630" t="str">
        <f t="shared" si="48"/>
        <v>#N/A</v>
      </c>
      <c r="AR9" s="630" t="str">
        <f t="shared" si="49"/>
        <v>#N/A</v>
      </c>
      <c r="AS9" s="630" t="str">
        <f t="shared" si="50"/>
        <v>#N/A</v>
      </c>
      <c r="AT9" s="630" t="str">
        <f t="shared" si="51"/>
        <v>#N/A</v>
      </c>
      <c r="AU9" s="630" t="str">
        <f t="shared" si="52"/>
        <v>#N/A</v>
      </c>
      <c r="AV9" s="630" t="str">
        <f t="shared" si="53"/>
        <v>#N/A</v>
      </c>
      <c r="AW9" s="630" t="str">
        <f t="shared" si="54"/>
        <v>#N/A</v>
      </c>
      <c r="AX9" s="630" t="str">
        <f t="shared" si="55"/>
        <v>#N/A</v>
      </c>
    </row>
    <row r="10">
      <c r="A10" s="1448"/>
      <c r="B10" s="1440"/>
      <c r="C10" s="1449" t="s">
        <v>1334</v>
      </c>
      <c r="D10" s="1433" t="s">
        <v>2989</v>
      </c>
      <c r="E10" s="1450"/>
      <c r="F10" s="1450"/>
      <c r="G10" s="1450">
        <f>SUMIF(AC_TKNO,$C10,AC_SOTIEN)</f>
        <v>0</v>
      </c>
      <c r="H10" s="1450">
        <f>SUMIF(AC_TKCO,$C10,AC_SOTIEN)</f>
        <v>0</v>
      </c>
      <c r="I10" s="1450" t="str">
        <f t="shared" ref="I10:I12" si="71">IF(E10+G10-F10-H10&gt;0,E10+G10-F10-H10,"-")</f>
        <v>-</v>
      </c>
      <c r="J10" s="1450" t="str">
        <f t="shared" ref="J10:J12" si="72">IF(F10+H10-E10-G10&gt;0,F10+H10-E10-G10,"-")</f>
        <v>-</v>
      </c>
      <c r="K10" s="1443"/>
      <c r="L10" s="1443"/>
      <c r="M10" s="1444" t="str">
        <f t="shared" ref="M10:N10" si="64">S10</f>
        <v>#N/A</v>
      </c>
      <c r="N10" s="1444" t="str">
        <f t="shared" si="64"/>
        <v>#N/A</v>
      </c>
      <c r="O10" s="1444" t="str">
        <f t="shared" ref="O10:P10" si="65">W10</f>
        <v>#N/A</v>
      </c>
      <c r="P10" s="1444" t="str">
        <f t="shared" si="65"/>
        <v>#N/A</v>
      </c>
      <c r="Q10" s="1445" t="str">
        <f t="shared" ref="Q10:R10" si="66">AE10</f>
        <v>#N/A</v>
      </c>
      <c r="R10" s="1445" t="str">
        <f t="shared" si="66"/>
        <v>#N/A</v>
      </c>
      <c r="S10" s="1445" t="str">
        <f t="shared" ref="S10:T10" si="67">AK10</f>
        <v>#N/A</v>
      </c>
      <c r="T10" s="1445" t="str">
        <f t="shared" si="67"/>
        <v>#N/A</v>
      </c>
      <c r="U10" s="1445" t="str">
        <f t="shared" ref="U10:V10" si="68">AQ10</f>
        <v>#N/A</v>
      </c>
      <c r="V10" s="1445" t="str">
        <f t="shared" si="68"/>
        <v>#N/A</v>
      </c>
      <c r="W10" s="1445" t="str">
        <f t="shared" ref="W10:X10" si="69">AW10</f>
        <v>#N/A</v>
      </c>
      <c r="X10" s="1445" t="str">
        <f t="shared" si="69"/>
        <v>#N/A</v>
      </c>
      <c r="Y10" s="1447">
        <f t="shared" ref="Y10:AX10" si="70">Y11+Y15+Y18+Y21</f>
        <v>0</v>
      </c>
      <c r="Z10" s="1447">
        <f t="shared" si="70"/>
        <v>0</v>
      </c>
      <c r="AA10" s="1447" t="str">
        <f t="shared" si="70"/>
        <v>#N/A</v>
      </c>
      <c r="AB10" s="1447" t="str">
        <f t="shared" si="70"/>
        <v>#N/A</v>
      </c>
      <c r="AC10" s="1447" t="str">
        <f t="shared" si="70"/>
        <v>#N/A</v>
      </c>
      <c r="AD10" s="1447" t="str">
        <f t="shared" si="70"/>
        <v>#N/A</v>
      </c>
      <c r="AE10" s="1447" t="str">
        <f t="shared" si="70"/>
        <v>#N/A</v>
      </c>
      <c r="AF10" s="1447" t="str">
        <f t="shared" si="70"/>
        <v>#N/A</v>
      </c>
      <c r="AG10" s="1447" t="str">
        <f t="shared" si="70"/>
        <v>#N/A</v>
      </c>
      <c r="AH10" s="1447" t="str">
        <f t="shared" si="70"/>
        <v>#N/A</v>
      </c>
      <c r="AI10" s="1447" t="str">
        <f t="shared" si="70"/>
        <v>#N/A</v>
      </c>
      <c r="AJ10" s="1447" t="str">
        <f t="shared" si="70"/>
        <v>#N/A</v>
      </c>
      <c r="AK10" s="1447" t="str">
        <f t="shared" si="70"/>
        <v>#N/A</v>
      </c>
      <c r="AL10" s="1447" t="str">
        <f t="shared" si="70"/>
        <v>#N/A</v>
      </c>
      <c r="AM10" s="1447" t="str">
        <f t="shared" si="70"/>
        <v>#N/A</v>
      </c>
      <c r="AN10" s="1447" t="str">
        <f t="shared" si="70"/>
        <v>#N/A</v>
      </c>
      <c r="AO10" s="1447" t="str">
        <f t="shared" si="70"/>
        <v>#N/A</v>
      </c>
      <c r="AP10" s="1447" t="str">
        <f t="shared" si="70"/>
        <v>#N/A</v>
      </c>
      <c r="AQ10" s="1447" t="str">
        <f t="shared" si="70"/>
        <v>#N/A</v>
      </c>
      <c r="AR10" s="1447" t="str">
        <f t="shared" si="70"/>
        <v>#N/A</v>
      </c>
      <c r="AS10" s="1447" t="str">
        <f t="shared" si="70"/>
        <v>#N/A</v>
      </c>
      <c r="AT10" s="1447" t="str">
        <f t="shared" si="70"/>
        <v>#N/A</v>
      </c>
      <c r="AU10" s="1447" t="str">
        <f t="shared" si="70"/>
        <v>#N/A</v>
      </c>
      <c r="AV10" s="1447" t="str">
        <f t="shared" si="70"/>
        <v>#N/A</v>
      </c>
      <c r="AW10" s="1447" t="str">
        <f t="shared" si="70"/>
        <v>#N/A</v>
      </c>
      <c r="AX10" s="1447" t="str">
        <f t="shared" si="70"/>
        <v>#N/A</v>
      </c>
    </row>
    <row r="11">
      <c r="A11" s="1448"/>
      <c r="B11" s="1440"/>
      <c r="C11" s="1449" t="s">
        <v>1337</v>
      </c>
      <c r="D11" s="1433" t="s">
        <v>2983</v>
      </c>
      <c r="E11" s="1451"/>
      <c r="F11" s="1450"/>
      <c r="G11" s="1450">
        <f>SUMIF(AC_TKNO,$C11,AC_SOTIEN)</f>
        <v>0</v>
      </c>
      <c r="H11" s="1450">
        <f>SUMIF(AC_TKCO,$C11,AC_SOTIEN)</f>
        <v>0</v>
      </c>
      <c r="I11" s="1450" t="str">
        <f t="shared" si="71"/>
        <v>-</v>
      </c>
      <c r="J11" s="1450" t="str">
        <f t="shared" si="72"/>
        <v>-</v>
      </c>
      <c r="K11" s="1443"/>
      <c r="L11" s="1443"/>
      <c r="M11" s="1444" t="str">
        <f t="shared" ref="M11:N11" si="73">S11</f>
        <v>#N/A</v>
      </c>
      <c r="N11" s="1444" t="str">
        <f t="shared" si="73"/>
        <v>#N/A</v>
      </c>
      <c r="O11" s="1444" t="str">
        <f t="shared" ref="O11:P11" si="74">W11</f>
        <v>#N/A</v>
      </c>
      <c r="P11" s="1444" t="str">
        <f t="shared" si="74"/>
        <v>#N/A</v>
      </c>
      <c r="Q11" s="1445" t="str">
        <f t="shared" ref="Q11:R11" si="75">AE11</f>
        <v>#N/A</v>
      </c>
      <c r="R11" s="1445" t="str">
        <f t="shared" si="75"/>
        <v>#N/A</v>
      </c>
      <c r="S11" s="1445" t="str">
        <f t="shared" ref="S11:T11" si="76">AK11</f>
        <v>#N/A</v>
      </c>
      <c r="T11" s="1445" t="str">
        <f t="shared" si="76"/>
        <v>#N/A</v>
      </c>
      <c r="U11" s="1445" t="str">
        <f t="shared" ref="U11:V11" si="77">AQ11</f>
        <v>#N/A</v>
      </c>
      <c r="V11" s="1445" t="str">
        <f t="shared" si="77"/>
        <v>#N/A</v>
      </c>
      <c r="W11" s="1445" t="str">
        <f t="shared" ref="W11:X11" si="78">AW11</f>
        <v>#N/A</v>
      </c>
      <c r="X11" s="1445" t="str">
        <f t="shared" si="78"/>
        <v>#N/A</v>
      </c>
      <c r="Y11" s="1453">
        <f t="shared" ref="Y11:AX11" si="79">SUM(Y12:Y14)</f>
        <v>0</v>
      </c>
      <c r="Z11" s="1453">
        <f t="shared" si="79"/>
        <v>0</v>
      </c>
      <c r="AA11" s="1453" t="str">
        <f t="shared" si="79"/>
        <v>#N/A</v>
      </c>
      <c r="AB11" s="1453" t="str">
        <f t="shared" si="79"/>
        <v>#N/A</v>
      </c>
      <c r="AC11" s="1453" t="str">
        <f t="shared" si="79"/>
        <v>#N/A</v>
      </c>
      <c r="AD11" s="1453" t="str">
        <f t="shared" si="79"/>
        <v>#N/A</v>
      </c>
      <c r="AE11" s="1453" t="str">
        <f t="shared" si="79"/>
        <v>#N/A</v>
      </c>
      <c r="AF11" s="1453" t="str">
        <f t="shared" si="79"/>
        <v>#N/A</v>
      </c>
      <c r="AG11" s="1453" t="str">
        <f t="shared" si="79"/>
        <v>#N/A</v>
      </c>
      <c r="AH11" s="1453" t="str">
        <f t="shared" si="79"/>
        <v>#N/A</v>
      </c>
      <c r="AI11" s="1453" t="str">
        <f t="shared" si="79"/>
        <v>#N/A</v>
      </c>
      <c r="AJ11" s="1453" t="str">
        <f t="shared" si="79"/>
        <v>#N/A</v>
      </c>
      <c r="AK11" s="1453" t="str">
        <f t="shared" si="79"/>
        <v>#N/A</v>
      </c>
      <c r="AL11" s="1453" t="str">
        <f t="shared" si="79"/>
        <v>#N/A</v>
      </c>
      <c r="AM11" s="1453" t="str">
        <f t="shared" si="79"/>
        <v>#N/A</v>
      </c>
      <c r="AN11" s="1453" t="str">
        <f t="shared" si="79"/>
        <v>#N/A</v>
      </c>
      <c r="AO11" s="1453" t="str">
        <f t="shared" si="79"/>
        <v>#N/A</v>
      </c>
      <c r="AP11" s="1453" t="str">
        <f t="shared" si="79"/>
        <v>#N/A</v>
      </c>
      <c r="AQ11" s="1453" t="str">
        <f t="shared" si="79"/>
        <v>#N/A</v>
      </c>
      <c r="AR11" s="1453" t="str">
        <f t="shared" si="79"/>
        <v>#N/A</v>
      </c>
      <c r="AS11" s="1453" t="str">
        <f t="shared" si="79"/>
        <v>#N/A</v>
      </c>
      <c r="AT11" s="1453" t="str">
        <f t="shared" si="79"/>
        <v>#N/A</v>
      </c>
      <c r="AU11" s="1453" t="str">
        <f t="shared" si="79"/>
        <v>#N/A</v>
      </c>
      <c r="AV11" s="1453" t="str">
        <f t="shared" si="79"/>
        <v>#N/A</v>
      </c>
      <c r="AW11" s="1453" t="str">
        <f t="shared" si="79"/>
        <v>#N/A</v>
      </c>
      <c r="AX11" s="1453" t="str">
        <f t="shared" si="79"/>
        <v>#N/A</v>
      </c>
    </row>
    <row r="12">
      <c r="A12" s="1448"/>
      <c r="B12" s="1440"/>
      <c r="C12" s="1449" t="s">
        <v>2990</v>
      </c>
      <c r="D12" s="1433" t="s">
        <v>2985</v>
      </c>
      <c r="E12" s="1451"/>
      <c r="F12" s="1450"/>
      <c r="G12" s="1450">
        <f>SUMIF(AC_TKNO,$C12,AC_SOTIEN)</f>
        <v>0</v>
      </c>
      <c r="H12" s="1450">
        <f>SUMIF(AC_TKCO,$C12,AC_SOTIEN)</f>
        <v>0</v>
      </c>
      <c r="I12" s="1450" t="str">
        <f t="shared" si="71"/>
        <v>-</v>
      </c>
      <c r="J12" s="1450" t="str">
        <f t="shared" si="72"/>
        <v>-</v>
      </c>
      <c r="K12" s="1443"/>
      <c r="L12" s="1443"/>
      <c r="M12" s="1444" t="str">
        <f t="shared" ref="M12:N12" si="80">S12</f>
        <v>#N/A</v>
      </c>
      <c r="N12" s="1444" t="str">
        <f t="shared" si="80"/>
        <v>#N/A</v>
      </c>
      <c r="O12" s="1444" t="str">
        <f t="shared" ref="O12:P12" si="81">W12</f>
        <v>#N/A</v>
      </c>
      <c r="P12" s="1444" t="str">
        <f t="shared" si="81"/>
        <v>#N/A</v>
      </c>
      <c r="Q12" s="1445" t="str">
        <f t="shared" ref="Q12:R12" si="82">AE12</f>
        <v>#N/A</v>
      </c>
      <c r="R12" s="1445" t="str">
        <f t="shared" si="82"/>
        <v>#N/A</v>
      </c>
      <c r="S12" s="1445" t="str">
        <f t="shared" ref="S12:T12" si="83">AK12</f>
        <v>#N/A</v>
      </c>
      <c r="T12" s="1445" t="str">
        <f t="shared" si="83"/>
        <v>#N/A</v>
      </c>
      <c r="U12" s="1445" t="str">
        <f t="shared" ref="U12:V12" si="84">AQ12</f>
        <v>#N/A</v>
      </c>
      <c r="V12" s="1445" t="str">
        <f t="shared" si="84"/>
        <v>#N/A</v>
      </c>
      <c r="W12" s="1445" t="str">
        <f t="shared" ref="W12:X12" si="85">AW12</f>
        <v>#N/A</v>
      </c>
      <c r="X12" s="1445" t="str">
        <f t="shared" si="85"/>
        <v>#N/A</v>
      </c>
      <c r="Y12" s="630" t="str">
        <f t="shared" ref="Y12:Z12" si="86">E12</f>
        <v/>
      </c>
      <c r="Z12" s="630" t="str">
        <f t="shared" si="86"/>
        <v/>
      </c>
      <c r="AA12" s="630" t="str">
        <f t="shared" ref="AA12:AA14" si="95">IF(Y12+SUMIFS(PS_SOTIEN,PS_TKNO,$B10,PS_MONTH,AA$3)-Z12-SUMIFS(PS_SOTIEN,PS_TKCO,$B10,PS_MONTH,AA$3)&gt;0,Y12+SUMIFS(PS_SOTIEN,PS_TKNO,$B10,PS_MONTH,AA$3)-Z12-SUMIFS(PS_SOTIEN,PS_TKCO,$B10,PS_MONTH,AA$3),0)</f>
        <v>#N/A</v>
      </c>
      <c r="AB12" s="630" t="str">
        <f t="shared" ref="AB12:AB14" si="96">IF(Z12+SUMIFS(PS_SOTIEN,PS_TKCO,$B10,PS_MONTH,AA$3)-Y12-SUMIFS(PS_SOTIEN,PS_TKNO,$B10,PS_MONTH,AA$3)&gt;0,Z12+SUMIFS(PS_SOTIEN,PS_TKCO,$B10,PS_MONTH,AA$3)-Y12-SUMIFS(PS_SOTIEN,PS_TKNO,$B10,PS_MONTH,AA$3),0)</f>
        <v>#N/A</v>
      </c>
      <c r="AC12" s="630" t="str">
        <f t="shared" ref="AC12:AC14" si="97">IF(AA12+SUMIFS(PS_SOTIEN,PS_TKNO,$B10,PS_MONTH,AC$3)-AB12-SUMIFS(PS_SOTIEN,PS_TKCO,$B10,PS_MONTH,AC$3)&gt;0,AA12+SUMIFS(PS_SOTIEN,PS_TKNO,$B10,PS_MONTH,AC$3)-AB12-SUMIFS(PS_SOTIEN,PS_TKCO,$B10,PS_MONTH,AC$3),0)</f>
        <v>#N/A</v>
      </c>
      <c r="AD12" s="630" t="str">
        <f t="shared" ref="AD12:AD14" si="98">IF(AB12+SUMIFS(PS_SOTIEN,PS_TKCO,$B10,PS_MONTH,AC$3)-AA12-SUMIFS(PS_SOTIEN,PS_TKNO,$B10,PS_MONTH,AC$3)&gt;0,AB12+SUMIFS(PS_SOTIEN,PS_TKCO,$B10,PS_MONTH,AC$3)-AA12-SUMIFS(PS_SOTIEN,PS_TKNO,$B10,PS_MONTH,AC$3),0)</f>
        <v>#N/A</v>
      </c>
      <c r="AE12" s="630" t="str">
        <f t="shared" ref="AE12:AE14" si="99">IF(AC12+SUMIFS(PS_SOTIEN,PS_TKNO,$B10,PS_MONTH,AE$3)-AD12-SUMIFS(PS_SOTIEN,PS_TKCO,$B10,PS_MONTH,AE$3)&gt;0,AC12+SUMIFS(PS_SOTIEN,PS_TKNO,$B10,PS_MONTH,AE$3)-AD12-SUMIFS(PS_SOTIEN,PS_TKCO,$B10,PS_MONTH,AE$3),0)</f>
        <v>#N/A</v>
      </c>
      <c r="AF12" s="630" t="str">
        <f t="shared" ref="AF12:AF14" si="100">IF(AD12+SUMIFS(PS_SOTIEN,PS_TKCO,$B10,PS_MONTH,AE$3)-AC12-SUMIFS(PS_SOTIEN,PS_TKNO,$B10,PS_MONTH,AE$3)&gt;0,AD12+SUMIFS(PS_SOTIEN,PS_TKCO,$B10,PS_MONTH,AE$3)-AC12-SUMIFS(PS_SOTIEN,PS_TKNO,$B10,PS_MONTH,AE$3),0)</f>
        <v>#N/A</v>
      </c>
      <c r="AG12" s="630" t="str">
        <f t="shared" ref="AG12:AG14" si="101">IF(AE12+SUMIFS(PS_SOTIEN,PS_TKNO,$B10,PS_MONTH,AG$3)-AF12-SUMIFS(PS_SOTIEN,PS_TKCO,$B10,PS_MONTH,AG$3)&gt;0,AE12+SUMIFS(PS_SOTIEN,PS_TKNO,$B10,PS_MONTH,AG$3)-AF12-SUMIFS(PS_SOTIEN,PS_TKCO,$B10,PS_MONTH,AG$3),0)</f>
        <v>#N/A</v>
      </c>
      <c r="AH12" s="630" t="str">
        <f t="shared" ref="AH12:AH14" si="102">IF(AF12+SUMIFS(PS_SOTIEN,PS_TKCO,$B10,PS_MONTH,AG$3)-AE12-SUMIFS(PS_SOTIEN,PS_TKNO,$B10,PS_MONTH,AG$3)&gt;0,AF12+SUMIFS(PS_SOTIEN,PS_TKCO,$B10,PS_MONTH,AG$3)-AE12-SUMIFS(PS_SOTIEN,PS_TKNO,$B10,PS_MONTH,AG$3),0)</f>
        <v>#N/A</v>
      </c>
      <c r="AI12" s="630" t="str">
        <f t="shared" ref="AI12:AI14" si="103">IF(AG12+SUMIFS(PS_SOTIEN,PS_TKNO,$B10,PS_MONTH,AI$3)-AH12-SUMIFS(PS_SOTIEN,PS_TKCO,$B10,PS_MONTH,AI$3)&gt;0,AG12+SUMIFS(PS_SOTIEN,PS_TKNO,$B10,PS_MONTH,AI$3)-AH12-SUMIFS(PS_SOTIEN,PS_TKCO,$B10,PS_MONTH,AI$3),0)</f>
        <v>#N/A</v>
      </c>
      <c r="AJ12" s="630" t="str">
        <f t="shared" ref="AJ12:AJ14" si="104">IF(AH12+SUMIFS(PS_SOTIEN,PS_TKCO,$B10,PS_MONTH,AI$3)-AG12-SUMIFS(PS_SOTIEN,PS_TKNO,$B10,PS_MONTH,AI$3)&gt;0,AH12+SUMIFS(PS_SOTIEN,PS_TKCO,$B10,PS_MONTH,AI$3)-AG12-SUMIFS(PS_SOTIEN,PS_TKNO,$B10,PS_MONTH,AI$3),0)</f>
        <v>#N/A</v>
      </c>
      <c r="AK12" s="630" t="str">
        <f t="shared" ref="AK12:AK14" si="105">IF(AI12+SUMIFS(PS_SOTIEN,PS_TKNO,$B10,PS_MONTH,AK$3)-AJ12-SUMIFS(PS_SOTIEN,PS_TKCO,$B10,PS_MONTH,AK$3)&gt;0,AI12+SUMIFS(PS_SOTIEN,PS_TKNO,$B10,PS_MONTH,AK$3)-AJ12-SUMIFS(PS_SOTIEN,PS_TKCO,$B10,PS_MONTH,AK$3),0)</f>
        <v>#N/A</v>
      </c>
      <c r="AL12" s="630" t="str">
        <f t="shared" ref="AL12:AL14" si="106">IF(AJ12+SUMIFS(PS_SOTIEN,PS_TKCO,$B10,PS_MONTH,AK$3)-AI12-SUMIFS(PS_SOTIEN,PS_TKNO,$B10,PS_MONTH,AK$3)&gt;0,AJ12+SUMIFS(PS_SOTIEN,PS_TKCO,$B10,PS_MONTH,AK$3)-AI12-SUMIFS(PS_SOTIEN,PS_TKNO,$B10,PS_MONTH,AK$3),0)</f>
        <v>#N/A</v>
      </c>
      <c r="AM12" s="630" t="str">
        <f t="shared" ref="AM12:AM14" si="107">IF(AK12+SUMIFS(PS_SOTIEN,PS_TKNO,$B10,PS_MONTH,AM$3)-AL12-SUMIFS(PS_SOTIEN,PS_TKCO,$B10,PS_MONTH,AM$3)&gt;0,AK12+SUMIFS(PS_SOTIEN,PS_TKNO,$B10,PS_MONTH,AM$3)-AL12-SUMIFS(PS_SOTIEN,PS_TKCO,$B10,PS_MONTH,AM$3),0)</f>
        <v>#N/A</v>
      </c>
      <c r="AN12" s="630" t="str">
        <f t="shared" ref="AN12:AN14" si="108">IF(AL12+SUMIFS(PS_SOTIEN,PS_TKCO,$B10,PS_MONTH,AM$3)-AK12-SUMIFS(PS_SOTIEN,PS_TKNO,$B10,PS_MONTH,AM$3)&gt;0,AL12+SUMIFS(PS_SOTIEN,PS_TKCO,$B10,PS_MONTH,AM$3)-AK12-SUMIFS(PS_SOTIEN,PS_TKNO,$B10,PS_MONTH,AM$3),0)</f>
        <v>#N/A</v>
      </c>
      <c r="AO12" s="630" t="str">
        <f t="shared" ref="AO12:AO14" si="109">IF(AM12+SUMIFS(PS_SOTIEN,PS_TKNO,$B10,PS_MONTH,AO$3)-AN12-SUMIFS(PS_SOTIEN,PS_TKCO,$B10,PS_MONTH,AO$3)&gt;0,AM12+SUMIFS(PS_SOTIEN,PS_TKNO,$B10,PS_MONTH,AO$3)-AN12-SUMIFS(PS_SOTIEN,PS_TKCO,$B10,PS_MONTH,AO$3),0)</f>
        <v>#N/A</v>
      </c>
      <c r="AP12" s="630" t="str">
        <f t="shared" ref="AP12:AP14" si="110">IF(AN12+SUMIFS(PS_SOTIEN,PS_TKCO,$B10,PS_MONTH,AO$3)-AM12-SUMIFS(PS_SOTIEN,PS_TKNO,$B10,PS_MONTH,AO$3)&gt;0,AN12+SUMIFS(PS_SOTIEN,PS_TKCO,$B10,PS_MONTH,AO$3)-AM12-SUMIFS(PS_SOTIEN,PS_TKNO,$B10,PS_MONTH,AO$3),0)</f>
        <v>#N/A</v>
      </c>
      <c r="AQ12" s="630" t="str">
        <f t="shared" ref="AQ12:AQ14" si="111">IF(AO12+SUMIFS(PS_SOTIEN,PS_TKNO,$B10,PS_MONTH,AQ$3)-AP12-SUMIFS(PS_SOTIEN,PS_TKCO,$B10,PS_MONTH,AQ$3)&gt;0,AO12+SUMIFS(PS_SOTIEN,PS_TKNO,$B10,PS_MONTH,AQ$3)-AP12-SUMIFS(PS_SOTIEN,PS_TKCO,$B10,PS_MONTH,AQ$3),0)</f>
        <v>#N/A</v>
      </c>
      <c r="AR12" s="630" t="str">
        <f t="shared" ref="AR12:AR14" si="112">IF(AP12+SUMIFS(PS_SOTIEN,PS_TKCO,$B10,PS_MONTH,AQ$3)-AO12-SUMIFS(PS_SOTIEN,PS_TKNO,$B10,PS_MONTH,AQ$3)&gt;0,AP12+SUMIFS(PS_SOTIEN,PS_TKCO,$B10,PS_MONTH,AQ$3)-AO12-SUMIFS(PS_SOTIEN,PS_TKNO,$B10,PS_MONTH,AQ$3),0)</f>
        <v>#N/A</v>
      </c>
      <c r="AS12" s="630" t="str">
        <f t="shared" ref="AS12:AS14" si="113">IF(AQ12+SUMIFS(PS_SOTIEN,PS_TKNO,$B10,PS_MONTH,AS$3)-AR12-SUMIFS(PS_SOTIEN,PS_TKCO,$B10,PS_MONTH,AS$3)&gt;0,AQ12+SUMIFS(PS_SOTIEN,PS_TKNO,$B10,PS_MONTH,AS$3)-AR12-SUMIFS(PS_SOTIEN,PS_TKCO,$B10,PS_MONTH,AS$3),0)</f>
        <v>#N/A</v>
      </c>
      <c r="AT12" s="630" t="str">
        <f t="shared" ref="AT12:AT14" si="114">IF(AR12+SUMIFS(PS_SOTIEN,PS_TKCO,$B10,PS_MONTH,AS$3)-AQ12-SUMIFS(PS_SOTIEN,PS_TKNO,$B10,PS_MONTH,AS$3)&gt;0,AR12+SUMIFS(PS_SOTIEN,PS_TKCO,$B10,PS_MONTH,AS$3)-AQ12-SUMIFS(PS_SOTIEN,PS_TKNO,$B10,PS_MONTH,AS$3),0)</f>
        <v>#N/A</v>
      </c>
      <c r="AU12" s="630" t="str">
        <f t="shared" ref="AU12:AU14" si="115">IF(AS12+SUMIFS(PS_SOTIEN,PS_TKNO,$B10,PS_MONTH,AU$3)-AT12-SUMIFS(PS_SOTIEN,PS_TKCO,$B10,PS_MONTH,AU$3)&gt;0,AS12+SUMIFS(PS_SOTIEN,PS_TKNO,$B10,PS_MONTH,AU$3)-AT12-SUMIFS(PS_SOTIEN,PS_TKCO,$B10,PS_MONTH,AU$3),0)</f>
        <v>#N/A</v>
      </c>
      <c r="AV12" s="630" t="str">
        <f t="shared" ref="AV12:AV14" si="116">IF(AT12+SUMIFS(PS_SOTIEN,PS_TKCO,$B10,PS_MONTH,AU$3)-AS12-SUMIFS(PS_SOTIEN,PS_TKNO,$B10,PS_MONTH,AU$3)&gt;0,AT12+SUMIFS(PS_SOTIEN,PS_TKCO,$B10,PS_MONTH,AU$3)-AS12-SUMIFS(PS_SOTIEN,PS_TKNO,$B10,PS_MONTH,AU$3),0)</f>
        <v>#N/A</v>
      </c>
      <c r="AW12" s="630" t="str">
        <f t="shared" ref="AW12:AW14" si="117">IF(AU12+SUMIFS(PS_SOTIEN,PS_TKNO,$B10,PS_MONTH,AW$3)-AV12-SUMIFS(PS_SOTIEN,PS_TKCO,$B10,PS_MONTH,AW$3)&gt;0,AU12+SUMIFS(PS_SOTIEN,PS_TKNO,$B10,PS_MONTH,AW$3)-AV12-SUMIFS(PS_SOTIEN,PS_TKCO,$B10,PS_MONTH,AW$3),0)</f>
        <v>#N/A</v>
      </c>
      <c r="AX12" s="630" t="str">
        <f t="shared" ref="AX12:AX14" si="118">IF(AV12+SUMIFS(PS_SOTIEN,PS_TKCO,$B10,PS_MONTH,AW$3)-AU12-SUMIFS(PS_SOTIEN,PS_TKNO,$B10,PS_MONTH,AW$3)&gt;0,AV12+SUMIFS(PS_SOTIEN,PS_TKCO,$B10,PS_MONTH,AW$3)-AU12-SUMIFS(PS_SOTIEN,PS_TKNO,$B10,PS_MONTH,AW$3),0)</f>
        <v>#N/A</v>
      </c>
    </row>
    <row r="13" outlineLevel="1">
      <c r="A13" s="1452" t="s">
        <v>2986</v>
      </c>
      <c r="B13" s="1439" t="s">
        <v>2991</v>
      </c>
      <c r="C13" s="1440"/>
      <c r="D13" s="1441" t="s">
        <v>2992</v>
      </c>
      <c r="E13" s="1442">
        <f t="shared" ref="E13:J13" si="87">SUM(E14:E15)</f>
        <v>0</v>
      </c>
      <c r="F13" s="1442">
        <f t="shared" si="87"/>
        <v>0</v>
      </c>
      <c r="G13" s="1442">
        <f t="shared" si="87"/>
        <v>0</v>
      </c>
      <c r="H13" s="1442">
        <f t="shared" si="87"/>
        <v>0</v>
      </c>
      <c r="I13" s="1442">
        <f t="shared" si="87"/>
        <v>0</v>
      </c>
      <c r="J13" s="1442">
        <f t="shared" si="87"/>
        <v>0</v>
      </c>
      <c r="K13" s="1443"/>
      <c r="L13" s="1443"/>
      <c r="M13" s="1444" t="str">
        <f t="shared" ref="M13:N13" si="88">S13</f>
        <v>#N/A</v>
      </c>
      <c r="N13" s="1444" t="str">
        <f t="shared" si="88"/>
        <v>#N/A</v>
      </c>
      <c r="O13" s="1444" t="str">
        <f t="shared" ref="O13:P13" si="89">W13</f>
        <v>#N/A</v>
      </c>
      <c r="P13" s="1444" t="str">
        <f t="shared" si="89"/>
        <v>#N/A</v>
      </c>
      <c r="Q13" s="1445" t="str">
        <f t="shared" ref="Q13:R13" si="90">AE13</f>
        <v>#N/A</v>
      </c>
      <c r="R13" s="1445" t="str">
        <f t="shared" si="90"/>
        <v>#N/A</v>
      </c>
      <c r="S13" s="1445" t="str">
        <f t="shared" ref="S13:T13" si="91">AK13</f>
        <v>#N/A</v>
      </c>
      <c r="T13" s="1445" t="str">
        <f t="shared" si="91"/>
        <v>#N/A</v>
      </c>
      <c r="U13" s="1445" t="str">
        <f t="shared" ref="U13:V13" si="92">AQ13</f>
        <v>#N/A</v>
      </c>
      <c r="V13" s="1445" t="str">
        <f t="shared" si="92"/>
        <v>#N/A</v>
      </c>
      <c r="W13" s="1445" t="str">
        <f t="shared" ref="W13:X13" si="93">AW13</f>
        <v>#N/A</v>
      </c>
      <c r="X13" s="1445" t="str">
        <f t="shared" si="93"/>
        <v>#N/A</v>
      </c>
      <c r="Y13" s="630">
        <f t="shared" ref="Y13:Z13" si="94">E13</f>
        <v>0</v>
      </c>
      <c r="Z13" s="630">
        <f t="shared" si="94"/>
        <v>0</v>
      </c>
      <c r="AA13" s="630" t="str">
        <f t="shared" si="95"/>
        <v>#N/A</v>
      </c>
      <c r="AB13" s="630" t="str">
        <f t="shared" si="96"/>
        <v>#N/A</v>
      </c>
      <c r="AC13" s="630" t="str">
        <f t="shared" si="97"/>
        <v>#N/A</v>
      </c>
      <c r="AD13" s="630" t="str">
        <f t="shared" si="98"/>
        <v>#N/A</v>
      </c>
      <c r="AE13" s="630" t="str">
        <f t="shared" si="99"/>
        <v>#N/A</v>
      </c>
      <c r="AF13" s="630" t="str">
        <f t="shared" si="100"/>
        <v>#N/A</v>
      </c>
      <c r="AG13" s="630" t="str">
        <f t="shared" si="101"/>
        <v>#N/A</v>
      </c>
      <c r="AH13" s="630" t="str">
        <f t="shared" si="102"/>
        <v>#N/A</v>
      </c>
      <c r="AI13" s="630" t="str">
        <f t="shared" si="103"/>
        <v>#N/A</v>
      </c>
      <c r="AJ13" s="630" t="str">
        <f t="shared" si="104"/>
        <v>#N/A</v>
      </c>
      <c r="AK13" s="630" t="str">
        <f t="shared" si="105"/>
        <v>#N/A</v>
      </c>
      <c r="AL13" s="630" t="str">
        <f t="shared" si="106"/>
        <v>#N/A</v>
      </c>
      <c r="AM13" s="630" t="str">
        <f t="shared" si="107"/>
        <v>#N/A</v>
      </c>
      <c r="AN13" s="630" t="str">
        <f t="shared" si="108"/>
        <v>#N/A</v>
      </c>
      <c r="AO13" s="630" t="str">
        <f t="shared" si="109"/>
        <v>#N/A</v>
      </c>
      <c r="AP13" s="630" t="str">
        <f t="shared" si="110"/>
        <v>#N/A</v>
      </c>
      <c r="AQ13" s="630" t="str">
        <f t="shared" si="111"/>
        <v>#N/A</v>
      </c>
      <c r="AR13" s="630" t="str">
        <f t="shared" si="112"/>
        <v>#N/A</v>
      </c>
      <c r="AS13" s="630" t="str">
        <f t="shared" si="113"/>
        <v>#N/A</v>
      </c>
      <c r="AT13" s="630" t="str">
        <f t="shared" si="114"/>
        <v>#N/A</v>
      </c>
      <c r="AU13" s="630" t="str">
        <f t="shared" si="115"/>
        <v>#N/A</v>
      </c>
      <c r="AV13" s="630" t="str">
        <f t="shared" si="116"/>
        <v>#N/A</v>
      </c>
      <c r="AW13" s="630" t="str">
        <f t="shared" si="117"/>
        <v>#N/A</v>
      </c>
      <c r="AX13" s="630" t="str">
        <f t="shared" si="118"/>
        <v>#N/A</v>
      </c>
    </row>
    <row r="14" outlineLevel="1">
      <c r="A14" s="1448"/>
      <c r="B14" s="1440"/>
      <c r="C14" s="1449" t="s">
        <v>2993</v>
      </c>
      <c r="D14" s="1433" t="s">
        <v>2989</v>
      </c>
      <c r="E14" s="1450"/>
      <c r="F14" s="1450"/>
      <c r="G14" s="1450">
        <f>SUMIF(AC_TKNO,$C14,AC_SOTIEN)</f>
        <v>0</v>
      </c>
      <c r="H14" s="1450">
        <f>SUMIF(AC_TKCO,$C14,AC_SOTIEN)</f>
        <v>0</v>
      </c>
      <c r="I14" s="1450" t="str">
        <f t="shared" ref="I14:I15" si="126">IF(E14+G14-F14-H14&gt;0,E14+G14-F14-H14,"-")</f>
        <v>-</v>
      </c>
      <c r="J14" s="1450" t="str">
        <f t="shared" ref="J14:J15" si="127">IF(F14+H14-E14-G14&gt;0,F14+H14-E14-G14,"-")</f>
        <v>-</v>
      </c>
      <c r="K14" s="1443"/>
      <c r="L14" s="1443"/>
      <c r="M14" s="1444" t="str">
        <f t="shared" ref="M14:N14" si="119">S14</f>
        <v>#N/A</v>
      </c>
      <c r="N14" s="1444" t="str">
        <f t="shared" si="119"/>
        <v>#N/A</v>
      </c>
      <c r="O14" s="1444" t="str">
        <f t="shared" ref="O14:P14" si="120">W14</f>
        <v>#N/A</v>
      </c>
      <c r="P14" s="1444" t="str">
        <f t="shared" si="120"/>
        <v>#N/A</v>
      </c>
      <c r="Q14" s="1445" t="str">
        <f t="shared" ref="Q14:R14" si="121">AE14</f>
        <v>#N/A</v>
      </c>
      <c r="R14" s="1445" t="str">
        <f t="shared" si="121"/>
        <v>#N/A</v>
      </c>
      <c r="S14" s="1445" t="str">
        <f t="shared" ref="S14:T14" si="122">AK14</f>
        <v>#N/A</v>
      </c>
      <c r="T14" s="1445" t="str">
        <f t="shared" si="122"/>
        <v>#N/A</v>
      </c>
      <c r="U14" s="1445" t="str">
        <f t="shared" ref="U14:V14" si="123">AQ14</f>
        <v>#N/A</v>
      </c>
      <c r="V14" s="1445" t="str">
        <f t="shared" si="123"/>
        <v>#N/A</v>
      </c>
      <c r="W14" s="1445" t="str">
        <f t="shared" ref="W14:X14" si="124">AW14</f>
        <v>#N/A</v>
      </c>
      <c r="X14" s="1445" t="str">
        <f t="shared" si="124"/>
        <v>#N/A</v>
      </c>
      <c r="Y14" s="630" t="str">
        <f t="shared" ref="Y14:Z14" si="125">E14</f>
        <v/>
      </c>
      <c r="Z14" s="630" t="str">
        <f t="shared" si="125"/>
        <v/>
      </c>
      <c r="AA14" s="630" t="str">
        <f t="shared" si="95"/>
        <v>#N/A</v>
      </c>
      <c r="AB14" s="630" t="str">
        <f t="shared" si="96"/>
        <v>#N/A</v>
      </c>
      <c r="AC14" s="630" t="str">
        <f t="shared" si="97"/>
        <v>#N/A</v>
      </c>
      <c r="AD14" s="630" t="str">
        <f t="shared" si="98"/>
        <v>#N/A</v>
      </c>
      <c r="AE14" s="630" t="str">
        <f t="shared" si="99"/>
        <v>#N/A</v>
      </c>
      <c r="AF14" s="630" t="str">
        <f t="shared" si="100"/>
        <v>#N/A</v>
      </c>
      <c r="AG14" s="630" t="str">
        <f t="shared" si="101"/>
        <v>#N/A</v>
      </c>
      <c r="AH14" s="630" t="str">
        <f t="shared" si="102"/>
        <v>#N/A</v>
      </c>
      <c r="AI14" s="630" t="str">
        <f t="shared" si="103"/>
        <v>#N/A</v>
      </c>
      <c r="AJ14" s="630" t="str">
        <f t="shared" si="104"/>
        <v>#N/A</v>
      </c>
      <c r="AK14" s="630" t="str">
        <f t="shared" si="105"/>
        <v>#N/A</v>
      </c>
      <c r="AL14" s="630" t="str">
        <f t="shared" si="106"/>
        <v>#N/A</v>
      </c>
      <c r="AM14" s="630" t="str">
        <f t="shared" si="107"/>
        <v>#N/A</v>
      </c>
      <c r="AN14" s="630" t="str">
        <f t="shared" si="108"/>
        <v>#N/A</v>
      </c>
      <c r="AO14" s="630" t="str">
        <f t="shared" si="109"/>
        <v>#N/A</v>
      </c>
      <c r="AP14" s="630" t="str">
        <f t="shared" si="110"/>
        <v>#N/A</v>
      </c>
      <c r="AQ14" s="630" t="str">
        <f t="shared" si="111"/>
        <v>#N/A</v>
      </c>
      <c r="AR14" s="630" t="str">
        <f t="shared" si="112"/>
        <v>#N/A</v>
      </c>
      <c r="AS14" s="630" t="str">
        <f t="shared" si="113"/>
        <v>#N/A</v>
      </c>
      <c r="AT14" s="630" t="str">
        <f t="shared" si="114"/>
        <v>#N/A</v>
      </c>
      <c r="AU14" s="630" t="str">
        <f t="shared" si="115"/>
        <v>#N/A</v>
      </c>
      <c r="AV14" s="630" t="str">
        <f t="shared" si="116"/>
        <v>#N/A</v>
      </c>
      <c r="AW14" s="630" t="str">
        <f t="shared" si="117"/>
        <v>#N/A</v>
      </c>
      <c r="AX14" s="630" t="str">
        <f t="shared" si="118"/>
        <v>#N/A</v>
      </c>
    </row>
    <row r="15" outlineLevel="1">
      <c r="A15" s="1448"/>
      <c r="B15" s="1440"/>
      <c r="C15" s="1449" t="s">
        <v>2994</v>
      </c>
      <c r="D15" s="1433" t="s">
        <v>2983</v>
      </c>
      <c r="E15" s="1450"/>
      <c r="F15" s="1450"/>
      <c r="G15" s="1450">
        <f>SUMIF(AC_TKNO,$C15,AC_SOTIEN)</f>
        <v>0</v>
      </c>
      <c r="H15" s="1450">
        <f>SUMIF(AC_TKCO,$C15,AC_SOTIEN)</f>
        <v>0</v>
      </c>
      <c r="I15" s="1450" t="str">
        <f t="shared" si="126"/>
        <v>-</v>
      </c>
      <c r="J15" s="1450" t="str">
        <f t="shared" si="127"/>
        <v>-</v>
      </c>
      <c r="K15" s="1443"/>
      <c r="L15" s="1443"/>
      <c r="M15" s="1444" t="str">
        <f t="shared" ref="M15:N15" si="128">S15</f>
        <v>#N/A</v>
      </c>
      <c r="N15" s="1444" t="str">
        <f t="shared" si="128"/>
        <v>#N/A</v>
      </c>
      <c r="O15" s="1444" t="str">
        <f t="shared" ref="O15:P15" si="129">W15</f>
        <v>#N/A</v>
      </c>
      <c r="P15" s="1444" t="str">
        <f t="shared" si="129"/>
        <v>#N/A</v>
      </c>
      <c r="Q15" s="1445" t="str">
        <f t="shared" ref="Q15:R15" si="130">AE15</f>
        <v>#N/A</v>
      </c>
      <c r="R15" s="1445" t="str">
        <f t="shared" si="130"/>
        <v>#N/A</v>
      </c>
      <c r="S15" s="1445" t="str">
        <f t="shared" ref="S15:T15" si="131">AK15</f>
        <v>#N/A</v>
      </c>
      <c r="T15" s="1445" t="str">
        <f t="shared" si="131"/>
        <v>#N/A</v>
      </c>
      <c r="U15" s="1445" t="str">
        <f t="shared" ref="U15:V15" si="132">AQ15</f>
        <v>#N/A</v>
      </c>
      <c r="V15" s="1445" t="str">
        <f t="shared" si="132"/>
        <v>#N/A</v>
      </c>
      <c r="W15" s="1445" t="str">
        <f t="shared" ref="W15:X15" si="133">AW15</f>
        <v>#N/A</v>
      </c>
      <c r="X15" s="1445" t="str">
        <f t="shared" si="133"/>
        <v>#N/A</v>
      </c>
      <c r="Y15" s="1453">
        <f t="shared" ref="Y15:AX15" si="134">SUM(Y16:Y17)</f>
        <v>0</v>
      </c>
      <c r="Z15" s="1453">
        <f t="shared" si="134"/>
        <v>0</v>
      </c>
      <c r="AA15" s="1453" t="str">
        <f t="shared" si="134"/>
        <v>#N/A</v>
      </c>
      <c r="AB15" s="1453" t="str">
        <f t="shared" si="134"/>
        <v>#N/A</v>
      </c>
      <c r="AC15" s="1453" t="str">
        <f t="shared" si="134"/>
        <v>#N/A</v>
      </c>
      <c r="AD15" s="1453" t="str">
        <f t="shared" si="134"/>
        <v>#N/A</v>
      </c>
      <c r="AE15" s="1453" t="str">
        <f t="shared" si="134"/>
        <v>#N/A</v>
      </c>
      <c r="AF15" s="1453" t="str">
        <f t="shared" si="134"/>
        <v>#N/A</v>
      </c>
      <c r="AG15" s="1453" t="str">
        <f t="shared" si="134"/>
        <v>#N/A</v>
      </c>
      <c r="AH15" s="1453" t="str">
        <f t="shared" si="134"/>
        <v>#N/A</v>
      </c>
      <c r="AI15" s="1453" t="str">
        <f t="shared" si="134"/>
        <v>#N/A</v>
      </c>
      <c r="AJ15" s="1453" t="str">
        <f t="shared" si="134"/>
        <v>#N/A</v>
      </c>
      <c r="AK15" s="1453" t="str">
        <f t="shared" si="134"/>
        <v>#N/A</v>
      </c>
      <c r="AL15" s="1453" t="str">
        <f t="shared" si="134"/>
        <v>#N/A</v>
      </c>
      <c r="AM15" s="1453" t="str">
        <f t="shared" si="134"/>
        <v>#N/A</v>
      </c>
      <c r="AN15" s="1453" t="str">
        <f t="shared" si="134"/>
        <v>#N/A</v>
      </c>
      <c r="AO15" s="1453" t="str">
        <f t="shared" si="134"/>
        <v>#N/A</v>
      </c>
      <c r="AP15" s="1453" t="str">
        <f t="shared" si="134"/>
        <v>#N/A</v>
      </c>
      <c r="AQ15" s="1453" t="str">
        <f t="shared" si="134"/>
        <v>#N/A</v>
      </c>
      <c r="AR15" s="1453" t="str">
        <f t="shared" si="134"/>
        <v>#N/A</v>
      </c>
      <c r="AS15" s="1453" t="str">
        <f t="shared" si="134"/>
        <v>#N/A</v>
      </c>
      <c r="AT15" s="1453" t="str">
        <f t="shared" si="134"/>
        <v>#N/A</v>
      </c>
      <c r="AU15" s="1453" t="str">
        <f t="shared" si="134"/>
        <v>#N/A</v>
      </c>
      <c r="AV15" s="1453" t="str">
        <f t="shared" si="134"/>
        <v>#N/A</v>
      </c>
      <c r="AW15" s="1453" t="str">
        <f t="shared" si="134"/>
        <v>#N/A</v>
      </c>
      <c r="AX15" s="1453" t="str">
        <f t="shared" si="134"/>
        <v>#N/A</v>
      </c>
    </row>
    <row r="16" outlineLevel="1">
      <c r="A16" s="1452" t="s">
        <v>2986</v>
      </c>
      <c r="B16" s="1439" t="s">
        <v>2995</v>
      </c>
      <c r="C16" s="1440"/>
      <c r="D16" s="1441" t="s">
        <v>2996</v>
      </c>
      <c r="E16" s="1442">
        <f t="shared" ref="E16:J16" si="135">SUM(E17:E19)</f>
        <v>0</v>
      </c>
      <c r="F16" s="1442">
        <f t="shared" si="135"/>
        <v>0</v>
      </c>
      <c r="G16" s="1442">
        <f t="shared" si="135"/>
        <v>0</v>
      </c>
      <c r="H16" s="1442">
        <f t="shared" si="135"/>
        <v>0</v>
      </c>
      <c r="I16" s="1442">
        <f t="shared" si="135"/>
        <v>0</v>
      </c>
      <c r="J16" s="1442">
        <f t="shared" si="135"/>
        <v>0</v>
      </c>
      <c r="K16" s="1443"/>
      <c r="L16" s="1443"/>
      <c r="M16" s="1444" t="str">
        <f t="shared" ref="M16:N16" si="136">S16</f>
        <v>#N/A</v>
      </c>
      <c r="N16" s="1444" t="str">
        <f t="shared" si="136"/>
        <v>#N/A</v>
      </c>
      <c r="O16" s="1444" t="str">
        <f t="shared" ref="O16:P16" si="137">W16</f>
        <v>#N/A</v>
      </c>
      <c r="P16" s="1444" t="str">
        <f t="shared" si="137"/>
        <v>#N/A</v>
      </c>
      <c r="Q16" s="1445" t="str">
        <f t="shared" ref="Q16:R16" si="138">AE16</f>
        <v>#N/A</v>
      </c>
      <c r="R16" s="1445" t="str">
        <f t="shared" si="138"/>
        <v>#N/A</v>
      </c>
      <c r="S16" s="1445" t="str">
        <f t="shared" ref="S16:T16" si="139">AK16</f>
        <v>#N/A</v>
      </c>
      <c r="T16" s="1445" t="str">
        <f t="shared" si="139"/>
        <v>#N/A</v>
      </c>
      <c r="U16" s="1445" t="str">
        <f t="shared" ref="U16:V16" si="140">AQ16</f>
        <v>#N/A</v>
      </c>
      <c r="V16" s="1445" t="str">
        <f t="shared" si="140"/>
        <v>#N/A</v>
      </c>
      <c r="W16" s="1445" t="str">
        <f t="shared" ref="W16:X16" si="141">AW16</f>
        <v>#N/A</v>
      </c>
      <c r="X16" s="1445" t="str">
        <f t="shared" si="141"/>
        <v>#N/A</v>
      </c>
      <c r="Y16" s="630">
        <f t="shared" ref="Y16:Z16" si="142">E16</f>
        <v>0</v>
      </c>
      <c r="Z16" s="630">
        <f t="shared" si="142"/>
        <v>0</v>
      </c>
      <c r="AA16" s="630" t="str">
        <f t="shared" ref="AA16:AA17" si="150">IF(Y16+SUMIFS(PS_SOTIEN,PS_TKNO,$B14,PS_MONTH,AA$3)-Z16-SUMIFS(PS_SOTIEN,PS_TKCO,$B14,PS_MONTH,AA$3)&gt;0,Y16+SUMIFS(PS_SOTIEN,PS_TKNO,$B14,PS_MONTH,AA$3)-Z16-SUMIFS(PS_SOTIEN,PS_TKCO,$B14,PS_MONTH,AA$3),0)</f>
        <v>#N/A</v>
      </c>
      <c r="AB16" s="630" t="str">
        <f t="shared" ref="AB16:AB17" si="151">IF(Z16+SUMIFS(PS_SOTIEN,PS_TKCO,$B14,PS_MONTH,AA$3)-Y16-SUMIFS(PS_SOTIEN,PS_TKNO,$B14,PS_MONTH,AA$3)&gt;0,Z16+SUMIFS(PS_SOTIEN,PS_TKCO,$B14,PS_MONTH,AA$3)-Y16-SUMIFS(PS_SOTIEN,PS_TKNO,$B14,PS_MONTH,AA$3),0)</f>
        <v>#N/A</v>
      </c>
      <c r="AC16" s="630" t="str">
        <f t="shared" ref="AC16:AC17" si="152">IF(AA16+SUMIFS(PS_SOTIEN,PS_TKNO,$B14,PS_MONTH,AC$3)-AB16-SUMIFS(PS_SOTIEN,PS_TKCO,$B14,PS_MONTH,AC$3)&gt;0,AA16+SUMIFS(PS_SOTIEN,PS_TKNO,$B14,PS_MONTH,AC$3)-AB16-SUMIFS(PS_SOTIEN,PS_TKCO,$B14,PS_MONTH,AC$3),0)</f>
        <v>#N/A</v>
      </c>
      <c r="AD16" s="630" t="str">
        <f t="shared" ref="AD16:AD17" si="153">IF(AB16+SUMIFS(PS_SOTIEN,PS_TKCO,$B14,PS_MONTH,AC$3)-AA16-SUMIFS(PS_SOTIEN,PS_TKNO,$B14,PS_MONTH,AC$3)&gt;0,AB16+SUMIFS(PS_SOTIEN,PS_TKCO,$B14,PS_MONTH,AC$3)-AA16-SUMIFS(PS_SOTIEN,PS_TKNO,$B14,PS_MONTH,AC$3),0)</f>
        <v>#N/A</v>
      </c>
      <c r="AE16" s="630" t="str">
        <f t="shared" ref="AE16:AE17" si="154">IF(AC16+SUMIFS(PS_SOTIEN,PS_TKNO,$B14,PS_MONTH,AE$3)-AD16-SUMIFS(PS_SOTIEN,PS_TKCO,$B14,PS_MONTH,AE$3)&gt;0,AC16+SUMIFS(PS_SOTIEN,PS_TKNO,$B14,PS_MONTH,AE$3)-AD16-SUMIFS(PS_SOTIEN,PS_TKCO,$B14,PS_MONTH,AE$3),0)</f>
        <v>#N/A</v>
      </c>
      <c r="AF16" s="630" t="str">
        <f t="shared" ref="AF16:AF17" si="155">IF(AD16+SUMIFS(PS_SOTIEN,PS_TKCO,$B14,PS_MONTH,AE$3)-AC16-SUMIFS(PS_SOTIEN,PS_TKNO,$B14,PS_MONTH,AE$3)&gt;0,AD16+SUMIFS(PS_SOTIEN,PS_TKCO,$B14,PS_MONTH,AE$3)-AC16-SUMIFS(PS_SOTIEN,PS_TKNO,$B14,PS_MONTH,AE$3),0)</f>
        <v>#N/A</v>
      </c>
      <c r="AG16" s="630" t="str">
        <f t="shared" ref="AG16:AG17" si="156">IF(AE16+SUMIFS(PS_SOTIEN,PS_TKNO,$B14,PS_MONTH,AG$3)-AF16-SUMIFS(PS_SOTIEN,PS_TKCO,$B14,PS_MONTH,AG$3)&gt;0,AE16+SUMIFS(PS_SOTIEN,PS_TKNO,$B14,PS_MONTH,AG$3)-AF16-SUMIFS(PS_SOTIEN,PS_TKCO,$B14,PS_MONTH,AG$3),0)</f>
        <v>#N/A</v>
      </c>
      <c r="AH16" s="630" t="str">
        <f t="shared" ref="AH16:AH17" si="157">IF(AF16+SUMIFS(PS_SOTIEN,PS_TKCO,$B14,PS_MONTH,AG$3)-AE16-SUMIFS(PS_SOTIEN,PS_TKNO,$B14,PS_MONTH,AG$3)&gt;0,AF16+SUMIFS(PS_SOTIEN,PS_TKCO,$B14,PS_MONTH,AG$3)-AE16-SUMIFS(PS_SOTIEN,PS_TKNO,$B14,PS_MONTH,AG$3),0)</f>
        <v>#N/A</v>
      </c>
      <c r="AI16" s="630" t="str">
        <f t="shared" ref="AI16:AI17" si="158">IF(AG16+SUMIFS(PS_SOTIEN,PS_TKNO,$B14,PS_MONTH,AI$3)-AH16-SUMIFS(PS_SOTIEN,PS_TKCO,$B14,PS_MONTH,AI$3)&gt;0,AG16+SUMIFS(PS_SOTIEN,PS_TKNO,$B14,PS_MONTH,AI$3)-AH16-SUMIFS(PS_SOTIEN,PS_TKCO,$B14,PS_MONTH,AI$3),0)</f>
        <v>#N/A</v>
      </c>
      <c r="AJ16" s="630" t="str">
        <f t="shared" ref="AJ16:AJ17" si="159">IF(AH16+SUMIFS(PS_SOTIEN,PS_TKCO,$B14,PS_MONTH,AI$3)-AG16-SUMIFS(PS_SOTIEN,PS_TKNO,$B14,PS_MONTH,AI$3)&gt;0,AH16+SUMIFS(PS_SOTIEN,PS_TKCO,$B14,PS_MONTH,AI$3)-AG16-SUMIFS(PS_SOTIEN,PS_TKNO,$B14,PS_MONTH,AI$3),0)</f>
        <v>#N/A</v>
      </c>
      <c r="AK16" s="630" t="str">
        <f t="shared" ref="AK16:AK17" si="160">IF(AI16+SUMIFS(PS_SOTIEN,PS_TKNO,$B14,PS_MONTH,AK$3)-AJ16-SUMIFS(PS_SOTIEN,PS_TKCO,$B14,PS_MONTH,AK$3)&gt;0,AI16+SUMIFS(PS_SOTIEN,PS_TKNO,$B14,PS_MONTH,AK$3)-AJ16-SUMIFS(PS_SOTIEN,PS_TKCO,$B14,PS_MONTH,AK$3),0)</f>
        <v>#N/A</v>
      </c>
      <c r="AL16" s="630" t="str">
        <f t="shared" ref="AL16:AL17" si="161">IF(AJ16+SUMIFS(PS_SOTIEN,PS_TKCO,$B14,PS_MONTH,AK$3)-AI16-SUMIFS(PS_SOTIEN,PS_TKNO,$B14,PS_MONTH,AK$3)&gt;0,AJ16+SUMIFS(PS_SOTIEN,PS_TKCO,$B14,PS_MONTH,AK$3)-AI16-SUMIFS(PS_SOTIEN,PS_TKNO,$B14,PS_MONTH,AK$3),0)</f>
        <v>#N/A</v>
      </c>
      <c r="AM16" s="630" t="str">
        <f t="shared" ref="AM16:AM17" si="162">IF(AK16+SUMIFS(PS_SOTIEN,PS_TKNO,$B14,PS_MONTH,AM$3)-AL16-SUMIFS(PS_SOTIEN,PS_TKCO,$B14,PS_MONTH,AM$3)&gt;0,AK16+SUMIFS(PS_SOTIEN,PS_TKNO,$B14,PS_MONTH,AM$3)-AL16-SUMIFS(PS_SOTIEN,PS_TKCO,$B14,PS_MONTH,AM$3),0)</f>
        <v>#N/A</v>
      </c>
      <c r="AN16" s="630" t="str">
        <f t="shared" ref="AN16:AN17" si="163">IF(AL16+SUMIFS(PS_SOTIEN,PS_TKCO,$B14,PS_MONTH,AM$3)-AK16-SUMIFS(PS_SOTIEN,PS_TKNO,$B14,PS_MONTH,AM$3)&gt;0,AL16+SUMIFS(PS_SOTIEN,PS_TKCO,$B14,PS_MONTH,AM$3)-AK16-SUMIFS(PS_SOTIEN,PS_TKNO,$B14,PS_MONTH,AM$3),0)</f>
        <v>#N/A</v>
      </c>
      <c r="AO16" s="630" t="str">
        <f t="shared" ref="AO16:AO17" si="164">IF(AM16+SUMIFS(PS_SOTIEN,PS_TKNO,$B14,PS_MONTH,AO$3)-AN16-SUMIFS(PS_SOTIEN,PS_TKCO,$B14,PS_MONTH,AO$3)&gt;0,AM16+SUMIFS(PS_SOTIEN,PS_TKNO,$B14,PS_MONTH,AO$3)-AN16-SUMIFS(PS_SOTIEN,PS_TKCO,$B14,PS_MONTH,AO$3),0)</f>
        <v>#N/A</v>
      </c>
      <c r="AP16" s="630" t="str">
        <f t="shared" ref="AP16:AP17" si="165">IF(AN16+SUMIFS(PS_SOTIEN,PS_TKCO,$B14,PS_MONTH,AO$3)-AM16-SUMIFS(PS_SOTIEN,PS_TKNO,$B14,PS_MONTH,AO$3)&gt;0,AN16+SUMIFS(PS_SOTIEN,PS_TKCO,$B14,PS_MONTH,AO$3)-AM16-SUMIFS(PS_SOTIEN,PS_TKNO,$B14,PS_MONTH,AO$3),0)</f>
        <v>#N/A</v>
      </c>
      <c r="AQ16" s="630" t="str">
        <f t="shared" ref="AQ16:AQ17" si="166">IF(AO16+SUMIFS(PS_SOTIEN,PS_TKNO,$B14,PS_MONTH,AQ$3)-AP16-SUMIFS(PS_SOTIEN,PS_TKCO,$B14,PS_MONTH,AQ$3)&gt;0,AO16+SUMIFS(PS_SOTIEN,PS_TKNO,$B14,PS_MONTH,AQ$3)-AP16-SUMIFS(PS_SOTIEN,PS_TKCO,$B14,PS_MONTH,AQ$3),0)</f>
        <v>#N/A</v>
      </c>
      <c r="AR16" s="630" t="str">
        <f t="shared" ref="AR16:AR17" si="167">IF(AP16+SUMIFS(PS_SOTIEN,PS_TKCO,$B14,PS_MONTH,AQ$3)-AO16-SUMIFS(PS_SOTIEN,PS_TKNO,$B14,PS_MONTH,AQ$3)&gt;0,AP16+SUMIFS(PS_SOTIEN,PS_TKCO,$B14,PS_MONTH,AQ$3)-AO16-SUMIFS(PS_SOTIEN,PS_TKNO,$B14,PS_MONTH,AQ$3),0)</f>
        <v>#N/A</v>
      </c>
      <c r="AS16" s="630" t="str">
        <f t="shared" ref="AS16:AS17" si="168">IF(AQ16+SUMIFS(PS_SOTIEN,PS_TKNO,$B14,PS_MONTH,AS$3)-AR16-SUMIFS(PS_SOTIEN,PS_TKCO,$B14,PS_MONTH,AS$3)&gt;0,AQ16+SUMIFS(PS_SOTIEN,PS_TKNO,$B14,PS_MONTH,AS$3)-AR16-SUMIFS(PS_SOTIEN,PS_TKCO,$B14,PS_MONTH,AS$3),0)</f>
        <v>#N/A</v>
      </c>
      <c r="AT16" s="630" t="str">
        <f t="shared" ref="AT16:AT17" si="169">IF(AR16+SUMIFS(PS_SOTIEN,PS_TKCO,$B14,PS_MONTH,AS$3)-AQ16-SUMIFS(PS_SOTIEN,PS_TKNO,$B14,PS_MONTH,AS$3)&gt;0,AR16+SUMIFS(PS_SOTIEN,PS_TKCO,$B14,PS_MONTH,AS$3)-AQ16-SUMIFS(PS_SOTIEN,PS_TKNO,$B14,PS_MONTH,AS$3),0)</f>
        <v>#N/A</v>
      </c>
      <c r="AU16" s="630" t="str">
        <f t="shared" ref="AU16:AU17" si="170">IF(AS16+SUMIFS(PS_SOTIEN,PS_TKNO,$B14,PS_MONTH,AU$3)-AT16-SUMIFS(PS_SOTIEN,PS_TKCO,$B14,PS_MONTH,AU$3)&gt;0,AS16+SUMIFS(PS_SOTIEN,PS_TKNO,$B14,PS_MONTH,AU$3)-AT16-SUMIFS(PS_SOTIEN,PS_TKCO,$B14,PS_MONTH,AU$3),0)</f>
        <v>#N/A</v>
      </c>
      <c r="AV16" s="630" t="str">
        <f t="shared" ref="AV16:AV17" si="171">IF(AT16+SUMIFS(PS_SOTIEN,PS_TKCO,$B14,PS_MONTH,AU$3)-AS16-SUMIFS(PS_SOTIEN,PS_TKNO,$B14,PS_MONTH,AU$3)&gt;0,AT16+SUMIFS(PS_SOTIEN,PS_TKCO,$B14,PS_MONTH,AU$3)-AS16-SUMIFS(PS_SOTIEN,PS_TKNO,$B14,PS_MONTH,AU$3),0)</f>
        <v>#N/A</v>
      </c>
      <c r="AW16" s="630" t="str">
        <f t="shared" ref="AW16:AW17" si="172">IF(AU16+SUMIFS(PS_SOTIEN,PS_TKNO,$B14,PS_MONTH,AW$3)-AV16-SUMIFS(PS_SOTIEN,PS_TKCO,$B14,PS_MONTH,AW$3)&gt;0,AU16+SUMIFS(PS_SOTIEN,PS_TKNO,$B14,PS_MONTH,AW$3)-AV16-SUMIFS(PS_SOTIEN,PS_TKCO,$B14,PS_MONTH,AW$3),0)</f>
        <v>#N/A</v>
      </c>
      <c r="AX16" s="630" t="str">
        <f t="shared" ref="AX16:AX17" si="173">IF(AV16+SUMIFS(PS_SOTIEN,PS_TKCO,$B14,PS_MONTH,AW$3)-AU16-SUMIFS(PS_SOTIEN,PS_TKNO,$B14,PS_MONTH,AW$3)&gt;0,AV16+SUMIFS(PS_SOTIEN,PS_TKCO,$B14,PS_MONTH,AW$3)-AU16-SUMIFS(PS_SOTIEN,PS_TKNO,$B14,PS_MONTH,AW$3),0)</f>
        <v>#N/A</v>
      </c>
    </row>
    <row r="17" outlineLevel="1">
      <c r="A17" s="1448"/>
      <c r="B17" s="1440"/>
      <c r="C17" s="1449" t="s">
        <v>2997</v>
      </c>
      <c r="D17" s="1433" t="s">
        <v>2998</v>
      </c>
      <c r="E17" s="1450"/>
      <c r="F17" s="1450"/>
      <c r="G17" s="1450">
        <f>SUMIF(AC_TKNO,$C17,AC_SOTIEN)</f>
        <v>0</v>
      </c>
      <c r="H17" s="1450">
        <f>SUMIF(AC_TKCO,$C17,AC_SOTIEN)</f>
        <v>0</v>
      </c>
      <c r="I17" s="1450" t="str">
        <f t="shared" ref="I17:I19" si="174">IF(E17+G17-F17-H17&gt;0,E17+G17-F17-H17,"-")</f>
        <v>-</v>
      </c>
      <c r="J17" s="1450" t="str">
        <f t="shared" ref="J17:J19" si="175">IF(F17+H17-E17-G17&gt;0,F17+H17-E17-G17,"-")</f>
        <v>-</v>
      </c>
      <c r="K17" s="1443"/>
      <c r="L17" s="1443"/>
      <c r="M17" s="1444" t="str">
        <f t="shared" ref="M17:N17" si="143">S17</f>
        <v>#N/A</v>
      </c>
      <c r="N17" s="1444" t="str">
        <f t="shared" si="143"/>
        <v>#N/A</v>
      </c>
      <c r="O17" s="1444" t="str">
        <f t="shared" ref="O17:P17" si="144">W17</f>
        <v>#N/A</v>
      </c>
      <c r="P17" s="1444" t="str">
        <f t="shared" si="144"/>
        <v>#N/A</v>
      </c>
      <c r="Q17" s="1445" t="str">
        <f t="shared" ref="Q17:R17" si="145">AE17</f>
        <v>#N/A</v>
      </c>
      <c r="R17" s="1445" t="str">
        <f t="shared" si="145"/>
        <v>#N/A</v>
      </c>
      <c r="S17" s="1445" t="str">
        <f t="shared" ref="S17:T17" si="146">AK17</f>
        <v>#N/A</v>
      </c>
      <c r="T17" s="1445" t="str">
        <f t="shared" si="146"/>
        <v>#N/A</v>
      </c>
      <c r="U17" s="1445" t="str">
        <f t="shared" ref="U17:V17" si="147">AQ17</f>
        <v>#N/A</v>
      </c>
      <c r="V17" s="1445" t="str">
        <f t="shared" si="147"/>
        <v>#N/A</v>
      </c>
      <c r="W17" s="1445" t="str">
        <f t="shared" ref="W17:X17" si="148">AW17</f>
        <v>#N/A</v>
      </c>
      <c r="X17" s="1445" t="str">
        <f t="shared" si="148"/>
        <v>#N/A</v>
      </c>
      <c r="Y17" s="630" t="str">
        <f t="shared" ref="Y17:Z17" si="149">E17</f>
        <v/>
      </c>
      <c r="Z17" s="630" t="str">
        <f t="shared" si="149"/>
        <v/>
      </c>
      <c r="AA17" s="630" t="str">
        <f t="shared" si="150"/>
        <v>#N/A</v>
      </c>
      <c r="AB17" s="630" t="str">
        <f t="shared" si="151"/>
        <v>#N/A</v>
      </c>
      <c r="AC17" s="630" t="str">
        <f t="shared" si="152"/>
        <v>#N/A</v>
      </c>
      <c r="AD17" s="630" t="str">
        <f t="shared" si="153"/>
        <v>#N/A</v>
      </c>
      <c r="AE17" s="630" t="str">
        <f t="shared" si="154"/>
        <v>#N/A</v>
      </c>
      <c r="AF17" s="630" t="str">
        <f t="shared" si="155"/>
        <v>#N/A</v>
      </c>
      <c r="AG17" s="630" t="str">
        <f t="shared" si="156"/>
        <v>#N/A</v>
      </c>
      <c r="AH17" s="630" t="str">
        <f t="shared" si="157"/>
        <v>#N/A</v>
      </c>
      <c r="AI17" s="630" t="str">
        <f t="shared" si="158"/>
        <v>#N/A</v>
      </c>
      <c r="AJ17" s="630" t="str">
        <f t="shared" si="159"/>
        <v>#N/A</v>
      </c>
      <c r="AK17" s="630" t="str">
        <f t="shared" si="160"/>
        <v>#N/A</v>
      </c>
      <c r="AL17" s="630" t="str">
        <f t="shared" si="161"/>
        <v>#N/A</v>
      </c>
      <c r="AM17" s="630" t="str">
        <f t="shared" si="162"/>
        <v>#N/A</v>
      </c>
      <c r="AN17" s="630" t="str">
        <f t="shared" si="163"/>
        <v>#N/A</v>
      </c>
      <c r="AO17" s="630" t="str">
        <f t="shared" si="164"/>
        <v>#N/A</v>
      </c>
      <c r="AP17" s="630" t="str">
        <f t="shared" si="165"/>
        <v>#N/A</v>
      </c>
      <c r="AQ17" s="630" t="str">
        <f t="shared" si="166"/>
        <v>#N/A</v>
      </c>
      <c r="AR17" s="630" t="str">
        <f t="shared" si="167"/>
        <v>#N/A</v>
      </c>
      <c r="AS17" s="630" t="str">
        <f t="shared" si="168"/>
        <v>#N/A</v>
      </c>
      <c r="AT17" s="630" t="str">
        <f t="shared" si="169"/>
        <v>#N/A</v>
      </c>
      <c r="AU17" s="630" t="str">
        <f t="shared" si="170"/>
        <v>#N/A</v>
      </c>
      <c r="AV17" s="630" t="str">
        <f t="shared" si="171"/>
        <v>#N/A</v>
      </c>
      <c r="AW17" s="630" t="str">
        <f t="shared" si="172"/>
        <v>#N/A</v>
      </c>
      <c r="AX17" s="630" t="str">
        <f t="shared" si="173"/>
        <v>#N/A</v>
      </c>
    </row>
    <row r="18" outlineLevel="1">
      <c r="A18" s="1448"/>
      <c r="B18" s="1440"/>
      <c r="C18" s="1449" t="s">
        <v>2999</v>
      </c>
      <c r="D18" s="1433" t="s">
        <v>3000</v>
      </c>
      <c r="E18" s="1451"/>
      <c r="F18" s="1450"/>
      <c r="G18" s="1450">
        <f>SUMIF(AC_TKNO,$C18,AC_SOTIEN)</f>
        <v>0</v>
      </c>
      <c r="H18" s="1450">
        <f>SUMIF(AC_TKCO,$C18,AC_SOTIEN)</f>
        <v>0</v>
      </c>
      <c r="I18" s="1450" t="str">
        <f t="shared" si="174"/>
        <v>-</v>
      </c>
      <c r="J18" s="1450" t="str">
        <f t="shared" si="175"/>
        <v>-</v>
      </c>
      <c r="K18" s="1443"/>
      <c r="L18" s="1443"/>
      <c r="M18" s="1444" t="str">
        <f t="shared" ref="M18:N18" si="176">S18</f>
        <v>#N/A</v>
      </c>
      <c r="N18" s="1444" t="str">
        <f t="shared" si="176"/>
        <v>#N/A</v>
      </c>
      <c r="O18" s="1444" t="str">
        <f t="shared" ref="O18:P18" si="177">W18</f>
        <v>#N/A</v>
      </c>
      <c r="P18" s="1444" t="str">
        <f t="shared" si="177"/>
        <v>#N/A</v>
      </c>
      <c r="Q18" s="1445" t="str">
        <f t="shared" ref="Q18:R18" si="178">AE18</f>
        <v>#N/A</v>
      </c>
      <c r="R18" s="1445" t="str">
        <f t="shared" si="178"/>
        <v>#N/A</v>
      </c>
      <c r="S18" s="1445" t="str">
        <f t="shared" ref="S18:T18" si="179">AK18</f>
        <v>#N/A</v>
      </c>
      <c r="T18" s="1445" t="str">
        <f t="shared" si="179"/>
        <v>#N/A</v>
      </c>
      <c r="U18" s="1445" t="str">
        <f t="shared" ref="U18:V18" si="180">AQ18</f>
        <v>#N/A</v>
      </c>
      <c r="V18" s="1445" t="str">
        <f t="shared" si="180"/>
        <v>#N/A</v>
      </c>
      <c r="W18" s="1445" t="str">
        <f t="shared" ref="W18:X18" si="181">AW18</f>
        <v>#N/A</v>
      </c>
      <c r="X18" s="1445" t="str">
        <f t="shared" si="181"/>
        <v>#N/A</v>
      </c>
      <c r="Y18" s="1453">
        <f t="shared" ref="Y18:AX18" si="182">SUM(Y19:Y20)</f>
        <v>0</v>
      </c>
      <c r="Z18" s="1453">
        <f t="shared" si="182"/>
        <v>0</v>
      </c>
      <c r="AA18" s="1453" t="str">
        <f t="shared" si="182"/>
        <v>#N/A</v>
      </c>
      <c r="AB18" s="1453" t="str">
        <f t="shared" si="182"/>
        <v>#N/A</v>
      </c>
      <c r="AC18" s="1453" t="str">
        <f t="shared" si="182"/>
        <v>#N/A</v>
      </c>
      <c r="AD18" s="1453" t="str">
        <f t="shared" si="182"/>
        <v>#N/A</v>
      </c>
      <c r="AE18" s="1453" t="str">
        <f t="shared" si="182"/>
        <v>#N/A</v>
      </c>
      <c r="AF18" s="1453" t="str">
        <f t="shared" si="182"/>
        <v>#N/A</v>
      </c>
      <c r="AG18" s="1453" t="str">
        <f t="shared" si="182"/>
        <v>#N/A</v>
      </c>
      <c r="AH18" s="1453" t="str">
        <f t="shared" si="182"/>
        <v>#N/A</v>
      </c>
      <c r="AI18" s="1453" t="str">
        <f t="shared" si="182"/>
        <v>#N/A</v>
      </c>
      <c r="AJ18" s="1453" t="str">
        <f t="shared" si="182"/>
        <v>#N/A</v>
      </c>
      <c r="AK18" s="1453" t="str">
        <f t="shared" si="182"/>
        <v>#N/A</v>
      </c>
      <c r="AL18" s="1453" t="str">
        <f t="shared" si="182"/>
        <v>#N/A</v>
      </c>
      <c r="AM18" s="1453" t="str">
        <f t="shared" si="182"/>
        <v>#N/A</v>
      </c>
      <c r="AN18" s="1453" t="str">
        <f t="shared" si="182"/>
        <v>#N/A</v>
      </c>
      <c r="AO18" s="1453" t="str">
        <f t="shared" si="182"/>
        <v>#N/A</v>
      </c>
      <c r="AP18" s="1453" t="str">
        <f t="shared" si="182"/>
        <v>#N/A</v>
      </c>
      <c r="AQ18" s="1453" t="str">
        <f t="shared" si="182"/>
        <v>#N/A</v>
      </c>
      <c r="AR18" s="1453" t="str">
        <f t="shared" si="182"/>
        <v>#N/A</v>
      </c>
      <c r="AS18" s="1453" t="str">
        <f t="shared" si="182"/>
        <v>#N/A</v>
      </c>
      <c r="AT18" s="1453" t="str">
        <f t="shared" si="182"/>
        <v>#N/A</v>
      </c>
      <c r="AU18" s="1453" t="str">
        <f t="shared" si="182"/>
        <v>#N/A</v>
      </c>
      <c r="AV18" s="1453" t="str">
        <f t="shared" si="182"/>
        <v>#N/A</v>
      </c>
      <c r="AW18" s="1453" t="str">
        <f t="shared" si="182"/>
        <v>#N/A</v>
      </c>
      <c r="AX18" s="1453" t="str">
        <f t="shared" si="182"/>
        <v>#N/A</v>
      </c>
    </row>
    <row r="19" outlineLevel="1">
      <c r="A19" s="1448"/>
      <c r="B19" s="1440"/>
      <c r="C19" s="1449" t="s">
        <v>3001</v>
      </c>
      <c r="D19" s="1433" t="s">
        <v>3002</v>
      </c>
      <c r="E19" s="1451"/>
      <c r="F19" s="1450"/>
      <c r="G19" s="1450">
        <f>SUMIF(AC_TKNO,$C19,AC_SOTIEN)</f>
        <v>0</v>
      </c>
      <c r="H19" s="1450">
        <f>SUMIF(AC_TKCO,$C19,AC_SOTIEN)</f>
        <v>0</v>
      </c>
      <c r="I19" s="1450" t="str">
        <f t="shared" si="174"/>
        <v>-</v>
      </c>
      <c r="J19" s="1450" t="str">
        <f t="shared" si="175"/>
        <v>-</v>
      </c>
      <c r="K19" s="1443"/>
      <c r="L19" s="1443"/>
      <c r="M19" s="1444" t="str">
        <f t="shared" ref="M19:N19" si="183">S19</f>
        <v>#N/A</v>
      </c>
      <c r="N19" s="1444" t="str">
        <f t="shared" si="183"/>
        <v>#N/A</v>
      </c>
      <c r="O19" s="1444" t="str">
        <f t="shared" ref="O19:P19" si="184">W19</f>
        <v>#N/A</v>
      </c>
      <c r="P19" s="1444" t="str">
        <f t="shared" si="184"/>
        <v>#N/A</v>
      </c>
      <c r="Q19" s="1445" t="str">
        <f t="shared" ref="Q19:R19" si="185">AE19</f>
        <v>#N/A</v>
      </c>
      <c r="R19" s="1445" t="str">
        <f t="shared" si="185"/>
        <v>#N/A</v>
      </c>
      <c r="S19" s="1445" t="str">
        <f t="shared" ref="S19:T19" si="186">AK19</f>
        <v>#N/A</v>
      </c>
      <c r="T19" s="1445" t="str">
        <f t="shared" si="186"/>
        <v>#N/A</v>
      </c>
      <c r="U19" s="1445" t="str">
        <f t="shared" ref="U19:V19" si="187">AQ19</f>
        <v>#N/A</v>
      </c>
      <c r="V19" s="1445" t="str">
        <f t="shared" si="187"/>
        <v>#N/A</v>
      </c>
      <c r="W19" s="1445" t="str">
        <f t="shared" ref="W19:X19" si="188">AW19</f>
        <v>#N/A</v>
      </c>
      <c r="X19" s="1445" t="str">
        <f t="shared" si="188"/>
        <v>#N/A</v>
      </c>
      <c r="Y19" s="630" t="str">
        <f t="shared" ref="Y19:Z19" si="189">E19</f>
        <v/>
      </c>
      <c r="Z19" s="630" t="str">
        <f t="shared" si="189"/>
        <v/>
      </c>
      <c r="AA19" s="630" t="str">
        <f t="shared" ref="AA19:AA20" si="198">IF(Y19+SUMIFS(PS_SOTIEN,PS_TKNO,$B17,PS_MONTH,AA$3)-Z19-SUMIFS(PS_SOTIEN,PS_TKCO,$B17,PS_MONTH,AA$3)&gt;0,Y19+SUMIFS(PS_SOTIEN,PS_TKNO,$B17,PS_MONTH,AA$3)-Z19-SUMIFS(PS_SOTIEN,PS_TKCO,$B17,PS_MONTH,AA$3),0)</f>
        <v>#N/A</v>
      </c>
      <c r="AB19" s="630" t="str">
        <f t="shared" ref="AB19:AB20" si="199">IF(Z19+SUMIFS(PS_SOTIEN,PS_TKCO,$B17,PS_MONTH,AA$3)-Y19-SUMIFS(PS_SOTIEN,PS_TKNO,$B17,PS_MONTH,AA$3)&gt;0,Z19+SUMIFS(PS_SOTIEN,PS_TKCO,$B17,PS_MONTH,AA$3)-Y19-SUMIFS(PS_SOTIEN,PS_TKNO,$B17,PS_MONTH,AA$3),0)</f>
        <v>#N/A</v>
      </c>
      <c r="AC19" s="630" t="str">
        <f t="shared" ref="AC19:AC20" si="200">IF(AA19+SUMIFS(PS_SOTIEN,PS_TKNO,$B17,PS_MONTH,AC$3)-AB19-SUMIFS(PS_SOTIEN,PS_TKCO,$B17,PS_MONTH,AC$3)&gt;0,AA19+SUMIFS(PS_SOTIEN,PS_TKNO,$B17,PS_MONTH,AC$3)-AB19-SUMIFS(PS_SOTIEN,PS_TKCO,$B17,PS_MONTH,AC$3),0)</f>
        <v>#N/A</v>
      </c>
      <c r="AD19" s="630" t="str">
        <f t="shared" ref="AD19:AD20" si="201">IF(AB19+SUMIFS(PS_SOTIEN,PS_TKCO,$B17,PS_MONTH,AC$3)-AA19-SUMIFS(PS_SOTIEN,PS_TKNO,$B17,PS_MONTH,AC$3)&gt;0,AB19+SUMIFS(PS_SOTIEN,PS_TKCO,$B17,PS_MONTH,AC$3)-AA19-SUMIFS(PS_SOTIEN,PS_TKNO,$B17,PS_MONTH,AC$3),0)</f>
        <v>#N/A</v>
      </c>
      <c r="AE19" s="630" t="str">
        <f t="shared" ref="AE19:AE20" si="202">IF(AC19+SUMIFS(PS_SOTIEN,PS_TKNO,$B17,PS_MONTH,AE$3)-AD19-SUMIFS(PS_SOTIEN,PS_TKCO,$B17,PS_MONTH,AE$3)&gt;0,AC19+SUMIFS(PS_SOTIEN,PS_TKNO,$B17,PS_MONTH,AE$3)-AD19-SUMIFS(PS_SOTIEN,PS_TKCO,$B17,PS_MONTH,AE$3),0)</f>
        <v>#N/A</v>
      </c>
      <c r="AF19" s="630" t="str">
        <f t="shared" ref="AF19:AF20" si="203">IF(AD19+SUMIFS(PS_SOTIEN,PS_TKCO,$B17,PS_MONTH,AE$3)-AC19-SUMIFS(PS_SOTIEN,PS_TKNO,$B17,PS_MONTH,AE$3)&gt;0,AD19+SUMIFS(PS_SOTIEN,PS_TKCO,$B17,PS_MONTH,AE$3)-AC19-SUMIFS(PS_SOTIEN,PS_TKNO,$B17,PS_MONTH,AE$3),0)</f>
        <v>#N/A</v>
      </c>
      <c r="AG19" s="630" t="str">
        <f t="shared" ref="AG19:AG20" si="204">IF(AE19+SUMIFS(PS_SOTIEN,PS_TKNO,$B17,PS_MONTH,AG$3)-AF19-SUMIFS(PS_SOTIEN,PS_TKCO,$B17,PS_MONTH,AG$3)&gt;0,AE19+SUMIFS(PS_SOTIEN,PS_TKNO,$B17,PS_MONTH,AG$3)-AF19-SUMIFS(PS_SOTIEN,PS_TKCO,$B17,PS_MONTH,AG$3),0)</f>
        <v>#N/A</v>
      </c>
      <c r="AH19" s="630" t="str">
        <f t="shared" ref="AH19:AH20" si="205">IF(AF19+SUMIFS(PS_SOTIEN,PS_TKCO,$B17,PS_MONTH,AG$3)-AE19-SUMIFS(PS_SOTIEN,PS_TKNO,$B17,PS_MONTH,AG$3)&gt;0,AF19+SUMIFS(PS_SOTIEN,PS_TKCO,$B17,PS_MONTH,AG$3)-AE19-SUMIFS(PS_SOTIEN,PS_TKNO,$B17,PS_MONTH,AG$3),0)</f>
        <v>#N/A</v>
      </c>
      <c r="AI19" s="630" t="str">
        <f t="shared" ref="AI19:AI20" si="206">IF(AG19+SUMIFS(PS_SOTIEN,PS_TKNO,$B17,PS_MONTH,AI$3)-AH19-SUMIFS(PS_SOTIEN,PS_TKCO,$B17,PS_MONTH,AI$3)&gt;0,AG19+SUMIFS(PS_SOTIEN,PS_TKNO,$B17,PS_MONTH,AI$3)-AH19-SUMIFS(PS_SOTIEN,PS_TKCO,$B17,PS_MONTH,AI$3),0)</f>
        <v>#N/A</v>
      </c>
      <c r="AJ19" s="630" t="str">
        <f t="shared" ref="AJ19:AJ20" si="207">IF(AH19+SUMIFS(PS_SOTIEN,PS_TKCO,$B17,PS_MONTH,AI$3)-AG19-SUMIFS(PS_SOTIEN,PS_TKNO,$B17,PS_MONTH,AI$3)&gt;0,AH19+SUMIFS(PS_SOTIEN,PS_TKCO,$B17,PS_MONTH,AI$3)-AG19-SUMIFS(PS_SOTIEN,PS_TKNO,$B17,PS_MONTH,AI$3),0)</f>
        <v>#N/A</v>
      </c>
      <c r="AK19" s="630" t="str">
        <f t="shared" ref="AK19:AK20" si="208">IF(AI19+SUMIFS(PS_SOTIEN,PS_TKNO,$B17,PS_MONTH,AK$3)-AJ19-SUMIFS(PS_SOTIEN,PS_TKCO,$B17,PS_MONTH,AK$3)&gt;0,AI19+SUMIFS(PS_SOTIEN,PS_TKNO,$B17,PS_MONTH,AK$3)-AJ19-SUMIFS(PS_SOTIEN,PS_TKCO,$B17,PS_MONTH,AK$3),0)</f>
        <v>#N/A</v>
      </c>
      <c r="AL19" s="630" t="str">
        <f t="shared" ref="AL19:AL20" si="209">IF(AJ19+SUMIFS(PS_SOTIEN,PS_TKCO,$B17,PS_MONTH,AK$3)-AI19-SUMIFS(PS_SOTIEN,PS_TKNO,$B17,PS_MONTH,AK$3)&gt;0,AJ19+SUMIFS(PS_SOTIEN,PS_TKCO,$B17,PS_MONTH,AK$3)-AI19-SUMIFS(PS_SOTIEN,PS_TKNO,$B17,PS_MONTH,AK$3),0)</f>
        <v>#N/A</v>
      </c>
      <c r="AM19" s="630" t="str">
        <f t="shared" ref="AM19:AM20" si="210">IF(AK19+SUMIFS(PS_SOTIEN,PS_TKNO,$B17,PS_MONTH,AM$3)-AL19-SUMIFS(PS_SOTIEN,PS_TKCO,$B17,PS_MONTH,AM$3)&gt;0,AK19+SUMIFS(PS_SOTIEN,PS_TKNO,$B17,PS_MONTH,AM$3)-AL19-SUMIFS(PS_SOTIEN,PS_TKCO,$B17,PS_MONTH,AM$3),0)</f>
        <v>#N/A</v>
      </c>
      <c r="AN19" s="630" t="str">
        <f t="shared" ref="AN19:AN20" si="211">IF(AL19+SUMIFS(PS_SOTIEN,PS_TKCO,$B17,PS_MONTH,AM$3)-AK19-SUMIFS(PS_SOTIEN,PS_TKNO,$B17,PS_MONTH,AM$3)&gt;0,AL19+SUMIFS(PS_SOTIEN,PS_TKCO,$B17,PS_MONTH,AM$3)-AK19-SUMIFS(PS_SOTIEN,PS_TKNO,$B17,PS_MONTH,AM$3),0)</f>
        <v>#N/A</v>
      </c>
      <c r="AO19" s="630" t="str">
        <f t="shared" ref="AO19:AO20" si="212">IF(AM19+SUMIFS(PS_SOTIEN,PS_TKNO,$B17,PS_MONTH,AO$3)-AN19-SUMIFS(PS_SOTIEN,PS_TKCO,$B17,PS_MONTH,AO$3)&gt;0,AM19+SUMIFS(PS_SOTIEN,PS_TKNO,$B17,PS_MONTH,AO$3)-AN19-SUMIFS(PS_SOTIEN,PS_TKCO,$B17,PS_MONTH,AO$3),0)</f>
        <v>#N/A</v>
      </c>
      <c r="AP19" s="630" t="str">
        <f t="shared" ref="AP19:AP20" si="213">IF(AN19+SUMIFS(PS_SOTIEN,PS_TKCO,$B17,PS_MONTH,AO$3)-AM19-SUMIFS(PS_SOTIEN,PS_TKNO,$B17,PS_MONTH,AO$3)&gt;0,AN19+SUMIFS(PS_SOTIEN,PS_TKCO,$B17,PS_MONTH,AO$3)-AM19-SUMIFS(PS_SOTIEN,PS_TKNO,$B17,PS_MONTH,AO$3),0)</f>
        <v>#N/A</v>
      </c>
      <c r="AQ19" s="630" t="str">
        <f t="shared" ref="AQ19:AQ20" si="214">IF(AO19+SUMIFS(PS_SOTIEN,PS_TKNO,$B17,PS_MONTH,AQ$3)-AP19-SUMIFS(PS_SOTIEN,PS_TKCO,$B17,PS_MONTH,AQ$3)&gt;0,AO19+SUMIFS(PS_SOTIEN,PS_TKNO,$B17,PS_MONTH,AQ$3)-AP19-SUMIFS(PS_SOTIEN,PS_TKCO,$B17,PS_MONTH,AQ$3),0)</f>
        <v>#N/A</v>
      </c>
      <c r="AR19" s="630" t="str">
        <f t="shared" ref="AR19:AR20" si="215">IF(AP19+SUMIFS(PS_SOTIEN,PS_TKCO,$B17,PS_MONTH,AQ$3)-AO19-SUMIFS(PS_SOTIEN,PS_TKNO,$B17,PS_MONTH,AQ$3)&gt;0,AP19+SUMIFS(PS_SOTIEN,PS_TKCO,$B17,PS_MONTH,AQ$3)-AO19-SUMIFS(PS_SOTIEN,PS_TKNO,$B17,PS_MONTH,AQ$3),0)</f>
        <v>#N/A</v>
      </c>
      <c r="AS19" s="630" t="str">
        <f t="shared" ref="AS19:AS20" si="216">IF(AQ19+SUMIFS(PS_SOTIEN,PS_TKNO,$B17,PS_MONTH,AS$3)-AR19-SUMIFS(PS_SOTIEN,PS_TKCO,$B17,PS_MONTH,AS$3)&gt;0,AQ19+SUMIFS(PS_SOTIEN,PS_TKNO,$B17,PS_MONTH,AS$3)-AR19-SUMIFS(PS_SOTIEN,PS_TKCO,$B17,PS_MONTH,AS$3),0)</f>
        <v>#N/A</v>
      </c>
      <c r="AT19" s="630" t="str">
        <f t="shared" ref="AT19:AT20" si="217">IF(AR19+SUMIFS(PS_SOTIEN,PS_TKCO,$B17,PS_MONTH,AS$3)-AQ19-SUMIFS(PS_SOTIEN,PS_TKNO,$B17,PS_MONTH,AS$3)&gt;0,AR19+SUMIFS(PS_SOTIEN,PS_TKCO,$B17,PS_MONTH,AS$3)-AQ19-SUMIFS(PS_SOTIEN,PS_TKNO,$B17,PS_MONTH,AS$3),0)</f>
        <v>#N/A</v>
      </c>
      <c r="AU19" s="630" t="str">
        <f t="shared" ref="AU19:AU20" si="218">IF(AS19+SUMIFS(PS_SOTIEN,PS_TKNO,$B17,PS_MONTH,AU$3)-AT19-SUMIFS(PS_SOTIEN,PS_TKCO,$B17,PS_MONTH,AU$3)&gt;0,AS19+SUMIFS(PS_SOTIEN,PS_TKNO,$B17,PS_MONTH,AU$3)-AT19-SUMIFS(PS_SOTIEN,PS_TKCO,$B17,PS_MONTH,AU$3),0)</f>
        <v>#N/A</v>
      </c>
      <c r="AV19" s="630" t="str">
        <f t="shared" ref="AV19:AV20" si="219">IF(AT19+SUMIFS(PS_SOTIEN,PS_TKCO,$B17,PS_MONTH,AU$3)-AS19-SUMIFS(PS_SOTIEN,PS_TKNO,$B17,PS_MONTH,AU$3)&gt;0,AT19+SUMIFS(PS_SOTIEN,PS_TKCO,$B17,PS_MONTH,AU$3)-AS19-SUMIFS(PS_SOTIEN,PS_TKNO,$B17,PS_MONTH,AU$3),0)</f>
        <v>#N/A</v>
      </c>
      <c r="AW19" s="630" t="str">
        <f t="shared" ref="AW19:AW20" si="220">IF(AU19+SUMIFS(PS_SOTIEN,PS_TKNO,$B17,PS_MONTH,AW$3)-AV19-SUMIFS(PS_SOTIEN,PS_TKCO,$B17,PS_MONTH,AW$3)&gt;0,AU19+SUMIFS(PS_SOTIEN,PS_TKNO,$B17,PS_MONTH,AW$3)-AV19-SUMIFS(PS_SOTIEN,PS_TKCO,$B17,PS_MONTH,AW$3),0)</f>
        <v>#N/A</v>
      </c>
      <c r="AX19" s="630" t="str">
        <f t="shared" ref="AX19:AX20" si="221">IF(AV19+SUMIFS(PS_SOTIEN,PS_TKCO,$B17,PS_MONTH,AW$3)-AU19-SUMIFS(PS_SOTIEN,PS_TKNO,$B17,PS_MONTH,AW$3)&gt;0,AV19+SUMIFS(PS_SOTIEN,PS_TKCO,$B17,PS_MONTH,AW$3)-AU19-SUMIFS(PS_SOTIEN,PS_TKNO,$B17,PS_MONTH,AW$3),0)</f>
        <v>#N/A</v>
      </c>
    </row>
    <row r="20" outlineLevel="1">
      <c r="A20" s="1452" t="s">
        <v>2986</v>
      </c>
      <c r="B20" s="1439" t="s">
        <v>3003</v>
      </c>
      <c r="C20" s="1454"/>
      <c r="D20" s="1441" t="s">
        <v>3004</v>
      </c>
      <c r="E20" s="1442">
        <f t="shared" ref="E20:J20" si="190">SUM(E21:E24)</f>
        <v>0</v>
      </c>
      <c r="F20" s="1442">
        <f t="shared" si="190"/>
        <v>0</v>
      </c>
      <c r="G20" s="1442">
        <f t="shared" si="190"/>
        <v>0</v>
      </c>
      <c r="H20" s="1442">
        <f t="shared" si="190"/>
        <v>0</v>
      </c>
      <c r="I20" s="1442">
        <f t="shared" si="190"/>
        <v>0</v>
      </c>
      <c r="J20" s="1442">
        <f t="shared" si="190"/>
        <v>0</v>
      </c>
      <c r="K20" s="1443"/>
      <c r="L20" s="1443"/>
      <c r="M20" s="1444" t="str">
        <f t="shared" ref="M20:N20" si="191">S20</f>
        <v>#N/A</v>
      </c>
      <c r="N20" s="1444" t="str">
        <f t="shared" si="191"/>
        <v>#N/A</v>
      </c>
      <c r="O20" s="1444" t="str">
        <f t="shared" ref="O20:P20" si="192">W20</f>
        <v>#N/A</v>
      </c>
      <c r="P20" s="1444" t="str">
        <f t="shared" si="192"/>
        <v>#N/A</v>
      </c>
      <c r="Q20" s="1445" t="str">
        <f t="shared" ref="Q20:R20" si="193">AE20</f>
        <v>#N/A</v>
      </c>
      <c r="R20" s="1445" t="str">
        <f t="shared" si="193"/>
        <v>#N/A</v>
      </c>
      <c r="S20" s="1445" t="str">
        <f t="shared" ref="S20:T20" si="194">AK20</f>
        <v>#N/A</v>
      </c>
      <c r="T20" s="1445" t="str">
        <f t="shared" si="194"/>
        <v>#N/A</v>
      </c>
      <c r="U20" s="1445" t="str">
        <f t="shared" ref="U20:V20" si="195">AQ20</f>
        <v>#N/A</v>
      </c>
      <c r="V20" s="1445" t="str">
        <f t="shared" si="195"/>
        <v>#N/A</v>
      </c>
      <c r="W20" s="1445" t="str">
        <f t="shared" ref="W20:X20" si="196">AW20</f>
        <v>#N/A</v>
      </c>
      <c r="X20" s="1445" t="str">
        <f t="shared" si="196"/>
        <v>#N/A</v>
      </c>
      <c r="Y20" s="630">
        <f t="shared" ref="Y20:Z20" si="197">E20</f>
        <v>0</v>
      </c>
      <c r="Z20" s="630">
        <f t="shared" si="197"/>
        <v>0</v>
      </c>
      <c r="AA20" s="630" t="str">
        <f t="shared" si="198"/>
        <v>#N/A</v>
      </c>
      <c r="AB20" s="630" t="str">
        <f t="shared" si="199"/>
        <v>#N/A</v>
      </c>
      <c r="AC20" s="630" t="str">
        <f t="shared" si="200"/>
        <v>#N/A</v>
      </c>
      <c r="AD20" s="630" t="str">
        <f t="shared" si="201"/>
        <v>#N/A</v>
      </c>
      <c r="AE20" s="630" t="str">
        <f t="shared" si="202"/>
        <v>#N/A</v>
      </c>
      <c r="AF20" s="630" t="str">
        <f t="shared" si="203"/>
        <v>#N/A</v>
      </c>
      <c r="AG20" s="630" t="str">
        <f t="shared" si="204"/>
        <v>#N/A</v>
      </c>
      <c r="AH20" s="630" t="str">
        <f t="shared" si="205"/>
        <v>#N/A</v>
      </c>
      <c r="AI20" s="630" t="str">
        <f t="shared" si="206"/>
        <v>#N/A</v>
      </c>
      <c r="AJ20" s="630" t="str">
        <f t="shared" si="207"/>
        <v>#N/A</v>
      </c>
      <c r="AK20" s="630" t="str">
        <f t="shared" si="208"/>
        <v>#N/A</v>
      </c>
      <c r="AL20" s="630" t="str">
        <f t="shared" si="209"/>
        <v>#N/A</v>
      </c>
      <c r="AM20" s="630" t="str">
        <f t="shared" si="210"/>
        <v>#N/A</v>
      </c>
      <c r="AN20" s="630" t="str">
        <f t="shared" si="211"/>
        <v>#N/A</v>
      </c>
      <c r="AO20" s="630" t="str">
        <f t="shared" si="212"/>
        <v>#N/A</v>
      </c>
      <c r="AP20" s="630" t="str">
        <f t="shared" si="213"/>
        <v>#N/A</v>
      </c>
      <c r="AQ20" s="630" t="str">
        <f t="shared" si="214"/>
        <v>#N/A</v>
      </c>
      <c r="AR20" s="630" t="str">
        <f t="shared" si="215"/>
        <v>#N/A</v>
      </c>
      <c r="AS20" s="630" t="str">
        <f t="shared" si="216"/>
        <v>#N/A</v>
      </c>
      <c r="AT20" s="630" t="str">
        <f t="shared" si="217"/>
        <v>#N/A</v>
      </c>
      <c r="AU20" s="630" t="str">
        <f t="shared" si="218"/>
        <v>#N/A</v>
      </c>
      <c r="AV20" s="630" t="str">
        <f t="shared" si="219"/>
        <v>#N/A</v>
      </c>
      <c r="AW20" s="630" t="str">
        <f t="shared" si="220"/>
        <v>#N/A</v>
      </c>
      <c r="AX20" s="630" t="str">
        <f t="shared" si="221"/>
        <v>#N/A</v>
      </c>
    </row>
    <row r="21" outlineLevel="1">
      <c r="A21" s="1448"/>
      <c r="B21" s="1440"/>
      <c r="C21" s="1449" t="s">
        <v>1340</v>
      </c>
      <c r="D21" s="1433" t="s">
        <v>3005</v>
      </c>
      <c r="E21" s="1450"/>
      <c r="F21" s="1450"/>
      <c r="G21" s="1450">
        <f>SUMIF(AC_TKNO,$C21,AC_SOTIEN)</f>
        <v>0</v>
      </c>
      <c r="H21" s="1450">
        <f>SUMIF(AC_TKCO,$C21,AC_SOTIEN)</f>
        <v>0</v>
      </c>
      <c r="I21" s="1450" t="str">
        <f t="shared" ref="I21:I25" si="229">IF(E21+G21-F21-H21&gt;0,E21+G21-F21-H21,"-")</f>
        <v>-</v>
      </c>
      <c r="J21" s="1450" t="str">
        <f t="shared" ref="J21:J25" si="230">IF(F21+H21-E21-G21&gt;0,F21+H21-E21-G21,"-")</f>
        <v>-</v>
      </c>
      <c r="K21" s="1443"/>
      <c r="L21" s="1443"/>
      <c r="M21" s="1444" t="str">
        <f t="shared" ref="M21:N21" si="222">S21</f>
        <v>#N/A</v>
      </c>
      <c r="N21" s="1444" t="str">
        <f t="shared" si="222"/>
        <v>#N/A</v>
      </c>
      <c r="O21" s="1444" t="str">
        <f t="shared" ref="O21:P21" si="223">W21</f>
        <v>#N/A</v>
      </c>
      <c r="P21" s="1444" t="str">
        <f t="shared" si="223"/>
        <v>#N/A</v>
      </c>
      <c r="Q21" s="1445" t="str">
        <f t="shared" ref="Q21:R21" si="224">AE21</f>
        <v>#N/A</v>
      </c>
      <c r="R21" s="1445" t="str">
        <f t="shared" si="224"/>
        <v>#N/A</v>
      </c>
      <c r="S21" s="1445" t="str">
        <f t="shared" ref="S21:T21" si="225">AK21</f>
        <v>#N/A</v>
      </c>
      <c r="T21" s="1445" t="str">
        <f t="shared" si="225"/>
        <v>#N/A</v>
      </c>
      <c r="U21" s="1445" t="str">
        <f t="shared" ref="U21:V21" si="226">AQ21</f>
        <v>#N/A</v>
      </c>
      <c r="V21" s="1445" t="str">
        <f t="shared" si="226"/>
        <v>#N/A</v>
      </c>
      <c r="W21" s="1445" t="str">
        <f t="shared" ref="W21:X21" si="227">AW21</f>
        <v>#N/A</v>
      </c>
      <c r="X21" s="1445" t="str">
        <f t="shared" si="227"/>
        <v>#N/A</v>
      </c>
      <c r="Y21" s="1453">
        <f t="shared" ref="Y21:AX21" si="228">SUM(Y22:Y24)</f>
        <v>0</v>
      </c>
      <c r="Z21" s="1453">
        <f t="shared" si="228"/>
        <v>0</v>
      </c>
      <c r="AA21" s="1453" t="str">
        <f t="shared" si="228"/>
        <v>#N/A</v>
      </c>
      <c r="AB21" s="1453" t="str">
        <f t="shared" si="228"/>
        <v>#N/A</v>
      </c>
      <c r="AC21" s="1453" t="str">
        <f t="shared" si="228"/>
        <v>#N/A</v>
      </c>
      <c r="AD21" s="1453" t="str">
        <f t="shared" si="228"/>
        <v>#N/A</v>
      </c>
      <c r="AE21" s="1453" t="str">
        <f t="shared" si="228"/>
        <v>#N/A</v>
      </c>
      <c r="AF21" s="1453" t="str">
        <f t="shared" si="228"/>
        <v>#N/A</v>
      </c>
      <c r="AG21" s="1453" t="str">
        <f t="shared" si="228"/>
        <v>#N/A</v>
      </c>
      <c r="AH21" s="1453" t="str">
        <f t="shared" si="228"/>
        <v>#N/A</v>
      </c>
      <c r="AI21" s="1453" t="str">
        <f t="shared" si="228"/>
        <v>#N/A</v>
      </c>
      <c r="AJ21" s="1453" t="str">
        <f t="shared" si="228"/>
        <v>#N/A</v>
      </c>
      <c r="AK21" s="1453" t="str">
        <f t="shared" si="228"/>
        <v>#N/A</v>
      </c>
      <c r="AL21" s="1453" t="str">
        <f t="shared" si="228"/>
        <v>#N/A</v>
      </c>
      <c r="AM21" s="1453" t="str">
        <f t="shared" si="228"/>
        <v>#N/A</v>
      </c>
      <c r="AN21" s="1453" t="str">
        <f t="shared" si="228"/>
        <v>#N/A</v>
      </c>
      <c r="AO21" s="1453" t="str">
        <f t="shared" si="228"/>
        <v>#N/A</v>
      </c>
      <c r="AP21" s="1453" t="str">
        <f t="shared" si="228"/>
        <v>#N/A</v>
      </c>
      <c r="AQ21" s="1453" t="str">
        <f t="shared" si="228"/>
        <v>#N/A</v>
      </c>
      <c r="AR21" s="1453" t="str">
        <f t="shared" si="228"/>
        <v>#N/A</v>
      </c>
      <c r="AS21" s="1453" t="str">
        <f t="shared" si="228"/>
        <v>#N/A</v>
      </c>
      <c r="AT21" s="1453" t="str">
        <f t="shared" si="228"/>
        <v>#N/A</v>
      </c>
      <c r="AU21" s="1453" t="str">
        <f t="shared" si="228"/>
        <v>#N/A</v>
      </c>
      <c r="AV21" s="1453" t="str">
        <f t="shared" si="228"/>
        <v>#N/A</v>
      </c>
      <c r="AW21" s="1453" t="str">
        <f t="shared" si="228"/>
        <v>#N/A</v>
      </c>
      <c r="AX21" s="1453" t="str">
        <f t="shared" si="228"/>
        <v>#N/A</v>
      </c>
    </row>
    <row r="22" outlineLevel="1">
      <c r="A22" s="1448"/>
      <c r="B22" s="1440"/>
      <c r="C22" s="1449" t="s">
        <v>3006</v>
      </c>
      <c r="D22" s="1433" t="s">
        <v>3000</v>
      </c>
      <c r="E22" s="1451"/>
      <c r="F22" s="1450"/>
      <c r="G22" s="1450">
        <f>SUMIF(AC_TKNO,$C22,AC_SOTIEN)</f>
        <v>0</v>
      </c>
      <c r="H22" s="1450">
        <f>SUMIF(AC_TKCO,$C22,AC_SOTIEN)</f>
        <v>0</v>
      </c>
      <c r="I22" s="1450" t="str">
        <f t="shared" si="229"/>
        <v>-</v>
      </c>
      <c r="J22" s="1450" t="str">
        <f t="shared" si="230"/>
        <v>-</v>
      </c>
      <c r="K22" s="1443"/>
      <c r="L22" s="1443"/>
      <c r="M22" s="1444" t="str">
        <f t="shared" ref="M22:N22" si="231">S22</f>
        <v>#N/A</v>
      </c>
      <c r="N22" s="1444" t="str">
        <f t="shared" si="231"/>
        <v>#N/A</v>
      </c>
      <c r="O22" s="1444" t="str">
        <f t="shared" ref="O22:P22" si="232">W22</f>
        <v>#N/A</v>
      </c>
      <c r="P22" s="1444" t="str">
        <f t="shared" si="232"/>
        <v>#N/A</v>
      </c>
      <c r="Q22" s="1445" t="str">
        <f t="shared" ref="Q22:R22" si="233">AE22</f>
        <v>#N/A</v>
      </c>
      <c r="R22" s="1445" t="str">
        <f t="shared" si="233"/>
        <v>#N/A</v>
      </c>
      <c r="S22" s="1445" t="str">
        <f t="shared" ref="S22:T22" si="234">AK22</f>
        <v>#N/A</v>
      </c>
      <c r="T22" s="1445" t="str">
        <f t="shared" si="234"/>
        <v>#N/A</v>
      </c>
      <c r="U22" s="1445" t="str">
        <f t="shared" ref="U22:V22" si="235">AQ22</f>
        <v>#N/A</v>
      </c>
      <c r="V22" s="1445" t="str">
        <f t="shared" si="235"/>
        <v>#N/A</v>
      </c>
      <c r="W22" s="1445" t="str">
        <f t="shared" ref="W22:X22" si="236">AW22</f>
        <v>#N/A</v>
      </c>
      <c r="X22" s="1445" t="str">
        <f t="shared" si="236"/>
        <v>#N/A</v>
      </c>
      <c r="Y22" s="630" t="str">
        <f t="shared" ref="Y22:Z22" si="237">E22</f>
        <v/>
      </c>
      <c r="Z22" s="630" t="str">
        <f t="shared" si="237"/>
        <v/>
      </c>
      <c r="AA22" s="630" t="str">
        <f t="shared" ref="AA22:AA24" si="245">IF(Y22+SUMIFS(PS_SOTIEN,PS_TKNO,$B20,PS_MONTH,AA$3)-Z22-SUMIFS(PS_SOTIEN,PS_TKCO,$B20,PS_MONTH,AA$3)&gt;0,Y22+SUMIFS(PS_SOTIEN,PS_TKNO,$B20,PS_MONTH,AA$3)-Z22-SUMIFS(PS_SOTIEN,PS_TKCO,$B20,PS_MONTH,AA$3),0)</f>
        <v>#N/A</v>
      </c>
      <c r="AB22" s="630" t="str">
        <f t="shared" ref="AB22:AB24" si="246">IF(Z22+SUMIFS(PS_SOTIEN,PS_TKCO,$B20,PS_MONTH,AA$3)-Y22-SUMIFS(PS_SOTIEN,PS_TKNO,$B20,PS_MONTH,AA$3)&gt;0,Z22+SUMIFS(PS_SOTIEN,PS_TKCO,$B20,PS_MONTH,AA$3)-Y22-SUMIFS(PS_SOTIEN,PS_TKNO,$B20,PS_MONTH,AA$3),0)</f>
        <v>#N/A</v>
      </c>
      <c r="AC22" s="630" t="str">
        <f t="shared" ref="AC22:AC24" si="247">IF(AA22+SUMIFS(PS_SOTIEN,PS_TKNO,$B20,PS_MONTH,AC$3)-AB22-SUMIFS(PS_SOTIEN,PS_TKCO,$B20,PS_MONTH,AC$3)&gt;0,AA22+SUMIFS(PS_SOTIEN,PS_TKNO,$B20,PS_MONTH,AC$3)-AB22-SUMIFS(PS_SOTIEN,PS_TKCO,$B20,PS_MONTH,AC$3),0)</f>
        <v>#N/A</v>
      </c>
      <c r="AD22" s="630" t="str">
        <f t="shared" ref="AD22:AD24" si="248">IF(AB22+SUMIFS(PS_SOTIEN,PS_TKCO,$B20,PS_MONTH,AC$3)-AA22-SUMIFS(PS_SOTIEN,PS_TKNO,$B20,PS_MONTH,AC$3)&gt;0,AB22+SUMIFS(PS_SOTIEN,PS_TKCO,$B20,PS_MONTH,AC$3)-AA22-SUMIFS(PS_SOTIEN,PS_TKNO,$B20,PS_MONTH,AC$3),0)</f>
        <v>#N/A</v>
      </c>
      <c r="AE22" s="630" t="str">
        <f t="shared" ref="AE22:AE24" si="249">IF(AC22+SUMIFS(PS_SOTIEN,PS_TKNO,$B20,PS_MONTH,AE$3)-AD22-SUMIFS(PS_SOTIEN,PS_TKCO,$B20,PS_MONTH,AE$3)&gt;0,AC22+SUMIFS(PS_SOTIEN,PS_TKNO,$B20,PS_MONTH,AE$3)-AD22-SUMIFS(PS_SOTIEN,PS_TKCO,$B20,PS_MONTH,AE$3),0)</f>
        <v>#N/A</v>
      </c>
      <c r="AF22" s="630" t="str">
        <f t="shared" ref="AF22:AF24" si="250">IF(AD22+SUMIFS(PS_SOTIEN,PS_TKCO,$B20,PS_MONTH,AE$3)-AC22-SUMIFS(PS_SOTIEN,PS_TKNO,$B20,PS_MONTH,AE$3)&gt;0,AD22+SUMIFS(PS_SOTIEN,PS_TKCO,$B20,PS_MONTH,AE$3)-AC22-SUMIFS(PS_SOTIEN,PS_TKNO,$B20,PS_MONTH,AE$3),0)</f>
        <v>#N/A</v>
      </c>
      <c r="AG22" s="630" t="str">
        <f t="shared" ref="AG22:AG24" si="251">IF(AE22+SUMIFS(PS_SOTIEN,PS_TKNO,$B20,PS_MONTH,AG$3)-AF22-SUMIFS(PS_SOTIEN,PS_TKCO,$B20,PS_MONTH,AG$3)&gt;0,AE22+SUMIFS(PS_SOTIEN,PS_TKNO,$B20,PS_MONTH,AG$3)-AF22-SUMIFS(PS_SOTIEN,PS_TKCO,$B20,PS_MONTH,AG$3),0)</f>
        <v>#N/A</v>
      </c>
      <c r="AH22" s="630" t="str">
        <f t="shared" ref="AH22:AH24" si="252">IF(AF22+SUMIFS(PS_SOTIEN,PS_TKCO,$B20,PS_MONTH,AG$3)-AE22-SUMIFS(PS_SOTIEN,PS_TKNO,$B20,PS_MONTH,AG$3)&gt;0,AF22+SUMIFS(PS_SOTIEN,PS_TKCO,$B20,PS_MONTH,AG$3)-AE22-SUMIFS(PS_SOTIEN,PS_TKNO,$B20,PS_MONTH,AG$3),0)</f>
        <v>#N/A</v>
      </c>
      <c r="AI22" s="630" t="str">
        <f t="shared" ref="AI22:AI24" si="253">IF(AG22+SUMIFS(PS_SOTIEN,PS_TKNO,$B20,PS_MONTH,AI$3)-AH22-SUMIFS(PS_SOTIEN,PS_TKCO,$B20,PS_MONTH,AI$3)&gt;0,AG22+SUMIFS(PS_SOTIEN,PS_TKNO,$B20,PS_MONTH,AI$3)-AH22-SUMIFS(PS_SOTIEN,PS_TKCO,$B20,PS_MONTH,AI$3),0)</f>
        <v>#N/A</v>
      </c>
      <c r="AJ22" s="630" t="str">
        <f t="shared" ref="AJ22:AJ24" si="254">IF(AH22+SUMIFS(PS_SOTIEN,PS_TKCO,$B20,PS_MONTH,AI$3)-AG22-SUMIFS(PS_SOTIEN,PS_TKNO,$B20,PS_MONTH,AI$3)&gt;0,AH22+SUMIFS(PS_SOTIEN,PS_TKCO,$B20,PS_MONTH,AI$3)-AG22-SUMIFS(PS_SOTIEN,PS_TKNO,$B20,PS_MONTH,AI$3),0)</f>
        <v>#N/A</v>
      </c>
      <c r="AK22" s="630" t="str">
        <f t="shared" ref="AK22:AK24" si="255">IF(AI22+SUMIFS(PS_SOTIEN,PS_TKNO,$B20,PS_MONTH,AK$3)-AJ22-SUMIFS(PS_SOTIEN,PS_TKCO,$B20,PS_MONTH,AK$3)&gt;0,AI22+SUMIFS(PS_SOTIEN,PS_TKNO,$B20,PS_MONTH,AK$3)-AJ22-SUMIFS(PS_SOTIEN,PS_TKCO,$B20,PS_MONTH,AK$3),0)</f>
        <v>#N/A</v>
      </c>
      <c r="AL22" s="630" t="str">
        <f t="shared" ref="AL22:AL24" si="256">IF(AJ22+SUMIFS(PS_SOTIEN,PS_TKCO,$B20,PS_MONTH,AK$3)-AI22-SUMIFS(PS_SOTIEN,PS_TKNO,$B20,PS_MONTH,AK$3)&gt;0,AJ22+SUMIFS(PS_SOTIEN,PS_TKCO,$B20,PS_MONTH,AK$3)-AI22-SUMIFS(PS_SOTIEN,PS_TKNO,$B20,PS_MONTH,AK$3),0)</f>
        <v>#N/A</v>
      </c>
      <c r="AM22" s="630" t="str">
        <f t="shared" ref="AM22:AM24" si="257">IF(AK22+SUMIFS(PS_SOTIEN,PS_TKNO,$B20,PS_MONTH,AM$3)-AL22-SUMIFS(PS_SOTIEN,PS_TKCO,$B20,PS_MONTH,AM$3)&gt;0,AK22+SUMIFS(PS_SOTIEN,PS_TKNO,$B20,PS_MONTH,AM$3)-AL22-SUMIFS(PS_SOTIEN,PS_TKCO,$B20,PS_MONTH,AM$3),0)</f>
        <v>#N/A</v>
      </c>
      <c r="AN22" s="630" t="str">
        <f t="shared" ref="AN22:AN24" si="258">IF(AL22+SUMIFS(PS_SOTIEN,PS_TKCO,$B20,PS_MONTH,AM$3)-AK22-SUMIFS(PS_SOTIEN,PS_TKNO,$B20,PS_MONTH,AM$3)&gt;0,AL22+SUMIFS(PS_SOTIEN,PS_TKCO,$B20,PS_MONTH,AM$3)-AK22-SUMIFS(PS_SOTIEN,PS_TKNO,$B20,PS_MONTH,AM$3),0)</f>
        <v>#N/A</v>
      </c>
      <c r="AO22" s="630" t="str">
        <f t="shared" ref="AO22:AO24" si="259">IF(AM22+SUMIFS(PS_SOTIEN,PS_TKNO,$B20,PS_MONTH,AO$3)-AN22-SUMIFS(PS_SOTIEN,PS_TKCO,$B20,PS_MONTH,AO$3)&gt;0,AM22+SUMIFS(PS_SOTIEN,PS_TKNO,$B20,PS_MONTH,AO$3)-AN22-SUMIFS(PS_SOTIEN,PS_TKCO,$B20,PS_MONTH,AO$3),0)</f>
        <v>#N/A</v>
      </c>
      <c r="AP22" s="630" t="str">
        <f t="shared" ref="AP22:AP24" si="260">IF(AN22+SUMIFS(PS_SOTIEN,PS_TKCO,$B20,PS_MONTH,AO$3)-AM22-SUMIFS(PS_SOTIEN,PS_TKNO,$B20,PS_MONTH,AO$3)&gt;0,AN22+SUMIFS(PS_SOTIEN,PS_TKCO,$B20,PS_MONTH,AO$3)-AM22-SUMIFS(PS_SOTIEN,PS_TKNO,$B20,PS_MONTH,AO$3),0)</f>
        <v>#N/A</v>
      </c>
      <c r="AQ22" s="630" t="str">
        <f t="shared" ref="AQ22:AQ24" si="261">IF(AO22+SUMIFS(PS_SOTIEN,PS_TKNO,$B20,PS_MONTH,AQ$3)-AP22-SUMIFS(PS_SOTIEN,PS_TKCO,$B20,PS_MONTH,AQ$3)&gt;0,AO22+SUMIFS(PS_SOTIEN,PS_TKNO,$B20,PS_MONTH,AQ$3)-AP22-SUMIFS(PS_SOTIEN,PS_TKCO,$B20,PS_MONTH,AQ$3),0)</f>
        <v>#N/A</v>
      </c>
      <c r="AR22" s="630" t="str">
        <f t="shared" ref="AR22:AR24" si="262">IF(AP22+SUMIFS(PS_SOTIEN,PS_TKCO,$B20,PS_MONTH,AQ$3)-AO22-SUMIFS(PS_SOTIEN,PS_TKNO,$B20,PS_MONTH,AQ$3)&gt;0,AP22+SUMIFS(PS_SOTIEN,PS_TKCO,$B20,PS_MONTH,AQ$3)-AO22-SUMIFS(PS_SOTIEN,PS_TKNO,$B20,PS_MONTH,AQ$3),0)</f>
        <v>#N/A</v>
      </c>
      <c r="AS22" s="630" t="str">
        <f t="shared" ref="AS22:AS24" si="263">IF(AQ22+SUMIFS(PS_SOTIEN,PS_TKNO,$B20,PS_MONTH,AS$3)-AR22-SUMIFS(PS_SOTIEN,PS_TKCO,$B20,PS_MONTH,AS$3)&gt;0,AQ22+SUMIFS(PS_SOTIEN,PS_TKNO,$B20,PS_MONTH,AS$3)-AR22-SUMIFS(PS_SOTIEN,PS_TKCO,$B20,PS_MONTH,AS$3),0)</f>
        <v>#N/A</v>
      </c>
      <c r="AT22" s="630" t="str">
        <f t="shared" ref="AT22:AT24" si="264">IF(AR22+SUMIFS(PS_SOTIEN,PS_TKCO,$B20,PS_MONTH,AS$3)-AQ22-SUMIFS(PS_SOTIEN,PS_TKNO,$B20,PS_MONTH,AS$3)&gt;0,AR22+SUMIFS(PS_SOTIEN,PS_TKCO,$B20,PS_MONTH,AS$3)-AQ22-SUMIFS(PS_SOTIEN,PS_TKNO,$B20,PS_MONTH,AS$3),0)</f>
        <v>#N/A</v>
      </c>
      <c r="AU22" s="630" t="str">
        <f t="shared" ref="AU22:AU24" si="265">IF(AS22+SUMIFS(PS_SOTIEN,PS_TKNO,$B20,PS_MONTH,AU$3)-AT22-SUMIFS(PS_SOTIEN,PS_TKCO,$B20,PS_MONTH,AU$3)&gt;0,AS22+SUMIFS(PS_SOTIEN,PS_TKNO,$B20,PS_MONTH,AU$3)-AT22-SUMIFS(PS_SOTIEN,PS_TKCO,$B20,PS_MONTH,AU$3),0)</f>
        <v>#N/A</v>
      </c>
      <c r="AV22" s="630" t="str">
        <f t="shared" ref="AV22:AV24" si="266">IF(AT22+SUMIFS(PS_SOTIEN,PS_TKCO,$B20,PS_MONTH,AU$3)-AS22-SUMIFS(PS_SOTIEN,PS_TKNO,$B20,PS_MONTH,AU$3)&gt;0,AT22+SUMIFS(PS_SOTIEN,PS_TKCO,$B20,PS_MONTH,AU$3)-AS22-SUMIFS(PS_SOTIEN,PS_TKNO,$B20,PS_MONTH,AU$3),0)</f>
        <v>#N/A</v>
      </c>
      <c r="AW22" s="630" t="str">
        <f t="shared" ref="AW22:AW24" si="267">IF(AU22+SUMIFS(PS_SOTIEN,PS_TKNO,$B20,PS_MONTH,AW$3)-AV22-SUMIFS(PS_SOTIEN,PS_TKCO,$B20,PS_MONTH,AW$3)&gt;0,AU22+SUMIFS(PS_SOTIEN,PS_TKNO,$B20,PS_MONTH,AW$3)-AV22-SUMIFS(PS_SOTIEN,PS_TKCO,$B20,PS_MONTH,AW$3),0)</f>
        <v>#N/A</v>
      </c>
      <c r="AX22" s="630" t="str">
        <f t="shared" ref="AX22:AX24" si="268">IF(AV22+SUMIFS(PS_SOTIEN,PS_TKCO,$B20,PS_MONTH,AW$3)-AU22-SUMIFS(PS_SOTIEN,PS_TKNO,$B20,PS_MONTH,AW$3)&gt;0,AV22+SUMIFS(PS_SOTIEN,PS_TKCO,$B20,PS_MONTH,AW$3)-AU22-SUMIFS(PS_SOTIEN,PS_TKNO,$B20,PS_MONTH,AW$3),0)</f>
        <v>#N/A</v>
      </c>
    </row>
    <row r="23" outlineLevel="1">
      <c r="A23" s="1448"/>
      <c r="B23" s="1440"/>
      <c r="C23" s="1449" t="s">
        <v>3007</v>
      </c>
      <c r="D23" s="1433" t="s">
        <v>3008</v>
      </c>
      <c r="E23" s="1451"/>
      <c r="F23" s="1450"/>
      <c r="G23" s="1450">
        <f>SUMIF(AC_TKNO,$C23,AC_SOTIEN)</f>
        <v>0</v>
      </c>
      <c r="H23" s="1450">
        <f>SUMIF(AC_TKCO,$C23,AC_SOTIEN)</f>
        <v>0</v>
      </c>
      <c r="I23" s="1450" t="str">
        <f t="shared" si="229"/>
        <v>-</v>
      </c>
      <c r="J23" s="1450" t="str">
        <f t="shared" si="230"/>
        <v>-</v>
      </c>
      <c r="K23" s="1443"/>
      <c r="L23" s="1443"/>
      <c r="M23" s="1444" t="str">
        <f t="shared" ref="M23:N23" si="238">S23</f>
        <v>#N/A</v>
      </c>
      <c r="N23" s="1444" t="str">
        <f t="shared" si="238"/>
        <v>#N/A</v>
      </c>
      <c r="O23" s="1444" t="str">
        <f t="shared" ref="O23:P23" si="239">W23</f>
        <v>#N/A</v>
      </c>
      <c r="P23" s="1444" t="str">
        <f t="shared" si="239"/>
        <v>#N/A</v>
      </c>
      <c r="Q23" s="1445" t="str">
        <f t="shared" ref="Q23:R23" si="240">AE23</f>
        <v>#N/A</v>
      </c>
      <c r="R23" s="1445" t="str">
        <f t="shared" si="240"/>
        <v>#N/A</v>
      </c>
      <c r="S23" s="1445" t="str">
        <f t="shared" ref="S23:T23" si="241">AK23</f>
        <v>#N/A</v>
      </c>
      <c r="T23" s="1445" t="str">
        <f t="shared" si="241"/>
        <v>#N/A</v>
      </c>
      <c r="U23" s="1445" t="str">
        <f t="shared" ref="U23:V23" si="242">AQ23</f>
        <v>#N/A</v>
      </c>
      <c r="V23" s="1445" t="str">
        <f t="shared" si="242"/>
        <v>#N/A</v>
      </c>
      <c r="W23" s="1445" t="str">
        <f t="shared" ref="W23:X23" si="243">AW23</f>
        <v>#N/A</v>
      </c>
      <c r="X23" s="1445" t="str">
        <f t="shared" si="243"/>
        <v>#N/A</v>
      </c>
      <c r="Y23" s="630" t="str">
        <f t="shared" ref="Y23:Z23" si="244">E23</f>
        <v/>
      </c>
      <c r="Z23" s="630" t="str">
        <f t="shared" si="244"/>
        <v/>
      </c>
      <c r="AA23" s="630" t="str">
        <f t="shared" si="245"/>
        <v>#N/A</v>
      </c>
      <c r="AB23" s="630" t="str">
        <f t="shared" si="246"/>
        <v>#N/A</v>
      </c>
      <c r="AC23" s="630" t="str">
        <f t="shared" si="247"/>
        <v>#N/A</v>
      </c>
      <c r="AD23" s="630" t="str">
        <f t="shared" si="248"/>
        <v>#N/A</v>
      </c>
      <c r="AE23" s="630" t="str">
        <f t="shared" si="249"/>
        <v>#N/A</v>
      </c>
      <c r="AF23" s="630" t="str">
        <f t="shared" si="250"/>
        <v>#N/A</v>
      </c>
      <c r="AG23" s="630" t="str">
        <f t="shared" si="251"/>
        <v>#N/A</v>
      </c>
      <c r="AH23" s="630" t="str">
        <f t="shared" si="252"/>
        <v>#N/A</v>
      </c>
      <c r="AI23" s="630" t="str">
        <f t="shared" si="253"/>
        <v>#N/A</v>
      </c>
      <c r="AJ23" s="630" t="str">
        <f t="shared" si="254"/>
        <v>#N/A</v>
      </c>
      <c r="AK23" s="630" t="str">
        <f t="shared" si="255"/>
        <v>#N/A</v>
      </c>
      <c r="AL23" s="630" t="str">
        <f t="shared" si="256"/>
        <v>#N/A</v>
      </c>
      <c r="AM23" s="630" t="str">
        <f t="shared" si="257"/>
        <v>#N/A</v>
      </c>
      <c r="AN23" s="630" t="str">
        <f t="shared" si="258"/>
        <v>#N/A</v>
      </c>
      <c r="AO23" s="630" t="str">
        <f t="shared" si="259"/>
        <v>#N/A</v>
      </c>
      <c r="AP23" s="630" t="str">
        <f t="shared" si="260"/>
        <v>#N/A</v>
      </c>
      <c r="AQ23" s="630" t="str">
        <f t="shared" si="261"/>
        <v>#N/A</v>
      </c>
      <c r="AR23" s="630" t="str">
        <f t="shared" si="262"/>
        <v>#N/A</v>
      </c>
      <c r="AS23" s="630" t="str">
        <f t="shared" si="263"/>
        <v>#N/A</v>
      </c>
      <c r="AT23" s="630" t="str">
        <f t="shared" si="264"/>
        <v>#N/A</v>
      </c>
      <c r="AU23" s="630" t="str">
        <f t="shared" si="265"/>
        <v>#N/A</v>
      </c>
      <c r="AV23" s="630" t="str">
        <f t="shared" si="266"/>
        <v>#N/A</v>
      </c>
      <c r="AW23" s="630" t="str">
        <f t="shared" si="267"/>
        <v>#N/A</v>
      </c>
      <c r="AX23" s="630" t="str">
        <f t="shared" si="268"/>
        <v>#N/A</v>
      </c>
    </row>
    <row r="24" outlineLevel="1">
      <c r="A24" s="1448"/>
      <c r="B24" s="1440"/>
      <c r="C24" s="1449" t="s">
        <v>1342</v>
      </c>
      <c r="D24" s="1433" t="s">
        <v>3009</v>
      </c>
      <c r="E24" s="1451"/>
      <c r="F24" s="1450"/>
      <c r="G24" s="1450">
        <f>SUMIF(AC_TKNO,$C24,AC_SOTIEN)</f>
        <v>0</v>
      </c>
      <c r="H24" s="1450">
        <f>SUMIF(AC_TKCO,$C24,AC_SOTIEN)</f>
        <v>0</v>
      </c>
      <c r="I24" s="1450" t="str">
        <f t="shared" si="229"/>
        <v>-</v>
      </c>
      <c r="J24" s="1450" t="str">
        <f t="shared" si="230"/>
        <v>-</v>
      </c>
      <c r="K24" s="1443"/>
      <c r="L24" s="1443"/>
      <c r="M24" s="1444" t="str">
        <f t="shared" ref="M24:N24" si="269">S24</f>
        <v>#N/A</v>
      </c>
      <c r="N24" s="1444" t="str">
        <f t="shared" si="269"/>
        <v>#N/A</v>
      </c>
      <c r="O24" s="1444" t="str">
        <f t="shared" ref="O24:P24" si="270">W24</f>
        <v>#N/A</v>
      </c>
      <c r="P24" s="1444" t="str">
        <f t="shared" si="270"/>
        <v>#N/A</v>
      </c>
      <c r="Q24" s="1445" t="str">
        <f t="shared" ref="Q24:R24" si="271">AE24</f>
        <v>#N/A</v>
      </c>
      <c r="R24" s="1445" t="str">
        <f t="shared" si="271"/>
        <v>#N/A</v>
      </c>
      <c r="S24" s="1445" t="str">
        <f t="shared" ref="S24:T24" si="272">AK24</f>
        <v>#N/A</v>
      </c>
      <c r="T24" s="1445" t="str">
        <f t="shared" si="272"/>
        <v>#N/A</v>
      </c>
      <c r="U24" s="1445" t="str">
        <f t="shared" ref="U24:V24" si="273">AQ24</f>
        <v>#N/A</v>
      </c>
      <c r="V24" s="1445" t="str">
        <f t="shared" si="273"/>
        <v>#N/A</v>
      </c>
      <c r="W24" s="1445" t="str">
        <f t="shared" ref="W24:X24" si="274">AW24</f>
        <v>#N/A</v>
      </c>
      <c r="X24" s="1445" t="str">
        <f t="shared" si="274"/>
        <v>#N/A</v>
      </c>
      <c r="Y24" s="630" t="str">
        <f t="shared" ref="Y24:Z24" si="275">E24</f>
        <v/>
      </c>
      <c r="Z24" s="630" t="str">
        <f t="shared" si="275"/>
        <v/>
      </c>
      <c r="AA24" s="630" t="str">
        <f t="shared" si="245"/>
        <v>#N/A</v>
      </c>
      <c r="AB24" s="630" t="str">
        <f t="shared" si="246"/>
        <v>#N/A</v>
      </c>
      <c r="AC24" s="630" t="str">
        <f t="shared" si="247"/>
        <v>#N/A</v>
      </c>
      <c r="AD24" s="630" t="str">
        <f t="shared" si="248"/>
        <v>#N/A</v>
      </c>
      <c r="AE24" s="630" t="str">
        <f t="shared" si="249"/>
        <v>#N/A</v>
      </c>
      <c r="AF24" s="630" t="str">
        <f t="shared" si="250"/>
        <v>#N/A</v>
      </c>
      <c r="AG24" s="630" t="str">
        <f t="shared" si="251"/>
        <v>#N/A</v>
      </c>
      <c r="AH24" s="630" t="str">
        <f t="shared" si="252"/>
        <v>#N/A</v>
      </c>
      <c r="AI24" s="630" t="str">
        <f t="shared" si="253"/>
        <v>#N/A</v>
      </c>
      <c r="AJ24" s="630" t="str">
        <f t="shared" si="254"/>
        <v>#N/A</v>
      </c>
      <c r="AK24" s="630" t="str">
        <f t="shared" si="255"/>
        <v>#N/A</v>
      </c>
      <c r="AL24" s="630" t="str">
        <f t="shared" si="256"/>
        <v>#N/A</v>
      </c>
      <c r="AM24" s="630" t="str">
        <f t="shared" si="257"/>
        <v>#N/A</v>
      </c>
      <c r="AN24" s="630" t="str">
        <f t="shared" si="258"/>
        <v>#N/A</v>
      </c>
      <c r="AO24" s="630" t="str">
        <f t="shared" si="259"/>
        <v>#N/A</v>
      </c>
      <c r="AP24" s="630" t="str">
        <f t="shared" si="260"/>
        <v>#N/A</v>
      </c>
      <c r="AQ24" s="630" t="str">
        <f t="shared" si="261"/>
        <v>#N/A</v>
      </c>
      <c r="AR24" s="630" t="str">
        <f t="shared" si="262"/>
        <v>#N/A</v>
      </c>
      <c r="AS24" s="630" t="str">
        <f t="shared" si="263"/>
        <v>#N/A</v>
      </c>
      <c r="AT24" s="630" t="str">
        <f t="shared" si="264"/>
        <v>#N/A</v>
      </c>
      <c r="AU24" s="630" t="str">
        <f t="shared" si="265"/>
        <v>#N/A</v>
      </c>
      <c r="AV24" s="630" t="str">
        <f t="shared" si="266"/>
        <v>#N/A</v>
      </c>
      <c r="AW24" s="630" t="str">
        <f t="shared" si="267"/>
        <v>#N/A</v>
      </c>
      <c r="AX24" s="630" t="str">
        <f t="shared" si="268"/>
        <v>#N/A</v>
      </c>
    </row>
    <row r="25">
      <c r="A25" s="1452" t="s">
        <v>2986</v>
      </c>
      <c r="B25" s="1439" t="s">
        <v>3010</v>
      </c>
      <c r="C25" s="1439" t="s">
        <v>3010</v>
      </c>
      <c r="D25" s="1441" t="s">
        <v>3011</v>
      </c>
      <c r="E25" s="1455"/>
      <c r="F25" s="1455"/>
      <c r="G25" s="1455">
        <f>SUMIF(AC_TKNO,$C25,AC_SOTIEN)</f>
        <v>4344612000</v>
      </c>
      <c r="H25" s="1455">
        <f>SUMIF(AC_TKCO,$C25,AC_SOTIEN)</f>
        <v>4132538565</v>
      </c>
      <c r="I25" s="1455">
        <f t="shared" si="229"/>
        <v>212073435</v>
      </c>
      <c r="J25" s="1455" t="str">
        <f t="shared" si="230"/>
        <v>-</v>
      </c>
      <c r="K25" s="1443"/>
      <c r="L25" s="1443"/>
      <c r="M25" s="1444" t="str">
        <f t="shared" ref="M25:N25" si="276">S25</f>
        <v>#N/A</v>
      </c>
      <c r="N25" s="1444" t="str">
        <f t="shared" si="276"/>
        <v>#N/A</v>
      </c>
      <c r="O25" s="1444" t="str">
        <f t="shared" ref="O25:P25" si="277">W25</f>
        <v>#N/A</v>
      </c>
      <c r="P25" s="1444" t="str">
        <f t="shared" si="277"/>
        <v>#N/A</v>
      </c>
      <c r="Q25" s="1445" t="str">
        <f t="shared" ref="Q25:R25" si="278">AE25</f>
        <v>#N/A</v>
      </c>
      <c r="R25" s="1445" t="str">
        <f t="shared" si="278"/>
        <v>#N/A</v>
      </c>
      <c r="S25" s="1445" t="str">
        <f t="shared" ref="S25:T25" si="279">AK25</f>
        <v>#N/A</v>
      </c>
      <c r="T25" s="1445" t="str">
        <f t="shared" si="279"/>
        <v>#N/A</v>
      </c>
      <c r="U25" s="1445" t="str">
        <f t="shared" ref="U25:V25" si="280">AQ25</f>
        <v>#N/A</v>
      </c>
      <c r="V25" s="1445" t="str">
        <f t="shared" si="280"/>
        <v>#N/A</v>
      </c>
      <c r="W25" s="1445" t="str">
        <f t="shared" ref="W25:X25" si="281">AW25</f>
        <v>#N/A</v>
      </c>
      <c r="X25" s="1445" t="str">
        <f t="shared" si="281"/>
        <v>#N/A</v>
      </c>
      <c r="Y25" s="1447">
        <f t="shared" ref="Y25:AX25" si="282">SUM(Y26:Y27)</f>
        <v>0</v>
      </c>
      <c r="Z25" s="1447">
        <f t="shared" si="282"/>
        <v>0</v>
      </c>
      <c r="AA25" s="1447" t="str">
        <f t="shared" si="282"/>
        <v>#N/A</v>
      </c>
      <c r="AB25" s="1447" t="str">
        <f t="shared" si="282"/>
        <v>#N/A</v>
      </c>
      <c r="AC25" s="1447" t="str">
        <f t="shared" si="282"/>
        <v>#N/A</v>
      </c>
      <c r="AD25" s="1447" t="str">
        <f t="shared" si="282"/>
        <v>#N/A</v>
      </c>
      <c r="AE25" s="1447" t="str">
        <f t="shared" si="282"/>
        <v>#N/A</v>
      </c>
      <c r="AF25" s="1447" t="str">
        <f t="shared" si="282"/>
        <v>#N/A</v>
      </c>
      <c r="AG25" s="1447" t="str">
        <f t="shared" si="282"/>
        <v>#N/A</v>
      </c>
      <c r="AH25" s="1447" t="str">
        <f t="shared" si="282"/>
        <v>#N/A</v>
      </c>
      <c r="AI25" s="1447" t="str">
        <f t="shared" si="282"/>
        <v>#N/A</v>
      </c>
      <c r="AJ25" s="1447" t="str">
        <f t="shared" si="282"/>
        <v>#N/A</v>
      </c>
      <c r="AK25" s="1447" t="str">
        <f t="shared" si="282"/>
        <v>#N/A</v>
      </c>
      <c r="AL25" s="1447" t="str">
        <f t="shared" si="282"/>
        <v>#N/A</v>
      </c>
      <c r="AM25" s="1447" t="str">
        <f t="shared" si="282"/>
        <v>#N/A</v>
      </c>
      <c r="AN25" s="1447" t="str">
        <f t="shared" si="282"/>
        <v>#N/A</v>
      </c>
      <c r="AO25" s="1447" t="str">
        <f t="shared" si="282"/>
        <v>#N/A</v>
      </c>
      <c r="AP25" s="1447" t="str">
        <f t="shared" si="282"/>
        <v>#N/A</v>
      </c>
      <c r="AQ25" s="1447" t="str">
        <f t="shared" si="282"/>
        <v>#N/A</v>
      </c>
      <c r="AR25" s="1447" t="str">
        <f t="shared" si="282"/>
        <v>#N/A</v>
      </c>
      <c r="AS25" s="1447" t="str">
        <f t="shared" si="282"/>
        <v>#N/A</v>
      </c>
      <c r="AT25" s="1447" t="str">
        <f t="shared" si="282"/>
        <v>#N/A</v>
      </c>
      <c r="AU25" s="1447" t="str">
        <f t="shared" si="282"/>
        <v>#N/A</v>
      </c>
      <c r="AV25" s="1447" t="str">
        <f t="shared" si="282"/>
        <v>#N/A</v>
      </c>
      <c r="AW25" s="1447" t="str">
        <f t="shared" si="282"/>
        <v>#N/A</v>
      </c>
      <c r="AX25" s="1447" t="str">
        <f t="shared" si="282"/>
        <v>#N/A</v>
      </c>
    </row>
    <row r="26">
      <c r="A26" s="1452" t="s">
        <v>2986</v>
      </c>
      <c r="B26" s="1439" t="s">
        <v>1890</v>
      </c>
      <c r="C26" s="1440"/>
      <c r="D26" s="1441" t="s">
        <v>3012</v>
      </c>
      <c r="E26" s="1442">
        <f t="shared" ref="E26:J26" si="283">SUM(E27:E28)</f>
        <v>0</v>
      </c>
      <c r="F26" s="1442">
        <f t="shared" si="283"/>
        <v>0</v>
      </c>
      <c r="G26" s="1442">
        <f t="shared" si="283"/>
        <v>0</v>
      </c>
      <c r="H26" s="1442">
        <f t="shared" si="283"/>
        <v>0</v>
      </c>
      <c r="I26" s="1442">
        <f t="shared" si="283"/>
        <v>0</v>
      </c>
      <c r="J26" s="1442">
        <f t="shared" si="283"/>
        <v>0</v>
      </c>
      <c r="K26" s="1443"/>
      <c r="L26" s="1443"/>
      <c r="M26" s="1444" t="str">
        <f t="shared" ref="M26:N26" si="284">S26</f>
        <v>#N/A</v>
      </c>
      <c r="N26" s="1444" t="str">
        <f t="shared" si="284"/>
        <v>#N/A</v>
      </c>
      <c r="O26" s="1444" t="str">
        <f t="shared" ref="O26:P26" si="285">W26</f>
        <v>#N/A</v>
      </c>
      <c r="P26" s="1444" t="str">
        <f t="shared" si="285"/>
        <v>#N/A</v>
      </c>
      <c r="Q26" s="1445" t="str">
        <f t="shared" ref="Q26:R26" si="286">AE26</f>
        <v>#N/A</v>
      </c>
      <c r="R26" s="1445" t="str">
        <f t="shared" si="286"/>
        <v>#N/A</v>
      </c>
      <c r="S26" s="1445" t="str">
        <f t="shared" ref="S26:T26" si="287">AK26</f>
        <v>#N/A</v>
      </c>
      <c r="T26" s="1445" t="str">
        <f t="shared" si="287"/>
        <v>#N/A</v>
      </c>
      <c r="U26" s="1445" t="str">
        <f t="shared" ref="U26:V26" si="288">AQ26</f>
        <v>#N/A</v>
      </c>
      <c r="V26" s="1445" t="str">
        <f t="shared" si="288"/>
        <v>#N/A</v>
      </c>
      <c r="W26" s="1445" t="str">
        <f t="shared" ref="W26:X26" si="289">AW26</f>
        <v>#N/A</v>
      </c>
      <c r="X26" s="1445" t="str">
        <f t="shared" si="289"/>
        <v>#N/A</v>
      </c>
      <c r="Y26" s="630">
        <f t="shared" ref="Y26:Z26" si="290">E26</f>
        <v>0</v>
      </c>
      <c r="Z26" s="630">
        <f t="shared" si="290"/>
        <v>0</v>
      </c>
      <c r="AA26" s="630" t="str">
        <f t="shared" ref="AA26:AA27" si="298">IF(Y26+SUMIFS(PS_SOTIEN,PS_TKNO,$B24,PS_MONTH,AA$3)-Z26-SUMIFS(PS_SOTIEN,PS_TKCO,$B24,PS_MONTH,AA$3)&gt;0,Y26+SUMIFS(PS_SOTIEN,PS_TKNO,$B24,PS_MONTH,AA$3)-Z26-SUMIFS(PS_SOTIEN,PS_TKCO,$B24,PS_MONTH,AA$3),0)</f>
        <v>#N/A</v>
      </c>
      <c r="AB26" s="630" t="str">
        <f t="shared" ref="AB26:AB27" si="299">IF(Z26+SUMIFS(PS_SOTIEN,PS_TKCO,$B24,PS_MONTH,AA$3)-Y26-SUMIFS(PS_SOTIEN,PS_TKNO,$B24,PS_MONTH,AA$3)&gt;0,Z26+SUMIFS(PS_SOTIEN,PS_TKCO,$B24,PS_MONTH,AA$3)-Y26-SUMIFS(PS_SOTIEN,PS_TKNO,$B24,PS_MONTH,AA$3),0)</f>
        <v>#N/A</v>
      </c>
      <c r="AC26" s="630" t="str">
        <f t="shared" ref="AC26:AC27" si="300">IF(AA26+SUMIFS(PS_SOTIEN,PS_TKNO,$B24,PS_MONTH,AC$3)-AB26-SUMIFS(PS_SOTIEN,PS_TKCO,$B24,PS_MONTH,AC$3)&gt;0,AA26+SUMIFS(PS_SOTIEN,PS_TKNO,$B24,PS_MONTH,AC$3)-AB26-SUMIFS(PS_SOTIEN,PS_TKCO,$B24,PS_MONTH,AC$3),0)</f>
        <v>#N/A</v>
      </c>
      <c r="AD26" s="630" t="str">
        <f t="shared" ref="AD26:AD27" si="301">IF(AB26+SUMIFS(PS_SOTIEN,PS_TKCO,$B24,PS_MONTH,AC$3)-AA26-SUMIFS(PS_SOTIEN,PS_TKNO,$B24,PS_MONTH,AC$3)&gt;0,AB26+SUMIFS(PS_SOTIEN,PS_TKCO,$B24,PS_MONTH,AC$3)-AA26-SUMIFS(PS_SOTIEN,PS_TKNO,$B24,PS_MONTH,AC$3),0)</f>
        <v>#N/A</v>
      </c>
      <c r="AE26" s="630" t="str">
        <f t="shared" ref="AE26:AE27" si="302">IF(AC26+SUMIFS(PS_SOTIEN,PS_TKNO,$B24,PS_MONTH,AE$3)-AD26-SUMIFS(PS_SOTIEN,PS_TKCO,$B24,PS_MONTH,AE$3)&gt;0,AC26+SUMIFS(PS_SOTIEN,PS_TKNO,$B24,PS_MONTH,AE$3)-AD26-SUMIFS(PS_SOTIEN,PS_TKCO,$B24,PS_MONTH,AE$3),0)</f>
        <v>#N/A</v>
      </c>
      <c r="AF26" s="630" t="str">
        <f t="shared" ref="AF26:AF27" si="303">IF(AD26+SUMIFS(PS_SOTIEN,PS_TKCO,$B24,PS_MONTH,AE$3)-AC26-SUMIFS(PS_SOTIEN,PS_TKNO,$B24,PS_MONTH,AE$3)&gt;0,AD26+SUMIFS(PS_SOTIEN,PS_TKCO,$B24,PS_MONTH,AE$3)-AC26-SUMIFS(PS_SOTIEN,PS_TKNO,$B24,PS_MONTH,AE$3),0)</f>
        <v>#N/A</v>
      </c>
      <c r="AG26" s="630" t="str">
        <f t="shared" ref="AG26:AG27" si="304">IF(AE26+SUMIFS(PS_SOTIEN,PS_TKNO,$B24,PS_MONTH,AG$3)-AF26-SUMIFS(PS_SOTIEN,PS_TKCO,$B24,PS_MONTH,AG$3)&gt;0,AE26+SUMIFS(PS_SOTIEN,PS_TKNO,$B24,PS_MONTH,AG$3)-AF26-SUMIFS(PS_SOTIEN,PS_TKCO,$B24,PS_MONTH,AG$3),0)</f>
        <v>#N/A</v>
      </c>
      <c r="AH26" s="630" t="str">
        <f t="shared" ref="AH26:AH27" si="305">IF(AF26+SUMIFS(PS_SOTIEN,PS_TKCO,$B24,PS_MONTH,AG$3)-AE26-SUMIFS(PS_SOTIEN,PS_TKNO,$B24,PS_MONTH,AG$3)&gt;0,AF26+SUMIFS(PS_SOTIEN,PS_TKCO,$B24,PS_MONTH,AG$3)-AE26-SUMIFS(PS_SOTIEN,PS_TKNO,$B24,PS_MONTH,AG$3),0)</f>
        <v>#N/A</v>
      </c>
      <c r="AI26" s="630" t="str">
        <f t="shared" ref="AI26:AI27" si="306">IF(AG26+SUMIFS(PS_SOTIEN,PS_TKNO,$B24,PS_MONTH,AI$3)-AH26-SUMIFS(PS_SOTIEN,PS_TKCO,$B24,PS_MONTH,AI$3)&gt;0,AG26+SUMIFS(PS_SOTIEN,PS_TKNO,$B24,PS_MONTH,AI$3)-AH26-SUMIFS(PS_SOTIEN,PS_TKCO,$B24,PS_MONTH,AI$3),0)</f>
        <v>#N/A</v>
      </c>
      <c r="AJ26" s="630" t="str">
        <f t="shared" ref="AJ26:AJ27" si="307">IF(AH26+SUMIFS(PS_SOTIEN,PS_TKCO,$B24,PS_MONTH,AI$3)-AG26-SUMIFS(PS_SOTIEN,PS_TKNO,$B24,PS_MONTH,AI$3)&gt;0,AH26+SUMIFS(PS_SOTIEN,PS_TKCO,$B24,PS_MONTH,AI$3)-AG26-SUMIFS(PS_SOTIEN,PS_TKNO,$B24,PS_MONTH,AI$3),0)</f>
        <v>#N/A</v>
      </c>
      <c r="AK26" s="630" t="str">
        <f t="shared" ref="AK26:AK27" si="308">IF(AI26+SUMIFS(PS_SOTIEN,PS_TKNO,$B24,PS_MONTH,AK$3)-AJ26-SUMIFS(PS_SOTIEN,PS_TKCO,$B24,PS_MONTH,AK$3)&gt;0,AI26+SUMIFS(PS_SOTIEN,PS_TKNO,$B24,PS_MONTH,AK$3)-AJ26-SUMIFS(PS_SOTIEN,PS_TKCO,$B24,PS_MONTH,AK$3),0)</f>
        <v>#N/A</v>
      </c>
      <c r="AL26" s="630" t="str">
        <f t="shared" ref="AL26:AL27" si="309">IF(AJ26+SUMIFS(PS_SOTIEN,PS_TKCO,$B24,PS_MONTH,AK$3)-AI26-SUMIFS(PS_SOTIEN,PS_TKNO,$B24,PS_MONTH,AK$3)&gt;0,AJ26+SUMIFS(PS_SOTIEN,PS_TKCO,$B24,PS_MONTH,AK$3)-AI26-SUMIFS(PS_SOTIEN,PS_TKNO,$B24,PS_MONTH,AK$3),0)</f>
        <v>#N/A</v>
      </c>
      <c r="AM26" s="630" t="str">
        <f t="shared" ref="AM26:AM27" si="310">IF(AK26+SUMIFS(PS_SOTIEN,PS_TKNO,$B24,PS_MONTH,AM$3)-AL26-SUMIFS(PS_SOTIEN,PS_TKCO,$B24,PS_MONTH,AM$3)&gt;0,AK26+SUMIFS(PS_SOTIEN,PS_TKNO,$B24,PS_MONTH,AM$3)-AL26-SUMIFS(PS_SOTIEN,PS_TKCO,$B24,PS_MONTH,AM$3),0)</f>
        <v>#N/A</v>
      </c>
      <c r="AN26" s="630" t="str">
        <f t="shared" ref="AN26:AN27" si="311">IF(AL26+SUMIFS(PS_SOTIEN,PS_TKCO,$B24,PS_MONTH,AM$3)-AK26-SUMIFS(PS_SOTIEN,PS_TKNO,$B24,PS_MONTH,AM$3)&gt;0,AL26+SUMIFS(PS_SOTIEN,PS_TKCO,$B24,PS_MONTH,AM$3)-AK26-SUMIFS(PS_SOTIEN,PS_TKNO,$B24,PS_MONTH,AM$3),0)</f>
        <v>#N/A</v>
      </c>
      <c r="AO26" s="630" t="str">
        <f t="shared" ref="AO26:AO27" si="312">IF(AM26+SUMIFS(PS_SOTIEN,PS_TKNO,$B24,PS_MONTH,AO$3)-AN26-SUMIFS(PS_SOTIEN,PS_TKCO,$B24,PS_MONTH,AO$3)&gt;0,AM26+SUMIFS(PS_SOTIEN,PS_TKNO,$B24,PS_MONTH,AO$3)-AN26-SUMIFS(PS_SOTIEN,PS_TKCO,$B24,PS_MONTH,AO$3),0)</f>
        <v>#N/A</v>
      </c>
      <c r="AP26" s="630" t="str">
        <f t="shared" ref="AP26:AP27" si="313">IF(AN26+SUMIFS(PS_SOTIEN,PS_TKCO,$B24,PS_MONTH,AO$3)-AM26-SUMIFS(PS_SOTIEN,PS_TKNO,$B24,PS_MONTH,AO$3)&gt;0,AN26+SUMIFS(PS_SOTIEN,PS_TKCO,$B24,PS_MONTH,AO$3)-AM26-SUMIFS(PS_SOTIEN,PS_TKNO,$B24,PS_MONTH,AO$3),0)</f>
        <v>#N/A</v>
      </c>
      <c r="AQ26" s="630" t="str">
        <f t="shared" ref="AQ26:AQ27" si="314">IF(AO26+SUMIFS(PS_SOTIEN,PS_TKNO,$B24,PS_MONTH,AQ$3)-AP26-SUMIFS(PS_SOTIEN,PS_TKCO,$B24,PS_MONTH,AQ$3)&gt;0,AO26+SUMIFS(PS_SOTIEN,PS_TKNO,$B24,PS_MONTH,AQ$3)-AP26-SUMIFS(PS_SOTIEN,PS_TKCO,$B24,PS_MONTH,AQ$3),0)</f>
        <v>#N/A</v>
      </c>
      <c r="AR26" s="630" t="str">
        <f t="shared" ref="AR26:AR27" si="315">IF(AP26+SUMIFS(PS_SOTIEN,PS_TKCO,$B24,PS_MONTH,AQ$3)-AO26-SUMIFS(PS_SOTIEN,PS_TKNO,$B24,PS_MONTH,AQ$3)&gt;0,AP26+SUMIFS(PS_SOTIEN,PS_TKCO,$B24,PS_MONTH,AQ$3)-AO26-SUMIFS(PS_SOTIEN,PS_TKNO,$B24,PS_MONTH,AQ$3),0)</f>
        <v>#N/A</v>
      </c>
      <c r="AS26" s="630" t="str">
        <f t="shared" ref="AS26:AS27" si="316">IF(AQ26+SUMIFS(PS_SOTIEN,PS_TKNO,$B24,PS_MONTH,AS$3)-AR26-SUMIFS(PS_SOTIEN,PS_TKCO,$B24,PS_MONTH,AS$3)&gt;0,AQ26+SUMIFS(PS_SOTIEN,PS_TKNO,$B24,PS_MONTH,AS$3)-AR26-SUMIFS(PS_SOTIEN,PS_TKCO,$B24,PS_MONTH,AS$3),0)</f>
        <v>#N/A</v>
      </c>
      <c r="AT26" s="630" t="str">
        <f t="shared" ref="AT26:AT27" si="317">IF(AR26+SUMIFS(PS_SOTIEN,PS_TKCO,$B24,PS_MONTH,AS$3)-AQ26-SUMIFS(PS_SOTIEN,PS_TKNO,$B24,PS_MONTH,AS$3)&gt;0,AR26+SUMIFS(PS_SOTIEN,PS_TKCO,$B24,PS_MONTH,AS$3)-AQ26-SUMIFS(PS_SOTIEN,PS_TKNO,$B24,PS_MONTH,AS$3),0)</f>
        <v>#N/A</v>
      </c>
      <c r="AU26" s="630" t="str">
        <f t="shared" ref="AU26:AU27" si="318">IF(AS26+SUMIFS(PS_SOTIEN,PS_TKNO,$B24,PS_MONTH,AU$3)-AT26-SUMIFS(PS_SOTIEN,PS_TKCO,$B24,PS_MONTH,AU$3)&gt;0,AS26+SUMIFS(PS_SOTIEN,PS_TKNO,$B24,PS_MONTH,AU$3)-AT26-SUMIFS(PS_SOTIEN,PS_TKCO,$B24,PS_MONTH,AU$3),0)</f>
        <v>#N/A</v>
      </c>
      <c r="AV26" s="630" t="str">
        <f t="shared" ref="AV26:AV27" si="319">IF(AT26+SUMIFS(PS_SOTIEN,PS_TKCO,$B24,PS_MONTH,AU$3)-AS26-SUMIFS(PS_SOTIEN,PS_TKNO,$B24,PS_MONTH,AU$3)&gt;0,AT26+SUMIFS(PS_SOTIEN,PS_TKCO,$B24,PS_MONTH,AU$3)-AS26-SUMIFS(PS_SOTIEN,PS_TKNO,$B24,PS_MONTH,AU$3),0)</f>
        <v>#N/A</v>
      </c>
      <c r="AW26" s="630" t="str">
        <f t="shared" ref="AW26:AW27" si="320">IF(AU26+SUMIFS(PS_SOTIEN,PS_TKNO,$B24,PS_MONTH,AW$3)-AV26-SUMIFS(PS_SOTIEN,PS_TKCO,$B24,PS_MONTH,AW$3)&gt;0,AU26+SUMIFS(PS_SOTIEN,PS_TKNO,$B24,PS_MONTH,AW$3)-AV26-SUMIFS(PS_SOTIEN,PS_TKCO,$B24,PS_MONTH,AW$3),0)</f>
        <v>#N/A</v>
      </c>
      <c r="AX26" s="630" t="str">
        <f t="shared" ref="AX26:AX27" si="321">IF(AV26+SUMIFS(PS_SOTIEN,PS_TKCO,$B24,PS_MONTH,AW$3)-AU26-SUMIFS(PS_SOTIEN,PS_TKNO,$B24,PS_MONTH,AW$3)&gt;0,AV26+SUMIFS(PS_SOTIEN,PS_TKCO,$B24,PS_MONTH,AW$3)-AU26-SUMIFS(PS_SOTIEN,PS_TKNO,$B24,PS_MONTH,AW$3),0)</f>
        <v>#N/A</v>
      </c>
    </row>
    <row r="27">
      <c r="A27" s="1448"/>
      <c r="B27" s="1440"/>
      <c r="C27" s="1449" t="s">
        <v>3013</v>
      </c>
      <c r="D27" s="1433" t="s">
        <v>3014</v>
      </c>
      <c r="E27" s="1450"/>
      <c r="F27" s="1450"/>
      <c r="G27" s="1450">
        <f>SUMIF(AC_TKNO,$C27,AC_SOTIEN)</f>
        <v>0</v>
      </c>
      <c r="H27" s="1450">
        <f>SUMIF(AC_TKCO,$C27,AC_SOTIEN)</f>
        <v>0</v>
      </c>
      <c r="I27" s="1450" t="str">
        <f t="shared" ref="I27:I28" si="322">IF(E27+G27-F27-H27&gt;0,E27+G27-F27-H27,"-")</f>
        <v>-</v>
      </c>
      <c r="J27" s="1450" t="str">
        <f t="shared" ref="J27:J28" si="323">IF(F27+H27-E27-G27&gt;0,F27+H27-E27-G27,"-")</f>
        <v>-</v>
      </c>
      <c r="K27" s="1443"/>
      <c r="L27" s="1443"/>
      <c r="M27" s="1444" t="str">
        <f t="shared" ref="M27:N27" si="291">S27</f>
        <v>#N/A</v>
      </c>
      <c r="N27" s="1444" t="str">
        <f t="shared" si="291"/>
        <v>#N/A</v>
      </c>
      <c r="O27" s="1444" t="str">
        <f t="shared" ref="O27:P27" si="292">W27</f>
        <v>#N/A</v>
      </c>
      <c r="P27" s="1444" t="str">
        <f t="shared" si="292"/>
        <v>#N/A</v>
      </c>
      <c r="Q27" s="1445" t="str">
        <f t="shared" ref="Q27:R27" si="293">AE27</f>
        <v>#N/A</v>
      </c>
      <c r="R27" s="1445" t="str">
        <f t="shared" si="293"/>
        <v>#N/A</v>
      </c>
      <c r="S27" s="1445" t="str">
        <f t="shared" ref="S27:T27" si="294">AK27</f>
        <v>#N/A</v>
      </c>
      <c r="T27" s="1445" t="str">
        <f t="shared" si="294"/>
        <v>#N/A</v>
      </c>
      <c r="U27" s="1445" t="str">
        <f t="shared" ref="U27:V27" si="295">AQ27</f>
        <v>#N/A</v>
      </c>
      <c r="V27" s="1445" t="str">
        <f t="shared" si="295"/>
        <v>#N/A</v>
      </c>
      <c r="W27" s="1445" t="str">
        <f t="shared" ref="W27:X27" si="296">AW27</f>
        <v>#N/A</v>
      </c>
      <c r="X27" s="1445" t="str">
        <f t="shared" si="296"/>
        <v>#N/A</v>
      </c>
      <c r="Y27" s="630" t="str">
        <f t="shared" ref="Y27:Z27" si="297">E27</f>
        <v/>
      </c>
      <c r="Z27" s="630" t="str">
        <f t="shared" si="297"/>
        <v/>
      </c>
      <c r="AA27" s="630" t="str">
        <f t="shared" si="298"/>
        <v>#N/A</v>
      </c>
      <c r="AB27" s="630" t="str">
        <f t="shared" si="299"/>
        <v>#N/A</v>
      </c>
      <c r="AC27" s="630" t="str">
        <f t="shared" si="300"/>
        <v>#N/A</v>
      </c>
      <c r="AD27" s="630" t="str">
        <f t="shared" si="301"/>
        <v>#N/A</v>
      </c>
      <c r="AE27" s="630" t="str">
        <f t="shared" si="302"/>
        <v>#N/A</v>
      </c>
      <c r="AF27" s="630" t="str">
        <f t="shared" si="303"/>
        <v>#N/A</v>
      </c>
      <c r="AG27" s="630" t="str">
        <f t="shared" si="304"/>
        <v>#N/A</v>
      </c>
      <c r="AH27" s="630" t="str">
        <f t="shared" si="305"/>
        <v>#N/A</v>
      </c>
      <c r="AI27" s="630" t="str">
        <f t="shared" si="306"/>
        <v>#N/A</v>
      </c>
      <c r="AJ27" s="630" t="str">
        <f t="shared" si="307"/>
        <v>#N/A</v>
      </c>
      <c r="AK27" s="630" t="str">
        <f t="shared" si="308"/>
        <v>#N/A</v>
      </c>
      <c r="AL27" s="630" t="str">
        <f t="shared" si="309"/>
        <v>#N/A</v>
      </c>
      <c r="AM27" s="630" t="str">
        <f t="shared" si="310"/>
        <v>#N/A</v>
      </c>
      <c r="AN27" s="630" t="str">
        <f t="shared" si="311"/>
        <v>#N/A</v>
      </c>
      <c r="AO27" s="630" t="str">
        <f t="shared" si="312"/>
        <v>#N/A</v>
      </c>
      <c r="AP27" s="630" t="str">
        <f t="shared" si="313"/>
        <v>#N/A</v>
      </c>
      <c r="AQ27" s="630" t="str">
        <f t="shared" si="314"/>
        <v>#N/A</v>
      </c>
      <c r="AR27" s="630" t="str">
        <f t="shared" si="315"/>
        <v>#N/A</v>
      </c>
      <c r="AS27" s="630" t="str">
        <f t="shared" si="316"/>
        <v>#N/A</v>
      </c>
      <c r="AT27" s="630" t="str">
        <f t="shared" si="317"/>
        <v>#N/A</v>
      </c>
      <c r="AU27" s="630" t="str">
        <f t="shared" si="318"/>
        <v>#N/A</v>
      </c>
      <c r="AV27" s="630" t="str">
        <f t="shared" si="319"/>
        <v>#N/A</v>
      </c>
      <c r="AW27" s="630" t="str">
        <f t="shared" si="320"/>
        <v>#N/A</v>
      </c>
      <c r="AX27" s="630" t="str">
        <f t="shared" si="321"/>
        <v>#N/A</v>
      </c>
    </row>
    <row r="28" collapsed="1">
      <c r="A28" s="1448"/>
      <c r="B28" s="1440"/>
      <c r="C28" s="1449" t="s">
        <v>3015</v>
      </c>
      <c r="D28" s="1433" t="s">
        <v>3016</v>
      </c>
      <c r="E28" s="1450"/>
      <c r="F28" s="1450"/>
      <c r="G28" s="1450">
        <f>SUMIF(AC_TKNO,$C28,AC_SOTIEN)</f>
        <v>0</v>
      </c>
      <c r="H28" s="1450">
        <f>SUMIF(AC_TKCO,$C28,AC_SOTIEN)</f>
        <v>0</v>
      </c>
      <c r="I28" s="1450" t="str">
        <f t="shared" si="322"/>
        <v>-</v>
      </c>
      <c r="J28" s="1450" t="str">
        <f t="shared" si="323"/>
        <v>-</v>
      </c>
      <c r="K28" s="1443"/>
      <c r="L28" s="1443"/>
      <c r="M28" s="1444" t="str">
        <f t="shared" ref="M28:N28" si="324">S28</f>
        <v>#N/A</v>
      </c>
      <c r="N28" s="1444" t="str">
        <f t="shared" si="324"/>
        <v>#N/A</v>
      </c>
      <c r="O28" s="1444" t="str">
        <f t="shared" ref="O28:P28" si="325">W28</f>
        <v>#N/A</v>
      </c>
      <c r="P28" s="1444" t="str">
        <f t="shared" si="325"/>
        <v>#N/A</v>
      </c>
      <c r="Q28" s="1445" t="str">
        <f t="shared" ref="Q28:R28" si="326">AE28</f>
        <v>#N/A</v>
      </c>
      <c r="R28" s="1445" t="str">
        <f t="shared" si="326"/>
        <v>#N/A</v>
      </c>
      <c r="S28" s="1445" t="str">
        <f t="shared" ref="S28:T28" si="327">AK28</f>
        <v>#N/A</v>
      </c>
      <c r="T28" s="1445" t="str">
        <f t="shared" si="327"/>
        <v>#N/A</v>
      </c>
      <c r="U28" s="1445" t="str">
        <f t="shared" ref="U28:V28" si="328">AQ28</f>
        <v>#N/A</v>
      </c>
      <c r="V28" s="1445" t="str">
        <f t="shared" si="328"/>
        <v>#N/A</v>
      </c>
      <c r="W28" s="1445" t="str">
        <f t="shared" ref="W28:X28" si="329">AW28</f>
        <v>#N/A</v>
      </c>
      <c r="X28" s="1445" t="str">
        <f t="shared" si="329"/>
        <v>#N/A</v>
      </c>
      <c r="Y28" s="1447">
        <f t="shared" ref="Y28:AX28" si="330">SUM(Y29:Y33)</f>
        <v>0</v>
      </c>
      <c r="Z28" s="1447">
        <f t="shared" si="330"/>
        <v>0</v>
      </c>
      <c r="AA28" s="1447" t="str">
        <f t="shared" si="330"/>
        <v>#N/A</v>
      </c>
      <c r="AB28" s="1447" t="str">
        <f t="shared" si="330"/>
        <v>#N/A</v>
      </c>
      <c r="AC28" s="1447" t="str">
        <f t="shared" si="330"/>
        <v>#N/A</v>
      </c>
      <c r="AD28" s="1447" t="str">
        <f t="shared" si="330"/>
        <v>#N/A</v>
      </c>
      <c r="AE28" s="1447" t="str">
        <f t="shared" si="330"/>
        <v>#N/A</v>
      </c>
      <c r="AF28" s="1447" t="str">
        <f t="shared" si="330"/>
        <v>#N/A</v>
      </c>
      <c r="AG28" s="1447" t="str">
        <f t="shared" si="330"/>
        <v>#N/A</v>
      </c>
      <c r="AH28" s="1447" t="str">
        <f t="shared" si="330"/>
        <v>#N/A</v>
      </c>
      <c r="AI28" s="1447" t="str">
        <f t="shared" si="330"/>
        <v>#N/A</v>
      </c>
      <c r="AJ28" s="1447" t="str">
        <f t="shared" si="330"/>
        <v>#N/A</v>
      </c>
      <c r="AK28" s="1447" t="str">
        <f t="shared" si="330"/>
        <v>#N/A</v>
      </c>
      <c r="AL28" s="1447" t="str">
        <f t="shared" si="330"/>
        <v>#N/A</v>
      </c>
      <c r="AM28" s="1447" t="str">
        <f t="shared" si="330"/>
        <v>#N/A</v>
      </c>
      <c r="AN28" s="1447" t="str">
        <f t="shared" si="330"/>
        <v>#N/A</v>
      </c>
      <c r="AO28" s="1447" t="str">
        <f t="shared" si="330"/>
        <v>#N/A</v>
      </c>
      <c r="AP28" s="1447" t="str">
        <f t="shared" si="330"/>
        <v>#N/A</v>
      </c>
      <c r="AQ28" s="1447" t="str">
        <f t="shared" si="330"/>
        <v>#N/A</v>
      </c>
      <c r="AR28" s="1447" t="str">
        <f t="shared" si="330"/>
        <v>#N/A</v>
      </c>
      <c r="AS28" s="1447" t="str">
        <f t="shared" si="330"/>
        <v>#N/A</v>
      </c>
      <c r="AT28" s="1447" t="str">
        <f t="shared" si="330"/>
        <v>#N/A</v>
      </c>
      <c r="AU28" s="1447" t="str">
        <f t="shared" si="330"/>
        <v>#N/A</v>
      </c>
      <c r="AV28" s="1447" t="str">
        <f t="shared" si="330"/>
        <v>#N/A</v>
      </c>
      <c r="AW28" s="1447" t="str">
        <f t="shared" si="330"/>
        <v>#N/A</v>
      </c>
      <c r="AX28" s="1447" t="str">
        <f t="shared" si="330"/>
        <v>#N/A</v>
      </c>
    </row>
    <row r="29" hidden="1" outlineLevel="1">
      <c r="A29" s="1452" t="s">
        <v>2986</v>
      </c>
      <c r="B29" s="1439" t="s">
        <v>3017</v>
      </c>
      <c r="C29" s="1440"/>
      <c r="D29" s="1441" t="s">
        <v>3018</v>
      </c>
      <c r="E29" s="1442">
        <f t="shared" ref="E29:J29" si="331">SUM(E30:E33)</f>
        <v>0</v>
      </c>
      <c r="F29" s="1442">
        <f t="shared" si="331"/>
        <v>0</v>
      </c>
      <c r="G29" s="1442">
        <f t="shared" si="331"/>
        <v>0</v>
      </c>
      <c r="H29" s="1442">
        <f t="shared" si="331"/>
        <v>0</v>
      </c>
      <c r="I29" s="1442">
        <f t="shared" si="331"/>
        <v>0</v>
      </c>
      <c r="J29" s="1442">
        <f t="shared" si="331"/>
        <v>0</v>
      </c>
      <c r="K29" s="1443"/>
      <c r="L29" s="1443"/>
      <c r="M29" s="1444" t="str">
        <f t="shared" ref="M29:N29" si="332">S29</f>
        <v>#N/A</v>
      </c>
      <c r="N29" s="1444" t="str">
        <f t="shared" si="332"/>
        <v>#N/A</v>
      </c>
      <c r="O29" s="1444" t="str">
        <f t="shared" ref="O29:P29" si="333">W29</f>
        <v>#N/A</v>
      </c>
      <c r="P29" s="1444" t="str">
        <f t="shared" si="333"/>
        <v>#N/A</v>
      </c>
      <c r="Q29" s="1445" t="str">
        <f t="shared" ref="Q29:R29" si="334">AE29</f>
        <v>#N/A</v>
      </c>
      <c r="R29" s="1445" t="str">
        <f t="shared" si="334"/>
        <v>#N/A</v>
      </c>
      <c r="S29" s="1445" t="str">
        <f t="shared" ref="S29:T29" si="335">AK29</f>
        <v>#N/A</v>
      </c>
      <c r="T29" s="1445" t="str">
        <f t="shared" si="335"/>
        <v>#N/A</v>
      </c>
      <c r="U29" s="1445" t="str">
        <f t="shared" ref="U29:V29" si="336">AQ29</f>
        <v>#N/A</v>
      </c>
      <c r="V29" s="1445" t="str">
        <f t="shared" si="336"/>
        <v>#N/A</v>
      </c>
      <c r="W29" s="1445" t="str">
        <f t="shared" ref="W29:X29" si="337">AW29</f>
        <v>#N/A</v>
      </c>
      <c r="X29" s="1445" t="str">
        <f t="shared" si="337"/>
        <v>#N/A</v>
      </c>
      <c r="Y29" s="630">
        <f t="shared" ref="Y29:Z29" si="338">E29</f>
        <v>0</v>
      </c>
      <c r="Z29" s="630">
        <f t="shared" si="338"/>
        <v>0</v>
      </c>
      <c r="AA29" s="630" t="str">
        <f t="shared" ref="AA29:AA33" si="346">IF(Y29+SUMIFS(PS_SOTIEN,PS_TKNO,$B27,PS_MONTH,AA$3)-Z29-SUMIFS(PS_SOTIEN,PS_TKCO,$B27,PS_MONTH,AA$3)&gt;0,Y29+SUMIFS(PS_SOTIEN,PS_TKNO,$B27,PS_MONTH,AA$3)-Z29-SUMIFS(PS_SOTIEN,PS_TKCO,$B27,PS_MONTH,AA$3),0)</f>
        <v>#N/A</v>
      </c>
      <c r="AB29" s="630" t="str">
        <f t="shared" ref="AB29:AB33" si="347">IF(Z29+SUMIFS(PS_SOTIEN,PS_TKCO,$B27,PS_MONTH,AA$3)-Y29-SUMIFS(PS_SOTIEN,PS_TKNO,$B27,PS_MONTH,AA$3)&gt;0,Z29+SUMIFS(PS_SOTIEN,PS_TKCO,$B27,PS_MONTH,AA$3)-Y29-SUMIFS(PS_SOTIEN,PS_TKNO,$B27,PS_MONTH,AA$3),0)</f>
        <v>#N/A</v>
      </c>
      <c r="AC29" s="630" t="str">
        <f t="shared" ref="AC29:AC33" si="348">IF(AA29+SUMIFS(PS_SOTIEN,PS_TKNO,$B27,PS_MONTH,AC$3)-AB29-SUMIFS(PS_SOTIEN,PS_TKCO,$B27,PS_MONTH,AC$3)&gt;0,AA29+SUMIFS(PS_SOTIEN,PS_TKNO,$B27,PS_MONTH,AC$3)-AB29-SUMIFS(PS_SOTIEN,PS_TKCO,$B27,PS_MONTH,AC$3),0)</f>
        <v>#N/A</v>
      </c>
      <c r="AD29" s="630" t="str">
        <f t="shared" ref="AD29:AD33" si="349">IF(AB29+SUMIFS(PS_SOTIEN,PS_TKCO,$B27,PS_MONTH,AC$3)-AA29-SUMIFS(PS_SOTIEN,PS_TKNO,$B27,PS_MONTH,AC$3)&gt;0,AB29+SUMIFS(PS_SOTIEN,PS_TKCO,$B27,PS_MONTH,AC$3)-AA29-SUMIFS(PS_SOTIEN,PS_TKNO,$B27,PS_MONTH,AC$3),0)</f>
        <v>#N/A</v>
      </c>
      <c r="AE29" s="630" t="str">
        <f t="shared" ref="AE29:AE33" si="350">IF(AC29+SUMIFS(PS_SOTIEN,PS_TKNO,$B27,PS_MONTH,AE$3)-AD29-SUMIFS(PS_SOTIEN,PS_TKCO,$B27,PS_MONTH,AE$3)&gt;0,AC29+SUMIFS(PS_SOTIEN,PS_TKNO,$B27,PS_MONTH,AE$3)-AD29-SUMIFS(PS_SOTIEN,PS_TKCO,$B27,PS_MONTH,AE$3),0)</f>
        <v>#N/A</v>
      </c>
      <c r="AF29" s="630" t="str">
        <f t="shared" ref="AF29:AF33" si="351">IF(AD29+SUMIFS(PS_SOTIEN,PS_TKCO,$B27,PS_MONTH,AE$3)-AC29-SUMIFS(PS_SOTIEN,PS_TKNO,$B27,PS_MONTH,AE$3)&gt;0,AD29+SUMIFS(PS_SOTIEN,PS_TKCO,$B27,PS_MONTH,AE$3)-AC29-SUMIFS(PS_SOTIEN,PS_TKNO,$B27,PS_MONTH,AE$3),0)</f>
        <v>#N/A</v>
      </c>
      <c r="AG29" s="630" t="str">
        <f t="shared" ref="AG29:AG33" si="352">IF(AE29+SUMIFS(PS_SOTIEN,PS_TKNO,$B27,PS_MONTH,AG$3)-AF29-SUMIFS(PS_SOTIEN,PS_TKCO,$B27,PS_MONTH,AG$3)&gt;0,AE29+SUMIFS(PS_SOTIEN,PS_TKNO,$B27,PS_MONTH,AG$3)-AF29-SUMIFS(PS_SOTIEN,PS_TKCO,$B27,PS_MONTH,AG$3),0)</f>
        <v>#N/A</v>
      </c>
      <c r="AH29" s="630" t="str">
        <f t="shared" ref="AH29:AH33" si="353">IF(AF29+SUMIFS(PS_SOTIEN,PS_TKCO,$B27,PS_MONTH,AG$3)-AE29-SUMIFS(PS_SOTIEN,PS_TKNO,$B27,PS_MONTH,AG$3)&gt;0,AF29+SUMIFS(PS_SOTIEN,PS_TKCO,$B27,PS_MONTH,AG$3)-AE29-SUMIFS(PS_SOTIEN,PS_TKNO,$B27,PS_MONTH,AG$3),0)</f>
        <v>#N/A</v>
      </c>
      <c r="AI29" s="630" t="str">
        <f t="shared" ref="AI29:AI33" si="354">IF(AG29+SUMIFS(PS_SOTIEN,PS_TKNO,$B27,PS_MONTH,AI$3)-AH29-SUMIFS(PS_SOTIEN,PS_TKCO,$B27,PS_MONTH,AI$3)&gt;0,AG29+SUMIFS(PS_SOTIEN,PS_TKNO,$B27,PS_MONTH,AI$3)-AH29-SUMIFS(PS_SOTIEN,PS_TKCO,$B27,PS_MONTH,AI$3),0)</f>
        <v>#N/A</v>
      </c>
      <c r="AJ29" s="630" t="str">
        <f t="shared" ref="AJ29:AJ33" si="355">IF(AH29+SUMIFS(PS_SOTIEN,PS_TKCO,$B27,PS_MONTH,AI$3)-AG29-SUMIFS(PS_SOTIEN,PS_TKNO,$B27,PS_MONTH,AI$3)&gt;0,AH29+SUMIFS(PS_SOTIEN,PS_TKCO,$B27,PS_MONTH,AI$3)-AG29-SUMIFS(PS_SOTIEN,PS_TKNO,$B27,PS_MONTH,AI$3),0)</f>
        <v>#N/A</v>
      </c>
      <c r="AK29" s="630" t="str">
        <f t="shared" ref="AK29:AK33" si="356">IF(AI29+SUMIFS(PS_SOTIEN,PS_TKNO,$B27,PS_MONTH,AK$3)-AJ29-SUMIFS(PS_SOTIEN,PS_TKCO,$B27,PS_MONTH,AK$3)&gt;0,AI29+SUMIFS(PS_SOTIEN,PS_TKNO,$B27,PS_MONTH,AK$3)-AJ29-SUMIFS(PS_SOTIEN,PS_TKCO,$B27,PS_MONTH,AK$3),0)</f>
        <v>#N/A</v>
      </c>
      <c r="AL29" s="630" t="str">
        <f t="shared" ref="AL29:AL33" si="357">IF(AJ29+SUMIFS(PS_SOTIEN,PS_TKCO,$B27,PS_MONTH,AK$3)-AI29-SUMIFS(PS_SOTIEN,PS_TKNO,$B27,PS_MONTH,AK$3)&gt;0,AJ29+SUMIFS(PS_SOTIEN,PS_TKCO,$B27,PS_MONTH,AK$3)-AI29-SUMIFS(PS_SOTIEN,PS_TKNO,$B27,PS_MONTH,AK$3),0)</f>
        <v>#N/A</v>
      </c>
      <c r="AM29" s="630" t="str">
        <f t="shared" ref="AM29:AM33" si="358">IF(AK29+SUMIFS(PS_SOTIEN,PS_TKNO,$B27,PS_MONTH,AM$3)-AL29-SUMIFS(PS_SOTIEN,PS_TKCO,$B27,PS_MONTH,AM$3)&gt;0,AK29+SUMIFS(PS_SOTIEN,PS_TKNO,$B27,PS_MONTH,AM$3)-AL29-SUMIFS(PS_SOTIEN,PS_TKCO,$B27,PS_MONTH,AM$3),0)</f>
        <v>#N/A</v>
      </c>
      <c r="AN29" s="630" t="str">
        <f t="shared" ref="AN29:AN33" si="359">IF(AL29+SUMIFS(PS_SOTIEN,PS_TKCO,$B27,PS_MONTH,AM$3)-AK29-SUMIFS(PS_SOTIEN,PS_TKNO,$B27,PS_MONTH,AM$3)&gt;0,AL29+SUMIFS(PS_SOTIEN,PS_TKCO,$B27,PS_MONTH,AM$3)-AK29-SUMIFS(PS_SOTIEN,PS_TKNO,$B27,PS_MONTH,AM$3),0)</f>
        <v>#N/A</v>
      </c>
      <c r="AO29" s="630" t="str">
        <f t="shared" ref="AO29:AO33" si="360">IF(AM29+SUMIFS(PS_SOTIEN,PS_TKNO,$B27,PS_MONTH,AO$3)-AN29-SUMIFS(PS_SOTIEN,PS_TKCO,$B27,PS_MONTH,AO$3)&gt;0,AM29+SUMIFS(PS_SOTIEN,PS_TKNO,$B27,PS_MONTH,AO$3)-AN29-SUMIFS(PS_SOTIEN,PS_TKCO,$B27,PS_MONTH,AO$3),0)</f>
        <v>#N/A</v>
      </c>
      <c r="AP29" s="630" t="str">
        <f t="shared" ref="AP29:AP33" si="361">IF(AN29+SUMIFS(PS_SOTIEN,PS_TKCO,$B27,PS_MONTH,AO$3)-AM29-SUMIFS(PS_SOTIEN,PS_TKNO,$B27,PS_MONTH,AO$3)&gt;0,AN29+SUMIFS(PS_SOTIEN,PS_TKCO,$B27,PS_MONTH,AO$3)-AM29-SUMIFS(PS_SOTIEN,PS_TKNO,$B27,PS_MONTH,AO$3),0)</f>
        <v>#N/A</v>
      </c>
      <c r="AQ29" s="630" t="str">
        <f t="shared" ref="AQ29:AQ33" si="362">IF(AO29+SUMIFS(PS_SOTIEN,PS_TKNO,$B27,PS_MONTH,AQ$3)-AP29-SUMIFS(PS_SOTIEN,PS_TKCO,$B27,PS_MONTH,AQ$3)&gt;0,AO29+SUMIFS(PS_SOTIEN,PS_TKNO,$B27,PS_MONTH,AQ$3)-AP29-SUMIFS(PS_SOTIEN,PS_TKCO,$B27,PS_MONTH,AQ$3),0)</f>
        <v>#N/A</v>
      </c>
      <c r="AR29" s="630" t="str">
        <f t="shared" ref="AR29:AR33" si="363">IF(AP29+SUMIFS(PS_SOTIEN,PS_TKCO,$B27,PS_MONTH,AQ$3)-AO29-SUMIFS(PS_SOTIEN,PS_TKNO,$B27,PS_MONTH,AQ$3)&gt;0,AP29+SUMIFS(PS_SOTIEN,PS_TKCO,$B27,PS_MONTH,AQ$3)-AO29-SUMIFS(PS_SOTIEN,PS_TKNO,$B27,PS_MONTH,AQ$3),0)</f>
        <v>#N/A</v>
      </c>
      <c r="AS29" s="630" t="str">
        <f t="shared" ref="AS29:AS33" si="364">IF(AQ29+SUMIFS(PS_SOTIEN,PS_TKNO,$B27,PS_MONTH,AS$3)-AR29-SUMIFS(PS_SOTIEN,PS_TKCO,$B27,PS_MONTH,AS$3)&gt;0,AQ29+SUMIFS(PS_SOTIEN,PS_TKNO,$B27,PS_MONTH,AS$3)-AR29-SUMIFS(PS_SOTIEN,PS_TKCO,$B27,PS_MONTH,AS$3),0)</f>
        <v>#N/A</v>
      </c>
      <c r="AT29" s="630" t="str">
        <f t="shared" ref="AT29:AT33" si="365">IF(AR29+SUMIFS(PS_SOTIEN,PS_TKCO,$B27,PS_MONTH,AS$3)-AQ29-SUMIFS(PS_SOTIEN,PS_TKNO,$B27,PS_MONTH,AS$3)&gt;0,AR29+SUMIFS(PS_SOTIEN,PS_TKCO,$B27,PS_MONTH,AS$3)-AQ29-SUMIFS(PS_SOTIEN,PS_TKNO,$B27,PS_MONTH,AS$3),0)</f>
        <v>#N/A</v>
      </c>
      <c r="AU29" s="630" t="str">
        <f t="shared" ref="AU29:AU33" si="366">IF(AS29+SUMIFS(PS_SOTIEN,PS_TKNO,$B27,PS_MONTH,AU$3)-AT29-SUMIFS(PS_SOTIEN,PS_TKCO,$B27,PS_MONTH,AU$3)&gt;0,AS29+SUMIFS(PS_SOTIEN,PS_TKNO,$B27,PS_MONTH,AU$3)-AT29-SUMIFS(PS_SOTIEN,PS_TKCO,$B27,PS_MONTH,AU$3),0)</f>
        <v>#N/A</v>
      </c>
      <c r="AV29" s="630" t="str">
        <f t="shared" ref="AV29:AV33" si="367">IF(AT29+SUMIFS(PS_SOTIEN,PS_TKCO,$B27,PS_MONTH,AU$3)-AS29-SUMIFS(PS_SOTIEN,PS_TKNO,$B27,PS_MONTH,AU$3)&gt;0,AT29+SUMIFS(PS_SOTIEN,PS_TKCO,$B27,PS_MONTH,AU$3)-AS29-SUMIFS(PS_SOTIEN,PS_TKNO,$B27,PS_MONTH,AU$3),0)</f>
        <v>#N/A</v>
      </c>
      <c r="AW29" s="630" t="str">
        <f t="shared" ref="AW29:AW33" si="368">IF(AU29+SUMIFS(PS_SOTIEN,PS_TKNO,$B27,PS_MONTH,AW$3)-AV29-SUMIFS(PS_SOTIEN,PS_TKCO,$B27,PS_MONTH,AW$3)&gt;0,AU29+SUMIFS(PS_SOTIEN,PS_TKNO,$B27,PS_MONTH,AW$3)-AV29-SUMIFS(PS_SOTIEN,PS_TKCO,$B27,PS_MONTH,AW$3),0)</f>
        <v>#N/A</v>
      </c>
      <c r="AX29" s="630" t="str">
        <f t="shared" ref="AX29:AX33" si="369">IF(AV29+SUMIFS(PS_SOTIEN,PS_TKCO,$B27,PS_MONTH,AW$3)-AU29-SUMIFS(PS_SOTIEN,PS_TKNO,$B27,PS_MONTH,AW$3)&gt;0,AV29+SUMIFS(PS_SOTIEN,PS_TKCO,$B27,PS_MONTH,AW$3)-AU29-SUMIFS(PS_SOTIEN,PS_TKNO,$B27,PS_MONTH,AW$3),0)</f>
        <v>#N/A</v>
      </c>
    </row>
    <row r="30" hidden="1" outlineLevel="1">
      <c r="A30" s="1448"/>
      <c r="B30" s="1440"/>
      <c r="C30" s="1449" t="s">
        <v>1351</v>
      </c>
      <c r="D30" s="1433" t="s">
        <v>3019</v>
      </c>
      <c r="E30" s="1450"/>
      <c r="F30" s="1450"/>
      <c r="G30" s="1450">
        <f>SUMIF(AC_TKNO,$C30,AC_SOTIEN)</f>
        <v>0</v>
      </c>
      <c r="H30" s="1450">
        <f>SUMIF(AC_TKCO,$C30,AC_SOTIEN)</f>
        <v>0</v>
      </c>
      <c r="I30" s="1450" t="str">
        <f t="shared" ref="I30:I33" si="370">IF(E30+G30-F30-H30&gt;0,E30+G30-F30-H30,"-")</f>
        <v>-</v>
      </c>
      <c r="J30" s="1450" t="str">
        <f t="shared" ref="J30:J33" si="371">IF(F30+H30-E30-G30&gt;0,F30+H30-E30-G30,"-")</f>
        <v>-</v>
      </c>
      <c r="K30" s="1443"/>
      <c r="L30" s="1443"/>
      <c r="M30" s="1444" t="str">
        <f t="shared" ref="M30:N30" si="339">S30</f>
        <v>#N/A</v>
      </c>
      <c r="N30" s="1444" t="str">
        <f t="shared" si="339"/>
        <v>#N/A</v>
      </c>
      <c r="O30" s="1444" t="str">
        <f t="shared" ref="O30:P30" si="340">W30</f>
        <v>#N/A</v>
      </c>
      <c r="P30" s="1444" t="str">
        <f t="shared" si="340"/>
        <v>#N/A</v>
      </c>
      <c r="Q30" s="1445" t="str">
        <f t="shared" ref="Q30:R30" si="341">AE30</f>
        <v>#N/A</v>
      </c>
      <c r="R30" s="1445" t="str">
        <f t="shared" si="341"/>
        <v>#N/A</v>
      </c>
      <c r="S30" s="1445" t="str">
        <f t="shared" ref="S30:T30" si="342">AK30</f>
        <v>#N/A</v>
      </c>
      <c r="T30" s="1445" t="str">
        <f t="shared" si="342"/>
        <v>#N/A</v>
      </c>
      <c r="U30" s="1445" t="str">
        <f t="shared" ref="U30:V30" si="343">AQ30</f>
        <v>#N/A</v>
      </c>
      <c r="V30" s="1445" t="str">
        <f t="shared" si="343"/>
        <v>#N/A</v>
      </c>
      <c r="W30" s="1445" t="str">
        <f t="shared" ref="W30:X30" si="344">AW30</f>
        <v>#N/A</v>
      </c>
      <c r="X30" s="1445" t="str">
        <f t="shared" si="344"/>
        <v>#N/A</v>
      </c>
      <c r="Y30" s="630" t="str">
        <f t="shared" ref="Y30:Z30" si="345">E30</f>
        <v/>
      </c>
      <c r="Z30" s="630" t="str">
        <f t="shared" si="345"/>
        <v/>
      </c>
      <c r="AA30" s="630" t="str">
        <f t="shared" si="346"/>
        <v>#N/A</v>
      </c>
      <c r="AB30" s="630" t="str">
        <f t="shared" si="347"/>
        <v>#N/A</v>
      </c>
      <c r="AC30" s="630" t="str">
        <f t="shared" si="348"/>
        <v>#N/A</v>
      </c>
      <c r="AD30" s="630" t="str">
        <f t="shared" si="349"/>
        <v>#N/A</v>
      </c>
      <c r="AE30" s="630" t="str">
        <f t="shared" si="350"/>
        <v>#N/A</v>
      </c>
      <c r="AF30" s="630" t="str">
        <f t="shared" si="351"/>
        <v>#N/A</v>
      </c>
      <c r="AG30" s="630" t="str">
        <f t="shared" si="352"/>
        <v>#N/A</v>
      </c>
      <c r="AH30" s="630" t="str">
        <f t="shared" si="353"/>
        <v>#N/A</v>
      </c>
      <c r="AI30" s="630" t="str">
        <f t="shared" si="354"/>
        <v>#N/A</v>
      </c>
      <c r="AJ30" s="630" t="str">
        <f t="shared" si="355"/>
        <v>#N/A</v>
      </c>
      <c r="AK30" s="630" t="str">
        <f t="shared" si="356"/>
        <v>#N/A</v>
      </c>
      <c r="AL30" s="630" t="str">
        <f t="shared" si="357"/>
        <v>#N/A</v>
      </c>
      <c r="AM30" s="630" t="str">
        <f t="shared" si="358"/>
        <v>#N/A</v>
      </c>
      <c r="AN30" s="630" t="str">
        <f t="shared" si="359"/>
        <v>#N/A</v>
      </c>
      <c r="AO30" s="630" t="str">
        <f t="shared" si="360"/>
        <v>#N/A</v>
      </c>
      <c r="AP30" s="630" t="str">
        <f t="shared" si="361"/>
        <v>#N/A</v>
      </c>
      <c r="AQ30" s="630" t="str">
        <f t="shared" si="362"/>
        <v>#N/A</v>
      </c>
      <c r="AR30" s="630" t="str">
        <f t="shared" si="363"/>
        <v>#N/A</v>
      </c>
      <c r="AS30" s="630" t="str">
        <f t="shared" si="364"/>
        <v>#N/A</v>
      </c>
      <c r="AT30" s="630" t="str">
        <f t="shared" si="365"/>
        <v>#N/A</v>
      </c>
      <c r="AU30" s="630" t="str">
        <f t="shared" si="366"/>
        <v>#N/A</v>
      </c>
      <c r="AV30" s="630" t="str">
        <f t="shared" si="367"/>
        <v>#N/A</v>
      </c>
      <c r="AW30" s="630" t="str">
        <f t="shared" si="368"/>
        <v>#N/A</v>
      </c>
      <c r="AX30" s="630" t="str">
        <f t="shared" si="369"/>
        <v>#N/A</v>
      </c>
    </row>
    <row r="31" hidden="1" outlineLevel="1">
      <c r="A31" s="1448"/>
      <c r="B31" s="1440"/>
      <c r="C31" s="1449" t="s">
        <v>3020</v>
      </c>
      <c r="D31" s="1433" t="s">
        <v>3021</v>
      </c>
      <c r="E31" s="1450"/>
      <c r="F31" s="1450"/>
      <c r="G31" s="1450">
        <f>SUMIF(AC_TKNO,$C31,AC_SOTIEN)</f>
        <v>0</v>
      </c>
      <c r="H31" s="1450">
        <f>SUMIF(AC_TKCO,$C31,AC_SOTIEN)</f>
        <v>0</v>
      </c>
      <c r="I31" s="1450" t="str">
        <f t="shared" si="370"/>
        <v>-</v>
      </c>
      <c r="J31" s="1450" t="str">
        <f t="shared" si="371"/>
        <v>-</v>
      </c>
      <c r="K31" s="1443"/>
      <c r="L31" s="1443"/>
      <c r="M31" s="1444" t="str">
        <f t="shared" ref="M31:N31" si="372">S31</f>
        <v>#N/A</v>
      </c>
      <c r="N31" s="1444" t="str">
        <f t="shared" si="372"/>
        <v>#N/A</v>
      </c>
      <c r="O31" s="1444" t="str">
        <f t="shared" ref="O31:P31" si="373">W31</f>
        <v>#N/A</v>
      </c>
      <c r="P31" s="1444" t="str">
        <f t="shared" si="373"/>
        <v>#N/A</v>
      </c>
      <c r="Q31" s="1445" t="str">
        <f t="shared" ref="Q31:R31" si="374">AE31</f>
        <v>#N/A</v>
      </c>
      <c r="R31" s="1445" t="str">
        <f t="shared" si="374"/>
        <v>#N/A</v>
      </c>
      <c r="S31" s="1445" t="str">
        <f t="shared" ref="S31:T31" si="375">AK31</f>
        <v>#N/A</v>
      </c>
      <c r="T31" s="1445" t="str">
        <f t="shared" si="375"/>
        <v>#N/A</v>
      </c>
      <c r="U31" s="1445" t="str">
        <f t="shared" ref="U31:V31" si="376">AQ31</f>
        <v>#N/A</v>
      </c>
      <c r="V31" s="1445" t="str">
        <f t="shared" si="376"/>
        <v>#N/A</v>
      </c>
      <c r="W31" s="1445" t="str">
        <f t="shared" ref="W31:X31" si="377">AW31</f>
        <v>#N/A</v>
      </c>
      <c r="X31" s="1445" t="str">
        <f t="shared" si="377"/>
        <v>#N/A</v>
      </c>
      <c r="Y31" s="630" t="str">
        <f t="shared" ref="Y31:Z31" si="378">E31</f>
        <v/>
      </c>
      <c r="Z31" s="630" t="str">
        <f t="shared" si="378"/>
        <v/>
      </c>
      <c r="AA31" s="630" t="str">
        <f t="shared" si="346"/>
        <v>#N/A</v>
      </c>
      <c r="AB31" s="630" t="str">
        <f t="shared" si="347"/>
        <v>#N/A</v>
      </c>
      <c r="AC31" s="630" t="str">
        <f t="shared" si="348"/>
        <v>#N/A</v>
      </c>
      <c r="AD31" s="630" t="str">
        <f t="shared" si="349"/>
        <v>#N/A</v>
      </c>
      <c r="AE31" s="630" t="str">
        <f t="shared" si="350"/>
        <v>#N/A</v>
      </c>
      <c r="AF31" s="630" t="str">
        <f t="shared" si="351"/>
        <v>#N/A</v>
      </c>
      <c r="AG31" s="630" t="str">
        <f t="shared" si="352"/>
        <v>#N/A</v>
      </c>
      <c r="AH31" s="630" t="str">
        <f t="shared" si="353"/>
        <v>#N/A</v>
      </c>
      <c r="AI31" s="630" t="str">
        <f t="shared" si="354"/>
        <v>#N/A</v>
      </c>
      <c r="AJ31" s="630" t="str">
        <f t="shared" si="355"/>
        <v>#N/A</v>
      </c>
      <c r="AK31" s="630" t="str">
        <f t="shared" si="356"/>
        <v>#N/A</v>
      </c>
      <c r="AL31" s="630" t="str">
        <f t="shared" si="357"/>
        <v>#N/A</v>
      </c>
      <c r="AM31" s="630" t="str">
        <f t="shared" si="358"/>
        <v>#N/A</v>
      </c>
      <c r="AN31" s="630" t="str">
        <f t="shared" si="359"/>
        <v>#N/A</v>
      </c>
      <c r="AO31" s="630" t="str">
        <f t="shared" si="360"/>
        <v>#N/A</v>
      </c>
      <c r="AP31" s="630" t="str">
        <f t="shared" si="361"/>
        <v>#N/A</v>
      </c>
      <c r="AQ31" s="630" t="str">
        <f t="shared" si="362"/>
        <v>#N/A</v>
      </c>
      <c r="AR31" s="630" t="str">
        <f t="shared" si="363"/>
        <v>#N/A</v>
      </c>
      <c r="AS31" s="630" t="str">
        <f t="shared" si="364"/>
        <v>#N/A</v>
      </c>
      <c r="AT31" s="630" t="str">
        <f t="shared" si="365"/>
        <v>#N/A</v>
      </c>
      <c r="AU31" s="630" t="str">
        <f t="shared" si="366"/>
        <v>#N/A</v>
      </c>
      <c r="AV31" s="630" t="str">
        <f t="shared" si="367"/>
        <v>#N/A</v>
      </c>
      <c r="AW31" s="630" t="str">
        <f t="shared" si="368"/>
        <v>#N/A</v>
      </c>
      <c r="AX31" s="630" t="str">
        <f t="shared" si="369"/>
        <v>#N/A</v>
      </c>
    </row>
    <row r="32" hidden="1" outlineLevel="1">
      <c r="A32" s="1448"/>
      <c r="B32" s="1440"/>
      <c r="C32" s="1449" t="s">
        <v>3022</v>
      </c>
      <c r="D32" s="1433" t="s">
        <v>1686</v>
      </c>
      <c r="E32" s="1450"/>
      <c r="F32" s="1450"/>
      <c r="G32" s="1450">
        <f>SUMIF(AC_TKNO,$C32,AC_SOTIEN)</f>
        <v>0</v>
      </c>
      <c r="H32" s="1450">
        <f>SUMIF(AC_TKCO,$C32,AC_SOTIEN)</f>
        <v>0</v>
      </c>
      <c r="I32" s="1450" t="str">
        <f t="shared" si="370"/>
        <v>-</v>
      </c>
      <c r="J32" s="1450" t="str">
        <f t="shared" si="371"/>
        <v>-</v>
      </c>
      <c r="K32" s="1443"/>
      <c r="L32" s="1443"/>
      <c r="M32" s="1444" t="str">
        <f t="shared" ref="M32:N32" si="379">S32</f>
        <v>#N/A</v>
      </c>
      <c r="N32" s="1444" t="str">
        <f t="shared" si="379"/>
        <v>#N/A</v>
      </c>
      <c r="O32" s="1444" t="str">
        <f t="shared" ref="O32:P32" si="380">W32</f>
        <v>#N/A</v>
      </c>
      <c r="P32" s="1444" t="str">
        <f t="shared" si="380"/>
        <v>#N/A</v>
      </c>
      <c r="Q32" s="1445" t="str">
        <f t="shared" ref="Q32:R32" si="381">AE32</f>
        <v>#N/A</v>
      </c>
      <c r="R32" s="1445" t="str">
        <f t="shared" si="381"/>
        <v>#N/A</v>
      </c>
      <c r="S32" s="1445" t="str">
        <f t="shared" ref="S32:T32" si="382">AK32</f>
        <v>#N/A</v>
      </c>
      <c r="T32" s="1445" t="str">
        <f t="shared" si="382"/>
        <v>#N/A</v>
      </c>
      <c r="U32" s="1445" t="str">
        <f t="shared" ref="U32:V32" si="383">AQ32</f>
        <v>#N/A</v>
      </c>
      <c r="V32" s="1445" t="str">
        <f t="shared" si="383"/>
        <v>#N/A</v>
      </c>
      <c r="W32" s="1445" t="str">
        <f t="shared" ref="W32:X32" si="384">AW32</f>
        <v>#N/A</v>
      </c>
      <c r="X32" s="1445" t="str">
        <f t="shared" si="384"/>
        <v>#N/A</v>
      </c>
      <c r="Y32" s="630" t="str">
        <f t="shared" ref="Y32:Z32" si="385">E32</f>
        <v/>
      </c>
      <c r="Z32" s="630" t="str">
        <f t="shared" si="385"/>
        <v/>
      </c>
      <c r="AA32" s="630" t="str">
        <f t="shared" si="346"/>
        <v>#N/A</v>
      </c>
      <c r="AB32" s="630" t="str">
        <f t="shared" si="347"/>
        <v>#N/A</v>
      </c>
      <c r="AC32" s="630" t="str">
        <f t="shared" si="348"/>
        <v>#N/A</v>
      </c>
      <c r="AD32" s="630" t="str">
        <f t="shared" si="349"/>
        <v>#N/A</v>
      </c>
      <c r="AE32" s="630" t="str">
        <f t="shared" si="350"/>
        <v>#N/A</v>
      </c>
      <c r="AF32" s="630" t="str">
        <f t="shared" si="351"/>
        <v>#N/A</v>
      </c>
      <c r="AG32" s="630" t="str">
        <f t="shared" si="352"/>
        <v>#N/A</v>
      </c>
      <c r="AH32" s="630" t="str">
        <f t="shared" si="353"/>
        <v>#N/A</v>
      </c>
      <c r="AI32" s="630" t="str">
        <f t="shared" si="354"/>
        <v>#N/A</v>
      </c>
      <c r="AJ32" s="630" t="str">
        <f t="shared" si="355"/>
        <v>#N/A</v>
      </c>
      <c r="AK32" s="630" t="str">
        <f t="shared" si="356"/>
        <v>#N/A</v>
      </c>
      <c r="AL32" s="630" t="str">
        <f t="shared" si="357"/>
        <v>#N/A</v>
      </c>
      <c r="AM32" s="630" t="str">
        <f t="shared" si="358"/>
        <v>#N/A</v>
      </c>
      <c r="AN32" s="630" t="str">
        <f t="shared" si="359"/>
        <v>#N/A</v>
      </c>
      <c r="AO32" s="630" t="str">
        <f t="shared" si="360"/>
        <v>#N/A</v>
      </c>
      <c r="AP32" s="630" t="str">
        <f t="shared" si="361"/>
        <v>#N/A</v>
      </c>
      <c r="AQ32" s="630" t="str">
        <f t="shared" si="362"/>
        <v>#N/A</v>
      </c>
      <c r="AR32" s="630" t="str">
        <f t="shared" si="363"/>
        <v>#N/A</v>
      </c>
      <c r="AS32" s="630" t="str">
        <f t="shared" si="364"/>
        <v>#N/A</v>
      </c>
      <c r="AT32" s="630" t="str">
        <f t="shared" si="365"/>
        <v>#N/A</v>
      </c>
      <c r="AU32" s="630" t="str">
        <f t="shared" si="366"/>
        <v>#N/A</v>
      </c>
      <c r="AV32" s="630" t="str">
        <f t="shared" si="367"/>
        <v>#N/A</v>
      </c>
      <c r="AW32" s="630" t="str">
        <f t="shared" si="368"/>
        <v>#N/A</v>
      </c>
      <c r="AX32" s="630" t="str">
        <f t="shared" si="369"/>
        <v>#N/A</v>
      </c>
    </row>
    <row r="33" hidden="1" outlineLevel="1">
      <c r="A33" s="1448"/>
      <c r="B33" s="1440"/>
      <c r="C33" s="1449" t="s">
        <v>1353</v>
      </c>
      <c r="D33" s="1433" t="s">
        <v>1354</v>
      </c>
      <c r="E33" s="1450"/>
      <c r="F33" s="1450"/>
      <c r="G33" s="1450">
        <f>SUMIF(AC_TKNO,$C33,AC_SOTIEN)</f>
        <v>0</v>
      </c>
      <c r="H33" s="1450">
        <f>SUMIF(AC_TKCO,$C33,AC_SOTIEN)</f>
        <v>0</v>
      </c>
      <c r="I33" s="1450" t="str">
        <f t="shared" si="370"/>
        <v>-</v>
      </c>
      <c r="J33" s="1450" t="str">
        <f t="shared" si="371"/>
        <v>-</v>
      </c>
      <c r="K33" s="1443"/>
      <c r="L33" s="1443"/>
      <c r="M33" s="1444" t="str">
        <f t="shared" ref="M33:N33" si="386">S33</f>
        <v>#N/A</v>
      </c>
      <c r="N33" s="1444" t="str">
        <f t="shared" si="386"/>
        <v>#N/A</v>
      </c>
      <c r="O33" s="1444" t="str">
        <f t="shared" ref="O33:P33" si="387">W33</f>
        <v>#N/A</v>
      </c>
      <c r="P33" s="1444" t="str">
        <f t="shared" si="387"/>
        <v>#N/A</v>
      </c>
      <c r="Q33" s="1445" t="str">
        <f t="shared" ref="Q33:R33" si="388">AE33</f>
        <v>#N/A</v>
      </c>
      <c r="R33" s="1445" t="str">
        <f t="shared" si="388"/>
        <v>#N/A</v>
      </c>
      <c r="S33" s="1445" t="str">
        <f t="shared" ref="S33:T33" si="389">AK33</f>
        <v>#N/A</v>
      </c>
      <c r="T33" s="1445" t="str">
        <f t="shared" si="389"/>
        <v>#N/A</v>
      </c>
      <c r="U33" s="1445" t="str">
        <f t="shared" ref="U33:V33" si="390">AQ33</f>
        <v>#N/A</v>
      </c>
      <c r="V33" s="1445" t="str">
        <f t="shared" si="390"/>
        <v>#N/A</v>
      </c>
      <c r="W33" s="1445" t="str">
        <f t="shared" ref="W33:X33" si="391">AW33</f>
        <v>#N/A</v>
      </c>
      <c r="X33" s="1445" t="str">
        <f t="shared" si="391"/>
        <v>#N/A</v>
      </c>
      <c r="Y33" s="630" t="str">
        <f t="shared" ref="Y33:Z33" si="392">E33</f>
        <v/>
      </c>
      <c r="Z33" s="630" t="str">
        <f t="shared" si="392"/>
        <v/>
      </c>
      <c r="AA33" s="630" t="str">
        <f t="shared" si="346"/>
        <v>#N/A</v>
      </c>
      <c r="AB33" s="630" t="str">
        <f t="shared" si="347"/>
        <v>#N/A</v>
      </c>
      <c r="AC33" s="630" t="str">
        <f t="shared" si="348"/>
        <v>#N/A</v>
      </c>
      <c r="AD33" s="630" t="str">
        <f t="shared" si="349"/>
        <v>#N/A</v>
      </c>
      <c r="AE33" s="630" t="str">
        <f t="shared" si="350"/>
        <v>#N/A</v>
      </c>
      <c r="AF33" s="630" t="str">
        <f t="shared" si="351"/>
        <v>#N/A</v>
      </c>
      <c r="AG33" s="630" t="str">
        <f t="shared" si="352"/>
        <v>#N/A</v>
      </c>
      <c r="AH33" s="630" t="str">
        <f t="shared" si="353"/>
        <v>#N/A</v>
      </c>
      <c r="AI33" s="630" t="str">
        <f t="shared" si="354"/>
        <v>#N/A</v>
      </c>
      <c r="AJ33" s="630" t="str">
        <f t="shared" si="355"/>
        <v>#N/A</v>
      </c>
      <c r="AK33" s="630" t="str">
        <f t="shared" si="356"/>
        <v>#N/A</v>
      </c>
      <c r="AL33" s="630" t="str">
        <f t="shared" si="357"/>
        <v>#N/A</v>
      </c>
      <c r="AM33" s="630" t="str">
        <f t="shared" si="358"/>
        <v>#N/A</v>
      </c>
      <c r="AN33" s="630" t="str">
        <f t="shared" si="359"/>
        <v>#N/A</v>
      </c>
      <c r="AO33" s="630" t="str">
        <f t="shared" si="360"/>
        <v>#N/A</v>
      </c>
      <c r="AP33" s="630" t="str">
        <f t="shared" si="361"/>
        <v>#N/A</v>
      </c>
      <c r="AQ33" s="630" t="str">
        <f t="shared" si="362"/>
        <v>#N/A</v>
      </c>
      <c r="AR33" s="630" t="str">
        <f t="shared" si="363"/>
        <v>#N/A</v>
      </c>
      <c r="AS33" s="630" t="str">
        <f t="shared" si="364"/>
        <v>#N/A</v>
      </c>
      <c r="AT33" s="630" t="str">
        <f t="shared" si="365"/>
        <v>#N/A</v>
      </c>
      <c r="AU33" s="630" t="str">
        <f t="shared" si="366"/>
        <v>#N/A</v>
      </c>
      <c r="AV33" s="630" t="str">
        <f t="shared" si="367"/>
        <v>#N/A</v>
      </c>
      <c r="AW33" s="630" t="str">
        <f t="shared" si="368"/>
        <v>#N/A</v>
      </c>
      <c r="AX33" s="630" t="str">
        <f t="shared" si="369"/>
        <v>#N/A</v>
      </c>
    </row>
    <row r="34">
      <c r="A34" s="1452" t="s">
        <v>2986</v>
      </c>
      <c r="B34" s="1439" t="s">
        <v>3023</v>
      </c>
      <c r="C34" s="1440"/>
      <c r="D34" s="1441" t="s">
        <v>1355</v>
      </c>
      <c r="E34" s="1456">
        <f t="shared" ref="E34:J34" si="393">SUM(E35:E37)</f>
        <v>0</v>
      </c>
      <c r="F34" s="1456">
        <f t="shared" si="393"/>
        <v>0</v>
      </c>
      <c r="G34" s="1456">
        <f t="shared" si="393"/>
        <v>500000000</v>
      </c>
      <c r="H34" s="1456">
        <f t="shared" si="393"/>
        <v>0</v>
      </c>
      <c r="I34" s="1456">
        <f t="shared" si="393"/>
        <v>500000000</v>
      </c>
      <c r="J34" s="1456">
        <f t="shared" si="393"/>
        <v>0</v>
      </c>
      <c r="K34" s="1443"/>
      <c r="L34" s="1443"/>
      <c r="M34" s="1444" t="str">
        <f t="shared" ref="M34:N34" si="394">S34</f>
        <v>#N/A</v>
      </c>
      <c r="N34" s="1444" t="str">
        <f t="shared" si="394"/>
        <v>#N/A</v>
      </c>
      <c r="O34" s="1444" t="str">
        <f t="shared" ref="O34:P34" si="395">W34</f>
        <v>#N/A</v>
      </c>
      <c r="P34" s="1444" t="str">
        <f t="shared" si="395"/>
        <v>#N/A</v>
      </c>
      <c r="Q34" s="1445" t="str">
        <f t="shared" ref="Q34:R34" si="396">AE34</f>
        <v>#N/A</v>
      </c>
      <c r="R34" s="1445" t="str">
        <f t="shared" si="396"/>
        <v>#N/A</v>
      </c>
      <c r="S34" s="1445" t="str">
        <f t="shared" ref="S34:T34" si="397">AK34</f>
        <v>#N/A</v>
      </c>
      <c r="T34" s="1445" t="str">
        <f t="shared" si="397"/>
        <v>#N/A</v>
      </c>
      <c r="U34" s="1445" t="str">
        <f t="shared" ref="U34:V34" si="398">AQ34</f>
        <v>#N/A</v>
      </c>
      <c r="V34" s="1445" t="str">
        <f t="shared" si="398"/>
        <v>#N/A</v>
      </c>
      <c r="W34" s="1445" t="str">
        <f t="shared" ref="W34:X34" si="399">AW34</f>
        <v>#N/A</v>
      </c>
      <c r="X34" s="1445" t="str">
        <f t="shared" si="399"/>
        <v>#N/A</v>
      </c>
      <c r="Y34" s="1447">
        <f t="shared" ref="Y34:AX34" si="400">SUM(Y35:Y37)</f>
        <v>0</v>
      </c>
      <c r="Z34" s="1447">
        <f t="shared" si="400"/>
        <v>0</v>
      </c>
      <c r="AA34" s="1447" t="str">
        <f t="shared" si="400"/>
        <v>#N/A</v>
      </c>
      <c r="AB34" s="1447" t="str">
        <f t="shared" si="400"/>
        <v>#N/A</v>
      </c>
      <c r="AC34" s="1447" t="str">
        <f t="shared" si="400"/>
        <v>#N/A</v>
      </c>
      <c r="AD34" s="1447" t="str">
        <f t="shared" si="400"/>
        <v>#N/A</v>
      </c>
      <c r="AE34" s="1447" t="str">
        <f t="shared" si="400"/>
        <v>#N/A</v>
      </c>
      <c r="AF34" s="1447" t="str">
        <f t="shared" si="400"/>
        <v>#N/A</v>
      </c>
      <c r="AG34" s="1447" t="str">
        <f t="shared" si="400"/>
        <v>#N/A</v>
      </c>
      <c r="AH34" s="1447" t="str">
        <f t="shared" si="400"/>
        <v>#N/A</v>
      </c>
      <c r="AI34" s="1447" t="str">
        <f t="shared" si="400"/>
        <v>#N/A</v>
      </c>
      <c r="AJ34" s="1447" t="str">
        <f t="shared" si="400"/>
        <v>#N/A</v>
      </c>
      <c r="AK34" s="1447" t="str">
        <f t="shared" si="400"/>
        <v>#N/A</v>
      </c>
      <c r="AL34" s="1447" t="str">
        <f t="shared" si="400"/>
        <v>#N/A</v>
      </c>
      <c r="AM34" s="1447" t="str">
        <f t="shared" si="400"/>
        <v>#N/A</v>
      </c>
      <c r="AN34" s="1447" t="str">
        <f t="shared" si="400"/>
        <v>#N/A</v>
      </c>
      <c r="AO34" s="1447" t="str">
        <f t="shared" si="400"/>
        <v>#N/A</v>
      </c>
      <c r="AP34" s="1447" t="str">
        <f t="shared" si="400"/>
        <v>#N/A</v>
      </c>
      <c r="AQ34" s="1447" t="str">
        <f t="shared" si="400"/>
        <v>#N/A</v>
      </c>
      <c r="AR34" s="1447" t="str">
        <f t="shared" si="400"/>
        <v>#N/A</v>
      </c>
      <c r="AS34" s="1447" t="str">
        <f t="shared" si="400"/>
        <v>#N/A</v>
      </c>
      <c r="AT34" s="1447" t="str">
        <f t="shared" si="400"/>
        <v>#N/A</v>
      </c>
      <c r="AU34" s="1447" t="str">
        <f t="shared" si="400"/>
        <v>#N/A</v>
      </c>
      <c r="AV34" s="1447" t="str">
        <f t="shared" si="400"/>
        <v>#N/A</v>
      </c>
      <c r="AW34" s="1447" t="str">
        <f t="shared" si="400"/>
        <v>#N/A</v>
      </c>
      <c r="AX34" s="1447" t="str">
        <f t="shared" si="400"/>
        <v>#N/A</v>
      </c>
    </row>
    <row r="35">
      <c r="A35" s="1448"/>
      <c r="B35" s="1440"/>
      <c r="C35" s="1449" t="s">
        <v>1356</v>
      </c>
      <c r="D35" s="1433" t="s">
        <v>1357</v>
      </c>
      <c r="E35" s="1450"/>
      <c r="F35" s="1450"/>
      <c r="G35" s="1450">
        <f>SUMIF(AC_TKNO,$C35,AC_SOTIEN)</f>
        <v>0</v>
      </c>
      <c r="H35" s="1450">
        <f>SUMIF(AC_TKCO,$C35,AC_SOTIEN)</f>
        <v>0</v>
      </c>
      <c r="I35" s="1450" t="str">
        <f t="shared" ref="I35:I40" si="408">IF(E35+G35-F35-H35&gt;0,E35+G35-F35-H35,"-")</f>
        <v>-</v>
      </c>
      <c r="J35" s="1450" t="str">
        <f t="shared" ref="J35:J40" si="409">IF(F35+H35-E35-G35&gt;0,F35+H35-E35-G35,"-")</f>
        <v>-</v>
      </c>
      <c r="K35" s="1443"/>
      <c r="L35" s="1443"/>
      <c r="M35" s="1444" t="str">
        <f t="shared" ref="M35:N35" si="401">S35</f>
        <v>#N/A</v>
      </c>
      <c r="N35" s="1444" t="str">
        <f t="shared" si="401"/>
        <v>#N/A</v>
      </c>
      <c r="O35" s="1444" t="str">
        <f t="shared" ref="O35:P35" si="402">W35</f>
        <v>#N/A</v>
      </c>
      <c r="P35" s="1444" t="str">
        <f t="shared" si="402"/>
        <v>#N/A</v>
      </c>
      <c r="Q35" s="1445" t="str">
        <f t="shared" ref="Q35:R35" si="403">AE35</f>
        <v>#N/A</v>
      </c>
      <c r="R35" s="1445" t="str">
        <f t="shared" si="403"/>
        <v>#N/A</v>
      </c>
      <c r="S35" s="1445" t="str">
        <f t="shared" ref="S35:T35" si="404">AK35</f>
        <v>#N/A</v>
      </c>
      <c r="T35" s="1445" t="str">
        <f t="shared" si="404"/>
        <v>#N/A</v>
      </c>
      <c r="U35" s="1445" t="str">
        <f t="shared" ref="U35:V35" si="405">AQ35</f>
        <v>#N/A</v>
      </c>
      <c r="V35" s="1445" t="str">
        <f t="shared" si="405"/>
        <v>#N/A</v>
      </c>
      <c r="W35" s="1445" t="str">
        <f t="shared" ref="W35:X35" si="406">AW35</f>
        <v>#N/A</v>
      </c>
      <c r="X35" s="1445" t="str">
        <f t="shared" si="406"/>
        <v>#N/A</v>
      </c>
      <c r="Y35" s="630" t="str">
        <f t="shared" ref="Y35:Z35" si="407">E35</f>
        <v/>
      </c>
      <c r="Z35" s="630" t="str">
        <f t="shared" si="407"/>
        <v/>
      </c>
      <c r="AA35" s="630" t="str">
        <f t="shared" ref="AA35:AA39" si="417">IF(Y35+SUMIFS(PS_SOTIEN,PS_TKNO,$B33,PS_MONTH,AA$3)-Z35-SUMIFS(PS_SOTIEN,PS_TKCO,$B33,PS_MONTH,AA$3)&gt;0,Y35+SUMIFS(PS_SOTIEN,PS_TKNO,$B33,PS_MONTH,AA$3)-Z35-SUMIFS(PS_SOTIEN,PS_TKCO,$B33,PS_MONTH,AA$3),0)</f>
        <v>#N/A</v>
      </c>
      <c r="AB35" s="630" t="str">
        <f t="shared" ref="AB35:AB39" si="418">IF(Z35+SUMIFS(PS_SOTIEN,PS_TKCO,$B33,PS_MONTH,AA$3)-Y35-SUMIFS(PS_SOTIEN,PS_TKNO,$B33,PS_MONTH,AA$3)&gt;0,Z35+SUMIFS(PS_SOTIEN,PS_TKCO,$B33,PS_MONTH,AA$3)-Y35-SUMIFS(PS_SOTIEN,PS_TKNO,$B33,PS_MONTH,AA$3),0)</f>
        <v>#N/A</v>
      </c>
      <c r="AC35" s="630" t="str">
        <f t="shared" ref="AC35:AC39" si="419">IF(AA35+SUMIFS(PS_SOTIEN,PS_TKNO,$B33,PS_MONTH,AC$3)-AB35-SUMIFS(PS_SOTIEN,PS_TKCO,$B33,PS_MONTH,AC$3)&gt;0,AA35+SUMIFS(PS_SOTIEN,PS_TKNO,$B33,PS_MONTH,AC$3)-AB35-SUMIFS(PS_SOTIEN,PS_TKCO,$B33,PS_MONTH,AC$3),0)</f>
        <v>#N/A</v>
      </c>
      <c r="AD35" s="630" t="str">
        <f t="shared" ref="AD35:AD39" si="420">IF(AB35+SUMIFS(PS_SOTIEN,PS_TKCO,$B33,PS_MONTH,AC$3)-AA35-SUMIFS(PS_SOTIEN,PS_TKNO,$B33,PS_MONTH,AC$3)&gt;0,AB35+SUMIFS(PS_SOTIEN,PS_TKCO,$B33,PS_MONTH,AC$3)-AA35-SUMIFS(PS_SOTIEN,PS_TKNO,$B33,PS_MONTH,AC$3),0)</f>
        <v>#N/A</v>
      </c>
      <c r="AE35" s="630" t="str">
        <f t="shared" ref="AE35:AE39" si="421">IF(AC35+SUMIFS(PS_SOTIEN,PS_TKNO,$B33,PS_MONTH,AE$3)-AD35-SUMIFS(PS_SOTIEN,PS_TKCO,$B33,PS_MONTH,AE$3)&gt;0,AC35+SUMIFS(PS_SOTIEN,PS_TKNO,$B33,PS_MONTH,AE$3)-AD35-SUMIFS(PS_SOTIEN,PS_TKCO,$B33,PS_MONTH,AE$3),0)</f>
        <v>#N/A</v>
      </c>
      <c r="AF35" s="630" t="str">
        <f t="shared" ref="AF35:AF39" si="422">IF(AD35+SUMIFS(PS_SOTIEN,PS_TKCO,$B33,PS_MONTH,AE$3)-AC35-SUMIFS(PS_SOTIEN,PS_TKNO,$B33,PS_MONTH,AE$3)&gt;0,AD35+SUMIFS(PS_SOTIEN,PS_TKCO,$B33,PS_MONTH,AE$3)-AC35-SUMIFS(PS_SOTIEN,PS_TKNO,$B33,PS_MONTH,AE$3),0)</f>
        <v>#N/A</v>
      </c>
      <c r="AG35" s="630" t="str">
        <f t="shared" ref="AG35:AG39" si="423">IF(AE35+SUMIFS(PS_SOTIEN,PS_TKNO,$B33,PS_MONTH,AG$3)-AF35-SUMIFS(PS_SOTIEN,PS_TKCO,$B33,PS_MONTH,AG$3)&gt;0,AE35+SUMIFS(PS_SOTIEN,PS_TKNO,$B33,PS_MONTH,AG$3)-AF35-SUMIFS(PS_SOTIEN,PS_TKCO,$B33,PS_MONTH,AG$3),0)</f>
        <v>#N/A</v>
      </c>
      <c r="AH35" s="630" t="str">
        <f t="shared" ref="AH35:AH39" si="424">IF(AF35+SUMIFS(PS_SOTIEN,PS_TKCO,$B33,PS_MONTH,AG$3)-AE35-SUMIFS(PS_SOTIEN,PS_TKNO,$B33,PS_MONTH,AG$3)&gt;0,AF35+SUMIFS(PS_SOTIEN,PS_TKCO,$B33,PS_MONTH,AG$3)-AE35-SUMIFS(PS_SOTIEN,PS_TKNO,$B33,PS_MONTH,AG$3),0)</f>
        <v>#N/A</v>
      </c>
      <c r="AI35" s="630" t="str">
        <f t="shared" ref="AI35:AI39" si="425">IF(AG35+SUMIFS(PS_SOTIEN,PS_TKNO,$B33,PS_MONTH,AI$3)-AH35-SUMIFS(PS_SOTIEN,PS_TKCO,$B33,PS_MONTH,AI$3)&gt;0,AG35+SUMIFS(PS_SOTIEN,PS_TKNO,$B33,PS_MONTH,AI$3)-AH35-SUMIFS(PS_SOTIEN,PS_TKCO,$B33,PS_MONTH,AI$3),0)</f>
        <v>#N/A</v>
      </c>
      <c r="AJ35" s="630" t="str">
        <f t="shared" ref="AJ35:AJ39" si="426">IF(AH35+SUMIFS(PS_SOTIEN,PS_TKCO,$B33,PS_MONTH,AI$3)-AG35-SUMIFS(PS_SOTIEN,PS_TKNO,$B33,PS_MONTH,AI$3)&gt;0,AH35+SUMIFS(PS_SOTIEN,PS_TKCO,$B33,PS_MONTH,AI$3)-AG35-SUMIFS(PS_SOTIEN,PS_TKNO,$B33,PS_MONTH,AI$3),0)</f>
        <v>#N/A</v>
      </c>
      <c r="AK35" s="630" t="str">
        <f t="shared" ref="AK35:AK39" si="427">IF(AI35+SUMIFS(PS_SOTIEN,PS_TKNO,$B33,PS_MONTH,AK$3)-AJ35-SUMIFS(PS_SOTIEN,PS_TKCO,$B33,PS_MONTH,AK$3)&gt;0,AI35+SUMIFS(PS_SOTIEN,PS_TKNO,$B33,PS_MONTH,AK$3)-AJ35-SUMIFS(PS_SOTIEN,PS_TKCO,$B33,PS_MONTH,AK$3),0)</f>
        <v>#N/A</v>
      </c>
      <c r="AL35" s="630" t="str">
        <f t="shared" ref="AL35:AL39" si="428">IF(AJ35+SUMIFS(PS_SOTIEN,PS_TKCO,$B33,PS_MONTH,AK$3)-AI35-SUMIFS(PS_SOTIEN,PS_TKNO,$B33,PS_MONTH,AK$3)&gt;0,AJ35+SUMIFS(PS_SOTIEN,PS_TKCO,$B33,PS_MONTH,AK$3)-AI35-SUMIFS(PS_SOTIEN,PS_TKNO,$B33,PS_MONTH,AK$3),0)</f>
        <v>#N/A</v>
      </c>
      <c r="AM35" s="630" t="str">
        <f t="shared" ref="AM35:AM39" si="429">IF(AK35+SUMIFS(PS_SOTIEN,PS_TKNO,$B33,PS_MONTH,AM$3)-AL35-SUMIFS(PS_SOTIEN,PS_TKCO,$B33,PS_MONTH,AM$3)&gt;0,AK35+SUMIFS(PS_SOTIEN,PS_TKNO,$B33,PS_MONTH,AM$3)-AL35-SUMIFS(PS_SOTIEN,PS_TKCO,$B33,PS_MONTH,AM$3),0)</f>
        <v>#N/A</v>
      </c>
      <c r="AN35" s="630" t="str">
        <f t="shared" ref="AN35:AN39" si="430">IF(AL35+SUMIFS(PS_SOTIEN,PS_TKCO,$B33,PS_MONTH,AM$3)-AK35-SUMIFS(PS_SOTIEN,PS_TKNO,$B33,PS_MONTH,AM$3)&gt;0,AL35+SUMIFS(PS_SOTIEN,PS_TKCO,$B33,PS_MONTH,AM$3)-AK35-SUMIFS(PS_SOTIEN,PS_TKNO,$B33,PS_MONTH,AM$3),0)</f>
        <v>#N/A</v>
      </c>
      <c r="AO35" s="630" t="str">
        <f t="shared" ref="AO35:AO39" si="431">IF(AM35+SUMIFS(PS_SOTIEN,PS_TKNO,$B33,PS_MONTH,AO$3)-AN35-SUMIFS(PS_SOTIEN,PS_TKCO,$B33,PS_MONTH,AO$3)&gt;0,AM35+SUMIFS(PS_SOTIEN,PS_TKNO,$B33,PS_MONTH,AO$3)-AN35-SUMIFS(PS_SOTIEN,PS_TKCO,$B33,PS_MONTH,AO$3),0)</f>
        <v>#N/A</v>
      </c>
      <c r="AP35" s="630" t="str">
        <f t="shared" ref="AP35:AP39" si="432">IF(AN35+SUMIFS(PS_SOTIEN,PS_TKCO,$B33,PS_MONTH,AO$3)-AM35-SUMIFS(PS_SOTIEN,PS_TKNO,$B33,PS_MONTH,AO$3)&gt;0,AN35+SUMIFS(PS_SOTIEN,PS_TKCO,$B33,PS_MONTH,AO$3)-AM35-SUMIFS(PS_SOTIEN,PS_TKNO,$B33,PS_MONTH,AO$3),0)</f>
        <v>#N/A</v>
      </c>
      <c r="AQ35" s="630" t="str">
        <f t="shared" ref="AQ35:AQ39" si="433">IF(AO35+SUMIFS(PS_SOTIEN,PS_TKNO,$B33,PS_MONTH,AQ$3)-AP35-SUMIFS(PS_SOTIEN,PS_TKCO,$B33,PS_MONTH,AQ$3)&gt;0,AO35+SUMIFS(PS_SOTIEN,PS_TKNO,$B33,PS_MONTH,AQ$3)-AP35-SUMIFS(PS_SOTIEN,PS_TKCO,$B33,PS_MONTH,AQ$3),0)</f>
        <v>#N/A</v>
      </c>
      <c r="AR35" s="630" t="str">
        <f t="shared" ref="AR35:AR39" si="434">IF(AP35+SUMIFS(PS_SOTIEN,PS_TKCO,$B33,PS_MONTH,AQ$3)-AO35-SUMIFS(PS_SOTIEN,PS_TKNO,$B33,PS_MONTH,AQ$3)&gt;0,AP35+SUMIFS(PS_SOTIEN,PS_TKCO,$B33,PS_MONTH,AQ$3)-AO35-SUMIFS(PS_SOTIEN,PS_TKNO,$B33,PS_MONTH,AQ$3),0)</f>
        <v>#N/A</v>
      </c>
      <c r="AS35" s="630" t="str">
        <f t="shared" ref="AS35:AS39" si="435">IF(AQ35+SUMIFS(PS_SOTIEN,PS_TKNO,$B33,PS_MONTH,AS$3)-AR35-SUMIFS(PS_SOTIEN,PS_TKCO,$B33,PS_MONTH,AS$3)&gt;0,AQ35+SUMIFS(PS_SOTIEN,PS_TKNO,$B33,PS_MONTH,AS$3)-AR35-SUMIFS(PS_SOTIEN,PS_TKCO,$B33,PS_MONTH,AS$3),0)</f>
        <v>#N/A</v>
      </c>
      <c r="AT35" s="630" t="str">
        <f t="shared" ref="AT35:AT39" si="436">IF(AR35+SUMIFS(PS_SOTIEN,PS_TKCO,$B33,PS_MONTH,AS$3)-AQ35-SUMIFS(PS_SOTIEN,PS_TKNO,$B33,PS_MONTH,AS$3)&gt;0,AR35+SUMIFS(PS_SOTIEN,PS_TKCO,$B33,PS_MONTH,AS$3)-AQ35-SUMIFS(PS_SOTIEN,PS_TKNO,$B33,PS_MONTH,AS$3),0)</f>
        <v>#N/A</v>
      </c>
      <c r="AU35" s="630" t="str">
        <f t="shared" ref="AU35:AU39" si="437">IF(AS35+SUMIFS(PS_SOTIEN,PS_TKNO,$B33,PS_MONTH,AU$3)-AT35-SUMIFS(PS_SOTIEN,PS_TKCO,$B33,PS_MONTH,AU$3)&gt;0,AS35+SUMIFS(PS_SOTIEN,PS_TKNO,$B33,PS_MONTH,AU$3)-AT35-SUMIFS(PS_SOTIEN,PS_TKCO,$B33,PS_MONTH,AU$3),0)</f>
        <v>#N/A</v>
      </c>
      <c r="AV35" s="630" t="str">
        <f t="shared" ref="AV35:AV39" si="438">IF(AT35+SUMIFS(PS_SOTIEN,PS_TKCO,$B33,PS_MONTH,AU$3)-AS35-SUMIFS(PS_SOTIEN,PS_TKNO,$B33,PS_MONTH,AU$3)&gt;0,AT35+SUMIFS(PS_SOTIEN,PS_TKCO,$B33,PS_MONTH,AU$3)-AS35-SUMIFS(PS_SOTIEN,PS_TKNO,$B33,PS_MONTH,AU$3),0)</f>
        <v>#N/A</v>
      </c>
      <c r="AW35" s="630" t="str">
        <f t="shared" ref="AW35:AW39" si="439">IF(AU35+SUMIFS(PS_SOTIEN,PS_TKNO,$B33,PS_MONTH,AW$3)-AV35-SUMIFS(PS_SOTIEN,PS_TKCO,$B33,PS_MONTH,AW$3)&gt;0,AU35+SUMIFS(PS_SOTIEN,PS_TKNO,$B33,PS_MONTH,AW$3)-AV35-SUMIFS(PS_SOTIEN,PS_TKCO,$B33,PS_MONTH,AW$3),0)</f>
        <v>#N/A</v>
      </c>
      <c r="AX35" s="630" t="str">
        <f t="shared" ref="AX35:AX39" si="440">IF(AV35+SUMIFS(PS_SOTIEN,PS_TKCO,$B33,PS_MONTH,AW$3)-AU35-SUMIFS(PS_SOTIEN,PS_TKNO,$B33,PS_MONTH,AW$3)&gt;0,AV35+SUMIFS(PS_SOTIEN,PS_TKCO,$B33,PS_MONTH,AW$3)-AU35-SUMIFS(PS_SOTIEN,PS_TKNO,$B33,PS_MONTH,AW$3),0)</f>
        <v>#N/A</v>
      </c>
    </row>
    <row r="36">
      <c r="A36" s="1448"/>
      <c r="B36" s="1440"/>
      <c r="C36" s="1449" t="s">
        <v>3024</v>
      </c>
      <c r="D36" s="1433" t="s">
        <v>3025</v>
      </c>
      <c r="E36" s="1450"/>
      <c r="F36" s="1450"/>
      <c r="G36" s="1450">
        <f>SUMIF(AC_TKNO,$C36,AC_SOTIEN)</f>
        <v>500000000</v>
      </c>
      <c r="H36" s="1450">
        <f>SUMIF(AC_TKCO,$C36,AC_SOTIEN)</f>
        <v>0</v>
      </c>
      <c r="I36" s="1450">
        <f t="shared" si="408"/>
        <v>500000000</v>
      </c>
      <c r="J36" s="1450" t="str">
        <f t="shared" si="409"/>
        <v>-</v>
      </c>
      <c r="K36" s="1443"/>
      <c r="L36" s="1443"/>
      <c r="M36" s="1444" t="str">
        <f t="shared" ref="M36:N36" si="410">S36</f>
        <v>#N/A</v>
      </c>
      <c r="N36" s="1444" t="str">
        <f t="shared" si="410"/>
        <v>#N/A</v>
      </c>
      <c r="O36" s="1444" t="str">
        <f t="shared" ref="O36:P36" si="411">W36</f>
        <v>#N/A</v>
      </c>
      <c r="P36" s="1444" t="str">
        <f t="shared" si="411"/>
        <v>#N/A</v>
      </c>
      <c r="Q36" s="1445" t="str">
        <f t="shared" ref="Q36:R36" si="412">AE36</f>
        <v>#N/A</v>
      </c>
      <c r="R36" s="1445" t="str">
        <f t="shared" si="412"/>
        <v>#N/A</v>
      </c>
      <c r="S36" s="1445" t="str">
        <f t="shared" ref="S36:T36" si="413">AK36</f>
        <v>#N/A</v>
      </c>
      <c r="T36" s="1445" t="str">
        <f t="shared" si="413"/>
        <v>#N/A</v>
      </c>
      <c r="U36" s="1445" t="str">
        <f t="shared" ref="U36:V36" si="414">AQ36</f>
        <v>#N/A</v>
      </c>
      <c r="V36" s="1445" t="str">
        <f t="shared" si="414"/>
        <v>#N/A</v>
      </c>
      <c r="W36" s="1445" t="str">
        <f t="shared" ref="W36:X36" si="415">AW36</f>
        <v>#N/A</v>
      </c>
      <c r="X36" s="1445" t="str">
        <f t="shared" si="415"/>
        <v>#N/A</v>
      </c>
      <c r="Y36" s="630" t="str">
        <f t="shared" ref="Y36:Z36" si="416">E36</f>
        <v/>
      </c>
      <c r="Z36" s="630" t="str">
        <f t="shared" si="416"/>
        <v/>
      </c>
      <c r="AA36" s="630" t="str">
        <f t="shared" si="417"/>
        <v>#N/A</v>
      </c>
      <c r="AB36" s="630" t="str">
        <f t="shared" si="418"/>
        <v>#N/A</v>
      </c>
      <c r="AC36" s="630" t="str">
        <f t="shared" si="419"/>
        <v>#N/A</v>
      </c>
      <c r="AD36" s="630" t="str">
        <f t="shared" si="420"/>
        <v>#N/A</v>
      </c>
      <c r="AE36" s="630" t="str">
        <f t="shared" si="421"/>
        <v>#N/A</v>
      </c>
      <c r="AF36" s="630" t="str">
        <f t="shared" si="422"/>
        <v>#N/A</v>
      </c>
      <c r="AG36" s="630" t="str">
        <f t="shared" si="423"/>
        <v>#N/A</v>
      </c>
      <c r="AH36" s="630" t="str">
        <f t="shared" si="424"/>
        <v>#N/A</v>
      </c>
      <c r="AI36" s="630" t="str">
        <f t="shared" si="425"/>
        <v>#N/A</v>
      </c>
      <c r="AJ36" s="630" t="str">
        <f t="shared" si="426"/>
        <v>#N/A</v>
      </c>
      <c r="AK36" s="630" t="str">
        <f t="shared" si="427"/>
        <v>#N/A</v>
      </c>
      <c r="AL36" s="630" t="str">
        <f t="shared" si="428"/>
        <v>#N/A</v>
      </c>
      <c r="AM36" s="630" t="str">
        <f t="shared" si="429"/>
        <v>#N/A</v>
      </c>
      <c r="AN36" s="630" t="str">
        <f t="shared" si="430"/>
        <v>#N/A</v>
      </c>
      <c r="AO36" s="630" t="str">
        <f t="shared" si="431"/>
        <v>#N/A</v>
      </c>
      <c r="AP36" s="630" t="str">
        <f t="shared" si="432"/>
        <v>#N/A</v>
      </c>
      <c r="AQ36" s="630" t="str">
        <f t="shared" si="433"/>
        <v>#N/A</v>
      </c>
      <c r="AR36" s="630" t="str">
        <f t="shared" si="434"/>
        <v>#N/A</v>
      </c>
      <c r="AS36" s="630" t="str">
        <f t="shared" si="435"/>
        <v>#N/A</v>
      </c>
      <c r="AT36" s="630" t="str">
        <f t="shared" si="436"/>
        <v>#N/A</v>
      </c>
      <c r="AU36" s="630" t="str">
        <f t="shared" si="437"/>
        <v>#N/A</v>
      </c>
      <c r="AV36" s="630" t="str">
        <f t="shared" si="438"/>
        <v>#N/A</v>
      </c>
      <c r="AW36" s="630" t="str">
        <f t="shared" si="439"/>
        <v>#N/A</v>
      </c>
      <c r="AX36" s="630" t="str">
        <f t="shared" si="440"/>
        <v>#N/A</v>
      </c>
    </row>
    <row r="37">
      <c r="A37" s="1448"/>
      <c r="B37" s="1440"/>
      <c r="C37" s="1449" t="s">
        <v>1360</v>
      </c>
      <c r="D37" s="1433" t="s">
        <v>1355</v>
      </c>
      <c r="E37" s="1450"/>
      <c r="F37" s="1450"/>
      <c r="G37" s="1450">
        <f>SUMIF(AC_TKNO,$C37,AC_SOTIEN)</f>
        <v>0</v>
      </c>
      <c r="H37" s="1450">
        <f>SUMIF(AC_TKCO,$C37,AC_SOTIEN)</f>
        <v>0</v>
      </c>
      <c r="I37" s="1450" t="str">
        <f t="shared" si="408"/>
        <v>-</v>
      </c>
      <c r="J37" s="1450" t="str">
        <f t="shared" si="409"/>
        <v>-</v>
      </c>
      <c r="K37" s="1443"/>
      <c r="L37" s="1443"/>
      <c r="M37" s="1444" t="str">
        <f t="shared" ref="M37:N37" si="441">S37</f>
        <v>#N/A</v>
      </c>
      <c r="N37" s="1444" t="str">
        <f t="shared" si="441"/>
        <v>#N/A</v>
      </c>
      <c r="O37" s="1444" t="str">
        <f t="shared" ref="O37:P37" si="442">W37</f>
        <v>#N/A</v>
      </c>
      <c r="P37" s="1444" t="str">
        <f t="shared" si="442"/>
        <v>#N/A</v>
      </c>
      <c r="Q37" s="1445" t="str">
        <f t="shared" ref="Q37:R37" si="443">AE37</f>
        <v>#N/A</v>
      </c>
      <c r="R37" s="1445" t="str">
        <f t="shared" si="443"/>
        <v>#N/A</v>
      </c>
      <c r="S37" s="1445" t="str">
        <f t="shared" ref="S37:T37" si="444">AK37</f>
        <v>#N/A</v>
      </c>
      <c r="T37" s="1445" t="str">
        <f t="shared" si="444"/>
        <v>#N/A</v>
      </c>
      <c r="U37" s="1445" t="str">
        <f t="shared" ref="U37:V37" si="445">AQ37</f>
        <v>#N/A</v>
      </c>
      <c r="V37" s="1445" t="str">
        <f t="shared" si="445"/>
        <v>#N/A</v>
      </c>
      <c r="W37" s="1445" t="str">
        <f t="shared" ref="W37:X37" si="446">AW37</f>
        <v>#N/A</v>
      </c>
      <c r="X37" s="1445" t="str">
        <f t="shared" si="446"/>
        <v>#N/A</v>
      </c>
      <c r="Y37" s="630" t="str">
        <f t="shared" ref="Y37:Z37" si="447">E37</f>
        <v/>
      </c>
      <c r="Z37" s="630" t="str">
        <f t="shared" si="447"/>
        <v/>
      </c>
      <c r="AA37" s="630" t="str">
        <f t="shared" si="417"/>
        <v>#N/A</v>
      </c>
      <c r="AB37" s="630" t="str">
        <f t="shared" si="418"/>
        <v>#N/A</v>
      </c>
      <c r="AC37" s="630" t="str">
        <f t="shared" si="419"/>
        <v>#N/A</v>
      </c>
      <c r="AD37" s="630" t="str">
        <f t="shared" si="420"/>
        <v>#N/A</v>
      </c>
      <c r="AE37" s="630" t="str">
        <f t="shared" si="421"/>
        <v>#N/A</v>
      </c>
      <c r="AF37" s="630" t="str">
        <f t="shared" si="422"/>
        <v>#N/A</v>
      </c>
      <c r="AG37" s="630" t="str">
        <f t="shared" si="423"/>
        <v>#N/A</v>
      </c>
      <c r="AH37" s="630" t="str">
        <f t="shared" si="424"/>
        <v>#N/A</v>
      </c>
      <c r="AI37" s="630" t="str">
        <f t="shared" si="425"/>
        <v>#N/A</v>
      </c>
      <c r="AJ37" s="630" t="str">
        <f t="shared" si="426"/>
        <v>#N/A</v>
      </c>
      <c r="AK37" s="630" t="str">
        <f t="shared" si="427"/>
        <v>#N/A</v>
      </c>
      <c r="AL37" s="630" t="str">
        <f t="shared" si="428"/>
        <v>#N/A</v>
      </c>
      <c r="AM37" s="630" t="str">
        <f t="shared" si="429"/>
        <v>#N/A</v>
      </c>
      <c r="AN37" s="630" t="str">
        <f t="shared" si="430"/>
        <v>#N/A</v>
      </c>
      <c r="AO37" s="630" t="str">
        <f t="shared" si="431"/>
        <v>#N/A</v>
      </c>
      <c r="AP37" s="630" t="str">
        <f t="shared" si="432"/>
        <v>#N/A</v>
      </c>
      <c r="AQ37" s="630" t="str">
        <f t="shared" si="433"/>
        <v>#N/A</v>
      </c>
      <c r="AR37" s="630" t="str">
        <f t="shared" si="434"/>
        <v>#N/A</v>
      </c>
      <c r="AS37" s="630" t="str">
        <f t="shared" si="435"/>
        <v>#N/A</v>
      </c>
      <c r="AT37" s="630" t="str">
        <f t="shared" si="436"/>
        <v>#N/A</v>
      </c>
      <c r="AU37" s="630" t="str">
        <f t="shared" si="437"/>
        <v>#N/A</v>
      </c>
      <c r="AV37" s="630" t="str">
        <f t="shared" si="438"/>
        <v>#N/A</v>
      </c>
      <c r="AW37" s="630" t="str">
        <f t="shared" si="439"/>
        <v>#N/A</v>
      </c>
      <c r="AX37" s="630" t="str">
        <f t="shared" si="440"/>
        <v>#N/A</v>
      </c>
    </row>
    <row r="38">
      <c r="A38" s="1452" t="s">
        <v>2986</v>
      </c>
      <c r="B38" s="1439" t="s">
        <v>3026</v>
      </c>
      <c r="C38" s="1439" t="s">
        <v>3026</v>
      </c>
      <c r="D38" s="1441" t="s">
        <v>1361</v>
      </c>
      <c r="E38" s="1455"/>
      <c r="F38" s="1455"/>
      <c r="G38" s="1455">
        <f>SUMIF(AC_TKNO,$C38,AC_SOTIEN)</f>
        <v>0</v>
      </c>
      <c r="H38" s="1455">
        <f>SUMIF(AC_TKCO,$C38,AC_SOTIEN)</f>
        <v>0</v>
      </c>
      <c r="I38" s="1455" t="str">
        <f t="shared" si="408"/>
        <v>-</v>
      </c>
      <c r="J38" s="1455" t="str">
        <f t="shared" si="409"/>
        <v>-</v>
      </c>
      <c r="K38" s="1443"/>
      <c r="L38" s="1443"/>
      <c r="M38" s="1444" t="str">
        <f t="shared" ref="M38:N38" si="448">S38</f>
        <v>#N/A</v>
      </c>
      <c r="N38" s="1444" t="str">
        <f t="shared" si="448"/>
        <v>#N/A</v>
      </c>
      <c r="O38" s="1444" t="str">
        <f t="shared" ref="O38:P38" si="449">W38</f>
        <v>#N/A</v>
      </c>
      <c r="P38" s="1444" t="str">
        <f t="shared" si="449"/>
        <v>#N/A</v>
      </c>
      <c r="Q38" s="1445" t="str">
        <f t="shared" ref="Q38:R38" si="450">AE38</f>
        <v>#N/A</v>
      </c>
      <c r="R38" s="1445" t="str">
        <f t="shared" si="450"/>
        <v>#N/A</v>
      </c>
      <c r="S38" s="1445" t="str">
        <f t="shared" ref="S38:T38" si="451">AK38</f>
        <v>#N/A</v>
      </c>
      <c r="T38" s="1445" t="str">
        <f t="shared" si="451"/>
        <v>#N/A</v>
      </c>
      <c r="U38" s="1445" t="str">
        <f t="shared" ref="U38:V38" si="452">AQ38</f>
        <v>#N/A</v>
      </c>
      <c r="V38" s="1445" t="str">
        <f t="shared" si="452"/>
        <v>#N/A</v>
      </c>
      <c r="W38" s="1445" t="str">
        <f t="shared" ref="W38:X38" si="453">AW38</f>
        <v>#N/A</v>
      </c>
      <c r="X38" s="1445" t="str">
        <f t="shared" si="453"/>
        <v>#N/A</v>
      </c>
      <c r="Y38" s="1457" t="str">
        <f t="shared" ref="Y38:Z38" si="454">E38</f>
        <v/>
      </c>
      <c r="Z38" s="1457" t="str">
        <f t="shared" si="454"/>
        <v/>
      </c>
      <c r="AA38" s="630" t="str">
        <f t="shared" si="417"/>
        <v>#N/A</v>
      </c>
      <c r="AB38" s="630" t="str">
        <f t="shared" si="418"/>
        <v>#N/A</v>
      </c>
      <c r="AC38" s="630" t="str">
        <f t="shared" si="419"/>
        <v>#N/A</v>
      </c>
      <c r="AD38" s="630" t="str">
        <f t="shared" si="420"/>
        <v>#N/A</v>
      </c>
      <c r="AE38" s="630" t="str">
        <f t="shared" si="421"/>
        <v>#N/A</v>
      </c>
      <c r="AF38" s="630" t="str">
        <f t="shared" si="422"/>
        <v>#N/A</v>
      </c>
      <c r="AG38" s="630" t="str">
        <f t="shared" si="423"/>
        <v>#N/A</v>
      </c>
      <c r="AH38" s="630" t="str">
        <f t="shared" si="424"/>
        <v>#N/A</v>
      </c>
      <c r="AI38" s="630" t="str">
        <f t="shared" si="425"/>
        <v>#N/A</v>
      </c>
      <c r="AJ38" s="630" t="str">
        <f t="shared" si="426"/>
        <v>#N/A</v>
      </c>
      <c r="AK38" s="630" t="str">
        <f t="shared" si="427"/>
        <v>#N/A</v>
      </c>
      <c r="AL38" s="630" t="str">
        <f t="shared" si="428"/>
        <v>#N/A</v>
      </c>
      <c r="AM38" s="630" t="str">
        <f t="shared" si="429"/>
        <v>#N/A</v>
      </c>
      <c r="AN38" s="630" t="str">
        <f t="shared" si="430"/>
        <v>#N/A</v>
      </c>
      <c r="AO38" s="630" t="str">
        <f t="shared" si="431"/>
        <v>#N/A</v>
      </c>
      <c r="AP38" s="630" t="str">
        <f t="shared" si="432"/>
        <v>#N/A</v>
      </c>
      <c r="AQ38" s="630" t="str">
        <f t="shared" si="433"/>
        <v>#N/A</v>
      </c>
      <c r="AR38" s="630" t="str">
        <f t="shared" si="434"/>
        <v>#N/A</v>
      </c>
      <c r="AS38" s="630" t="str">
        <f t="shared" si="435"/>
        <v>#N/A</v>
      </c>
      <c r="AT38" s="630" t="str">
        <f t="shared" si="436"/>
        <v>#N/A</v>
      </c>
      <c r="AU38" s="630" t="str">
        <f t="shared" si="437"/>
        <v>#N/A</v>
      </c>
      <c r="AV38" s="630" t="str">
        <f t="shared" si="438"/>
        <v>#N/A</v>
      </c>
      <c r="AW38" s="630" t="str">
        <f t="shared" si="439"/>
        <v>#N/A</v>
      </c>
      <c r="AX38" s="630" t="str">
        <f t="shared" si="440"/>
        <v>#N/A</v>
      </c>
    </row>
    <row r="39" outlineLevel="1">
      <c r="A39" s="1452" t="s">
        <v>2986</v>
      </c>
      <c r="B39" s="1439" t="s">
        <v>3027</v>
      </c>
      <c r="C39" s="1439" t="s">
        <v>3027</v>
      </c>
      <c r="D39" s="1441" t="s">
        <v>1363</v>
      </c>
      <c r="E39" s="1455"/>
      <c r="F39" s="1455"/>
      <c r="G39" s="1455">
        <f>SUMIF(AC_TKNO,$C39,AC_SOTIEN)</f>
        <v>0</v>
      </c>
      <c r="H39" s="1455">
        <f>SUMIF(AC_TKCO,$C39,AC_SOTIEN)</f>
        <v>0</v>
      </c>
      <c r="I39" s="1455" t="str">
        <f t="shared" si="408"/>
        <v>-</v>
      </c>
      <c r="J39" s="1455" t="str">
        <f t="shared" si="409"/>
        <v>-</v>
      </c>
      <c r="K39" s="1443"/>
      <c r="L39" s="1443"/>
      <c r="M39" s="1444" t="str">
        <f t="shared" ref="M39:N39" si="455">S39</f>
        <v>#N/A</v>
      </c>
      <c r="N39" s="1444" t="str">
        <f t="shared" si="455"/>
        <v>#N/A</v>
      </c>
      <c r="O39" s="1444" t="str">
        <f t="shared" ref="O39:P39" si="456">W39</f>
        <v>#N/A</v>
      </c>
      <c r="P39" s="1444" t="str">
        <f t="shared" si="456"/>
        <v>#N/A</v>
      </c>
      <c r="Q39" s="1445" t="str">
        <f t="shared" ref="Q39:R39" si="457">AE39</f>
        <v>#N/A</v>
      </c>
      <c r="R39" s="1445" t="str">
        <f t="shared" si="457"/>
        <v>#N/A</v>
      </c>
      <c r="S39" s="1445" t="str">
        <f t="shared" ref="S39:T39" si="458">AK39</f>
        <v>#N/A</v>
      </c>
      <c r="T39" s="1445" t="str">
        <f t="shared" si="458"/>
        <v>#N/A</v>
      </c>
      <c r="U39" s="1445" t="str">
        <f t="shared" ref="U39:V39" si="459">AQ39</f>
        <v>#N/A</v>
      </c>
      <c r="V39" s="1445" t="str">
        <f t="shared" si="459"/>
        <v>#N/A</v>
      </c>
      <c r="W39" s="1445" t="str">
        <f t="shared" ref="W39:X39" si="460">AW39</f>
        <v>#N/A</v>
      </c>
      <c r="X39" s="1445" t="str">
        <f t="shared" si="460"/>
        <v>#N/A</v>
      </c>
      <c r="Y39" s="1457" t="str">
        <f t="shared" ref="Y39:Z39" si="461">E39</f>
        <v/>
      </c>
      <c r="Z39" s="1457" t="str">
        <f t="shared" si="461"/>
        <v/>
      </c>
      <c r="AA39" s="630" t="str">
        <f t="shared" si="417"/>
        <v>#N/A</v>
      </c>
      <c r="AB39" s="630" t="str">
        <f t="shared" si="418"/>
        <v>#N/A</v>
      </c>
      <c r="AC39" s="630" t="str">
        <f t="shared" si="419"/>
        <v>#N/A</v>
      </c>
      <c r="AD39" s="630" t="str">
        <f t="shared" si="420"/>
        <v>#N/A</v>
      </c>
      <c r="AE39" s="630" t="str">
        <f t="shared" si="421"/>
        <v>#N/A</v>
      </c>
      <c r="AF39" s="630" t="str">
        <f t="shared" si="422"/>
        <v>#N/A</v>
      </c>
      <c r="AG39" s="630" t="str">
        <f t="shared" si="423"/>
        <v>#N/A</v>
      </c>
      <c r="AH39" s="630" t="str">
        <f t="shared" si="424"/>
        <v>#N/A</v>
      </c>
      <c r="AI39" s="630" t="str">
        <f t="shared" si="425"/>
        <v>#N/A</v>
      </c>
      <c r="AJ39" s="630" t="str">
        <f t="shared" si="426"/>
        <v>#N/A</v>
      </c>
      <c r="AK39" s="630" t="str">
        <f t="shared" si="427"/>
        <v>#N/A</v>
      </c>
      <c r="AL39" s="630" t="str">
        <f t="shared" si="428"/>
        <v>#N/A</v>
      </c>
      <c r="AM39" s="630" t="str">
        <f t="shared" si="429"/>
        <v>#N/A</v>
      </c>
      <c r="AN39" s="630" t="str">
        <f t="shared" si="430"/>
        <v>#N/A</v>
      </c>
      <c r="AO39" s="630" t="str">
        <f t="shared" si="431"/>
        <v>#N/A</v>
      </c>
      <c r="AP39" s="630" t="str">
        <f t="shared" si="432"/>
        <v>#N/A</v>
      </c>
      <c r="AQ39" s="630" t="str">
        <f t="shared" si="433"/>
        <v>#N/A</v>
      </c>
      <c r="AR39" s="630" t="str">
        <f t="shared" si="434"/>
        <v>#N/A</v>
      </c>
      <c r="AS39" s="630" t="str">
        <f t="shared" si="435"/>
        <v>#N/A</v>
      </c>
      <c r="AT39" s="630" t="str">
        <f t="shared" si="436"/>
        <v>#N/A</v>
      </c>
      <c r="AU39" s="630" t="str">
        <f t="shared" si="437"/>
        <v>#N/A</v>
      </c>
      <c r="AV39" s="630" t="str">
        <f t="shared" si="438"/>
        <v>#N/A</v>
      </c>
      <c r="AW39" s="630" t="str">
        <f t="shared" si="439"/>
        <v>#N/A</v>
      </c>
      <c r="AX39" s="630" t="str">
        <f t="shared" si="440"/>
        <v>#N/A</v>
      </c>
    </row>
    <row r="40" outlineLevel="1">
      <c r="A40" s="1452" t="s">
        <v>2986</v>
      </c>
      <c r="B40" s="1439" t="s">
        <v>3028</v>
      </c>
      <c r="C40" s="1439" t="s">
        <v>3028</v>
      </c>
      <c r="D40" s="1441" t="s">
        <v>1364</v>
      </c>
      <c r="E40" s="1455"/>
      <c r="F40" s="1455"/>
      <c r="G40" s="1455">
        <f>SUMIF(AC_TKNO,$C40,AC_SOTIEN)</f>
        <v>0</v>
      </c>
      <c r="H40" s="1455">
        <f>SUMIF(AC_TKCO,$C40,AC_SOTIEN)</f>
        <v>0</v>
      </c>
      <c r="I40" s="1455" t="str">
        <f t="shared" si="408"/>
        <v>-</v>
      </c>
      <c r="J40" s="1455" t="str">
        <f t="shared" si="409"/>
        <v>-</v>
      </c>
      <c r="K40" s="1443"/>
      <c r="L40" s="1443"/>
      <c r="M40" s="1444" t="str">
        <f t="shared" ref="M40:N40" si="462">S40</f>
        <v>#N/A</v>
      </c>
      <c r="N40" s="1444" t="str">
        <f t="shared" si="462"/>
        <v>#N/A</v>
      </c>
      <c r="O40" s="1444" t="str">
        <f t="shared" ref="O40:P40" si="463">W40</f>
        <v>#N/A</v>
      </c>
      <c r="P40" s="1444" t="str">
        <f t="shared" si="463"/>
        <v>#N/A</v>
      </c>
      <c r="Q40" s="1445" t="str">
        <f t="shared" ref="Q40:R40" si="464">AE40</f>
        <v>#N/A</v>
      </c>
      <c r="R40" s="1445" t="str">
        <f t="shared" si="464"/>
        <v>#N/A</v>
      </c>
      <c r="S40" s="1445" t="str">
        <f t="shared" ref="S40:T40" si="465">AK40</f>
        <v>#N/A</v>
      </c>
      <c r="T40" s="1445" t="str">
        <f t="shared" si="465"/>
        <v>#N/A</v>
      </c>
      <c r="U40" s="1445" t="str">
        <f t="shared" ref="U40:V40" si="466">AQ40</f>
        <v>#N/A</v>
      </c>
      <c r="V40" s="1445" t="str">
        <f t="shared" si="466"/>
        <v>#N/A</v>
      </c>
      <c r="W40" s="1445" t="str">
        <f t="shared" ref="W40:X40" si="467">AW40</f>
        <v>#N/A</v>
      </c>
      <c r="X40" s="1445" t="str">
        <f t="shared" si="467"/>
        <v>#N/A</v>
      </c>
      <c r="Y40" s="1458">
        <f t="shared" ref="Y40:AX40" si="468">SUM(Y41:Y47)</f>
        <v>0</v>
      </c>
      <c r="Z40" s="1458">
        <f t="shared" si="468"/>
        <v>0</v>
      </c>
      <c r="AA40" s="1458" t="str">
        <f t="shared" si="468"/>
        <v>#N/A</v>
      </c>
      <c r="AB40" s="1458" t="str">
        <f t="shared" si="468"/>
        <v>#N/A</v>
      </c>
      <c r="AC40" s="1458" t="str">
        <f t="shared" si="468"/>
        <v>#N/A</v>
      </c>
      <c r="AD40" s="1458" t="str">
        <f t="shared" si="468"/>
        <v>#N/A</v>
      </c>
      <c r="AE40" s="1458" t="str">
        <f t="shared" si="468"/>
        <v>#N/A</v>
      </c>
      <c r="AF40" s="1458" t="str">
        <f t="shared" si="468"/>
        <v>#N/A</v>
      </c>
      <c r="AG40" s="1458" t="str">
        <f t="shared" si="468"/>
        <v>#N/A</v>
      </c>
      <c r="AH40" s="1458" t="str">
        <f t="shared" si="468"/>
        <v>#N/A</v>
      </c>
      <c r="AI40" s="1458" t="str">
        <f t="shared" si="468"/>
        <v>#N/A</v>
      </c>
      <c r="AJ40" s="1458" t="str">
        <f t="shared" si="468"/>
        <v>#N/A</v>
      </c>
      <c r="AK40" s="1458" t="str">
        <f t="shared" si="468"/>
        <v>#N/A</v>
      </c>
      <c r="AL40" s="1458" t="str">
        <f t="shared" si="468"/>
        <v>#N/A</v>
      </c>
      <c r="AM40" s="1458" t="str">
        <f t="shared" si="468"/>
        <v>#N/A</v>
      </c>
      <c r="AN40" s="1458" t="str">
        <f t="shared" si="468"/>
        <v>#N/A</v>
      </c>
      <c r="AO40" s="1458" t="str">
        <f t="shared" si="468"/>
        <v>#N/A</v>
      </c>
      <c r="AP40" s="1458" t="str">
        <f t="shared" si="468"/>
        <v>#N/A</v>
      </c>
      <c r="AQ40" s="1458" t="str">
        <f t="shared" si="468"/>
        <v>#N/A</v>
      </c>
      <c r="AR40" s="1458" t="str">
        <f t="shared" si="468"/>
        <v>#N/A</v>
      </c>
      <c r="AS40" s="1458" t="str">
        <f t="shared" si="468"/>
        <v>#N/A</v>
      </c>
      <c r="AT40" s="1458" t="str">
        <f t="shared" si="468"/>
        <v>#N/A</v>
      </c>
      <c r="AU40" s="1458" t="str">
        <f t="shared" si="468"/>
        <v>#N/A</v>
      </c>
      <c r="AV40" s="1458" t="str">
        <f t="shared" si="468"/>
        <v>#N/A</v>
      </c>
      <c r="AW40" s="1458" t="str">
        <f t="shared" si="468"/>
        <v>#N/A</v>
      </c>
      <c r="AX40" s="1458" t="str">
        <f t="shared" si="468"/>
        <v>#N/A</v>
      </c>
    </row>
    <row r="41">
      <c r="A41" s="1452" t="s">
        <v>2986</v>
      </c>
      <c r="B41" s="1439" t="s">
        <v>3029</v>
      </c>
      <c r="C41" s="1440"/>
      <c r="D41" s="1441" t="s">
        <v>1365</v>
      </c>
      <c r="E41" s="1442">
        <f t="shared" ref="E41:J41" si="469">SUM(E42:E45)</f>
        <v>0</v>
      </c>
      <c r="F41" s="1442">
        <f t="shared" si="469"/>
        <v>0</v>
      </c>
      <c r="G41" s="1442">
        <f t="shared" si="469"/>
        <v>1350000000</v>
      </c>
      <c r="H41" s="1442">
        <f t="shared" si="469"/>
        <v>0</v>
      </c>
      <c r="I41" s="1442">
        <f t="shared" si="469"/>
        <v>1350000000</v>
      </c>
      <c r="J41" s="1442">
        <f t="shared" si="469"/>
        <v>0</v>
      </c>
      <c r="K41" s="1443"/>
      <c r="L41" s="1443"/>
      <c r="M41" s="1444" t="str">
        <f t="shared" ref="M41:N41" si="470">S41</f>
        <v>#N/A</v>
      </c>
      <c r="N41" s="1444" t="str">
        <f t="shared" si="470"/>
        <v>#N/A</v>
      </c>
      <c r="O41" s="1444" t="str">
        <f t="shared" ref="O41:P41" si="471">W41</f>
        <v>#N/A</v>
      </c>
      <c r="P41" s="1444" t="str">
        <f t="shared" si="471"/>
        <v>#N/A</v>
      </c>
      <c r="Q41" s="1445" t="str">
        <f t="shared" ref="Q41:R41" si="472">AE41</f>
        <v>#N/A</v>
      </c>
      <c r="R41" s="1445" t="str">
        <f t="shared" si="472"/>
        <v>#N/A</v>
      </c>
      <c r="S41" s="1445" t="str">
        <f t="shared" ref="S41:T41" si="473">AK41</f>
        <v>#N/A</v>
      </c>
      <c r="T41" s="1445" t="str">
        <f t="shared" si="473"/>
        <v>#N/A</v>
      </c>
      <c r="U41" s="1445" t="str">
        <f t="shared" ref="U41:V41" si="474">AQ41</f>
        <v>#N/A</v>
      </c>
      <c r="V41" s="1445" t="str">
        <f t="shared" si="474"/>
        <v>#N/A</v>
      </c>
      <c r="W41" s="1445" t="str">
        <f t="shared" ref="W41:X41" si="475">AW41</f>
        <v>#N/A</v>
      </c>
      <c r="X41" s="1445" t="str">
        <f t="shared" si="475"/>
        <v>#N/A</v>
      </c>
      <c r="Y41" s="630">
        <f t="shared" ref="Y41:Z41" si="476">E41</f>
        <v>0</v>
      </c>
      <c r="Z41" s="630">
        <f t="shared" si="476"/>
        <v>0</v>
      </c>
      <c r="AA41" s="630" t="str">
        <f t="shared" ref="AA41:AA47" si="484">IF(Y41+SUMIFS(PS_SOTIEN,PS_TKNO,$B39,PS_MONTH,AA$3)-Z41-SUMIFS(PS_SOTIEN,PS_TKCO,$B39,PS_MONTH,AA$3)&gt;0,Y41+SUMIFS(PS_SOTIEN,PS_TKNO,$B39,PS_MONTH,AA$3)-Z41-SUMIFS(PS_SOTIEN,PS_TKCO,$B39,PS_MONTH,AA$3),0)</f>
        <v>#N/A</v>
      </c>
      <c r="AB41" s="630" t="str">
        <f t="shared" ref="AB41:AB47" si="485">IF(Z41+SUMIFS(PS_SOTIEN,PS_TKCO,$B39,PS_MONTH,AA$3)-Y41-SUMIFS(PS_SOTIEN,PS_TKNO,$B39,PS_MONTH,AA$3)&gt;0,Z41+SUMIFS(PS_SOTIEN,PS_TKCO,$B39,PS_MONTH,AA$3)-Y41-SUMIFS(PS_SOTIEN,PS_TKNO,$B39,PS_MONTH,AA$3),0)</f>
        <v>#N/A</v>
      </c>
      <c r="AC41" s="630" t="str">
        <f t="shared" ref="AC41:AC47" si="486">IF(AA41+SUMIFS(PS_SOTIEN,PS_TKNO,$B39,PS_MONTH,AC$3)-AB41-SUMIFS(PS_SOTIEN,PS_TKCO,$B39,PS_MONTH,AC$3)&gt;0,AA41+SUMIFS(PS_SOTIEN,PS_TKNO,$B39,PS_MONTH,AC$3)-AB41-SUMIFS(PS_SOTIEN,PS_TKCO,$B39,PS_MONTH,AC$3),0)</f>
        <v>#N/A</v>
      </c>
      <c r="AD41" s="630" t="str">
        <f t="shared" ref="AD41:AD47" si="487">IF(AB41+SUMIFS(PS_SOTIEN,PS_TKCO,$B39,PS_MONTH,AC$3)-AA41-SUMIFS(PS_SOTIEN,PS_TKNO,$B39,PS_MONTH,AC$3)&gt;0,AB41+SUMIFS(PS_SOTIEN,PS_TKCO,$B39,PS_MONTH,AC$3)-AA41-SUMIFS(PS_SOTIEN,PS_TKNO,$B39,PS_MONTH,AC$3),0)</f>
        <v>#N/A</v>
      </c>
      <c r="AE41" s="630" t="str">
        <f t="shared" ref="AE41:AE47" si="488">IF(AC41+SUMIFS(PS_SOTIEN,PS_TKNO,$B39,PS_MONTH,AE$3)-AD41-SUMIFS(PS_SOTIEN,PS_TKCO,$B39,PS_MONTH,AE$3)&gt;0,AC41+SUMIFS(PS_SOTIEN,PS_TKNO,$B39,PS_MONTH,AE$3)-AD41-SUMIFS(PS_SOTIEN,PS_TKCO,$B39,PS_MONTH,AE$3),0)</f>
        <v>#N/A</v>
      </c>
      <c r="AF41" s="630" t="str">
        <f t="shared" ref="AF41:AF47" si="489">IF(AD41+SUMIFS(PS_SOTIEN,PS_TKCO,$B39,PS_MONTH,AE$3)-AC41-SUMIFS(PS_SOTIEN,PS_TKNO,$B39,PS_MONTH,AE$3)&gt;0,AD41+SUMIFS(PS_SOTIEN,PS_TKCO,$B39,PS_MONTH,AE$3)-AC41-SUMIFS(PS_SOTIEN,PS_TKNO,$B39,PS_MONTH,AE$3),0)</f>
        <v>#N/A</v>
      </c>
      <c r="AG41" s="630" t="str">
        <f t="shared" ref="AG41:AG47" si="490">IF(AE41+SUMIFS(PS_SOTIEN,PS_TKNO,$B39,PS_MONTH,AG$3)-AF41-SUMIFS(PS_SOTIEN,PS_TKCO,$B39,PS_MONTH,AG$3)&gt;0,AE41+SUMIFS(PS_SOTIEN,PS_TKNO,$B39,PS_MONTH,AG$3)-AF41-SUMIFS(PS_SOTIEN,PS_TKCO,$B39,PS_MONTH,AG$3),0)</f>
        <v>#N/A</v>
      </c>
      <c r="AH41" s="630" t="str">
        <f t="shared" ref="AH41:AH47" si="491">IF(AF41+SUMIFS(PS_SOTIEN,PS_TKCO,$B39,PS_MONTH,AG$3)-AE41-SUMIFS(PS_SOTIEN,PS_TKNO,$B39,PS_MONTH,AG$3)&gt;0,AF41+SUMIFS(PS_SOTIEN,PS_TKCO,$B39,PS_MONTH,AG$3)-AE41-SUMIFS(PS_SOTIEN,PS_TKNO,$B39,PS_MONTH,AG$3),0)</f>
        <v>#N/A</v>
      </c>
      <c r="AI41" s="630" t="str">
        <f t="shared" ref="AI41:AI47" si="492">IF(AG41+SUMIFS(PS_SOTIEN,PS_TKNO,$B39,PS_MONTH,AI$3)-AH41-SUMIFS(PS_SOTIEN,PS_TKCO,$B39,PS_MONTH,AI$3)&gt;0,AG41+SUMIFS(PS_SOTIEN,PS_TKNO,$B39,PS_MONTH,AI$3)-AH41-SUMIFS(PS_SOTIEN,PS_TKCO,$B39,PS_MONTH,AI$3),0)</f>
        <v>#N/A</v>
      </c>
      <c r="AJ41" s="630" t="str">
        <f t="shared" ref="AJ41:AJ47" si="493">IF(AH41+SUMIFS(PS_SOTIEN,PS_TKCO,$B39,PS_MONTH,AI$3)-AG41-SUMIFS(PS_SOTIEN,PS_TKNO,$B39,PS_MONTH,AI$3)&gt;0,AH41+SUMIFS(PS_SOTIEN,PS_TKCO,$B39,PS_MONTH,AI$3)-AG41-SUMIFS(PS_SOTIEN,PS_TKNO,$B39,PS_MONTH,AI$3),0)</f>
        <v>#N/A</v>
      </c>
      <c r="AK41" s="630" t="str">
        <f t="shared" ref="AK41:AK47" si="494">IF(AI41+SUMIFS(PS_SOTIEN,PS_TKNO,$B39,PS_MONTH,AK$3)-AJ41-SUMIFS(PS_SOTIEN,PS_TKCO,$B39,PS_MONTH,AK$3)&gt;0,AI41+SUMIFS(PS_SOTIEN,PS_TKNO,$B39,PS_MONTH,AK$3)-AJ41-SUMIFS(PS_SOTIEN,PS_TKCO,$B39,PS_MONTH,AK$3),0)</f>
        <v>#N/A</v>
      </c>
      <c r="AL41" s="630" t="str">
        <f t="shared" ref="AL41:AL47" si="495">IF(AJ41+SUMIFS(PS_SOTIEN,PS_TKCO,$B39,PS_MONTH,AK$3)-AI41-SUMIFS(PS_SOTIEN,PS_TKNO,$B39,PS_MONTH,AK$3)&gt;0,AJ41+SUMIFS(PS_SOTIEN,PS_TKCO,$B39,PS_MONTH,AK$3)-AI41-SUMIFS(PS_SOTIEN,PS_TKNO,$B39,PS_MONTH,AK$3),0)</f>
        <v>#N/A</v>
      </c>
      <c r="AM41" s="630" t="str">
        <f t="shared" ref="AM41:AM47" si="496">IF(AK41+SUMIFS(PS_SOTIEN,PS_TKNO,$B39,PS_MONTH,AM$3)-AL41-SUMIFS(PS_SOTIEN,PS_TKCO,$B39,PS_MONTH,AM$3)&gt;0,AK41+SUMIFS(PS_SOTIEN,PS_TKNO,$B39,PS_MONTH,AM$3)-AL41-SUMIFS(PS_SOTIEN,PS_TKCO,$B39,PS_MONTH,AM$3),0)</f>
        <v>#N/A</v>
      </c>
      <c r="AN41" s="630" t="str">
        <f t="shared" ref="AN41:AN47" si="497">IF(AL41+SUMIFS(PS_SOTIEN,PS_TKCO,$B39,PS_MONTH,AM$3)-AK41-SUMIFS(PS_SOTIEN,PS_TKNO,$B39,PS_MONTH,AM$3)&gt;0,AL41+SUMIFS(PS_SOTIEN,PS_TKCO,$B39,PS_MONTH,AM$3)-AK41-SUMIFS(PS_SOTIEN,PS_TKNO,$B39,PS_MONTH,AM$3),0)</f>
        <v>#N/A</v>
      </c>
      <c r="AO41" s="630" t="str">
        <f t="shared" ref="AO41:AO47" si="498">IF(AM41+SUMIFS(PS_SOTIEN,PS_TKNO,$B39,PS_MONTH,AO$3)-AN41-SUMIFS(PS_SOTIEN,PS_TKCO,$B39,PS_MONTH,AO$3)&gt;0,AM41+SUMIFS(PS_SOTIEN,PS_TKNO,$B39,PS_MONTH,AO$3)-AN41-SUMIFS(PS_SOTIEN,PS_TKCO,$B39,PS_MONTH,AO$3),0)</f>
        <v>#N/A</v>
      </c>
      <c r="AP41" s="630" t="str">
        <f t="shared" ref="AP41:AP47" si="499">IF(AN41+SUMIFS(PS_SOTIEN,PS_TKCO,$B39,PS_MONTH,AO$3)-AM41-SUMIFS(PS_SOTIEN,PS_TKNO,$B39,PS_MONTH,AO$3)&gt;0,AN41+SUMIFS(PS_SOTIEN,PS_TKCO,$B39,PS_MONTH,AO$3)-AM41-SUMIFS(PS_SOTIEN,PS_TKNO,$B39,PS_MONTH,AO$3),0)</f>
        <v>#N/A</v>
      </c>
      <c r="AQ41" s="630" t="str">
        <f t="shared" ref="AQ41:AQ47" si="500">IF(AO41+SUMIFS(PS_SOTIEN,PS_TKNO,$B39,PS_MONTH,AQ$3)-AP41-SUMIFS(PS_SOTIEN,PS_TKCO,$B39,PS_MONTH,AQ$3)&gt;0,AO41+SUMIFS(PS_SOTIEN,PS_TKNO,$B39,PS_MONTH,AQ$3)-AP41-SUMIFS(PS_SOTIEN,PS_TKCO,$B39,PS_MONTH,AQ$3),0)</f>
        <v>#N/A</v>
      </c>
      <c r="AR41" s="630" t="str">
        <f t="shared" ref="AR41:AR47" si="501">IF(AP41+SUMIFS(PS_SOTIEN,PS_TKCO,$B39,PS_MONTH,AQ$3)-AO41-SUMIFS(PS_SOTIEN,PS_TKNO,$B39,PS_MONTH,AQ$3)&gt;0,AP41+SUMIFS(PS_SOTIEN,PS_TKCO,$B39,PS_MONTH,AQ$3)-AO41-SUMIFS(PS_SOTIEN,PS_TKNO,$B39,PS_MONTH,AQ$3),0)</f>
        <v>#N/A</v>
      </c>
      <c r="AS41" s="630" t="str">
        <f t="shared" ref="AS41:AS47" si="502">IF(AQ41+SUMIFS(PS_SOTIEN,PS_TKNO,$B39,PS_MONTH,AS$3)-AR41-SUMIFS(PS_SOTIEN,PS_TKCO,$B39,PS_MONTH,AS$3)&gt;0,AQ41+SUMIFS(PS_SOTIEN,PS_TKNO,$B39,PS_MONTH,AS$3)-AR41-SUMIFS(PS_SOTIEN,PS_TKCO,$B39,PS_MONTH,AS$3),0)</f>
        <v>#N/A</v>
      </c>
      <c r="AT41" s="630" t="str">
        <f t="shared" ref="AT41:AT47" si="503">IF(AR41+SUMIFS(PS_SOTIEN,PS_TKCO,$B39,PS_MONTH,AS$3)-AQ41-SUMIFS(PS_SOTIEN,PS_TKNO,$B39,PS_MONTH,AS$3)&gt;0,AR41+SUMIFS(PS_SOTIEN,PS_TKCO,$B39,PS_MONTH,AS$3)-AQ41-SUMIFS(PS_SOTIEN,PS_TKNO,$B39,PS_MONTH,AS$3),0)</f>
        <v>#N/A</v>
      </c>
      <c r="AU41" s="630" t="str">
        <f t="shared" ref="AU41:AU47" si="504">IF(AS41+SUMIFS(PS_SOTIEN,PS_TKNO,$B39,PS_MONTH,AU$3)-AT41-SUMIFS(PS_SOTIEN,PS_TKCO,$B39,PS_MONTH,AU$3)&gt;0,AS41+SUMIFS(PS_SOTIEN,PS_TKNO,$B39,PS_MONTH,AU$3)-AT41-SUMIFS(PS_SOTIEN,PS_TKCO,$B39,PS_MONTH,AU$3),0)</f>
        <v>#N/A</v>
      </c>
      <c r="AV41" s="630" t="str">
        <f t="shared" ref="AV41:AV47" si="505">IF(AT41+SUMIFS(PS_SOTIEN,PS_TKCO,$B39,PS_MONTH,AU$3)-AS41-SUMIFS(PS_SOTIEN,PS_TKNO,$B39,PS_MONTH,AU$3)&gt;0,AT41+SUMIFS(PS_SOTIEN,PS_TKCO,$B39,PS_MONTH,AU$3)-AS41-SUMIFS(PS_SOTIEN,PS_TKNO,$B39,PS_MONTH,AU$3),0)</f>
        <v>#N/A</v>
      </c>
      <c r="AW41" s="630" t="str">
        <f t="shared" ref="AW41:AW47" si="506">IF(AU41+SUMIFS(PS_SOTIEN,PS_TKNO,$B39,PS_MONTH,AW$3)-AV41-SUMIFS(PS_SOTIEN,PS_TKCO,$B39,PS_MONTH,AW$3)&gt;0,AU41+SUMIFS(PS_SOTIEN,PS_TKNO,$B39,PS_MONTH,AW$3)-AV41-SUMIFS(PS_SOTIEN,PS_TKCO,$B39,PS_MONTH,AW$3),0)</f>
        <v>#N/A</v>
      </c>
      <c r="AX41" s="630" t="str">
        <f t="shared" ref="AX41:AX47" si="507">IF(AV41+SUMIFS(PS_SOTIEN,PS_TKCO,$B39,PS_MONTH,AW$3)-AU41-SUMIFS(PS_SOTIEN,PS_TKNO,$B39,PS_MONTH,AW$3)&gt;0,AV41+SUMIFS(PS_SOTIEN,PS_TKCO,$B39,PS_MONTH,AW$3)-AU41-SUMIFS(PS_SOTIEN,PS_TKNO,$B39,PS_MONTH,AW$3),0)</f>
        <v>#N/A</v>
      </c>
    </row>
    <row r="42">
      <c r="A42" s="1448"/>
      <c r="B42" s="1440"/>
      <c r="C42" s="1449" t="s">
        <v>3030</v>
      </c>
      <c r="D42" s="1433" t="s">
        <v>1365</v>
      </c>
      <c r="E42" s="1450"/>
      <c r="F42" s="1450"/>
      <c r="G42" s="1450">
        <f>SUMIF(AC_TKNO,$C42,AC_SOTIEN)</f>
        <v>1350000000</v>
      </c>
      <c r="H42" s="1450">
        <f>SUMIF(AC_TKCO,$C42,AC_SOTIEN)</f>
        <v>0</v>
      </c>
      <c r="I42" s="1450">
        <f t="shared" ref="I42:I46" si="508">IF(E42+G42-F42-H42&gt;0,E42+G42-F42-H42,"-")</f>
        <v>1350000000</v>
      </c>
      <c r="J42" s="1450" t="str">
        <f t="shared" ref="J42:J46" si="509">IF(F42+H42-E42-G42&gt;0,F42+H42-E42-G42,"-")</f>
        <v>-</v>
      </c>
      <c r="K42" s="1443"/>
      <c r="L42" s="1443"/>
      <c r="M42" s="1444" t="str">
        <f t="shared" ref="M42:N42" si="477">S42</f>
        <v>#N/A</v>
      </c>
      <c r="N42" s="1444" t="str">
        <f t="shared" si="477"/>
        <v>#N/A</v>
      </c>
      <c r="O42" s="1444" t="str">
        <f t="shared" ref="O42:P42" si="478">W42</f>
        <v>#N/A</v>
      </c>
      <c r="P42" s="1444" t="str">
        <f t="shared" si="478"/>
        <v>#N/A</v>
      </c>
      <c r="Q42" s="1445" t="str">
        <f t="shared" ref="Q42:R42" si="479">AE42</f>
        <v>#N/A</v>
      </c>
      <c r="R42" s="1445" t="str">
        <f t="shared" si="479"/>
        <v>#N/A</v>
      </c>
      <c r="S42" s="1445" t="str">
        <f t="shared" ref="S42:T42" si="480">AK42</f>
        <v>#N/A</v>
      </c>
      <c r="T42" s="1445" t="str">
        <f t="shared" si="480"/>
        <v>#N/A</v>
      </c>
      <c r="U42" s="1445" t="str">
        <f t="shared" ref="U42:V42" si="481">AQ42</f>
        <v>#N/A</v>
      </c>
      <c r="V42" s="1445" t="str">
        <f t="shared" si="481"/>
        <v>#N/A</v>
      </c>
      <c r="W42" s="1445" t="str">
        <f t="shared" ref="W42:X42" si="482">AW42</f>
        <v>#N/A</v>
      </c>
      <c r="X42" s="1445" t="str">
        <f t="shared" si="482"/>
        <v>#N/A</v>
      </c>
      <c r="Y42" s="630" t="str">
        <f t="shared" ref="Y42:Z42" si="483">E42</f>
        <v/>
      </c>
      <c r="Z42" s="630" t="str">
        <f t="shared" si="483"/>
        <v/>
      </c>
      <c r="AA42" s="630" t="str">
        <f t="shared" si="484"/>
        <v>#N/A</v>
      </c>
      <c r="AB42" s="630" t="str">
        <f t="shared" si="485"/>
        <v>#N/A</v>
      </c>
      <c r="AC42" s="630" t="str">
        <f t="shared" si="486"/>
        <v>#N/A</v>
      </c>
      <c r="AD42" s="630" t="str">
        <f t="shared" si="487"/>
        <v>#N/A</v>
      </c>
      <c r="AE42" s="630" t="str">
        <f t="shared" si="488"/>
        <v>#N/A</v>
      </c>
      <c r="AF42" s="630" t="str">
        <f t="shared" si="489"/>
        <v>#N/A</v>
      </c>
      <c r="AG42" s="630" t="str">
        <f t="shared" si="490"/>
        <v>#N/A</v>
      </c>
      <c r="AH42" s="630" t="str">
        <f t="shared" si="491"/>
        <v>#N/A</v>
      </c>
      <c r="AI42" s="630" t="str">
        <f t="shared" si="492"/>
        <v>#N/A</v>
      </c>
      <c r="AJ42" s="630" t="str">
        <f t="shared" si="493"/>
        <v>#N/A</v>
      </c>
      <c r="AK42" s="630" t="str">
        <f t="shared" si="494"/>
        <v>#N/A</v>
      </c>
      <c r="AL42" s="630" t="str">
        <f t="shared" si="495"/>
        <v>#N/A</v>
      </c>
      <c r="AM42" s="630" t="str">
        <f t="shared" si="496"/>
        <v>#N/A</v>
      </c>
      <c r="AN42" s="630" t="str">
        <f t="shared" si="497"/>
        <v>#N/A</v>
      </c>
      <c r="AO42" s="630" t="str">
        <f t="shared" si="498"/>
        <v>#N/A</v>
      </c>
      <c r="AP42" s="630" t="str">
        <f t="shared" si="499"/>
        <v>#N/A</v>
      </c>
      <c r="AQ42" s="630" t="str">
        <f t="shared" si="500"/>
        <v>#N/A</v>
      </c>
      <c r="AR42" s="630" t="str">
        <f t="shared" si="501"/>
        <v>#N/A</v>
      </c>
      <c r="AS42" s="630" t="str">
        <f t="shared" si="502"/>
        <v>#N/A</v>
      </c>
      <c r="AT42" s="630" t="str">
        <f t="shared" si="503"/>
        <v>#N/A</v>
      </c>
      <c r="AU42" s="630" t="str">
        <f t="shared" si="504"/>
        <v>#N/A</v>
      </c>
      <c r="AV42" s="630" t="str">
        <f t="shared" si="505"/>
        <v>#N/A</v>
      </c>
      <c r="AW42" s="630" t="str">
        <f t="shared" si="506"/>
        <v>#N/A</v>
      </c>
      <c r="AX42" s="630" t="str">
        <f t="shared" si="507"/>
        <v>#N/A</v>
      </c>
    </row>
    <row r="43">
      <c r="A43" s="1448"/>
      <c r="B43" s="1440"/>
      <c r="C43" s="1449" t="s">
        <v>3031</v>
      </c>
      <c r="D43" s="1433" t="s">
        <v>3032</v>
      </c>
      <c r="E43" s="1450"/>
      <c r="F43" s="1450"/>
      <c r="G43" s="1450">
        <f>SUMIF(AC_TKNO,$C43,AC_SOTIEN)</f>
        <v>0</v>
      </c>
      <c r="H43" s="1450">
        <f>SUMIF(AC_TKCO,$C43,AC_SOTIEN)</f>
        <v>0</v>
      </c>
      <c r="I43" s="1450" t="str">
        <f t="shared" si="508"/>
        <v>-</v>
      </c>
      <c r="J43" s="1450" t="str">
        <f t="shared" si="509"/>
        <v>-</v>
      </c>
      <c r="K43" s="1443"/>
      <c r="L43" s="1443"/>
      <c r="M43" s="1444" t="str">
        <f t="shared" ref="M43:N43" si="510">S43</f>
        <v>#N/A</v>
      </c>
      <c r="N43" s="1444" t="str">
        <f t="shared" si="510"/>
        <v>#N/A</v>
      </c>
      <c r="O43" s="1444" t="str">
        <f t="shared" ref="O43:P43" si="511">W43</f>
        <v>#N/A</v>
      </c>
      <c r="P43" s="1444" t="str">
        <f t="shared" si="511"/>
        <v>#N/A</v>
      </c>
      <c r="Q43" s="1445" t="str">
        <f t="shared" ref="Q43:R43" si="512">AE43</f>
        <v>#N/A</v>
      </c>
      <c r="R43" s="1445" t="str">
        <f t="shared" si="512"/>
        <v>#N/A</v>
      </c>
      <c r="S43" s="1445" t="str">
        <f t="shared" ref="S43:T43" si="513">AK43</f>
        <v>#N/A</v>
      </c>
      <c r="T43" s="1445" t="str">
        <f t="shared" si="513"/>
        <v>#N/A</v>
      </c>
      <c r="U43" s="1445" t="str">
        <f t="shared" ref="U43:V43" si="514">AQ43</f>
        <v>#N/A</v>
      </c>
      <c r="V43" s="1445" t="str">
        <f t="shared" si="514"/>
        <v>#N/A</v>
      </c>
      <c r="W43" s="1445" t="str">
        <f t="shared" ref="W43:X43" si="515">AW43</f>
        <v>#N/A</v>
      </c>
      <c r="X43" s="1445" t="str">
        <f t="shared" si="515"/>
        <v>#N/A</v>
      </c>
      <c r="Y43" s="630" t="str">
        <f t="shared" ref="Y43:Z43" si="516">E43</f>
        <v/>
      </c>
      <c r="Z43" s="630" t="str">
        <f t="shared" si="516"/>
        <v/>
      </c>
      <c r="AA43" s="630" t="str">
        <f t="shared" si="484"/>
        <v>#N/A</v>
      </c>
      <c r="AB43" s="630" t="str">
        <f t="shared" si="485"/>
        <v>#N/A</v>
      </c>
      <c r="AC43" s="630" t="str">
        <f t="shared" si="486"/>
        <v>#N/A</v>
      </c>
      <c r="AD43" s="630" t="str">
        <f t="shared" si="487"/>
        <v>#N/A</v>
      </c>
      <c r="AE43" s="630" t="str">
        <f t="shared" si="488"/>
        <v>#N/A</v>
      </c>
      <c r="AF43" s="630" t="str">
        <f t="shared" si="489"/>
        <v>#N/A</v>
      </c>
      <c r="AG43" s="630" t="str">
        <f t="shared" si="490"/>
        <v>#N/A</v>
      </c>
      <c r="AH43" s="630" t="str">
        <f t="shared" si="491"/>
        <v>#N/A</v>
      </c>
      <c r="AI43" s="630" t="str">
        <f t="shared" si="492"/>
        <v>#N/A</v>
      </c>
      <c r="AJ43" s="630" t="str">
        <f t="shared" si="493"/>
        <v>#N/A</v>
      </c>
      <c r="AK43" s="630" t="str">
        <f t="shared" si="494"/>
        <v>#N/A</v>
      </c>
      <c r="AL43" s="630" t="str">
        <f t="shared" si="495"/>
        <v>#N/A</v>
      </c>
      <c r="AM43" s="630" t="str">
        <f t="shared" si="496"/>
        <v>#N/A</v>
      </c>
      <c r="AN43" s="630" t="str">
        <f t="shared" si="497"/>
        <v>#N/A</v>
      </c>
      <c r="AO43" s="630" t="str">
        <f t="shared" si="498"/>
        <v>#N/A</v>
      </c>
      <c r="AP43" s="630" t="str">
        <f t="shared" si="499"/>
        <v>#N/A</v>
      </c>
      <c r="AQ43" s="630" t="str">
        <f t="shared" si="500"/>
        <v>#N/A</v>
      </c>
      <c r="AR43" s="630" t="str">
        <f t="shared" si="501"/>
        <v>#N/A</v>
      </c>
      <c r="AS43" s="630" t="str">
        <f t="shared" si="502"/>
        <v>#N/A</v>
      </c>
      <c r="AT43" s="630" t="str">
        <f t="shared" si="503"/>
        <v>#N/A</v>
      </c>
      <c r="AU43" s="630" t="str">
        <f t="shared" si="504"/>
        <v>#N/A</v>
      </c>
      <c r="AV43" s="630" t="str">
        <f t="shared" si="505"/>
        <v>#N/A</v>
      </c>
      <c r="AW43" s="630" t="str">
        <f t="shared" si="506"/>
        <v>#N/A</v>
      </c>
      <c r="AX43" s="630" t="str">
        <f t="shared" si="507"/>
        <v>#N/A</v>
      </c>
    </row>
    <row r="44">
      <c r="A44" s="1448"/>
      <c r="B44" s="1440"/>
      <c r="C44" s="1449" t="s">
        <v>3033</v>
      </c>
      <c r="D44" s="1433" t="s">
        <v>3034</v>
      </c>
      <c r="E44" s="1450"/>
      <c r="F44" s="1450"/>
      <c r="G44" s="1450">
        <f>SUMIF(AC_TKNO,$C44,AC_SOTIEN)</f>
        <v>0</v>
      </c>
      <c r="H44" s="1450">
        <f>SUMIF(AC_TKCO,$C44,AC_SOTIEN)</f>
        <v>0</v>
      </c>
      <c r="I44" s="1450" t="str">
        <f t="shared" si="508"/>
        <v>-</v>
      </c>
      <c r="J44" s="1450" t="str">
        <f t="shared" si="509"/>
        <v>-</v>
      </c>
      <c r="K44" s="1443"/>
      <c r="L44" s="1443"/>
      <c r="M44" s="1444" t="str">
        <f t="shared" ref="M44:N44" si="517">S44</f>
        <v>#N/A</v>
      </c>
      <c r="N44" s="1444" t="str">
        <f t="shared" si="517"/>
        <v>#N/A</v>
      </c>
      <c r="O44" s="1444" t="str">
        <f t="shared" ref="O44:P44" si="518">W44</f>
        <v>#N/A</v>
      </c>
      <c r="P44" s="1444" t="str">
        <f t="shared" si="518"/>
        <v>#N/A</v>
      </c>
      <c r="Q44" s="1445" t="str">
        <f t="shared" ref="Q44:R44" si="519">AE44</f>
        <v>#N/A</v>
      </c>
      <c r="R44" s="1445" t="str">
        <f t="shared" si="519"/>
        <v>#N/A</v>
      </c>
      <c r="S44" s="1445" t="str">
        <f t="shared" ref="S44:T44" si="520">AK44</f>
        <v>#N/A</v>
      </c>
      <c r="T44" s="1445" t="str">
        <f t="shared" si="520"/>
        <v>#N/A</v>
      </c>
      <c r="U44" s="1445" t="str">
        <f t="shared" ref="U44:V44" si="521">AQ44</f>
        <v>#N/A</v>
      </c>
      <c r="V44" s="1445" t="str">
        <f t="shared" si="521"/>
        <v>#N/A</v>
      </c>
      <c r="W44" s="1445" t="str">
        <f t="shared" ref="W44:X44" si="522">AW44</f>
        <v>#N/A</v>
      </c>
      <c r="X44" s="1445" t="str">
        <f t="shared" si="522"/>
        <v>#N/A</v>
      </c>
      <c r="Y44" s="630" t="str">
        <f t="shared" ref="Y44:Z44" si="523">E44</f>
        <v/>
      </c>
      <c r="Z44" s="630" t="str">
        <f t="shared" si="523"/>
        <v/>
      </c>
      <c r="AA44" s="630" t="str">
        <f t="shared" si="484"/>
        <v>#N/A</v>
      </c>
      <c r="AB44" s="630" t="str">
        <f t="shared" si="485"/>
        <v>#N/A</v>
      </c>
      <c r="AC44" s="630" t="str">
        <f t="shared" si="486"/>
        <v>#N/A</v>
      </c>
      <c r="AD44" s="630" t="str">
        <f t="shared" si="487"/>
        <v>#N/A</v>
      </c>
      <c r="AE44" s="630" t="str">
        <f t="shared" si="488"/>
        <v>#N/A</v>
      </c>
      <c r="AF44" s="630" t="str">
        <f t="shared" si="489"/>
        <v>#N/A</v>
      </c>
      <c r="AG44" s="630" t="str">
        <f t="shared" si="490"/>
        <v>#N/A</v>
      </c>
      <c r="AH44" s="630" t="str">
        <f t="shared" si="491"/>
        <v>#N/A</v>
      </c>
      <c r="AI44" s="630" t="str">
        <f t="shared" si="492"/>
        <v>#N/A</v>
      </c>
      <c r="AJ44" s="630" t="str">
        <f t="shared" si="493"/>
        <v>#N/A</v>
      </c>
      <c r="AK44" s="630" t="str">
        <f t="shared" si="494"/>
        <v>#N/A</v>
      </c>
      <c r="AL44" s="630" t="str">
        <f t="shared" si="495"/>
        <v>#N/A</v>
      </c>
      <c r="AM44" s="630" t="str">
        <f t="shared" si="496"/>
        <v>#N/A</v>
      </c>
      <c r="AN44" s="630" t="str">
        <f t="shared" si="497"/>
        <v>#N/A</v>
      </c>
      <c r="AO44" s="630" t="str">
        <f t="shared" si="498"/>
        <v>#N/A</v>
      </c>
      <c r="AP44" s="630" t="str">
        <f t="shared" si="499"/>
        <v>#N/A</v>
      </c>
      <c r="AQ44" s="630" t="str">
        <f t="shared" si="500"/>
        <v>#N/A</v>
      </c>
      <c r="AR44" s="630" t="str">
        <f t="shared" si="501"/>
        <v>#N/A</v>
      </c>
      <c r="AS44" s="630" t="str">
        <f t="shared" si="502"/>
        <v>#N/A</v>
      </c>
      <c r="AT44" s="630" t="str">
        <f t="shared" si="503"/>
        <v>#N/A</v>
      </c>
      <c r="AU44" s="630" t="str">
        <f t="shared" si="504"/>
        <v>#N/A</v>
      </c>
      <c r="AV44" s="630" t="str">
        <f t="shared" si="505"/>
        <v>#N/A</v>
      </c>
      <c r="AW44" s="630" t="str">
        <f t="shared" si="506"/>
        <v>#N/A</v>
      </c>
      <c r="AX44" s="630" t="str">
        <f t="shared" si="507"/>
        <v>#N/A</v>
      </c>
    </row>
    <row r="45">
      <c r="A45" s="1448"/>
      <c r="B45" s="1440"/>
      <c r="C45" s="1449" t="s">
        <v>3035</v>
      </c>
      <c r="D45" s="1433" t="s">
        <v>3036</v>
      </c>
      <c r="E45" s="1450"/>
      <c r="F45" s="1450"/>
      <c r="G45" s="1450">
        <f>SUMIF(AC_TKNO,$C45,AC_SOTIEN)</f>
        <v>0</v>
      </c>
      <c r="H45" s="1450">
        <f>SUMIF(AC_TKCO,$C45,AC_SOTIEN)</f>
        <v>0</v>
      </c>
      <c r="I45" s="1450" t="str">
        <f t="shared" si="508"/>
        <v>-</v>
      </c>
      <c r="J45" s="1450" t="str">
        <f t="shared" si="509"/>
        <v>-</v>
      </c>
      <c r="K45" s="1443"/>
      <c r="L45" s="1443"/>
      <c r="M45" s="1444" t="str">
        <f t="shared" ref="M45:N45" si="524">S45</f>
        <v>#N/A</v>
      </c>
      <c r="N45" s="1444" t="str">
        <f t="shared" si="524"/>
        <v>#N/A</v>
      </c>
      <c r="O45" s="1444" t="str">
        <f t="shared" ref="O45:P45" si="525">W45</f>
        <v>#N/A</v>
      </c>
      <c r="P45" s="1444" t="str">
        <f t="shared" si="525"/>
        <v>#N/A</v>
      </c>
      <c r="Q45" s="1445" t="str">
        <f t="shared" ref="Q45:R45" si="526">AE45</f>
        <v>#N/A</v>
      </c>
      <c r="R45" s="1445" t="str">
        <f t="shared" si="526"/>
        <v>#N/A</v>
      </c>
      <c r="S45" s="1445" t="str">
        <f t="shared" ref="S45:T45" si="527">AK45</f>
        <v>#N/A</v>
      </c>
      <c r="T45" s="1445" t="str">
        <f t="shared" si="527"/>
        <v>#N/A</v>
      </c>
      <c r="U45" s="1445" t="str">
        <f t="shared" ref="U45:V45" si="528">AQ45</f>
        <v>#N/A</v>
      </c>
      <c r="V45" s="1445" t="str">
        <f t="shared" si="528"/>
        <v>#N/A</v>
      </c>
      <c r="W45" s="1445" t="str">
        <f t="shared" ref="W45:X45" si="529">AW45</f>
        <v>#N/A</v>
      </c>
      <c r="X45" s="1445" t="str">
        <f t="shared" si="529"/>
        <v>#N/A</v>
      </c>
      <c r="Y45" s="630" t="str">
        <f t="shared" ref="Y45:Z45" si="530">E45</f>
        <v/>
      </c>
      <c r="Z45" s="630" t="str">
        <f t="shared" si="530"/>
        <v/>
      </c>
      <c r="AA45" s="630" t="str">
        <f t="shared" si="484"/>
        <v>#N/A</v>
      </c>
      <c r="AB45" s="630" t="str">
        <f t="shared" si="485"/>
        <v>#N/A</v>
      </c>
      <c r="AC45" s="630" t="str">
        <f t="shared" si="486"/>
        <v>#N/A</v>
      </c>
      <c r="AD45" s="630" t="str">
        <f t="shared" si="487"/>
        <v>#N/A</v>
      </c>
      <c r="AE45" s="630" t="str">
        <f t="shared" si="488"/>
        <v>#N/A</v>
      </c>
      <c r="AF45" s="630" t="str">
        <f t="shared" si="489"/>
        <v>#N/A</v>
      </c>
      <c r="AG45" s="630" t="str">
        <f t="shared" si="490"/>
        <v>#N/A</v>
      </c>
      <c r="AH45" s="630" t="str">
        <f t="shared" si="491"/>
        <v>#N/A</v>
      </c>
      <c r="AI45" s="630" t="str">
        <f t="shared" si="492"/>
        <v>#N/A</v>
      </c>
      <c r="AJ45" s="630" t="str">
        <f t="shared" si="493"/>
        <v>#N/A</v>
      </c>
      <c r="AK45" s="630" t="str">
        <f t="shared" si="494"/>
        <v>#N/A</v>
      </c>
      <c r="AL45" s="630" t="str">
        <f t="shared" si="495"/>
        <v>#N/A</v>
      </c>
      <c r="AM45" s="630" t="str">
        <f t="shared" si="496"/>
        <v>#N/A</v>
      </c>
      <c r="AN45" s="630" t="str">
        <f t="shared" si="497"/>
        <v>#N/A</v>
      </c>
      <c r="AO45" s="630" t="str">
        <f t="shared" si="498"/>
        <v>#N/A</v>
      </c>
      <c r="AP45" s="630" t="str">
        <f t="shared" si="499"/>
        <v>#N/A</v>
      </c>
      <c r="AQ45" s="630" t="str">
        <f t="shared" si="500"/>
        <v>#N/A</v>
      </c>
      <c r="AR45" s="630" t="str">
        <f t="shared" si="501"/>
        <v>#N/A</v>
      </c>
      <c r="AS45" s="630" t="str">
        <f t="shared" si="502"/>
        <v>#N/A</v>
      </c>
      <c r="AT45" s="630" t="str">
        <f t="shared" si="503"/>
        <v>#N/A</v>
      </c>
      <c r="AU45" s="630" t="str">
        <f t="shared" si="504"/>
        <v>#N/A</v>
      </c>
      <c r="AV45" s="630" t="str">
        <f t="shared" si="505"/>
        <v>#N/A</v>
      </c>
      <c r="AW45" s="630" t="str">
        <f t="shared" si="506"/>
        <v>#N/A</v>
      </c>
      <c r="AX45" s="630" t="str">
        <f t="shared" si="507"/>
        <v>#N/A</v>
      </c>
    </row>
    <row r="46">
      <c r="A46" s="1452" t="s">
        <v>2986</v>
      </c>
      <c r="B46" s="1439" t="s">
        <v>1875</v>
      </c>
      <c r="C46" s="1439" t="s">
        <v>1875</v>
      </c>
      <c r="D46" s="1441" t="s">
        <v>1366</v>
      </c>
      <c r="E46" s="1455"/>
      <c r="F46" s="1455"/>
      <c r="G46" s="1455">
        <f>SUMIF(AC_TKNO,$C46,AC_SOTIEN)</f>
        <v>2313175011</v>
      </c>
      <c r="H46" s="1455">
        <f>SUMIF(AC_TKCO,$C46,AC_SOTIEN)</f>
        <v>0</v>
      </c>
      <c r="I46" s="1455">
        <f t="shared" si="508"/>
        <v>2313175011</v>
      </c>
      <c r="J46" s="1455" t="str">
        <f t="shared" si="509"/>
        <v>-</v>
      </c>
      <c r="K46" s="1443"/>
      <c r="L46" s="1443"/>
      <c r="M46" s="1444" t="str">
        <f t="shared" ref="M46:N46" si="531">S46</f>
        <v>#N/A</v>
      </c>
      <c r="N46" s="1444" t="str">
        <f t="shared" si="531"/>
        <v>#N/A</v>
      </c>
      <c r="O46" s="1444" t="str">
        <f t="shared" ref="O46:P46" si="532">W46</f>
        <v>#N/A</v>
      </c>
      <c r="P46" s="1444" t="str">
        <f t="shared" si="532"/>
        <v>#N/A</v>
      </c>
      <c r="Q46" s="1445" t="str">
        <f t="shared" ref="Q46:R46" si="533">AE46</f>
        <v>#N/A</v>
      </c>
      <c r="R46" s="1445" t="str">
        <f t="shared" si="533"/>
        <v>#N/A</v>
      </c>
      <c r="S46" s="1445" t="str">
        <f t="shared" ref="S46:T46" si="534">AK46</f>
        <v>#N/A</v>
      </c>
      <c r="T46" s="1445" t="str">
        <f t="shared" si="534"/>
        <v>#N/A</v>
      </c>
      <c r="U46" s="1445" t="str">
        <f t="shared" ref="U46:V46" si="535">AQ46</f>
        <v>#N/A</v>
      </c>
      <c r="V46" s="1445" t="str">
        <f t="shared" si="535"/>
        <v>#N/A</v>
      </c>
      <c r="W46" s="1445" t="str">
        <f t="shared" ref="W46:X46" si="536">AW46</f>
        <v>#N/A</v>
      </c>
      <c r="X46" s="1445" t="str">
        <f t="shared" si="536"/>
        <v>#N/A</v>
      </c>
      <c r="Y46" s="630" t="str">
        <f t="shared" ref="Y46:Z46" si="537">E46</f>
        <v/>
      </c>
      <c r="Z46" s="630" t="str">
        <f t="shared" si="537"/>
        <v/>
      </c>
      <c r="AA46" s="630" t="str">
        <f t="shared" si="484"/>
        <v>#N/A</v>
      </c>
      <c r="AB46" s="630" t="str">
        <f t="shared" si="485"/>
        <v>#N/A</v>
      </c>
      <c r="AC46" s="630" t="str">
        <f t="shared" si="486"/>
        <v>#N/A</v>
      </c>
      <c r="AD46" s="630" t="str">
        <f t="shared" si="487"/>
        <v>#N/A</v>
      </c>
      <c r="AE46" s="630" t="str">
        <f t="shared" si="488"/>
        <v>#N/A</v>
      </c>
      <c r="AF46" s="630" t="str">
        <f t="shared" si="489"/>
        <v>#N/A</v>
      </c>
      <c r="AG46" s="630" t="str">
        <f t="shared" si="490"/>
        <v>#N/A</v>
      </c>
      <c r="AH46" s="630" t="str">
        <f t="shared" si="491"/>
        <v>#N/A</v>
      </c>
      <c r="AI46" s="630" t="str">
        <f t="shared" si="492"/>
        <v>#N/A</v>
      </c>
      <c r="AJ46" s="630" t="str">
        <f t="shared" si="493"/>
        <v>#N/A</v>
      </c>
      <c r="AK46" s="630" t="str">
        <f t="shared" si="494"/>
        <v>#N/A</v>
      </c>
      <c r="AL46" s="630" t="str">
        <f t="shared" si="495"/>
        <v>#N/A</v>
      </c>
      <c r="AM46" s="630" t="str">
        <f t="shared" si="496"/>
        <v>#N/A</v>
      </c>
      <c r="AN46" s="630" t="str">
        <f t="shared" si="497"/>
        <v>#N/A</v>
      </c>
      <c r="AO46" s="630" t="str">
        <f t="shared" si="498"/>
        <v>#N/A</v>
      </c>
      <c r="AP46" s="630" t="str">
        <f t="shared" si="499"/>
        <v>#N/A</v>
      </c>
      <c r="AQ46" s="630" t="str">
        <f t="shared" si="500"/>
        <v>#N/A</v>
      </c>
      <c r="AR46" s="630" t="str">
        <f t="shared" si="501"/>
        <v>#N/A</v>
      </c>
      <c r="AS46" s="630" t="str">
        <f t="shared" si="502"/>
        <v>#N/A</v>
      </c>
      <c r="AT46" s="630" t="str">
        <f t="shared" si="503"/>
        <v>#N/A</v>
      </c>
      <c r="AU46" s="630" t="str">
        <f t="shared" si="504"/>
        <v>#N/A</v>
      </c>
      <c r="AV46" s="630" t="str">
        <f t="shared" si="505"/>
        <v>#N/A</v>
      </c>
      <c r="AW46" s="630" t="str">
        <f t="shared" si="506"/>
        <v>#N/A</v>
      </c>
      <c r="AX46" s="630" t="str">
        <f t="shared" si="507"/>
        <v>#N/A</v>
      </c>
    </row>
    <row r="47" outlineLevel="1">
      <c r="A47" s="1452" t="s">
        <v>2986</v>
      </c>
      <c r="B47" s="1439" t="s">
        <v>3037</v>
      </c>
      <c r="C47" s="1440"/>
      <c r="D47" s="1441" t="s">
        <v>3038</v>
      </c>
      <c r="E47" s="1442">
        <f t="shared" ref="E47:J47" si="538">SUM(E48:E49)</f>
        <v>0</v>
      </c>
      <c r="F47" s="1442">
        <f t="shared" si="538"/>
        <v>0</v>
      </c>
      <c r="G47" s="1442">
        <f t="shared" si="538"/>
        <v>0</v>
      </c>
      <c r="H47" s="1442">
        <f t="shared" si="538"/>
        <v>0</v>
      </c>
      <c r="I47" s="1442">
        <f t="shared" si="538"/>
        <v>0</v>
      </c>
      <c r="J47" s="1442">
        <f t="shared" si="538"/>
        <v>0</v>
      </c>
      <c r="K47" s="1443"/>
      <c r="L47" s="1443"/>
      <c r="M47" s="1444" t="str">
        <f t="shared" ref="M47:N47" si="539">S47</f>
        <v>#N/A</v>
      </c>
      <c r="N47" s="1444" t="str">
        <f t="shared" si="539"/>
        <v>#N/A</v>
      </c>
      <c r="O47" s="1444" t="str">
        <f t="shared" ref="O47:P47" si="540">W47</f>
        <v>#N/A</v>
      </c>
      <c r="P47" s="1444" t="str">
        <f t="shared" si="540"/>
        <v>#N/A</v>
      </c>
      <c r="Q47" s="1445" t="str">
        <f t="shared" ref="Q47:R47" si="541">AE47</f>
        <v>#N/A</v>
      </c>
      <c r="R47" s="1445" t="str">
        <f t="shared" si="541"/>
        <v>#N/A</v>
      </c>
      <c r="S47" s="1445" t="str">
        <f t="shared" ref="S47:T47" si="542">AK47</f>
        <v>#N/A</v>
      </c>
      <c r="T47" s="1445" t="str">
        <f t="shared" si="542"/>
        <v>#N/A</v>
      </c>
      <c r="U47" s="1445" t="str">
        <f t="shared" ref="U47:V47" si="543">AQ47</f>
        <v>#N/A</v>
      </c>
      <c r="V47" s="1445" t="str">
        <f t="shared" si="543"/>
        <v>#N/A</v>
      </c>
      <c r="W47" s="1445" t="str">
        <f t="shared" ref="W47:X47" si="544">AW47</f>
        <v>#N/A</v>
      </c>
      <c r="X47" s="1445" t="str">
        <f t="shared" si="544"/>
        <v>#N/A</v>
      </c>
      <c r="Y47" s="630">
        <f t="shared" ref="Y47:Z47" si="545">E47</f>
        <v>0</v>
      </c>
      <c r="Z47" s="630">
        <f t="shared" si="545"/>
        <v>0</v>
      </c>
      <c r="AA47" s="630" t="str">
        <f t="shared" si="484"/>
        <v>#N/A</v>
      </c>
      <c r="AB47" s="630" t="str">
        <f t="shared" si="485"/>
        <v>#N/A</v>
      </c>
      <c r="AC47" s="630" t="str">
        <f t="shared" si="486"/>
        <v>#N/A</v>
      </c>
      <c r="AD47" s="630" t="str">
        <f t="shared" si="487"/>
        <v>#N/A</v>
      </c>
      <c r="AE47" s="630" t="str">
        <f t="shared" si="488"/>
        <v>#N/A</v>
      </c>
      <c r="AF47" s="630" t="str">
        <f t="shared" si="489"/>
        <v>#N/A</v>
      </c>
      <c r="AG47" s="630" t="str">
        <f t="shared" si="490"/>
        <v>#N/A</v>
      </c>
      <c r="AH47" s="630" t="str">
        <f t="shared" si="491"/>
        <v>#N/A</v>
      </c>
      <c r="AI47" s="630" t="str">
        <f t="shared" si="492"/>
        <v>#N/A</v>
      </c>
      <c r="AJ47" s="630" t="str">
        <f t="shared" si="493"/>
        <v>#N/A</v>
      </c>
      <c r="AK47" s="630" t="str">
        <f t="shared" si="494"/>
        <v>#N/A</v>
      </c>
      <c r="AL47" s="630" t="str">
        <f t="shared" si="495"/>
        <v>#N/A</v>
      </c>
      <c r="AM47" s="630" t="str">
        <f t="shared" si="496"/>
        <v>#N/A</v>
      </c>
      <c r="AN47" s="630" t="str">
        <f t="shared" si="497"/>
        <v>#N/A</v>
      </c>
      <c r="AO47" s="630" t="str">
        <f t="shared" si="498"/>
        <v>#N/A</v>
      </c>
      <c r="AP47" s="630" t="str">
        <f t="shared" si="499"/>
        <v>#N/A</v>
      </c>
      <c r="AQ47" s="630" t="str">
        <f t="shared" si="500"/>
        <v>#N/A</v>
      </c>
      <c r="AR47" s="630" t="str">
        <f t="shared" si="501"/>
        <v>#N/A</v>
      </c>
      <c r="AS47" s="630" t="str">
        <f t="shared" si="502"/>
        <v>#N/A</v>
      </c>
      <c r="AT47" s="630" t="str">
        <f t="shared" si="503"/>
        <v>#N/A</v>
      </c>
      <c r="AU47" s="630" t="str">
        <f t="shared" si="504"/>
        <v>#N/A</v>
      </c>
      <c r="AV47" s="630" t="str">
        <f t="shared" si="505"/>
        <v>#N/A</v>
      </c>
      <c r="AW47" s="630" t="str">
        <f t="shared" si="506"/>
        <v>#N/A</v>
      </c>
      <c r="AX47" s="630" t="str">
        <f t="shared" si="507"/>
        <v>#N/A</v>
      </c>
    </row>
    <row r="48" outlineLevel="1">
      <c r="A48" s="1448"/>
      <c r="B48" s="1440"/>
      <c r="C48" s="1449" t="s">
        <v>3039</v>
      </c>
      <c r="D48" s="1433" t="s">
        <v>3040</v>
      </c>
      <c r="E48" s="1450"/>
      <c r="F48" s="1450"/>
      <c r="G48" s="1450">
        <f>SUMIF(AC_TKNO,$C48,AC_SOTIEN)</f>
        <v>0</v>
      </c>
      <c r="H48" s="1450">
        <f>SUMIF(AC_TKCO,$C48,AC_SOTIEN)</f>
        <v>0</v>
      </c>
      <c r="I48" s="1450" t="str">
        <f t="shared" ref="I48:I49" si="553">IF(E48+G48-F48-H48&gt;0,E48+G48-F48-H48,"-")</f>
        <v>-</v>
      </c>
      <c r="J48" s="1450" t="str">
        <f t="shared" ref="J48:J49" si="554">IF(F48+H48-E48-G48&gt;0,F48+H48-E48-G48,"-")</f>
        <v>-</v>
      </c>
      <c r="K48" s="1443"/>
      <c r="L48" s="1443"/>
      <c r="M48" s="1444" t="str">
        <f t="shared" ref="M48:N48" si="546">S48</f>
        <v>#N/A</v>
      </c>
      <c r="N48" s="1444" t="str">
        <f t="shared" si="546"/>
        <v>#N/A</v>
      </c>
      <c r="O48" s="1444" t="str">
        <f t="shared" ref="O48:P48" si="547">W48</f>
        <v>#N/A</v>
      </c>
      <c r="P48" s="1444" t="str">
        <f t="shared" si="547"/>
        <v>#N/A</v>
      </c>
      <c r="Q48" s="1445" t="str">
        <f t="shared" ref="Q48:R48" si="548">AE48</f>
        <v>#N/A</v>
      </c>
      <c r="R48" s="1445" t="str">
        <f t="shared" si="548"/>
        <v>#N/A</v>
      </c>
      <c r="S48" s="1445" t="str">
        <f t="shared" ref="S48:T48" si="549">AK48</f>
        <v>#N/A</v>
      </c>
      <c r="T48" s="1445" t="str">
        <f t="shared" si="549"/>
        <v>#N/A</v>
      </c>
      <c r="U48" s="1445" t="str">
        <f t="shared" ref="U48:V48" si="550">AQ48</f>
        <v>#N/A</v>
      </c>
      <c r="V48" s="1445" t="str">
        <f t="shared" si="550"/>
        <v>#N/A</v>
      </c>
      <c r="W48" s="1445" t="str">
        <f t="shared" ref="W48:X48" si="551">AW48</f>
        <v>#N/A</v>
      </c>
      <c r="X48" s="1445" t="str">
        <f t="shared" si="551"/>
        <v>#N/A</v>
      </c>
      <c r="Y48" s="1447">
        <f t="shared" ref="Y48:AX48" si="552">SUM(Y49:Y52)</f>
        <v>0</v>
      </c>
      <c r="Z48" s="1447">
        <f t="shared" si="552"/>
        <v>0</v>
      </c>
      <c r="AA48" s="1447" t="str">
        <f t="shared" si="552"/>
        <v>#N/A</v>
      </c>
      <c r="AB48" s="1447" t="str">
        <f t="shared" si="552"/>
        <v>#N/A</v>
      </c>
      <c r="AC48" s="1447" t="str">
        <f t="shared" si="552"/>
        <v>#N/A</v>
      </c>
      <c r="AD48" s="1447" t="str">
        <f t="shared" si="552"/>
        <v>#N/A</v>
      </c>
      <c r="AE48" s="1447" t="str">
        <f t="shared" si="552"/>
        <v>#N/A</v>
      </c>
      <c r="AF48" s="1447" t="str">
        <f t="shared" si="552"/>
        <v>#N/A</v>
      </c>
      <c r="AG48" s="1447" t="str">
        <f t="shared" si="552"/>
        <v>#N/A</v>
      </c>
      <c r="AH48" s="1447" t="str">
        <f t="shared" si="552"/>
        <v>#N/A</v>
      </c>
      <c r="AI48" s="1447" t="str">
        <f t="shared" si="552"/>
        <v>#N/A</v>
      </c>
      <c r="AJ48" s="1447" t="str">
        <f t="shared" si="552"/>
        <v>#N/A</v>
      </c>
      <c r="AK48" s="1447" t="str">
        <f t="shared" si="552"/>
        <v>#N/A</v>
      </c>
      <c r="AL48" s="1447" t="str">
        <f t="shared" si="552"/>
        <v>#N/A</v>
      </c>
      <c r="AM48" s="1447" t="str">
        <f t="shared" si="552"/>
        <v>#N/A</v>
      </c>
      <c r="AN48" s="1447" t="str">
        <f t="shared" si="552"/>
        <v>#N/A</v>
      </c>
      <c r="AO48" s="1447" t="str">
        <f t="shared" si="552"/>
        <v>#N/A</v>
      </c>
      <c r="AP48" s="1447" t="str">
        <f t="shared" si="552"/>
        <v>#N/A</v>
      </c>
      <c r="AQ48" s="1447" t="str">
        <f t="shared" si="552"/>
        <v>#N/A</v>
      </c>
      <c r="AR48" s="1447" t="str">
        <f t="shared" si="552"/>
        <v>#N/A</v>
      </c>
      <c r="AS48" s="1447" t="str">
        <f t="shared" si="552"/>
        <v>#N/A</v>
      </c>
      <c r="AT48" s="1447" t="str">
        <f t="shared" si="552"/>
        <v>#N/A</v>
      </c>
      <c r="AU48" s="1447" t="str">
        <f t="shared" si="552"/>
        <v>#N/A</v>
      </c>
      <c r="AV48" s="1447" t="str">
        <f t="shared" si="552"/>
        <v>#N/A</v>
      </c>
      <c r="AW48" s="1447" t="str">
        <f t="shared" si="552"/>
        <v>#N/A</v>
      </c>
      <c r="AX48" s="1447" t="str">
        <f t="shared" si="552"/>
        <v>#N/A</v>
      </c>
    </row>
    <row r="49" outlineLevel="1">
      <c r="A49" s="1448"/>
      <c r="B49" s="1440"/>
      <c r="C49" s="1449" t="s">
        <v>3041</v>
      </c>
      <c r="D49" s="1433" t="s">
        <v>3042</v>
      </c>
      <c r="E49" s="1450"/>
      <c r="F49" s="1450"/>
      <c r="G49" s="1450">
        <f>SUMIF(AC_TKNO,$C49,AC_SOTIEN)</f>
        <v>0</v>
      </c>
      <c r="H49" s="1450">
        <f>SUMIF(AC_TKCO,$C49,AC_SOTIEN)</f>
        <v>0</v>
      </c>
      <c r="I49" s="1450" t="str">
        <f t="shared" si="553"/>
        <v>-</v>
      </c>
      <c r="J49" s="1450" t="str">
        <f t="shared" si="554"/>
        <v>-</v>
      </c>
      <c r="K49" s="1443"/>
      <c r="L49" s="1443"/>
      <c r="M49" s="1444" t="str">
        <f t="shared" ref="M49:N49" si="555">S49</f>
        <v>#N/A</v>
      </c>
      <c r="N49" s="1444" t="str">
        <f t="shared" si="555"/>
        <v>#N/A</v>
      </c>
      <c r="O49" s="1444" t="str">
        <f t="shared" ref="O49:P49" si="556">W49</f>
        <v>#N/A</v>
      </c>
      <c r="P49" s="1444" t="str">
        <f t="shared" si="556"/>
        <v>#N/A</v>
      </c>
      <c r="Q49" s="1445" t="str">
        <f t="shared" ref="Q49:R49" si="557">AE49</f>
        <v>#N/A</v>
      </c>
      <c r="R49" s="1445" t="str">
        <f t="shared" si="557"/>
        <v>#N/A</v>
      </c>
      <c r="S49" s="1445" t="str">
        <f t="shared" ref="S49:T49" si="558">AK49</f>
        <v>#N/A</v>
      </c>
      <c r="T49" s="1445" t="str">
        <f t="shared" si="558"/>
        <v>#N/A</v>
      </c>
      <c r="U49" s="1445" t="str">
        <f t="shared" ref="U49:V49" si="559">AQ49</f>
        <v>#N/A</v>
      </c>
      <c r="V49" s="1445" t="str">
        <f t="shared" si="559"/>
        <v>#N/A</v>
      </c>
      <c r="W49" s="1445" t="str">
        <f t="shared" ref="W49:X49" si="560">AW49</f>
        <v>#N/A</v>
      </c>
      <c r="X49" s="1445" t="str">
        <f t="shared" si="560"/>
        <v>#N/A</v>
      </c>
      <c r="Y49" s="630" t="str">
        <f t="shared" ref="Y49:Z49" si="561">E49</f>
        <v/>
      </c>
      <c r="Z49" s="630" t="str">
        <f t="shared" si="561"/>
        <v/>
      </c>
      <c r="AA49" s="630" t="str">
        <f t="shared" ref="AA49:AA53" si="570">IF(Y49+SUMIFS(PS_SOTIEN,PS_TKNO,$B47,PS_MONTH,AA$3)-Z49-SUMIFS(PS_SOTIEN,PS_TKCO,$B47,PS_MONTH,AA$3)&gt;0,Y49+SUMIFS(PS_SOTIEN,PS_TKNO,$B47,PS_MONTH,AA$3)-Z49-SUMIFS(PS_SOTIEN,PS_TKCO,$B47,PS_MONTH,AA$3),0)</f>
        <v>#N/A</v>
      </c>
      <c r="AB49" s="630" t="str">
        <f t="shared" ref="AB49:AB53" si="571">IF(Z49+SUMIFS(PS_SOTIEN,PS_TKCO,$B47,PS_MONTH,AA$3)-Y49-SUMIFS(PS_SOTIEN,PS_TKNO,$B47,PS_MONTH,AA$3)&gt;0,Z49+SUMIFS(PS_SOTIEN,PS_TKCO,$B47,PS_MONTH,AA$3)-Y49-SUMIFS(PS_SOTIEN,PS_TKNO,$B47,PS_MONTH,AA$3),0)</f>
        <v>#N/A</v>
      </c>
      <c r="AC49" s="630" t="str">
        <f t="shared" ref="AC49:AC53" si="572">IF(AA49+SUMIFS(PS_SOTIEN,PS_TKNO,$B47,PS_MONTH,AC$3)-AB49-SUMIFS(PS_SOTIEN,PS_TKCO,$B47,PS_MONTH,AC$3)&gt;0,AA49+SUMIFS(PS_SOTIEN,PS_TKNO,$B47,PS_MONTH,AC$3)-AB49-SUMIFS(PS_SOTIEN,PS_TKCO,$B47,PS_MONTH,AC$3),0)</f>
        <v>#N/A</v>
      </c>
      <c r="AD49" s="630" t="str">
        <f t="shared" ref="AD49:AD53" si="573">IF(AB49+SUMIFS(PS_SOTIEN,PS_TKCO,$B47,PS_MONTH,AC$3)-AA49-SUMIFS(PS_SOTIEN,PS_TKNO,$B47,PS_MONTH,AC$3)&gt;0,AB49+SUMIFS(PS_SOTIEN,PS_TKCO,$B47,PS_MONTH,AC$3)-AA49-SUMIFS(PS_SOTIEN,PS_TKNO,$B47,PS_MONTH,AC$3),0)</f>
        <v>#N/A</v>
      </c>
      <c r="AE49" s="630" t="str">
        <f t="shared" ref="AE49:AE53" si="574">IF(AC49+SUMIFS(PS_SOTIEN,PS_TKNO,$B47,PS_MONTH,AE$3)-AD49-SUMIFS(PS_SOTIEN,PS_TKCO,$B47,PS_MONTH,AE$3)&gt;0,AC49+SUMIFS(PS_SOTIEN,PS_TKNO,$B47,PS_MONTH,AE$3)-AD49-SUMIFS(PS_SOTIEN,PS_TKCO,$B47,PS_MONTH,AE$3),0)</f>
        <v>#N/A</v>
      </c>
      <c r="AF49" s="630" t="str">
        <f t="shared" ref="AF49:AF53" si="575">IF(AD49+SUMIFS(PS_SOTIEN,PS_TKCO,$B47,PS_MONTH,AE$3)-AC49-SUMIFS(PS_SOTIEN,PS_TKNO,$B47,PS_MONTH,AE$3)&gt;0,AD49+SUMIFS(PS_SOTIEN,PS_TKCO,$B47,PS_MONTH,AE$3)-AC49-SUMIFS(PS_SOTIEN,PS_TKNO,$B47,PS_MONTH,AE$3),0)</f>
        <v>#N/A</v>
      </c>
      <c r="AG49" s="630" t="str">
        <f t="shared" ref="AG49:AG53" si="576">IF(AE49+SUMIFS(PS_SOTIEN,PS_TKNO,$B47,PS_MONTH,AG$3)-AF49-SUMIFS(PS_SOTIEN,PS_TKCO,$B47,PS_MONTH,AG$3)&gt;0,AE49+SUMIFS(PS_SOTIEN,PS_TKNO,$B47,PS_MONTH,AG$3)-AF49-SUMIFS(PS_SOTIEN,PS_TKCO,$B47,PS_MONTH,AG$3),0)</f>
        <v>#N/A</v>
      </c>
      <c r="AH49" s="630" t="str">
        <f t="shared" ref="AH49:AH53" si="577">IF(AF49+SUMIFS(PS_SOTIEN,PS_TKCO,$B47,PS_MONTH,AG$3)-AE49-SUMIFS(PS_SOTIEN,PS_TKNO,$B47,PS_MONTH,AG$3)&gt;0,AF49+SUMIFS(PS_SOTIEN,PS_TKCO,$B47,PS_MONTH,AG$3)-AE49-SUMIFS(PS_SOTIEN,PS_TKNO,$B47,PS_MONTH,AG$3),0)</f>
        <v>#N/A</v>
      </c>
      <c r="AI49" s="630" t="str">
        <f t="shared" ref="AI49:AI53" si="578">IF(AG49+SUMIFS(PS_SOTIEN,PS_TKNO,$B47,PS_MONTH,AI$3)-AH49-SUMIFS(PS_SOTIEN,PS_TKCO,$B47,PS_MONTH,AI$3)&gt;0,AG49+SUMIFS(PS_SOTIEN,PS_TKNO,$B47,PS_MONTH,AI$3)-AH49-SUMIFS(PS_SOTIEN,PS_TKCO,$B47,PS_MONTH,AI$3),0)</f>
        <v>#N/A</v>
      </c>
      <c r="AJ49" s="630" t="str">
        <f t="shared" ref="AJ49:AJ53" si="579">IF(AH49+SUMIFS(PS_SOTIEN,PS_TKCO,$B47,PS_MONTH,AI$3)-AG49-SUMIFS(PS_SOTIEN,PS_TKNO,$B47,PS_MONTH,AI$3)&gt;0,AH49+SUMIFS(PS_SOTIEN,PS_TKCO,$B47,PS_MONTH,AI$3)-AG49-SUMIFS(PS_SOTIEN,PS_TKNO,$B47,PS_MONTH,AI$3),0)</f>
        <v>#N/A</v>
      </c>
      <c r="AK49" s="630" t="str">
        <f t="shared" ref="AK49:AK53" si="580">IF(AI49+SUMIFS(PS_SOTIEN,PS_TKNO,$B47,PS_MONTH,AK$3)-AJ49-SUMIFS(PS_SOTIEN,PS_TKCO,$B47,PS_MONTH,AK$3)&gt;0,AI49+SUMIFS(PS_SOTIEN,PS_TKNO,$B47,PS_MONTH,AK$3)-AJ49-SUMIFS(PS_SOTIEN,PS_TKCO,$B47,PS_MONTH,AK$3),0)</f>
        <v>#N/A</v>
      </c>
      <c r="AL49" s="630" t="str">
        <f t="shared" ref="AL49:AL53" si="581">IF(AJ49+SUMIFS(PS_SOTIEN,PS_TKCO,$B47,PS_MONTH,AK$3)-AI49-SUMIFS(PS_SOTIEN,PS_TKNO,$B47,PS_MONTH,AK$3)&gt;0,AJ49+SUMIFS(PS_SOTIEN,PS_TKCO,$B47,PS_MONTH,AK$3)-AI49-SUMIFS(PS_SOTIEN,PS_TKNO,$B47,PS_MONTH,AK$3),0)</f>
        <v>#N/A</v>
      </c>
      <c r="AM49" s="630" t="str">
        <f t="shared" ref="AM49:AM53" si="582">IF(AK49+SUMIFS(PS_SOTIEN,PS_TKNO,$B47,PS_MONTH,AM$3)-AL49-SUMIFS(PS_SOTIEN,PS_TKCO,$B47,PS_MONTH,AM$3)&gt;0,AK49+SUMIFS(PS_SOTIEN,PS_TKNO,$B47,PS_MONTH,AM$3)-AL49-SUMIFS(PS_SOTIEN,PS_TKCO,$B47,PS_MONTH,AM$3),0)</f>
        <v>#N/A</v>
      </c>
      <c r="AN49" s="630" t="str">
        <f t="shared" ref="AN49:AN53" si="583">IF(AL49+SUMIFS(PS_SOTIEN,PS_TKCO,$B47,PS_MONTH,AM$3)-AK49-SUMIFS(PS_SOTIEN,PS_TKNO,$B47,PS_MONTH,AM$3)&gt;0,AL49+SUMIFS(PS_SOTIEN,PS_TKCO,$B47,PS_MONTH,AM$3)-AK49-SUMIFS(PS_SOTIEN,PS_TKNO,$B47,PS_MONTH,AM$3),0)</f>
        <v>#N/A</v>
      </c>
      <c r="AO49" s="630" t="str">
        <f t="shared" ref="AO49:AO53" si="584">IF(AM49+SUMIFS(PS_SOTIEN,PS_TKNO,$B47,PS_MONTH,AO$3)-AN49-SUMIFS(PS_SOTIEN,PS_TKCO,$B47,PS_MONTH,AO$3)&gt;0,AM49+SUMIFS(PS_SOTIEN,PS_TKNO,$B47,PS_MONTH,AO$3)-AN49-SUMIFS(PS_SOTIEN,PS_TKCO,$B47,PS_MONTH,AO$3),0)</f>
        <v>#N/A</v>
      </c>
      <c r="AP49" s="630" t="str">
        <f t="shared" ref="AP49:AP53" si="585">IF(AN49+SUMIFS(PS_SOTIEN,PS_TKCO,$B47,PS_MONTH,AO$3)-AM49-SUMIFS(PS_SOTIEN,PS_TKNO,$B47,PS_MONTH,AO$3)&gt;0,AN49+SUMIFS(PS_SOTIEN,PS_TKCO,$B47,PS_MONTH,AO$3)-AM49-SUMIFS(PS_SOTIEN,PS_TKNO,$B47,PS_MONTH,AO$3),0)</f>
        <v>#N/A</v>
      </c>
      <c r="AQ49" s="630" t="str">
        <f t="shared" ref="AQ49:AQ53" si="586">IF(AO49+SUMIFS(PS_SOTIEN,PS_TKNO,$B47,PS_MONTH,AQ$3)-AP49-SUMIFS(PS_SOTIEN,PS_TKCO,$B47,PS_MONTH,AQ$3)&gt;0,AO49+SUMIFS(PS_SOTIEN,PS_TKNO,$B47,PS_MONTH,AQ$3)-AP49-SUMIFS(PS_SOTIEN,PS_TKCO,$B47,PS_MONTH,AQ$3),0)</f>
        <v>#N/A</v>
      </c>
      <c r="AR49" s="630" t="str">
        <f t="shared" ref="AR49:AR53" si="587">IF(AP49+SUMIFS(PS_SOTIEN,PS_TKCO,$B47,PS_MONTH,AQ$3)-AO49-SUMIFS(PS_SOTIEN,PS_TKNO,$B47,PS_MONTH,AQ$3)&gt;0,AP49+SUMIFS(PS_SOTIEN,PS_TKCO,$B47,PS_MONTH,AQ$3)-AO49-SUMIFS(PS_SOTIEN,PS_TKNO,$B47,PS_MONTH,AQ$3),0)</f>
        <v>#N/A</v>
      </c>
      <c r="AS49" s="630" t="str">
        <f t="shared" ref="AS49:AS53" si="588">IF(AQ49+SUMIFS(PS_SOTIEN,PS_TKNO,$B47,PS_MONTH,AS$3)-AR49-SUMIFS(PS_SOTIEN,PS_TKCO,$B47,PS_MONTH,AS$3)&gt;0,AQ49+SUMIFS(PS_SOTIEN,PS_TKNO,$B47,PS_MONTH,AS$3)-AR49-SUMIFS(PS_SOTIEN,PS_TKCO,$B47,PS_MONTH,AS$3),0)</f>
        <v>#N/A</v>
      </c>
      <c r="AT49" s="630" t="str">
        <f t="shared" ref="AT49:AT53" si="589">IF(AR49+SUMIFS(PS_SOTIEN,PS_TKCO,$B47,PS_MONTH,AS$3)-AQ49-SUMIFS(PS_SOTIEN,PS_TKNO,$B47,PS_MONTH,AS$3)&gt;0,AR49+SUMIFS(PS_SOTIEN,PS_TKCO,$B47,PS_MONTH,AS$3)-AQ49-SUMIFS(PS_SOTIEN,PS_TKNO,$B47,PS_MONTH,AS$3),0)</f>
        <v>#N/A</v>
      </c>
      <c r="AU49" s="630" t="str">
        <f t="shared" ref="AU49:AU53" si="590">IF(AS49+SUMIFS(PS_SOTIEN,PS_TKNO,$B47,PS_MONTH,AU$3)-AT49-SUMIFS(PS_SOTIEN,PS_TKCO,$B47,PS_MONTH,AU$3)&gt;0,AS49+SUMIFS(PS_SOTIEN,PS_TKNO,$B47,PS_MONTH,AU$3)-AT49-SUMIFS(PS_SOTIEN,PS_TKCO,$B47,PS_MONTH,AU$3),0)</f>
        <v>#N/A</v>
      </c>
      <c r="AV49" s="630" t="str">
        <f t="shared" ref="AV49:AV53" si="591">IF(AT49+SUMIFS(PS_SOTIEN,PS_TKCO,$B47,PS_MONTH,AU$3)-AS49-SUMIFS(PS_SOTIEN,PS_TKNO,$B47,PS_MONTH,AU$3)&gt;0,AT49+SUMIFS(PS_SOTIEN,PS_TKCO,$B47,PS_MONTH,AU$3)-AS49-SUMIFS(PS_SOTIEN,PS_TKNO,$B47,PS_MONTH,AU$3),0)</f>
        <v>#N/A</v>
      </c>
      <c r="AW49" s="630" t="str">
        <f t="shared" ref="AW49:AW53" si="592">IF(AU49+SUMIFS(PS_SOTIEN,PS_TKNO,$B47,PS_MONTH,AW$3)-AV49-SUMIFS(PS_SOTIEN,PS_TKCO,$B47,PS_MONTH,AW$3)&gt;0,AU49+SUMIFS(PS_SOTIEN,PS_TKNO,$B47,PS_MONTH,AW$3)-AV49-SUMIFS(PS_SOTIEN,PS_TKCO,$B47,PS_MONTH,AW$3),0)</f>
        <v>#N/A</v>
      </c>
      <c r="AX49" s="630" t="str">
        <f t="shared" ref="AX49:AX53" si="593">IF(AV49+SUMIFS(PS_SOTIEN,PS_TKCO,$B47,PS_MONTH,AW$3)-AU49-SUMIFS(PS_SOTIEN,PS_TKNO,$B47,PS_MONTH,AW$3)&gt;0,AV49+SUMIFS(PS_SOTIEN,PS_TKCO,$B47,PS_MONTH,AW$3)-AU49-SUMIFS(PS_SOTIEN,PS_TKNO,$B47,PS_MONTH,AW$3),0)</f>
        <v>#N/A</v>
      </c>
    </row>
    <row r="50" outlineLevel="1">
      <c r="A50" s="1452" t="s">
        <v>2986</v>
      </c>
      <c r="B50" s="1439" t="s">
        <v>3043</v>
      </c>
      <c r="C50" s="1440"/>
      <c r="D50" s="1441" t="s">
        <v>1367</v>
      </c>
      <c r="E50" s="1442">
        <f t="shared" ref="E50:J50" si="562">SUM(E51:E53)</f>
        <v>0</v>
      </c>
      <c r="F50" s="1442">
        <f t="shared" si="562"/>
        <v>0</v>
      </c>
      <c r="G50" s="1442">
        <f t="shared" si="562"/>
        <v>0</v>
      </c>
      <c r="H50" s="1442">
        <f t="shared" si="562"/>
        <v>0</v>
      </c>
      <c r="I50" s="1442">
        <f t="shared" si="562"/>
        <v>0</v>
      </c>
      <c r="J50" s="1442">
        <f t="shared" si="562"/>
        <v>0</v>
      </c>
      <c r="K50" s="1443"/>
      <c r="L50" s="1443"/>
      <c r="M50" s="1444" t="str">
        <f t="shared" ref="M50:N50" si="563">S50</f>
        <v>#N/A</v>
      </c>
      <c r="N50" s="1444" t="str">
        <f t="shared" si="563"/>
        <v>#N/A</v>
      </c>
      <c r="O50" s="1444" t="str">
        <f t="shared" ref="O50:P50" si="564">W50</f>
        <v>#N/A</v>
      </c>
      <c r="P50" s="1444" t="str">
        <f t="shared" si="564"/>
        <v>#N/A</v>
      </c>
      <c r="Q50" s="1445" t="str">
        <f t="shared" ref="Q50:R50" si="565">AE50</f>
        <v>#N/A</v>
      </c>
      <c r="R50" s="1445" t="str">
        <f t="shared" si="565"/>
        <v>#N/A</v>
      </c>
      <c r="S50" s="1445" t="str">
        <f t="shared" ref="S50:T50" si="566">AK50</f>
        <v>#N/A</v>
      </c>
      <c r="T50" s="1445" t="str">
        <f t="shared" si="566"/>
        <v>#N/A</v>
      </c>
      <c r="U50" s="1445" t="str">
        <f t="shared" ref="U50:V50" si="567">AQ50</f>
        <v>#N/A</v>
      </c>
      <c r="V50" s="1445" t="str">
        <f t="shared" si="567"/>
        <v>#N/A</v>
      </c>
      <c r="W50" s="1445" t="str">
        <f t="shared" ref="W50:X50" si="568">AW50</f>
        <v>#N/A</v>
      </c>
      <c r="X50" s="1445" t="str">
        <f t="shared" si="568"/>
        <v>#N/A</v>
      </c>
      <c r="Y50" s="630">
        <f t="shared" ref="Y50:Z50" si="569">E50</f>
        <v>0</v>
      </c>
      <c r="Z50" s="630">
        <f t="shared" si="569"/>
        <v>0</v>
      </c>
      <c r="AA50" s="630" t="str">
        <f t="shared" si="570"/>
        <v>#N/A</v>
      </c>
      <c r="AB50" s="630" t="str">
        <f t="shared" si="571"/>
        <v>#N/A</v>
      </c>
      <c r="AC50" s="630" t="str">
        <f t="shared" si="572"/>
        <v>#N/A</v>
      </c>
      <c r="AD50" s="630" t="str">
        <f t="shared" si="573"/>
        <v>#N/A</v>
      </c>
      <c r="AE50" s="630" t="str">
        <f t="shared" si="574"/>
        <v>#N/A</v>
      </c>
      <c r="AF50" s="630" t="str">
        <f t="shared" si="575"/>
        <v>#N/A</v>
      </c>
      <c r="AG50" s="630" t="str">
        <f t="shared" si="576"/>
        <v>#N/A</v>
      </c>
      <c r="AH50" s="630" t="str">
        <f t="shared" si="577"/>
        <v>#N/A</v>
      </c>
      <c r="AI50" s="630" t="str">
        <f t="shared" si="578"/>
        <v>#N/A</v>
      </c>
      <c r="AJ50" s="630" t="str">
        <f t="shared" si="579"/>
        <v>#N/A</v>
      </c>
      <c r="AK50" s="630" t="str">
        <f t="shared" si="580"/>
        <v>#N/A</v>
      </c>
      <c r="AL50" s="630" t="str">
        <f t="shared" si="581"/>
        <v>#N/A</v>
      </c>
      <c r="AM50" s="630" t="str">
        <f t="shared" si="582"/>
        <v>#N/A</v>
      </c>
      <c r="AN50" s="630" t="str">
        <f t="shared" si="583"/>
        <v>#N/A</v>
      </c>
      <c r="AO50" s="630" t="str">
        <f t="shared" si="584"/>
        <v>#N/A</v>
      </c>
      <c r="AP50" s="630" t="str">
        <f t="shared" si="585"/>
        <v>#N/A</v>
      </c>
      <c r="AQ50" s="630" t="str">
        <f t="shared" si="586"/>
        <v>#N/A</v>
      </c>
      <c r="AR50" s="630" t="str">
        <f t="shared" si="587"/>
        <v>#N/A</v>
      </c>
      <c r="AS50" s="630" t="str">
        <f t="shared" si="588"/>
        <v>#N/A</v>
      </c>
      <c r="AT50" s="630" t="str">
        <f t="shared" si="589"/>
        <v>#N/A</v>
      </c>
      <c r="AU50" s="630" t="str">
        <f t="shared" si="590"/>
        <v>#N/A</v>
      </c>
      <c r="AV50" s="630" t="str">
        <f t="shared" si="591"/>
        <v>#N/A</v>
      </c>
      <c r="AW50" s="630" t="str">
        <f t="shared" si="592"/>
        <v>#N/A</v>
      </c>
      <c r="AX50" s="630" t="str">
        <f t="shared" si="593"/>
        <v>#N/A</v>
      </c>
    </row>
    <row r="51" outlineLevel="1">
      <c r="A51" s="1448"/>
      <c r="B51" s="1440"/>
      <c r="C51" s="1449" t="s">
        <v>3044</v>
      </c>
      <c r="D51" s="1433" t="s">
        <v>3045</v>
      </c>
      <c r="E51" s="1450"/>
      <c r="F51" s="1450"/>
      <c r="G51" s="1450">
        <f>SUMIF(AC_TKNO,$C51,AC_SOTIEN)</f>
        <v>0</v>
      </c>
      <c r="H51" s="1450">
        <f>SUMIF(AC_TKCO,$C51,AC_SOTIEN)</f>
        <v>0</v>
      </c>
      <c r="I51" s="1450" t="str">
        <f t="shared" ref="I51:I55" si="601">IF(E51+G51-F51-H51&gt;0,E51+G51-F51-H51,"-")</f>
        <v>-</v>
      </c>
      <c r="J51" s="1450" t="str">
        <f t="shared" ref="J51:J55" si="602">IF(F51+H51-E51-G51&gt;0,F51+H51-E51-G51,"-")</f>
        <v>-</v>
      </c>
      <c r="K51" s="1443"/>
      <c r="L51" s="1443"/>
      <c r="M51" s="1444" t="str">
        <f t="shared" ref="M51:N51" si="594">S51</f>
        <v>#N/A</v>
      </c>
      <c r="N51" s="1444" t="str">
        <f t="shared" si="594"/>
        <v>#N/A</v>
      </c>
      <c r="O51" s="1444" t="str">
        <f t="shared" ref="O51:P51" si="595">W51</f>
        <v>#N/A</v>
      </c>
      <c r="P51" s="1444" t="str">
        <f t="shared" si="595"/>
        <v>#N/A</v>
      </c>
      <c r="Q51" s="1445" t="str">
        <f t="shared" ref="Q51:R51" si="596">AE51</f>
        <v>#N/A</v>
      </c>
      <c r="R51" s="1445" t="str">
        <f t="shared" si="596"/>
        <v>#N/A</v>
      </c>
      <c r="S51" s="1445" t="str">
        <f t="shared" ref="S51:T51" si="597">AK51</f>
        <v>#N/A</v>
      </c>
      <c r="T51" s="1445" t="str">
        <f t="shared" si="597"/>
        <v>#N/A</v>
      </c>
      <c r="U51" s="1445" t="str">
        <f t="shared" ref="U51:V51" si="598">AQ51</f>
        <v>#N/A</v>
      </c>
      <c r="V51" s="1445" t="str">
        <f t="shared" si="598"/>
        <v>#N/A</v>
      </c>
      <c r="W51" s="1445" t="str">
        <f t="shared" ref="W51:X51" si="599">AW51</f>
        <v>#N/A</v>
      </c>
      <c r="X51" s="1445" t="str">
        <f t="shared" si="599"/>
        <v>#N/A</v>
      </c>
      <c r="Y51" s="630" t="str">
        <f t="shared" ref="Y51:Z51" si="600">E51</f>
        <v/>
      </c>
      <c r="Z51" s="630" t="str">
        <f t="shared" si="600"/>
        <v/>
      </c>
      <c r="AA51" s="630" t="str">
        <f t="shared" si="570"/>
        <v>#N/A</v>
      </c>
      <c r="AB51" s="630" t="str">
        <f t="shared" si="571"/>
        <v>#N/A</v>
      </c>
      <c r="AC51" s="630" t="str">
        <f t="shared" si="572"/>
        <v>#N/A</v>
      </c>
      <c r="AD51" s="630" t="str">
        <f t="shared" si="573"/>
        <v>#N/A</v>
      </c>
      <c r="AE51" s="630" t="str">
        <f t="shared" si="574"/>
        <v>#N/A</v>
      </c>
      <c r="AF51" s="630" t="str">
        <f t="shared" si="575"/>
        <v>#N/A</v>
      </c>
      <c r="AG51" s="630" t="str">
        <f t="shared" si="576"/>
        <v>#N/A</v>
      </c>
      <c r="AH51" s="630" t="str">
        <f t="shared" si="577"/>
        <v>#N/A</v>
      </c>
      <c r="AI51" s="630" t="str">
        <f t="shared" si="578"/>
        <v>#N/A</v>
      </c>
      <c r="AJ51" s="630" t="str">
        <f t="shared" si="579"/>
        <v>#N/A</v>
      </c>
      <c r="AK51" s="630" t="str">
        <f t="shared" si="580"/>
        <v>#N/A</v>
      </c>
      <c r="AL51" s="630" t="str">
        <f t="shared" si="581"/>
        <v>#N/A</v>
      </c>
      <c r="AM51" s="630" t="str">
        <f t="shared" si="582"/>
        <v>#N/A</v>
      </c>
      <c r="AN51" s="630" t="str">
        <f t="shared" si="583"/>
        <v>#N/A</v>
      </c>
      <c r="AO51" s="630" t="str">
        <f t="shared" si="584"/>
        <v>#N/A</v>
      </c>
      <c r="AP51" s="630" t="str">
        <f t="shared" si="585"/>
        <v>#N/A</v>
      </c>
      <c r="AQ51" s="630" t="str">
        <f t="shared" si="586"/>
        <v>#N/A</v>
      </c>
      <c r="AR51" s="630" t="str">
        <f t="shared" si="587"/>
        <v>#N/A</v>
      </c>
      <c r="AS51" s="630" t="str">
        <f t="shared" si="588"/>
        <v>#N/A</v>
      </c>
      <c r="AT51" s="630" t="str">
        <f t="shared" si="589"/>
        <v>#N/A</v>
      </c>
      <c r="AU51" s="630" t="str">
        <f t="shared" si="590"/>
        <v>#N/A</v>
      </c>
      <c r="AV51" s="630" t="str">
        <f t="shared" si="591"/>
        <v>#N/A</v>
      </c>
      <c r="AW51" s="630" t="str">
        <f t="shared" si="592"/>
        <v>#N/A</v>
      </c>
      <c r="AX51" s="630" t="str">
        <f t="shared" si="593"/>
        <v>#N/A</v>
      </c>
    </row>
    <row r="52" outlineLevel="1">
      <c r="A52" s="1448"/>
      <c r="B52" s="1440"/>
      <c r="C52" s="1449" t="s">
        <v>3046</v>
      </c>
      <c r="D52" s="1433" t="s">
        <v>3047</v>
      </c>
      <c r="E52" s="1450"/>
      <c r="F52" s="1450"/>
      <c r="G52" s="1450">
        <f>SUMIF(AC_TKNO,$C52,AC_SOTIEN)</f>
        <v>0</v>
      </c>
      <c r="H52" s="1450">
        <f>SUMIF(AC_TKCO,$C52,AC_SOTIEN)</f>
        <v>0</v>
      </c>
      <c r="I52" s="1450" t="str">
        <f t="shared" si="601"/>
        <v>-</v>
      </c>
      <c r="J52" s="1450" t="str">
        <f t="shared" si="602"/>
        <v>-</v>
      </c>
      <c r="K52" s="1443"/>
      <c r="L52" s="1443"/>
      <c r="M52" s="1444" t="str">
        <f t="shared" ref="M52:N52" si="603">S52</f>
        <v>#N/A</v>
      </c>
      <c r="N52" s="1444" t="str">
        <f t="shared" si="603"/>
        <v>#N/A</v>
      </c>
      <c r="O52" s="1444" t="str">
        <f t="shared" ref="O52:P52" si="604">W52</f>
        <v>#N/A</v>
      </c>
      <c r="P52" s="1444" t="str">
        <f t="shared" si="604"/>
        <v>#N/A</v>
      </c>
      <c r="Q52" s="1445" t="str">
        <f t="shared" ref="Q52:R52" si="605">AE52</f>
        <v>#N/A</v>
      </c>
      <c r="R52" s="1445" t="str">
        <f t="shared" si="605"/>
        <v>#N/A</v>
      </c>
      <c r="S52" s="1445" t="str">
        <f t="shared" ref="S52:T52" si="606">AK52</f>
        <v>#N/A</v>
      </c>
      <c r="T52" s="1445" t="str">
        <f t="shared" si="606"/>
        <v>#N/A</v>
      </c>
      <c r="U52" s="1445" t="str">
        <f t="shared" ref="U52:V52" si="607">AQ52</f>
        <v>#N/A</v>
      </c>
      <c r="V52" s="1445" t="str">
        <f t="shared" si="607"/>
        <v>#N/A</v>
      </c>
      <c r="W52" s="1445" t="str">
        <f t="shared" ref="W52:X52" si="608">AW52</f>
        <v>#N/A</v>
      </c>
      <c r="X52" s="1445" t="str">
        <f t="shared" si="608"/>
        <v>#N/A</v>
      </c>
      <c r="Y52" s="630" t="str">
        <f t="shared" ref="Y52:Z52" si="609">E52</f>
        <v/>
      </c>
      <c r="Z52" s="630" t="str">
        <f t="shared" si="609"/>
        <v/>
      </c>
      <c r="AA52" s="630" t="str">
        <f t="shared" si="570"/>
        <v>#N/A</v>
      </c>
      <c r="AB52" s="630" t="str">
        <f t="shared" si="571"/>
        <v>#N/A</v>
      </c>
      <c r="AC52" s="630" t="str">
        <f t="shared" si="572"/>
        <v>#N/A</v>
      </c>
      <c r="AD52" s="630" t="str">
        <f t="shared" si="573"/>
        <v>#N/A</v>
      </c>
      <c r="AE52" s="630" t="str">
        <f t="shared" si="574"/>
        <v>#N/A</v>
      </c>
      <c r="AF52" s="630" t="str">
        <f t="shared" si="575"/>
        <v>#N/A</v>
      </c>
      <c r="AG52" s="630" t="str">
        <f t="shared" si="576"/>
        <v>#N/A</v>
      </c>
      <c r="AH52" s="630" t="str">
        <f t="shared" si="577"/>
        <v>#N/A</v>
      </c>
      <c r="AI52" s="630" t="str">
        <f t="shared" si="578"/>
        <v>#N/A</v>
      </c>
      <c r="AJ52" s="630" t="str">
        <f t="shared" si="579"/>
        <v>#N/A</v>
      </c>
      <c r="AK52" s="630" t="str">
        <f t="shared" si="580"/>
        <v>#N/A</v>
      </c>
      <c r="AL52" s="630" t="str">
        <f t="shared" si="581"/>
        <v>#N/A</v>
      </c>
      <c r="AM52" s="630" t="str">
        <f t="shared" si="582"/>
        <v>#N/A</v>
      </c>
      <c r="AN52" s="630" t="str">
        <f t="shared" si="583"/>
        <v>#N/A</v>
      </c>
      <c r="AO52" s="630" t="str">
        <f t="shared" si="584"/>
        <v>#N/A</v>
      </c>
      <c r="AP52" s="630" t="str">
        <f t="shared" si="585"/>
        <v>#N/A</v>
      </c>
      <c r="AQ52" s="630" t="str">
        <f t="shared" si="586"/>
        <v>#N/A</v>
      </c>
      <c r="AR52" s="630" t="str">
        <f t="shared" si="587"/>
        <v>#N/A</v>
      </c>
      <c r="AS52" s="630" t="str">
        <f t="shared" si="588"/>
        <v>#N/A</v>
      </c>
      <c r="AT52" s="630" t="str">
        <f t="shared" si="589"/>
        <v>#N/A</v>
      </c>
      <c r="AU52" s="630" t="str">
        <f t="shared" si="590"/>
        <v>#N/A</v>
      </c>
      <c r="AV52" s="630" t="str">
        <f t="shared" si="591"/>
        <v>#N/A</v>
      </c>
      <c r="AW52" s="630" t="str">
        <f t="shared" si="592"/>
        <v>#N/A</v>
      </c>
      <c r="AX52" s="630" t="str">
        <f t="shared" si="593"/>
        <v>#N/A</v>
      </c>
    </row>
    <row r="53" outlineLevel="1">
      <c r="A53" s="1448"/>
      <c r="B53" s="1440"/>
      <c r="C53" s="1449" t="s">
        <v>3048</v>
      </c>
      <c r="D53" s="1433" t="s">
        <v>3049</v>
      </c>
      <c r="E53" s="1450"/>
      <c r="F53" s="1450"/>
      <c r="G53" s="1450">
        <f>SUMIF(AC_TKNO,$C53,AC_SOTIEN)</f>
        <v>0</v>
      </c>
      <c r="H53" s="1450">
        <f>SUMIF(AC_TKCO,$C53,AC_SOTIEN)</f>
        <v>0</v>
      </c>
      <c r="I53" s="1450" t="str">
        <f t="shared" si="601"/>
        <v>-</v>
      </c>
      <c r="J53" s="1450" t="str">
        <f t="shared" si="602"/>
        <v>-</v>
      </c>
      <c r="K53" s="1443"/>
      <c r="L53" s="1443"/>
      <c r="M53" s="1444" t="str">
        <f t="shared" ref="M53:N53" si="610">S53</f>
        <v>#N/A</v>
      </c>
      <c r="N53" s="1444" t="str">
        <f t="shared" si="610"/>
        <v>#N/A</v>
      </c>
      <c r="O53" s="1444" t="str">
        <f t="shared" ref="O53:P53" si="611">W53</f>
        <v>#N/A</v>
      </c>
      <c r="P53" s="1444" t="str">
        <f t="shared" si="611"/>
        <v>#N/A</v>
      </c>
      <c r="Q53" s="1445" t="str">
        <f t="shared" ref="Q53:R53" si="612">AE53</f>
        <v>#N/A</v>
      </c>
      <c r="R53" s="1445" t="str">
        <f t="shared" si="612"/>
        <v>#N/A</v>
      </c>
      <c r="S53" s="1445" t="str">
        <f t="shared" ref="S53:T53" si="613">AK53</f>
        <v>#N/A</v>
      </c>
      <c r="T53" s="1445" t="str">
        <f t="shared" si="613"/>
        <v>#N/A</v>
      </c>
      <c r="U53" s="1445" t="str">
        <f t="shared" ref="U53:V53" si="614">AQ53</f>
        <v>#N/A</v>
      </c>
      <c r="V53" s="1445" t="str">
        <f t="shared" si="614"/>
        <v>#N/A</v>
      </c>
      <c r="W53" s="1445" t="str">
        <f t="shared" ref="W53:X53" si="615">AW53</f>
        <v>#N/A</v>
      </c>
      <c r="X53" s="1445" t="str">
        <f t="shared" si="615"/>
        <v>#N/A</v>
      </c>
      <c r="Y53" s="1457" t="str">
        <f t="shared" ref="Y53:Z53" si="616">E53</f>
        <v/>
      </c>
      <c r="Z53" s="1457" t="str">
        <f t="shared" si="616"/>
        <v/>
      </c>
      <c r="AA53" s="630" t="str">
        <f t="shared" si="570"/>
        <v>#N/A</v>
      </c>
      <c r="AB53" s="630" t="str">
        <f t="shared" si="571"/>
        <v>#N/A</v>
      </c>
      <c r="AC53" s="630" t="str">
        <f t="shared" si="572"/>
        <v>#N/A</v>
      </c>
      <c r="AD53" s="630" t="str">
        <f t="shared" si="573"/>
        <v>#N/A</v>
      </c>
      <c r="AE53" s="630" t="str">
        <f t="shared" si="574"/>
        <v>#N/A</v>
      </c>
      <c r="AF53" s="630" t="str">
        <f t="shared" si="575"/>
        <v>#N/A</v>
      </c>
      <c r="AG53" s="630" t="str">
        <f t="shared" si="576"/>
        <v>#N/A</v>
      </c>
      <c r="AH53" s="630" t="str">
        <f t="shared" si="577"/>
        <v>#N/A</v>
      </c>
      <c r="AI53" s="630" t="str">
        <f t="shared" si="578"/>
        <v>#N/A</v>
      </c>
      <c r="AJ53" s="630" t="str">
        <f t="shared" si="579"/>
        <v>#N/A</v>
      </c>
      <c r="AK53" s="630" t="str">
        <f t="shared" si="580"/>
        <v>#N/A</v>
      </c>
      <c r="AL53" s="630" t="str">
        <f t="shared" si="581"/>
        <v>#N/A</v>
      </c>
      <c r="AM53" s="630" t="str">
        <f t="shared" si="582"/>
        <v>#N/A</v>
      </c>
      <c r="AN53" s="630" t="str">
        <f t="shared" si="583"/>
        <v>#N/A</v>
      </c>
      <c r="AO53" s="630" t="str">
        <f t="shared" si="584"/>
        <v>#N/A</v>
      </c>
      <c r="AP53" s="630" t="str">
        <f t="shared" si="585"/>
        <v>#N/A</v>
      </c>
      <c r="AQ53" s="630" t="str">
        <f t="shared" si="586"/>
        <v>#N/A</v>
      </c>
      <c r="AR53" s="630" t="str">
        <f t="shared" si="587"/>
        <v>#N/A</v>
      </c>
      <c r="AS53" s="630" t="str">
        <f t="shared" si="588"/>
        <v>#N/A</v>
      </c>
      <c r="AT53" s="630" t="str">
        <f t="shared" si="589"/>
        <v>#N/A</v>
      </c>
      <c r="AU53" s="630" t="str">
        <f t="shared" si="590"/>
        <v>#N/A</v>
      </c>
      <c r="AV53" s="630" t="str">
        <f t="shared" si="591"/>
        <v>#N/A</v>
      </c>
      <c r="AW53" s="630" t="str">
        <f t="shared" si="592"/>
        <v>#N/A</v>
      </c>
      <c r="AX53" s="630" t="str">
        <f t="shared" si="593"/>
        <v>#N/A</v>
      </c>
    </row>
    <row r="54" outlineLevel="1">
      <c r="A54" s="1452" t="s">
        <v>2986</v>
      </c>
      <c r="B54" s="1439" t="s">
        <v>3050</v>
      </c>
      <c r="C54" s="1439" t="s">
        <v>3050</v>
      </c>
      <c r="D54" s="1441" t="s">
        <v>1368</v>
      </c>
      <c r="E54" s="1455"/>
      <c r="F54" s="1455"/>
      <c r="G54" s="1455">
        <f>SUMIF(AC_TKNO,$C54,AC_SOTIEN)</f>
        <v>0</v>
      </c>
      <c r="H54" s="1455">
        <f>SUMIF(AC_TKCO,$C54,AC_SOTIEN)</f>
        <v>0</v>
      </c>
      <c r="I54" s="1455" t="str">
        <f t="shared" si="601"/>
        <v>-</v>
      </c>
      <c r="J54" s="1455" t="str">
        <f t="shared" si="602"/>
        <v>-</v>
      </c>
      <c r="K54" s="1443"/>
      <c r="L54" s="1443"/>
      <c r="M54" s="1444" t="str">
        <f t="shared" ref="M54:N54" si="617">S54</f>
        <v>#N/A</v>
      </c>
      <c r="N54" s="1444" t="str">
        <f t="shared" si="617"/>
        <v>#N/A</v>
      </c>
      <c r="O54" s="1444" t="str">
        <f t="shared" ref="O54:P54" si="618">W54</f>
        <v>#N/A</v>
      </c>
      <c r="P54" s="1444" t="str">
        <f t="shared" si="618"/>
        <v>#N/A</v>
      </c>
      <c r="Q54" s="1445" t="str">
        <f t="shared" ref="Q54:R54" si="619">AE54</f>
        <v>#N/A</v>
      </c>
      <c r="R54" s="1445" t="str">
        <f t="shared" si="619"/>
        <v>#N/A</v>
      </c>
      <c r="S54" s="1445" t="str">
        <f t="shared" ref="S54:T54" si="620">AK54</f>
        <v>#N/A</v>
      </c>
      <c r="T54" s="1445" t="str">
        <f t="shared" si="620"/>
        <v>#N/A</v>
      </c>
      <c r="U54" s="1445" t="str">
        <f t="shared" ref="U54:V54" si="621">AQ54</f>
        <v>#N/A</v>
      </c>
      <c r="V54" s="1445" t="str">
        <f t="shared" si="621"/>
        <v>#N/A</v>
      </c>
      <c r="W54" s="1445" t="str">
        <f t="shared" ref="W54:X54" si="622">AW54</f>
        <v>#N/A</v>
      </c>
      <c r="X54" s="1445" t="str">
        <f t="shared" si="622"/>
        <v>#N/A</v>
      </c>
      <c r="Y54" s="1447">
        <f t="shared" ref="Y54:AX54" si="623">SUM(Y55:Y56)</f>
        <v>0</v>
      </c>
      <c r="Z54" s="1447">
        <f t="shared" si="623"/>
        <v>0</v>
      </c>
      <c r="AA54" s="1447" t="str">
        <f t="shared" si="623"/>
        <v>#N/A</v>
      </c>
      <c r="AB54" s="1447" t="str">
        <f t="shared" si="623"/>
        <v>#N/A</v>
      </c>
      <c r="AC54" s="1447" t="str">
        <f t="shared" si="623"/>
        <v>#N/A</v>
      </c>
      <c r="AD54" s="1447" t="str">
        <f t="shared" si="623"/>
        <v>#N/A</v>
      </c>
      <c r="AE54" s="1447" t="str">
        <f t="shared" si="623"/>
        <v>#N/A</v>
      </c>
      <c r="AF54" s="1447" t="str">
        <f t="shared" si="623"/>
        <v>#N/A</v>
      </c>
      <c r="AG54" s="1447" t="str">
        <f t="shared" si="623"/>
        <v>#N/A</v>
      </c>
      <c r="AH54" s="1447" t="str">
        <f t="shared" si="623"/>
        <v>#N/A</v>
      </c>
      <c r="AI54" s="1447" t="str">
        <f t="shared" si="623"/>
        <v>#N/A</v>
      </c>
      <c r="AJ54" s="1447" t="str">
        <f t="shared" si="623"/>
        <v>#N/A</v>
      </c>
      <c r="AK54" s="1447" t="str">
        <f t="shared" si="623"/>
        <v>#N/A</v>
      </c>
      <c r="AL54" s="1447" t="str">
        <f t="shared" si="623"/>
        <v>#N/A</v>
      </c>
      <c r="AM54" s="1447" t="str">
        <f t="shared" si="623"/>
        <v>#N/A</v>
      </c>
      <c r="AN54" s="1447" t="str">
        <f t="shared" si="623"/>
        <v>#N/A</v>
      </c>
      <c r="AO54" s="1447" t="str">
        <f t="shared" si="623"/>
        <v>#N/A</v>
      </c>
      <c r="AP54" s="1447" t="str">
        <f t="shared" si="623"/>
        <v>#N/A</v>
      </c>
      <c r="AQ54" s="1447" t="str">
        <f t="shared" si="623"/>
        <v>#N/A</v>
      </c>
      <c r="AR54" s="1447" t="str">
        <f t="shared" si="623"/>
        <v>#N/A</v>
      </c>
      <c r="AS54" s="1447" t="str">
        <f t="shared" si="623"/>
        <v>#N/A</v>
      </c>
      <c r="AT54" s="1447" t="str">
        <f t="shared" si="623"/>
        <v>#N/A</v>
      </c>
      <c r="AU54" s="1447" t="str">
        <f t="shared" si="623"/>
        <v>#N/A</v>
      </c>
      <c r="AV54" s="1447" t="str">
        <f t="shared" si="623"/>
        <v>#N/A</v>
      </c>
      <c r="AW54" s="1447" t="str">
        <f t="shared" si="623"/>
        <v>#N/A</v>
      </c>
      <c r="AX54" s="1447" t="str">
        <f t="shared" si="623"/>
        <v>#N/A</v>
      </c>
    </row>
    <row r="55" outlineLevel="1">
      <c r="A55" s="1452" t="s">
        <v>2986</v>
      </c>
      <c r="B55" s="1439" t="s">
        <v>3051</v>
      </c>
      <c r="C55" s="1439" t="s">
        <v>3051</v>
      </c>
      <c r="D55" s="1441" t="s">
        <v>3052</v>
      </c>
      <c r="E55" s="1455"/>
      <c r="F55" s="1455"/>
      <c r="G55" s="1455">
        <f>SUMIF(AC_TKNO,$C55,AC_SOTIEN)</f>
        <v>0</v>
      </c>
      <c r="H55" s="1455">
        <f>SUMIF(AC_TKCO,$C55,AC_SOTIEN)</f>
        <v>0</v>
      </c>
      <c r="I55" s="1455" t="str">
        <f t="shared" si="601"/>
        <v>-</v>
      </c>
      <c r="J55" s="1455" t="str">
        <f t="shared" si="602"/>
        <v>-</v>
      </c>
      <c r="K55" s="1443"/>
      <c r="L55" s="1443"/>
      <c r="M55" s="1444" t="str">
        <f t="shared" ref="M55:N55" si="624">S55</f>
        <v>#N/A</v>
      </c>
      <c r="N55" s="1444" t="str">
        <f t="shared" si="624"/>
        <v>#N/A</v>
      </c>
      <c r="O55" s="1444" t="str">
        <f t="shared" ref="O55:P55" si="625">W55</f>
        <v>#N/A</v>
      </c>
      <c r="P55" s="1444" t="str">
        <f t="shared" si="625"/>
        <v>#N/A</v>
      </c>
      <c r="Q55" s="1445" t="str">
        <f t="shared" ref="Q55:R55" si="626">AE55</f>
        <v>#N/A</v>
      </c>
      <c r="R55" s="1445" t="str">
        <f t="shared" si="626"/>
        <v>#N/A</v>
      </c>
      <c r="S55" s="1445" t="str">
        <f t="shared" ref="S55:T55" si="627">AK55</f>
        <v>#N/A</v>
      </c>
      <c r="T55" s="1445" t="str">
        <f t="shared" si="627"/>
        <v>#N/A</v>
      </c>
      <c r="U55" s="1445" t="str">
        <f t="shared" ref="U55:V55" si="628">AQ55</f>
        <v>#N/A</v>
      </c>
      <c r="V55" s="1445" t="str">
        <f t="shared" si="628"/>
        <v>#N/A</v>
      </c>
      <c r="W55" s="1445" t="str">
        <f t="shared" ref="W55:X55" si="629">AW55</f>
        <v>#N/A</v>
      </c>
      <c r="X55" s="1445" t="str">
        <f t="shared" si="629"/>
        <v>#N/A</v>
      </c>
      <c r="Y55" s="630" t="str">
        <f t="shared" ref="Y55:Z55" si="630">E55</f>
        <v/>
      </c>
      <c r="Z55" s="630" t="str">
        <f t="shared" si="630"/>
        <v/>
      </c>
      <c r="AA55" s="630" t="str">
        <f t="shared" ref="AA55:AA56" si="639">IF(Y55+SUMIFS(PS_SOTIEN,PS_TKNO,$B53,PS_MONTH,AA$3)-Z55-SUMIFS(PS_SOTIEN,PS_TKCO,$B53,PS_MONTH,AA$3)&gt;0,Y55+SUMIFS(PS_SOTIEN,PS_TKNO,$B53,PS_MONTH,AA$3)-Z55-SUMIFS(PS_SOTIEN,PS_TKCO,$B53,PS_MONTH,AA$3),0)</f>
        <v>#N/A</v>
      </c>
      <c r="AB55" s="630" t="str">
        <f t="shared" ref="AB55:AB56" si="640">IF(Z55+SUMIFS(PS_SOTIEN,PS_TKCO,$B53,PS_MONTH,AA$3)-Y55-SUMIFS(PS_SOTIEN,PS_TKNO,$B53,PS_MONTH,AA$3)&gt;0,Z55+SUMIFS(PS_SOTIEN,PS_TKCO,$B53,PS_MONTH,AA$3)-Y55-SUMIFS(PS_SOTIEN,PS_TKNO,$B53,PS_MONTH,AA$3),0)</f>
        <v>#N/A</v>
      </c>
      <c r="AC55" s="630" t="str">
        <f t="shared" ref="AC55:AC56" si="641">IF(AA55+SUMIFS(PS_SOTIEN,PS_TKNO,$B53,PS_MONTH,AC$3)-AB55-SUMIFS(PS_SOTIEN,PS_TKCO,$B53,PS_MONTH,AC$3)&gt;0,AA55+SUMIFS(PS_SOTIEN,PS_TKNO,$B53,PS_MONTH,AC$3)-AB55-SUMIFS(PS_SOTIEN,PS_TKCO,$B53,PS_MONTH,AC$3),0)</f>
        <v>#N/A</v>
      </c>
      <c r="AD55" s="630" t="str">
        <f t="shared" ref="AD55:AD56" si="642">IF(AB55+SUMIFS(PS_SOTIEN,PS_TKCO,$B53,PS_MONTH,AC$3)-AA55-SUMIFS(PS_SOTIEN,PS_TKNO,$B53,PS_MONTH,AC$3)&gt;0,AB55+SUMIFS(PS_SOTIEN,PS_TKCO,$B53,PS_MONTH,AC$3)-AA55-SUMIFS(PS_SOTIEN,PS_TKNO,$B53,PS_MONTH,AC$3),0)</f>
        <v>#N/A</v>
      </c>
      <c r="AE55" s="630" t="str">
        <f t="shared" ref="AE55:AE56" si="643">IF(AC55+SUMIFS(PS_SOTIEN,PS_TKNO,$B53,PS_MONTH,AE$3)-AD55-SUMIFS(PS_SOTIEN,PS_TKCO,$B53,PS_MONTH,AE$3)&gt;0,AC55+SUMIFS(PS_SOTIEN,PS_TKNO,$B53,PS_MONTH,AE$3)-AD55-SUMIFS(PS_SOTIEN,PS_TKCO,$B53,PS_MONTH,AE$3),0)</f>
        <v>#N/A</v>
      </c>
      <c r="AF55" s="630" t="str">
        <f t="shared" ref="AF55:AF56" si="644">IF(AD55+SUMIFS(PS_SOTIEN,PS_TKCO,$B53,PS_MONTH,AE$3)-AC55-SUMIFS(PS_SOTIEN,PS_TKNO,$B53,PS_MONTH,AE$3)&gt;0,AD55+SUMIFS(PS_SOTIEN,PS_TKCO,$B53,PS_MONTH,AE$3)-AC55-SUMIFS(PS_SOTIEN,PS_TKNO,$B53,PS_MONTH,AE$3),0)</f>
        <v>#N/A</v>
      </c>
      <c r="AG55" s="630" t="str">
        <f t="shared" ref="AG55:AG56" si="645">IF(AE55+SUMIFS(PS_SOTIEN,PS_TKNO,$B53,PS_MONTH,AG$3)-AF55-SUMIFS(PS_SOTIEN,PS_TKCO,$B53,PS_MONTH,AG$3)&gt;0,AE55+SUMIFS(PS_SOTIEN,PS_TKNO,$B53,PS_MONTH,AG$3)-AF55-SUMIFS(PS_SOTIEN,PS_TKCO,$B53,PS_MONTH,AG$3),0)</f>
        <v>#N/A</v>
      </c>
      <c r="AH55" s="630" t="str">
        <f t="shared" ref="AH55:AH56" si="646">IF(AF55+SUMIFS(PS_SOTIEN,PS_TKCO,$B53,PS_MONTH,AG$3)-AE55-SUMIFS(PS_SOTIEN,PS_TKNO,$B53,PS_MONTH,AG$3)&gt;0,AF55+SUMIFS(PS_SOTIEN,PS_TKCO,$B53,PS_MONTH,AG$3)-AE55-SUMIFS(PS_SOTIEN,PS_TKNO,$B53,PS_MONTH,AG$3),0)</f>
        <v>#N/A</v>
      </c>
      <c r="AI55" s="630" t="str">
        <f t="shared" ref="AI55:AI56" si="647">IF(AG55+SUMIFS(PS_SOTIEN,PS_TKNO,$B53,PS_MONTH,AI$3)-AH55-SUMIFS(PS_SOTIEN,PS_TKCO,$B53,PS_MONTH,AI$3)&gt;0,AG55+SUMIFS(PS_SOTIEN,PS_TKNO,$B53,PS_MONTH,AI$3)-AH55-SUMIFS(PS_SOTIEN,PS_TKCO,$B53,PS_MONTH,AI$3),0)</f>
        <v>#N/A</v>
      </c>
      <c r="AJ55" s="630" t="str">
        <f t="shared" ref="AJ55:AJ56" si="648">IF(AH55+SUMIFS(PS_SOTIEN,PS_TKCO,$B53,PS_MONTH,AI$3)-AG55-SUMIFS(PS_SOTIEN,PS_TKNO,$B53,PS_MONTH,AI$3)&gt;0,AH55+SUMIFS(PS_SOTIEN,PS_TKCO,$B53,PS_MONTH,AI$3)-AG55-SUMIFS(PS_SOTIEN,PS_TKNO,$B53,PS_MONTH,AI$3),0)</f>
        <v>#N/A</v>
      </c>
      <c r="AK55" s="630" t="str">
        <f t="shared" ref="AK55:AK56" si="649">IF(AI55+SUMIFS(PS_SOTIEN,PS_TKNO,$B53,PS_MONTH,AK$3)-AJ55-SUMIFS(PS_SOTIEN,PS_TKCO,$B53,PS_MONTH,AK$3)&gt;0,AI55+SUMIFS(PS_SOTIEN,PS_TKNO,$B53,PS_MONTH,AK$3)-AJ55-SUMIFS(PS_SOTIEN,PS_TKCO,$B53,PS_MONTH,AK$3),0)</f>
        <v>#N/A</v>
      </c>
      <c r="AL55" s="630" t="str">
        <f t="shared" ref="AL55:AL56" si="650">IF(AJ55+SUMIFS(PS_SOTIEN,PS_TKCO,$B53,PS_MONTH,AK$3)-AI55-SUMIFS(PS_SOTIEN,PS_TKNO,$B53,PS_MONTH,AK$3)&gt;0,AJ55+SUMIFS(PS_SOTIEN,PS_TKCO,$B53,PS_MONTH,AK$3)-AI55-SUMIFS(PS_SOTIEN,PS_TKNO,$B53,PS_MONTH,AK$3),0)</f>
        <v>#N/A</v>
      </c>
      <c r="AM55" s="630" t="str">
        <f t="shared" ref="AM55:AM56" si="651">IF(AK55+SUMIFS(PS_SOTIEN,PS_TKNO,$B53,PS_MONTH,AM$3)-AL55-SUMIFS(PS_SOTIEN,PS_TKCO,$B53,PS_MONTH,AM$3)&gt;0,AK55+SUMIFS(PS_SOTIEN,PS_TKNO,$B53,PS_MONTH,AM$3)-AL55-SUMIFS(PS_SOTIEN,PS_TKCO,$B53,PS_MONTH,AM$3),0)</f>
        <v>#N/A</v>
      </c>
      <c r="AN55" s="630" t="str">
        <f t="shared" ref="AN55:AN56" si="652">IF(AL55+SUMIFS(PS_SOTIEN,PS_TKCO,$B53,PS_MONTH,AM$3)-AK55-SUMIFS(PS_SOTIEN,PS_TKNO,$B53,PS_MONTH,AM$3)&gt;0,AL55+SUMIFS(PS_SOTIEN,PS_TKCO,$B53,PS_MONTH,AM$3)-AK55-SUMIFS(PS_SOTIEN,PS_TKNO,$B53,PS_MONTH,AM$3),0)</f>
        <v>#N/A</v>
      </c>
      <c r="AO55" s="630" t="str">
        <f t="shared" ref="AO55:AO56" si="653">IF(AM55+SUMIFS(PS_SOTIEN,PS_TKNO,$B53,PS_MONTH,AO$3)-AN55-SUMIFS(PS_SOTIEN,PS_TKCO,$B53,PS_MONTH,AO$3)&gt;0,AM55+SUMIFS(PS_SOTIEN,PS_TKNO,$B53,PS_MONTH,AO$3)-AN55-SUMIFS(PS_SOTIEN,PS_TKCO,$B53,PS_MONTH,AO$3),0)</f>
        <v>#N/A</v>
      </c>
      <c r="AP55" s="630" t="str">
        <f t="shared" ref="AP55:AP56" si="654">IF(AN55+SUMIFS(PS_SOTIEN,PS_TKCO,$B53,PS_MONTH,AO$3)-AM55-SUMIFS(PS_SOTIEN,PS_TKNO,$B53,PS_MONTH,AO$3)&gt;0,AN55+SUMIFS(PS_SOTIEN,PS_TKCO,$B53,PS_MONTH,AO$3)-AM55-SUMIFS(PS_SOTIEN,PS_TKNO,$B53,PS_MONTH,AO$3),0)</f>
        <v>#N/A</v>
      </c>
      <c r="AQ55" s="630" t="str">
        <f t="shared" ref="AQ55:AQ56" si="655">IF(AO55+SUMIFS(PS_SOTIEN,PS_TKNO,$B53,PS_MONTH,AQ$3)-AP55-SUMIFS(PS_SOTIEN,PS_TKCO,$B53,PS_MONTH,AQ$3)&gt;0,AO55+SUMIFS(PS_SOTIEN,PS_TKNO,$B53,PS_MONTH,AQ$3)-AP55-SUMIFS(PS_SOTIEN,PS_TKCO,$B53,PS_MONTH,AQ$3),0)</f>
        <v>#N/A</v>
      </c>
      <c r="AR55" s="630" t="str">
        <f t="shared" ref="AR55:AR56" si="656">IF(AP55+SUMIFS(PS_SOTIEN,PS_TKCO,$B53,PS_MONTH,AQ$3)-AO55-SUMIFS(PS_SOTIEN,PS_TKNO,$B53,PS_MONTH,AQ$3)&gt;0,AP55+SUMIFS(PS_SOTIEN,PS_TKCO,$B53,PS_MONTH,AQ$3)-AO55-SUMIFS(PS_SOTIEN,PS_TKNO,$B53,PS_MONTH,AQ$3),0)</f>
        <v>#N/A</v>
      </c>
      <c r="AS55" s="630" t="str">
        <f t="shared" ref="AS55:AS56" si="657">IF(AQ55+SUMIFS(PS_SOTIEN,PS_TKNO,$B53,PS_MONTH,AS$3)-AR55-SUMIFS(PS_SOTIEN,PS_TKCO,$B53,PS_MONTH,AS$3)&gt;0,AQ55+SUMIFS(PS_SOTIEN,PS_TKNO,$B53,PS_MONTH,AS$3)-AR55-SUMIFS(PS_SOTIEN,PS_TKCO,$B53,PS_MONTH,AS$3),0)</f>
        <v>#N/A</v>
      </c>
      <c r="AT55" s="630" t="str">
        <f t="shared" ref="AT55:AT56" si="658">IF(AR55+SUMIFS(PS_SOTIEN,PS_TKCO,$B53,PS_MONTH,AS$3)-AQ55-SUMIFS(PS_SOTIEN,PS_TKNO,$B53,PS_MONTH,AS$3)&gt;0,AR55+SUMIFS(PS_SOTIEN,PS_TKCO,$B53,PS_MONTH,AS$3)-AQ55-SUMIFS(PS_SOTIEN,PS_TKNO,$B53,PS_MONTH,AS$3),0)</f>
        <v>#N/A</v>
      </c>
      <c r="AU55" s="630" t="str">
        <f t="shared" ref="AU55:AU56" si="659">IF(AS55+SUMIFS(PS_SOTIEN,PS_TKNO,$B53,PS_MONTH,AU$3)-AT55-SUMIFS(PS_SOTIEN,PS_TKCO,$B53,PS_MONTH,AU$3)&gt;0,AS55+SUMIFS(PS_SOTIEN,PS_TKNO,$B53,PS_MONTH,AU$3)-AT55-SUMIFS(PS_SOTIEN,PS_TKCO,$B53,PS_MONTH,AU$3),0)</f>
        <v>#N/A</v>
      </c>
      <c r="AV55" s="630" t="str">
        <f t="shared" ref="AV55:AV56" si="660">IF(AT55+SUMIFS(PS_SOTIEN,PS_TKCO,$B53,PS_MONTH,AU$3)-AS55-SUMIFS(PS_SOTIEN,PS_TKNO,$B53,PS_MONTH,AU$3)&gt;0,AT55+SUMIFS(PS_SOTIEN,PS_TKCO,$B53,PS_MONTH,AU$3)-AS55-SUMIFS(PS_SOTIEN,PS_TKNO,$B53,PS_MONTH,AU$3),0)</f>
        <v>#N/A</v>
      </c>
      <c r="AW55" s="630" t="str">
        <f t="shared" ref="AW55:AW56" si="661">IF(AU55+SUMIFS(PS_SOTIEN,PS_TKNO,$B53,PS_MONTH,AW$3)-AV55-SUMIFS(PS_SOTIEN,PS_TKCO,$B53,PS_MONTH,AW$3)&gt;0,AU55+SUMIFS(PS_SOTIEN,PS_TKNO,$B53,PS_MONTH,AW$3)-AV55-SUMIFS(PS_SOTIEN,PS_TKCO,$B53,PS_MONTH,AW$3),0)</f>
        <v>#N/A</v>
      </c>
      <c r="AX55" s="630" t="str">
        <f t="shared" ref="AX55:AX56" si="662">IF(AV55+SUMIFS(PS_SOTIEN,PS_TKCO,$B53,PS_MONTH,AW$3)-AU55-SUMIFS(PS_SOTIEN,PS_TKNO,$B53,PS_MONTH,AW$3)&gt;0,AV55+SUMIFS(PS_SOTIEN,PS_TKCO,$B53,PS_MONTH,AW$3)-AU55-SUMIFS(PS_SOTIEN,PS_TKNO,$B53,PS_MONTH,AW$3),0)</f>
        <v>#N/A</v>
      </c>
    </row>
    <row r="56" outlineLevel="1">
      <c r="A56" s="1452" t="s">
        <v>2986</v>
      </c>
      <c r="B56" s="1439" t="s">
        <v>3053</v>
      </c>
      <c r="C56" s="1440"/>
      <c r="D56" s="1441" t="s">
        <v>3054</v>
      </c>
      <c r="E56" s="1442">
        <f t="shared" ref="E56:J56" si="631">SUM(E57:E58)</f>
        <v>0</v>
      </c>
      <c r="F56" s="1442">
        <f t="shared" si="631"/>
        <v>0</v>
      </c>
      <c r="G56" s="1442">
        <f t="shared" si="631"/>
        <v>0</v>
      </c>
      <c r="H56" s="1442">
        <f t="shared" si="631"/>
        <v>0</v>
      </c>
      <c r="I56" s="1442">
        <f t="shared" si="631"/>
        <v>0</v>
      </c>
      <c r="J56" s="1442">
        <f t="shared" si="631"/>
        <v>0</v>
      </c>
      <c r="K56" s="1443"/>
      <c r="L56" s="1443"/>
      <c r="M56" s="1444" t="str">
        <f t="shared" ref="M56:N56" si="632">S56</f>
        <v>#N/A</v>
      </c>
      <c r="N56" s="1444" t="str">
        <f t="shared" si="632"/>
        <v>#N/A</v>
      </c>
      <c r="O56" s="1444" t="str">
        <f t="shared" ref="O56:P56" si="633">W56</f>
        <v>#N/A</v>
      </c>
      <c r="P56" s="1444" t="str">
        <f t="shared" si="633"/>
        <v>#N/A</v>
      </c>
      <c r="Q56" s="1445" t="str">
        <f t="shared" ref="Q56:R56" si="634">AE56</f>
        <v>#N/A</v>
      </c>
      <c r="R56" s="1445" t="str">
        <f t="shared" si="634"/>
        <v>#N/A</v>
      </c>
      <c r="S56" s="1445" t="str">
        <f t="shared" ref="S56:T56" si="635">AK56</f>
        <v>#N/A</v>
      </c>
      <c r="T56" s="1445" t="str">
        <f t="shared" si="635"/>
        <v>#N/A</v>
      </c>
      <c r="U56" s="1445" t="str">
        <f t="shared" ref="U56:V56" si="636">AQ56</f>
        <v>#N/A</v>
      </c>
      <c r="V56" s="1445" t="str">
        <f t="shared" si="636"/>
        <v>#N/A</v>
      </c>
      <c r="W56" s="1445" t="str">
        <f t="shared" ref="W56:X56" si="637">AW56</f>
        <v>#N/A</v>
      </c>
      <c r="X56" s="1445" t="str">
        <f t="shared" si="637"/>
        <v>#N/A</v>
      </c>
      <c r="Y56" s="630">
        <f t="shared" ref="Y56:Z56" si="638">E56</f>
        <v>0</v>
      </c>
      <c r="Z56" s="630">
        <f t="shared" si="638"/>
        <v>0</v>
      </c>
      <c r="AA56" s="630" t="str">
        <f t="shared" si="639"/>
        <v>#N/A</v>
      </c>
      <c r="AB56" s="630" t="str">
        <f t="shared" si="640"/>
        <v>#N/A</v>
      </c>
      <c r="AC56" s="630" t="str">
        <f t="shared" si="641"/>
        <v>#N/A</v>
      </c>
      <c r="AD56" s="630" t="str">
        <f t="shared" si="642"/>
        <v>#N/A</v>
      </c>
      <c r="AE56" s="630" t="str">
        <f t="shared" si="643"/>
        <v>#N/A</v>
      </c>
      <c r="AF56" s="630" t="str">
        <f t="shared" si="644"/>
        <v>#N/A</v>
      </c>
      <c r="AG56" s="630" t="str">
        <f t="shared" si="645"/>
        <v>#N/A</v>
      </c>
      <c r="AH56" s="630" t="str">
        <f t="shared" si="646"/>
        <v>#N/A</v>
      </c>
      <c r="AI56" s="630" t="str">
        <f t="shared" si="647"/>
        <v>#N/A</v>
      </c>
      <c r="AJ56" s="630" t="str">
        <f t="shared" si="648"/>
        <v>#N/A</v>
      </c>
      <c r="AK56" s="630" t="str">
        <f t="shared" si="649"/>
        <v>#N/A</v>
      </c>
      <c r="AL56" s="630" t="str">
        <f t="shared" si="650"/>
        <v>#N/A</v>
      </c>
      <c r="AM56" s="630" t="str">
        <f t="shared" si="651"/>
        <v>#N/A</v>
      </c>
      <c r="AN56" s="630" t="str">
        <f t="shared" si="652"/>
        <v>#N/A</v>
      </c>
      <c r="AO56" s="630" t="str">
        <f t="shared" si="653"/>
        <v>#N/A</v>
      </c>
      <c r="AP56" s="630" t="str">
        <f t="shared" si="654"/>
        <v>#N/A</v>
      </c>
      <c r="AQ56" s="630" t="str">
        <f t="shared" si="655"/>
        <v>#N/A</v>
      </c>
      <c r="AR56" s="630" t="str">
        <f t="shared" si="656"/>
        <v>#N/A</v>
      </c>
      <c r="AS56" s="630" t="str">
        <f t="shared" si="657"/>
        <v>#N/A</v>
      </c>
      <c r="AT56" s="630" t="str">
        <f t="shared" si="658"/>
        <v>#N/A</v>
      </c>
      <c r="AU56" s="630" t="str">
        <f t="shared" si="659"/>
        <v>#N/A</v>
      </c>
      <c r="AV56" s="630" t="str">
        <f t="shared" si="660"/>
        <v>#N/A</v>
      </c>
      <c r="AW56" s="630" t="str">
        <f t="shared" si="661"/>
        <v>#N/A</v>
      </c>
      <c r="AX56" s="630" t="str">
        <f t="shared" si="662"/>
        <v>#N/A</v>
      </c>
    </row>
    <row r="57" outlineLevel="1">
      <c r="A57" s="1448"/>
      <c r="B57" s="1440"/>
      <c r="C57" s="1449" t="s">
        <v>3055</v>
      </c>
      <c r="D57" s="1433" t="s">
        <v>3056</v>
      </c>
      <c r="E57" s="1450"/>
      <c r="F57" s="1450"/>
      <c r="G57" s="1450">
        <f>SUMIF(AC_TKNO,$C57,AC_SOTIEN)</f>
        <v>0</v>
      </c>
      <c r="H57" s="1450">
        <f>SUMIF(AC_TKCO,$C57,AC_SOTIEN)</f>
        <v>0</v>
      </c>
      <c r="I57" s="1450" t="str">
        <f t="shared" ref="I57:I59" si="670">IF(E57+G57-F57-H57&gt;0,E57+G57-F57-H57,"-")</f>
        <v>-</v>
      </c>
      <c r="J57" s="1450" t="str">
        <f t="shared" ref="J57:J59" si="671">IF(F57+H57-E57-G57&gt;0,F57+H57-E57-G57,"-")</f>
        <v>-</v>
      </c>
      <c r="K57" s="1443"/>
      <c r="L57" s="1443"/>
      <c r="M57" s="1444" t="str">
        <f t="shared" ref="M57:N57" si="663">S57</f>
        <v>#N/A</v>
      </c>
      <c r="N57" s="1444" t="str">
        <f t="shared" si="663"/>
        <v>#N/A</v>
      </c>
      <c r="O57" s="1444" t="str">
        <f t="shared" ref="O57:P57" si="664">W57</f>
        <v>#N/A</v>
      </c>
      <c r="P57" s="1444" t="str">
        <f t="shared" si="664"/>
        <v>#N/A</v>
      </c>
      <c r="Q57" s="1445" t="str">
        <f t="shared" ref="Q57:R57" si="665">AE57</f>
        <v>#N/A</v>
      </c>
      <c r="R57" s="1445" t="str">
        <f t="shared" si="665"/>
        <v>#N/A</v>
      </c>
      <c r="S57" s="1445" t="str">
        <f t="shared" ref="S57:T57" si="666">AK57</f>
        <v>#N/A</v>
      </c>
      <c r="T57" s="1445" t="str">
        <f t="shared" si="666"/>
        <v>#N/A</v>
      </c>
      <c r="U57" s="1445" t="str">
        <f t="shared" ref="U57:V57" si="667">AQ57</f>
        <v>#N/A</v>
      </c>
      <c r="V57" s="1445" t="str">
        <f t="shared" si="667"/>
        <v>#N/A</v>
      </c>
      <c r="W57" s="1445" t="str">
        <f t="shared" ref="W57:X57" si="668">AW57</f>
        <v>#N/A</v>
      </c>
      <c r="X57" s="1445" t="str">
        <f t="shared" si="668"/>
        <v>#N/A</v>
      </c>
      <c r="Y57" s="1447">
        <f t="shared" ref="Y57:AX57" si="669">SUM(Y58:Y60)</f>
        <v>0</v>
      </c>
      <c r="Z57" s="1447">
        <f t="shared" si="669"/>
        <v>0</v>
      </c>
      <c r="AA57" s="1447" t="str">
        <f t="shared" si="669"/>
        <v>#N/A</v>
      </c>
      <c r="AB57" s="1447" t="str">
        <f t="shared" si="669"/>
        <v>#N/A</v>
      </c>
      <c r="AC57" s="1447" t="str">
        <f t="shared" si="669"/>
        <v>#N/A</v>
      </c>
      <c r="AD57" s="1447" t="str">
        <f t="shared" si="669"/>
        <v>#N/A</v>
      </c>
      <c r="AE57" s="1447" t="str">
        <f t="shared" si="669"/>
        <v>#N/A</v>
      </c>
      <c r="AF57" s="1447" t="str">
        <f t="shared" si="669"/>
        <v>#N/A</v>
      </c>
      <c r="AG57" s="1447" t="str">
        <f t="shared" si="669"/>
        <v>#N/A</v>
      </c>
      <c r="AH57" s="1447" t="str">
        <f t="shared" si="669"/>
        <v>#N/A</v>
      </c>
      <c r="AI57" s="1447" t="str">
        <f t="shared" si="669"/>
        <v>#N/A</v>
      </c>
      <c r="AJ57" s="1447" t="str">
        <f t="shared" si="669"/>
        <v>#N/A</v>
      </c>
      <c r="AK57" s="1447" t="str">
        <f t="shared" si="669"/>
        <v>#N/A</v>
      </c>
      <c r="AL57" s="1447" t="str">
        <f t="shared" si="669"/>
        <v>#N/A</v>
      </c>
      <c r="AM57" s="1447" t="str">
        <f t="shared" si="669"/>
        <v>#N/A</v>
      </c>
      <c r="AN57" s="1447" t="str">
        <f t="shared" si="669"/>
        <v>#N/A</v>
      </c>
      <c r="AO57" s="1447" t="str">
        <f t="shared" si="669"/>
        <v>#N/A</v>
      </c>
      <c r="AP57" s="1447" t="str">
        <f t="shared" si="669"/>
        <v>#N/A</v>
      </c>
      <c r="AQ57" s="1447" t="str">
        <f t="shared" si="669"/>
        <v>#N/A</v>
      </c>
      <c r="AR57" s="1447" t="str">
        <f t="shared" si="669"/>
        <v>#N/A</v>
      </c>
      <c r="AS57" s="1447" t="str">
        <f t="shared" si="669"/>
        <v>#N/A</v>
      </c>
      <c r="AT57" s="1447" t="str">
        <f t="shared" si="669"/>
        <v>#N/A</v>
      </c>
      <c r="AU57" s="1447" t="str">
        <f t="shared" si="669"/>
        <v>#N/A</v>
      </c>
      <c r="AV57" s="1447" t="str">
        <f t="shared" si="669"/>
        <v>#N/A</v>
      </c>
      <c r="AW57" s="1447" t="str">
        <f t="shared" si="669"/>
        <v>#N/A</v>
      </c>
      <c r="AX57" s="1447" t="str">
        <f t="shared" si="669"/>
        <v>#N/A</v>
      </c>
    </row>
    <row r="58" outlineLevel="1">
      <c r="A58" s="1448"/>
      <c r="B58" s="1440"/>
      <c r="C58" s="1449" t="s">
        <v>3057</v>
      </c>
      <c r="D58" s="1433" t="s">
        <v>3058</v>
      </c>
      <c r="E58" s="1450"/>
      <c r="F58" s="1450"/>
      <c r="G58" s="1450">
        <f>SUMIF(AC_TKNO,$C58,AC_SOTIEN)</f>
        <v>0</v>
      </c>
      <c r="H58" s="1450">
        <f>SUMIF(AC_TKCO,$C58,AC_SOTIEN)</f>
        <v>0</v>
      </c>
      <c r="I58" s="1450" t="str">
        <f t="shared" si="670"/>
        <v>-</v>
      </c>
      <c r="J58" s="1450" t="str">
        <f t="shared" si="671"/>
        <v>-</v>
      </c>
      <c r="K58" s="1443"/>
      <c r="L58" s="1443"/>
      <c r="M58" s="1444" t="str">
        <f t="shared" ref="M58:N58" si="672">S58</f>
        <v>#N/A</v>
      </c>
      <c r="N58" s="1444" t="str">
        <f t="shared" si="672"/>
        <v>#N/A</v>
      </c>
      <c r="O58" s="1444" t="str">
        <f t="shared" ref="O58:P58" si="673">W58</f>
        <v>#N/A</v>
      </c>
      <c r="P58" s="1444" t="str">
        <f t="shared" si="673"/>
        <v>#N/A</v>
      </c>
      <c r="Q58" s="1445" t="str">
        <f t="shared" ref="Q58:R58" si="674">AE58</f>
        <v>#N/A</v>
      </c>
      <c r="R58" s="1445" t="str">
        <f t="shared" si="674"/>
        <v>#N/A</v>
      </c>
      <c r="S58" s="1445" t="str">
        <f t="shared" ref="S58:T58" si="675">AK58</f>
        <v>#N/A</v>
      </c>
      <c r="T58" s="1445" t="str">
        <f t="shared" si="675"/>
        <v>#N/A</v>
      </c>
      <c r="U58" s="1445" t="str">
        <f t="shared" ref="U58:V58" si="676">AQ58</f>
        <v>#N/A</v>
      </c>
      <c r="V58" s="1445" t="str">
        <f t="shared" si="676"/>
        <v>#N/A</v>
      </c>
      <c r="W58" s="1445" t="str">
        <f t="shared" ref="W58:X58" si="677">AW58</f>
        <v>#N/A</v>
      </c>
      <c r="X58" s="1445" t="str">
        <f t="shared" si="677"/>
        <v>#N/A</v>
      </c>
      <c r="Y58" s="630" t="str">
        <f t="shared" ref="Y58:Z58" si="678">E58</f>
        <v/>
      </c>
      <c r="Z58" s="630" t="str">
        <f t="shared" si="678"/>
        <v/>
      </c>
      <c r="AA58" s="630" t="str">
        <f t="shared" ref="AA58:AA62" si="686">IF(Y58+SUMIFS(PS_SOTIEN,PS_TKNO,$B56,PS_MONTH,AA$3)-Z58-SUMIFS(PS_SOTIEN,PS_TKCO,$B56,PS_MONTH,AA$3)&gt;0,Y58+SUMIFS(PS_SOTIEN,PS_TKNO,$B56,PS_MONTH,AA$3)-Z58-SUMIFS(PS_SOTIEN,PS_TKCO,$B56,PS_MONTH,AA$3),0)</f>
        <v>#N/A</v>
      </c>
      <c r="AB58" s="630" t="str">
        <f t="shared" ref="AB58:AB62" si="687">IF(Z58+SUMIFS(PS_SOTIEN,PS_TKCO,$B56,PS_MONTH,AA$3)-Y58-SUMIFS(PS_SOTIEN,PS_TKNO,$B56,PS_MONTH,AA$3)&gt;0,Z58+SUMIFS(PS_SOTIEN,PS_TKCO,$B56,PS_MONTH,AA$3)-Y58-SUMIFS(PS_SOTIEN,PS_TKNO,$B56,PS_MONTH,AA$3),0)</f>
        <v>#N/A</v>
      </c>
      <c r="AC58" s="630" t="str">
        <f t="shared" ref="AC58:AC62" si="688">IF(AA58+SUMIFS(PS_SOTIEN,PS_TKNO,$B56,PS_MONTH,AC$3)-AB58-SUMIFS(PS_SOTIEN,PS_TKCO,$B56,PS_MONTH,AC$3)&gt;0,AA58+SUMIFS(PS_SOTIEN,PS_TKNO,$B56,PS_MONTH,AC$3)-AB58-SUMIFS(PS_SOTIEN,PS_TKCO,$B56,PS_MONTH,AC$3),0)</f>
        <v>#N/A</v>
      </c>
      <c r="AD58" s="630" t="str">
        <f t="shared" ref="AD58:AD62" si="689">IF(AB58+SUMIFS(PS_SOTIEN,PS_TKCO,$B56,PS_MONTH,AC$3)-AA58-SUMIFS(PS_SOTIEN,PS_TKNO,$B56,PS_MONTH,AC$3)&gt;0,AB58+SUMIFS(PS_SOTIEN,PS_TKCO,$B56,PS_MONTH,AC$3)-AA58-SUMIFS(PS_SOTIEN,PS_TKNO,$B56,PS_MONTH,AC$3),0)</f>
        <v>#N/A</v>
      </c>
      <c r="AE58" s="630" t="str">
        <f t="shared" ref="AE58:AE62" si="690">IF(AC58+SUMIFS(PS_SOTIEN,PS_TKNO,$B56,PS_MONTH,AE$3)-AD58-SUMIFS(PS_SOTIEN,PS_TKCO,$B56,PS_MONTH,AE$3)&gt;0,AC58+SUMIFS(PS_SOTIEN,PS_TKNO,$B56,PS_MONTH,AE$3)-AD58-SUMIFS(PS_SOTIEN,PS_TKCO,$B56,PS_MONTH,AE$3),0)</f>
        <v>#N/A</v>
      </c>
      <c r="AF58" s="630" t="str">
        <f t="shared" ref="AF58:AF62" si="691">IF(AD58+SUMIFS(PS_SOTIEN,PS_TKCO,$B56,PS_MONTH,AE$3)-AC58-SUMIFS(PS_SOTIEN,PS_TKNO,$B56,PS_MONTH,AE$3)&gt;0,AD58+SUMIFS(PS_SOTIEN,PS_TKCO,$B56,PS_MONTH,AE$3)-AC58-SUMIFS(PS_SOTIEN,PS_TKNO,$B56,PS_MONTH,AE$3),0)</f>
        <v>#N/A</v>
      </c>
      <c r="AG58" s="630" t="str">
        <f t="shared" ref="AG58:AG62" si="692">IF(AE58+SUMIFS(PS_SOTIEN,PS_TKNO,$B56,PS_MONTH,AG$3)-AF58-SUMIFS(PS_SOTIEN,PS_TKCO,$B56,PS_MONTH,AG$3)&gt;0,AE58+SUMIFS(PS_SOTIEN,PS_TKNO,$B56,PS_MONTH,AG$3)-AF58-SUMIFS(PS_SOTIEN,PS_TKCO,$B56,PS_MONTH,AG$3),0)</f>
        <v>#N/A</v>
      </c>
      <c r="AH58" s="630" t="str">
        <f t="shared" ref="AH58:AH62" si="693">IF(AF58+SUMIFS(PS_SOTIEN,PS_TKCO,$B56,PS_MONTH,AG$3)-AE58-SUMIFS(PS_SOTIEN,PS_TKNO,$B56,PS_MONTH,AG$3)&gt;0,AF58+SUMIFS(PS_SOTIEN,PS_TKCO,$B56,PS_MONTH,AG$3)-AE58-SUMIFS(PS_SOTIEN,PS_TKNO,$B56,PS_MONTH,AG$3),0)</f>
        <v>#N/A</v>
      </c>
      <c r="AI58" s="630" t="str">
        <f t="shared" ref="AI58:AI62" si="694">IF(AG58+SUMIFS(PS_SOTIEN,PS_TKNO,$B56,PS_MONTH,AI$3)-AH58-SUMIFS(PS_SOTIEN,PS_TKCO,$B56,PS_MONTH,AI$3)&gt;0,AG58+SUMIFS(PS_SOTIEN,PS_TKNO,$B56,PS_MONTH,AI$3)-AH58-SUMIFS(PS_SOTIEN,PS_TKCO,$B56,PS_MONTH,AI$3),0)</f>
        <v>#N/A</v>
      </c>
      <c r="AJ58" s="630" t="str">
        <f t="shared" ref="AJ58:AJ62" si="695">IF(AH58+SUMIFS(PS_SOTIEN,PS_TKCO,$B56,PS_MONTH,AI$3)-AG58-SUMIFS(PS_SOTIEN,PS_TKNO,$B56,PS_MONTH,AI$3)&gt;0,AH58+SUMIFS(PS_SOTIEN,PS_TKCO,$B56,PS_MONTH,AI$3)-AG58-SUMIFS(PS_SOTIEN,PS_TKNO,$B56,PS_MONTH,AI$3),0)</f>
        <v>#N/A</v>
      </c>
      <c r="AK58" s="630" t="str">
        <f t="shared" ref="AK58:AK62" si="696">IF(AI58+SUMIFS(PS_SOTIEN,PS_TKNO,$B56,PS_MONTH,AK$3)-AJ58-SUMIFS(PS_SOTIEN,PS_TKCO,$B56,PS_MONTH,AK$3)&gt;0,AI58+SUMIFS(PS_SOTIEN,PS_TKNO,$B56,PS_MONTH,AK$3)-AJ58-SUMIFS(PS_SOTIEN,PS_TKCO,$B56,PS_MONTH,AK$3),0)</f>
        <v>#N/A</v>
      </c>
      <c r="AL58" s="630" t="str">
        <f t="shared" ref="AL58:AL62" si="697">IF(AJ58+SUMIFS(PS_SOTIEN,PS_TKCO,$B56,PS_MONTH,AK$3)-AI58-SUMIFS(PS_SOTIEN,PS_TKNO,$B56,PS_MONTH,AK$3)&gt;0,AJ58+SUMIFS(PS_SOTIEN,PS_TKCO,$B56,PS_MONTH,AK$3)-AI58-SUMIFS(PS_SOTIEN,PS_TKNO,$B56,PS_MONTH,AK$3),0)</f>
        <v>#N/A</v>
      </c>
      <c r="AM58" s="630" t="str">
        <f t="shared" ref="AM58:AM62" si="698">IF(AK58+SUMIFS(PS_SOTIEN,PS_TKNO,$B56,PS_MONTH,AM$3)-AL58-SUMIFS(PS_SOTIEN,PS_TKCO,$B56,PS_MONTH,AM$3)&gt;0,AK58+SUMIFS(PS_SOTIEN,PS_TKNO,$B56,PS_MONTH,AM$3)-AL58-SUMIFS(PS_SOTIEN,PS_TKCO,$B56,PS_MONTH,AM$3),0)</f>
        <v>#N/A</v>
      </c>
      <c r="AN58" s="630" t="str">
        <f t="shared" ref="AN58:AN62" si="699">IF(AL58+SUMIFS(PS_SOTIEN,PS_TKCO,$B56,PS_MONTH,AM$3)-AK58-SUMIFS(PS_SOTIEN,PS_TKNO,$B56,PS_MONTH,AM$3)&gt;0,AL58+SUMIFS(PS_SOTIEN,PS_TKCO,$B56,PS_MONTH,AM$3)-AK58-SUMIFS(PS_SOTIEN,PS_TKNO,$B56,PS_MONTH,AM$3),0)</f>
        <v>#N/A</v>
      </c>
      <c r="AO58" s="630" t="str">
        <f t="shared" ref="AO58:AO62" si="700">IF(AM58+SUMIFS(PS_SOTIEN,PS_TKNO,$B56,PS_MONTH,AO$3)-AN58-SUMIFS(PS_SOTIEN,PS_TKCO,$B56,PS_MONTH,AO$3)&gt;0,AM58+SUMIFS(PS_SOTIEN,PS_TKNO,$B56,PS_MONTH,AO$3)-AN58-SUMIFS(PS_SOTIEN,PS_TKCO,$B56,PS_MONTH,AO$3),0)</f>
        <v>#N/A</v>
      </c>
      <c r="AP58" s="630" t="str">
        <f t="shared" ref="AP58:AP62" si="701">IF(AN58+SUMIFS(PS_SOTIEN,PS_TKCO,$B56,PS_MONTH,AO$3)-AM58-SUMIFS(PS_SOTIEN,PS_TKNO,$B56,PS_MONTH,AO$3)&gt;0,AN58+SUMIFS(PS_SOTIEN,PS_TKCO,$B56,PS_MONTH,AO$3)-AM58-SUMIFS(PS_SOTIEN,PS_TKNO,$B56,PS_MONTH,AO$3),0)</f>
        <v>#N/A</v>
      </c>
      <c r="AQ58" s="630" t="str">
        <f t="shared" ref="AQ58:AQ62" si="702">IF(AO58+SUMIFS(PS_SOTIEN,PS_TKNO,$B56,PS_MONTH,AQ$3)-AP58-SUMIFS(PS_SOTIEN,PS_TKCO,$B56,PS_MONTH,AQ$3)&gt;0,AO58+SUMIFS(PS_SOTIEN,PS_TKNO,$B56,PS_MONTH,AQ$3)-AP58-SUMIFS(PS_SOTIEN,PS_TKCO,$B56,PS_MONTH,AQ$3),0)</f>
        <v>#N/A</v>
      </c>
      <c r="AR58" s="630" t="str">
        <f t="shared" ref="AR58:AR62" si="703">IF(AP58+SUMIFS(PS_SOTIEN,PS_TKCO,$B56,PS_MONTH,AQ$3)-AO58-SUMIFS(PS_SOTIEN,PS_TKNO,$B56,PS_MONTH,AQ$3)&gt;0,AP58+SUMIFS(PS_SOTIEN,PS_TKCO,$B56,PS_MONTH,AQ$3)-AO58-SUMIFS(PS_SOTIEN,PS_TKNO,$B56,PS_MONTH,AQ$3),0)</f>
        <v>#N/A</v>
      </c>
      <c r="AS58" s="630" t="str">
        <f t="shared" ref="AS58:AS62" si="704">IF(AQ58+SUMIFS(PS_SOTIEN,PS_TKNO,$B56,PS_MONTH,AS$3)-AR58-SUMIFS(PS_SOTIEN,PS_TKCO,$B56,PS_MONTH,AS$3)&gt;0,AQ58+SUMIFS(PS_SOTIEN,PS_TKNO,$B56,PS_MONTH,AS$3)-AR58-SUMIFS(PS_SOTIEN,PS_TKCO,$B56,PS_MONTH,AS$3),0)</f>
        <v>#N/A</v>
      </c>
      <c r="AT58" s="630" t="str">
        <f t="shared" ref="AT58:AT62" si="705">IF(AR58+SUMIFS(PS_SOTIEN,PS_TKCO,$B56,PS_MONTH,AS$3)-AQ58-SUMIFS(PS_SOTIEN,PS_TKNO,$B56,PS_MONTH,AS$3)&gt;0,AR58+SUMIFS(PS_SOTIEN,PS_TKCO,$B56,PS_MONTH,AS$3)-AQ58-SUMIFS(PS_SOTIEN,PS_TKNO,$B56,PS_MONTH,AS$3),0)</f>
        <v>#N/A</v>
      </c>
      <c r="AU58" s="630" t="str">
        <f t="shared" ref="AU58:AU62" si="706">IF(AS58+SUMIFS(PS_SOTIEN,PS_TKNO,$B56,PS_MONTH,AU$3)-AT58-SUMIFS(PS_SOTIEN,PS_TKCO,$B56,PS_MONTH,AU$3)&gt;0,AS58+SUMIFS(PS_SOTIEN,PS_TKNO,$B56,PS_MONTH,AU$3)-AT58-SUMIFS(PS_SOTIEN,PS_TKCO,$B56,PS_MONTH,AU$3),0)</f>
        <v>#N/A</v>
      </c>
      <c r="AV58" s="630" t="str">
        <f t="shared" ref="AV58:AV62" si="707">IF(AT58+SUMIFS(PS_SOTIEN,PS_TKCO,$B56,PS_MONTH,AU$3)-AS58-SUMIFS(PS_SOTIEN,PS_TKNO,$B56,PS_MONTH,AU$3)&gt;0,AT58+SUMIFS(PS_SOTIEN,PS_TKCO,$B56,PS_MONTH,AU$3)-AS58-SUMIFS(PS_SOTIEN,PS_TKNO,$B56,PS_MONTH,AU$3),0)</f>
        <v>#N/A</v>
      </c>
      <c r="AW58" s="630" t="str">
        <f t="shared" ref="AW58:AW62" si="708">IF(AU58+SUMIFS(PS_SOTIEN,PS_TKNO,$B56,PS_MONTH,AW$3)-AV58-SUMIFS(PS_SOTIEN,PS_TKCO,$B56,PS_MONTH,AW$3)&gt;0,AU58+SUMIFS(PS_SOTIEN,PS_TKNO,$B56,PS_MONTH,AW$3)-AV58-SUMIFS(PS_SOTIEN,PS_TKCO,$B56,PS_MONTH,AW$3),0)</f>
        <v>#N/A</v>
      </c>
      <c r="AX58" s="630" t="str">
        <f t="shared" ref="AX58:AX62" si="709">IF(AV58+SUMIFS(PS_SOTIEN,PS_TKCO,$B56,PS_MONTH,AW$3)-AU58-SUMIFS(PS_SOTIEN,PS_TKNO,$B56,PS_MONTH,AW$3)&gt;0,AV58+SUMIFS(PS_SOTIEN,PS_TKCO,$B56,PS_MONTH,AW$3)-AU58-SUMIFS(PS_SOTIEN,PS_TKNO,$B56,PS_MONTH,AW$3),0)</f>
        <v>#N/A</v>
      </c>
    </row>
    <row r="59" outlineLevel="1">
      <c r="A59" s="1452" t="s">
        <v>2986</v>
      </c>
      <c r="B59" s="1439" t="s">
        <v>3059</v>
      </c>
      <c r="C59" s="1439" t="s">
        <v>3059</v>
      </c>
      <c r="D59" s="1441" t="s">
        <v>3060</v>
      </c>
      <c r="E59" s="1455"/>
      <c r="F59" s="1455"/>
      <c r="G59" s="1455">
        <f>SUMIF(AC_TKNO,$C59,AC_SOTIEN)</f>
        <v>0</v>
      </c>
      <c r="H59" s="1455">
        <f>SUMIF(AC_TKCO,$C59,AC_SOTIEN)</f>
        <v>0</v>
      </c>
      <c r="I59" s="1455" t="str">
        <f t="shared" si="670"/>
        <v>-</v>
      </c>
      <c r="J59" s="1455" t="str">
        <f t="shared" si="671"/>
        <v>-</v>
      </c>
      <c r="K59" s="1443"/>
      <c r="L59" s="1443"/>
      <c r="M59" s="1444" t="str">
        <f t="shared" ref="M59:N59" si="679">S59</f>
        <v>#N/A</v>
      </c>
      <c r="N59" s="1444" t="str">
        <f t="shared" si="679"/>
        <v>#N/A</v>
      </c>
      <c r="O59" s="1444" t="str">
        <f t="shared" ref="O59:P59" si="680">W59</f>
        <v>#N/A</v>
      </c>
      <c r="P59" s="1444" t="str">
        <f t="shared" si="680"/>
        <v>#N/A</v>
      </c>
      <c r="Q59" s="1445" t="str">
        <f t="shared" ref="Q59:R59" si="681">AE59</f>
        <v>#N/A</v>
      </c>
      <c r="R59" s="1445" t="str">
        <f t="shared" si="681"/>
        <v>#N/A</v>
      </c>
      <c r="S59" s="1445" t="str">
        <f t="shared" ref="S59:T59" si="682">AK59</f>
        <v>#N/A</v>
      </c>
      <c r="T59" s="1445" t="str">
        <f t="shared" si="682"/>
        <v>#N/A</v>
      </c>
      <c r="U59" s="1445" t="str">
        <f t="shared" ref="U59:V59" si="683">AQ59</f>
        <v>#N/A</v>
      </c>
      <c r="V59" s="1445" t="str">
        <f t="shared" si="683"/>
        <v>#N/A</v>
      </c>
      <c r="W59" s="1445" t="str">
        <f t="shared" ref="W59:X59" si="684">AW59</f>
        <v>#N/A</v>
      </c>
      <c r="X59" s="1445" t="str">
        <f t="shared" si="684"/>
        <v>#N/A</v>
      </c>
      <c r="Y59" s="630" t="str">
        <f t="shared" ref="Y59:Z59" si="685">E59</f>
        <v/>
      </c>
      <c r="Z59" s="630" t="str">
        <f t="shared" si="685"/>
        <v/>
      </c>
      <c r="AA59" s="630" t="str">
        <f t="shared" si="686"/>
        <v>#N/A</v>
      </c>
      <c r="AB59" s="630" t="str">
        <f t="shared" si="687"/>
        <v>#N/A</v>
      </c>
      <c r="AC59" s="630" t="str">
        <f t="shared" si="688"/>
        <v>#N/A</v>
      </c>
      <c r="AD59" s="630" t="str">
        <f t="shared" si="689"/>
        <v>#N/A</v>
      </c>
      <c r="AE59" s="630" t="str">
        <f t="shared" si="690"/>
        <v>#N/A</v>
      </c>
      <c r="AF59" s="630" t="str">
        <f t="shared" si="691"/>
        <v>#N/A</v>
      </c>
      <c r="AG59" s="630" t="str">
        <f t="shared" si="692"/>
        <v>#N/A</v>
      </c>
      <c r="AH59" s="630" t="str">
        <f t="shared" si="693"/>
        <v>#N/A</v>
      </c>
      <c r="AI59" s="630" t="str">
        <f t="shared" si="694"/>
        <v>#N/A</v>
      </c>
      <c r="AJ59" s="630" t="str">
        <f t="shared" si="695"/>
        <v>#N/A</v>
      </c>
      <c r="AK59" s="630" t="str">
        <f t="shared" si="696"/>
        <v>#N/A</v>
      </c>
      <c r="AL59" s="630" t="str">
        <f t="shared" si="697"/>
        <v>#N/A</v>
      </c>
      <c r="AM59" s="630" t="str">
        <f t="shared" si="698"/>
        <v>#N/A</v>
      </c>
      <c r="AN59" s="630" t="str">
        <f t="shared" si="699"/>
        <v>#N/A</v>
      </c>
      <c r="AO59" s="630" t="str">
        <f t="shared" si="700"/>
        <v>#N/A</v>
      </c>
      <c r="AP59" s="630" t="str">
        <f t="shared" si="701"/>
        <v>#N/A</v>
      </c>
      <c r="AQ59" s="630" t="str">
        <f t="shared" si="702"/>
        <v>#N/A</v>
      </c>
      <c r="AR59" s="630" t="str">
        <f t="shared" si="703"/>
        <v>#N/A</v>
      </c>
      <c r="AS59" s="630" t="str">
        <f t="shared" si="704"/>
        <v>#N/A</v>
      </c>
      <c r="AT59" s="630" t="str">
        <f t="shared" si="705"/>
        <v>#N/A</v>
      </c>
      <c r="AU59" s="630" t="str">
        <f t="shared" si="706"/>
        <v>#N/A</v>
      </c>
      <c r="AV59" s="630" t="str">
        <f t="shared" si="707"/>
        <v>#N/A</v>
      </c>
      <c r="AW59" s="630" t="str">
        <f t="shared" si="708"/>
        <v>#N/A</v>
      </c>
      <c r="AX59" s="630" t="str">
        <f t="shared" si="709"/>
        <v>#N/A</v>
      </c>
    </row>
    <row r="60" outlineLevel="1">
      <c r="A60" s="1452" t="s">
        <v>2986</v>
      </c>
      <c r="B60" s="1439" t="s">
        <v>3061</v>
      </c>
      <c r="C60" s="1440"/>
      <c r="D60" s="1441" t="s">
        <v>1369</v>
      </c>
      <c r="E60" s="1442">
        <f t="shared" ref="E60:J60" si="710">SUM(E61:E66)</f>
        <v>0</v>
      </c>
      <c r="F60" s="1442">
        <f t="shared" si="710"/>
        <v>0</v>
      </c>
      <c r="G60" s="1442">
        <f t="shared" si="710"/>
        <v>0</v>
      </c>
      <c r="H60" s="1442">
        <f t="shared" si="710"/>
        <v>0</v>
      </c>
      <c r="I60" s="1442">
        <f t="shared" si="710"/>
        <v>0</v>
      </c>
      <c r="J60" s="1442">
        <f t="shared" si="710"/>
        <v>0</v>
      </c>
      <c r="K60" s="1443"/>
      <c r="L60" s="1443"/>
      <c r="M60" s="1444" t="str">
        <f t="shared" ref="M60:N60" si="711">S60</f>
        <v>#N/A</v>
      </c>
      <c r="N60" s="1444" t="str">
        <f t="shared" si="711"/>
        <v>#N/A</v>
      </c>
      <c r="O60" s="1444" t="str">
        <f t="shared" ref="O60:P60" si="712">W60</f>
        <v>#N/A</v>
      </c>
      <c r="P60" s="1444" t="str">
        <f t="shared" si="712"/>
        <v>#N/A</v>
      </c>
      <c r="Q60" s="1445" t="str">
        <f t="shared" ref="Q60:R60" si="713">AE60</f>
        <v>#N/A</v>
      </c>
      <c r="R60" s="1445" t="str">
        <f t="shared" si="713"/>
        <v>#N/A</v>
      </c>
      <c r="S60" s="1445" t="str">
        <f t="shared" ref="S60:T60" si="714">AK60</f>
        <v>#N/A</v>
      </c>
      <c r="T60" s="1445" t="str">
        <f t="shared" si="714"/>
        <v>#N/A</v>
      </c>
      <c r="U60" s="1445" t="str">
        <f t="shared" ref="U60:V60" si="715">AQ60</f>
        <v>#N/A</v>
      </c>
      <c r="V60" s="1445" t="str">
        <f t="shared" si="715"/>
        <v>#N/A</v>
      </c>
      <c r="W60" s="1445" t="str">
        <f t="shared" ref="W60:X60" si="716">AW60</f>
        <v>#N/A</v>
      </c>
      <c r="X60" s="1445" t="str">
        <f t="shared" si="716"/>
        <v>#N/A</v>
      </c>
      <c r="Y60" s="630">
        <f t="shared" ref="Y60:Z60" si="717">E60</f>
        <v>0</v>
      </c>
      <c r="Z60" s="630">
        <f t="shared" si="717"/>
        <v>0</v>
      </c>
      <c r="AA60" s="630" t="str">
        <f t="shared" si="686"/>
        <v>#N/A</v>
      </c>
      <c r="AB60" s="630" t="str">
        <f t="shared" si="687"/>
        <v>#N/A</v>
      </c>
      <c r="AC60" s="630" t="str">
        <f t="shared" si="688"/>
        <v>#N/A</v>
      </c>
      <c r="AD60" s="630" t="str">
        <f t="shared" si="689"/>
        <v>#N/A</v>
      </c>
      <c r="AE60" s="630" t="str">
        <f t="shared" si="690"/>
        <v>#N/A</v>
      </c>
      <c r="AF60" s="630" t="str">
        <f t="shared" si="691"/>
        <v>#N/A</v>
      </c>
      <c r="AG60" s="630" t="str">
        <f t="shared" si="692"/>
        <v>#N/A</v>
      </c>
      <c r="AH60" s="630" t="str">
        <f t="shared" si="693"/>
        <v>#N/A</v>
      </c>
      <c r="AI60" s="630" t="str">
        <f t="shared" si="694"/>
        <v>#N/A</v>
      </c>
      <c r="AJ60" s="630" t="str">
        <f t="shared" si="695"/>
        <v>#N/A</v>
      </c>
      <c r="AK60" s="630" t="str">
        <f t="shared" si="696"/>
        <v>#N/A</v>
      </c>
      <c r="AL60" s="630" t="str">
        <f t="shared" si="697"/>
        <v>#N/A</v>
      </c>
      <c r="AM60" s="630" t="str">
        <f t="shared" si="698"/>
        <v>#N/A</v>
      </c>
      <c r="AN60" s="630" t="str">
        <f t="shared" si="699"/>
        <v>#N/A</v>
      </c>
      <c r="AO60" s="630" t="str">
        <f t="shared" si="700"/>
        <v>#N/A</v>
      </c>
      <c r="AP60" s="630" t="str">
        <f t="shared" si="701"/>
        <v>#N/A</v>
      </c>
      <c r="AQ60" s="630" t="str">
        <f t="shared" si="702"/>
        <v>#N/A</v>
      </c>
      <c r="AR60" s="630" t="str">
        <f t="shared" si="703"/>
        <v>#N/A</v>
      </c>
      <c r="AS60" s="630" t="str">
        <f t="shared" si="704"/>
        <v>#N/A</v>
      </c>
      <c r="AT60" s="630" t="str">
        <f t="shared" si="705"/>
        <v>#N/A</v>
      </c>
      <c r="AU60" s="630" t="str">
        <f t="shared" si="706"/>
        <v>#N/A</v>
      </c>
      <c r="AV60" s="630" t="str">
        <f t="shared" si="707"/>
        <v>#N/A</v>
      </c>
      <c r="AW60" s="630" t="str">
        <f t="shared" si="708"/>
        <v>#N/A</v>
      </c>
      <c r="AX60" s="630" t="str">
        <f t="shared" si="709"/>
        <v>#N/A</v>
      </c>
    </row>
    <row r="61" outlineLevel="1">
      <c r="A61" s="1448"/>
      <c r="B61" s="1440"/>
      <c r="C61" s="1449" t="s">
        <v>1370</v>
      </c>
      <c r="D61" s="1433" t="s">
        <v>3062</v>
      </c>
      <c r="E61" s="1450"/>
      <c r="F61" s="1450"/>
      <c r="G61" s="1450">
        <f>SUMIF(AC_TKNO,$C61,AC_SOTIEN)</f>
        <v>0</v>
      </c>
      <c r="H61" s="1450">
        <f>SUMIF(AC_TKCO,$C61,AC_SOTIEN)</f>
        <v>0</v>
      </c>
      <c r="I61" s="1450" t="str">
        <f t="shared" ref="I61:I66" si="725">IF(E61+G61-F61-H61&gt;0,E61+G61-F61-H61,"-")</f>
        <v>-</v>
      </c>
      <c r="J61" s="1450" t="str">
        <f t="shared" ref="J61:J66" si="726">IF(F61+H61-E61-G61&gt;0,F61+H61-E61-G61,"-")</f>
        <v>-</v>
      </c>
      <c r="K61" s="1443"/>
      <c r="L61" s="1443"/>
      <c r="M61" s="1444" t="str">
        <f t="shared" ref="M61:N61" si="718">S61</f>
        <v>#N/A</v>
      </c>
      <c r="N61" s="1444" t="str">
        <f t="shared" si="718"/>
        <v>#N/A</v>
      </c>
      <c r="O61" s="1444" t="str">
        <f t="shared" ref="O61:P61" si="719">W61</f>
        <v>#N/A</v>
      </c>
      <c r="P61" s="1444" t="str">
        <f t="shared" si="719"/>
        <v>#N/A</v>
      </c>
      <c r="Q61" s="1445" t="str">
        <f t="shared" ref="Q61:R61" si="720">AE61</f>
        <v>#N/A</v>
      </c>
      <c r="R61" s="1445" t="str">
        <f t="shared" si="720"/>
        <v>#N/A</v>
      </c>
      <c r="S61" s="1445" t="str">
        <f t="shared" ref="S61:T61" si="721">AK61</f>
        <v>#N/A</v>
      </c>
      <c r="T61" s="1445" t="str">
        <f t="shared" si="721"/>
        <v>#N/A</v>
      </c>
      <c r="U61" s="1445" t="str">
        <f t="shared" ref="U61:V61" si="722">AQ61</f>
        <v>#N/A</v>
      </c>
      <c r="V61" s="1445" t="str">
        <f t="shared" si="722"/>
        <v>#N/A</v>
      </c>
      <c r="W61" s="1445" t="str">
        <f t="shared" ref="W61:X61" si="723">AW61</f>
        <v>#N/A</v>
      </c>
      <c r="X61" s="1445" t="str">
        <f t="shared" si="723"/>
        <v>#N/A</v>
      </c>
      <c r="Y61" s="1457" t="str">
        <f t="shared" ref="Y61:Z61" si="724">E61</f>
        <v/>
      </c>
      <c r="Z61" s="1457" t="str">
        <f t="shared" si="724"/>
        <v/>
      </c>
      <c r="AA61" s="630" t="str">
        <f t="shared" si="686"/>
        <v>#N/A</v>
      </c>
      <c r="AB61" s="630" t="str">
        <f t="shared" si="687"/>
        <v>#N/A</v>
      </c>
      <c r="AC61" s="630" t="str">
        <f t="shared" si="688"/>
        <v>#N/A</v>
      </c>
      <c r="AD61" s="630" t="str">
        <f t="shared" si="689"/>
        <v>#N/A</v>
      </c>
      <c r="AE61" s="630" t="str">
        <f t="shared" si="690"/>
        <v>#N/A</v>
      </c>
      <c r="AF61" s="630" t="str">
        <f t="shared" si="691"/>
        <v>#N/A</v>
      </c>
      <c r="AG61" s="630" t="str">
        <f t="shared" si="692"/>
        <v>#N/A</v>
      </c>
      <c r="AH61" s="630" t="str">
        <f t="shared" si="693"/>
        <v>#N/A</v>
      </c>
      <c r="AI61" s="630" t="str">
        <f t="shared" si="694"/>
        <v>#N/A</v>
      </c>
      <c r="AJ61" s="630" t="str">
        <f t="shared" si="695"/>
        <v>#N/A</v>
      </c>
      <c r="AK61" s="630" t="str">
        <f t="shared" si="696"/>
        <v>#N/A</v>
      </c>
      <c r="AL61" s="630" t="str">
        <f t="shared" si="697"/>
        <v>#N/A</v>
      </c>
      <c r="AM61" s="630" t="str">
        <f t="shared" si="698"/>
        <v>#N/A</v>
      </c>
      <c r="AN61" s="630" t="str">
        <f t="shared" si="699"/>
        <v>#N/A</v>
      </c>
      <c r="AO61" s="630" t="str">
        <f t="shared" si="700"/>
        <v>#N/A</v>
      </c>
      <c r="AP61" s="630" t="str">
        <f t="shared" si="701"/>
        <v>#N/A</v>
      </c>
      <c r="AQ61" s="630" t="str">
        <f t="shared" si="702"/>
        <v>#N/A</v>
      </c>
      <c r="AR61" s="630" t="str">
        <f t="shared" si="703"/>
        <v>#N/A</v>
      </c>
      <c r="AS61" s="630" t="str">
        <f t="shared" si="704"/>
        <v>#N/A</v>
      </c>
      <c r="AT61" s="630" t="str">
        <f t="shared" si="705"/>
        <v>#N/A</v>
      </c>
      <c r="AU61" s="630" t="str">
        <f t="shared" si="706"/>
        <v>#N/A</v>
      </c>
      <c r="AV61" s="630" t="str">
        <f t="shared" si="707"/>
        <v>#N/A</v>
      </c>
      <c r="AW61" s="630" t="str">
        <f t="shared" si="708"/>
        <v>#N/A</v>
      </c>
      <c r="AX61" s="630" t="str">
        <f t="shared" si="709"/>
        <v>#N/A</v>
      </c>
    </row>
    <row r="62" outlineLevel="1">
      <c r="A62" s="1448"/>
      <c r="B62" s="1440"/>
      <c r="C62" s="1449" t="s">
        <v>1372</v>
      </c>
      <c r="D62" s="1433" t="s">
        <v>3063</v>
      </c>
      <c r="E62" s="1450"/>
      <c r="F62" s="1450"/>
      <c r="G62" s="1450">
        <f>SUMIF(AC_TKNO,$C62,AC_SOTIEN)</f>
        <v>0</v>
      </c>
      <c r="H62" s="1450">
        <f>SUMIF(AC_TKCO,$C62,AC_SOTIEN)</f>
        <v>0</v>
      </c>
      <c r="I62" s="1450" t="str">
        <f t="shared" si="725"/>
        <v>-</v>
      </c>
      <c r="J62" s="1450" t="str">
        <f t="shared" si="726"/>
        <v>-</v>
      </c>
      <c r="K62" s="1443"/>
      <c r="L62" s="1443"/>
      <c r="M62" s="1444" t="str">
        <f t="shared" ref="M62:N62" si="727">S62</f>
        <v>#N/A</v>
      </c>
      <c r="N62" s="1444" t="str">
        <f t="shared" si="727"/>
        <v>#N/A</v>
      </c>
      <c r="O62" s="1444" t="str">
        <f t="shared" ref="O62:P62" si="728">W62</f>
        <v>#N/A</v>
      </c>
      <c r="P62" s="1444" t="str">
        <f t="shared" si="728"/>
        <v>#N/A</v>
      </c>
      <c r="Q62" s="1445" t="str">
        <f t="shared" ref="Q62:R62" si="729">AE62</f>
        <v>#N/A</v>
      </c>
      <c r="R62" s="1445" t="str">
        <f t="shared" si="729"/>
        <v>#N/A</v>
      </c>
      <c r="S62" s="1445" t="str">
        <f t="shared" ref="S62:T62" si="730">AK62</f>
        <v>#N/A</v>
      </c>
      <c r="T62" s="1445" t="str">
        <f t="shared" si="730"/>
        <v>#N/A</v>
      </c>
      <c r="U62" s="1445" t="str">
        <f t="shared" ref="U62:V62" si="731">AQ62</f>
        <v>#N/A</v>
      </c>
      <c r="V62" s="1445" t="str">
        <f t="shared" si="731"/>
        <v>#N/A</v>
      </c>
      <c r="W62" s="1445" t="str">
        <f t="shared" ref="W62:X62" si="732">AW62</f>
        <v>#N/A</v>
      </c>
      <c r="X62" s="1445" t="str">
        <f t="shared" si="732"/>
        <v>#N/A</v>
      </c>
      <c r="Y62" s="1457" t="str">
        <f t="shared" ref="Y62:Z62" si="733">E62</f>
        <v/>
      </c>
      <c r="Z62" s="1457" t="str">
        <f t="shared" si="733"/>
        <v/>
      </c>
      <c r="AA62" s="630" t="str">
        <f t="shared" si="686"/>
        <v>#N/A</v>
      </c>
      <c r="AB62" s="630" t="str">
        <f t="shared" si="687"/>
        <v>#N/A</v>
      </c>
      <c r="AC62" s="630" t="str">
        <f t="shared" si="688"/>
        <v>#N/A</v>
      </c>
      <c r="AD62" s="630" t="str">
        <f t="shared" si="689"/>
        <v>#N/A</v>
      </c>
      <c r="AE62" s="630" t="str">
        <f t="shared" si="690"/>
        <v>#N/A</v>
      </c>
      <c r="AF62" s="630" t="str">
        <f t="shared" si="691"/>
        <v>#N/A</v>
      </c>
      <c r="AG62" s="630" t="str">
        <f t="shared" si="692"/>
        <v>#N/A</v>
      </c>
      <c r="AH62" s="630" t="str">
        <f t="shared" si="693"/>
        <v>#N/A</v>
      </c>
      <c r="AI62" s="630" t="str">
        <f t="shared" si="694"/>
        <v>#N/A</v>
      </c>
      <c r="AJ62" s="630" t="str">
        <f t="shared" si="695"/>
        <v>#N/A</v>
      </c>
      <c r="AK62" s="630" t="str">
        <f t="shared" si="696"/>
        <v>#N/A</v>
      </c>
      <c r="AL62" s="630" t="str">
        <f t="shared" si="697"/>
        <v>#N/A</v>
      </c>
      <c r="AM62" s="630" t="str">
        <f t="shared" si="698"/>
        <v>#N/A</v>
      </c>
      <c r="AN62" s="630" t="str">
        <f t="shared" si="699"/>
        <v>#N/A</v>
      </c>
      <c r="AO62" s="630" t="str">
        <f t="shared" si="700"/>
        <v>#N/A</v>
      </c>
      <c r="AP62" s="630" t="str">
        <f t="shared" si="701"/>
        <v>#N/A</v>
      </c>
      <c r="AQ62" s="630" t="str">
        <f t="shared" si="702"/>
        <v>#N/A</v>
      </c>
      <c r="AR62" s="630" t="str">
        <f t="shared" si="703"/>
        <v>#N/A</v>
      </c>
      <c r="AS62" s="630" t="str">
        <f t="shared" si="704"/>
        <v>#N/A</v>
      </c>
      <c r="AT62" s="630" t="str">
        <f t="shared" si="705"/>
        <v>#N/A</v>
      </c>
      <c r="AU62" s="630" t="str">
        <f t="shared" si="706"/>
        <v>#N/A</v>
      </c>
      <c r="AV62" s="630" t="str">
        <f t="shared" si="707"/>
        <v>#N/A</v>
      </c>
      <c r="AW62" s="630" t="str">
        <f t="shared" si="708"/>
        <v>#N/A</v>
      </c>
      <c r="AX62" s="630" t="str">
        <f t="shared" si="709"/>
        <v>#N/A</v>
      </c>
    </row>
    <row r="63" outlineLevel="1">
      <c r="A63" s="1448"/>
      <c r="B63" s="1440"/>
      <c r="C63" s="1449" t="s">
        <v>1374</v>
      </c>
      <c r="D63" s="1433" t="s">
        <v>3064</v>
      </c>
      <c r="E63" s="1450"/>
      <c r="F63" s="1450"/>
      <c r="G63" s="1450">
        <f>SUMIF(AC_TKNO,$C63,AC_SOTIEN)</f>
        <v>0</v>
      </c>
      <c r="H63" s="1450">
        <f>SUMIF(AC_TKCO,$C63,AC_SOTIEN)</f>
        <v>0</v>
      </c>
      <c r="I63" s="1450" t="str">
        <f t="shared" si="725"/>
        <v>-</v>
      </c>
      <c r="J63" s="1450" t="str">
        <f t="shared" si="726"/>
        <v>-</v>
      </c>
      <c r="K63" s="1443"/>
      <c r="L63" s="1443"/>
      <c r="M63" s="1444" t="str">
        <f t="shared" ref="M63:N63" si="734">S63</f>
        <v>#N/A</v>
      </c>
      <c r="N63" s="1444" t="str">
        <f t="shared" si="734"/>
        <v>#N/A</v>
      </c>
      <c r="O63" s="1444" t="str">
        <f t="shared" ref="O63:P63" si="735">W63</f>
        <v>#N/A</v>
      </c>
      <c r="P63" s="1444" t="str">
        <f t="shared" si="735"/>
        <v>#N/A</v>
      </c>
      <c r="Q63" s="1445" t="str">
        <f t="shared" ref="Q63:R63" si="736">AE63</f>
        <v>#N/A</v>
      </c>
      <c r="R63" s="1445" t="str">
        <f t="shared" si="736"/>
        <v>#N/A</v>
      </c>
      <c r="S63" s="1445" t="str">
        <f t="shared" ref="S63:T63" si="737">AK63</f>
        <v>#N/A</v>
      </c>
      <c r="T63" s="1445" t="str">
        <f t="shared" si="737"/>
        <v>#N/A</v>
      </c>
      <c r="U63" s="1445" t="str">
        <f t="shared" ref="U63:V63" si="738">AQ63</f>
        <v>#N/A</v>
      </c>
      <c r="V63" s="1445" t="str">
        <f t="shared" si="738"/>
        <v>#N/A</v>
      </c>
      <c r="W63" s="1445" t="str">
        <f t="shared" ref="W63:X63" si="739">AW63</f>
        <v>#N/A</v>
      </c>
      <c r="X63" s="1445" t="str">
        <f t="shared" si="739"/>
        <v>#N/A</v>
      </c>
      <c r="Y63" s="1447">
        <f t="shared" ref="Y63:AX63" si="740">SUM(Y64:Y69)</f>
        <v>0</v>
      </c>
      <c r="Z63" s="1447">
        <f t="shared" si="740"/>
        <v>0</v>
      </c>
      <c r="AA63" s="1447" t="str">
        <f t="shared" si="740"/>
        <v>#N/A</v>
      </c>
      <c r="AB63" s="1447" t="str">
        <f t="shared" si="740"/>
        <v>#N/A</v>
      </c>
      <c r="AC63" s="1447" t="str">
        <f t="shared" si="740"/>
        <v>#N/A</v>
      </c>
      <c r="AD63" s="1447" t="str">
        <f t="shared" si="740"/>
        <v>#N/A</v>
      </c>
      <c r="AE63" s="1447" t="str">
        <f t="shared" si="740"/>
        <v>#N/A</v>
      </c>
      <c r="AF63" s="1447" t="str">
        <f t="shared" si="740"/>
        <v>#N/A</v>
      </c>
      <c r="AG63" s="1447" t="str">
        <f t="shared" si="740"/>
        <v>#N/A</v>
      </c>
      <c r="AH63" s="1447" t="str">
        <f t="shared" si="740"/>
        <v>#N/A</v>
      </c>
      <c r="AI63" s="1447" t="str">
        <f t="shared" si="740"/>
        <v>#N/A</v>
      </c>
      <c r="AJ63" s="1447" t="str">
        <f t="shared" si="740"/>
        <v>#N/A</v>
      </c>
      <c r="AK63" s="1447" t="str">
        <f t="shared" si="740"/>
        <v>#N/A</v>
      </c>
      <c r="AL63" s="1447" t="str">
        <f t="shared" si="740"/>
        <v>#N/A</v>
      </c>
      <c r="AM63" s="1447" t="str">
        <f t="shared" si="740"/>
        <v>#N/A</v>
      </c>
      <c r="AN63" s="1447" t="str">
        <f t="shared" si="740"/>
        <v>#N/A</v>
      </c>
      <c r="AO63" s="1447" t="str">
        <f t="shared" si="740"/>
        <v>#N/A</v>
      </c>
      <c r="AP63" s="1447" t="str">
        <f t="shared" si="740"/>
        <v>#N/A</v>
      </c>
      <c r="AQ63" s="1447" t="str">
        <f t="shared" si="740"/>
        <v>#N/A</v>
      </c>
      <c r="AR63" s="1447" t="str">
        <f t="shared" si="740"/>
        <v>#N/A</v>
      </c>
      <c r="AS63" s="1447" t="str">
        <f t="shared" si="740"/>
        <v>#N/A</v>
      </c>
      <c r="AT63" s="1447" t="str">
        <f t="shared" si="740"/>
        <v>#N/A</v>
      </c>
      <c r="AU63" s="1447" t="str">
        <f t="shared" si="740"/>
        <v>#N/A</v>
      </c>
      <c r="AV63" s="1447" t="str">
        <f t="shared" si="740"/>
        <v>#N/A</v>
      </c>
      <c r="AW63" s="1447" t="str">
        <f t="shared" si="740"/>
        <v>#N/A</v>
      </c>
      <c r="AX63" s="1447" t="str">
        <f t="shared" si="740"/>
        <v>#N/A</v>
      </c>
    </row>
    <row r="64" outlineLevel="1">
      <c r="A64" s="1448"/>
      <c r="B64" s="1440"/>
      <c r="C64" s="1449" t="s">
        <v>3065</v>
      </c>
      <c r="D64" s="1433" t="s">
        <v>3066</v>
      </c>
      <c r="E64" s="1450"/>
      <c r="F64" s="1450"/>
      <c r="G64" s="1450">
        <f>SUMIF(AC_TKNO,$C64,AC_SOTIEN)</f>
        <v>0</v>
      </c>
      <c r="H64" s="1450">
        <f>SUMIF(AC_TKCO,$C64,AC_SOTIEN)</f>
        <v>0</v>
      </c>
      <c r="I64" s="1450" t="str">
        <f t="shared" si="725"/>
        <v>-</v>
      </c>
      <c r="J64" s="1450" t="str">
        <f t="shared" si="726"/>
        <v>-</v>
      </c>
      <c r="K64" s="1443"/>
      <c r="L64" s="1443"/>
      <c r="M64" s="1444" t="str">
        <f t="shared" ref="M64:N64" si="741">S64</f>
        <v>#N/A</v>
      </c>
      <c r="N64" s="1444" t="str">
        <f t="shared" si="741"/>
        <v>#N/A</v>
      </c>
      <c r="O64" s="1444" t="str">
        <f t="shared" ref="O64:P64" si="742">W64</f>
        <v>#N/A</v>
      </c>
      <c r="P64" s="1444" t="str">
        <f t="shared" si="742"/>
        <v>#N/A</v>
      </c>
      <c r="Q64" s="1445" t="str">
        <f t="shared" ref="Q64:R64" si="743">AE64</f>
        <v>#N/A</v>
      </c>
      <c r="R64" s="1445" t="str">
        <f t="shared" si="743"/>
        <v>#N/A</v>
      </c>
      <c r="S64" s="1445" t="str">
        <f t="shared" ref="S64:T64" si="744">AK64</f>
        <v>#N/A</v>
      </c>
      <c r="T64" s="1445" t="str">
        <f t="shared" si="744"/>
        <v>#N/A</v>
      </c>
      <c r="U64" s="1445" t="str">
        <f t="shared" ref="U64:V64" si="745">AQ64</f>
        <v>#N/A</v>
      </c>
      <c r="V64" s="1445" t="str">
        <f t="shared" si="745"/>
        <v>#N/A</v>
      </c>
      <c r="W64" s="1445" t="str">
        <f t="shared" ref="W64:X64" si="746">AW64</f>
        <v>#N/A</v>
      </c>
      <c r="X64" s="1445" t="str">
        <f t="shared" si="746"/>
        <v>#N/A</v>
      </c>
      <c r="Y64" s="630" t="str">
        <f t="shared" ref="Y64:Z64" si="747">E64</f>
        <v/>
      </c>
      <c r="Z64" s="630" t="str">
        <f t="shared" si="747"/>
        <v/>
      </c>
      <c r="AA64" s="630" t="str">
        <f t="shared" ref="AA64:AA69" si="755">IF(Y64+SUMIFS(PS_SOTIEN,PS_TKNO,$B62,PS_MONTH,AA$3)-Z64-SUMIFS(PS_SOTIEN,PS_TKCO,$B62,PS_MONTH,AA$3)&gt;0,Y64+SUMIFS(PS_SOTIEN,PS_TKNO,$B62,PS_MONTH,AA$3)-Z64-SUMIFS(PS_SOTIEN,PS_TKCO,$B62,PS_MONTH,AA$3),0)</f>
        <v>#N/A</v>
      </c>
      <c r="AB64" s="630" t="str">
        <f t="shared" ref="AB64:AB69" si="756">IF(Z64+SUMIFS(PS_SOTIEN,PS_TKCO,$B62,PS_MONTH,AA$3)-Y64-SUMIFS(PS_SOTIEN,PS_TKNO,$B62,PS_MONTH,AA$3)&gt;0,Z64+SUMIFS(PS_SOTIEN,PS_TKCO,$B62,PS_MONTH,AA$3)-Y64-SUMIFS(PS_SOTIEN,PS_TKNO,$B62,PS_MONTH,AA$3),0)</f>
        <v>#N/A</v>
      </c>
      <c r="AC64" s="630" t="str">
        <f t="shared" ref="AC64:AC69" si="757">IF(AA64+SUMIFS(PS_SOTIEN,PS_TKNO,$B62,PS_MONTH,AC$3)-AB64-SUMIFS(PS_SOTIEN,PS_TKCO,$B62,PS_MONTH,AC$3)&gt;0,AA64+SUMIFS(PS_SOTIEN,PS_TKNO,$B62,PS_MONTH,AC$3)-AB64-SUMIFS(PS_SOTIEN,PS_TKCO,$B62,PS_MONTH,AC$3),0)</f>
        <v>#N/A</v>
      </c>
      <c r="AD64" s="630" t="str">
        <f t="shared" ref="AD64:AD69" si="758">IF(AB64+SUMIFS(PS_SOTIEN,PS_TKCO,$B62,PS_MONTH,AC$3)-AA64-SUMIFS(PS_SOTIEN,PS_TKNO,$B62,PS_MONTH,AC$3)&gt;0,AB64+SUMIFS(PS_SOTIEN,PS_TKCO,$B62,PS_MONTH,AC$3)-AA64-SUMIFS(PS_SOTIEN,PS_TKNO,$B62,PS_MONTH,AC$3),0)</f>
        <v>#N/A</v>
      </c>
      <c r="AE64" s="630" t="str">
        <f t="shared" ref="AE64:AE69" si="759">IF(AC64+SUMIFS(PS_SOTIEN,PS_TKNO,$B62,PS_MONTH,AE$3)-AD64-SUMIFS(PS_SOTIEN,PS_TKCO,$B62,PS_MONTH,AE$3)&gt;0,AC64+SUMIFS(PS_SOTIEN,PS_TKNO,$B62,PS_MONTH,AE$3)-AD64-SUMIFS(PS_SOTIEN,PS_TKCO,$B62,PS_MONTH,AE$3),0)</f>
        <v>#N/A</v>
      </c>
      <c r="AF64" s="630" t="str">
        <f t="shared" ref="AF64:AF69" si="760">IF(AD64+SUMIFS(PS_SOTIEN,PS_TKCO,$B62,PS_MONTH,AE$3)-AC64-SUMIFS(PS_SOTIEN,PS_TKNO,$B62,PS_MONTH,AE$3)&gt;0,AD64+SUMIFS(PS_SOTIEN,PS_TKCO,$B62,PS_MONTH,AE$3)-AC64-SUMIFS(PS_SOTIEN,PS_TKNO,$B62,PS_MONTH,AE$3),0)</f>
        <v>#N/A</v>
      </c>
      <c r="AG64" s="630" t="str">
        <f t="shared" ref="AG64:AG69" si="761">IF(AE64+SUMIFS(PS_SOTIEN,PS_TKNO,$B62,PS_MONTH,AG$3)-AF64-SUMIFS(PS_SOTIEN,PS_TKCO,$B62,PS_MONTH,AG$3)&gt;0,AE64+SUMIFS(PS_SOTIEN,PS_TKNO,$B62,PS_MONTH,AG$3)-AF64-SUMIFS(PS_SOTIEN,PS_TKCO,$B62,PS_MONTH,AG$3),0)</f>
        <v>#N/A</v>
      </c>
      <c r="AH64" s="630" t="str">
        <f t="shared" ref="AH64:AH69" si="762">IF(AF64+SUMIFS(PS_SOTIEN,PS_TKCO,$B62,PS_MONTH,AG$3)-AE64-SUMIFS(PS_SOTIEN,PS_TKNO,$B62,PS_MONTH,AG$3)&gt;0,AF64+SUMIFS(PS_SOTIEN,PS_TKCO,$B62,PS_MONTH,AG$3)-AE64-SUMIFS(PS_SOTIEN,PS_TKNO,$B62,PS_MONTH,AG$3),0)</f>
        <v>#N/A</v>
      </c>
      <c r="AI64" s="630" t="str">
        <f t="shared" ref="AI64:AI69" si="763">IF(AG64+SUMIFS(PS_SOTIEN,PS_TKNO,$B62,PS_MONTH,AI$3)-AH64-SUMIFS(PS_SOTIEN,PS_TKCO,$B62,PS_MONTH,AI$3)&gt;0,AG64+SUMIFS(PS_SOTIEN,PS_TKNO,$B62,PS_MONTH,AI$3)-AH64-SUMIFS(PS_SOTIEN,PS_TKCO,$B62,PS_MONTH,AI$3),0)</f>
        <v>#N/A</v>
      </c>
      <c r="AJ64" s="630" t="str">
        <f t="shared" ref="AJ64:AJ69" si="764">IF(AH64+SUMIFS(PS_SOTIEN,PS_TKCO,$B62,PS_MONTH,AI$3)-AG64-SUMIFS(PS_SOTIEN,PS_TKNO,$B62,PS_MONTH,AI$3)&gt;0,AH64+SUMIFS(PS_SOTIEN,PS_TKCO,$B62,PS_MONTH,AI$3)-AG64-SUMIFS(PS_SOTIEN,PS_TKNO,$B62,PS_MONTH,AI$3),0)</f>
        <v>#N/A</v>
      </c>
      <c r="AK64" s="630" t="str">
        <f t="shared" ref="AK64:AK69" si="765">IF(AI64+SUMIFS(PS_SOTIEN,PS_TKNO,$B62,PS_MONTH,AK$3)-AJ64-SUMIFS(PS_SOTIEN,PS_TKCO,$B62,PS_MONTH,AK$3)&gt;0,AI64+SUMIFS(PS_SOTIEN,PS_TKNO,$B62,PS_MONTH,AK$3)-AJ64-SUMIFS(PS_SOTIEN,PS_TKCO,$B62,PS_MONTH,AK$3),0)</f>
        <v>#N/A</v>
      </c>
      <c r="AL64" s="630" t="str">
        <f t="shared" ref="AL64:AL69" si="766">IF(AJ64+SUMIFS(PS_SOTIEN,PS_TKCO,$B62,PS_MONTH,AK$3)-AI64-SUMIFS(PS_SOTIEN,PS_TKNO,$B62,PS_MONTH,AK$3)&gt;0,AJ64+SUMIFS(PS_SOTIEN,PS_TKCO,$B62,PS_MONTH,AK$3)-AI64-SUMIFS(PS_SOTIEN,PS_TKNO,$B62,PS_MONTH,AK$3),0)</f>
        <v>#N/A</v>
      </c>
      <c r="AM64" s="630" t="str">
        <f t="shared" ref="AM64:AM69" si="767">IF(AK64+SUMIFS(PS_SOTIEN,PS_TKNO,$B62,PS_MONTH,AM$3)-AL64-SUMIFS(PS_SOTIEN,PS_TKCO,$B62,PS_MONTH,AM$3)&gt;0,AK64+SUMIFS(PS_SOTIEN,PS_TKNO,$B62,PS_MONTH,AM$3)-AL64-SUMIFS(PS_SOTIEN,PS_TKCO,$B62,PS_MONTH,AM$3),0)</f>
        <v>#N/A</v>
      </c>
      <c r="AN64" s="630" t="str">
        <f t="shared" ref="AN64:AN69" si="768">IF(AL64+SUMIFS(PS_SOTIEN,PS_TKCO,$B62,PS_MONTH,AM$3)-AK64-SUMIFS(PS_SOTIEN,PS_TKNO,$B62,PS_MONTH,AM$3)&gt;0,AL64+SUMIFS(PS_SOTIEN,PS_TKCO,$B62,PS_MONTH,AM$3)-AK64-SUMIFS(PS_SOTIEN,PS_TKNO,$B62,PS_MONTH,AM$3),0)</f>
        <v>#N/A</v>
      </c>
      <c r="AO64" s="630" t="str">
        <f t="shared" ref="AO64:AO69" si="769">IF(AM64+SUMIFS(PS_SOTIEN,PS_TKNO,$B62,PS_MONTH,AO$3)-AN64-SUMIFS(PS_SOTIEN,PS_TKCO,$B62,PS_MONTH,AO$3)&gt;0,AM64+SUMIFS(PS_SOTIEN,PS_TKNO,$B62,PS_MONTH,AO$3)-AN64-SUMIFS(PS_SOTIEN,PS_TKCO,$B62,PS_MONTH,AO$3),0)</f>
        <v>#N/A</v>
      </c>
      <c r="AP64" s="630" t="str">
        <f t="shared" ref="AP64:AP69" si="770">IF(AN64+SUMIFS(PS_SOTIEN,PS_TKCO,$B62,PS_MONTH,AO$3)-AM64-SUMIFS(PS_SOTIEN,PS_TKNO,$B62,PS_MONTH,AO$3)&gt;0,AN64+SUMIFS(PS_SOTIEN,PS_TKCO,$B62,PS_MONTH,AO$3)-AM64-SUMIFS(PS_SOTIEN,PS_TKNO,$B62,PS_MONTH,AO$3),0)</f>
        <v>#N/A</v>
      </c>
      <c r="AQ64" s="630" t="str">
        <f t="shared" ref="AQ64:AQ69" si="771">IF(AO64+SUMIFS(PS_SOTIEN,PS_TKNO,$B62,PS_MONTH,AQ$3)-AP64-SUMIFS(PS_SOTIEN,PS_TKCO,$B62,PS_MONTH,AQ$3)&gt;0,AO64+SUMIFS(PS_SOTIEN,PS_TKNO,$B62,PS_MONTH,AQ$3)-AP64-SUMIFS(PS_SOTIEN,PS_TKCO,$B62,PS_MONTH,AQ$3),0)</f>
        <v>#N/A</v>
      </c>
      <c r="AR64" s="630" t="str">
        <f t="shared" ref="AR64:AR69" si="772">IF(AP64+SUMIFS(PS_SOTIEN,PS_TKCO,$B62,PS_MONTH,AQ$3)-AO64-SUMIFS(PS_SOTIEN,PS_TKNO,$B62,PS_MONTH,AQ$3)&gt;0,AP64+SUMIFS(PS_SOTIEN,PS_TKCO,$B62,PS_MONTH,AQ$3)-AO64-SUMIFS(PS_SOTIEN,PS_TKNO,$B62,PS_MONTH,AQ$3),0)</f>
        <v>#N/A</v>
      </c>
      <c r="AS64" s="630" t="str">
        <f t="shared" ref="AS64:AS69" si="773">IF(AQ64+SUMIFS(PS_SOTIEN,PS_TKNO,$B62,PS_MONTH,AS$3)-AR64-SUMIFS(PS_SOTIEN,PS_TKCO,$B62,PS_MONTH,AS$3)&gt;0,AQ64+SUMIFS(PS_SOTIEN,PS_TKNO,$B62,PS_MONTH,AS$3)-AR64-SUMIFS(PS_SOTIEN,PS_TKCO,$B62,PS_MONTH,AS$3),0)</f>
        <v>#N/A</v>
      </c>
      <c r="AT64" s="630" t="str">
        <f t="shared" ref="AT64:AT69" si="774">IF(AR64+SUMIFS(PS_SOTIEN,PS_TKCO,$B62,PS_MONTH,AS$3)-AQ64-SUMIFS(PS_SOTIEN,PS_TKNO,$B62,PS_MONTH,AS$3)&gt;0,AR64+SUMIFS(PS_SOTIEN,PS_TKCO,$B62,PS_MONTH,AS$3)-AQ64-SUMIFS(PS_SOTIEN,PS_TKNO,$B62,PS_MONTH,AS$3),0)</f>
        <v>#N/A</v>
      </c>
      <c r="AU64" s="630" t="str">
        <f t="shared" ref="AU64:AU69" si="775">IF(AS64+SUMIFS(PS_SOTIEN,PS_TKNO,$B62,PS_MONTH,AU$3)-AT64-SUMIFS(PS_SOTIEN,PS_TKCO,$B62,PS_MONTH,AU$3)&gt;0,AS64+SUMIFS(PS_SOTIEN,PS_TKNO,$B62,PS_MONTH,AU$3)-AT64-SUMIFS(PS_SOTIEN,PS_TKCO,$B62,PS_MONTH,AU$3),0)</f>
        <v>#N/A</v>
      </c>
      <c r="AV64" s="630" t="str">
        <f t="shared" ref="AV64:AV69" si="776">IF(AT64+SUMIFS(PS_SOTIEN,PS_TKCO,$B62,PS_MONTH,AU$3)-AS64-SUMIFS(PS_SOTIEN,PS_TKNO,$B62,PS_MONTH,AU$3)&gt;0,AT64+SUMIFS(PS_SOTIEN,PS_TKCO,$B62,PS_MONTH,AU$3)-AS64-SUMIFS(PS_SOTIEN,PS_TKNO,$B62,PS_MONTH,AU$3),0)</f>
        <v>#N/A</v>
      </c>
      <c r="AW64" s="630" t="str">
        <f t="shared" ref="AW64:AW69" si="777">IF(AU64+SUMIFS(PS_SOTIEN,PS_TKNO,$B62,PS_MONTH,AW$3)-AV64-SUMIFS(PS_SOTIEN,PS_TKCO,$B62,PS_MONTH,AW$3)&gt;0,AU64+SUMIFS(PS_SOTIEN,PS_TKNO,$B62,PS_MONTH,AW$3)-AV64-SUMIFS(PS_SOTIEN,PS_TKCO,$B62,PS_MONTH,AW$3),0)</f>
        <v>#N/A</v>
      </c>
      <c r="AX64" s="630" t="str">
        <f t="shared" ref="AX64:AX69" si="778">IF(AV64+SUMIFS(PS_SOTIEN,PS_TKCO,$B62,PS_MONTH,AW$3)-AU64-SUMIFS(PS_SOTIEN,PS_TKNO,$B62,PS_MONTH,AW$3)&gt;0,AV64+SUMIFS(PS_SOTIEN,PS_TKCO,$B62,PS_MONTH,AW$3)-AU64-SUMIFS(PS_SOTIEN,PS_TKNO,$B62,PS_MONTH,AW$3),0)</f>
        <v>#N/A</v>
      </c>
    </row>
    <row r="65" outlineLevel="1">
      <c r="A65" s="1448"/>
      <c r="B65" s="1440"/>
      <c r="C65" s="1449" t="s">
        <v>3067</v>
      </c>
      <c r="D65" s="1433" t="s">
        <v>3068</v>
      </c>
      <c r="E65" s="1450"/>
      <c r="F65" s="1450"/>
      <c r="G65" s="1450">
        <f>SUMIF(AC_TKNO,$C65,AC_SOTIEN)</f>
        <v>0</v>
      </c>
      <c r="H65" s="1450">
        <f>SUMIF(AC_TKCO,$C65,AC_SOTIEN)</f>
        <v>0</v>
      </c>
      <c r="I65" s="1450" t="str">
        <f t="shared" si="725"/>
        <v>-</v>
      </c>
      <c r="J65" s="1450" t="str">
        <f t="shared" si="726"/>
        <v>-</v>
      </c>
      <c r="K65" s="1443"/>
      <c r="L65" s="1443"/>
      <c r="M65" s="1444" t="str">
        <f t="shared" ref="M65:N65" si="748">S65</f>
        <v>#N/A</v>
      </c>
      <c r="N65" s="1444" t="str">
        <f t="shared" si="748"/>
        <v>#N/A</v>
      </c>
      <c r="O65" s="1444" t="str">
        <f t="shared" ref="O65:P65" si="749">W65</f>
        <v>#N/A</v>
      </c>
      <c r="P65" s="1444" t="str">
        <f t="shared" si="749"/>
        <v>#N/A</v>
      </c>
      <c r="Q65" s="1445" t="str">
        <f t="shared" ref="Q65:R65" si="750">AE65</f>
        <v>#N/A</v>
      </c>
      <c r="R65" s="1445" t="str">
        <f t="shared" si="750"/>
        <v>#N/A</v>
      </c>
      <c r="S65" s="1445" t="str">
        <f t="shared" ref="S65:T65" si="751">AK65</f>
        <v>#N/A</v>
      </c>
      <c r="T65" s="1445" t="str">
        <f t="shared" si="751"/>
        <v>#N/A</v>
      </c>
      <c r="U65" s="1445" t="str">
        <f t="shared" ref="U65:V65" si="752">AQ65</f>
        <v>#N/A</v>
      </c>
      <c r="V65" s="1445" t="str">
        <f t="shared" si="752"/>
        <v>#N/A</v>
      </c>
      <c r="W65" s="1445" t="str">
        <f t="shared" ref="W65:X65" si="753">AW65</f>
        <v>#N/A</v>
      </c>
      <c r="X65" s="1445" t="str">
        <f t="shared" si="753"/>
        <v>#N/A</v>
      </c>
      <c r="Y65" s="630" t="str">
        <f t="shared" ref="Y65:Z65" si="754">E65</f>
        <v/>
      </c>
      <c r="Z65" s="630" t="str">
        <f t="shared" si="754"/>
        <v/>
      </c>
      <c r="AA65" s="630" t="str">
        <f t="shared" si="755"/>
        <v>#N/A</v>
      </c>
      <c r="AB65" s="630" t="str">
        <f t="shared" si="756"/>
        <v>#N/A</v>
      </c>
      <c r="AC65" s="630" t="str">
        <f t="shared" si="757"/>
        <v>#N/A</v>
      </c>
      <c r="AD65" s="630" t="str">
        <f t="shared" si="758"/>
        <v>#N/A</v>
      </c>
      <c r="AE65" s="630" t="str">
        <f t="shared" si="759"/>
        <v>#N/A</v>
      </c>
      <c r="AF65" s="630" t="str">
        <f t="shared" si="760"/>
        <v>#N/A</v>
      </c>
      <c r="AG65" s="630" t="str">
        <f t="shared" si="761"/>
        <v>#N/A</v>
      </c>
      <c r="AH65" s="630" t="str">
        <f t="shared" si="762"/>
        <v>#N/A</v>
      </c>
      <c r="AI65" s="630" t="str">
        <f t="shared" si="763"/>
        <v>#N/A</v>
      </c>
      <c r="AJ65" s="630" t="str">
        <f t="shared" si="764"/>
        <v>#N/A</v>
      </c>
      <c r="AK65" s="630" t="str">
        <f t="shared" si="765"/>
        <v>#N/A</v>
      </c>
      <c r="AL65" s="630" t="str">
        <f t="shared" si="766"/>
        <v>#N/A</v>
      </c>
      <c r="AM65" s="630" t="str">
        <f t="shared" si="767"/>
        <v>#N/A</v>
      </c>
      <c r="AN65" s="630" t="str">
        <f t="shared" si="768"/>
        <v>#N/A</v>
      </c>
      <c r="AO65" s="630" t="str">
        <f t="shared" si="769"/>
        <v>#N/A</v>
      </c>
      <c r="AP65" s="630" t="str">
        <f t="shared" si="770"/>
        <v>#N/A</v>
      </c>
      <c r="AQ65" s="630" t="str">
        <f t="shared" si="771"/>
        <v>#N/A</v>
      </c>
      <c r="AR65" s="630" t="str">
        <f t="shared" si="772"/>
        <v>#N/A</v>
      </c>
      <c r="AS65" s="630" t="str">
        <f t="shared" si="773"/>
        <v>#N/A</v>
      </c>
      <c r="AT65" s="630" t="str">
        <f t="shared" si="774"/>
        <v>#N/A</v>
      </c>
      <c r="AU65" s="630" t="str">
        <f t="shared" si="775"/>
        <v>#N/A</v>
      </c>
      <c r="AV65" s="630" t="str">
        <f t="shared" si="776"/>
        <v>#N/A</v>
      </c>
      <c r="AW65" s="630" t="str">
        <f t="shared" si="777"/>
        <v>#N/A</v>
      </c>
      <c r="AX65" s="630" t="str">
        <f t="shared" si="778"/>
        <v>#N/A</v>
      </c>
    </row>
    <row r="66" outlineLevel="1">
      <c r="A66" s="1448"/>
      <c r="B66" s="1440"/>
      <c r="C66" s="1449" t="s">
        <v>3069</v>
      </c>
      <c r="D66" s="1433" t="s">
        <v>3070</v>
      </c>
      <c r="E66" s="1450"/>
      <c r="F66" s="1450"/>
      <c r="G66" s="1450">
        <f>SUMIF(AC_TKNO,$C66,AC_SOTIEN)</f>
        <v>0</v>
      </c>
      <c r="H66" s="1450">
        <f>SUMIF(AC_TKCO,$C66,AC_SOTIEN)</f>
        <v>0</v>
      </c>
      <c r="I66" s="1450" t="str">
        <f t="shared" si="725"/>
        <v>-</v>
      </c>
      <c r="J66" s="1450" t="str">
        <f t="shared" si="726"/>
        <v>-</v>
      </c>
      <c r="K66" s="1443"/>
      <c r="L66" s="1443"/>
      <c r="M66" s="1444" t="str">
        <f t="shared" ref="M66:N66" si="779">S66</f>
        <v>#N/A</v>
      </c>
      <c r="N66" s="1444" t="str">
        <f t="shared" si="779"/>
        <v>#N/A</v>
      </c>
      <c r="O66" s="1444" t="str">
        <f t="shared" ref="O66:P66" si="780">W66</f>
        <v>#N/A</v>
      </c>
      <c r="P66" s="1444" t="str">
        <f t="shared" si="780"/>
        <v>#N/A</v>
      </c>
      <c r="Q66" s="1445" t="str">
        <f t="shared" ref="Q66:R66" si="781">AE66</f>
        <v>#N/A</v>
      </c>
      <c r="R66" s="1445" t="str">
        <f t="shared" si="781"/>
        <v>#N/A</v>
      </c>
      <c r="S66" s="1445" t="str">
        <f t="shared" ref="S66:T66" si="782">AK66</f>
        <v>#N/A</v>
      </c>
      <c r="T66" s="1445" t="str">
        <f t="shared" si="782"/>
        <v>#N/A</v>
      </c>
      <c r="U66" s="1445" t="str">
        <f t="shared" ref="U66:V66" si="783">AQ66</f>
        <v>#N/A</v>
      </c>
      <c r="V66" s="1445" t="str">
        <f t="shared" si="783"/>
        <v>#N/A</v>
      </c>
      <c r="W66" s="1445" t="str">
        <f t="shared" ref="W66:X66" si="784">AW66</f>
        <v>#N/A</v>
      </c>
      <c r="X66" s="1445" t="str">
        <f t="shared" si="784"/>
        <v>#N/A</v>
      </c>
      <c r="Y66" s="630" t="str">
        <f t="shared" ref="Y66:Z66" si="785">E66</f>
        <v/>
      </c>
      <c r="Z66" s="630" t="str">
        <f t="shared" si="785"/>
        <v/>
      </c>
      <c r="AA66" s="630" t="str">
        <f t="shared" si="755"/>
        <v>#N/A</v>
      </c>
      <c r="AB66" s="630" t="str">
        <f t="shared" si="756"/>
        <v>#N/A</v>
      </c>
      <c r="AC66" s="630" t="str">
        <f t="shared" si="757"/>
        <v>#N/A</v>
      </c>
      <c r="AD66" s="630" t="str">
        <f t="shared" si="758"/>
        <v>#N/A</v>
      </c>
      <c r="AE66" s="630" t="str">
        <f t="shared" si="759"/>
        <v>#N/A</v>
      </c>
      <c r="AF66" s="630" t="str">
        <f t="shared" si="760"/>
        <v>#N/A</v>
      </c>
      <c r="AG66" s="630" t="str">
        <f t="shared" si="761"/>
        <v>#N/A</v>
      </c>
      <c r="AH66" s="630" t="str">
        <f t="shared" si="762"/>
        <v>#N/A</v>
      </c>
      <c r="AI66" s="630" t="str">
        <f t="shared" si="763"/>
        <v>#N/A</v>
      </c>
      <c r="AJ66" s="630" t="str">
        <f t="shared" si="764"/>
        <v>#N/A</v>
      </c>
      <c r="AK66" s="630" t="str">
        <f t="shared" si="765"/>
        <v>#N/A</v>
      </c>
      <c r="AL66" s="630" t="str">
        <f t="shared" si="766"/>
        <v>#N/A</v>
      </c>
      <c r="AM66" s="630" t="str">
        <f t="shared" si="767"/>
        <v>#N/A</v>
      </c>
      <c r="AN66" s="630" t="str">
        <f t="shared" si="768"/>
        <v>#N/A</v>
      </c>
      <c r="AO66" s="630" t="str">
        <f t="shared" si="769"/>
        <v>#N/A</v>
      </c>
      <c r="AP66" s="630" t="str">
        <f t="shared" si="770"/>
        <v>#N/A</v>
      </c>
      <c r="AQ66" s="630" t="str">
        <f t="shared" si="771"/>
        <v>#N/A</v>
      </c>
      <c r="AR66" s="630" t="str">
        <f t="shared" si="772"/>
        <v>#N/A</v>
      </c>
      <c r="AS66" s="630" t="str">
        <f t="shared" si="773"/>
        <v>#N/A</v>
      </c>
      <c r="AT66" s="630" t="str">
        <f t="shared" si="774"/>
        <v>#N/A</v>
      </c>
      <c r="AU66" s="630" t="str">
        <f t="shared" si="775"/>
        <v>#N/A</v>
      </c>
      <c r="AV66" s="630" t="str">
        <f t="shared" si="776"/>
        <v>#N/A</v>
      </c>
      <c r="AW66" s="630" t="str">
        <f t="shared" si="777"/>
        <v>#N/A</v>
      </c>
      <c r="AX66" s="630" t="str">
        <f t="shared" si="778"/>
        <v>#N/A</v>
      </c>
    </row>
    <row r="67" outlineLevel="1">
      <c r="A67" s="1452" t="s">
        <v>2986</v>
      </c>
      <c r="B67" s="1439" t="s">
        <v>3071</v>
      </c>
      <c r="C67" s="1440"/>
      <c r="D67" s="1441" t="s">
        <v>1690</v>
      </c>
      <c r="E67" s="1442">
        <f t="shared" ref="E67:J67" si="786">SUM(E68:E69)</f>
        <v>0</v>
      </c>
      <c r="F67" s="1442">
        <f t="shared" si="786"/>
        <v>0</v>
      </c>
      <c r="G67" s="1442">
        <f t="shared" si="786"/>
        <v>0</v>
      </c>
      <c r="H67" s="1442">
        <f t="shared" si="786"/>
        <v>0</v>
      </c>
      <c r="I67" s="1442">
        <f t="shared" si="786"/>
        <v>0</v>
      </c>
      <c r="J67" s="1442">
        <f t="shared" si="786"/>
        <v>0</v>
      </c>
      <c r="K67" s="1443"/>
      <c r="L67" s="1443"/>
      <c r="M67" s="1444" t="str">
        <f t="shared" ref="M67:N67" si="787">S67</f>
        <v>#N/A</v>
      </c>
      <c r="N67" s="1444" t="str">
        <f t="shared" si="787"/>
        <v>#N/A</v>
      </c>
      <c r="O67" s="1444" t="str">
        <f t="shared" ref="O67:P67" si="788">W67</f>
        <v>#N/A</v>
      </c>
      <c r="P67" s="1444" t="str">
        <f t="shared" si="788"/>
        <v>#N/A</v>
      </c>
      <c r="Q67" s="1445" t="str">
        <f t="shared" ref="Q67:R67" si="789">AE67</f>
        <v>#N/A</v>
      </c>
      <c r="R67" s="1445" t="str">
        <f t="shared" si="789"/>
        <v>#N/A</v>
      </c>
      <c r="S67" s="1445" t="str">
        <f t="shared" ref="S67:T67" si="790">AK67</f>
        <v>#N/A</v>
      </c>
      <c r="T67" s="1445" t="str">
        <f t="shared" si="790"/>
        <v>#N/A</v>
      </c>
      <c r="U67" s="1445" t="str">
        <f t="shared" ref="U67:V67" si="791">AQ67</f>
        <v>#N/A</v>
      </c>
      <c r="V67" s="1445" t="str">
        <f t="shared" si="791"/>
        <v>#N/A</v>
      </c>
      <c r="W67" s="1445" t="str">
        <f t="shared" ref="W67:X67" si="792">AW67</f>
        <v>#N/A</v>
      </c>
      <c r="X67" s="1445" t="str">
        <f t="shared" si="792"/>
        <v>#N/A</v>
      </c>
      <c r="Y67" s="630">
        <f t="shared" ref="Y67:Z67" si="793">E67</f>
        <v>0</v>
      </c>
      <c r="Z67" s="630">
        <f t="shared" si="793"/>
        <v>0</v>
      </c>
      <c r="AA67" s="630" t="str">
        <f t="shared" si="755"/>
        <v>#N/A</v>
      </c>
      <c r="AB67" s="630" t="str">
        <f t="shared" si="756"/>
        <v>#N/A</v>
      </c>
      <c r="AC67" s="630" t="str">
        <f t="shared" si="757"/>
        <v>#N/A</v>
      </c>
      <c r="AD67" s="630" t="str">
        <f t="shared" si="758"/>
        <v>#N/A</v>
      </c>
      <c r="AE67" s="630" t="str">
        <f t="shared" si="759"/>
        <v>#N/A</v>
      </c>
      <c r="AF67" s="630" t="str">
        <f t="shared" si="760"/>
        <v>#N/A</v>
      </c>
      <c r="AG67" s="630" t="str">
        <f t="shared" si="761"/>
        <v>#N/A</v>
      </c>
      <c r="AH67" s="630" t="str">
        <f t="shared" si="762"/>
        <v>#N/A</v>
      </c>
      <c r="AI67" s="630" t="str">
        <f t="shared" si="763"/>
        <v>#N/A</v>
      </c>
      <c r="AJ67" s="630" t="str">
        <f t="shared" si="764"/>
        <v>#N/A</v>
      </c>
      <c r="AK67" s="630" t="str">
        <f t="shared" si="765"/>
        <v>#N/A</v>
      </c>
      <c r="AL67" s="630" t="str">
        <f t="shared" si="766"/>
        <v>#N/A</v>
      </c>
      <c r="AM67" s="630" t="str">
        <f t="shared" si="767"/>
        <v>#N/A</v>
      </c>
      <c r="AN67" s="630" t="str">
        <f t="shared" si="768"/>
        <v>#N/A</v>
      </c>
      <c r="AO67" s="630" t="str">
        <f t="shared" si="769"/>
        <v>#N/A</v>
      </c>
      <c r="AP67" s="630" t="str">
        <f t="shared" si="770"/>
        <v>#N/A</v>
      </c>
      <c r="AQ67" s="630" t="str">
        <f t="shared" si="771"/>
        <v>#N/A</v>
      </c>
      <c r="AR67" s="630" t="str">
        <f t="shared" si="772"/>
        <v>#N/A</v>
      </c>
      <c r="AS67" s="630" t="str">
        <f t="shared" si="773"/>
        <v>#N/A</v>
      </c>
      <c r="AT67" s="630" t="str">
        <f t="shared" si="774"/>
        <v>#N/A</v>
      </c>
      <c r="AU67" s="630" t="str">
        <f t="shared" si="775"/>
        <v>#N/A</v>
      </c>
      <c r="AV67" s="630" t="str">
        <f t="shared" si="776"/>
        <v>#N/A</v>
      </c>
      <c r="AW67" s="630" t="str">
        <f t="shared" si="777"/>
        <v>#N/A</v>
      </c>
      <c r="AX67" s="630" t="str">
        <f t="shared" si="778"/>
        <v>#N/A</v>
      </c>
    </row>
    <row r="68" outlineLevel="1">
      <c r="A68" s="1448"/>
      <c r="B68" s="1440"/>
      <c r="C68" s="1449" t="s">
        <v>3072</v>
      </c>
      <c r="D68" s="1433" t="s">
        <v>3073</v>
      </c>
      <c r="E68" s="1450"/>
      <c r="F68" s="1450"/>
      <c r="G68" s="1450">
        <f>SUMIF(AC_TKNO,$C68,AC_SOTIEN)</f>
        <v>0</v>
      </c>
      <c r="H68" s="1450">
        <f>SUMIF(AC_TKCO,$C68,AC_SOTIEN)</f>
        <v>0</v>
      </c>
      <c r="I68" s="1450" t="str">
        <f t="shared" ref="I68:I69" si="801">IF(E68+G68-F68-H68&gt;0,E68+G68-F68-H68,"-")</f>
        <v>-</v>
      </c>
      <c r="J68" s="1450" t="str">
        <f t="shared" ref="J68:J69" si="802">IF(F68+H68-E68-G68&gt;0,F68+H68-E68-G68,"-")</f>
        <v>-</v>
      </c>
      <c r="K68" s="1443"/>
      <c r="L68" s="1443"/>
      <c r="M68" s="1444" t="str">
        <f t="shared" ref="M68:N68" si="794">S68</f>
        <v>#N/A</v>
      </c>
      <c r="N68" s="1444" t="str">
        <f t="shared" si="794"/>
        <v>#N/A</v>
      </c>
      <c r="O68" s="1444" t="str">
        <f t="shared" ref="O68:P68" si="795">W68</f>
        <v>#N/A</v>
      </c>
      <c r="P68" s="1444" t="str">
        <f t="shared" si="795"/>
        <v>#N/A</v>
      </c>
      <c r="Q68" s="1445" t="str">
        <f t="shared" ref="Q68:R68" si="796">AE68</f>
        <v>#N/A</v>
      </c>
      <c r="R68" s="1445" t="str">
        <f t="shared" si="796"/>
        <v>#N/A</v>
      </c>
      <c r="S68" s="1445" t="str">
        <f t="shared" ref="S68:T68" si="797">AK68</f>
        <v>#N/A</v>
      </c>
      <c r="T68" s="1445" t="str">
        <f t="shared" si="797"/>
        <v>#N/A</v>
      </c>
      <c r="U68" s="1445" t="str">
        <f t="shared" ref="U68:V68" si="798">AQ68</f>
        <v>#N/A</v>
      </c>
      <c r="V68" s="1445" t="str">
        <f t="shared" si="798"/>
        <v>#N/A</v>
      </c>
      <c r="W68" s="1445" t="str">
        <f t="shared" ref="W68:X68" si="799">AW68</f>
        <v>#N/A</v>
      </c>
      <c r="X68" s="1445" t="str">
        <f t="shared" si="799"/>
        <v>#N/A</v>
      </c>
      <c r="Y68" s="630" t="str">
        <f t="shared" ref="Y68:Z68" si="800">E68</f>
        <v/>
      </c>
      <c r="Z68" s="630" t="str">
        <f t="shared" si="800"/>
        <v/>
      </c>
      <c r="AA68" s="630" t="str">
        <f t="shared" si="755"/>
        <v>#N/A</v>
      </c>
      <c r="AB68" s="630" t="str">
        <f t="shared" si="756"/>
        <v>#N/A</v>
      </c>
      <c r="AC68" s="630" t="str">
        <f t="shared" si="757"/>
        <v>#N/A</v>
      </c>
      <c r="AD68" s="630" t="str">
        <f t="shared" si="758"/>
        <v>#N/A</v>
      </c>
      <c r="AE68" s="630" t="str">
        <f t="shared" si="759"/>
        <v>#N/A</v>
      </c>
      <c r="AF68" s="630" t="str">
        <f t="shared" si="760"/>
        <v>#N/A</v>
      </c>
      <c r="AG68" s="630" t="str">
        <f t="shared" si="761"/>
        <v>#N/A</v>
      </c>
      <c r="AH68" s="630" t="str">
        <f t="shared" si="762"/>
        <v>#N/A</v>
      </c>
      <c r="AI68" s="630" t="str">
        <f t="shared" si="763"/>
        <v>#N/A</v>
      </c>
      <c r="AJ68" s="630" t="str">
        <f t="shared" si="764"/>
        <v>#N/A</v>
      </c>
      <c r="AK68" s="630" t="str">
        <f t="shared" si="765"/>
        <v>#N/A</v>
      </c>
      <c r="AL68" s="630" t="str">
        <f t="shared" si="766"/>
        <v>#N/A</v>
      </c>
      <c r="AM68" s="630" t="str">
        <f t="shared" si="767"/>
        <v>#N/A</v>
      </c>
      <c r="AN68" s="630" t="str">
        <f t="shared" si="768"/>
        <v>#N/A</v>
      </c>
      <c r="AO68" s="630" t="str">
        <f t="shared" si="769"/>
        <v>#N/A</v>
      </c>
      <c r="AP68" s="630" t="str">
        <f t="shared" si="770"/>
        <v>#N/A</v>
      </c>
      <c r="AQ68" s="630" t="str">
        <f t="shared" si="771"/>
        <v>#N/A</v>
      </c>
      <c r="AR68" s="630" t="str">
        <f t="shared" si="772"/>
        <v>#N/A</v>
      </c>
      <c r="AS68" s="630" t="str">
        <f t="shared" si="773"/>
        <v>#N/A</v>
      </c>
      <c r="AT68" s="630" t="str">
        <f t="shared" si="774"/>
        <v>#N/A</v>
      </c>
      <c r="AU68" s="630" t="str">
        <f t="shared" si="775"/>
        <v>#N/A</v>
      </c>
      <c r="AV68" s="630" t="str">
        <f t="shared" si="776"/>
        <v>#N/A</v>
      </c>
      <c r="AW68" s="630" t="str">
        <f t="shared" si="777"/>
        <v>#N/A</v>
      </c>
      <c r="AX68" s="630" t="str">
        <f t="shared" si="778"/>
        <v>#N/A</v>
      </c>
    </row>
    <row r="69" outlineLevel="1">
      <c r="A69" s="1448"/>
      <c r="B69" s="1440"/>
      <c r="C69" s="1449" t="s">
        <v>3074</v>
      </c>
      <c r="D69" s="1433" t="s">
        <v>3075</v>
      </c>
      <c r="E69" s="1450"/>
      <c r="F69" s="1450"/>
      <c r="G69" s="1450">
        <f>SUMIF(AC_TKNO,$C69,AC_SOTIEN)</f>
        <v>0</v>
      </c>
      <c r="H69" s="1450">
        <f>SUMIF(AC_TKCO,$C69,AC_SOTIEN)</f>
        <v>0</v>
      </c>
      <c r="I69" s="1450" t="str">
        <f t="shared" si="801"/>
        <v>-</v>
      </c>
      <c r="J69" s="1450" t="str">
        <f t="shared" si="802"/>
        <v>-</v>
      </c>
      <c r="K69" s="1443"/>
      <c r="L69" s="1443"/>
      <c r="M69" s="1444" t="str">
        <f t="shared" ref="M69:N69" si="803">S69</f>
        <v>#N/A</v>
      </c>
      <c r="N69" s="1444" t="str">
        <f t="shared" si="803"/>
        <v>#N/A</v>
      </c>
      <c r="O69" s="1444" t="str">
        <f t="shared" ref="O69:P69" si="804">W69</f>
        <v>#N/A</v>
      </c>
      <c r="P69" s="1444" t="str">
        <f t="shared" si="804"/>
        <v>#N/A</v>
      </c>
      <c r="Q69" s="1445" t="str">
        <f t="shared" ref="Q69:R69" si="805">AE69</f>
        <v>#N/A</v>
      </c>
      <c r="R69" s="1445" t="str">
        <f t="shared" si="805"/>
        <v>#N/A</v>
      </c>
      <c r="S69" s="1445" t="str">
        <f t="shared" ref="S69:T69" si="806">AK69</f>
        <v>#N/A</v>
      </c>
      <c r="T69" s="1445" t="str">
        <f t="shared" si="806"/>
        <v>#N/A</v>
      </c>
      <c r="U69" s="1445" t="str">
        <f t="shared" ref="U69:V69" si="807">AQ69</f>
        <v>#N/A</v>
      </c>
      <c r="V69" s="1445" t="str">
        <f t="shared" si="807"/>
        <v>#N/A</v>
      </c>
      <c r="W69" s="1445" t="str">
        <f t="shared" ref="W69:X69" si="808">AW69</f>
        <v>#N/A</v>
      </c>
      <c r="X69" s="1445" t="str">
        <f t="shared" si="808"/>
        <v>#N/A</v>
      </c>
      <c r="Y69" s="630" t="str">
        <f t="shared" ref="Y69:Z69" si="809">E69</f>
        <v/>
      </c>
      <c r="Z69" s="630" t="str">
        <f t="shared" si="809"/>
        <v/>
      </c>
      <c r="AA69" s="630" t="str">
        <f t="shared" si="755"/>
        <v>#N/A</v>
      </c>
      <c r="AB69" s="630" t="str">
        <f t="shared" si="756"/>
        <v>#N/A</v>
      </c>
      <c r="AC69" s="630" t="str">
        <f t="shared" si="757"/>
        <v>#N/A</v>
      </c>
      <c r="AD69" s="630" t="str">
        <f t="shared" si="758"/>
        <v>#N/A</v>
      </c>
      <c r="AE69" s="630" t="str">
        <f t="shared" si="759"/>
        <v>#N/A</v>
      </c>
      <c r="AF69" s="630" t="str">
        <f t="shared" si="760"/>
        <v>#N/A</v>
      </c>
      <c r="AG69" s="630" t="str">
        <f t="shared" si="761"/>
        <v>#N/A</v>
      </c>
      <c r="AH69" s="630" t="str">
        <f t="shared" si="762"/>
        <v>#N/A</v>
      </c>
      <c r="AI69" s="630" t="str">
        <f t="shared" si="763"/>
        <v>#N/A</v>
      </c>
      <c r="AJ69" s="630" t="str">
        <f t="shared" si="764"/>
        <v>#N/A</v>
      </c>
      <c r="AK69" s="630" t="str">
        <f t="shared" si="765"/>
        <v>#N/A</v>
      </c>
      <c r="AL69" s="630" t="str">
        <f t="shared" si="766"/>
        <v>#N/A</v>
      </c>
      <c r="AM69" s="630" t="str">
        <f t="shared" si="767"/>
        <v>#N/A</v>
      </c>
      <c r="AN69" s="630" t="str">
        <f t="shared" si="768"/>
        <v>#N/A</v>
      </c>
      <c r="AO69" s="630" t="str">
        <f t="shared" si="769"/>
        <v>#N/A</v>
      </c>
      <c r="AP69" s="630" t="str">
        <f t="shared" si="770"/>
        <v>#N/A</v>
      </c>
      <c r="AQ69" s="630" t="str">
        <f t="shared" si="771"/>
        <v>#N/A</v>
      </c>
      <c r="AR69" s="630" t="str">
        <f t="shared" si="772"/>
        <v>#N/A</v>
      </c>
      <c r="AS69" s="630" t="str">
        <f t="shared" si="773"/>
        <v>#N/A</v>
      </c>
      <c r="AT69" s="630" t="str">
        <f t="shared" si="774"/>
        <v>#N/A</v>
      </c>
      <c r="AU69" s="630" t="str">
        <f t="shared" si="775"/>
        <v>#N/A</v>
      </c>
      <c r="AV69" s="630" t="str">
        <f t="shared" si="776"/>
        <v>#N/A</v>
      </c>
      <c r="AW69" s="630" t="str">
        <f t="shared" si="777"/>
        <v>#N/A</v>
      </c>
      <c r="AX69" s="630" t="str">
        <f t="shared" si="778"/>
        <v>#N/A</v>
      </c>
    </row>
    <row r="70" outlineLevel="1">
      <c r="A70" s="1452" t="s">
        <v>2986</v>
      </c>
      <c r="B70" s="1439" t="s">
        <v>3076</v>
      </c>
      <c r="C70" s="1440"/>
      <c r="D70" s="1441" t="s">
        <v>1691</v>
      </c>
      <c r="E70" s="1456">
        <f t="shared" ref="E70:J70" si="810">SUM(E71:E77)</f>
        <v>0</v>
      </c>
      <c r="F70" s="1456">
        <f t="shared" si="810"/>
        <v>0</v>
      </c>
      <c r="G70" s="1456">
        <f t="shared" si="810"/>
        <v>0</v>
      </c>
      <c r="H70" s="1456">
        <f t="shared" si="810"/>
        <v>0</v>
      </c>
      <c r="I70" s="1456">
        <f t="shared" si="810"/>
        <v>0</v>
      </c>
      <c r="J70" s="1456">
        <f t="shared" si="810"/>
        <v>0</v>
      </c>
      <c r="K70" s="1443"/>
      <c r="L70" s="1443"/>
      <c r="M70" s="1444" t="str">
        <f t="shared" ref="M70:N70" si="811">S70</f>
        <v>#N/A</v>
      </c>
      <c r="N70" s="1444" t="str">
        <f t="shared" si="811"/>
        <v>#N/A</v>
      </c>
      <c r="O70" s="1444" t="str">
        <f t="shared" ref="O70:P70" si="812">W70</f>
        <v>#N/A</v>
      </c>
      <c r="P70" s="1444" t="str">
        <f t="shared" si="812"/>
        <v>#N/A</v>
      </c>
      <c r="Q70" s="1445" t="str">
        <f t="shared" ref="Q70:R70" si="813">AE70</f>
        <v>#N/A</v>
      </c>
      <c r="R70" s="1445" t="str">
        <f t="shared" si="813"/>
        <v>#N/A</v>
      </c>
      <c r="S70" s="1445" t="str">
        <f t="shared" ref="S70:T70" si="814">AK70</f>
        <v>#N/A</v>
      </c>
      <c r="T70" s="1445" t="str">
        <f t="shared" si="814"/>
        <v>#N/A</v>
      </c>
      <c r="U70" s="1445" t="str">
        <f t="shared" ref="U70:V70" si="815">AQ70</f>
        <v>#N/A</v>
      </c>
      <c r="V70" s="1445" t="str">
        <f t="shared" si="815"/>
        <v>#N/A</v>
      </c>
      <c r="W70" s="1445" t="str">
        <f t="shared" ref="W70:X70" si="816">AW70</f>
        <v>#N/A</v>
      </c>
      <c r="X70" s="1445" t="str">
        <f t="shared" si="816"/>
        <v>#N/A</v>
      </c>
      <c r="Y70" s="1447">
        <f t="shared" ref="Y70:AX70" si="817">SUM(Y71:Y72)</f>
        <v>0</v>
      </c>
      <c r="Z70" s="1447">
        <f t="shared" si="817"/>
        <v>0</v>
      </c>
      <c r="AA70" s="1447" t="str">
        <f t="shared" si="817"/>
        <v>#N/A</v>
      </c>
      <c r="AB70" s="1447" t="str">
        <f t="shared" si="817"/>
        <v>#N/A</v>
      </c>
      <c r="AC70" s="1447" t="str">
        <f t="shared" si="817"/>
        <v>#N/A</v>
      </c>
      <c r="AD70" s="1447" t="str">
        <f t="shared" si="817"/>
        <v>#N/A</v>
      </c>
      <c r="AE70" s="1447" t="str">
        <f t="shared" si="817"/>
        <v>#N/A</v>
      </c>
      <c r="AF70" s="1447" t="str">
        <f t="shared" si="817"/>
        <v>#N/A</v>
      </c>
      <c r="AG70" s="1447" t="str">
        <f t="shared" si="817"/>
        <v>#N/A</v>
      </c>
      <c r="AH70" s="1447" t="str">
        <f t="shared" si="817"/>
        <v>#N/A</v>
      </c>
      <c r="AI70" s="1447" t="str">
        <f t="shared" si="817"/>
        <v>#N/A</v>
      </c>
      <c r="AJ70" s="1447" t="str">
        <f t="shared" si="817"/>
        <v>#N/A</v>
      </c>
      <c r="AK70" s="1447" t="str">
        <f t="shared" si="817"/>
        <v>#N/A</v>
      </c>
      <c r="AL70" s="1447" t="str">
        <f t="shared" si="817"/>
        <v>#N/A</v>
      </c>
      <c r="AM70" s="1447" t="str">
        <f t="shared" si="817"/>
        <v>#N/A</v>
      </c>
      <c r="AN70" s="1447" t="str">
        <f t="shared" si="817"/>
        <v>#N/A</v>
      </c>
      <c r="AO70" s="1447" t="str">
        <f t="shared" si="817"/>
        <v>#N/A</v>
      </c>
      <c r="AP70" s="1447" t="str">
        <f t="shared" si="817"/>
        <v>#N/A</v>
      </c>
      <c r="AQ70" s="1447" t="str">
        <f t="shared" si="817"/>
        <v>#N/A</v>
      </c>
      <c r="AR70" s="1447" t="str">
        <f t="shared" si="817"/>
        <v>#N/A</v>
      </c>
      <c r="AS70" s="1447" t="str">
        <f t="shared" si="817"/>
        <v>#N/A</v>
      </c>
      <c r="AT70" s="1447" t="str">
        <f t="shared" si="817"/>
        <v>#N/A</v>
      </c>
      <c r="AU70" s="1447" t="str">
        <f t="shared" si="817"/>
        <v>#N/A</v>
      </c>
      <c r="AV70" s="1447" t="str">
        <f t="shared" si="817"/>
        <v>#N/A</v>
      </c>
      <c r="AW70" s="1447" t="str">
        <f t="shared" si="817"/>
        <v>#N/A</v>
      </c>
      <c r="AX70" s="1447" t="str">
        <f t="shared" si="817"/>
        <v>#N/A</v>
      </c>
    </row>
    <row r="71" outlineLevel="1">
      <c r="A71" s="1448"/>
      <c r="B71" s="1440"/>
      <c r="C71" s="1449" t="s">
        <v>3077</v>
      </c>
      <c r="D71" s="1433" t="s">
        <v>3078</v>
      </c>
      <c r="E71" s="1450"/>
      <c r="F71" s="1450"/>
      <c r="G71" s="1450">
        <f>SUMIF(AC_TKNO,$C71,AC_SOTIEN)</f>
        <v>0</v>
      </c>
      <c r="H71" s="1450">
        <f>SUMIF(AC_TKCO,$C71,AC_SOTIEN)</f>
        <v>0</v>
      </c>
      <c r="I71" s="1450" t="str">
        <f t="shared" ref="I71:I77" si="825">IF(E71+G71-F71-H71&gt;0,E71+G71-F71-H71,"-")</f>
        <v>-</v>
      </c>
      <c r="J71" s="1450" t="str">
        <f t="shared" ref="J71:J77" si="826">IF(F71+H71-E71-G71&gt;0,F71+H71-E71-G71,"-")</f>
        <v>-</v>
      </c>
      <c r="K71" s="1443"/>
      <c r="L71" s="1443"/>
      <c r="M71" s="1444" t="str">
        <f t="shared" ref="M71:N71" si="818">S71</f>
        <v>#N/A</v>
      </c>
      <c r="N71" s="1444" t="str">
        <f t="shared" si="818"/>
        <v>#N/A</v>
      </c>
      <c r="O71" s="1444" t="str">
        <f t="shared" ref="O71:P71" si="819">W71</f>
        <v>#N/A</v>
      </c>
      <c r="P71" s="1444" t="str">
        <f t="shared" si="819"/>
        <v>#N/A</v>
      </c>
      <c r="Q71" s="1445" t="str">
        <f t="shared" ref="Q71:R71" si="820">AE71</f>
        <v>#N/A</v>
      </c>
      <c r="R71" s="1445" t="str">
        <f t="shared" si="820"/>
        <v>#N/A</v>
      </c>
      <c r="S71" s="1445" t="str">
        <f t="shared" ref="S71:T71" si="821">AK71</f>
        <v>#N/A</v>
      </c>
      <c r="T71" s="1445" t="str">
        <f t="shared" si="821"/>
        <v>#N/A</v>
      </c>
      <c r="U71" s="1445" t="str">
        <f t="shared" ref="U71:V71" si="822">AQ71</f>
        <v>#N/A</v>
      </c>
      <c r="V71" s="1445" t="str">
        <f t="shared" si="822"/>
        <v>#N/A</v>
      </c>
      <c r="W71" s="1445" t="str">
        <f t="shared" ref="W71:X71" si="823">AW71</f>
        <v>#N/A</v>
      </c>
      <c r="X71" s="1445" t="str">
        <f t="shared" si="823"/>
        <v>#N/A</v>
      </c>
      <c r="Y71" s="630" t="str">
        <f t="shared" ref="Y71:Z71" si="824">E71</f>
        <v/>
      </c>
      <c r="Z71" s="630" t="str">
        <f t="shared" si="824"/>
        <v/>
      </c>
      <c r="AA71" s="630" t="str">
        <f t="shared" ref="AA71:AA72" si="834">IF(Y71+SUMIFS(PS_SOTIEN,PS_TKNO,$B69,PS_MONTH,AA$3)-Z71-SUMIFS(PS_SOTIEN,PS_TKCO,$B69,PS_MONTH,AA$3)&gt;0,Y71+SUMIFS(PS_SOTIEN,PS_TKNO,$B69,PS_MONTH,AA$3)-Z71-SUMIFS(PS_SOTIEN,PS_TKCO,$B69,PS_MONTH,AA$3),0)</f>
        <v>#N/A</v>
      </c>
      <c r="AB71" s="630" t="str">
        <f t="shared" ref="AB71:AB72" si="835">IF(Z71+SUMIFS(PS_SOTIEN,PS_TKCO,$B69,PS_MONTH,AA$3)-Y71-SUMIFS(PS_SOTIEN,PS_TKNO,$B69,PS_MONTH,AA$3)&gt;0,Z71+SUMIFS(PS_SOTIEN,PS_TKCO,$B69,PS_MONTH,AA$3)-Y71-SUMIFS(PS_SOTIEN,PS_TKNO,$B69,PS_MONTH,AA$3),0)</f>
        <v>#N/A</v>
      </c>
      <c r="AC71" s="630" t="str">
        <f t="shared" ref="AC71:AC72" si="836">IF(AA71+SUMIFS(PS_SOTIEN,PS_TKNO,$B69,PS_MONTH,AC$3)-AB71-SUMIFS(PS_SOTIEN,PS_TKCO,$B69,PS_MONTH,AC$3)&gt;0,AA71+SUMIFS(PS_SOTIEN,PS_TKNO,$B69,PS_MONTH,AC$3)-AB71-SUMIFS(PS_SOTIEN,PS_TKCO,$B69,PS_MONTH,AC$3),0)</f>
        <v>#N/A</v>
      </c>
      <c r="AD71" s="630" t="str">
        <f t="shared" ref="AD71:AD72" si="837">IF(AB71+SUMIFS(PS_SOTIEN,PS_TKCO,$B69,PS_MONTH,AC$3)-AA71-SUMIFS(PS_SOTIEN,PS_TKNO,$B69,PS_MONTH,AC$3)&gt;0,AB71+SUMIFS(PS_SOTIEN,PS_TKCO,$B69,PS_MONTH,AC$3)-AA71-SUMIFS(PS_SOTIEN,PS_TKNO,$B69,PS_MONTH,AC$3),0)</f>
        <v>#N/A</v>
      </c>
      <c r="AE71" s="630" t="str">
        <f t="shared" ref="AE71:AE72" si="838">IF(AC71+SUMIFS(PS_SOTIEN,PS_TKNO,$B69,PS_MONTH,AE$3)-AD71-SUMIFS(PS_SOTIEN,PS_TKCO,$B69,PS_MONTH,AE$3)&gt;0,AC71+SUMIFS(PS_SOTIEN,PS_TKNO,$B69,PS_MONTH,AE$3)-AD71-SUMIFS(PS_SOTIEN,PS_TKCO,$B69,PS_MONTH,AE$3),0)</f>
        <v>#N/A</v>
      </c>
      <c r="AF71" s="630" t="str">
        <f t="shared" ref="AF71:AF72" si="839">IF(AD71+SUMIFS(PS_SOTIEN,PS_TKCO,$B69,PS_MONTH,AE$3)-AC71-SUMIFS(PS_SOTIEN,PS_TKNO,$B69,PS_MONTH,AE$3)&gt;0,AD71+SUMIFS(PS_SOTIEN,PS_TKCO,$B69,PS_MONTH,AE$3)-AC71-SUMIFS(PS_SOTIEN,PS_TKNO,$B69,PS_MONTH,AE$3),0)</f>
        <v>#N/A</v>
      </c>
      <c r="AG71" s="630" t="str">
        <f t="shared" ref="AG71:AG72" si="840">IF(AE71+SUMIFS(PS_SOTIEN,PS_TKNO,$B69,PS_MONTH,AG$3)-AF71-SUMIFS(PS_SOTIEN,PS_TKCO,$B69,PS_MONTH,AG$3)&gt;0,AE71+SUMIFS(PS_SOTIEN,PS_TKNO,$B69,PS_MONTH,AG$3)-AF71-SUMIFS(PS_SOTIEN,PS_TKCO,$B69,PS_MONTH,AG$3),0)</f>
        <v>#N/A</v>
      </c>
      <c r="AH71" s="630" t="str">
        <f t="shared" ref="AH71:AH72" si="841">IF(AF71+SUMIFS(PS_SOTIEN,PS_TKCO,$B69,PS_MONTH,AG$3)-AE71-SUMIFS(PS_SOTIEN,PS_TKNO,$B69,PS_MONTH,AG$3)&gt;0,AF71+SUMIFS(PS_SOTIEN,PS_TKCO,$B69,PS_MONTH,AG$3)-AE71-SUMIFS(PS_SOTIEN,PS_TKNO,$B69,PS_MONTH,AG$3),0)</f>
        <v>#N/A</v>
      </c>
      <c r="AI71" s="630" t="str">
        <f t="shared" ref="AI71:AI72" si="842">IF(AG71+SUMIFS(PS_SOTIEN,PS_TKNO,$B69,PS_MONTH,AI$3)-AH71-SUMIFS(PS_SOTIEN,PS_TKCO,$B69,PS_MONTH,AI$3)&gt;0,AG71+SUMIFS(PS_SOTIEN,PS_TKNO,$B69,PS_MONTH,AI$3)-AH71-SUMIFS(PS_SOTIEN,PS_TKCO,$B69,PS_MONTH,AI$3),0)</f>
        <v>#N/A</v>
      </c>
      <c r="AJ71" s="630" t="str">
        <f t="shared" ref="AJ71:AJ72" si="843">IF(AH71+SUMIFS(PS_SOTIEN,PS_TKCO,$B69,PS_MONTH,AI$3)-AG71-SUMIFS(PS_SOTIEN,PS_TKNO,$B69,PS_MONTH,AI$3)&gt;0,AH71+SUMIFS(PS_SOTIEN,PS_TKCO,$B69,PS_MONTH,AI$3)-AG71-SUMIFS(PS_SOTIEN,PS_TKNO,$B69,PS_MONTH,AI$3),0)</f>
        <v>#N/A</v>
      </c>
      <c r="AK71" s="630" t="str">
        <f t="shared" ref="AK71:AK72" si="844">IF(AI71+SUMIFS(PS_SOTIEN,PS_TKNO,$B69,PS_MONTH,AK$3)-AJ71-SUMIFS(PS_SOTIEN,PS_TKCO,$B69,PS_MONTH,AK$3)&gt;0,AI71+SUMIFS(PS_SOTIEN,PS_TKNO,$B69,PS_MONTH,AK$3)-AJ71-SUMIFS(PS_SOTIEN,PS_TKCO,$B69,PS_MONTH,AK$3),0)</f>
        <v>#N/A</v>
      </c>
      <c r="AL71" s="630" t="str">
        <f t="shared" ref="AL71:AL72" si="845">IF(AJ71+SUMIFS(PS_SOTIEN,PS_TKCO,$B69,PS_MONTH,AK$3)-AI71-SUMIFS(PS_SOTIEN,PS_TKNO,$B69,PS_MONTH,AK$3)&gt;0,AJ71+SUMIFS(PS_SOTIEN,PS_TKCO,$B69,PS_MONTH,AK$3)-AI71-SUMIFS(PS_SOTIEN,PS_TKNO,$B69,PS_MONTH,AK$3),0)</f>
        <v>#N/A</v>
      </c>
      <c r="AM71" s="630" t="str">
        <f t="shared" ref="AM71:AM72" si="846">IF(AK71+SUMIFS(PS_SOTIEN,PS_TKNO,$B69,PS_MONTH,AM$3)-AL71-SUMIFS(PS_SOTIEN,PS_TKCO,$B69,PS_MONTH,AM$3)&gt;0,AK71+SUMIFS(PS_SOTIEN,PS_TKNO,$B69,PS_MONTH,AM$3)-AL71-SUMIFS(PS_SOTIEN,PS_TKCO,$B69,PS_MONTH,AM$3),0)</f>
        <v>#N/A</v>
      </c>
      <c r="AN71" s="630" t="str">
        <f t="shared" ref="AN71:AN72" si="847">IF(AL71+SUMIFS(PS_SOTIEN,PS_TKCO,$B69,PS_MONTH,AM$3)-AK71-SUMIFS(PS_SOTIEN,PS_TKNO,$B69,PS_MONTH,AM$3)&gt;0,AL71+SUMIFS(PS_SOTIEN,PS_TKCO,$B69,PS_MONTH,AM$3)-AK71-SUMIFS(PS_SOTIEN,PS_TKNO,$B69,PS_MONTH,AM$3),0)</f>
        <v>#N/A</v>
      </c>
      <c r="AO71" s="630" t="str">
        <f t="shared" ref="AO71:AO72" si="848">IF(AM71+SUMIFS(PS_SOTIEN,PS_TKNO,$B69,PS_MONTH,AO$3)-AN71-SUMIFS(PS_SOTIEN,PS_TKCO,$B69,PS_MONTH,AO$3)&gt;0,AM71+SUMIFS(PS_SOTIEN,PS_TKNO,$B69,PS_MONTH,AO$3)-AN71-SUMIFS(PS_SOTIEN,PS_TKCO,$B69,PS_MONTH,AO$3),0)</f>
        <v>#N/A</v>
      </c>
      <c r="AP71" s="630" t="str">
        <f t="shared" ref="AP71:AP72" si="849">IF(AN71+SUMIFS(PS_SOTIEN,PS_TKCO,$B69,PS_MONTH,AO$3)-AM71-SUMIFS(PS_SOTIEN,PS_TKNO,$B69,PS_MONTH,AO$3)&gt;0,AN71+SUMIFS(PS_SOTIEN,PS_TKCO,$B69,PS_MONTH,AO$3)-AM71-SUMIFS(PS_SOTIEN,PS_TKNO,$B69,PS_MONTH,AO$3),0)</f>
        <v>#N/A</v>
      </c>
      <c r="AQ71" s="630" t="str">
        <f t="shared" ref="AQ71:AQ72" si="850">IF(AO71+SUMIFS(PS_SOTIEN,PS_TKNO,$B69,PS_MONTH,AQ$3)-AP71-SUMIFS(PS_SOTIEN,PS_TKCO,$B69,PS_MONTH,AQ$3)&gt;0,AO71+SUMIFS(PS_SOTIEN,PS_TKNO,$B69,PS_MONTH,AQ$3)-AP71-SUMIFS(PS_SOTIEN,PS_TKCO,$B69,PS_MONTH,AQ$3),0)</f>
        <v>#N/A</v>
      </c>
      <c r="AR71" s="630" t="str">
        <f t="shared" ref="AR71:AR72" si="851">IF(AP71+SUMIFS(PS_SOTIEN,PS_TKCO,$B69,PS_MONTH,AQ$3)-AO71-SUMIFS(PS_SOTIEN,PS_TKNO,$B69,PS_MONTH,AQ$3)&gt;0,AP71+SUMIFS(PS_SOTIEN,PS_TKCO,$B69,PS_MONTH,AQ$3)-AO71-SUMIFS(PS_SOTIEN,PS_TKNO,$B69,PS_MONTH,AQ$3),0)</f>
        <v>#N/A</v>
      </c>
      <c r="AS71" s="630" t="str">
        <f t="shared" ref="AS71:AS72" si="852">IF(AQ71+SUMIFS(PS_SOTIEN,PS_TKNO,$B69,PS_MONTH,AS$3)-AR71-SUMIFS(PS_SOTIEN,PS_TKCO,$B69,PS_MONTH,AS$3)&gt;0,AQ71+SUMIFS(PS_SOTIEN,PS_TKNO,$B69,PS_MONTH,AS$3)-AR71-SUMIFS(PS_SOTIEN,PS_TKCO,$B69,PS_MONTH,AS$3),0)</f>
        <v>#N/A</v>
      </c>
      <c r="AT71" s="630" t="str">
        <f t="shared" ref="AT71:AT72" si="853">IF(AR71+SUMIFS(PS_SOTIEN,PS_TKCO,$B69,PS_MONTH,AS$3)-AQ71-SUMIFS(PS_SOTIEN,PS_TKNO,$B69,PS_MONTH,AS$3)&gt;0,AR71+SUMIFS(PS_SOTIEN,PS_TKCO,$B69,PS_MONTH,AS$3)-AQ71-SUMIFS(PS_SOTIEN,PS_TKNO,$B69,PS_MONTH,AS$3),0)</f>
        <v>#N/A</v>
      </c>
      <c r="AU71" s="630" t="str">
        <f t="shared" ref="AU71:AU72" si="854">IF(AS71+SUMIFS(PS_SOTIEN,PS_TKNO,$B69,PS_MONTH,AU$3)-AT71-SUMIFS(PS_SOTIEN,PS_TKCO,$B69,PS_MONTH,AU$3)&gt;0,AS71+SUMIFS(PS_SOTIEN,PS_TKNO,$B69,PS_MONTH,AU$3)-AT71-SUMIFS(PS_SOTIEN,PS_TKCO,$B69,PS_MONTH,AU$3),0)</f>
        <v>#N/A</v>
      </c>
      <c r="AV71" s="630" t="str">
        <f t="shared" ref="AV71:AV72" si="855">IF(AT71+SUMIFS(PS_SOTIEN,PS_TKCO,$B69,PS_MONTH,AU$3)-AS71-SUMIFS(PS_SOTIEN,PS_TKNO,$B69,PS_MONTH,AU$3)&gt;0,AT71+SUMIFS(PS_SOTIEN,PS_TKCO,$B69,PS_MONTH,AU$3)-AS71-SUMIFS(PS_SOTIEN,PS_TKNO,$B69,PS_MONTH,AU$3),0)</f>
        <v>#N/A</v>
      </c>
      <c r="AW71" s="630" t="str">
        <f t="shared" ref="AW71:AW72" si="856">IF(AU71+SUMIFS(PS_SOTIEN,PS_TKNO,$B69,PS_MONTH,AW$3)-AV71-SUMIFS(PS_SOTIEN,PS_TKCO,$B69,PS_MONTH,AW$3)&gt;0,AU71+SUMIFS(PS_SOTIEN,PS_TKNO,$B69,PS_MONTH,AW$3)-AV71-SUMIFS(PS_SOTIEN,PS_TKCO,$B69,PS_MONTH,AW$3),0)</f>
        <v>#N/A</v>
      </c>
      <c r="AX71" s="630" t="str">
        <f t="shared" ref="AX71:AX72" si="857">IF(AV71+SUMIFS(PS_SOTIEN,PS_TKCO,$B69,PS_MONTH,AW$3)-AU71-SUMIFS(PS_SOTIEN,PS_TKNO,$B69,PS_MONTH,AW$3)&gt;0,AV71+SUMIFS(PS_SOTIEN,PS_TKCO,$B69,PS_MONTH,AW$3)-AU71-SUMIFS(PS_SOTIEN,PS_TKNO,$B69,PS_MONTH,AW$3),0)</f>
        <v>#N/A</v>
      </c>
    </row>
    <row r="72" outlineLevel="1">
      <c r="A72" s="1448"/>
      <c r="B72" s="1440"/>
      <c r="C72" s="1449" t="s">
        <v>3079</v>
      </c>
      <c r="D72" s="1433" t="s">
        <v>3080</v>
      </c>
      <c r="E72" s="1450"/>
      <c r="F72" s="1450"/>
      <c r="G72" s="1450">
        <f>SUMIF(AC_TKNO,$C72,AC_SOTIEN)</f>
        <v>0</v>
      </c>
      <c r="H72" s="1450">
        <f>SUMIF(AC_TKCO,$C72,AC_SOTIEN)</f>
        <v>0</v>
      </c>
      <c r="I72" s="1450" t="str">
        <f t="shared" si="825"/>
        <v>-</v>
      </c>
      <c r="J72" s="1450" t="str">
        <f t="shared" si="826"/>
        <v>-</v>
      </c>
      <c r="K72" s="1443"/>
      <c r="L72" s="1443"/>
      <c r="M72" s="1444" t="str">
        <f t="shared" ref="M72:N72" si="827">S72</f>
        <v>#N/A</v>
      </c>
      <c r="N72" s="1444" t="str">
        <f t="shared" si="827"/>
        <v>#N/A</v>
      </c>
      <c r="O72" s="1444" t="str">
        <f t="shared" ref="O72:P72" si="828">W72</f>
        <v>#N/A</v>
      </c>
      <c r="P72" s="1444" t="str">
        <f t="shared" si="828"/>
        <v>#N/A</v>
      </c>
      <c r="Q72" s="1445" t="str">
        <f t="shared" ref="Q72:R72" si="829">AE72</f>
        <v>#N/A</v>
      </c>
      <c r="R72" s="1445" t="str">
        <f t="shared" si="829"/>
        <v>#N/A</v>
      </c>
      <c r="S72" s="1445" t="str">
        <f t="shared" ref="S72:T72" si="830">AK72</f>
        <v>#N/A</v>
      </c>
      <c r="T72" s="1445" t="str">
        <f t="shared" si="830"/>
        <v>#N/A</v>
      </c>
      <c r="U72" s="1445" t="str">
        <f t="shared" ref="U72:V72" si="831">AQ72</f>
        <v>#N/A</v>
      </c>
      <c r="V72" s="1445" t="str">
        <f t="shared" si="831"/>
        <v>#N/A</v>
      </c>
      <c r="W72" s="1445" t="str">
        <f t="shared" ref="W72:X72" si="832">AW72</f>
        <v>#N/A</v>
      </c>
      <c r="X72" s="1445" t="str">
        <f t="shared" si="832"/>
        <v>#N/A</v>
      </c>
      <c r="Y72" s="630" t="str">
        <f t="shared" ref="Y72:Z72" si="833">E72</f>
        <v/>
      </c>
      <c r="Z72" s="630" t="str">
        <f t="shared" si="833"/>
        <v/>
      </c>
      <c r="AA72" s="630" t="str">
        <f t="shared" si="834"/>
        <v>#N/A</v>
      </c>
      <c r="AB72" s="630" t="str">
        <f t="shared" si="835"/>
        <v>#N/A</v>
      </c>
      <c r="AC72" s="630" t="str">
        <f t="shared" si="836"/>
        <v>#N/A</v>
      </c>
      <c r="AD72" s="630" t="str">
        <f t="shared" si="837"/>
        <v>#N/A</v>
      </c>
      <c r="AE72" s="630" t="str">
        <f t="shared" si="838"/>
        <v>#N/A</v>
      </c>
      <c r="AF72" s="630" t="str">
        <f t="shared" si="839"/>
        <v>#N/A</v>
      </c>
      <c r="AG72" s="630" t="str">
        <f t="shared" si="840"/>
        <v>#N/A</v>
      </c>
      <c r="AH72" s="630" t="str">
        <f t="shared" si="841"/>
        <v>#N/A</v>
      </c>
      <c r="AI72" s="630" t="str">
        <f t="shared" si="842"/>
        <v>#N/A</v>
      </c>
      <c r="AJ72" s="630" t="str">
        <f t="shared" si="843"/>
        <v>#N/A</v>
      </c>
      <c r="AK72" s="630" t="str">
        <f t="shared" si="844"/>
        <v>#N/A</v>
      </c>
      <c r="AL72" s="630" t="str">
        <f t="shared" si="845"/>
        <v>#N/A</v>
      </c>
      <c r="AM72" s="630" t="str">
        <f t="shared" si="846"/>
        <v>#N/A</v>
      </c>
      <c r="AN72" s="630" t="str">
        <f t="shared" si="847"/>
        <v>#N/A</v>
      </c>
      <c r="AO72" s="630" t="str">
        <f t="shared" si="848"/>
        <v>#N/A</v>
      </c>
      <c r="AP72" s="630" t="str">
        <f t="shared" si="849"/>
        <v>#N/A</v>
      </c>
      <c r="AQ72" s="630" t="str">
        <f t="shared" si="850"/>
        <v>#N/A</v>
      </c>
      <c r="AR72" s="630" t="str">
        <f t="shared" si="851"/>
        <v>#N/A</v>
      </c>
      <c r="AS72" s="630" t="str">
        <f t="shared" si="852"/>
        <v>#N/A</v>
      </c>
      <c r="AT72" s="630" t="str">
        <f t="shared" si="853"/>
        <v>#N/A</v>
      </c>
      <c r="AU72" s="630" t="str">
        <f t="shared" si="854"/>
        <v>#N/A</v>
      </c>
      <c r="AV72" s="630" t="str">
        <f t="shared" si="855"/>
        <v>#N/A</v>
      </c>
      <c r="AW72" s="630" t="str">
        <f t="shared" si="856"/>
        <v>#N/A</v>
      </c>
      <c r="AX72" s="630" t="str">
        <f t="shared" si="857"/>
        <v>#N/A</v>
      </c>
    </row>
    <row r="73" outlineLevel="1">
      <c r="A73" s="1448"/>
      <c r="B73" s="1440"/>
      <c r="C73" s="1449" t="s">
        <v>3081</v>
      </c>
      <c r="D73" s="1433" t="s">
        <v>3082</v>
      </c>
      <c r="E73" s="1450"/>
      <c r="F73" s="1450"/>
      <c r="G73" s="1450">
        <f>SUMIF(AC_TKNO,$C73,AC_SOTIEN)</f>
        <v>0</v>
      </c>
      <c r="H73" s="1450">
        <f>SUMIF(AC_TKCO,$C73,AC_SOTIEN)</f>
        <v>0</v>
      </c>
      <c r="I73" s="1450" t="str">
        <f t="shared" si="825"/>
        <v>-</v>
      </c>
      <c r="J73" s="1450" t="str">
        <f t="shared" si="826"/>
        <v>-</v>
      </c>
      <c r="K73" s="1443"/>
      <c r="L73" s="1443"/>
      <c r="M73" s="1444" t="str">
        <f t="shared" ref="M73:N73" si="858">S73</f>
        <v>#N/A</v>
      </c>
      <c r="N73" s="1444" t="str">
        <f t="shared" si="858"/>
        <v>#N/A</v>
      </c>
      <c r="O73" s="1444" t="str">
        <f t="shared" ref="O73:P73" si="859">W73</f>
        <v>#N/A</v>
      </c>
      <c r="P73" s="1444" t="str">
        <f t="shared" si="859"/>
        <v>#N/A</v>
      </c>
      <c r="Q73" s="1445" t="str">
        <f t="shared" ref="Q73:R73" si="860">AE73</f>
        <v>#N/A</v>
      </c>
      <c r="R73" s="1445" t="str">
        <f t="shared" si="860"/>
        <v>#N/A</v>
      </c>
      <c r="S73" s="1445" t="str">
        <f t="shared" ref="S73:T73" si="861">AK73</f>
        <v>#N/A</v>
      </c>
      <c r="T73" s="1445" t="str">
        <f t="shared" si="861"/>
        <v>#N/A</v>
      </c>
      <c r="U73" s="1445" t="str">
        <f t="shared" ref="U73:V73" si="862">AQ73</f>
        <v>#N/A</v>
      </c>
      <c r="V73" s="1445" t="str">
        <f t="shared" si="862"/>
        <v>#N/A</v>
      </c>
      <c r="W73" s="1445" t="str">
        <f t="shared" ref="W73:X73" si="863">AW73</f>
        <v>#N/A</v>
      </c>
      <c r="X73" s="1445" t="str">
        <f t="shared" si="863"/>
        <v>#N/A</v>
      </c>
      <c r="Y73" s="1447">
        <f t="shared" ref="Y73:AX73" si="864">SUM(Y74:Y80)</f>
        <v>0</v>
      </c>
      <c r="Z73" s="1447">
        <f t="shared" si="864"/>
        <v>0</v>
      </c>
      <c r="AA73" s="1447" t="str">
        <f t="shared" si="864"/>
        <v>#N/A</v>
      </c>
      <c r="AB73" s="1447" t="str">
        <f t="shared" si="864"/>
        <v>#N/A</v>
      </c>
      <c r="AC73" s="1447" t="str">
        <f t="shared" si="864"/>
        <v>#N/A</v>
      </c>
      <c r="AD73" s="1447" t="str">
        <f t="shared" si="864"/>
        <v>#N/A</v>
      </c>
      <c r="AE73" s="1447" t="str">
        <f t="shared" si="864"/>
        <v>#N/A</v>
      </c>
      <c r="AF73" s="1447" t="str">
        <f t="shared" si="864"/>
        <v>#N/A</v>
      </c>
      <c r="AG73" s="1447" t="str">
        <f t="shared" si="864"/>
        <v>#N/A</v>
      </c>
      <c r="AH73" s="1447" t="str">
        <f t="shared" si="864"/>
        <v>#N/A</v>
      </c>
      <c r="AI73" s="1447" t="str">
        <f t="shared" si="864"/>
        <v>#N/A</v>
      </c>
      <c r="AJ73" s="1447" t="str">
        <f t="shared" si="864"/>
        <v>#N/A</v>
      </c>
      <c r="AK73" s="1447" t="str">
        <f t="shared" si="864"/>
        <v>#N/A</v>
      </c>
      <c r="AL73" s="1447" t="str">
        <f t="shared" si="864"/>
        <v>#N/A</v>
      </c>
      <c r="AM73" s="1447" t="str">
        <f t="shared" si="864"/>
        <v>#N/A</v>
      </c>
      <c r="AN73" s="1447" t="str">
        <f t="shared" si="864"/>
        <v>#N/A</v>
      </c>
      <c r="AO73" s="1447" t="str">
        <f t="shared" si="864"/>
        <v>#N/A</v>
      </c>
      <c r="AP73" s="1447" t="str">
        <f t="shared" si="864"/>
        <v>#N/A</v>
      </c>
      <c r="AQ73" s="1447" t="str">
        <f t="shared" si="864"/>
        <v>#N/A</v>
      </c>
      <c r="AR73" s="1447" t="str">
        <f t="shared" si="864"/>
        <v>#N/A</v>
      </c>
      <c r="AS73" s="1447" t="str">
        <f t="shared" si="864"/>
        <v>#N/A</v>
      </c>
      <c r="AT73" s="1447" t="str">
        <f t="shared" si="864"/>
        <v>#N/A</v>
      </c>
      <c r="AU73" s="1447" t="str">
        <f t="shared" si="864"/>
        <v>#N/A</v>
      </c>
      <c r="AV73" s="1447" t="str">
        <f t="shared" si="864"/>
        <v>#N/A</v>
      </c>
      <c r="AW73" s="1447" t="str">
        <f t="shared" si="864"/>
        <v>#N/A</v>
      </c>
      <c r="AX73" s="1447" t="str">
        <f t="shared" si="864"/>
        <v>#N/A</v>
      </c>
    </row>
    <row r="74" outlineLevel="1">
      <c r="A74" s="1448"/>
      <c r="B74" s="1440"/>
      <c r="C74" s="1449" t="s">
        <v>3083</v>
      </c>
      <c r="D74" s="1433" t="s">
        <v>3084</v>
      </c>
      <c r="E74" s="1450"/>
      <c r="F74" s="1450"/>
      <c r="G74" s="1450">
        <f>SUMIF(AC_TKNO,$C74,AC_SOTIEN)</f>
        <v>0</v>
      </c>
      <c r="H74" s="1450">
        <f>SUMIF(AC_TKCO,$C74,AC_SOTIEN)</f>
        <v>0</v>
      </c>
      <c r="I74" s="1450" t="str">
        <f t="shared" si="825"/>
        <v>-</v>
      </c>
      <c r="J74" s="1450" t="str">
        <f t="shared" si="826"/>
        <v>-</v>
      </c>
      <c r="K74" s="1443"/>
      <c r="L74" s="1443"/>
      <c r="M74" s="1444" t="str">
        <f t="shared" ref="M74:N74" si="865">S74</f>
        <v>#N/A</v>
      </c>
      <c r="N74" s="1444" t="str">
        <f t="shared" si="865"/>
        <v>#N/A</v>
      </c>
      <c r="O74" s="1444" t="str">
        <f t="shared" ref="O74:P74" si="866">W74</f>
        <v>#N/A</v>
      </c>
      <c r="P74" s="1444" t="str">
        <f t="shared" si="866"/>
        <v>#N/A</v>
      </c>
      <c r="Q74" s="1445" t="str">
        <f t="shared" ref="Q74:R74" si="867">AE74</f>
        <v>#N/A</v>
      </c>
      <c r="R74" s="1445" t="str">
        <f t="shared" si="867"/>
        <v>#N/A</v>
      </c>
      <c r="S74" s="1445" t="str">
        <f t="shared" ref="S74:T74" si="868">AK74</f>
        <v>#N/A</v>
      </c>
      <c r="T74" s="1445" t="str">
        <f t="shared" si="868"/>
        <v>#N/A</v>
      </c>
      <c r="U74" s="1445" t="str">
        <f t="shared" ref="U74:V74" si="869">AQ74</f>
        <v>#N/A</v>
      </c>
      <c r="V74" s="1445" t="str">
        <f t="shared" si="869"/>
        <v>#N/A</v>
      </c>
      <c r="W74" s="1445" t="str">
        <f t="shared" ref="W74:X74" si="870">AW74</f>
        <v>#N/A</v>
      </c>
      <c r="X74" s="1445" t="str">
        <f t="shared" si="870"/>
        <v>#N/A</v>
      </c>
      <c r="Y74" s="630" t="str">
        <f t="shared" ref="Y74:Z74" si="871">E74</f>
        <v/>
      </c>
      <c r="Z74" s="630" t="str">
        <f t="shared" si="871"/>
        <v/>
      </c>
      <c r="AA74" s="630" t="str">
        <f t="shared" ref="AA74:AA80" si="879">IF(Y74+SUMIFS(PS_SOTIEN,PS_TKNO,$B72,PS_MONTH,AA$3)-Z74-SUMIFS(PS_SOTIEN,PS_TKCO,$B72,PS_MONTH,AA$3)&gt;0,Y74+SUMIFS(PS_SOTIEN,PS_TKNO,$B72,PS_MONTH,AA$3)-Z74-SUMIFS(PS_SOTIEN,PS_TKCO,$B72,PS_MONTH,AA$3),0)</f>
        <v>#N/A</v>
      </c>
      <c r="AB74" s="630" t="str">
        <f t="shared" ref="AB74:AB80" si="880">IF(Z74+SUMIFS(PS_SOTIEN,PS_TKCO,$B72,PS_MONTH,AA$3)-Y74-SUMIFS(PS_SOTIEN,PS_TKNO,$B72,PS_MONTH,AA$3)&gt;0,Z74+SUMIFS(PS_SOTIEN,PS_TKCO,$B72,PS_MONTH,AA$3)-Y74-SUMIFS(PS_SOTIEN,PS_TKNO,$B72,PS_MONTH,AA$3),0)</f>
        <v>#N/A</v>
      </c>
      <c r="AC74" s="630" t="str">
        <f t="shared" ref="AC74:AC80" si="881">IF(AA74+SUMIFS(PS_SOTIEN,PS_TKNO,$B72,PS_MONTH,AC$3)-AB74-SUMIFS(PS_SOTIEN,PS_TKCO,$B72,PS_MONTH,AC$3)&gt;0,AA74+SUMIFS(PS_SOTIEN,PS_TKNO,$B72,PS_MONTH,AC$3)-AB74-SUMIFS(PS_SOTIEN,PS_TKCO,$B72,PS_MONTH,AC$3),0)</f>
        <v>#N/A</v>
      </c>
      <c r="AD74" s="630" t="str">
        <f t="shared" ref="AD74:AD80" si="882">IF(AB74+SUMIFS(PS_SOTIEN,PS_TKCO,$B72,PS_MONTH,AC$3)-AA74-SUMIFS(PS_SOTIEN,PS_TKNO,$B72,PS_MONTH,AC$3)&gt;0,AB74+SUMIFS(PS_SOTIEN,PS_TKCO,$B72,PS_MONTH,AC$3)-AA74-SUMIFS(PS_SOTIEN,PS_TKNO,$B72,PS_MONTH,AC$3),0)</f>
        <v>#N/A</v>
      </c>
      <c r="AE74" s="630" t="str">
        <f t="shared" ref="AE74:AE80" si="883">IF(AC74+SUMIFS(PS_SOTIEN,PS_TKNO,$B72,PS_MONTH,AE$3)-AD74-SUMIFS(PS_SOTIEN,PS_TKCO,$B72,PS_MONTH,AE$3)&gt;0,AC74+SUMIFS(PS_SOTIEN,PS_TKNO,$B72,PS_MONTH,AE$3)-AD74-SUMIFS(PS_SOTIEN,PS_TKCO,$B72,PS_MONTH,AE$3),0)</f>
        <v>#N/A</v>
      </c>
      <c r="AF74" s="630" t="str">
        <f t="shared" ref="AF74:AF80" si="884">IF(AD74+SUMIFS(PS_SOTIEN,PS_TKCO,$B72,PS_MONTH,AE$3)-AC74-SUMIFS(PS_SOTIEN,PS_TKNO,$B72,PS_MONTH,AE$3)&gt;0,AD74+SUMIFS(PS_SOTIEN,PS_TKCO,$B72,PS_MONTH,AE$3)-AC74-SUMIFS(PS_SOTIEN,PS_TKNO,$B72,PS_MONTH,AE$3),0)</f>
        <v>#N/A</v>
      </c>
      <c r="AG74" s="630" t="str">
        <f t="shared" ref="AG74:AG80" si="885">IF(AE74+SUMIFS(PS_SOTIEN,PS_TKNO,$B72,PS_MONTH,AG$3)-AF74-SUMIFS(PS_SOTIEN,PS_TKCO,$B72,PS_MONTH,AG$3)&gt;0,AE74+SUMIFS(PS_SOTIEN,PS_TKNO,$B72,PS_MONTH,AG$3)-AF74-SUMIFS(PS_SOTIEN,PS_TKCO,$B72,PS_MONTH,AG$3),0)</f>
        <v>#N/A</v>
      </c>
      <c r="AH74" s="630" t="str">
        <f t="shared" ref="AH74:AH80" si="886">IF(AF74+SUMIFS(PS_SOTIEN,PS_TKCO,$B72,PS_MONTH,AG$3)-AE74-SUMIFS(PS_SOTIEN,PS_TKNO,$B72,PS_MONTH,AG$3)&gt;0,AF74+SUMIFS(PS_SOTIEN,PS_TKCO,$B72,PS_MONTH,AG$3)-AE74-SUMIFS(PS_SOTIEN,PS_TKNO,$B72,PS_MONTH,AG$3),0)</f>
        <v>#N/A</v>
      </c>
      <c r="AI74" s="630" t="str">
        <f t="shared" ref="AI74:AI80" si="887">IF(AG74+SUMIFS(PS_SOTIEN,PS_TKNO,$B72,PS_MONTH,AI$3)-AH74-SUMIFS(PS_SOTIEN,PS_TKCO,$B72,PS_MONTH,AI$3)&gt;0,AG74+SUMIFS(PS_SOTIEN,PS_TKNO,$B72,PS_MONTH,AI$3)-AH74-SUMIFS(PS_SOTIEN,PS_TKCO,$B72,PS_MONTH,AI$3),0)</f>
        <v>#N/A</v>
      </c>
      <c r="AJ74" s="630" t="str">
        <f t="shared" ref="AJ74:AJ80" si="888">IF(AH74+SUMIFS(PS_SOTIEN,PS_TKCO,$B72,PS_MONTH,AI$3)-AG74-SUMIFS(PS_SOTIEN,PS_TKNO,$B72,PS_MONTH,AI$3)&gt;0,AH74+SUMIFS(PS_SOTIEN,PS_TKCO,$B72,PS_MONTH,AI$3)-AG74-SUMIFS(PS_SOTIEN,PS_TKNO,$B72,PS_MONTH,AI$3),0)</f>
        <v>#N/A</v>
      </c>
      <c r="AK74" s="630" t="str">
        <f t="shared" ref="AK74:AK80" si="889">IF(AI74+SUMIFS(PS_SOTIEN,PS_TKNO,$B72,PS_MONTH,AK$3)-AJ74-SUMIFS(PS_SOTIEN,PS_TKCO,$B72,PS_MONTH,AK$3)&gt;0,AI74+SUMIFS(PS_SOTIEN,PS_TKNO,$B72,PS_MONTH,AK$3)-AJ74-SUMIFS(PS_SOTIEN,PS_TKCO,$B72,PS_MONTH,AK$3),0)</f>
        <v>#N/A</v>
      </c>
      <c r="AL74" s="630" t="str">
        <f t="shared" ref="AL74:AL80" si="890">IF(AJ74+SUMIFS(PS_SOTIEN,PS_TKCO,$B72,PS_MONTH,AK$3)-AI74-SUMIFS(PS_SOTIEN,PS_TKNO,$B72,PS_MONTH,AK$3)&gt;0,AJ74+SUMIFS(PS_SOTIEN,PS_TKCO,$B72,PS_MONTH,AK$3)-AI74-SUMIFS(PS_SOTIEN,PS_TKNO,$B72,PS_MONTH,AK$3),0)</f>
        <v>#N/A</v>
      </c>
      <c r="AM74" s="630" t="str">
        <f t="shared" ref="AM74:AM80" si="891">IF(AK74+SUMIFS(PS_SOTIEN,PS_TKNO,$B72,PS_MONTH,AM$3)-AL74-SUMIFS(PS_SOTIEN,PS_TKCO,$B72,PS_MONTH,AM$3)&gt;0,AK74+SUMIFS(PS_SOTIEN,PS_TKNO,$B72,PS_MONTH,AM$3)-AL74-SUMIFS(PS_SOTIEN,PS_TKCO,$B72,PS_MONTH,AM$3),0)</f>
        <v>#N/A</v>
      </c>
      <c r="AN74" s="630" t="str">
        <f t="shared" ref="AN74:AN80" si="892">IF(AL74+SUMIFS(PS_SOTIEN,PS_TKCO,$B72,PS_MONTH,AM$3)-AK74-SUMIFS(PS_SOTIEN,PS_TKNO,$B72,PS_MONTH,AM$3)&gt;0,AL74+SUMIFS(PS_SOTIEN,PS_TKCO,$B72,PS_MONTH,AM$3)-AK74-SUMIFS(PS_SOTIEN,PS_TKNO,$B72,PS_MONTH,AM$3),0)</f>
        <v>#N/A</v>
      </c>
      <c r="AO74" s="630" t="str">
        <f t="shared" ref="AO74:AO80" si="893">IF(AM74+SUMIFS(PS_SOTIEN,PS_TKNO,$B72,PS_MONTH,AO$3)-AN74-SUMIFS(PS_SOTIEN,PS_TKCO,$B72,PS_MONTH,AO$3)&gt;0,AM74+SUMIFS(PS_SOTIEN,PS_TKNO,$B72,PS_MONTH,AO$3)-AN74-SUMIFS(PS_SOTIEN,PS_TKCO,$B72,PS_MONTH,AO$3),0)</f>
        <v>#N/A</v>
      </c>
      <c r="AP74" s="630" t="str">
        <f t="shared" ref="AP74:AP80" si="894">IF(AN74+SUMIFS(PS_SOTIEN,PS_TKCO,$B72,PS_MONTH,AO$3)-AM74-SUMIFS(PS_SOTIEN,PS_TKNO,$B72,PS_MONTH,AO$3)&gt;0,AN74+SUMIFS(PS_SOTIEN,PS_TKCO,$B72,PS_MONTH,AO$3)-AM74-SUMIFS(PS_SOTIEN,PS_TKNO,$B72,PS_MONTH,AO$3),0)</f>
        <v>#N/A</v>
      </c>
      <c r="AQ74" s="630" t="str">
        <f t="shared" ref="AQ74:AQ80" si="895">IF(AO74+SUMIFS(PS_SOTIEN,PS_TKNO,$B72,PS_MONTH,AQ$3)-AP74-SUMIFS(PS_SOTIEN,PS_TKCO,$B72,PS_MONTH,AQ$3)&gt;0,AO74+SUMIFS(PS_SOTIEN,PS_TKNO,$B72,PS_MONTH,AQ$3)-AP74-SUMIFS(PS_SOTIEN,PS_TKCO,$B72,PS_MONTH,AQ$3),0)</f>
        <v>#N/A</v>
      </c>
      <c r="AR74" s="630" t="str">
        <f t="shared" ref="AR74:AR80" si="896">IF(AP74+SUMIFS(PS_SOTIEN,PS_TKCO,$B72,PS_MONTH,AQ$3)-AO74-SUMIFS(PS_SOTIEN,PS_TKNO,$B72,PS_MONTH,AQ$3)&gt;0,AP74+SUMIFS(PS_SOTIEN,PS_TKCO,$B72,PS_MONTH,AQ$3)-AO74-SUMIFS(PS_SOTIEN,PS_TKNO,$B72,PS_MONTH,AQ$3),0)</f>
        <v>#N/A</v>
      </c>
      <c r="AS74" s="630" t="str">
        <f t="shared" ref="AS74:AS80" si="897">IF(AQ74+SUMIFS(PS_SOTIEN,PS_TKNO,$B72,PS_MONTH,AS$3)-AR74-SUMIFS(PS_SOTIEN,PS_TKCO,$B72,PS_MONTH,AS$3)&gt;0,AQ74+SUMIFS(PS_SOTIEN,PS_TKNO,$B72,PS_MONTH,AS$3)-AR74-SUMIFS(PS_SOTIEN,PS_TKCO,$B72,PS_MONTH,AS$3),0)</f>
        <v>#N/A</v>
      </c>
      <c r="AT74" s="630" t="str">
        <f t="shared" ref="AT74:AT80" si="898">IF(AR74+SUMIFS(PS_SOTIEN,PS_TKCO,$B72,PS_MONTH,AS$3)-AQ74-SUMIFS(PS_SOTIEN,PS_TKNO,$B72,PS_MONTH,AS$3)&gt;0,AR74+SUMIFS(PS_SOTIEN,PS_TKCO,$B72,PS_MONTH,AS$3)-AQ74-SUMIFS(PS_SOTIEN,PS_TKNO,$B72,PS_MONTH,AS$3),0)</f>
        <v>#N/A</v>
      </c>
      <c r="AU74" s="630" t="str">
        <f t="shared" ref="AU74:AU80" si="899">IF(AS74+SUMIFS(PS_SOTIEN,PS_TKNO,$B72,PS_MONTH,AU$3)-AT74-SUMIFS(PS_SOTIEN,PS_TKCO,$B72,PS_MONTH,AU$3)&gt;0,AS74+SUMIFS(PS_SOTIEN,PS_TKNO,$B72,PS_MONTH,AU$3)-AT74-SUMIFS(PS_SOTIEN,PS_TKCO,$B72,PS_MONTH,AU$3),0)</f>
        <v>#N/A</v>
      </c>
      <c r="AV74" s="630" t="str">
        <f t="shared" ref="AV74:AV80" si="900">IF(AT74+SUMIFS(PS_SOTIEN,PS_TKCO,$B72,PS_MONTH,AU$3)-AS74-SUMIFS(PS_SOTIEN,PS_TKNO,$B72,PS_MONTH,AU$3)&gt;0,AT74+SUMIFS(PS_SOTIEN,PS_TKCO,$B72,PS_MONTH,AU$3)-AS74-SUMIFS(PS_SOTIEN,PS_TKNO,$B72,PS_MONTH,AU$3),0)</f>
        <v>#N/A</v>
      </c>
      <c r="AW74" s="630" t="str">
        <f t="shared" ref="AW74:AW80" si="901">IF(AU74+SUMIFS(PS_SOTIEN,PS_TKNO,$B72,PS_MONTH,AW$3)-AV74-SUMIFS(PS_SOTIEN,PS_TKCO,$B72,PS_MONTH,AW$3)&gt;0,AU74+SUMIFS(PS_SOTIEN,PS_TKNO,$B72,PS_MONTH,AW$3)-AV74-SUMIFS(PS_SOTIEN,PS_TKCO,$B72,PS_MONTH,AW$3),0)</f>
        <v>#N/A</v>
      </c>
      <c r="AX74" s="630" t="str">
        <f t="shared" ref="AX74:AX80" si="902">IF(AV74+SUMIFS(PS_SOTIEN,PS_TKCO,$B72,PS_MONTH,AW$3)-AU74-SUMIFS(PS_SOTIEN,PS_TKNO,$B72,PS_MONTH,AW$3)&gt;0,AV74+SUMIFS(PS_SOTIEN,PS_TKCO,$B72,PS_MONTH,AW$3)-AU74-SUMIFS(PS_SOTIEN,PS_TKNO,$B72,PS_MONTH,AW$3),0)</f>
        <v>#N/A</v>
      </c>
    </row>
    <row r="75" outlineLevel="1">
      <c r="A75" s="1448"/>
      <c r="B75" s="1440"/>
      <c r="C75" s="1449" t="s">
        <v>3085</v>
      </c>
      <c r="D75" s="1433" t="s">
        <v>3086</v>
      </c>
      <c r="E75" s="1450"/>
      <c r="F75" s="1450"/>
      <c r="G75" s="1450">
        <f>SUMIF(AC_TKNO,$C75,AC_SOTIEN)</f>
        <v>0</v>
      </c>
      <c r="H75" s="1450">
        <f>SUMIF(AC_TKCO,$C75,AC_SOTIEN)</f>
        <v>0</v>
      </c>
      <c r="I75" s="1450" t="str">
        <f t="shared" si="825"/>
        <v>-</v>
      </c>
      <c r="J75" s="1450" t="str">
        <f t="shared" si="826"/>
        <v>-</v>
      </c>
      <c r="K75" s="1443"/>
      <c r="L75" s="1443"/>
      <c r="M75" s="1444" t="str">
        <f t="shared" ref="M75:N75" si="872">S75</f>
        <v>#N/A</v>
      </c>
      <c r="N75" s="1444" t="str">
        <f t="shared" si="872"/>
        <v>#N/A</v>
      </c>
      <c r="O75" s="1444" t="str">
        <f t="shared" ref="O75:P75" si="873">W75</f>
        <v>#N/A</v>
      </c>
      <c r="P75" s="1444" t="str">
        <f t="shared" si="873"/>
        <v>#N/A</v>
      </c>
      <c r="Q75" s="1445" t="str">
        <f t="shared" ref="Q75:R75" si="874">AE75</f>
        <v>#N/A</v>
      </c>
      <c r="R75" s="1445" t="str">
        <f t="shared" si="874"/>
        <v>#N/A</v>
      </c>
      <c r="S75" s="1445" t="str">
        <f t="shared" ref="S75:T75" si="875">AK75</f>
        <v>#N/A</v>
      </c>
      <c r="T75" s="1445" t="str">
        <f t="shared" si="875"/>
        <v>#N/A</v>
      </c>
      <c r="U75" s="1445" t="str">
        <f t="shared" ref="U75:V75" si="876">AQ75</f>
        <v>#N/A</v>
      </c>
      <c r="V75" s="1445" t="str">
        <f t="shared" si="876"/>
        <v>#N/A</v>
      </c>
      <c r="W75" s="1445" t="str">
        <f t="shared" ref="W75:X75" si="877">AW75</f>
        <v>#N/A</v>
      </c>
      <c r="X75" s="1445" t="str">
        <f t="shared" si="877"/>
        <v>#N/A</v>
      </c>
      <c r="Y75" s="630" t="str">
        <f t="shared" ref="Y75:Z75" si="878">E75</f>
        <v/>
      </c>
      <c r="Z75" s="630" t="str">
        <f t="shared" si="878"/>
        <v/>
      </c>
      <c r="AA75" s="630" t="str">
        <f t="shared" si="879"/>
        <v>#N/A</v>
      </c>
      <c r="AB75" s="630" t="str">
        <f t="shared" si="880"/>
        <v>#N/A</v>
      </c>
      <c r="AC75" s="630" t="str">
        <f t="shared" si="881"/>
        <v>#N/A</v>
      </c>
      <c r="AD75" s="630" t="str">
        <f t="shared" si="882"/>
        <v>#N/A</v>
      </c>
      <c r="AE75" s="630" t="str">
        <f t="shared" si="883"/>
        <v>#N/A</v>
      </c>
      <c r="AF75" s="630" t="str">
        <f t="shared" si="884"/>
        <v>#N/A</v>
      </c>
      <c r="AG75" s="630" t="str">
        <f t="shared" si="885"/>
        <v>#N/A</v>
      </c>
      <c r="AH75" s="630" t="str">
        <f t="shared" si="886"/>
        <v>#N/A</v>
      </c>
      <c r="AI75" s="630" t="str">
        <f t="shared" si="887"/>
        <v>#N/A</v>
      </c>
      <c r="AJ75" s="630" t="str">
        <f t="shared" si="888"/>
        <v>#N/A</v>
      </c>
      <c r="AK75" s="630" t="str">
        <f t="shared" si="889"/>
        <v>#N/A</v>
      </c>
      <c r="AL75" s="630" t="str">
        <f t="shared" si="890"/>
        <v>#N/A</v>
      </c>
      <c r="AM75" s="630" t="str">
        <f t="shared" si="891"/>
        <v>#N/A</v>
      </c>
      <c r="AN75" s="630" t="str">
        <f t="shared" si="892"/>
        <v>#N/A</v>
      </c>
      <c r="AO75" s="630" t="str">
        <f t="shared" si="893"/>
        <v>#N/A</v>
      </c>
      <c r="AP75" s="630" t="str">
        <f t="shared" si="894"/>
        <v>#N/A</v>
      </c>
      <c r="AQ75" s="630" t="str">
        <f t="shared" si="895"/>
        <v>#N/A</v>
      </c>
      <c r="AR75" s="630" t="str">
        <f t="shared" si="896"/>
        <v>#N/A</v>
      </c>
      <c r="AS75" s="630" t="str">
        <f t="shared" si="897"/>
        <v>#N/A</v>
      </c>
      <c r="AT75" s="630" t="str">
        <f t="shared" si="898"/>
        <v>#N/A</v>
      </c>
      <c r="AU75" s="630" t="str">
        <f t="shared" si="899"/>
        <v>#N/A</v>
      </c>
      <c r="AV75" s="630" t="str">
        <f t="shared" si="900"/>
        <v>#N/A</v>
      </c>
      <c r="AW75" s="630" t="str">
        <f t="shared" si="901"/>
        <v>#N/A</v>
      </c>
      <c r="AX75" s="630" t="str">
        <f t="shared" si="902"/>
        <v>#N/A</v>
      </c>
    </row>
    <row r="76" outlineLevel="1">
      <c r="A76" s="1448"/>
      <c r="B76" s="1440"/>
      <c r="C76" s="1449" t="s">
        <v>3087</v>
      </c>
      <c r="D76" s="1433" t="s">
        <v>3088</v>
      </c>
      <c r="E76" s="1450"/>
      <c r="F76" s="1450"/>
      <c r="G76" s="1450">
        <f>SUMIF(AC_TKNO,$C76,AC_SOTIEN)</f>
        <v>0</v>
      </c>
      <c r="H76" s="1450">
        <f>SUMIF(AC_TKCO,$C76,AC_SOTIEN)</f>
        <v>0</v>
      </c>
      <c r="I76" s="1450" t="str">
        <f t="shared" si="825"/>
        <v>-</v>
      </c>
      <c r="J76" s="1450" t="str">
        <f t="shared" si="826"/>
        <v>-</v>
      </c>
      <c r="K76" s="1443"/>
      <c r="L76" s="1443"/>
      <c r="M76" s="1444" t="str">
        <f t="shared" ref="M76:N76" si="903">S76</f>
        <v>#N/A</v>
      </c>
      <c r="N76" s="1444" t="str">
        <f t="shared" si="903"/>
        <v>#N/A</v>
      </c>
      <c r="O76" s="1444" t="str">
        <f t="shared" ref="O76:P76" si="904">W76</f>
        <v>#N/A</v>
      </c>
      <c r="P76" s="1444" t="str">
        <f t="shared" si="904"/>
        <v>#N/A</v>
      </c>
      <c r="Q76" s="1445" t="str">
        <f t="shared" ref="Q76:R76" si="905">AE76</f>
        <v>#N/A</v>
      </c>
      <c r="R76" s="1445" t="str">
        <f t="shared" si="905"/>
        <v>#N/A</v>
      </c>
      <c r="S76" s="1445" t="str">
        <f t="shared" ref="S76:T76" si="906">AK76</f>
        <v>#N/A</v>
      </c>
      <c r="T76" s="1445" t="str">
        <f t="shared" si="906"/>
        <v>#N/A</v>
      </c>
      <c r="U76" s="1445" t="str">
        <f t="shared" ref="U76:V76" si="907">AQ76</f>
        <v>#N/A</v>
      </c>
      <c r="V76" s="1445" t="str">
        <f t="shared" si="907"/>
        <v>#N/A</v>
      </c>
      <c r="W76" s="1445" t="str">
        <f t="shared" ref="W76:X76" si="908">AW76</f>
        <v>#N/A</v>
      </c>
      <c r="X76" s="1445" t="str">
        <f t="shared" si="908"/>
        <v>#N/A</v>
      </c>
      <c r="Y76" s="630" t="str">
        <f t="shared" ref="Y76:Z76" si="909">E76</f>
        <v/>
      </c>
      <c r="Z76" s="630" t="str">
        <f t="shared" si="909"/>
        <v/>
      </c>
      <c r="AA76" s="630" t="str">
        <f t="shared" si="879"/>
        <v>#N/A</v>
      </c>
      <c r="AB76" s="630" t="str">
        <f t="shared" si="880"/>
        <v>#N/A</v>
      </c>
      <c r="AC76" s="630" t="str">
        <f t="shared" si="881"/>
        <v>#N/A</v>
      </c>
      <c r="AD76" s="630" t="str">
        <f t="shared" si="882"/>
        <v>#N/A</v>
      </c>
      <c r="AE76" s="630" t="str">
        <f t="shared" si="883"/>
        <v>#N/A</v>
      </c>
      <c r="AF76" s="630" t="str">
        <f t="shared" si="884"/>
        <v>#N/A</v>
      </c>
      <c r="AG76" s="630" t="str">
        <f t="shared" si="885"/>
        <v>#N/A</v>
      </c>
      <c r="AH76" s="630" t="str">
        <f t="shared" si="886"/>
        <v>#N/A</v>
      </c>
      <c r="AI76" s="630" t="str">
        <f t="shared" si="887"/>
        <v>#N/A</v>
      </c>
      <c r="AJ76" s="630" t="str">
        <f t="shared" si="888"/>
        <v>#N/A</v>
      </c>
      <c r="AK76" s="630" t="str">
        <f t="shared" si="889"/>
        <v>#N/A</v>
      </c>
      <c r="AL76" s="630" t="str">
        <f t="shared" si="890"/>
        <v>#N/A</v>
      </c>
      <c r="AM76" s="630" t="str">
        <f t="shared" si="891"/>
        <v>#N/A</v>
      </c>
      <c r="AN76" s="630" t="str">
        <f t="shared" si="892"/>
        <v>#N/A</v>
      </c>
      <c r="AO76" s="630" t="str">
        <f t="shared" si="893"/>
        <v>#N/A</v>
      </c>
      <c r="AP76" s="630" t="str">
        <f t="shared" si="894"/>
        <v>#N/A</v>
      </c>
      <c r="AQ76" s="630" t="str">
        <f t="shared" si="895"/>
        <v>#N/A</v>
      </c>
      <c r="AR76" s="630" t="str">
        <f t="shared" si="896"/>
        <v>#N/A</v>
      </c>
      <c r="AS76" s="630" t="str">
        <f t="shared" si="897"/>
        <v>#N/A</v>
      </c>
      <c r="AT76" s="630" t="str">
        <f t="shared" si="898"/>
        <v>#N/A</v>
      </c>
      <c r="AU76" s="630" t="str">
        <f t="shared" si="899"/>
        <v>#N/A</v>
      </c>
      <c r="AV76" s="630" t="str">
        <f t="shared" si="900"/>
        <v>#N/A</v>
      </c>
      <c r="AW76" s="630" t="str">
        <f t="shared" si="901"/>
        <v>#N/A</v>
      </c>
      <c r="AX76" s="630" t="str">
        <f t="shared" si="902"/>
        <v>#N/A</v>
      </c>
    </row>
    <row r="77" outlineLevel="1">
      <c r="A77" s="1448"/>
      <c r="B77" s="1440"/>
      <c r="C77" s="1449" t="s">
        <v>3089</v>
      </c>
      <c r="D77" s="1433" t="s">
        <v>3090</v>
      </c>
      <c r="E77" s="1450"/>
      <c r="F77" s="1450"/>
      <c r="G77" s="1450">
        <f>SUMIF(AC_TKNO,$C77,AC_SOTIEN)</f>
        <v>0</v>
      </c>
      <c r="H77" s="1450">
        <f>SUMIF(AC_TKCO,$C77,AC_SOTIEN)</f>
        <v>0</v>
      </c>
      <c r="I77" s="1450" t="str">
        <f t="shared" si="825"/>
        <v>-</v>
      </c>
      <c r="J77" s="1450" t="str">
        <f t="shared" si="826"/>
        <v>-</v>
      </c>
      <c r="K77" s="1443"/>
      <c r="L77" s="1443"/>
      <c r="M77" s="1444" t="str">
        <f t="shared" ref="M77:N77" si="910">S77</f>
        <v>#N/A</v>
      </c>
      <c r="N77" s="1444" t="str">
        <f t="shared" si="910"/>
        <v>#N/A</v>
      </c>
      <c r="O77" s="1444" t="str">
        <f t="shared" ref="O77:P77" si="911">W77</f>
        <v>#N/A</v>
      </c>
      <c r="P77" s="1444" t="str">
        <f t="shared" si="911"/>
        <v>#N/A</v>
      </c>
      <c r="Q77" s="1445" t="str">
        <f t="shared" ref="Q77:R77" si="912">AE77</f>
        <v>#N/A</v>
      </c>
      <c r="R77" s="1445" t="str">
        <f t="shared" si="912"/>
        <v>#N/A</v>
      </c>
      <c r="S77" s="1445" t="str">
        <f t="shared" ref="S77:T77" si="913">AK77</f>
        <v>#N/A</v>
      </c>
      <c r="T77" s="1445" t="str">
        <f t="shared" si="913"/>
        <v>#N/A</v>
      </c>
      <c r="U77" s="1445" t="str">
        <f t="shared" ref="U77:V77" si="914">AQ77</f>
        <v>#N/A</v>
      </c>
      <c r="V77" s="1445" t="str">
        <f t="shared" si="914"/>
        <v>#N/A</v>
      </c>
      <c r="W77" s="1445" t="str">
        <f t="shared" ref="W77:X77" si="915">AW77</f>
        <v>#N/A</v>
      </c>
      <c r="X77" s="1445" t="str">
        <f t="shared" si="915"/>
        <v>#N/A</v>
      </c>
      <c r="Y77" s="630" t="str">
        <f t="shared" ref="Y77:Z77" si="916">E77</f>
        <v/>
      </c>
      <c r="Z77" s="630" t="str">
        <f t="shared" si="916"/>
        <v/>
      </c>
      <c r="AA77" s="630" t="str">
        <f t="shared" si="879"/>
        <v>#N/A</v>
      </c>
      <c r="AB77" s="630" t="str">
        <f t="shared" si="880"/>
        <v>#N/A</v>
      </c>
      <c r="AC77" s="630" t="str">
        <f t="shared" si="881"/>
        <v>#N/A</v>
      </c>
      <c r="AD77" s="630" t="str">
        <f t="shared" si="882"/>
        <v>#N/A</v>
      </c>
      <c r="AE77" s="630" t="str">
        <f t="shared" si="883"/>
        <v>#N/A</v>
      </c>
      <c r="AF77" s="630" t="str">
        <f t="shared" si="884"/>
        <v>#N/A</v>
      </c>
      <c r="AG77" s="630" t="str">
        <f t="shared" si="885"/>
        <v>#N/A</v>
      </c>
      <c r="AH77" s="630" t="str">
        <f t="shared" si="886"/>
        <v>#N/A</v>
      </c>
      <c r="AI77" s="630" t="str">
        <f t="shared" si="887"/>
        <v>#N/A</v>
      </c>
      <c r="AJ77" s="630" t="str">
        <f t="shared" si="888"/>
        <v>#N/A</v>
      </c>
      <c r="AK77" s="630" t="str">
        <f t="shared" si="889"/>
        <v>#N/A</v>
      </c>
      <c r="AL77" s="630" t="str">
        <f t="shared" si="890"/>
        <v>#N/A</v>
      </c>
      <c r="AM77" s="630" t="str">
        <f t="shared" si="891"/>
        <v>#N/A</v>
      </c>
      <c r="AN77" s="630" t="str">
        <f t="shared" si="892"/>
        <v>#N/A</v>
      </c>
      <c r="AO77" s="630" t="str">
        <f t="shared" si="893"/>
        <v>#N/A</v>
      </c>
      <c r="AP77" s="630" t="str">
        <f t="shared" si="894"/>
        <v>#N/A</v>
      </c>
      <c r="AQ77" s="630" t="str">
        <f t="shared" si="895"/>
        <v>#N/A</v>
      </c>
      <c r="AR77" s="630" t="str">
        <f t="shared" si="896"/>
        <v>#N/A</v>
      </c>
      <c r="AS77" s="630" t="str">
        <f t="shared" si="897"/>
        <v>#N/A</v>
      </c>
      <c r="AT77" s="630" t="str">
        <f t="shared" si="898"/>
        <v>#N/A</v>
      </c>
      <c r="AU77" s="630" t="str">
        <f t="shared" si="899"/>
        <v>#N/A</v>
      </c>
      <c r="AV77" s="630" t="str">
        <f t="shared" si="900"/>
        <v>#N/A</v>
      </c>
      <c r="AW77" s="630" t="str">
        <f t="shared" si="901"/>
        <v>#N/A</v>
      </c>
      <c r="AX77" s="630" t="str">
        <f t="shared" si="902"/>
        <v>#N/A</v>
      </c>
    </row>
    <row r="78" outlineLevel="1">
      <c r="A78" s="1452" t="s">
        <v>2986</v>
      </c>
      <c r="B78" s="1439" t="s">
        <v>3091</v>
      </c>
      <c r="C78" s="1440"/>
      <c r="D78" s="1441" t="s">
        <v>1376</v>
      </c>
      <c r="E78" s="1442">
        <f t="shared" ref="E78:J78" si="917">SUM(E79:E82)</f>
        <v>0</v>
      </c>
      <c r="F78" s="1442">
        <f t="shared" si="917"/>
        <v>0</v>
      </c>
      <c r="G78" s="1442">
        <f t="shared" si="917"/>
        <v>0</v>
      </c>
      <c r="H78" s="1442">
        <f t="shared" si="917"/>
        <v>0</v>
      </c>
      <c r="I78" s="1442">
        <f t="shared" si="917"/>
        <v>0</v>
      </c>
      <c r="J78" s="1442">
        <f t="shared" si="917"/>
        <v>0</v>
      </c>
      <c r="K78" s="1443"/>
      <c r="L78" s="1443"/>
      <c r="M78" s="1444" t="str">
        <f t="shared" ref="M78:N78" si="918">S78</f>
        <v>#N/A</v>
      </c>
      <c r="N78" s="1444" t="str">
        <f t="shared" si="918"/>
        <v>#N/A</v>
      </c>
      <c r="O78" s="1444" t="str">
        <f t="shared" ref="O78:P78" si="919">W78</f>
        <v>#N/A</v>
      </c>
      <c r="P78" s="1444" t="str">
        <f t="shared" si="919"/>
        <v>#N/A</v>
      </c>
      <c r="Q78" s="1445" t="str">
        <f t="shared" ref="Q78:R78" si="920">AE78</f>
        <v>#N/A</v>
      </c>
      <c r="R78" s="1445" t="str">
        <f t="shared" si="920"/>
        <v>#N/A</v>
      </c>
      <c r="S78" s="1445" t="str">
        <f t="shared" ref="S78:T78" si="921">AK78</f>
        <v>#N/A</v>
      </c>
      <c r="T78" s="1445" t="str">
        <f t="shared" si="921"/>
        <v>#N/A</v>
      </c>
      <c r="U78" s="1445" t="str">
        <f t="shared" ref="U78:V78" si="922">AQ78</f>
        <v>#N/A</v>
      </c>
      <c r="V78" s="1445" t="str">
        <f t="shared" si="922"/>
        <v>#N/A</v>
      </c>
      <c r="W78" s="1445" t="str">
        <f t="shared" ref="W78:X78" si="923">AW78</f>
        <v>#N/A</v>
      </c>
      <c r="X78" s="1445" t="str">
        <f t="shared" si="923"/>
        <v>#N/A</v>
      </c>
      <c r="Y78" s="630">
        <f t="shared" ref="Y78:Z78" si="924">E78</f>
        <v>0</v>
      </c>
      <c r="Z78" s="630">
        <f t="shared" si="924"/>
        <v>0</v>
      </c>
      <c r="AA78" s="630" t="str">
        <f t="shared" si="879"/>
        <v>#N/A</v>
      </c>
      <c r="AB78" s="630" t="str">
        <f t="shared" si="880"/>
        <v>#N/A</v>
      </c>
      <c r="AC78" s="630" t="str">
        <f t="shared" si="881"/>
        <v>#N/A</v>
      </c>
      <c r="AD78" s="630" t="str">
        <f t="shared" si="882"/>
        <v>#N/A</v>
      </c>
      <c r="AE78" s="630" t="str">
        <f t="shared" si="883"/>
        <v>#N/A</v>
      </c>
      <c r="AF78" s="630" t="str">
        <f t="shared" si="884"/>
        <v>#N/A</v>
      </c>
      <c r="AG78" s="630" t="str">
        <f t="shared" si="885"/>
        <v>#N/A</v>
      </c>
      <c r="AH78" s="630" t="str">
        <f t="shared" si="886"/>
        <v>#N/A</v>
      </c>
      <c r="AI78" s="630" t="str">
        <f t="shared" si="887"/>
        <v>#N/A</v>
      </c>
      <c r="AJ78" s="630" t="str">
        <f t="shared" si="888"/>
        <v>#N/A</v>
      </c>
      <c r="AK78" s="630" t="str">
        <f t="shared" si="889"/>
        <v>#N/A</v>
      </c>
      <c r="AL78" s="630" t="str">
        <f t="shared" si="890"/>
        <v>#N/A</v>
      </c>
      <c r="AM78" s="630" t="str">
        <f t="shared" si="891"/>
        <v>#N/A</v>
      </c>
      <c r="AN78" s="630" t="str">
        <f t="shared" si="892"/>
        <v>#N/A</v>
      </c>
      <c r="AO78" s="630" t="str">
        <f t="shared" si="893"/>
        <v>#N/A</v>
      </c>
      <c r="AP78" s="630" t="str">
        <f t="shared" si="894"/>
        <v>#N/A</v>
      </c>
      <c r="AQ78" s="630" t="str">
        <f t="shared" si="895"/>
        <v>#N/A</v>
      </c>
      <c r="AR78" s="630" t="str">
        <f t="shared" si="896"/>
        <v>#N/A</v>
      </c>
      <c r="AS78" s="630" t="str">
        <f t="shared" si="897"/>
        <v>#N/A</v>
      </c>
      <c r="AT78" s="630" t="str">
        <f t="shared" si="898"/>
        <v>#N/A</v>
      </c>
      <c r="AU78" s="630" t="str">
        <f t="shared" si="899"/>
        <v>#N/A</v>
      </c>
      <c r="AV78" s="630" t="str">
        <f t="shared" si="900"/>
        <v>#N/A</v>
      </c>
      <c r="AW78" s="630" t="str">
        <f t="shared" si="901"/>
        <v>#N/A</v>
      </c>
      <c r="AX78" s="630" t="str">
        <f t="shared" si="902"/>
        <v>#N/A</v>
      </c>
    </row>
    <row r="79" outlineLevel="1">
      <c r="A79" s="1448"/>
      <c r="B79" s="1440"/>
      <c r="C79" s="1449" t="s">
        <v>1378</v>
      </c>
      <c r="D79" s="1433" t="s">
        <v>1379</v>
      </c>
      <c r="E79" s="1450"/>
      <c r="F79" s="1450"/>
      <c r="G79" s="1450">
        <f>SUMIF(AC_TKNO,$C79,AC_SOTIEN)</f>
        <v>0</v>
      </c>
      <c r="H79" s="1450">
        <f>SUMIF(AC_TKCO,$C79,AC_SOTIEN)</f>
        <v>0</v>
      </c>
      <c r="I79" s="1450" t="str">
        <f t="shared" ref="I79:I85" si="932">IF(E79+G79-F79-H79&gt;0,E79+G79-F79-H79,"-")</f>
        <v>-</v>
      </c>
      <c r="J79" s="1450" t="str">
        <f t="shared" ref="J79:J85" si="933">IF(F79+H79-E79-G79&gt;0,F79+H79-E79-G79,"-")</f>
        <v>-</v>
      </c>
      <c r="K79" s="1443"/>
      <c r="L79" s="1443"/>
      <c r="M79" s="1444" t="str">
        <f t="shared" ref="M79:N79" si="925">S79</f>
        <v>#N/A</v>
      </c>
      <c r="N79" s="1444" t="str">
        <f t="shared" si="925"/>
        <v>#N/A</v>
      </c>
      <c r="O79" s="1444" t="str">
        <f t="shared" ref="O79:P79" si="926">W79</f>
        <v>#N/A</v>
      </c>
      <c r="P79" s="1444" t="str">
        <f t="shared" si="926"/>
        <v>#N/A</v>
      </c>
      <c r="Q79" s="1445" t="str">
        <f t="shared" ref="Q79:R79" si="927">AE79</f>
        <v>#N/A</v>
      </c>
      <c r="R79" s="1445" t="str">
        <f t="shared" si="927"/>
        <v>#N/A</v>
      </c>
      <c r="S79" s="1445" t="str">
        <f t="shared" ref="S79:T79" si="928">AK79</f>
        <v>#N/A</v>
      </c>
      <c r="T79" s="1445" t="str">
        <f t="shared" si="928"/>
        <v>#N/A</v>
      </c>
      <c r="U79" s="1445" t="str">
        <f t="shared" ref="U79:V79" si="929">AQ79</f>
        <v>#N/A</v>
      </c>
      <c r="V79" s="1445" t="str">
        <f t="shared" si="929"/>
        <v>#N/A</v>
      </c>
      <c r="W79" s="1445" t="str">
        <f t="shared" ref="W79:X79" si="930">AW79</f>
        <v>#N/A</v>
      </c>
      <c r="X79" s="1445" t="str">
        <f t="shared" si="930"/>
        <v>#N/A</v>
      </c>
      <c r="Y79" s="630" t="str">
        <f t="shared" ref="Y79:Z79" si="931">E79</f>
        <v/>
      </c>
      <c r="Z79" s="630" t="str">
        <f t="shared" si="931"/>
        <v/>
      </c>
      <c r="AA79" s="630" t="str">
        <f t="shared" si="879"/>
        <v>#N/A</v>
      </c>
      <c r="AB79" s="630" t="str">
        <f t="shared" si="880"/>
        <v>#N/A</v>
      </c>
      <c r="AC79" s="630" t="str">
        <f t="shared" si="881"/>
        <v>#N/A</v>
      </c>
      <c r="AD79" s="630" t="str">
        <f t="shared" si="882"/>
        <v>#N/A</v>
      </c>
      <c r="AE79" s="630" t="str">
        <f t="shared" si="883"/>
        <v>#N/A</v>
      </c>
      <c r="AF79" s="630" t="str">
        <f t="shared" si="884"/>
        <v>#N/A</v>
      </c>
      <c r="AG79" s="630" t="str">
        <f t="shared" si="885"/>
        <v>#N/A</v>
      </c>
      <c r="AH79" s="630" t="str">
        <f t="shared" si="886"/>
        <v>#N/A</v>
      </c>
      <c r="AI79" s="630" t="str">
        <f t="shared" si="887"/>
        <v>#N/A</v>
      </c>
      <c r="AJ79" s="630" t="str">
        <f t="shared" si="888"/>
        <v>#N/A</v>
      </c>
      <c r="AK79" s="630" t="str">
        <f t="shared" si="889"/>
        <v>#N/A</v>
      </c>
      <c r="AL79" s="630" t="str">
        <f t="shared" si="890"/>
        <v>#N/A</v>
      </c>
      <c r="AM79" s="630" t="str">
        <f t="shared" si="891"/>
        <v>#N/A</v>
      </c>
      <c r="AN79" s="630" t="str">
        <f t="shared" si="892"/>
        <v>#N/A</v>
      </c>
      <c r="AO79" s="630" t="str">
        <f t="shared" si="893"/>
        <v>#N/A</v>
      </c>
      <c r="AP79" s="630" t="str">
        <f t="shared" si="894"/>
        <v>#N/A</v>
      </c>
      <c r="AQ79" s="630" t="str">
        <f t="shared" si="895"/>
        <v>#N/A</v>
      </c>
      <c r="AR79" s="630" t="str">
        <f t="shared" si="896"/>
        <v>#N/A</v>
      </c>
      <c r="AS79" s="630" t="str">
        <f t="shared" si="897"/>
        <v>#N/A</v>
      </c>
      <c r="AT79" s="630" t="str">
        <f t="shared" si="898"/>
        <v>#N/A</v>
      </c>
      <c r="AU79" s="630" t="str">
        <f t="shared" si="899"/>
        <v>#N/A</v>
      </c>
      <c r="AV79" s="630" t="str">
        <f t="shared" si="900"/>
        <v>#N/A</v>
      </c>
      <c r="AW79" s="630" t="str">
        <f t="shared" si="901"/>
        <v>#N/A</v>
      </c>
      <c r="AX79" s="630" t="str">
        <f t="shared" si="902"/>
        <v>#N/A</v>
      </c>
    </row>
    <row r="80" outlineLevel="1">
      <c r="A80" s="1448"/>
      <c r="B80" s="1440"/>
      <c r="C80" s="1449" t="s">
        <v>1380</v>
      </c>
      <c r="D80" s="1433" t="s">
        <v>1381</v>
      </c>
      <c r="E80" s="1450"/>
      <c r="F80" s="1450"/>
      <c r="G80" s="1450">
        <f>SUMIF(AC_TKNO,$C80,AC_SOTIEN)</f>
        <v>0</v>
      </c>
      <c r="H80" s="1450">
        <f>SUMIF(AC_TKCO,$C80,AC_SOTIEN)</f>
        <v>0</v>
      </c>
      <c r="I80" s="1450" t="str">
        <f t="shared" si="932"/>
        <v>-</v>
      </c>
      <c r="J80" s="1450" t="str">
        <f t="shared" si="933"/>
        <v>-</v>
      </c>
      <c r="K80" s="1443"/>
      <c r="L80" s="1443"/>
      <c r="M80" s="1444" t="str">
        <f t="shared" ref="M80:N80" si="934">S80</f>
        <v>#N/A</v>
      </c>
      <c r="N80" s="1444" t="str">
        <f t="shared" si="934"/>
        <v>#N/A</v>
      </c>
      <c r="O80" s="1444" t="str">
        <f t="shared" ref="O80:P80" si="935">W80</f>
        <v>#N/A</v>
      </c>
      <c r="P80" s="1444" t="str">
        <f t="shared" si="935"/>
        <v>#N/A</v>
      </c>
      <c r="Q80" s="1445" t="str">
        <f t="shared" ref="Q80:R80" si="936">AE80</f>
        <v>#N/A</v>
      </c>
      <c r="R80" s="1445" t="str">
        <f t="shared" si="936"/>
        <v>#N/A</v>
      </c>
      <c r="S80" s="1445" t="str">
        <f t="shared" ref="S80:T80" si="937">AK80</f>
        <v>#N/A</v>
      </c>
      <c r="T80" s="1445" t="str">
        <f t="shared" si="937"/>
        <v>#N/A</v>
      </c>
      <c r="U80" s="1445" t="str">
        <f t="shared" ref="U80:V80" si="938">AQ80</f>
        <v>#N/A</v>
      </c>
      <c r="V80" s="1445" t="str">
        <f t="shared" si="938"/>
        <v>#N/A</v>
      </c>
      <c r="W80" s="1445" t="str">
        <f t="shared" ref="W80:X80" si="939">AW80</f>
        <v>#N/A</v>
      </c>
      <c r="X80" s="1445" t="str">
        <f t="shared" si="939"/>
        <v>#N/A</v>
      </c>
      <c r="Y80" s="630" t="str">
        <f t="shared" ref="Y80:Z80" si="940">E80</f>
        <v/>
      </c>
      <c r="Z80" s="630" t="str">
        <f t="shared" si="940"/>
        <v/>
      </c>
      <c r="AA80" s="630" t="str">
        <f t="shared" si="879"/>
        <v>#N/A</v>
      </c>
      <c r="AB80" s="630" t="str">
        <f t="shared" si="880"/>
        <v>#N/A</v>
      </c>
      <c r="AC80" s="630" t="str">
        <f t="shared" si="881"/>
        <v>#N/A</v>
      </c>
      <c r="AD80" s="630" t="str">
        <f t="shared" si="882"/>
        <v>#N/A</v>
      </c>
      <c r="AE80" s="630" t="str">
        <f t="shared" si="883"/>
        <v>#N/A</v>
      </c>
      <c r="AF80" s="630" t="str">
        <f t="shared" si="884"/>
        <v>#N/A</v>
      </c>
      <c r="AG80" s="630" t="str">
        <f t="shared" si="885"/>
        <v>#N/A</v>
      </c>
      <c r="AH80" s="630" t="str">
        <f t="shared" si="886"/>
        <v>#N/A</v>
      </c>
      <c r="AI80" s="630" t="str">
        <f t="shared" si="887"/>
        <v>#N/A</v>
      </c>
      <c r="AJ80" s="630" t="str">
        <f t="shared" si="888"/>
        <v>#N/A</v>
      </c>
      <c r="AK80" s="630" t="str">
        <f t="shared" si="889"/>
        <v>#N/A</v>
      </c>
      <c r="AL80" s="630" t="str">
        <f t="shared" si="890"/>
        <v>#N/A</v>
      </c>
      <c r="AM80" s="630" t="str">
        <f t="shared" si="891"/>
        <v>#N/A</v>
      </c>
      <c r="AN80" s="630" t="str">
        <f t="shared" si="892"/>
        <v>#N/A</v>
      </c>
      <c r="AO80" s="630" t="str">
        <f t="shared" si="893"/>
        <v>#N/A</v>
      </c>
      <c r="AP80" s="630" t="str">
        <f t="shared" si="894"/>
        <v>#N/A</v>
      </c>
      <c r="AQ80" s="630" t="str">
        <f t="shared" si="895"/>
        <v>#N/A</v>
      </c>
      <c r="AR80" s="630" t="str">
        <f t="shared" si="896"/>
        <v>#N/A</v>
      </c>
      <c r="AS80" s="630" t="str">
        <f t="shared" si="897"/>
        <v>#N/A</v>
      </c>
      <c r="AT80" s="630" t="str">
        <f t="shared" si="898"/>
        <v>#N/A</v>
      </c>
      <c r="AU80" s="630" t="str">
        <f t="shared" si="899"/>
        <v>#N/A</v>
      </c>
      <c r="AV80" s="630" t="str">
        <f t="shared" si="900"/>
        <v>#N/A</v>
      </c>
      <c r="AW80" s="630" t="str">
        <f t="shared" si="901"/>
        <v>#N/A</v>
      </c>
      <c r="AX80" s="630" t="str">
        <f t="shared" si="902"/>
        <v>#N/A</v>
      </c>
    </row>
    <row r="81" outlineLevel="1">
      <c r="A81" s="1448"/>
      <c r="B81" s="1440"/>
      <c r="C81" s="1449" t="s">
        <v>1382</v>
      </c>
      <c r="D81" s="1433" t="s">
        <v>1383</v>
      </c>
      <c r="E81" s="1450"/>
      <c r="F81" s="1450"/>
      <c r="G81" s="1450">
        <f>SUMIF(AC_TKNO,$C81,AC_SOTIEN)</f>
        <v>0</v>
      </c>
      <c r="H81" s="1450">
        <f>SUMIF(AC_TKCO,$C81,AC_SOTIEN)</f>
        <v>0</v>
      </c>
      <c r="I81" s="1450" t="str">
        <f t="shared" si="932"/>
        <v>-</v>
      </c>
      <c r="J81" s="1450" t="str">
        <f t="shared" si="933"/>
        <v>-</v>
      </c>
      <c r="K81" s="1443"/>
      <c r="L81" s="1443"/>
      <c r="M81" s="1444" t="str">
        <f t="shared" ref="M81:N81" si="941">S81</f>
        <v>#N/A</v>
      </c>
      <c r="N81" s="1444" t="str">
        <f t="shared" si="941"/>
        <v>#N/A</v>
      </c>
      <c r="O81" s="1444" t="str">
        <f t="shared" ref="O81:P81" si="942">W81</f>
        <v>#N/A</v>
      </c>
      <c r="P81" s="1444" t="str">
        <f t="shared" si="942"/>
        <v>#N/A</v>
      </c>
      <c r="Q81" s="1445" t="str">
        <f t="shared" ref="Q81:R81" si="943">AE81</f>
        <v>#N/A</v>
      </c>
      <c r="R81" s="1445" t="str">
        <f t="shared" si="943"/>
        <v>#N/A</v>
      </c>
      <c r="S81" s="1445" t="str">
        <f t="shared" ref="S81:T81" si="944">AK81</f>
        <v>#N/A</v>
      </c>
      <c r="T81" s="1445" t="str">
        <f t="shared" si="944"/>
        <v>#N/A</v>
      </c>
      <c r="U81" s="1445" t="str">
        <f t="shared" ref="U81:V81" si="945">AQ81</f>
        <v>#N/A</v>
      </c>
      <c r="V81" s="1445" t="str">
        <f t="shared" si="945"/>
        <v>#N/A</v>
      </c>
      <c r="W81" s="1445" t="str">
        <f t="shared" ref="W81:X81" si="946">AW81</f>
        <v>#N/A</v>
      </c>
      <c r="X81" s="1445" t="str">
        <f t="shared" si="946"/>
        <v>#N/A</v>
      </c>
      <c r="Y81" s="1447">
        <f t="shared" ref="Y81:AX81" si="947">SUM(Y82:Y85)</f>
        <v>0</v>
      </c>
      <c r="Z81" s="1447">
        <f t="shared" si="947"/>
        <v>0</v>
      </c>
      <c r="AA81" s="1447" t="str">
        <f t="shared" si="947"/>
        <v>#N/A</v>
      </c>
      <c r="AB81" s="1447" t="str">
        <f t="shared" si="947"/>
        <v>#N/A</v>
      </c>
      <c r="AC81" s="1447" t="str">
        <f t="shared" si="947"/>
        <v>#N/A</v>
      </c>
      <c r="AD81" s="1447" t="str">
        <f t="shared" si="947"/>
        <v>#N/A</v>
      </c>
      <c r="AE81" s="1447" t="str">
        <f t="shared" si="947"/>
        <v>#N/A</v>
      </c>
      <c r="AF81" s="1447" t="str">
        <f t="shared" si="947"/>
        <v>#N/A</v>
      </c>
      <c r="AG81" s="1447" t="str">
        <f t="shared" si="947"/>
        <v>#N/A</v>
      </c>
      <c r="AH81" s="1447" t="str">
        <f t="shared" si="947"/>
        <v>#N/A</v>
      </c>
      <c r="AI81" s="1447" t="str">
        <f t="shared" si="947"/>
        <v>#N/A</v>
      </c>
      <c r="AJ81" s="1447" t="str">
        <f t="shared" si="947"/>
        <v>#N/A</v>
      </c>
      <c r="AK81" s="1447" t="str">
        <f t="shared" si="947"/>
        <v>#N/A</v>
      </c>
      <c r="AL81" s="1447" t="str">
        <f t="shared" si="947"/>
        <v>#N/A</v>
      </c>
      <c r="AM81" s="1447" t="str">
        <f t="shared" si="947"/>
        <v>#N/A</v>
      </c>
      <c r="AN81" s="1447" t="str">
        <f t="shared" si="947"/>
        <v>#N/A</v>
      </c>
      <c r="AO81" s="1447" t="str">
        <f t="shared" si="947"/>
        <v>#N/A</v>
      </c>
      <c r="AP81" s="1447" t="str">
        <f t="shared" si="947"/>
        <v>#N/A</v>
      </c>
      <c r="AQ81" s="1447" t="str">
        <f t="shared" si="947"/>
        <v>#N/A</v>
      </c>
      <c r="AR81" s="1447" t="str">
        <f t="shared" si="947"/>
        <v>#N/A</v>
      </c>
      <c r="AS81" s="1447" t="str">
        <f t="shared" si="947"/>
        <v>#N/A</v>
      </c>
      <c r="AT81" s="1447" t="str">
        <f t="shared" si="947"/>
        <v>#N/A</v>
      </c>
      <c r="AU81" s="1447" t="str">
        <f t="shared" si="947"/>
        <v>#N/A</v>
      </c>
      <c r="AV81" s="1447" t="str">
        <f t="shared" si="947"/>
        <v>#N/A</v>
      </c>
      <c r="AW81" s="1447" t="str">
        <f t="shared" si="947"/>
        <v>#N/A</v>
      </c>
      <c r="AX81" s="1447" t="str">
        <f t="shared" si="947"/>
        <v>#N/A</v>
      </c>
    </row>
    <row r="82" outlineLevel="1">
      <c r="A82" s="1448"/>
      <c r="B82" s="1440"/>
      <c r="C82" s="1449" t="s">
        <v>1384</v>
      </c>
      <c r="D82" s="1433" t="s">
        <v>3092</v>
      </c>
      <c r="E82" s="1450"/>
      <c r="F82" s="1450"/>
      <c r="G82" s="1450">
        <f>SUMIF(AC_TKNO,$C82,AC_SOTIEN)</f>
        <v>0</v>
      </c>
      <c r="H82" s="1450">
        <f>SUMIF(AC_TKCO,$C82,AC_SOTIEN)</f>
        <v>0</v>
      </c>
      <c r="I82" s="1450" t="str">
        <f t="shared" si="932"/>
        <v>-</v>
      </c>
      <c r="J82" s="1450" t="str">
        <f t="shared" si="933"/>
        <v>-</v>
      </c>
      <c r="K82" s="1443"/>
      <c r="L82" s="1443"/>
      <c r="M82" s="1444" t="str">
        <f t="shared" ref="M82:N82" si="948">S82</f>
        <v>#N/A</v>
      </c>
      <c r="N82" s="1444" t="str">
        <f t="shared" si="948"/>
        <v>#N/A</v>
      </c>
      <c r="O82" s="1444" t="str">
        <f t="shared" ref="O82:P82" si="949">W82</f>
        <v>#N/A</v>
      </c>
      <c r="P82" s="1444" t="str">
        <f t="shared" si="949"/>
        <v>#N/A</v>
      </c>
      <c r="Q82" s="1445" t="str">
        <f t="shared" ref="Q82:R82" si="950">AE82</f>
        <v>#N/A</v>
      </c>
      <c r="R82" s="1445" t="str">
        <f t="shared" si="950"/>
        <v>#N/A</v>
      </c>
      <c r="S82" s="1445" t="str">
        <f t="shared" ref="S82:T82" si="951">AK82</f>
        <v>#N/A</v>
      </c>
      <c r="T82" s="1445" t="str">
        <f t="shared" si="951"/>
        <v>#N/A</v>
      </c>
      <c r="U82" s="1445" t="str">
        <f t="shared" ref="U82:V82" si="952">AQ82</f>
        <v>#N/A</v>
      </c>
      <c r="V82" s="1445" t="str">
        <f t="shared" si="952"/>
        <v>#N/A</v>
      </c>
      <c r="W82" s="1445" t="str">
        <f t="shared" ref="W82:X82" si="953">AW82</f>
        <v>#N/A</v>
      </c>
      <c r="X82" s="1445" t="str">
        <f t="shared" si="953"/>
        <v>#N/A</v>
      </c>
      <c r="Y82" s="630" t="str">
        <f t="shared" ref="Y82:Z82" si="954">E82</f>
        <v/>
      </c>
      <c r="Z82" s="630" t="str">
        <f t="shared" si="954"/>
        <v/>
      </c>
      <c r="AA82" s="630" t="str">
        <f t="shared" ref="AA82:AA85" si="962">IF(Y82+SUMIFS(PS_SOTIEN,PS_TKNO,$B80,PS_MONTH,AA$3)-Z82-SUMIFS(PS_SOTIEN,PS_TKCO,$B80,PS_MONTH,AA$3)&gt;0,Y82+SUMIFS(PS_SOTIEN,PS_TKNO,$B80,PS_MONTH,AA$3)-Z82-SUMIFS(PS_SOTIEN,PS_TKCO,$B80,PS_MONTH,AA$3),0)</f>
        <v>#N/A</v>
      </c>
      <c r="AB82" s="630" t="str">
        <f t="shared" ref="AB82:AB85" si="963">IF(Z82+SUMIFS(PS_SOTIEN,PS_TKCO,$B80,PS_MONTH,AA$3)-Y82-SUMIFS(PS_SOTIEN,PS_TKNO,$B80,PS_MONTH,AA$3)&gt;0,Z82+SUMIFS(PS_SOTIEN,PS_TKCO,$B80,PS_MONTH,AA$3)-Y82-SUMIFS(PS_SOTIEN,PS_TKNO,$B80,PS_MONTH,AA$3),0)</f>
        <v>#N/A</v>
      </c>
      <c r="AC82" s="630" t="str">
        <f t="shared" ref="AC82:AC85" si="964">IF(AA82+SUMIFS(PS_SOTIEN,PS_TKNO,$B80,PS_MONTH,AC$3)-AB82-SUMIFS(PS_SOTIEN,PS_TKCO,$B80,PS_MONTH,AC$3)&gt;0,AA82+SUMIFS(PS_SOTIEN,PS_TKNO,$B80,PS_MONTH,AC$3)-AB82-SUMIFS(PS_SOTIEN,PS_TKCO,$B80,PS_MONTH,AC$3),0)</f>
        <v>#N/A</v>
      </c>
      <c r="AD82" s="630" t="str">
        <f t="shared" ref="AD82:AD85" si="965">IF(AB82+SUMIFS(PS_SOTIEN,PS_TKCO,$B80,PS_MONTH,AC$3)-AA82-SUMIFS(PS_SOTIEN,PS_TKNO,$B80,PS_MONTH,AC$3)&gt;0,AB82+SUMIFS(PS_SOTIEN,PS_TKCO,$B80,PS_MONTH,AC$3)-AA82-SUMIFS(PS_SOTIEN,PS_TKNO,$B80,PS_MONTH,AC$3),0)</f>
        <v>#N/A</v>
      </c>
      <c r="AE82" s="630" t="str">
        <f t="shared" ref="AE82:AE85" si="966">IF(AC82+SUMIFS(PS_SOTIEN,PS_TKNO,$B80,PS_MONTH,AE$3)-AD82-SUMIFS(PS_SOTIEN,PS_TKCO,$B80,PS_MONTH,AE$3)&gt;0,AC82+SUMIFS(PS_SOTIEN,PS_TKNO,$B80,PS_MONTH,AE$3)-AD82-SUMIFS(PS_SOTIEN,PS_TKCO,$B80,PS_MONTH,AE$3),0)</f>
        <v>#N/A</v>
      </c>
      <c r="AF82" s="630" t="str">
        <f t="shared" ref="AF82:AF85" si="967">IF(AD82+SUMIFS(PS_SOTIEN,PS_TKCO,$B80,PS_MONTH,AE$3)-AC82-SUMIFS(PS_SOTIEN,PS_TKNO,$B80,PS_MONTH,AE$3)&gt;0,AD82+SUMIFS(PS_SOTIEN,PS_TKCO,$B80,PS_MONTH,AE$3)-AC82-SUMIFS(PS_SOTIEN,PS_TKNO,$B80,PS_MONTH,AE$3),0)</f>
        <v>#N/A</v>
      </c>
      <c r="AG82" s="630" t="str">
        <f t="shared" ref="AG82:AG85" si="968">IF(AE82+SUMIFS(PS_SOTIEN,PS_TKNO,$B80,PS_MONTH,AG$3)-AF82-SUMIFS(PS_SOTIEN,PS_TKCO,$B80,PS_MONTH,AG$3)&gt;0,AE82+SUMIFS(PS_SOTIEN,PS_TKNO,$B80,PS_MONTH,AG$3)-AF82-SUMIFS(PS_SOTIEN,PS_TKCO,$B80,PS_MONTH,AG$3),0)</f>
        <v>#N/A</v>
      </c>
      <c r="AH82" s="630" t="str">
        <f t="shared" ref="AH82:AH85" si="969">IF(AF82+SUMIFS(PS_SOTIEN,PS_TKCO,$B80,PS_MONTH,AG$3)-AE82-SUMIFS(PS_SOTIEN,PS_TKNO,$B80,PS_MONTH,AG$3)&gt;0,AF82+SUMIFS(PS_SOTIEN,PS_TKCO,$B80,PS_MONTH,AG$3)-AE82-SUMIFS(PS_SOTIEN,PS_TKNO,$B80,PS_MONTH,AG$3),0)</f>
        <v>#N/A</v>
      </c>
      <c r="AI82" s="630" t="str">
        <f t="shared" ref="AI82:AI85" si="970">IF(AG82+SUMIFS(PS_SOTIEN,PS_TKNO,$B80,PS_MONTH,AI$3)-AH82-SUMIFS(PS_SOTIEN,PS_TKCO,$B80,PS_MONTH,AI$3)&gt;0,AG82+SUMIFS(PS_SOTIEN,PS_TKNO,$B80,PS_MONTH,AI$3)-AH82-SUMIFS(PS_SOTIEN,PS_TKCO,$B80,PS_MONTH,AI$3),0)</f>
        <v>#N/A</v>
      </c>
      <c r="AJ82" s="630" t="str">
        <f t="shared" ref="AJ82:AJ85" si="971">IF(AH82+SUMIFS(PS_SOTIEN,PS_TKCO,$B80,PS_MONTH,AI$3)-AG82-SUMIFS(PS_SOTIEN,PS_TKNO,$B80,PS_MONTH,AI$3)&gt;0,AH82+SUMIFS(PS_SOTIEN,PS_TKCO,$B80,PS_MONTH,AI$3)-AG82-SUMIFS(PS_SOTIEN,PS_TKNO,$B80,PS_MONTH,AI$3),0)</f>
        <v>#N/A</v>
      </c>
      <c r="AK82" s="630" t="str">
        <f t="shared" ref="AK82:AK85" si="972">IF(AI82+SUMIFS(PS_SOTIEN,PS_TKNO,$B80,PS_MONTH,AK$3)-AJ82-SUMIFS(PS_SOTIEN,PS_TKCO,$B80,PS_MONTH,AK$3)&gt;0,AI82+SUMIFS(PS_SOTIEN,PS_TKNO,$B80,PS_MONTH,AK$3)-AJ82-SUMIFS(PS_SOTIEN,PS_TKCO,$B80,PS_MONTH,AK$3),0)</f>
        <v>#N/A</v>
      </c>
      <c r="AL82" s="630" t="str">
        <f t="shared" ref="AL82:AL85" si="973">IF(AJ82+SUMIFS(PS_SOTIEN,PS_TKCO,$B80,PS_MONTH,AK$3)-AI82-SUMIFS(PS_SOTIEN,PS_TKNO,$B80,PS_MONTH,AK$3)&gt;0,AJ82+SUMIFS(PS_SOTIEN,PS_TKCO,$B80,PS_MONTH,AK$3)-AI82-SUMIFS(PS_SOTIEN,PS_TKNO,$B80,PS_MONTH,AK$3),0)</f>
        <v>#N/A</v>
      </c>
      <c r="AM82" s="630" t="str">
        <f t="shared" ref="AM82:AM85" si="974">IF(AK82+SUMIFS(PS_SOTIEN,PS_TKNO,$B80,PS_MONTH,AM$3)-AL82-SUMIFS(PS_SOTIEN,PS_TKCO,$B80,PS_MONTH,AM$3)&gt;0,AK82+SUMIFS(PS_SOTIEN,PS_TKNO,$B80,PS_MONTH,AM$3)-AL82-SUMIFS(PS_SOTIEN,PS_TKCO,$B80,PS_MONTH,AM$3),0)</f>
        <v>#N/A</v>
      </c>
      <c r="AN82" s="630" t="str">
        <f t="shared" ref="AN82:AN85" si="975">IF(AL82+SUMIFS(PS_SOTIEN,PS_TKCO,$B80,PS_MONTH,AM$3)-AK82-SUMIFS(PS_SOTIEN,PS_TKNO,$B80,PS_MONTH,AM$3)&gt;0,AL82+SUMIFS(PS_SOTIEN,PS_TKCO,$B80,PS_MONTH,AM$3)-AK82-SUMIFS(PS_SOTIEN,PS_TKNO,$B80,PS_MONTH,AM$3),0)</f>
        <v>#N/A</v>
      </c>
      <c r="AO82" s="630" t="str">
        <f t="shared" ref="AO82:AO85" si="976">IF(AM82+SUMIFS(PS_SOTIEN,PS_TKNO,$B80,PS_MONTH,AO$3)-AN82-SUMIFS(PS_SOTIEN,PS_TKCO,$B80,PS_MONTH,AO$3)&gt;0,AM82+SUMIFS(PS_SOTIEN,PS_TKNO,$B80,PS_MONTH,AO$3)-AN82-SUMIFS(PS_SOTIEN,PS_TKCO,$B80,PS_MONTH,AO$3),0)</f>
        <v>#N/A</v>
      </c>
      <c r="AP82" s="630" t="str">
        <f t="shared" ref="AP82:AP85" si="977">IF(AN82+SUMIFS(PS_SOTIEN,PS_TKCO,$B80,PS_MONTH,AO$3)-AM82-SUMIFS(PS_SOTIEN,PS_TKNO,$B80,PS_MONTH,AO$3)&gt;0,AN82+SUMIFS(PS_SOTIEN,PS_TKCO,$B80,PS_MONTH,AO$3)-AM82-SUMIFS(PS_SOTIEN,PS_TKNO,$B80,PS_MONTH,AO$3),0)</f>
        <v>#N/A</v>
      </c>
      <c r="AQ82" s="630" t="str">
        <f t="shared" ref="AQ82:AQ85" si="978">IF(AO82+SUMIFS(PS_SOTIEN,PS_TKNO,$B80,PS_MONTH,AQ$3)-AP82-SUMIFS(PS_SOTIEN,PS_TKCO,$B80,PS_MONTH,AQ$3)&gt;0,AO82+SUMIFS(PS_SOTIEN,PS_TKNO,$B80,PS_MONTH,AQ$3)-AP82-SUMIFS(PS_SOTIEN,PS_TKCO,$B80,PS_MONTH,AQ$3),0)</f>
        <v>#N/A</v>
      </c>
      <c r="AR82" s="630" t="str">
        <f t="shared" ref="AR82:AR85" si="979">IF(AP82+SUMIFS(PS_SOTIEN,PS_TKCO,$B80,PS_MONTH,AQ$3)-AO82-SUMIFS(PS_SOTIEN,PS_TKNO,$B80,PS_MONTH,AQ$3)&gt;0,AP82+SUMIFS(PS_SOTIEN,PS_TKCO,$B80,PS_MONTH,AQ$3)-AO82-SUMIFS(PS_SOTIEN,PS_TKNO,$B80,PS_MONTH,AQ$3),0)</f>
        <v>#N/A</v>
      </c>
      <c r="AS82" s="630" t="str">
        <f t="shared" ref="AS82:AS85" si="980">IF(AQ82+SUMIFS(PS_SOTIEN,PS_TKNO,$B80,PS_MONTH,AS$3)-AR82-SUMIFS(PS_SOTIEN,PS_TKCO,$B80,PS_MONTH,AS$3)&gt;0,AQ82+SUMIFS(PS_SOTIEN,PS_TKNO,$B80,PS_MONTH,AS$3)-AR82-SUMIFS(PS_SOTIEN,PS_TKCO,$B80,PS_MONTH,AS$3),0)</f>
        <v>#N/A</v>
      </c>
      <c r="AT82" s="630" t="str">
        <f t="shared" ref="AT82:AT85" si="981">IF(AR82+SUMIFS(PS_SOTIEN,PS_TKCO,$B80,PS_MONTH,AS$3)-AQ82-SUMIFS(PS_SOTIEN,PS_TKNO,$B80,PS_MONTH,AS$3)&gt;0,AR82+SUMIFS(PS_SOTIEN,PS_TKCO,$B80,PS_MONTH,AS$3)-AQ82-SUMIFS(PS_SOTIEN,PS_TKNO,$B80,PS_MONTH,AS$3),0)</f>
        <v>#N/A</v>
      </c>
      <c r="AU82" s="630" t="str">
        <f t="shared" ref="AU82:AU85" si="982">IF(AS82+SUMIFS(PS_SOTIEN,PS_TKNO,$B80,PS_MONTH,AU$3)-AT82-SUMIFS(PS_SOTIEN,PS_TKCO,$B80,PS_MONTH,AU$3)&gt;0,AS82+SUMIFS(PS_SOTIEN,PS_TKNO,$B80,PS_MONTH,AU$3)-AT82-SUMIFS(PS_SOTIEN,PS_TKCO,$B80,PS_MONTH,AU$3),0)</f>
        <v>#N/A</v>
      </c>
      <c r="AV82" s="630" t="str">
        <f t="shared" ref="AV82:AV85" si="983">IF(AT82+SUMIFS(PS_SOTIEN,PS_TKCO,$B80,PS_MONTH,AU$3)-AS82-SUMIFS(PS_SOTIEN,PS_TKNO,$B80,PS_MONTH,AU$3)&gt;0,AT82+SUMIFS(PS_SOTIEN,PS_TKCO,$B80,PS_MONTH,AU$3)-AS82-SUMIFS(PS_SOTIEN,PS_TKNO,$B80,PS_MONTH,AU$3),0)</f>
        <v>#N/A</v>
      </c>
      <c r="AW82" s="630" t="str">
        <f t="shared" ref="AW82:AW85" si="984">IF(AU82+SUMIFS(PS_SOTIEN,PS_TKNO,$B80,PS_MONTH,AW$3)-AV82-SUMIFS(PS_SOTIEN,PS_TKCO,$B80,PS_MONTH,AW$3)&gt;0,AU82+SUMIFS(PS_SOTIEN,PS_TKNO,$B80,PS_MONTH,AW$3)-AV82-SUMIFS(PS_SOTIEN,PS_TKCO,$B80,PS_MONTH,AW$3),0)</f>
        <v>#N/A</v>
      </c>
      <c r="AX82" s="630" t="str">
        <f t="shared" ref="AX82:AX85" si="985">IF(AV82+SUMIFS(PS_SOTIEN,PS_TKCO,$B80,PS_MONTH,AW$3)-AU82-SUMIFS(PS_SOTIEN,PS_TKNO,$B80,PS_MONTH,AW$3)&gt;0,AV82+SUMIFS(PS_SOTIEN,PS_TKCO,$B80,PS_MONTH,AW$3)-AU82-SUMIFS(PS_SOTIEN,PS_TKNO,$B80,PS_MONTH,AW$3),0)</f>
        <v>#N/A</v>
      </c>
    </row>
    <row r="83" outlineLevel="1">
      <c r="A83" s="1452" t="s">
        <v>2986</v>
      </c>
      <c r="B83" s="1439" t="s">
        <v>3093</v>
      </c>
      <c r="C83" s="1439" t="s">
        <v>3093</v>
      </c>
      <c r="D83" s="1441" t="s">
        <v>1386</v>
      </c>
      <c r="E83" s="1455"/>
      <c r="F83" s="1455"/>
      <c r="G83" s="1455">
        <f>SUMIF(AC_TKNO,$C83,AC_SOTIEN)</f>
        <v>0</v>
      </c>
      <c r="H83" s="1455">
        <f>SUMIF(AC_TKCO,$C83,AC_SOTIEN)</f>
        <v>0</v>
      </c>
      <c r="I83" s="1455" t="str">
        <f t="shared" si="932"/>
        <v>-</v>
      </c>
      <c r="J83" s="1455" t="str">
        <f t="shared" si="933"/>
        <v>-</v>
      </c>
      <c r="K83" s="1443"/>
      <c r="L83" s="1443"/>
      <c r="M83" s="1444" t="str">
        <f t="shared" ref="M83:N83" si="955">S83</f>
        <v>#N/A</v>
      </c>
      <c r="N83" s="1444" t="str">
        <f t="shared" si="955"/>
        <v>#N/A</v>
      </c>
      <c r="O83" s="1444" t="str">
        <f t="shared" ref="O83:P83" si="956">W83</f>
        <v>#N/A</v>
      </c>
      <c r="P83" s="1444" t="str">
        <f t="shared" si="956"/>
        <v>#N/A</v>
      </c>
      <c r="Q83" s="1445" t="str">
        <f t="shared" ref="Q83:R83" si="957">AE83</f>
        <v>#N/A</v>
      </c>
      <c r="R83" s="1445" t="str">
        <f t="shared" si="957"/>
        <v>#N/A</v>
      </c>
      <c r="S83" s="1445" t="str">
        <f t="shared" ref="S83:T83" si="958">AK83</f>
        <v>#N/A</v>
      </c>
      <c r="T83" s="1445" t="str">
        <f t="shared" si="958"/>
        <v>#N/A</v>
      </c>
      <c r="U83" s="1445" t="str">
        <f t="shared" ref="U83:V83" si="959">AQ83</f>
        <v>#N/A</v>
      </c>
      <c r="V83" s="1445" t="str">
        <f t="shared" si="959"/>
        <v>#N/A</v>
      </c>
      <c r="W83" s="1445" t="str">
        <f t="shared" ref="W83:X83" si="960">AW83</f>
        <v>#N/A</v>
      </c>
      <c r="X83" s="1445" t="str">
        <f t="shared" si="960"/>
        <v>#N/A</v>
      </c>
      <c r="Y83" s="630" t="str">
        <f t="shared" ref="Y83:Z83" si="961">E83</f>
        <v/>
      </c>
      <c r="Z83" s="630" t="str">
        <f t="shared" si="961"/>
        <v/>
      </c>
      <c r="AA83" s="630" t="str">
        <f t="shared" si="962"/>
        <v>#N/A</v>
      </c>
      <c r="AB83" s="630" t="str">
        <f t="shared" si="963"/>
        <v>#N/A</v>
      </c>
      <c r="AC83" s="630" t="str">
        <f t="shared" si="964"/>
        <v>#N/A</v>
      </c>
      <c r="AD83" s="630" t="str">
        <f t="shared" si="965"/>
        <v>#N/A</v>
      </c>
      <c r="AE83" s="630" t="str">
        <f t="shared" si="966"/>
        <v>#N/A</v>
      </c>
      <c r="AF83" s="630" t="str">
        <f t="shared" si="967"/>
        <v>#N/A</v>
      </c>
      <c r="AG83" s="630" t="str">
        <f t="shared" si="968"/>
        <v>#N/A</v>
      </c>
      <c r="AH83" s="630" t="str">
        <f t="shared" si="969"/>
        <v>#N/A</v>
      </c>
      <c r="AI83" s="630" t="str">
        <f t="shared" si="970"/>
        <v>#N/A</v>
      </c>
      <c r="AJ83" s="630" t="str">
        <f t="shared" si="971"/>
        <v>#N/A</v>
      </c>
      <c r="AK83" s="630" t="str">
        <f t="shared" si="972"/>
        <v>#N/A</v>
      </c>
      <c r="AL83" s="630" t="str">
        <f t="shared" si="973"/>
        <v>#N/A</v>
      </c>
      <c r="AM83" s="630" t="str">
        <f t="shared" si="974"/>
        <v>#N/A</v>
      </c>
      <c r="AN83" s="630" t="str">
        <f t="shared" si="975"/>
        <v>#N/A</v>
      </c>
      <c r="AO83" s="630" t="str">
        <f t="shared" si="976"/>
        <v>#N/A</v>
      </c>
      <c r="AP83" s="630" t="str">
        <f t="shared" si="977"/>
        <v>#N/A</v>
      </c>
      <c r="AQ83" s="630" t="str">
        <f t="shared" si="978"/>
        <v>#N/A</v>
      </c>
      <c r="AR83" s="630" t="str">
        <f t="shared" si="979"/>
        <v>#N/A</v>
      </c>
      <c r="AS83" s="630" t="str">
        <f t="shared" si="980"/>
        <v>#N/A</v>
      </c>
      <c r="AT83" s="630" t="str">
        <f t="shared" si="981"/>
        <v>#N/A</v>
      </c>
      <c r="AU83" s="630" t="str">
        <f t="shared" si="982"/>
        <v>#N/A</v>
      </c>
      <c r="AV83" s="630" t="str">
        <f t="shared" si="983"/>
        <v>#N/A</v>
      </c>
      <c r="AW83" s="630" t="str">
        <f t="shared" si="984"/>
        <v>#N/A</v>
      </c>
      <c r="AX83" s="630" t="str">
        <f t="shared" si="985"/>
        <v>#N/A</v>
      </c>
    </row>
    <row r="84">
      <c r="A84" s="1452" t="s">
        <v>2986</v>
      </c>
      <c r="B84" s="1439" t="s">
        <v>3094</v>
      </c>
      <c r="C84" s="1439" t="s">
        <v>3094</v>
      </c>
      <c r="D84" s="1441" t="s">
        <v>1701</v>
      </c>
      <c r="E84" s="1455"/>
      <c r="F84" s="1455"/>
      <c r="G84" s="1455">
        <f>SUMIF(AC_TKNO,$C84,AC_SOTIEN)</f>
        <v>0</v>
      </c>
      <c r="H84" s="1455">
        <f>SUMIF(AC_TKCO,$C84,AC_SOTIEN)</f>
        <v>0</v>
      </c>
      <c r="I84" s="1455" t="str">
        <f t="shared" si="932"/>
        <v>-</v>
      </c>
      <c r="J84" s="1455" t="str">
        <f t="shared" si="933"/>
        <v>-</v>
      </c>
      <c r="K84" s="1443"/>
      <c r="L84" s="1443"/>
      <c r="M84" s="1444" t="str">
        <f t="shared" ref="M84:N84" si="986">S84</f>
        <v>#N/A</v>
      </c>
      <c r="N84" s="1444" t="str">
        <f t="shared" si="986"/>
        <v>#N/A</v>
      </c>
      <c r="O84" s="1444" t="str">
        <f t="shared" ref="O84:P84" si="987">W84</f>
        <v>#N/A</v>
      </c>
      <c r="P84" s="1444" t="str">
        <f t="shared" si="987"/>
        <v>#N/A</v>
      </c>
      <c r="Q84" s="1445" t="str">
        <f t="shared" ref="Q84:R84" si="988">AE84</f>
        <v>#N/A</v>
      </c>
      <c r="R84" s="1445" t="str">
        <f t="shared" si="988"/>
        <v>#N/A</v>
      </c>
      <c r="S84" s="1445" t="str">
        <f t="shared" ref="S84:T84" si="989">AK84</f>
        <v>#N/A</v>
      </c>
      <c r="T84" s="1445" t="str">
        <f t="shared" si="989"/>
        <v>#N/A</v>
      </c>
      <c r="U84" s="1445" t="str">
        <f t="shared" ref="U84:V84" si="990">AQ84</f>
        <v>#N/A</v>
      </c>
      <c r="V84" s="1445" t="str">
        <f t="shared" si="990"/>
        <v>#N/A</v>
      </c>
      <c r="W84" s="1445" t="str">
        <f t="shared" ref="W84:X84" si="991">AW84</f>
        <v>#N/A</v>
      </c>
      <c r="X84" s="1445" t="str">
        <f t="shared" si="991"/>
        <v>#N/A</v>
      </c>
      <c r="Y84" s="630" t="str">
        <f t="shared" ref="Y84:Z84" si="992">E84</f>
        <v/>
      </c>
      <c r="Z84" s="630" t="str">
        <f t="shared" si="992"/>
        <v/>
      </c>
      <c r="AA84" s="630" t="str">
        <f t="shared" si="962"/>
        <v>#N/A</v>
      </c>
      <c r="AB84" s="630" t="str">
        <f t="shared" si="963"/>
        <v>#N/A</v>
      </c>
      <c r="AC84" s="630" t="str">
        <f t="shared" si="964"/>
        <v>#N/A</v>
      </c>
      <c r="AD84" s="630" t="str">
        <f t="shared" si="965"/>
        <v>#N/A</v>
      </c>
      <c r="AE84" s="630" t="str">
        <f t="shared" si="966"/>
        <v>#N/A</v>
      </c>
      <c r="AF84" s="630" t="str">
        <f t="shared" si="967"/>
        <v>#N/A</v>
      </c>
      <c r="AG84" s="630" t="str">
        <f t="shared" si="968"/>
        <v>#N/A</v>
      </c>
      <c r="AH84" s="630" t="str">
        <f t="shared" si="969"/>
        <v>#N/A</v>
      </c>
      <c r="AI84" s="630" t="str">
        <f t="shared" si="970"/>
        <v>#N/A</v>
      </c>
      <c r="AJ84" s="630" t="str">
        <f t="shared" si="971"/>
        <v>#N/A</v>
      </c>
      <c r="AK84" s="630" t="str">
        <f t="shared" si="972"/>
        <v>#N/A</v>
      </c>
      <c r="AL84" s="630" t="str">
        <f t="shared" si="973"/>
        <v>#N/A</v>
      </c>
      <c r="AM84" s="630" t="str">
        <f t="shared" si="974"/>
        <v>#N/A</v>
      </c>
      <c r="AN84" s="630" t="str">
        <f t="shared" si="975"/>
        <v>#N/A</v>
      </c>
      <c r="AO84" s="630" t="str">
        <f t="shared" si="976"/>
        <v>#N/A</v>
      </c>
      <c r="AP84" s="630" t="str">
        <f t="shared" si="977"/>
        <v>#N/A</v>
      </c>
      <c r="AQ84" s="630" t="str">
        <f t="shared" si="978"/>
        <v>#N/A</v>
      </c>
      <c r="AR84" s="630" t="str">
        <f t="shared" si="979"/>
        <v>#N/A</v>
      </c>
      <c r="AS84" s="630" t="str">
        <f t="shared" si="980"/>
        <v>#N/A</v>
      </c>
      <c r="AT84" s="630" t="str">
        <f t="shared" si="981"/>
        <v>#N/A</v>
      </c>
      <c r="AU84" s="630" t="str">
        <f t="shared" si="982"/>
        <v>#N/A</v>
      </c>
      <c r="AV84" s="630" t="str">
        <f t="shared" si="983"/>
        <v>#N/A</v>
      </c>
      <c r="AW84" s="630" t="str">
        <f t="shared" si="984"/>
        <v>#N/A</v>
      </c>
      <c r="AX84" s="630" t="str">
        <f t="shared" si="985"/>
        <v>#N/A</v>
      </c>
    </row>
    <row r="85">
      <c r="A85" s="1452" t="s">
        <v>2986</v>
      </c>
      <c r="B85" s="1439" t="s">
        <v>3095</v>
      </c>
      <c r="C85" s="1439" t="s">
        <v>3095</v>
      </c>
      <c r="D85" s="1441" t="s">
        <v>1390</v>
      </c>
      <c r="E85" s="1455"/>
      <c r="F85" s="1455"/>
      <c r="G85" s="1455">
        <f>SUMIF(AC_TKNO,$C85,AC_SOTIEN)</f>
        <v>0</v>
      </c>
      <c r="H85" s="1455">
        <f>SUMIF(AC_TKCO,$C85,AC_SOTIEN)</f>
        <v>0</v>
      </c>
      <c r="I85" s="1455" t="str">
        <f t="shared" si="932"/>
        <v>-</v>
      </c>
      <c r="J85" s="1455" t="str">
        <f t="shared" si="933"/>
        <v>-</v>
      </c>
      <c r="K85" s="1443"/>
      <c r="L85" s="1443"/>
      <c r="M85" s="1444" t="str">
        <f t="shared" ref="M85:N85" si="993">S85</f>
        <v>#N/A</v>
      </c>
      <c r="N85" s="1444" t="str">
        <f t="shared" si="993"/>
        <v>#N/A</v>
      </c>
      <c r="O85" s="1444" t="str">
        <f t="shared" ref="O85:P85" si="994">W85</f>
        <v>#N/A</v>
      </c>
      <c r="P85" s="1444" t="str">
        <f t="shared" si="994"/>
        <v>#N/A</v>
      </c>
      <c r="Q85" s="1445" t="str">
        <f t="shared" ref="Q85:R85" si="995">AE85</f>
        <v>#N/A</v>
      </c>
      <c r="R85" s="1445" t="str">
        <f t="shared" si="995"/>
        <v>#N/A</v>
      </c>
      <c r="S85" s="1445" t="str">
        <f t="shared" ref="S85:T85" si="996">AK85</f>
        <v>#N/A</v>
      </c>
      <c r="T85" s="1445" t="str">
        <f t="shared" si="996"/>
        <v>#N/A</v>
      </c>
      <c r="U85" s="1445" t="str">
        <f t="shared" ref="U85:V85" si="997">AQ85</f>
        <v>#N/A</v>
      </c>
      <c r="V85" s="1445" t="str">
        <f t="shared" si="997"/>
        <v>#N/A</v>
      </c>
      <c r="W85" s="1445" t="str">
        <f t="shared" ref="W85:X85" si="998">AW85</f>
        <v>#N/A</v>
      </c>
      <c r="X85" s="1445" t="str">
        <f t="shared" si="998"/>
        <v>#N/A</v>
      </c>
      <c r="Y85" s="630" t="str">
        <f t="shared" ref="Y85:Z85" si="999">E85</f>
        <v/>
      </c>
      <c r="Z85" s="630" t="str">
        <f t="shared" si="999"/>
        <v/>
      </c>
      <c r="AA85" s="630" t="str">
        <f t="shared" si="962"/>
        <v>#N/A</v>
      </c>
      <c r="AB85" s="630" t="str">
        <f t="shared" si="963"/>
        <v>#N/A</v>
      </c>
      <c r="AC85" s="630" t="str">
        <f t="shared" si="964"/>
        <v>#N/A</v>
      </c>
      <c r="AD85" s="630" t="str">
        <f t="shared" si="965"/>
        <v>#N/A</v>
      </c>
      <c r="AE85" s="630" t="str">
        <f t="shared" si="966"/>
        <v>#N/A</v>
      </c>
      <c r="AF85" s="630" t="str">
        <f t="shared" si="967"/>
        <v>#N/A</v>
      </c>
      <c r="AG85" s="630" t="str">
        <f t="shared" si="968"/>
        <v>#N/A</v>
      </c>
      <c r="AH85" s="630" t="str">
        <f t="shared" si="969"/>
        <v>#N/A</v>
      </c>
      <c r="AI85" s="630" t="str">
        <f t="shared" si="970"/>
        <v>#N/A</v>
      </c>
      <c r="AJ85" s="630" t="str">
        <f t="shared" si="971"/>
        <v>#N/A</v>
      </c>
      <c r="AK85" s="630" t="str">
        <f t="shared" si="972"/>
        <v>#N/A</v>
      </c>
      <c r="AL85" s="630" t="str">
        <f t="shared" si="973"/>
        <v>#N/A</v>
      </c>
      <c r="AM85" s="630" t="str">
        <f t="shared" si="974"/>
        <v>#N/A</v>
      </c>
      <c r="AN85" s="630" t="str">
        <f t="shared" si="975"/>
        <v>#N/A</v>
      </c>
      <c r="AO85" s="630" t="str">
        <f t="shared" si="976"/>
        <v>#N/A</v>
      </c>
      <c r="AP85" s="630" t="str">
        <f t="shared" si="977"/>
        <v>#N/A</v>
      </c>
      <c r="AQ85" s="630" t="str">
        <f t="shared" si="978"/>
        <v>#N/A</v>
      </c>
      <c r="AR85" s="630" t="str">
        <f t="shared" si="979"/>
        <v>#N/A</v>
      </c>
      <c r="AS85" s="630" t="str">
        <f t="shared" si="980"/>
        <v>#N/A</v>
      </c>
      <c r="AT85" s="630" t="str">
        <f t="shared" si="981"/>
        <v>#N/A</v>
      </c>
      <c r="AU85" s="630" t="str">
        <f t="shared" si="982"/>
        <v>#N/A</v>
      </c>
      <c r="AV85" s="630" t="str">
        <f t="shared" si="983"/>
        <v>#N/A</v>
      </c>
      <c r="AW85" s="630" t="str">
        <f t="shared" si="984"/>
        <v>#N/A</v>
      </c>
      <c r="AX85" s="630" t="str">
        <f t="shared" si="985"/>
        <v>#N/A</v>
      </c>
    </row>
    <row r="86">
      <c r="A86" s="1452" t="s">
        <v>2986</v>
      </c>
      <c r="B86" s="1439" t="s">
        <v>1387</v>
      </c>
      <c r="C86" s="1440"/>
      <c r="D86" s="1441" t="s">
        <v>1392</v>
      </c>
      <c r="E86" s="1442">
        <f t="shared" ref="E86:J86" si="1000">SUM(E87:E88)</f>
        <v>0</v>
      </c>
      <c r="F86" s="1442">
        <f t="shared" si="1000"/>
        <v>0</v>
      </c>
      <c r="G86" s="1442">
        <f t="shared" si="1000"/>
        <v>0</v>
      </c>
      <c r="H86" s="1442">
        <f t="shared" si="1000"/>
        <v>0</v>
      </c>
      <c r="I86" s="1442">
        <f t="shared" si="1000"/>
        <v>0</v>
      </c>
      <c r="J86" s="1442">
        <f t="shared" si="1000"/>
        <v>0</v>
      </c>
      <c r="K86" s="1443"/>
      <c r="L86" s="1443"/>
      <c r="M86" s="1444" t="str">
        <f t="shared" ref="M86:N86" si="1001">S86</f>
        <v>#N/A</v>
      </c>
      <c r="N86" s="1444" t="str">
        <f t="shared" si="1001"/>
        <v>#N/A</v>
      </c>
      <c r="O86" s="1444" t="str">
        <f t="shared" ref="O86:P86" si="1002">W86</f>
        <v>#N/A</v>
      </c>
      <c r="P86" s="1444" t="str">
        <f t="shared" si="1002"/>
        <v>#N/A</v>
      </c>
      <c r="Q86" s="1445" t="str">
        <f t="shared" ref="Q86:R86" si="1003">AE86</f>
        <v>#N/A</v>
      </c>
      <c r="R86" s="1445" t="str">
        <f t="shared" si="1003"/>
        <v>#N/A</v>
      </c>
      <c r="S86" s="1445" t="str">
        <f t="shared" ref="S86:T86" si="1004">AK86</f>
        <v>#N/A</v>
      </c>
      <c r="T86" s="1445" t="str">
        <f t="shared" si="1004"/>
        <v>#N/A</v>
      </c>
      <c r="U86" s="1445" t="str">
        <f t="shared" ref="U86:V86" si="1005">AQ86</f>
        <v>#N/A</v>
      </c>
      <c r="V86" s="1445" t="str">
        <f t="shared" si="1005"/>
        <v>#N/A</v>
      </c>
      <c r="W86" s="1445" t="str">
        <f t="shared" ref="W86:X86" si="1006">AW86</f>
        <v>#N/A</v>
      </c>
      <c r="X86" s="1445" t="str">
        <f t="shared" si="1006"/>
        <v>#N/A</v>
      </c>
      <c r="Y86" s="1447">
        <f t="shared" ref="Y86:AX86" si="1007">SUM(Y87:Y89)</f>
        <v>0</v>
      </c>
      <c r="Z86" s="1447">
        <f t="shared" si="1007"/>
        <v>0</v>
      </c>
      <c r="AA86" s="1447" t="str">
        <f t="shared" si="1007"/>
        <v>#N/A</v>
      </c>
      <c r="AB86" s="1447" t="str">
        <f t="shared" si="1007"/>
        <v>#N/A</v>
      </c>
      <c r="AC86" s="1447" t="str">
        <f t="shared" si="1007"/>
        <v>#N/A</v>
      </c>
      <c r="AD86" s="1447" t="str">
        <f t="shared" si="1007"/>
        <v>#N/A</v>
      </c>
      <c r="AE86" s="1447" t="str">
        <f t="shared" si="1007"/>
        <v>#N/A</v>
      </c>
      <c r="AF86" s="1447" t="str">
        <f t="shared" si="1007"/>
        <v>#N/A</v>
      </c>
      <c r="AG86" s="1447" t="str">
        <f t="shared" si="1007"/>
        <v>#N/A</v>
      </c>
      <c r="AH86" s="1447" t="str">
        <f t="shared" si="1007"/>
        <v>#N/A</v>
      </c>
      <c r="AI86" s="1447" t="str">
        <f t="shared" si="1007"/>
        <v>#N/A</v>
      </c>
      <c r="AJ86" s="1447" t="str">
        <f t="shared" si="1007"/>
        <v>#N/A</v>
      </c>
      <c r="AK86" s="1447" t="str">
        <f t="shared" si="1007"/>
        <v>#N/A</v>
      </c>
      <c r="AL86" s="1447" t="str">
        <f t="shared" si="1007"/>
        <v>#N/A</v>
      </c>
      <c r="AM86" s="1447" t="str">
        <f t="shared" si="1007"/>
        <v>#N/A</v>
      </c>
      <c r="AN86" s="1447" t="str">
        <f t="shared" si="1007"/>
        <v>#N/A</v>
      </c>
      <c r="AO86" s="1447" t="str">
        <f t="shared" si="1007"/>
        <v>#N/A</v>
      </c>
      <c r="AP86" s="1447" t="str">
        <f t="shared" si="1007"/>
        <v>#N/A</v>
      </c>
      <c r="AQ86" s="1447" t="str">
        <f t="shared" si="1007"/>
        <v>#N/A</v>
      </c>
      <c r="AR86" s="1447" t="str">
        <f t="shared" si="1007"/>
        <v>#N/A</v>
      </c>
      <c r="AS86" s="1447" t="str">
        <f t="shared" si="1007"/>
        <v>#N/A</v>
      </c>
      <c r="AT86" s="1447" t="str">
        <f t="shared" si="1007"/>
        <v>#N/A</v>
      </c>
      <c r="AU86" s="1447" t="str">
        <f t="shared" si="1007"/>
        <v>#N/A</v>
      </c>
      <c r="AV86" s="1447" t="str">
        <f t="shared" si="1007"/>
        <v>#N/A</v>
      </c>
      <c r="AW86" s="1447" t="str">
        <f t="shared" si="1007"/>
        <v>#N/A</v>
      </c>
      <c r="AX86" s="1447" t="str">
        <f t="shared" si="1007"/>
        <v>#N/A</v>
      </c>
    </row>
    <row r="87">
      <c r="A87" s="1448"/>
      <c r="B87" s="1440"/>
      <c r="C87" s="1449" t="s">
        <v>1389</v>
      </c>
      <c r="D87" s="1433" t="s">
        <v>3096</v>
      </c>
      <c r="E87" s="1450"/>
      <c r="F87" s="1450"/>
      <c r="G87" s="1450">
        <f>SUMIF(AC_TKNO,$C87,AC_SOTIEN)</f>
        <v>0</v>
      </c>
      <c r="H87" s="1450">
        <f>SUMIF(AC_TKCO,$C87,AC_SOTIEN)</f>
        <v>0</v>
      </c>
      <c r="I87" s="1450" t="str">
        <f t="shared" ref="I87:I88" si="1015">IF(E87+G87-F87-H87&gt;0,E87+G87-F87-H87,"-")</f>
        <v>-</v>
      </c>
      <c r="J87" s="1450" t="str">
        <f t="shared" ref="J87:J88" si="1016">IF(F87+H87-E87-G87&gt;0,F87+H87-E87-G87,"-")</f>
        <v>-</v>
      </c>
      <c r="K87" s="1443"/>
      <c r="L87" s="1443"/>
      <c r="M87" s="1444" t="str">
        <f t="shared" ref="M87:N87" si="1008">S87</f>
        <v>#N/A</v>
      </c>
      <c r="N87" s="1444" t="str">
        <f t="shared" si="1008"/>
        <v>#N/A</v>
      </c>
      <c r="O87" s="1444" t="str">
        <f t="shared" ref="O87:P87" si="1009">W87</f>
        <v>#N/A</v>
      </c>
      <c r="P87" s="1444" t="str">
        <f t="shared" si="1009"/>
        <v>#N/A</v>
      </c>
      <c r="Q87" s="1445" t="str">
        <f t="shared" ref="Q87:R87" si="1010">AE87</f>
        <v>#N/A</v>
      </c>
      <c r="R87" s="1445" t="str">
        <f t="shared" si="1010"/>
        <v>#N/A</v>
      </c>
      <c r="S87" s="1445" t="str">
        <f t="shared" ref="S87:T87" si="1011">AK87</f>
        <v>#N/A</v>
      </c>
      <c r="T87" s="1445" t="str">
        <f t="shared" si="1011"/>
        <v>#N/A</v>
      </c>
      <c r="U87" s="1445" t="str">
        <f t="shared" ref="U87:V87" si="1012">AQ87</f>
        <v>#N/A</v>
      </c>
      <c r="V87" s="1445" t="str">
        <f t="shared" si="1012"/>
        <v>#N/A</v>
      </c>
      <c r="W87" s="1445" t="str">
        <f t="shared" ref="W87:X87" si="1013">AW87</f>
        <v>#N/A</v>
      </c>
      <c r="X87" s="1445" t="str">
        <f t="shared" si="1013"/>
        <v>#N/A</v>
      </c>
      <c r="Y87" s="630" t="str">
        <f t="shared" ref="Y87:Z87" si="1014">E87</f>
        <v/>
      </c>
      <c r="Z87" s="630" t="str">
        <f t="shared" si="1014"/>
        <v/>
      </c>
      <c r="AA87" s="630" t="str">
        <f t="shared" ref="AA87:AA89" si="1024">IF(Y87+SUMIFS(PS_SOTIEN,PS_TKNO,$B85,PS_MONTH,AA$3)-Z87-SUMIFS(PS_SOTIEN,PS_TKCO,$B85,PS_MONTH,AA$3)&gt;0,Y87+SUMIFS(PS_SOTIEN,PS_TKNO,$B85,PS_MONTH,AA$3)-Z87-SUMIFS(PS_SOTIEN,PS_TKCO,$B85,PS_MONTH,AA$3),0)</f>
        <v>#N/A</v>
      </c>
      <c r="AB87" s="630" t="str">
        <f t="shared" ref="AB87:AB89" si="1025">IF(Z87+SUMIFS(PS_SOTIEN,PS_TKCO,$B85,PS_MONTH,AA$3)-Y87-SUMIFS(PS_SOTIEN,PS_TKNO,$B85,PS_MONTH,AA$3)&gt;0,Z87+SUMIFS(PS_SOTIEN,PS_TKCO,$B85,PS_MONTH,AA$3)-Y87-SUMIFS(PS_SOTIEN,PS_TKNO,$B85,PS_MONTH,AA$3),0)</f>
        <v>#N/A</v>
      </c>
      <c r="AC87" s="630" t="str">
        <f t="shared" ref="AC87:AC89" si="1026">IF(AA87+SUMIFS(PS_SOTIEN,PS_TKNO,$B85,PS_MONTH,AC$3)-AB87-SUMIFS(PS_SOTIEN,PS_TKCO,$B85,PS_MONTH,AC$3)&gt;0,AA87+SUMIFS(PS_SOTIEN,PS_TKNO,$B85,PS_MONTH,AC$3)-AB87-SUMIFS(PS_SOTIEN,PS_TKCO,$B85,PS_MONTH,AC$3),0)</f>
        <v>#N/A</v>
      </c>
      <c r="AD87" s="630" t="str">
        <f t="shared" ref="AD87:AD89" si="1027">IF(AB87+SUMIFS(PS_SOTIEN,PS_TKCO,$B85,PS_MONTH,AC$3)-AA87-SUMIFS(PS_SOTIEN,PS_TKNO,$B85,PS_MONTH,AC$3)&gt;0,AB87+SUMIFS(PS_SOTIEN,PS_TKCO,$B85,PS_MONTH,AC$3)-AA87-SUMIFS(PS_SOTIEN,PS_TKNO,$B85,PS_MONTH,AC$3),0)</f>
        <v>#N/A</v>
      </c>
      <c r="AE87" s="630" t="str">
        <f t="shared" ref="AE87:AE89" si="1028">IF(AC87+SUMIFS(PS_SOTIEN,PS_TKNO,$B85,PS_MONTH,AE$3)-AD87-SUMIFS(PS_SOTIEN,PS_TKCO,$B85,PS_MONTH,AE$3)&gt;0,AC87+SUMIFS(PS_SOTIEN,PS_TKNO,$B85,PS_MONTH,AE$3)-AD87-SUMIFS(PS_SOTIEN,PS_TKCO,$B85,PS_MONTH,AE$3),0)</f>
        <v>#N/A</v>
      </c>
      <c r="AF87" s="630" t="str">
        <f t="shared" ref="AF87:AF89" si="1029">IF(AD87+SUMIFS(PS_SOTIEN,PS_TKCO,$B85,PS_MONTH,AE$3)-AC87-SUMIFS(PS_SOTIEN,PS_TKNO,$B85,PS_MONTH,AE$3)&gt;0,AD87+SUMIFS(PS_SOTIEN,PS_TKCO,$B85,PS_MONTH,AE$3)-AC87-SUMIFS(PS_SOTIEN,PS_TKNO,$B85,PS_MONTH,AE$3),0)</f>
        <v>#N/A</v>
      </c>
      <c r="AG87" s="630" t="str">
        <f t="shared" ref="AG87:AG89" si="1030">IF(AE87+SUMIFS(PS_SOTIEN,PS_TKNO,$B85,PS_MONTH,AG$3)-AF87-SUMIFS(PS_SOTIEN,PS_TKCO,$B85,PS_MONTH,AG$3)&gt;0,AE87+SUMIFS(PS_SOTIEN,PS_TKNO,$B85,PS_MONTH,AG$3)-AF87-SUMIFS(PS_SOTIEN,PS_TKCO,$B85,PS_MONTH,AG$3),0)</f>
        <v>#N/A</v>
      </c>
      <c r="AH87" s="630" t="str">
        <f t="shared" ref="AH87:AH89" si="1031">IF(AF87+SUMIFS(PS_SOTIEN,PS_TKCO,$B85,PS_MONTH,AG$3)-AE87-SUMIFS(PS_SOTIEN,PS_TKNO,$B85,PS_MONTH,AG$3)&gt;0,AF87+SUMIFS(PS_SOTIEN,PS_TKCO,$B85,PS_MONTH,AG$3)-AE87-SUMIFS(PS_SOTIEN,PS_TKNO,$B85,PS_MONTH,AG$3),0)</f>
        <v>#N/A</v>
      </c>
      <c r="AI87" s="630" t="str">
        <f t="shared" ref="AI87:AI89" si="1032">IF(AG87+SUMIFS(PS_SOTIEN,PS_TKNO,$B85,PS_MONTH,AI$3)-AH87-SUMIFS(PS_SOTIEN,PS_TKCO,$B85,PS_MONTH,AI$3)&gt;0,AG87+SUMIFS(PS_SOTIEN,PS_TKNO,$B85,PS_MONTH,AI$3)-AH87-SUMIFS(PS_SOTIEN,PS_TKCO,$B85,PS_MONTH,AI$3),0)</f>
        <v>#N/A</v>
      </c>
      <c r="AJ87" s="630" t="str">
        <f t="shared" ref="AJ87:AJ89" si="1033">IF(AH87+SUMIFS(PS_SOTIEN,PS_TKCO,$B85,PS_MONTH,AI$3)-AG87-SUMIFS(PS_SOTIEN,PS_TKNO,$B85,PS_MONTH,AI$3)&gt;0,AH87+SUMIFS(PS_SOTIEN,PS_TKCO,$B85,PS_MONTH,AI$3)-AG87-SUMIFS(PS_SOTIEN,PS_TKNO,$B85,PS_MONTH,AI$3),0)</f>
        <v>#N/A</v>
      </c>
      <c r="AK87" s="630" t="str">
        <f t="shared" ref="AK87:AK89" si="1034">IF(AI87+SUMIFS(PS_SOTIEN,PS_TKNO,$B85,PS_MONTH,AK$3)-AJ87-SUMIFS(PS_SOTIEN,PS_TKCO,$B85,PS_MONTH,AK$3)&gt;0,AI87+SUMIFS(PS_SOTIEN,PS_TKNO,$B85,PS_MONTH,AK$3)-AJ87-SUMIFS(PS_SOTIEN,PS_TKCO,$B85,PS_MONTH,AK$3),0)</f>
        <v>#N/A</v>
      </c>
      <c r="AL87" s="630" t="str">
        <f t="shared" ref="AL87:AL89" si="1035">IF(AJ87+SUMIFS(PS_SOTIEN,PS_TKCO,$B85,PS_MONTH,AK$3)-AI87-SUMIFS(PS_SOTIEN,PS_TKNO,$B85,PS_MONTH,AK$3)&gt;0,AJ87+SUMIFS(PS_SOTIEN,PS_TKCO,$B85,PS_MONTH,AK$3)-AI87-SUMIFS(PS_SOTIEN,PS_TKNO,$B85,PS_MONTH,AK$3),0)</f>
        <v>#N/A</v>
      </c>
      <c r="AM87" s="630" t="str">
        <f t="shared" ref="AM87:AM89" si="1036">IF(AK87+SUMIFS(PS_SOTIEN,PS_TKNO,$B85,PS_MONTH,AM$3)-AL87-SUMIFS(PS_SOTIEN,PS_TKCO,$B85,PS_MONTH,AM$3)&gt;0,AK87+SUMIFS(PS_SOTIEN,PS_TKNO,$B85,PS_MONTH,AM$3)-AL87-SUMIFS(PS_SOTIEN,PS_TKCO,$B85,PS_MONTH,AM$3),0)</f>
        <v>#N/A</v>
      </c>
      <c r="AN87" s="630" t="str">
        <f t="shared" ref="AN87:AN89" si="1037">IF(AL87+SUMIFS(PS_SOTIEN,PS_TKCO,$B85,PS_MONTH,AM$3)-AK87-SUMIFS(PS_SOTIEN,PS_TKNO,$B85,PS_MONTH,AM$3)&gt;0,AL87+SUMIFS(PS_SOTIEN,PS_TKCO,$B85,PS_MONTH,AM$3)-AK87-SUMIFS(PS_SOTIEN,PS_TKNO,$B85,PS_MONTH,AM$3),0)</f>
        <v>#N/A</v>
      </c>
      <c r="AO87" s="630" t="str">
        <f t="shared" ref="AO87:AO89" si="1038">IF(AM87+SUMIFS(PS_SOTIEN,PS_TKNO,$B85,PS_MONTH,AO$3)-AN87-SUMIFS(PS_SOTIEN,PS_TKCO,$B85,PS_MONTH,AO$3)&gt;0,AM87+SUMIFS(PS_SOTIEN,PS_TKNO,$B85,PS_MONTH,AO$3)-AN87-SUMIFS(PS_SOTIEN,PS_TKCO,$B85,PS_MONTH,AO$3),0)</f>
        <v>#N/A</v>
      </c>
      <c r="AP87" s="630" t="str">
        <f t="shared" ref="AP87:AP89" si="1039">IF(AN87+SUMIFS(PS_SOTIEN,PS_TKCO,$B85,PS_MONTH,AO$3)-AM87-SUMIFS(PS_SOTIEN,PS_TKNO,$B85,PS_MONTH,AO$3)&gt;0,AN87+SUMIFS(PS_SOTIEN,PS_TKCO,$B85,PS_MONTH,AO$3)-AM87-SUMIFS(PS_SOTIEN,PS_TKNO,$B85,PS_MONTH,AO$3),0)</f>
        <v>#N/A</v>
      </c>
      <c r="AQ87" s="630" t="str">
        <f t="shared" ref="AQ87:AQ89" si="1040">IF(AO87+SUMIFS(PS_SOTIEN,PS_TKNO,$B85,PS_MONTH,AQ$3)-AP87-SUMIFS(PS_SOTIEN,PS_TKCO,$B85,PS_MONTH,AQ$3)&gt;0,AO87+SUMIFS(PS_SOTIEN,PS_TKNO,$B85,PS_MONTH,AQ$3)-AP87-SUMIFS(PS_SOTIEN,PS_TKCO,$B85,PS_MONTH,AQ$3),0)</f>
        <v>#N/A</v>
      </c>
      <c r="AR87" s="630" t="str">
        <f t="shared" ref="AR87:AR89" si="1041">IF(AP87+SUMIFS(PS_SOTIEN,PS_TKCO,$B85,PS_MONTH,AQ$3)-AO87-SUMIFS(PS_SOTIEN,PS_TKNO,$B85,PS_MONTH,AQ$3)&gt;0,AP87+SUMIFS(PS_SOTIEN,PS_TKCO,$B85,PS_MONTH,AQ$3)-AO87-SUMIFS(PS_SOTIEN,PS_TKNO,$B85,PS_MONTH,AQ$3),0)</f>
        <v>#N/A</v>
      </c>
      <c r="AS87" s="630" t="str">
        <f t="shared" ref="AS87:AS89" si="1042">IF(AQ87+SUMIFS(PS_SOTIEN,PS_TKNO,$B85,PS_MONTH,AS$3)-AR87-SUMIFS(PS_SOTIEN,PS_TKCO,$B85,PS_MONTH,AS$3)&gt;0,AQ87+SUMIFS(PS_SOTIEN,PS_TKNO,$B85,PS_MONTH,AS$3)-AR87-SUMIFS(PS_SOTIEN,PS_TKCO,$B85,PS_MONTH,AS$3),0)</f>
        <v>#N/A</v>
      </c>
      <c r="AT87" s="630" t="str">
        <f t="shared" ref="AT87:AT89" si="1043">IF(AR87+SUMIFS(PS_SOTIEN,PS_TKCO,$B85,PS_MONTH,AS$3)-AQ87-SUMIFS(PS_SOTIEN,PS_TKNO,$B85,PS_MONTH,AS$3)&gt;0,AR87+SUMIFS(PS_SOTIEN,PS_TKCO,$B85,PS_MONTH,AS$3)-AQ87-SUMIFS(PS_SOTIEN,PS_TKNO,$B85,PS_MONTH,AS$3),0)</f>
        <v>#N/A</v>
      </c>
      <c r="AU87" s="630" t="str">
        <f t="shared" ref="AU87:AU89" si="1044">IF(AS87+SUMIFS(PS_SOTIEN,PS_TKNO,$B85,PS_MONTH,AU$3)-AT87-SUMIFS(PS_SOTIEN,PS_TKCO,$B85,PS_MONTH,AU$3)&gt;0,AS87+SUMIFS(PS_SOTIEN,PS_TKNO,$B85,PS_MONTH,AU$3)-AT87-SUMIFS(PS_SOTIEN,PS_TKCO,$B85,PS_MONTH,AU$3),0)</f>
        <v>#N/A</v>
      </c>
      <c r="AV87" s="630" t="str">
        <f t="shared" ref="AV87:AV89" si="1045">IF(AT87+SUMIFS(PS_SOTIEN,PS_TKCO,$B85,PS_MONTH,AU$3)-AS87-SUMIFS(PS_SOTIEN,PS_TKNO,$B85,PS_MONTH,AU$3)&gt;0,AT87+SUMIFS(PS_SOTIEN,PS_TKCO,$B85,PS_MONTH,AU$3)-AS87-SUMIFS(PS_SOTIEN,PS_TKNO,$B85,PS_MONTH,AU$3),0)</f>
        <v>#N/A</v>
      </c>
      <c r="AW87" s="630" t="str">
        <f t="shared" ref="AW87:AW89" si="1046">IF(AU87+SUMIFS(PS_SOTIEN,PS_TKNO,$B85,PS_MONTH,AW$3)-AV87-SUMIFS(PS_SOTIEN,PS_TKCO,$B85,PS_MONTH,AW$3)&gt;0,AU87+SUMIFS(PS_SOTIEN,PS_TKNO,$B85,PS_MONTH,AW$3)-AV87-SUMIFS(PS_SOTIEN,PS_TKCO,$B85,PS_MONTH,AW$3),0)</f>
        <v>#N/A</v>
      </c>
      <c r="AX87" s="630" t="str">
        <f t="shared" ref="AX87:AX89" si="1047">IF(AV87+SUMIFS(PS_SOTIEN,PS_TKCO,$B85,PS_MONTH,AW$3)-AU87-SUMIFS(PS_SOTIEN,PS_TKNO,$B85,PS_MONTH,AW$3)&gt;0,AV87+SUMIFS(PS_SOTIEN,PS_TKCO,$B85,PS_MONTH,AW$3)-AU87-SUMIFS(PS_SOTIEN,PS_TKNO,$B85,PS_MONTH,AW$3),0)</f>
        <v>#N/A</v>
      </c>
    </row>
    <row r="88">
      <c r="A88" s="1448"/>
      <c r="B88" s="1440"/>
      <c r="C88" s="1449" t="s">
        <v>1391</v>
      </c>
      <c r="D88" s="1433" t="s">
        <v>1392</v>
      </c>
      <c r="E88" s="1450"/>
      <c r="F88" s="1450"/>
      <c r="G88" s="1450">
        <f>SUMIF(AC_TKNO,$C88,AC_SOTIEN)</f>
        <v>0</v>
      </c>
      <c r="H88" s="1450">
        <f>SUMIF(AC_TKCO,$C88,AC_SOTIEN)</f>
        <v>0</v>
      </c>
      <c r="I88" s="1450" t="str">
        <f t="shared" si="1015"/>
        <v>-</v>
      </c>
      <c r="J88" s="1450" t="str">
        <f t="shared" si="1016"/>
        <v>-</v>
      </c>
      <c r="K88" s="1443"/>
      <c r="L88" s="1443"/>
      <c r="M88" s="1444" t="str">
        <f t="shared" ref="M88:N88" si="1017">S88</f>
        <v>#N/A</v>
      </c>
      <c r="N88" s="1444" t="str">
        <f t="shared" si="1017"/>
        <v>#N/A</v>
      </c>
      <c r="O88" s="1444" t="str">
        <f t="shared" ref="O88:P88" si="1018">W88</f>
        <v>#N/A</v>
      </c>
      <c r="P88" s="1444" t="str">
        <f t="shared" si="1018"/>
        <v>#N/A</v>
      </c>
      <c r="Q88" s="1445" t="str">
        <f t="shared" ref="Q88:R88" si="1019">AE88</f>
        <v>#N/A</v>
      </c>
      <c r="R88" s="1445" t="str">
        <f t="shared" si="1019"/>
        <v>#N/A</v>
      </c>
      <c r="S88" s="1445" t="str">
        <f t="shared" ref="S88:T88" si="1020">AK88</f>
        <v>#N/A</v>
      </c>
      <c r="T88" s="1445" t="str">
        <f t="shared" si="1020"/>
        <v>#N/A</v>
      </c>
      <c r="U88" s="1445" t="str">
        <f t="shared" ref="U88:V88" si="1021">AQ88</f>
        <v>#N/A</v>
      </c>
      <c r="V88" s="1445" t="str">
        <f t="shared" si="1021"/>
        <v>#N/A</v>
      </c>
      <c r="W88" s="1445" t="str">
        <f t="shared" ref="W88:X88" si="1022">AW88</f>
        <v>#N/A</v>
      </c>
      <c r="X88" s="1445" t="str">
        <f t="shared" si="1022"/>
        <v>#N/A</v>
      </c>
      <c r="Y88" s="630" t="str">
        <f t="shared" ref="Y88:Z88" si="1023">E88</f>
        <v/>
      </c>
      <c r="Z88" s="630" t="str">
        <f t="shared" si="1023"/>
        <v/>
      </c>
      <c r="AA88" s="630" t="str">
        <f t="shared" si="1024"/>
        <v>#N/A</v>
      </c>
      <c r="AB88" s="630" t="str">
        <f t="shared" si="1025"/>
        <v>#N/A</v>
      </c>
      <c r="AC88" s="630" t="str">
        <f t="shared" si="1026"/>
        <v>#N/A</v>
      </c>
      <c r="AD88" s="630" t="str">
        <f t="shared" si="1027"/>
        <v>#N/A</v>
      </c>
      <c r="AE88" s="630" t="str">
        <f t="shared" si="1028"/>
        <v>#N/A</v>
      </c>
      <c r="AF88" s="630" t="str">
        <f t="shared" si="1029"/>
        <v>#N/A</v>
      </c>
      <c r="AG88" s="630" t="str">
        <f t="shared" si="1030"/>
        <v>#N/A</v>
      </c>
      <c r="AH88" s="630" t="str">
        <f t="shared" si="1031"/>
        <v>#N/A</v>
      </c>
      <c r="AI88" s="630" t="str">
        <f t="shared" si="1032"/>
        <v>#N/A</v>
      </c>
      <c r="AJ88" s="630" t="str">
        <f t="shared" si="1033"/>
        <v>#N/A</v>
      </c>
      <c r="AK88" s="630" t="str">
        <f t="shared" si="1034"/>
        <v>#N/A</v>
      </c>
      <c r="AL88" s="630" t="str">
        <f t="shared" si="1035"/>
        <v>#N/A</v>
      </c>
      <c r="AM88" s="630" t="str">
        <f t="shared" si="1036"/>
        <v>#N/A</v>
      </c>
      <c r="AN88" s="630" t="str">
        <f t="shared" si="1037"/>
        <v>#N/A</v>
      </c>
      <c r="AO88" s="630" t="str">
        <f t="shared" si="1038"/>
        <v>#N/A</v>
      </c>
      <c r="AP88" s="630" t="str">
        <f t="shared" si="1039"/>
        <v>#N/A</v>
      </c>
      <c r="AQ88" s="630" t="str">
        <f t="shared" si="1040"/>
        <v>#N/A</v>
      </c>
      <c r="AR88" s="630" t="str">
        <f t="shared" si="1041"/>
        <v>#N/A</v>
      </c>
      <c r="AS88" s="630" t="str">
        <f t="shared" si="1042"/>
        <v>#N/A</v>
      </c>
      <c r="AT88" s="630" t="str">
        <f t="shared" si="1043"/>
        <v>#N/A</v>
      </c>
      <c r="AU88" s="630" t="str">
        <f t="shared" si="1044"/>
        <v>#N/A</v>
      </c>
      <c r="AV88" s="630" t="str">
        <f t="shared" si="1045"/>
        <v>#N/A</v>
      </c>
      <c r="AW88" s="630" t="str">
        <f t="shared" si="1046"/>
        <v>#N/A</v>
      </c>
      <c r="AX88" s="630" t="str">
        <f t="shared" si="1047"/>
        <v>#N/A</v>
      </c>
    </row>
    <row r="89">
      <c r="A89" s="1452" t="s">
        <v>2986</v>
      </c>
      <c r="B89" s="1439" t="s">
        <v>3097</v>
      </c>
      <c r="C89" s="1440"/>
      <c r="D89" s="1441" t="s">
        <v>3098</v>
      </c>
      <c r="E89" s="1442">
        <f t="shared" ref="E89:J89" si="1048">SUM(E90:E93)</f>
        <v>0</v>
      </c>
      <c r="F89" s="1442">
        <f t="shared" si="1048"/>
        <v>0</v>
      </c>
      <c r="G89" s="1442">
        <f t="shared" si="1048"/>
        <v>0</v>
      </c>
      <c r="H89" s="1442">
        <f t="shared" si="1048"/>
        <v>0</v>
      </c>
      <c r="I89" s="1442">
        <f t="shared" si="1048"/>
        <v>0</v>
      </c>
      <c r="J89" s="1442">
        <f t="shared" si="1048"/>
        <v>0</v>
      </c>
      <c r="K89" s="1443"/>
      <c r="L89" s="1443"/>
      <c r="M89" s="1444" t="str">
        <f t="shared" ref="M89:N89" si="1049">S89</f>
        <v>#N/A</v>
      </c>
      <c r="N89" s="1444" t="str">
        <f t="shared" si="1049"/>
        <v>#N/A</v>
      </c>
      <c r="O89" s="1444" t="str">
        <f t="shared" ref="O89:P89" si="1050">W89</f>
        <v>#N/A</v>
      </c>
      <c r="P89" s="1444" t="str">
        <f t="shared" si="1050"/>
        <v>#N/A</v>
      </c>
      <c r="Q89" s="1445" t="str">
        <f t="shared" ref="Q89:R89" si="1051">AE89</f>
        <v>#N/A</v>
      </c>
      <c r="R89" s="1445" t="str">
        <f t="shared" si="1051"/>
        <v>#N/A</v>
      </c>
      <c r="S89" s="1445" t="str">
        <f t="shared" ref="S89:T89" si="1052">AK89</f>
        <v>#N/A</v>
      </c>
      <c r="T89" s="1445" t="str">
        <f t="shared" si="1052"/>
        <v>#N/A</v>
      </c>
      <c r="U89" s="1445" t="str">
        <f t="shared" ref="U89:V89" si="1053">AQ89</f>
        <v>#N/A</v>
      </c>
      <c r="V89" s="1445" t="str">
        <f t="shared" si="1053"/>
        <v>#N/A</v>
      </c>
      <c r="W89" s="1445" t="str">
        <f t="shared" ref="W89:X89" si="1054">AW89</f>
        <v>#N/A</v>
      </c>
      <c r="X89" s="1445" t="str">
        <f t="shared" si="1054"/>
        <v>#N/A</v>
      </c>
      <c r="Y89" s="630">
        <f t="shared" ref="Y89:Z89" si="1055">E89</f>
        <v>0</v>
      </c>
      <c r="Z89" s="630">
        <f t="shared" si="1055"/>
        <v>0</v>
      </c>
      <c r="AA89" s="630" t="str">
        <f t="shared" si="1024"/>
        <v>#N/A</v>
      </c>
      <c r="AB89" s="630" t="str">
        <f t="shared" si="1025"/>
        <v>#N/A</v>
      </c>
      <c r="AC89" s="630" t="str">
        <f t="shared" si="1026"/>
        <v>#N/A</v>
      </c>
      <c r="AD89" s="630" t="str">
        <f t="shared" si="1027"/>
        <v>#N/A</v>
      </c>
      <c r="AE89" s="630" t="str">
        <f t="shared" si="1028"/>
        <v>#N/A</v>
      </c>
      <c r="AF89" s="630" t="str">
        <f t="shared" si="1029"/>
        <v>#N/A</v>
      </c>
      <c r="AG89" s="630" t="str">
        <f t="shared" si="1030"/>
        <v>#N/A</v>
      </c>
      <c r="AH89" s="630" t="str">
        <f t="shared" si="1031"/>
        <v>#N/A</v>
      </c>
      <c r="AI89" s="630" t="str">
        <f t="shared" si="1032"/>
        <v>#N/A</v>
      </c>
      <c r="AJ89" s="630" t="str">
        <f t="shared" si="1033"/>
        <v>#N/A</v>
      </c>
      <c r="AK89" s="630" t="str">
        <f t="shared" si="1034"/>
        <v>#N/A</v>
      </c>
      <c r="AL89" s="630" t="str">
        <f t="shared" si="1035"/>
        <v>#N/A</v>
      </c>
      <c r="AM89" s="630" t="str">
        <f t="shared" si="1036"/>
        <v>#N/A</v>
      </c>
      <c r="AN89" s="630" t="str">
        <f t="shared" si="1037"/>
        <v>#N/A</v>
      </c>
      <c r="AO89" s="630" t="str">
        <f t="shared" si="1038"/>
        <v>#N/A</v>
      </c>
      <c r="AP89" s="630" t="str">
        <f t="shared" si="1039"/>
        <v>#N/A</v>
      </c>
      <c r="AQ89" s="630" t="str">
        <f t="shared" si="1040"/>
        <v>#N/A</v>
      </c>
      <c r="AR89" s="630" t="str">
        <f t="shared" si="1041"/>
        <v>#N/A</v>
      </c>
      <c r="AS89" s="630" t="str">
        <f t="shared" si="1042"/>
        <v>#N/A</v>
      </c>
      <c r="AT89" s="630" t="str">
        <f t="shared" si="1043"/>
        <v>#N/A</v>
      </c>
      <c r="AU89" s="630" t="str">
        <f t="shared" si="1044"/>
        <v>#N/A</v>
      </c>
      <c r="AV89" s="630" t="str">
        <f t="shared" si="1045"/>
        <v>#N/A</v>
      </c>
      <c r="AW89" s="630" t="str">
        <f t="shared" si="1046"/>
        <v>#N/A</v>
      </c>
      <c r="AX89" s="630" t="str">
        <f t="shared" si="1047"/>
        <v>#N/A</v>
      </c>
    </row>
    <row r="90">
      <c r="A90" s="1448"/>
      <c r="B90" s="1440"/>
      <c r="C90" s="1449" t="s">
        <v>1394</v>
      </c>
      <c r="D90" s="1433" t="s">
        <v>1395</v>
      </c>
      <c r="E90" s="1450"/>
      <c r="F90" s="1450"/>
      <c r="G90" s="1450">
        <f>SUMIF(AC_TKNO,$C90,AC_SOTIEN)</f>
        <v>0</v>
      </c>
      <c r="H90" s="1450">
        <f>SUMIF(AC_TKCO,$C90,AC_SOTIEN)</f>
        <v>0</v>
      </c>
      <c r="I90" s="1450" t="str">
        <f t="shared" ref="I90:I93" si="1063">IF(E90+G90-F90-H90&gt;0,E90+G90-F90-H90,"-")</f>
        <v>-</v>
      </c>
      <c r="J90" s="1450" t="str">
        <f t="shared" ref="J90:J93" si="1064">IF(F90+H90-E90-G90&gt;0,F90+H90-E90-G90,"-")</f>
        <v>-</v>
      </c>
      <c r="K90" s="1443"/>
      <c r="L90" s="1443"/>
      <c r="M90" s="1444" t="str">
        <f t="shared" ref="M90:N90" si="1056">S90</f>
        <v>#N/A</v>
      </c>
      <c r="N90" s="1444" t="str">
        <f t="shared" si="1056"/>
        <v>#N/A</v>
      </c>
      <c r="O90" s="1444" t="str">
        <f t="shared" ref="O90:P90" si="1057">W90</f>
        <v>#N/A</v>
      </c>
      <c r="P90" s="1444" t="str">
        <f t="shared" si="1057"/>
        <v>#N/A</v>
      </c>
      <c r="Q90" s="1445" t="str">
        <f t="shared" ref="Q90:R90" si="1058">AE90</f>
        <v>#N/A</v>
      </c>
      <c r="R90" s="1445" t="str">
        <f t="shared" si="1058"/>
        <v>#N/A</v>
      </c>
      <c r="S90" s="1445" t="str">
        <f t="shared" ref="S90:T90" si="1059">AK90</f>
        <v>#N/A</v>
      </c>
      <c r="T90" s="1445" t="str">
        <f t="shared" si="1059"/>
        <v>#N/A</v>
      </c>
      <c r="U90" s="1445" t="str">
        <f t="shared" ref="U90:V90" si="1060">AQ90</f>
        <v>#N/A</v>
      </c>
      <c r="V90" s="1445" t="str">
        <f t="shared" si="1060"/>
        <v>#N/A</v>
      </c>
      <c r="W90" s="1445" t="str">
        <f t="shared" ref="W90:X90" si="1061">AW90</f>
        <v>#N/A</v>
      </c>
      <c r="X90" s="1445" t="str">
        <f t="shared" si="1061"/>
        <v>#N/A</v>
      </c>
      <c r="Y90" s="1447">
        <f t="shared" ref="Y90:AX90" si="1062">SUM(Y91:Y92)</f>
        <v>0</v>
      </c>
      <c r="Z90" s="1447">
        <f t="shared" si="1062"/>
        <v>0</v>
      </c>
      <c r="AA90" s="1447" t="str">
        <f t="shared" si="1062"/>
        <v>#N/A</v>
      </c>
      <c r="AB90" s="1447" t="str">
        <f t="shared" si="1062"/>
        <v>#N/A</v>
      </c>
      <c r="AC90" s="1447" t="str">
        <f t="shared" si="1062"/>
        <v>#N/A</v>
      </c>
      <c r="AD90" s="1447" t="str">
        <f t="shared" si="1062"/>
        <v>#N/A</v>
      </c>
      <c r="AE90" s="1447" t="str">
        <f t="shared" si="1062"/>
        <v>#N/A</v>
      </c>
      <c r="AF90" s="1447" t="str">
        <f t="shared" si="1062"/>
        <v>#N/A</v>
      </c>
      <c r="AG90" s="1447" t="str">
        <f t="shared" si="1062"/>
        <v>#N/A</v>
      </c>
      <c r="AH90" s="1447" t="str">
        <f t="shared" si="1062"/>
        <v>#N/A</v>
      </c>
      <c r="AI90" s="1447" t="str">
        <f t="shared" si="1062"/>
        <v>#N/A</v>
      </c>
      <c r="AJ90" s="1447" t="str">
        <f t="shared" si="1062"/>
        <v>#N/A</v>
      </c>
      <c r="AK90" s="1447" t="str">
        <f t="shared" si="1062"/>
        <v>#N/A</v>
      </c>
      <c r="AL90" s="1447" t="str">
        <f t="shared" si="1062"/>
        <v>#N/A</v>
      </c>
      <c r="AM90" s="1447" t="str">
        <f t="shared" si="1062"/>
        <v>#N/A</v>
      </c>
      <c r="AN90" s="1447" t="str">
        <f t="shared" si="1062"/>
        <v>#N/A</v>
      </c>
      <c r="AO90" s="1447" t="str">
        <f t="shared" si="1062"/>
        <v>#N/A</v>
      </c>
      <c r="AP90" s="1447" t="str">
        <f t="shared" si="1062"/>
        <v>#N/A</v>
      </c>
      <c r="AQ90" s="1447" t="str">
        <f t="shared" si="1062"/>
        <v>#N/A</v>
      </c>
      <c r="AR90" s="1447" t="str">
        <f t="shared" si="1062"/>
        <v>#N/A</v>
      </c>
      <c r="AS90" s="1447" t="str">
        <f t="shared" si="1062"/>
        <v>#N/A</v>
      </c>
      <c r="AT90" s="1447" t="str">
        <f t="shared" si="1062"/>
        <v>#N/A</v>
      </c>
      <c r="AU90" s="1447" t="str">
        <f t="shared" si="1062"/>
        <v>#N/A</v>
      </c>
      <c r="AV90" s="1447" t="str">
        <f t="shared" si="1062"/>
        <v>#N/A</v>
      </c>
      <c r="AW90" s="1447" t="str">
        <f t="shared" si="1062"/>
        <v>#N/A</v>
      </c>
      <c r="AX90" s="1447" t="str">
        <f t="shared" si="1062"/>
        <v>#N/A</v>
      </c>
    </row>
    <row r="91">
      <c r="A91" s="1448"/>
      <c r="B91" s="1440"/>
      <c r="C91" s="1449" t="s">
        <v>1396</v>
      </c>
      <c r="D91" s="1433" t="s">
        <v>1397</v>
      </c>
      <c r="E91" s="1450"/>
      <c r="F91" s="1450"/>
      <c r="G91" s="1450">
        <f>SUMIF(AC_TKNO,$C91,AC_SOTIEN)</f>
        <v>0</v>
      </c>
      <c r="H91" s="1450">
        <f>SUMIF(AC_TKCO,$C91,AC_SOTIEN)</f>
        <v>0</v>
      </c>
      <c r="I91" s="1450" t="str">
        <f t="shared" si="1063"/>
        <v>-</v>
      </c>
      <c r="J91" s="1450" t="str">
        <f t="shared" si="1064"/>
        <v>-</v>
      </c>
      <c r="K91" s="1443"/>
      <c r="L91" s="1443"/>
      <c r="M91" s="1444" t="str">
        <f t="shared" ref="M91:N91" si="1065">S91</f>
        <v>#N/A</v>
      </c>
      <c r="N91" s="1444" t="str">
        <f t="shared" si="1065"/>
        <v>#N/A</v>
      </c>
      <c r="O91" s="1444" t="str">
        <f t="shared" ref="O91:P91" si="1066">W91</f>
        <v>#N/A</v>
      </c>
      <c r="P91" s="1444" t="str">
        <f t="shared" si="1066"/>
        <v>#N/A</v>
      </c>
      <c r="Q91" s="1445" t="str">
        <f t="shared" ref="Q91:R91" si="1067">AE91</f>
        <v>#N/A</v>
      </c>
      <c r="R91" s="1445" t="str">
        <f t="shared" si="1067"/>
        <v>#N/A</v>
      </c>
      <c r="S91" s="1445" t="str">
        <f t="shared" ref="S91:T91" si="1068">AK91</f>
        <v>#N/A</v>
      </c>
      <c r="T91" s="1445" t="str">
        <f t="shared" si="1068"/>
        <v>#N/A</v>
      </c>
      <c r="U91" s="1445" t="str">
        <f t="shared" ref="U91:V91" si="1069">AQ91</f>
        <v>#N/A</v>
      </c>
      <c r="V91" s="1445" t="str">
        <f t="shared" si="1069"/>
        <v>#N/A</v>
      </c>
      <c r="W91" s="1445" t="str">
        <f t="shared" ref="W91:X91" si="1070">AW91</f>
        <v>#N/A</v>
      </c>
      <c r="X91" s="1445" t="str">
        <f t="shared" si="1070"/>
        <v>#N/A</v>
      </c>
      <c r="Y91" s="630" t="str">
        <f t="shared" ref="Y91:Z91" si="1071">E91</f>
        <v/>
      </c>
      <c r="Z91" s="630" t="str">
        <f t="shared" si="1071"/>
        <v/>
      </c>
      <c r="AA91" s="630" t="str">
        <f t="shared" ref="AA91:AA93" si="1079">IF(Y91+SUMIFS(PS_SOTIEN,PS_TKNO,$B89,PS_MONTH,AA$3)-Z91-SUMIFS(PS_SOTIEN,PS_TKCO,$B89,PS_MONTH,AA$3)&gt;0,Y91+SUMIFS(PS_SOTIEN,PS_TKNO,$B89,PS_MONTH,AA$3)-Z91-SUMIFS(PS_SOTIEN,PS_TKCO,$B89,PS_MONTH,AA$3),0)</f>
        <v>#N/A</v>
      </c>
      <c r="AB91" s="630" t="str">
        <f t="shared" ref="AB91:AB93" si="1080">IF(Z91+SUMIFS(PS_SOTIEN,PS_TKCO,$B89,PS_MONTH,AA$3)-Y91-SUMIFS(PS_SOTIEN,PS_TKNO,$B89,PS_MONTH,AA$3)&gt;0,Z91+SUMIFS(PS_SOTIEN,PS_TKCO,$B89,PS_MONTH,AA$3)-Y91-SUMIFS(PS_SOTIEN,PS_TKNO,$B89,PS_MONTH,AA$3),0)</f>
        <v>#N/A</v>
      </c>
      <c r="AC91" s="630" t="str">
        <f t="shared" ref="AC91:AC93" si="1081">IF(AA91+SUMIFS(PS_SOTIEN,PS_TKNO,$B89,PS_MONTH,AC$3)-AB91-SUMIFS(PS_SOTIEN,PS_TKCO,$B89,PS_MONTH,AC$3)&gt;0,AA91+SUMIFS(PS_SOTIEN,PS_TKNO,$B89,PS_MONTH,AC$3)-AB91-SUMIFS(PS_SOTIEN,PS_TKCO,$B89,PS_MONTH,AC$3),0)</f>
        <v>#N/A</v>
      </c>
      <c r="AD91" s="630" t="str">
        <f t="shared" ref="AD91:AD93" si="1082">IF(AB91+SUMIFS(PS_SOTIEN,PS_TKCO,$B89,PS_MONTH,AC$3)-AA91-SUMIFS(PS_SOTIEN,PS_TKNO,$B89,PS_MONTH,AC$3)&gt;0,AB91+SUMIFS(PS_SOTIEN,PS_TKCO,$B89,PS_MONTH,AC$3)-AA91-SUMIFS(PS_SOTIEN,PS_TKNO,$B89,PS_MONTH,AC$3),0)</f>
        <v>#N/A</v>
      </c>
      <c r="AE91" s="630" t="str">
        <f t="shared" ref="AE91:AE93" si="1083">IF(AC91+SUMIFS(PS_SOTIEN,PS_TKNO,$B89,PS_MONTH,AE$3)-AD91-SUMIFS(PS_SOTIEN,PS_TKCO,$B89,PS_MONTH,AE$3)&gt;0,AC91+SUMIFS(PS_SOTIEN,PS_TKNO,$B89,PS_MONTH,AE$3)-AD91-SUMIFS(PS_SOTIEN,PS_TKCO,$B89,PS_MONTH,AE$3),0)</f>
        <v>#N/A</v>
      </c>
      <c r="AF91" s="630" t="str">
        <f t="shared" ref="AF91:AF93" si="1084">IF(AD91+SUMIFS(PS_SOTIEN,PS_TKCO,$B89,PS_MONTH,AE$3)-AC91-SUMIFS(PS_SOTIEN,PS_TKNO,$B89,PS_MONTH,AE$3)&gt;0,AD91+SUMIFS(PS_SOTIEN,PS_TKCO,$B89,PS_MONTH,AE$3)-AC91-SUMIFS(PS_SOTIEN,PS_TKNO,$B89,PS_MONTH,AE$3),0)</f>
        <v>#N/A</v>
      </c>
      <c r="AG91" s="630" t="str">
        <f t="shared" ref="AG91:AG93" si="1085">IF(AE91+SUMIFS(PS_SOTIEN,PS_TKNO,$B89,PS_MONTH,AG$3)-AF91-SUMIFS(PS_SOTIEN,PS_TKCO,$B89,PS_MONTH,AG$3)&gt;0,AE91+SUMIFS(PS_SOTIEN,PS_TKNO,$B89,PS_MONTH,AG$3)-AF91-SUMIFS(PS_SOTIEN,PS_TKCO,$B89,PS_MONTH,AG$3),0)</f>
        <v>#N/A</v>
      </c>
      <c r="AH91" s="630" t="str">
        <f t="shared" ref="AH91:AH93" si="1086">IF(AF91+SUMIFS(PS_SOTIEN,PS_TKCO,$B89,PS_MONTH,AG$3)-AE91-SUMIFS(PS_SOTIEN,PS_TKNO,$B89,PS_MONTH,AG$3)&gt;0,AF91+SUMIFS(PS_SOTIEN,PS_TKCO,$B89,PS_MONTH,AG$3)-AE91-SUMIFS(PS_SOTIEN,PS_TKNO,$B89,PS_MONTH,AG$3),0)</f>
        <v>#N/A</v>
      </c>
      <c r="AI91" s="630" t="str">
        <f t="shared" ref="AI91:AI93" si="1087">IF(AG91+SUMIFS(PS_SOTIEN,PS_TKNO,$B89,PS_MONTH,AI$3)-AH91-SUMIFS(PS_SOTIEN,PS_TKCO,$B89,PS_MONTH,AI$3)&gt;0,AG91+SUMIFS(PS_SOTIEN,PS_TKNO,$B89,PS_MONTH,AI$3)-AH91-SUMIFS(PS_SOTIEN,PS_TKCO,$B89,PS_MONTH,AI$3),0)</f>
        <v>#N/A</v>
      </c>
      <c r="AJ91" s="630" t="str">
        <f t="shared" ref="AJ91:AJ93" si="1088">IF(AH91+SUMIFS(PS_SOTIEN,PS_TKCO,$B89,PS_MONTH,AI$3)-AG91-SUMIFS(PS_SOTIEN,PS_TKNO,$B89,PS_MONTH,AI$3)&gt;0,AH91+SUMIFS(PS_SOTIEN,PS_TKCO,$B89,PS_MONTH,AI$3)-AG91-SUMIFS(PS_SOTIEN,PS_TKNO,$B89,PS_MONTH,AI$3),0)</f>
        <v>#N/A</v>
      </c>
      <c r="AK91" s="630" t="str">
        <f t="shared" ref="AK91:AK93" si="1089">IF(AI91+SUMIFS(PS_SOTIEN,PS_TKNO,$B89,PS_MONTH,AK$3)-AJ91-SUMIFS(PS_SOTIEN,PS_TKCO,$B89,PS_MONTH,AK$3)&gt;0,AI91+SUMIFS(PS_SOTIEN,PS_TKNO,$B89,PS_MONTH,AK$3)-AJ91-SUMIFS(PS_SOTIEN,PS_TKCO,$B89,PS_MONTH,AK$3),0)</f>
        <v>#N/A</v>
      </c>
      <c r="AL91" s="630" t="str">
        <f t="shared" ref="AL91:AL93" si="1090">IF(AJ91+SUMIFS(PS_SOTIEN,PS_TKCO,$B89,PS_MONTH,AK$3)-AI91-SUMIFS(PS_SOTIEN,PS_TKNO,$B89,PS_MONTH,AK$3)&gt;0,AJ91+SUMIFS(PS_SOTIEN,PS_TKCO,$B89,PS_MONTH,AK$3)-AI91-SUMIFS(PS_SOTIEN,PS_TKNO,$B89,PS_MONTH,AK$3),0)</f>
        <v>#N/A</v>
      </c>
      <c r="AM91" s="630" t="str">
        <f t="shared" ref="AM91:AM93" si="1091">IF(AK91+SUMIFS(PS_SOTIEN,PS_TKNO,$B89,PS_MONTH,AM$3)-AL91-SUMIFS(PS_SOTIEN,PS_TKCO,$B89,PS_MONTH,AM$3)&gt;0,AK91+SUMIFS(PS_SOTIEN,PS_TKNO,$B89,PS_MONTH,AM$3)-AL91-SUMIFS(PS_SOTIEN,PS_TKCO,$B89,PS_MONTH,AM$3),0)</f>
        <v>#N/A</v>
      </c>
      <c r="AN91" s="630" t="str">
        <f t="shared" ref="AN91:AN93" si="1092">IF(AL91+SUMIFS(PS_SOTIEN,PS_TKCO,$B89,PS_MONTH,AM$3)-AK91-SUMIFS(PS_SOTIEN,PS_TKNO,$B89,PS_MONTH,AM$3)&gt;0,AL91+SUMIFS(PS_SOTIEN,PS_TKCO,$B89,PS_MONTH,AM$3)-AK91-SUMIFS(PS_SOTIEN,PS_TKNO,$B89,PS_MONTH,AM$3),0)</f>
        <v>#N/A</v>
      </c>
      <c r="AO91" s="630" t="str">
        <f t="shared" ref="AO91:AO93" si="1093">IF(AM91+SUMIFS(PS_SOTIEN,PS_TKNO,$B89,PS_MONTH,AO$3)-AN91-SUMIFS(PS_SOTIEN,PS_TKCO,$B89,PS_MONTH,AO$3)&gt;0,AM91+SUMIFS(PS_SOTIEN,PS_TKNO,$B89,PS_MONTH,AO$3)-AN91-SUMIFS(PS_SOTIEN,PS_TKCO,$B89,PS_MONTH,AO$3),0)</f>
        <v>#N/A</v>
      </c>
      <c r="AP91" s="630" t="str">
        <f t="shared" ref="AP91:AP93" si="1094">IF(AN91+SUMIFS(PS_SOTIEN,PS_TKCO,$B89,PS_MONTH,AO$3)-AM91-SUMIFS(PS_SOTIEN,PS_TKNO,$B89,PS_MONTH,AO$3)&gt;0,AN91+SUMIFS(PS_SOTIEN,PS_TKCO,$B89,PS_MONTH,AO$3)-AM91-SUMIFS(PS_SOTIEN,PS_TKNO,$B89,PS_MONTH,AO$3),0)</f>
        <v>#N/A</v>
      </c>
      <c r="AQ91" s="630" t="str">
        <f t="shared" ref="AQ91:AQ93" si="1095">IF(AO91+SUMIFS(PS_SOTIEN,PS_TKNO,$B89,PS_MONTH,AQ$3)-AP91-SUMIFS(PS_SOTIEN,PS_TKCO,$B89,PS_MONTH,AQ$3)&gt;0,AO91+SUMIFS(PS_SOTIEN,PS_TKNO,$B89,PS_MONTH,AQ$3)-AP91-SUMIFS(PS_SOTIEN,PS_TKCO,$B89,PS_MONTH,AQ$3),0)</f>
        <v>#N/A</v>
      </c>
      <c r="AR91" s="630" t="str">
        <f t="shared" ref="AR91:AR93" si="1096">IF(AP91+SUMIFS(PS_SOTIEN,PS_TKCO,$B89,PS_MONTH,AQ$3)-AO91-SUMIFS(PS_SOTIEN,PS_TKNO,$B89,PS_MONTH,AQ$3)&gt;0,AP91+SUMIFS(PS_SOTIEN,PS_TKCO,$B89,PS_MONTH,AQ$3)-AO91-SUMIFS(PS_SOTIEN,PS_TKNO,$B89,PS_MONTH,AQ$3),0)</f>
        <v>#N/A</v>
      </c>
      <c r="AS91" s="630" t="str">
        <f t="shared" ref="AS91:AS93" si="1097">IF(AQ91+SUMIFS(PS_SOTIEN,PS_TKNO,$B89,PS_MONTH,AS$3)-AR91-SUMIFS(PS_SOTIEN,PS_TKCO,$B89,PS_MONTH,AS$3)&gt;0,AQ91+SUMIFS(PS_SOTIEN,PS_TKNO,$B89,PS_MONTH,AS$3)-AR91-SUMIFS(PS_SOTIEN,PS_TKCO,$B89,PS_MONTH,AS$3),0)</f>
        <v>#N/A</v>
      </c>
      <c r="AT91" s="630" t="str">
        <f t="shared" ref="AT91:AT93" si="1098">IF(AR91+SUMIFS(PS_SOTIEN,PS_TKCO,$B89,PS_MONTH,AS$3)-AQ91-SUMIFS(PS_SOTIEN,PS_TKNO,$B89,PS_MONTH,AS$3)&gt;0,AR91+SUMIFS(PS_SOTIEN,PS_TKCO,$B89,PS_MONTH,AS$3)-AQ91-SUMIFS(PS_SOTIEN,PS_TKNO,$B89,PS_MONTH,AS$3),0)</f>
        <v>#N/A</v>
      </c>
      <c r="AU91" s="630" t="str">
        <f t="shared" ref="AU91:AU93" si="1099">IF(AS91+SUMIFS(PS_SOTIEN,PS_TKNO,$B89,PS_MONTH,AU$3)-AT91-SUMIFS(PS_SOTIEN,PS_TKCO,$B89,PS_MONTH,AU$3)&gt;0,AS91+SUMIFS(PS_SOTIEN,PS_TKNO,$B89,PS_MONTH,AU$3)-AT91-SUMIFS(PS_SOTIEN,PS_TKCO,$B89,PS_MONTH,AU$3),0)</f>
        <v>#N/A</v>
      </c>
      <c r="AV91" s="630" t="str">
        <f t="shared" ref="AV91:AV93" si="1100">IF(AT91+SUMIFS(PS_SOTIEN,PS_TKCO,$B89,PS_MONTH,AU$3)-AS91-SUMIFS(PS_SOTIEN,PS_TKNO,$B89,PS_MONTH,AU$3)&gt;0,AT91+SUMIFS(PS_SOTIEN,PS_TKCO,$B89,PS_MONTH,AU$3)-AS91-SUMIFS(PS_SOTIEN,PS_TKNO,$B89,PS_MONTH,AU$3),0)</f>
        <v>#N/A</v>
      </c>
      <c r="AW91" s="630" t="str">
        <f t="shared" ref="AW91:AW93" si="1101">IF(AU91+SUMIFS(PS_SOTIEN,PS_TKNO,$B89,PS_MONTH,AW$3)-AV91-SUMIFS(PS_SOTIEN,PS_TKCO,$B89,PS_MONTH,AW$3)&gt;0,AU91+SUMIFS(PS_SOTIEN,PS_TKNO,$B89,PS_MONTH,AW$3)-AV91-SUMIFS(PS_SOTIEN,PS_TKCO,$B89,PS_MONTH,AW$3),0)</f>
        <v>#N/A</v>
      </c>
      <c r="AX91" s="630" t="str">
        <f t="shared" ref="AX91:AX93" si="1102">IF(AV91+SUMIFS(PS_SOTIEN,PS_TKCO,$B89,PS_MONTH,AW$3)-AU91-SUMIFS(PS_SOTIEN,PS_TKNO,$B89,PS_MONTH,AW$3)&gt;0,AV91+SUMIFS(PS_SOTIEN,PS_TKCO,$B89,PS_MONTH,AW$3)-AU91-SUMIFS(PS_SOTIEN,PS_TKNO,$B89,PS_MONTH,AW$3),0)</f>
        <v>#N/A</v>
      </c>
    </row>
    <row r="92">
      <c r="A92" s="1448"/>
      <c r="B92" s="1440"/>
      <c r="C92" s="1449" t="s">
        <v>1398</v>
      </c>
      <c r="D92" s="1433" t="s">
        <v>1399</v>
      </c>
      <c r="E92" s="1450"/>
      <c r="F92" s="1450"/>
      <c r="G92" s="1450">
        <f>SUMIF(AC_TKNO,$C92,AC_SOTIEN)</f>
        <v>0</v>
      </c>
      <c r="H92" s="1450">
        <f>SUMIF(AC_TKCO,$C92,AC_SOTIEN)</f>
        <v>0</v>
      </c>
      <c r="I92" s="1450" t="str">
        <f t="shared" si="1063"/>
        <v>-</v>
      </c>
      <c r="J92" s="1450" t="str">
        <f t="shared" si="1064"/>
        <v>-</v>
      </c>
      <c r="K92" s="1443"/>
      <c r="L92" s="1443"/>
      <c r="M92" s="1444" t="str">
        <f t="shared" ref="M92:N92" si="1072">S92</f>
        <v>#N/A</v>
      </c>
      <c r="N92" s="1444" t="str">
        <f t="shared" si="1072"/>
        <v>#N/A</v>
      </c>
      <c r="O92" s="1444" t="str">
        <f t="shared" ref="O92:P92" si="1073">W92</f>
        <v>#N/A</v>
      </c>
      <c r="P92" s="1444" t="str">
        <f t="shared" si="1073"/>
        <v>#N/A</v>
      </c>
      <c r="Q92" s="1445" t="str">
        <f t="shared" ref="Q92:R92" si="1074">AE92</f>
        <v>#N/A</v>
      </c>
      <c r="R92" s="1445" t="str">
        <f t="shared" si="1074"/>
        <v>#N/A</v>
      </c>
      <c r="S92" s="1445" t="str">
        <f t="shared" ref="S92:T92" si="1075">AK92</f>
        <v>#N/A</v>
      </c>
      <c r="T92" s="1445" t="str">
        <f t="shared" si="1075"/>
        <v>#N/A</v>
      </c>
      <c r="U92" s="1445" t="str">
        <f t="shared" ref="U92:V92" si="1076">AQ92</f>
        <v>#N/A</v>
      </c>
      <c r="V92" s="1445" t="str">
        <f t="shared" si="1076"/>
        <v>#N/A</v>
      </c>
      <c r="W92" s="1445" t="str">
        <f t="shared" ref="W92:X92" si="1077">AW92</f>
        <v>#N/A</v>
      </c>
      <c r="X92" s="1445" t="str">
        <f t="shared" si="1077"/>
        <v>#N/A</v>
      </c>
      <c r="Y92" s="630" t="str">
        <f t="shared" ref="Y92:Z92" si="1078">E92</f>
        <v/>
      </c>
      <c r="Z92" s="630" t="str">
        <f t="shared" si="1078"/>
        <v/>
      </c>
      <c r="AA92" s="630" t="str">
        <f t="shared" si="1079"/>
        <v>#N/A</v>
      </c>
      <c r="AB92" s="630" t="str">
        <f t="shared" si="1080"/>
        <v>#N/A</v>
      </c>
      <c r="AC92" s="630" t="str">
        <f t="shared" si="1081"/>
        <v>#N/A</v>
      </c>
      <c r="AD92" s="630" t="str">
        <f t="shared" si="1082"/>
        <v>#N/A</v>
      </c>
      <c r="AE92" s="630" t="str">
        <f t="shared" si="1083"/>
        <v>#N/A</v>
      </c>
      <c r="AF92" s="630" t="str">
        <f t="shared" si="1084"/>
        <v>#N/A</v>
      </c>
      <c r="AG92" s="630" t="str">
        <f t="shared" si="1085"/>
        <v>#N/A</v>
      </c>
      <c r="AH92" s="630" t="str">
        <f t="shared" si="1086"/>
        <v>#N/A</v>
      </c>
      <c r="AI92" s="630" t="str">
        <f t="shared" si="1087"/>
        <v>#N/A</v>
      </c>
      <c r="AJ92" s="630" t="str">
        <f t="shared" si="1088"/>
        <v>#N/A</v>
      </c>
      <c r="AK92" s="630" t="str">
        <f t="shared" si="1089"/>
        <v>#N/A</v>
      </c>
      <c r="AL92" s="630" t="str">
        <f t="shared" si="1090"/>
        <v>#N/A</v>
      </c>
      <c r="AM92" s="630" t="str">
        <f t="shared" si="1091"/>
        <v>#N/A</v>
      </c>
      <c r="AN92" s="630" t="str">
        <f t="shared" si="1092"/>
        <v>#N/A</v>
      </c>
      <c r="AO92" s="630" t="str">
        <f t="shared" si="1093"/>
        <v>#N/A</v>
      </c>
      <c r="AP92" s="630" t="str">
        <f t="shared" si="1094"/>
        <v>#N/A</v>
      </c>
      <c r="AQ92" s="630" t="str">
        <f t="shared" si="1095"/>
        <v>#N/A</v>
      </c>
      <c r="AR92" s="630" t="str">
        <f t="shared" si="1096"/>
        <v>#N/A</v>
      </c>
      <c r="AS92" s="630" t="str">
        <f t="shared" si="1097"/>
        <v>#N/A</v>
      </c>
      <c r="AT92" s="630" t="str">
        <f t="shared" si="1098"/>
        <v>#N/A</v>
      </c>
      <c r="AU92" s="630" t="str">
        <f t="shared" si="1099"/>
        <v>#N/A</v>
      </c>
      <c r="AV92" s="630" t="str">
        <f t="shared" si="1100"/>
        <v>#N/A</v>
      </c>
      <c r="AW92" s="630" t="str">
        <f t="shared" si="1101"/>
        <v>#N/A</v>
      </c>
      <c r="AX92" s="630" t="str">
        <f t="shared" si="1102"/>
        <v>#N/A</v>
      </c>
    </row>
    <row r="93" collapsed="1">
      <c r="A93" s="1448"/>
      <c r="B93" s="1440"/>
      <c r="C93" s="1449" t="s">
        <v>1400</v>
      </c>
      <c r="D93" s="1433" t="s">
        <v>1401</v>
      </c>
      <c r="E93" s="1450"/>
      <c r="F93" s="1450"/>
      <c r="G93" s="1450">
        <f>SUMIF(AC_TKNO,$C93,AC_SOTIEN)</f>
        <v>0</v>
      </c>
      <c r="H93" s="1450">
        <f>SUMIF(AC_TKCO,$C93,AC_SOTIEN)</f>
        <v>0</v>
      </c>
      <c r="I93" s="1450" t="str">
        <f t="shared" si="1063"/>
        <v>-</v>
      </c>
      <c r="J93" s="1450" t="str">
        <f t="shared" si="1064"/>
        <v>-</v>
      </c>
      <c r="K93" s="1443"/>
      <c r="L93" s="1443"/>
      <c r="M93" s="1444" t="str">
        <f t="shared" ref="M93:N93" si="1103">S93</f>
        <v>#N/A</v>
      </c>
      <c r="N93" s="1444" t="str">
        <f t="shared" si="1103"/>
        <v>#N/A</v>
      </c>
      <c r="O93" s="1444" t="str">
        <f t="shared" ref="O93:P93" si="1104">W93</f>
        <v>#N/A</v>
      </c>
      <c r="P93" s="1444" t="str">
        <f t="shared" si="1104"/>
        <v>#N/A</v>
      </c>
      <c r="Q93" s="1445" t="str">
        <f t="shared" ref="Q93:R93" si="1105">AE93</f>
        <v>#N/A</v>
      </c>
      <c r="R93" s="1445" t="str">
        <f t="shared" si="1105"/>
        <v>#N/A</v>
      </c>
      <c r="S93" s="1445" t="str">
        <f t="shared" ref="S93:T93" si="1106">AK93</f>
        <v>#N/A</v>
      </c>
      <c r="T93" s="1445" t="str">
        <f t="shared" si="1106"/>
        <v>#N/A</v>
      </c>
      <c r="U93" s="1445" t="str">
        <f t="shared" ref="U93:V93" si="1107">AQ93</f>
        <v>#N/A</v>
      </c>
      <c r="V93" s="1445" t="str">
        <f t="shared" si="1107"/>
        <v>#N/A</v>
      </c>
      <c r="W93" s="1445" t="str">
        <f t="shared" ref="W93:X93" si="1108">AW93</f>
        <v>#N/A</v>
      </c>
      <c r="X93" s="1445" t="str">
        <f t="shared" si="1108"/>
        <v>#N/A</v>
      </c>
      <c r="Y93" s="1457" t="str">
        <f t="shared" ref="Y93:Z93" si="1109">E93</f>
        <v/>
      </c>
      <c r="Z93" s="1457" t="str">
        <f t="shared" si="1109"/>
        <v/>
      </c>
      <c r="AA93" s="630" t="str">
        <f t="shared" si="1079"/>
        <v>#N/A</v>
      </c>
      <c r="AB93" s="630" t="str">
        <f t="shared" si="1080"/>
        <v>#N/A</v>
      </c>
      <c r="AC93" s="630" t="str">
        <f t="shared" si="1081"/>
        <v>#N/A</v>
      </c>
      <c r="AD93" s="630" t="str">
        <f t="shared" si="1082"/>
        <v>#N/A</v>
      </c>
      <c r="AE93" s="630" t="str">
        <f t="shared" si="1083"/>
        <v>#N/A</v>
      </c>
      <c r="AF93" s="630" t="str">
        <f t="shared" si="1084"/>
        <v>#N/A</v>
      </c>
      <c r="AG93" s="630" t="str">
        <f t="shared" si="1085"/>
        <v>#N/A</v>
      </c>
      <c r="AH93" s="630" t="str">
        <f t="shared" si="1086"/>
        <v>#N/A</v>
      </c>
      <c r="AI93" s="630" t="str">
        <f t="shared" si="1087"/>
        <v>#N/A</v>
      </c>
      <c r="AJ93" s="630" t="str">
        <f t="shared" si="1088"/>
        <v>#N/A</v>
      </c>
      <c r="AK93" s="630" t="str">
        <f t="shared" si="1089"/>
        <v>#N/A</v>
      </c>
      <c r="AL93" s="630" t="str">
        <f t="shared" si="1090"/>
        <v>#N/A</v>
      </c>
      <c r="AM93" s="630" t="str">
        <f t="shared" si="1091"/>
        <v>#N/A</v>
      </c>
      <c r="AN93" s="630" t="str">
        <f t="shared" si="1092"/>
        <v>#N/A</v>
      </c>
      <c r="AO93" s="630" t="str">
        <f t="shared" si="1093"/>
        <v>#N/A</v>
      </c>
      <c r="AP93" s="630" t="str">
        <f t="shared" si="1094"/>
        <v>#N/A</v>
      </c>
      <c r="AQ93" s="630" t="str">
        <f t="shared" si="1095"/>
        <v>#N/A</v>
      </c>
      <c r="AR93" s="630" t="str">
        <f t="shared" si="1096"/>
        <v>#N/A</v>
      </c>
      <c r="AS93" s="630" t="str">
        <f t="shared" si="1097"/>
        <v>#N/A</v>
      </c>
      <c r="AT93" s="630" t="str">
        <f t="shared" si="1098"/>
        <v>#N/A</v>
      </c>
      <c r="AU93" s="630" t="str">
        <f t="shared" si="1099"/>
        <v>#N/A</v>
      </c>
      <c r="AV93" s="630" t="str">
        <f t="shared" si="1100"/>
        <v>#N/A</v>
      </c>
      <c r="AW93" s="630" t="str">
        <f t="shared" si="1101"/>
        <v>#N/A</v>
      </c>
      <c r="AX93" s="630" t="str">
        <f t="shared" si="1102"/>
        <v>#N/A</v>
      </c>
    </row>
    <row r="94" hidden="1" outlineLevel="1">
      <c r="A94" s="1452" t="s">
        <v>2986</v>
      </c>
      <c r="B94" s="1439" t="s">
        <v>3099</v>
      </c>
      <c r="C94" s="1440"/>
      <c r="D94" s="1441" t="s">
        <v>1402</v>
      </c>
      <c r="E94" s="1442">
        <f t="shared" ref="E94:J94" si="1110">SUM(E95:E97)</f>
        <v>0</v>
      </c>
      <c r="F94" s="1442">
        <f t="shared" si="1110"/>
        <v>0</v>
      </c>
      <c r="G94" s="1442">
        <f t="shared" si="1110"/>
        <v>0</v>
      </c>
      <c r="H94" s="1442">
        <f t="shared" si="1110"/>
        <v>0</v>
      </c>
      <c r="I94" s="1442">
        <f t="shared" si="1110"/>
        <v>0</v>
      </c>
      <c r="J94" s="1442">
        <f t="shared" si="1110"/>
        <v>0</v>
      </c>
      <c r="K94" s="1443"/>
      <c r="L94" s="1443"/>
      <c r="M94" s="1444" t="str">
        <f t="shared" ref="M94:N94" si="1111">S94</f>
        <v>#N/A</v>
      </c>
      <c r="N94" s="1444" t="str">
        <f t="shared" si="1111"/>
        <v>#N/A</v>
      </c>
      <c r="O94" s="1444" t="str">
        <f t="shared" ref="O94:P94" si="1112">W94</f>
        <v>#N/A</v>
      </c>
      <c r="P94" s="1444" t="str">
        <f t="shared" si="1112"/>
        <v>#N/A</v>
      </c>
      <c r="Q94" s="1445" t="str">
        <f t="shared" ref="Q94:R94" si="1113">AE94</f>
        <v>#N/A</v>
      </c>
      <c r="R94" s="1445" t="str">
        <f t="shared" si="1113"/>
        <v>#N/A</v>
      </c>
      <c r="S94" s="1445" t="str">
        <f t="shared" ref="S94:T94" si="1114">AK94</f>
        <v>#N/A</v>
      </c>
      <c r="T94" s="1445" t="str">
        <f t="shared" si="1114"/>
        <v>#N/A</v>
      </c>
      <c r="U94" s="1445" t="str">
        <f t="shared" ref="U94:V94" si="1115">AQ94</f>
        <v>#N/A</v>
      </c>
      <c r="V94" s="1445" t="str">
        <f t="shared" si="1115"/>
        <v>#N/A</v>
      </c>
      <c r="W94" s="1445" t="str">
        <f t="shared" ref="W94:X94" si="1116">AW94</f>
        <v>#N/A</v>
      </c>
      <c r="X94" s="1445" t="str">
        <f t="shared" si="1116"/>
        <v>#N/A</v>
      </c>
      <c r="Y94" s="1459">
        <f t="shared" ref="Y94:AX94" si="1117">SUM(Y95:Y96)</f>
        <v>0</v>
      </c>
      <c r="Z94" s="1459">
        <f t="shared" si="1117"/>
        <v>0</v>
      </c>
      <c r="AA94" s="1459" t="str">
        <f t="shared" si="1117"/>
        <v>#N/A</v>
      </c>
      <c r="AB94" s="1459" t="str">
        <f t="shared" si="1117"/>
        <v>#N/A</v>
      </c>
      <c r="AC94" s="1459" t="str">
        <f t="shared" si="1117"/>
        <v>#N/A</v>
      </c>
      <c r="AD94" s="1459" t="str">
        <f t="shared" si="1117"/>
        <v>#N/A</v>
      </c>
      <c r="AE94" s="1459" t="str">
        <f t="shared" si="1117"/>
        <v>#N/A</v>
      </c>
      <c r="AF94" s="1459" t="str">
        <f t="shared" si="1117"/>
        <v>#N/A</v>
      </c>
      <c r="AG94" s="1459" t="str">
        <f t="shared" si="1117"/>
        <v>#N/A</v>
      </c>
      <c r="AH94" s="1459" t="str">
        <f t="shared" si="1117"/>
        <v>#N/A</v>
      </c>
      <c r="AI94" s="1459" t="str">
        <f t="shared" si="1117"/>
        <v>#N/A</v>
      </c>
      <c r="AJ94" s="1459" t="str">
        <f t="shared" si="1117"/>
        <v>#N/A</v>
      </c>
      <c r="AK94" s="1459" t="str">
        <f t="shared" si="1117"/>
        <v>#N/A</v>
      </c>
      <c r="AL94" s="1459" t="str">
        <f t="shared" si="1117"/>
        <v>#N/A</v>
      </c>
      <c r="AM94" s="1459" t="str">
        <f t="shared" si="1117"/>
        <v>#N/A</v>
      </c>
      <c r="AN94" s="1459" t="str">
        <f t="shared" si="1117"/>
        <v>#N/A</v>
      </c>
      <c r="AO94" s="1459" t="str">
        <f t="shared" si="1117"/>
        <v>#N/A</v>
      </c>
      <c r="AP94" s="1459" t="str">
        <f t="shared" si="1117"/>
        <v>#N/A</v>
      </c>
      <c r="AQ94" s="1459" t="str">
        <f t="shared" si="1117"/>
        <v>#N/A</v>
      </c>
      <c r="AR94" s="1459" t="str">
        <f t="shared" si="1117"/>
        <v>#N/A</v>
      </c>
      <c r="AS94" s="1459" t="str">
        <f t="shared" si="1117"/>
        <v>#N/A</v>
      </c>
      <c r="AT94" s="1459" t="str">
        <f t="shared" si="1117"/>
        <v>#N/A</v>
      </c>
      <c r="AU94" s="1459" t="str">
        <f t="shared" si="1117"/>
        <v>#N/A</v>
      </c>
      <c r="AV94" s="1459" t="str">
        <f t="shared" si="1117"/>
        <v>#N/A</v>
      </c>
      <c r="AW94" s="1459" t="str">
        <f t="shared" si="1117"/>
        <v>#N/A</v>
      </c>
      <c r="AX94" s="1459" t="str">
        <f t="shared" si="1117"/>
        <v>#N/A</v>
      </c>
    </row>
    <row r="95" hidden="1" outlineLevel="1">
      <c r="A95" s="1448"/>
      <c r="B95" s="1440"/>
      <c r="C95" s="1449" t="s">
        <v>1403</v>
      </c>
      <c r="D95" s="1433" t="s">
        <v>1404</v>
      </c>
      <c r="E95" s="1450"/>
      <c r="F95" s="1450"/>
      <c r="G95" s="1450">
        <f>SUMIF(AC_TKNO,$C95,AC_SOTIEN)</f>
        <v>0</v>
      </c>
      <c r="H95" s="1450">
        <f>SUMIF(AC_TKCO,$C95,AC_SOTIEN)</f>
        <v>0</v>
      </c>
      <c r="I95" s="1450" t="str">
        <f t="shared" ref="I95:I101" si="1125">IF(E95+G95-F95-H95&gt;0,E95+G95-F95-H95,"-")</f>
        <v>-</v>
      </c>
      <c r="J95" s="1450" t="str">
        <f t="shared" ref="J95:J101" si="1126">IF(F95+H95-E95-G95&gt;0,F95+H95-E95-G95,"-")</f>
        <v>-</v>
      </c>
      <c r="K95" s="1443"/>
      <c r="L95" s="1443"/>
      <c r="M95" s="1444" t="str">
        <f t="shared" ref="M95:N95" si="1118">S95</f>
        <v>#N/A</v>
      </c>
      <c r="N95" s="1444" t="str">
        <f t="shared" si="1118"/>
        <v>#N/A</v>
      </c>
      <c r="O95" s="1444" t="str">
        <f t="shared" ref="O95:P95" si="1119">W95</f>
        <v>#N/A</v>
      </c>
      <c r="P95" s="1444" t="str">
        <f t="shared" si="1119"/>
        <v>#N/A</v>
      </c>
      <c r="Q95" s="1445" t="str">
        <f t="shared" ref="Q95:R95" si="1120">AE95</f>
        <v>#N/A</v>
      </c>
      <c r="R95" s="1445" t="str">
        <f t="shared" si="1120"/>
        <v>#N/A</v>
      </c>
      <c r="S95" s="1445" t="str">
        <f t="shared" ref="S95:T95" si="1121">AK95</f>
        <v>#N/A</v>
      </c>
      <c r="T95" s="1445" t="str">
        <f t="shared" si="1121"/>
        <v>#N/A</v>
      </c>
      <c r="U95" s="1445" t="str">
        <f t="shared" ref="U95:V95" si="1122">AQ95</f>
        <v>#N/A</v>
      </c>
      <c r="V95" s="1445" t="str">
        <f t="shared" si="1122"/>
        <v>#N/A</v>
      </c>
      <c r="W95" s="1445" t="str">
        <f t="shared" ref="W95:X95" si="1123">AW95</f>
        <v>#N/A</v>
      </c>
      <c r="X95" s="1445" t="str">
        <f t="shared" si="1123"/>
        <v>#N/A</v>
      </c>
      <c r="Y95" s="630" t="str">
        <f t="shared" ref="Y95:Z95" si="1124">E95</f>
        <v/>
      </c>
      <c r="Z95" s="630" t="str">
        <f t="shared" si="1124"/>
        <v/>
      </c>
      <c r="AA95" s="630" t="str">
        <f t="shared" ref="AA95:AA96" si="1134">IF(Y95+SUMIFS(PS_SOTIEN,PS_TKNO,$B93,PS_MONTH,AA$3)-Z95-SUMIFS(PS_SOTIEN,PS_TKCO,$B93,PS_MONTH,AA$3)&gt;0,Y95+SUMIFS(PS_SOTIEN,PS_TKNO,$B93,PS_MONTH,AA$3)-Z95-SUMIFS(PS_SOTIEN,PS_TKCO,$B93,PS_MONTH,AA$3),0)</f>
        <v>#N/A</v>
      </c>
      <c r="AB95" s="630" t="str">
        <f t="shared" ref="AB95:AB96" si="1135">IF(Z95+SUMIFS(PS_SOTIEN,PS_TKCO,$B93,PS_MONTH,AA$3)-Y95-SUMIFS(PS_SOTIEN,PS_TKNO,$B93,PS_MONTH,AA$3)&gt;0,Z95+SUMIFS(PS_SOTIEN,PS_TKCO,$B93,PS_MONTH,AA$3)-Y95-SUMIFS(PS_SOTIEN,PS_TKNO,$B93,PS_MONTH,AA$3),0)</f>
        <v>#N/A</v>
      </c>
      <c r="AC95" s="630" t="str">
        <f t="shared" ref="AC95:AC96" si="1136">IF(AA95+SUMIFS(PS_SOTIEN,PS_TKNO,$B93,PS_MONTH,AC$3)-AB95-SUMIFS(PS_SOTIEN,PS_TKCO,$B93,PS_MONTH,AC$3)&gt;0,AA95+SUMIFS(PS_SOTIEN,PS_TKNO,$B93,PS_MONTH,AC$3)-AB95-SUMIFS(PS_SOTIEN,PS_TKCO,$B93,PS_MONTH,AC$3),0)</f>
        <v>#N/A</v>
      </c>
      <c r="AD95" s="630" t="str">
        <f t="shared" ref="AD95:AD96" si="1137">IF(AB95+SUMIFS(PS_SOTIEN,PS_TKCO,$B93,PS_MONTH,AC$3)-AA95-SUMIFS(PS_SOTIEN,PS_TKNO,$B93,PS_MONTH,AC$3)&gt;0,AB95+SUMIFS(PS_SOTIEN,PS_TKCO,$B93,PS_MONTH,AC$3)-AA95-SUMIFS(PS_SOTIEN,PS_TKNO,$B93,PS_MONTH,AC$3),0)</f>
        <v>#N/A</v>
      </c>
      <c r="AE95" s="630" t="str">
        <f t="shared" ref="AE95:AE96" si="1138">IF(AC95+SUMIFS(PS_SOTIEN,PS_TKNO,$B93,PS_MONTH,AE$3)-AD95-SUMIFS(PS_SOTIEN,PS_TKCO,$B93,PS_MONTH,AE$3)&gt;0,AC95+SUMIFS(PS_SOTIEN,PS_TKNO,$B93,PS_MONTH,AE$3)-AD95-SUMIFS(PS_SOTIEN,PS_TKCO,$B93,PS_MONTH,AE$3),0)</f>
        <v>#N/A</v>
      </c>
      <c r="AF95" s="630" t="str">
        <f t="shared" ref="AF95:AF96" si="1139">IF(AD95+SUMIFS(PS_SOTIEN,PS_TKCO,$B93,PS_MONTH,AE$3)-AC95-SUMIFS(PS_SOTIEN,PS_TKNO,$B93,PS_MONTH,AE$3)&gt;0,AD95+SUMIFS(PS_SOTIEN,PS_TKCO,$B93,PS_MONTH,AE$3)-AC95-SUMIFS(PS_SOTIEN,PS_TKNO,$B93,PS_MONTH,AE$3),0)</f>
        <v>#N/A</v>
      </c>
      <c r="AG95" s="630" t="str">
        <f t="shared" ref="AG95:AG96" si="1140">IF(AE95+SUMIFS(PS_SOTIEN,PS_TKNO,$B93,PS_MONTH,AG$3)-AF95-SUMIFS(PS_SOTIEN,PS_TKCO,$B93,PS_MONTH,AG$3)&gt;0,AE95+SUMIFS(PS_SOTIEN,PS_TKNO,$B93,PS_MONTH,AG$3)-AF95-SUMIFS(PS_SOTIEN,PS_TKCO,$B93,PS_MONTH,AG$3),0)</f>
        <v>#N/A</v>
      </c>
      <c r="AH95" s="630" t="str">
        <f t="shared" ref="AH95:AH96" si="1141">IF(AF95+SUMIFS(PS_SOTIEN,PS_TKCO,$B93,PS_MONTH,AG$3)-AE95-SUMIFS(PS_SOTIEN,PS_TKNO,$B93,PS_MONTH,AG$3)&gt;0,AF95+SUMIFS(PS_SOTIEN,PS_TKCO,$B93,PS_MONTH,AG$3)-AE95-SUMIFS(PS_SOTIEN,PS_TKNO,$B93,PS_MONTH,AG$3),0)</f>
        <v>#N/A</v>
      </c>
      <c r="AI95" s="630" t="str">
        <f t="shared" ref="AI95:AI96" si="1142">IF(AG95+SUMIFS(PS_SOTIEN,PS_TKNO,$B93,PS_MONTH,AI$3)-AH95-SUMIFS(PS_SOTIEN,PS_TKCO,$B93,PS_MONTH,AI$3)&gt;0,AG95+SUMIFS(PS_SOTIEN,PS_TKNO,$B93,PS_MONTH,AI$3)-AH95-SUMIFS(PS_SOTIEN,PS_TKCO,$B93,PS_MONTH,AI$3),0)</f>
        <v>#N/A</v>
      </c>
      <c r="AJ95" s="630" t="str">
        <f t="shared" ref="AJ95:AJ96" si="1143">IF(AH95+SUMIFS(PS_SOTIEN,PS_TKCO,$B93,PS_MONTH,AI$3)-AG95-SUMIFS(PS_SOTIEN,PS_TKNO,$B93,PS_MONTH,AI$3)&gt;0,AH95+SUMIFS(PS_SOTIEN,PS_TKCO,$B93,PS_MONTH,AI$3)-AG95-SUMIFS(PS_SOTIEN,PS_TKNO,$B93,PS_MONTH,AI$3),0)</f>
        <v>#N/A</v>
      </c>
      <c r="AK95" s="630" t="str">
        <f t="shared" ref="AK95:AK96" si="1144">IF(AI95+SUMIFS(PS_SOTIEN,PS_TKNO,$B93,PS_MONTH,AK$3)-AJ95-SUMIFS(PS_SOTIEN,PS_TKCO,$B93,PS_MONTH,AK$3)&gt;0,AI95+SUMIFS(PS_SOTIEN,PS_TKNO,$B93,PS_MONTH,AK$3)-AJ95-SUMIFS(PS_SOTIEN,PS_TKCO,$B93,PS_MONTH,AK$3),0)</f>
        <v>#N/A</v>
      </c>
      <c r="AL95" s="630" t="str">
        <f t="shared" ref="AL95:AL96" si="1145">IF(AJ95+SUMIFS(PS_SOTIEN,PS_TKCO,$B93,PS_MONTH,AK$3)-AI95-SUMIFS(PS_SOTIEN,PS_TKNO,$B93,PS_MONTH,AK$3)&gt;0,AJ95+SUMIFS(PS_SOTIEN,PS_TKCO,$B93,PS_MONTH,AK$3)-AI95-SUMIFS(PS_SOTIEN,PS_TKNO,$B93,PS_MONTH,AK$3),0)</f>
        <v>#N/A</v>
      </c>
      <c r="AM95" s="630" t="str">
        <f t="shared" ref="AM95:AM96" si="1146">IF(AK95+SUMIFS(PS_SOTIEN,PS_TKNO,$B93,PS_MONTH,AM$3)-AL95-SUMIFS(PS_SOTIEN,PS_TKCO,$B93,PS_MONTH,AM$3)&gt;0,AK95+SUMIFS(PS_SOTIEN,PS_TKNO,$B93,PS_MONTH,AM$3)-AL95-SUMIFS(PS_SOTIEN,PS_TKCO,$B93,PS_MONTH,AM$3),0)</f>
        <v>#N/A</v>
      </c>
      <c r="AN95" s="630" t="str">
        <f t="shared" ref="AN95:AN96" si="1147">IF(AL95+SUMIFS(PS_SOTIEN,PS_TKCO,$B93,PS_MONTH,AM$3)-AK95-SUMIFS(PS_SOTIEN,PS_TKNO,$B93,PS_MONTH,AM$3)&gt;0,AL95+SUMIFS(PS_SOTIEN,PS_TKCO,$B93,PS_MONTH,AM$3)-AK95-SUMIFS(PS_SOTIEN,PS_TKNO,$B93,PS_MONTH,AM$3),0)</f>
        <v>#N/A</v>
      </c>
      <c r="AO95" s="630" t="str">
        <f t="shared" ref="AO95:AO96" si="1148">IF(AM95+SUMIFS(PS_SOTIEN,PS_TKNO,$B93,PS_MONTH,AO$3)-AN95-SUMIFS(PS_SOTIEN,PS_TKCO,$B93,PS_MONTH,AO$3)&gt;0,AM95+SUMIFS(PS_SOTIEN,PS_TKNO,$B93,PS_MONTH,AO$3)-AN95-SUMIFS(PS_SOTIEN,PS_TKCO,$B93,PS_MONTH,AO$3),0)</f>
        <v>#N/A</v>
      </c>
      <c r="AP95" s="630" t="str">
        <f t="shared" ref="AP95:AP96" si="1149">IF(AN95+SUMIFS(PS_SOTIEN,PS_TKCO,$B93,PS_MONTH,AO$3)-AM95-SUMIFS(PS_SOTIEN,PS_TKNO,$B93,PS_MONTH,AO$3)&gt;0,AN95+SUMIFS(PS_SOTIEN,PS_TKCO,$B93,PS_MONTH,AO$3)-AM95-SUMIFS(PS_SOTIEN,PS_TKNO,$B93,PS_MONTH,AO$3),0)</f>
        <v>#N/A</v>
      </c>
      <c r="AQ95" s="630" t="str">
        <f t="shared" ref="AQ95:AQ96" si="1150">IF(AO95+SUMIFS(PS_SOTIEN,PS_TKNO,$B93,PS_MONTH,AQ$3)-AP95-SUMIFS(PS_SOTIEN,PS_TKCO,$B93,PS_MONTH,AQ$3)&gt;0,AO95+SUMIFS(PS_SOTIEN,PS_TKNO,$B93,PS_MONTH,AQ$3)-AP95-SUMIFS(PS_SOTIEN,PS_TKCO,$B93,PS_MONTH,AQ$3),0)</f>
        <v>#N/A</v>
      </c>
      <c r="AR95" s="630" t="str">
        <f t="shared" ref="AR95:AR96" si="1151">IF(AP95+SUMIFS(PS_SOTIEN,PS_TKCO,$B93,PS_MONTH,AQ$3)-AO95-SUMIFS(PS_SOTIEN,PS_TKNO,$B93,PS_MONTH,AQ$3)&gt;0,AP95+SUMIFS(PS_SOTIEN,PS_TKCO,$B93,PS_MONTH,AQ$3)-AO95-SUMIFS(PS_SOTIEN,PS_TKNO,$B93,PS_MONTH,AQ$3),0)</f>
        <v>#N/A</v>
      </c>
      <c r="AS95" s="630" t="str">
        <f t="shared" ref="AS95:AS96" si="1152">IF(AQ95+SUMIFS(PS_SOTIEN,PS_TKNO,$B93,PS_MONTH,AS$3)-AR95-SUMIFS(PS_SOTIEN,PS_TKCO,$B93,PS_MONTH,AS$3)&gt;0,AQ95+SUMIFS(PS_SOTIEN,PS_TKNO,$B93,PS_MONTH,AS$3)-AR95-SUMIFS(PS_SOTIEN,PS_TKCO,$B93,PS_MONTH,AS$3),0)</f>
        <v>#N/A</v>
      </c>
      <c r="AT95" s="630" t="str">
        <f t="shared" ref="AT95:AT96" si="1153">IF(AR95+SUMIFS(PS_SOTIEN,PS_TKCO,$B93,PS_MONTH,AS$3)-AQ95-SUMIFS(PS_SOTIEN,PS_TKNO,$B93,PS_MONTH,AS$3)&gt;0,AR95+SUMIFS(PS_SOTIEN,PS_TKCO,$B93,PS_MONTH,AS$3)-AQ95-SUMIFS(PS_SOTIEN,PS_TKNO,$B93,PS_MONTH,AS$3),0)</f>
        <v>#N/A</v>
      </c>
      <c r="AU95" s="630" t="str">
        <f t="shared" ref="AU95:AU96" si="1154">IF(AS95+SUMIFS(PS_SOTIEN,PS_TKNO,$B93,PS_MONTH,AU$3)-AT95-SUMIFS(PS_SOTIEN,PS_TKCO,$B93,PS_MONTH,AU$3)&gt;0,AS95+SUMIFS(PS_SOTIEN,PS_TKNO,$B93,PS_MONTH,AU$3)-AT95-SUMIFS(PS_SOTIEN,PS_TKCO,$B93,PS_MONTH,AU$3),0)</f>
        <v>#N/A</v>
      </c>
      <c r="AV95" s="630" t="str">
        <f t="shared" ref="AV95:AV96" si="1155">IF(AT95+SUMIFS(PS_SOTIEN,PS_TKCO,$B93,PS_MONTH,AU$3)-AS95-SUMIFS(PS_SOTIEN,PS_TKNO,$B93,PS_MONTH,AU$3)&gt;0,AT95+SUMIFS(PS_SOTIEN,PS_TKCO,$B93,PS_MONTH,AU$3)-AS95-SUMIFS(PS_SOTIEN,PS_TKNO,$B93,PS_MONTH,AU$3),0)</f>
        <v>#N/A</v>
      </c>
      <c r="AW95" s="630" t="str">
        <f t="shared" ref="AW95:AW96" si="1156">IF(AU95+SUMIFS(PS_SOTIEN,PS_TKNO,$B93,PS_MONTH,AW$3)-AV95-SUMIFS(PS_SOTIEN,PS_TKCO,$B93,PS_MONTH,AW$3)&gt;0,AU95+SUMIFS(PS_SOTIEN,PS_TKNO,$B93,PS_MONTH,AW$3)-AV95-SUMIFS(PS_SOTIEN,PS_TKCO,$B93,PS_MONTH,AW$3),0)</f>
        <v>#N/A</v>
      </c>
      <c r="AX95" s="630" t="str">
        <f t="shared" ref="AX95:AX96" si="1157">IF(AV95+SUMIFS(PS_SOTIEN,PS_TKCO,$B93,PS_MONTH,AW$3)-AU95-SUMIFS(PS_SOTIEN,PS_TKNO,$B93,PS_MONTH,AW$3)&gt;0,AV95+SUMIFS(PS_SOTIEN,PS_TKCO,$B93,PS_MONTH,AW$3)-AU95-SUMIFS(PS_SOTIEN,PS_TKNO,$B93,PS_MONTH,AW$3),0)</f>
        <v>#N/A</v>
      </c>
    </row>
    <row r="96" hidden="1" outlineLevel="1">
      <c r="A96" s="1448"/>
      <c r="B96" s="1440"/>
      <c r="C96" s="1449" t="s">
        <v>1405</v>
      </c>
      <c r="D96" s="1433" t="s">
        <v>1406</v>
      </c>
      <c r="E96" s="1450"/>
      <c r="F96" s="1450"/>
      <c r="G96" s="1450">
        <f>SUMIF(AC_TKNO,$C96,AC_SOTIEN)</f>
        <v>0</v>
      </c>
      <c r="H96" s="1450">
        <f>SUMIF(AC_TKCO,$C96,AC_SOTIEN)</f>
        <v>0</v>
      </c>
      <c r="I96" s="1450" t="str">
        <f t="shared" si="1125"/>
        <v>-</v>
      </c>
      <c r="J96" s="1450" t="str">
        <f t="shared" si="1126"/>
        <v>-</v>
      </c>
      <c r="K96" s="1443"/>
      <c r="L96" s="1443"/>
      <c r="M96" s="1444" t="str">
        <f t="shared" ref="M96:N96" si="1127">S96</f>
        <v>#N/A</v>
      </c>
      <c r="N96" s="1444" t="str">
        <f t="shared" si="1127"/>
        <v>#N/A</v>
      </c>
      <c r="O96" s="1444" t="str">
        <f t="shared" ref="O96:P96" si="1128">W96</f>
        <v>#N/A</v>
      </c>
      <c r="P96" s="1444" t="str">
        <f t="shared" si="1128"/>
        <v>#N/A</v>
      </c>
      <c r="Q96" s="1445" t="str">
        <f t="shared" ref="Q96:R96" si="1129">AE96</f>
        <v>#N/A</v>
      </c>
      <c r="R96" s="1445" t="str">
        <f t="shared" si="1129"/>
        <v>#N/A</v>
      </c>
      <c r="S96" s="1445" t="str">
        <f t="shared" ref="S96:T96" si="1130">AK96</f>
        <v>#N/A</v>
      </c>
      <c r="T96" s="1445" t="str">
        <f t="shared" si="1130"/>
        <v>#N/A</v>
      </c>
      <c r="U96" s="1445" t="str">
        <f t="shared" ref="U96:V96" si="1131">AQ96</f>
        <v>#N/A</v>
      </c>
      <c r="V96" s="1445" t="str">
        <f t="shared" si="1131"/>
        <v>#N/A</v>
      </c>
      <c r="W96" s="1445" t="str">
        <f t="shared" ref="W96:X96" si="1132">AW96</f>
        <v>#N/A</v>
      </c>
      <c r="X96" s="1445" t="str">
        <f t="shared" si="1132"/>
        <v>#N/A</v>
      </c>
      <c r="Y96" s="630" t="str">
        <f t="shared" ref="Y96:Z96" si="1133">E96</f>
        <v/>
      </c>
      <c r="Z96" s="630" t="str">
        <f t="shared" si="1133"/>
        <v/>
      </c>
      <c r="AA96" s="630" t="str">
        <f t="shared" si="1134"/>
        <v>#N/A</v>
      </c>
      <c r="AB96" s="630" t="str">
        <f t="shared" si="1135"/>
        <v>#N/A</v>
      </c>
      <c r="AC96" s="630" t="str">
        <f t="shared" si="1136"/>
        <v>#N/A</v>
      </c>
      <c r="AD96" s="630" t="str">
        <f t="shared" si="1137"/>
        <v>#N/A</v>
      </c>
      <c r="AE96" s="630" t="str">
        <f t="shared" si="1138"/>
        <v>#N/A</v>
      </c>
      <c r="AF96" s="630" t="str">
        <f t="shared" si="1139"/>
        <v>#N/A</v>
      </c>
      <c r="AG96" s="630" t="str">
        <f t="shared" si="1140"/>
        <v>#N/A</v>
      </c>
      <c r="AH96" s="630" t="str">
        <f t="shared" si="1141"/>
        <v>#N/A</v>
      </c>
      <c r="AI96" s="630" t="str">
        <f t="shared" si="1142"/>
        <v>#N/A</v>
      </c>
      <c r="AJ96" s="630" t="str">
        <f t="shared" si="1143"/>
        <v>#N/A</v>
      </c>
      <c r="AK96" s="630" t="str">
        <f t="shared" si="1144"/>
        <v>#N/A</v>
      </c>
      <c r="AL96" s="630" t="str">
        <f t="shared" si="1145"/>
        <v>#N/A</v>
      </c>
      <c r="AM96" s="630" t="str">
        <f t="shared" si="1146"/>
        <v>#N/A</v>
      </c>
      <c r="AN96" s="630" t="str">
        <f t="shared" si="1147"/>
        <v>#N/A</v>
      </c>
      <c r="AO96" s="630" t="str">
        <f t="shared" si="1148"/>
        <v>#N/A</v>
      </c>
      <c r="AP96" s="630" t="str">
        <f t="shared" si="1149"/>
        <v>#N/A</v>
      </c>
      <c r="AQ96" s="630" t="str">
        <f t="shared" si="1150"/>
        <v>#N/A</v>
      </c>
      <c r="AR96" s="630" t="str">
        <f t="shared" si="1151"/>
        <v>#N/A</v>
      </c>
      <c r="AS96" s="630" t="str">
        <f t="shared" si="1152"/>
        <v>#N/A</v>
      </c>
      <c r="AT96" s="630" t="str">
        <f t="shared" si="1153"/>
        <v>#N/A</v>
      </c>
      <c r="AU96" s="630" t="str">
        <f t="shared" si="1154"/>
        <v>#N/A</v>
      </c>
      <c r="AV96" s="630" t="str">
        <f t="shared" si="1155"/>
        <v>#N/A</v>
      </c>
      <c r="AW96" s="630" t="str">
        <f t="shared" si="1156"/>
        <v>#N/A</v>
      </c>
      <c r="AX96" s="630" t="str">
        <f t="shared" si="1157"/>
        <v>#N/A</v>
      </c>
    </row>
    <row r="97" hidden="1" outlineLevel="1">
      <c r="A97" s="1448"/>
      <c r="B97" s="1440"/>
      <c r="C97" s="1449" t="s">
        <v>1407</v>
      </c>
      <c r="D97" s="1433" t="s">
        <v>1408</v>
      </c>
      <c r="E97" s="1450"/>
      <c r="F97" s="1450"/>
      <c r="G97" s="1450">
        <f>SUMIF(AC_TKNO,$C97,AC_SOTIEN)</f>
        <v>0</v>
      </c>
      <c r="H97" s="1450">
        <f>SUMIF(AC_TKCO,$C97,AC_SOTIEN)</f>
        <v>0</v>
      </c>
      <c r="I97" s="1450" t="str">
        <f t="shared" si="1125"/>
        <v>-</v>
      </c>
      <c r="J97" s="1450" t="str">
        <f t="shared" si="1126"/>
        <v>-</v>
      </c>
      <c r="K97" s="1443"/>
      <c r="L97" s="1443"/>
      <c r="M97" s="1444" t="str">
        <f t="shared" ref="M97:N97" si="1158">S97</f>
        <v>#N/A</v>
      </c>
      <c r="N97" s="1444" t="str">
        <f t="shared" si="1158"/>
        <v>#N/A</v>
      </c>
      <c r="O97" s="1444" t="str">
        <f t="shared" ref="O97:P97" si="1159">W97</f>
        <v>#N/A</v>
      </c>
      <c r="P97" s="1444" t="str">
        <f t="shared" si="1159"/>
        <v>#N/A</v>
      </c>
      <c r="Q97" s="1445" t="str">
        <f t="shared" ref="Q97:R97" si="1160">AE97</f>
        <v>#N/A</v>
      </c>
      <c r="R97" s="1445" t="str">
        <f t="shared" si="1160"/>
        <v>#N/A</v>
      </c>
      <c r="S97" s="1445" t="str">
        <f t="shared" ref="S97:T97" si="1161">AK97</f>
        <v>#N/A</v>
      </c>
      <c r="T97" s="1445" t="str">
        <f t="shared" si="1161"/>
        <v>#N/A</v>
      </c>
      <c r="U97" s="1445" t="str">
        <f t="shared" ref="U97:V97" si="1162">AQ97</f>
        <v>#N/A</v>
      </c>
      <c r="V97" s="1445" t="str">
        <f t="shared" si="1162"/>
        <v>#N/A</v>
      </c>
      <c r="W97" s="1445" t="str">
        <f t="shared" ref="W97:X97" si="1163">AW97</f>
        <v>#N/A</v>
      </c>
      <c r="X97" s="1445" t="str">
        <f t="shared" si="1163"/>
        <v>#N/A</v>
      </c>
      <c r="Y97" s="1447">
        <f t="shared" ref="Y97:AX97" si="1164">Y98+SUM(Y101:Y108)</f>
        <v>0</v>
      </c>
      <c r="Z97" s="1447">
        <f t="shared" si="1164"/>
        <v>0</v>
      </c>
      <c r="AA97" s="1447" t="str">
        <f t="shared" si="1164"/>
        <v>#N/A</v>
      </c>
      <c r="AB97" s="1447" t="str">
        <f t="shared" si="1164"/>
        <v>#N/A</v>
      </c>
      <c r="AC97" s="1447" t="str">
        <f t="shared" si="1164"/>
        <v>#N/A</v>
      </c>
      <c r="AD97" s="1447" t="str">
        <f t="shared" si="1164"/>
        <v>#N/A</v>
      </c>
      <c r="AE97" s="1447" t="str">
        <f t="shared" si="1164"/>
        <v>#N/A</v>
      </c>
      <c r="AF97" s="1447" t="str">
        <f t="shared" si="1164"/>
        <v>#N/A</v>
      </c>
      <c r="AG97" s="1447" t="str">
        <f t="shared" si="1164"/>
        <v>#N/A</v>
      </c>
      <c r="AH97" s="1447" t="str">
        <f t="shared" si="1164"/>
        <v>#N/A</v>
      </c>
      <c r="AI97" s="1447" t="str">
        <f t="shared" si="1164"/>
        <v>#N/A</v>
      </c>
      <c r="AJ97" s="1447" t="str">
        <f t="shared" si="1164"/>
        <v>#N/A</v>
      </c>
      <c r="AK97" s="1447" t="str">
        <f t="shared" si="1164"/>
        <v>#N/A</v>
      </c>
      <c r="AL97" s="1447" t="str">
        <f t="shared" si="1164"/>
        <v>#N/A</v>
      </c>
      <c r="AM97" s="1447" t="str">
        <f t="shared" si="1164"/>
        <v>#N/A</v>
      </c>
      <c r="AN97" s="1447" t="str">
        <f t="shared" si="1164"/>
        <v>#N/A</v>
      </c>
      <c r="AO97" s="1447" t="str">
        <f t="shared" si="1164"/>
        <v>#N/A</v>
      </c>
      <c r="AP97" s="1447" t="str">
        <f t="shared" si="1164"/>
        <v>#N/A</v>
      </c>
      <c r="AQ97" s="1447" t="str">
        <f t="shared" si="1164"/>
        <v>#N/A</v>
      </c>
      <c r="AR97" s="1447" t="str">
        <f t="shared" si="1164"/>
        <v>#N/A</v>
      </c>
      <c r="AS97" s="1447" t="str">
        <f t="shared" si="1164"/>
        <v>#N/A</v>
      </c>
      <c r="AT97" s="1447" t="str">
        <f t="shared" si="1164"/>
        <v>#N/A</v>
      </c>
      <c r="AU97" s="1447" t="str">
        <f t="shared" si="1164"/>
        <v>#N/A</v>
      </c>
      <c r="AV97" s="1447" t="str">
        <f t="shared" si="1164"/>
        <v>#N/A</v>
      </c>
      <c r="AW97" s="1447" t="str">
        <f t="shared" si="1164"/>
        <v>#N/A</v>
      </c>
      <c r="AX97" s="1447" t="str">
        <f t="shared" si="1164"/>
        <v>#N/A</v>
      </c>
    </row>
    <row r="98">
      <c r="A98" s="1452" t="s">
        <v>2986</v>
      </c>
      <c r="B98" s="1439" t="s">
        <v>3100</v>
      </c>
      <c r="C98" s="1439" t="s">
        <v>3100</v>
      </c>
      <c r="D98" s="1441" t="s">
        <v>3101</v>
      </c>
      <c r="E98" s="1455"/>
      <c r="F98" s="1455"/>
      <c r="G98" s="1455">
        <f>SUMIF(AC_TKNO,$C98,AC_SOTIEN)</f>
        <v>0</v>
      </c>
      <c r="H98" s="1455">
        <f>SUMIF(AC_TKCO,$C98,AC_SOTIEN)</f>
        <v>0</v>
      </c>
      <c r="I98" s="1455" t="str">
        <f t="shared" si="1125"/>
        <v>-</v>
      </c>
      <c r="J98" s="1455" t="str">
        <f t="shared" si="1126"/>
        <v>-</v>
      </c>
      <c r="K98" s="1443"/>
      <c r="L98" s="1443"/>
      <c r="M98" s="1444" t="str">
        <f t="shared" ref="M98:N98" si="1165">S98</f>
        <v>#N/A</v>
      </c>
      <c r="N98" s="1444" t="str">
        <f t="shared" si="1165"/>
        <v>#N/A</v>
      </c>
      <c r="O98" s="1444" t="str">
        <f t="shared" ref="O98:P98" si="1166">W98</f>
        <v>#N/A</v>
      </c>
      <c r="P98" s="1444" t="str">
        <f t="shared" si="1166"/>
        <v>#N/A</v>
      </c>
      <c r="Q98" s="1445" t="str">
        <f t="shared" ref="Q98:R98" si="1167">AE98</f>
        <v>#N/A</v>
      </c>
      <c r="R98" s="1445" t="str">
        <f t="shared" si="1167"/>
        <v>#N/A</v>
      </c>
      <c r="S98" s="1445" t="str">
        <f t="shared" ref="S98:T98" si="1168">AK98</f>
        <v>#N/A</v>
      </c>
      <c r="T98" s="1445" t="str">
        <f t="shared" si="1168"/>
        <v>#N/A</v>
      </c>
      <c r="U98" s="1445" t="str">
        <f t="shared" ref="U98:V98" si="1169">AQ98</f>
        <v>#N/A</v>
      </c>
      <c r="V98" s="1445" t="str">
        <f t="shared" si="1169"/>
        <v>#N/A</v>
      </c>
      <c r="W98" s="1445" t="str">
        <f t="shared" ref="W98:X98" si="1170">AW98</f>
        <v>#N/A</v>
      </c>
      <c r="X98" s="1445" t="str">
        <f t="shared" si="1170"/>
        <v>#N/A</v>
      </c>
      <c r="Y98" s="1453">
        <f t="shared" ref="Y98:AX98" si="1171">SUM(Y99:Y100)</f>
        <v>0</v>
      </c>
      <c r="Z98" s="1453">
        <f t="shared" si="1171"/>
        <v>0</v>
      </c>
      <c r="AA98" s="1453" t="str">
        <f t="shared" si="1171"/>
        <v>#N/A</v>
      </c>
      <c r="AB98" s="1453" t="str">
        <f t="shared" si="1171"/>
        <v>#N/A</v>
      </c>
      <c r="AC98" s="1453" t="str">
        <f t="shared" si="1171"/>
        <v>#N/A</v>
      </c>
      <c r="AD98" s="1453" t="str">
        <f t="shared" si="1171"/>
        <v>#N/A</v>
      </c>
      <c r="AE98" s="1453" t="str">
        <f t="shared" si="1171"/>
        <v>#N/A</v>
      </c>
      <c r="AF98" s="1453" t="str">
        <f t="shared" si="1171"/>
        <v>#N/A</v>
      </c>
      <c r="AG98" s="1453" t="str">
        <f t="shared" si="1171"/>
        <v>#N/A</v>
      </c>
      <c r="AH98" s="1453" t="str">
        <f t="shared" si="1171"/>
        <v>#N/A</v>
      </c>
      <c r="AI98" s="1453" t="str">
        <f t="shared" si="1171"/>
        <v>#N/A</v>
      </c>
      <c r="AJ98" s="1453" t="str">
        <f t="shared" si="1171"/>
        <v>#N/A</v>
      </c>
      <c r="AK98" s="1453" t="str">
        <f t="shared" si="1171"/>
        <v>#N/A</v>
      </c>
      <c r="AL98" s="1453" t="str">
        <f t="shared" si="1171"/>
        <v>#N/A</v>
      </c>
      <c r="AM98" s="1453" t="str">
        <f t="shared" si="1171"/>
        <v>#N/A</v>
      </c>
      <c r="AN98" s="1453" t="str">
        <f t="shared" si="1171"/>
        <v>#N/A</v>
      </c>
      <c r="AO98" s="1453" t="str">
        <f t="shared" si="1171"/>
        <v>#N/A</v>
      </c>
      <c r="AP98" s="1453" t="str">
        <f t="shared" si="1171"/>
        <v>#N/A</v>
      </c>
      <c r="AQ98" s="1453" t="str">
        <f t="shared" si="1171"/>
        <v>#N/A</v>
      </c>
      <c r="AR98" s="1453" t="str">
        <f t="shared" si="1171"/>
        <v>#N/A</v>
      </c>
      <c r="AS98" s="1453" t="str">
        <f t="shared" si="1171"/>
        <v>#N/A</v>
      </c>
      <c r="AT98" s="1453" t="str">
        <f t="shared" si="1171"/>
        <v>#N/A</v>
      </c>
      <c r="AU98" s="1453" t="str">
        <f t="shared" si="1171"/>
        <v>#N/A</v>
      </c>
      <c r="AV98" s="1453" t="str">
        <f t="shared" si="1171"/>
        <v>#N/A</v>
      </c>
      <c r="AW98" s="1453" t="str">
        <f t="shared" si="1171"/>
        <v>#N/A</v>
      </c>
      <c r="AX98" s="1453" t="str">
        <f t="shared" si="1171"/>
        <v>#N/A</v>
      </c>
    </row>
    <row r="99">
      <c r="A99" s="1452" t="s">
        <v>2986</v>
      </c>
      <c r="B99" s="1439" t="s">
        <v>3102</v>
      </c>
      <c r="C99" s="1439" t="s">
        <v>3102</v>
      </c>
      <c r="D99" s="1441" t="s">
        <v>1705</v>
      </c>
      <c r="E99" s="1455"/>
      <c r="F99" s="1455"/>
      <c r="G99" s="1455">
        <f>SUMIF(AC_TKNO,$C99,AC_SOTIEN)</f>
        <v>0</v>
      </c>
      <c r="H99" s="1455">
        <f>SUMIF(AC_TKCO,$C99,AC_SOTIEN)</f>
        <v>0</v>
      </c>
      <c r="I99" s="1455" t="str">
        <f t="shared" si="1125"/>
        <v>-</v>
      </c>
      <c r="J99" s="1455" t="str">
        <f t="shared" si="1126"/>
        <v>-</v>
      </c>
      <c r="K99" s="1443"/>
      <c r="L99" s="1443"/>
      <c r="M99" s="1444" t="str">
        <f t="shared" ref="M99:N99" si="1172">S99</f>
        <v>#N/A</v>
      </c>
      <c r="N99" s="1444" t="str">
        <f t="shared" si="1172"/>
        <v>#N/A</v>
      </c>
      <c r="O99" s="1444" t="str">
        <f t="shared" ref="O99:P99" si="1173">W99</f>
        <v>#N/A</v>
      </c>
      <c r="P99" s="1444" t="str">
        <f t="shared" si="1173"/>
        <v>#N/A</v>
      </c>
      <c r="Q99" s="1445" t="str">
        <f t="shared" ref="Q99:R99" si="1174">AE99</f>
        <v>#N/A</v>
      </c>
      <c r="R99" s="1445" t="str">
        <f t="shared" si="1174"/>
        <v>#N/A</v>
      </c>
      <c r="S99" s="1445" t="str">
        <f t="shared" ref="S99:T99" si="1175">AK99</f>
        <v>#N/A</v>
      </c>
      <c r="T99" s="1445" t="str">
        <f t="shared" si="1175"/>
        <v>#N/A</v>
      </c>
      <c r="U99" s="1445" t="str">
        <f t="shared" ref="U99:V99" si="1176">AQ99</f>
        <v>#N/A</v>
      </c>
      <c r="V99" s="1445" t="str">
        <f t="shared" si="1176"/>
        <v>#N/A</v>
      </c>
      <c r="W99" s="1445" t="str">
        <f t="shared" ref="W99:X99" si="1177">AW99</f>
        <v>#N/A</v>
      </c>
      <c r="X99" s="1445" t="str">
        <f t="shared" si="1177"/>
        <v>#N/A</v>
      </c>
      <c r="Y99" s="630" t="str">
        <f t="shared" ref="Y99:Z99" si="1178">E99</f>
        <v/>
      </c>
      <c r="Z99" s="630" t="str">
        <f t="shared" si="1178"/>
        <v/>
      </c>
      <c r="AA99" s="630" t="str">
        <f t="shared" ref="AA99:AA102" si="1186">IF(Y99+SUMIFS(PS_SOTIEN,PS_TKNO,$B97,PS_MONTH,AA$3)-Z99-SUMIFS(PS_SOTIEN,PS_TKCO,$B97,PS_MONTH,AA$3)&gt;0,Y99+SUMIFS(PS_SOTIEN,PS_TKNO,$B97,PS_MONTH,AA$3)-Z99-SUMIFS(PS_SOTIEN,PS_TKCO,$B97,PS_MONTH,AA$3),0)</f>
        <v>#N/A</v>
      </c>
      <c r="AB99" s="630" t="str">
        <f t="shared" ref="AB99:AB102" si="1187">IF(Z99+SUMIFS(PS_SOTIEN,PS_TKCO,$B97,PS_MONTH,AA$3)-Y99-SUMIFS(PS_SOTIEN,PS_TKNO,$B97,PS_MONTH,AA$3)&gt;0,Z99+SUMIFS(PS_SOTIEN,PS_TKCO,$B97,PS_MONTH,AA$3)-Y99-SUMIFS(PS_SOTIEN,PS_TKNO,$B97,PS_MONTH,AA$3),0)</f>
        <v>#N/A</v>
      </c>
      <c r="AC99" s="630" t="str">
        <f t="shared" ref="AC99:AC102" si="1188">IF(AA99+SUMIFS(PS_SOTIEN,PS_TKNO,$B97,PS_MONTH,AC$3)-AB99-SUMIFS(PS_SOTIEN,PS_TKCO,$B97,PS_MONTH,AC$3)&gt;0,AA99+SUMIFS(PS_SOTIEN,PS_TKNO,$B97,PS_MONTH,AC$3)-AB99-SUMIFS(PS_SOTIEN,PS_TKCO,$B97,PS_MONTH,AC$3),0)</f>
        <v>#N/A</v>
      </c>
      <c r="AD99" s="630" t="str">
        <f t="shared" ref="AD99:AD102" si="1189">IF(AB99+SUMIFS(PS_SOTIEN,PS_TKCO,$B97,PS_MONTH,AC$3)-AA99-SUMIFS(PS_SOTIEN,PS_TKNO,$B97,PS_MONTH,AC$3)&gt;0,AB99+SUMIFS(PS_SOTIEN,PS_TKCO,$B97,PS_MONTH,AC$3)-AA99-SUMIFS(PS_SOTIEN,PS_TKNO,$B97,PS_MONTH,AC$3),0)</f>
        <v>#N/A</v>
      </c>
      <c r="AE99" s="630" t="str">
        <f t="shared" ref="AE99:AE102" si="1190">IF(AC99+SUMIFS(PS_SOTIEN,PS_TKNO,$B97,PS_MONTH,AE$3)-AD99-SUMIFS(PS_SOTIEN,PS_TKCO,$B97,PS_MONTH,AE$3)&gt;0,AC99+SUMIFS(PS_SOTIEN,PS_TKNO,$B97,PS_MONTH,AE$3)-AD99-SUMIFS(PS_SOTIEN,PS_TKCO,$B97,PS_MONTH,AE$3),0)</f>
        <v>#N/A</v>
      </c>
      <c r="AF99" s="630" t="str">
        <f t="shared" ref="AF99:AF102" si="1191">IF(AD99+SUMIFS(PS_SOTIEN,PS_TKCO,$B97,PS_MONTH,AE$3)-AC99-SUMIFS(PS_SOTIEN,PS_TKNO,$B97,PS_MONTH,AE$3)&gt;0,AD99+SUMIFS(PS_SOTIEN,PS_TKCO,$B97,PS_MONTH,AE$3)-AC99-SUMIFS(PS_SOTIEN,PS_TKNO,$B97,PS_MONTH,AE$3),0)</f>
        <v>#N/A</v>
      </c>
      <c r="AG99" s="630" t="str">
        <f t="shared" ref="AG99:AG102" si="1192">IF(AE99+SUMIFS(PS_SOTIEN,PS_TKNO,$B97,PS_MONTH,AG$3)-AF99-SUMIFS(PS_SOTIEN,PS_TKCO,$B97,PS_MONTH,AG$3)&gt;0,AE99+SUMIFS(PS_SOTIEN,PS_TKNO,$B97,PS_MONTH,AG$3)-AF99-SUMIFS(PS_SOTIEN,PS_TKCO,$B97,PS_MONTH,AG$3),0)</f>
        <v>#N/A</v>
      </c>
      <c r="AH99" s="630" t="str">
        <f t="shared" ref="AH99:AH102" si="1193">IF(AF99+SUMIFS(PS_SOTIEN,PS_TKCO,$B97,PS_MONTH,AG$3)-AE99-SUMIFS(PS_SOTIEN,PS_TKNO,$B97,PS_MONTH,AG$3)&gt;0,AF99+SUMIFS(PS_SOTIEN,PS_TKCO,$B97,PS_MONTH,AG$3)-AE99-SUMIFS(PS_SOTIEN,PS_TKNO,$B97,PS_MONTH,AG$3),0)</f>
        <v>#N/A</v>
      </c>
      <c r="AI99" s="630" t="str">
        <f t="shared" ref="AI99:AI102" si="1194">IF(AG99+SUMIFS(PS_SOTIEN,PS_TKNO,$B97,PS_MONTH,AI$3)-AH99-SUMIFS(PS_SOTIEN,PS_TKCO,$B97,PS_MONTH,AI$3)&gt;0,AG99+SUMIFS(PS_SOTIEN,PS_TKNO,$B97,PS_MONTH,AI$3)-AH99-SUMIFS(PS_SOTIEN,PS_TKCO,$B97,PS_MONTH,AI$3),0)</f>
        <v>#N/A</v>
      </c>
      <c r="AJ99" s="630" t="str">
        <f t="shared" ref="AJ99:AJ102" si="1195">IF(AH99+SUMIFS(PS_SOTIEN,PS_TKCO,$B97,PS_MONTH,AI$3)-AG99-SUMIFS(PS_SOTIEN,PS_TKNO,$B97,PS_MONTH,AI$3)&gt;0,AH99+SUMIFS(PS_SOTIEN,PS_TKCO,$B97,PS_MONTH,AI$3)-AG99-SUMIFS(PS_SOTIEN,PS_TKNO,$B97,PS_MONTH,AI$3),0)</f>
        <v>#N/A</v>
      </c>
      <c r="AK99" s="630" t="str">
        <f t="shared" ref="AK99:AK102" si="1196">IF(AI99+SUMIFS(PS_SOTIEN,PS_TKNO,$B97,PS_MONTH,AK$3)-AJ99-SUMIFS(PS_SOTIEN,PS_TKCO,$B97,PS_MONTH,AK$3)&gt;0,AI99+SUMIFS(PS_SOTIEN,PS_TKNO,$B97,PS_MONTH,AK$3)-AJ99-SUMIFS(PS_SOTIEN,PS_TKCO,$B97,PS_MONTH,AK$3),0)</f>
        <v>#N/A</v>
      </c>
      <c r="AL99" s="630" t="str">
        <f t="shared" ref="AL99:AL102" si="1197">IF(AJ99+SUMIFS(PS_SOTIEN,PS_TKCO,$B97,PS_MONTH,AK$3)-AI99-SUMIFS(PS_SOTIEN,PS_TKNO,$B97,PS_MONTH,AK$3)&gt;0,AJ99+SUMIFS(PS_SOTIEN,PS_TKCO,$B97,PS_MONTH,AK$3)-AI99-SUMIFS(PS_SOTIEN,PS_TKNO,$B97,PS_MONTH,AK$3),0)</f>
        <v>#N/A</v>
      </c>
      <c r="AM99" s="630" t="str">
        <f t="shared" ref="AM99:AM102" si="1198">IF(AK99+SUMIFS(PS_SOTIEN,PS_TKNO,$B97,PS_MONTH,AM$3)-AL99-SUMIFS(PS_SOTIEN,PS_TKCO,$B97,PS_MONTH,AM$3)&gt;0,AK99+SUMIFS(PS_SOTIEN,PS_TKNO,$B97,PS_MONTH,AM$3)-AL99-SUMIFS(PS_SOTIEN,PS_TKCO,$B97,PS_MONTH,AM$3),0)</f>
        <v>#N/A</v>
      </c>
      <c r="AN99" s="630" t="str">
        <f t="shared" ref="AN99:AN102" si="1199">IF(AL99+SUMIFS(PS_SOTIEN,PS_TKCO,$B97,PS_MONTH,AM$3)-AK99-SUMIFS(PS_SOTIEN,PS_TKNO,$B97,PS_MONTH,AM$3)&gt;0,AL99+SUMIFS(PS_SOTIEN,PS_TKCO,$B97,PS_MONTH,AM$3)-AK99-SUMIFS(PS_SOTIEN,PS_TKNO,$B97,PS_MONTH,AM$3),0)</f>
        <v>#N/A</v>
      </c>
      <c r="AO99" s="630" t="str">
        <f t="shared" ref="AO99:AO102" si="1200">IF(AM99+SUMIFS(PS_SOTIEN,PS_TKNO,$B97,PS_MONTH,AO$3)-AN99-SUMIFS(PS_SOTIEN,PS_TKCO,$B97,PS_MONTH,AO$3)&gt;0,AM99+SUMIFS(PS_SOTIEN,PS_TKNO,$B97,PS_MONTH,AO$3)-AN99-SUMIFS(PS_SOTIEN,PS_TKCO,$B97,PS_MONTH,AO$3),0)</f>
        <v>#N/A</v>
      </c>
      <c r="AP99" s="630" t="str">
        <f t="shared" ref="AP99:AP102" si="1201">IF(AN99+SUMIFS(PS_SOTIEN,PS_TKCO,$B97,PS_MONTH,AO$3)-AM99-SUMIFS(PS_SOTIEN,PS_TKNO,$B97,PS_MONTH,AO$3)&gt;0,AN99+SUMIFS(PS_SOTIEN,PS_TKCO,$B97,PS_MONTH,AO$3)-AM99-SUMIFS(PS_SOTIEN,PS_TKNO,$B97,PS_MONTH,AO$3),0)</f>
        <v>#N/A</v>
      </c>
      <c r="AQ99" s="630" t="str">
        <f t="shared" ref="AQ99:AQ102" si="1202">IF(AO99+SUMIFS(PS_SOTIEN,PS_TKNO,$B97,PS_MONTH,AQ$3)-AP99-SUMIFS(PS_SOTIEN,PS_TKCO,$B97,PS_MONTH,AQ$3)&gt;0,AO99+SUMIFS(PS_SOTIEN,PS_TKNO,$B97,PS_MONTH,AQ$3)-AP99-SUMIFS(PS_SOTIEN,PS_TKCO,$B97,PS_MONTH,AQ$3),0)</f>
        <v>#N/A</v>
      </c>
      <c r="AR99" s="630" t="str">
        <f t="shared" ref="AR99:AR102" si="1203">IF(AP99+SUMIFS(PS_SOTIEN,PS_TKCO,$B97,PS_MONTH,AQ$3)-AO99-SUMIFS(PS_SOTIEN,PS_TKNO,$B97,PS_MONTH,AQ$3)&gt;0,AP99+SUMIFS(PS_SOTIEN,PS_TKCO,$B97,PS_MONTH,AQ$3)-AO99-SUMIFS(PS_SOTIEN,PS_TKNO,$B97,PS_MONTH,AQ$3),0)</f>
        <v>#N/A</v>
      </c>
      <c r="AS99" s="630" t="str">
        <f t="shared" ref="AS99:AS102" si="1204">IF(AQ99+SUMIFS(PS_SOTIEN,PS_TKNO,$B97,PS_MONTH,AS$3)-AR99-SUMIFS(PS_SOTIEN,PS_TKCO,$B97,PS_MONTH,AS$3)&gt;0,AQ99+SUMIFS(PS_SOTIEN,PS_TKNO,$B97,PS_MONTH,AS$3)-AR99-SUMIFS(PS_SOTIEN,PS_TKCO,$B97,PS_MONTH,AS$3),0)</f>
        <v>#N/A</v>
      </c>
      <c r="AT99" s="630" t="str">
        <f t="shared" ref="AT99:AT102" si="1205">IF(AR99+SUMIFS(PS_SOTIEN,PS_TKCO,$B97,PS_MONTH,AS$3)-AQ99-SUMIFS(PS_SOTIEN,PS_TKNO,$B97,PS_MONTH,AS$3)&gt;0,AR99+SUMIFS(PS_SOTIEN,PS_TKCO,$B97,PS_MONTH,AS$3)-AQ99-SUMIFS(PS_SOTIEN,PS_TKNO,$B97,PS_MONTH,AS$3),0)</f>
        <v>#N/A</v>
      </c>
      <c r="AU99" s="630" t="str">
        <f t="shared" ref="AU99:AU102" si="1206">IF(AS99+SUMIFS(PS_SOTIEN,PS_TKNO,$B97,PS_MONTH,AU$3)-AT99-SUMIFS(PS_SOTIEN,PS_TKCO,$B97,PS_MONTH,AU$3)&gt;0,AS99+SUMIFS(PS_SOTIEN,PS_TKNO,$B97,PS_MONTH,AU$3)-AT99-SUMIFS(PS_SOTIEN,PS_TKCO,$B97,PS_MONTH,AU$3),0)</f>
        <v>#N/A</v>
      </c>
      <c r="AV99" s="630" t="str">
        <f t="shared" ref="AV99:AV102" si="1207">IF(AT99+SUMIFS(PS_SOTIEN,PS_TKCO,$B97,PS_MONTH,AU$3)-AS99-SUMIFS(PS_SOTIEN,PS_TKNO,$B97,PS_MONTH,AU$3)&gt;0,AT99+SUMIFS(PS_SOTIEN,PS_TKCO,$B97,PS_MONTH,AU$3)-AS99-SUMIFS(PS_SOTIEN,PS_TKNO,$B97,PS_MONTH,AU$3),0)</f>
        <v>#N/A</v>
      </c>
      <c r="AW99" s="630" t="str">
        <f t="shared" ref="AW99:AW102" si="1208">IF(AU99+SUMIFS(PS_SOTIEN,PS_TKNO,$B97,PS_MONTH,AW$3)-AV99-SUMIFS(PS_SOTIEN,PS_TKCO,$B97,PS_MONTH,AW$3)&gt;0,AU99+SUMIFS(PS_SOTIEN,PS_TKNO,$B97,PS_MONTH,AW$3)-AV99-SUMIFS(PS_SOTIEN,PS_TKCO,$B97,PS_MONTH,AW$3),0)</f>
        <v>#N/A</v>
      </c>
      <c r="AX99" s="630" t="str">
        <f t="shared" ref="AX99:AX102" si="1209">IF(AV99+SUMIFS(PS_SOTIEN,PS_TKCO,$B97,PS_MONTH,AW$3)-AU99-SUMIFS(PS_SOTIEN,PS_TKNO,$B97,PS_MONTH,AW$3)&gt;0,AV99+SUMIFS(PS_SOTIEN,PS_TKCO,$B97,PS_MONTH,AW$3)-AU99-SUMIFS(PS_SOTIEN,PS_TKNO,$B97,PS_MONTH,AW$3),0)</f>
        <v>#N/A</v>
      </c>
    </row>
    <row r="100">
      <c r="A100" s="1452" t="s">
        <v>2986</v>
      </c>
      <c r="B100" s="1439" t="s">
        <v>3103</v>
      </c>
      <c r="C100" s="1439" t="s">
        <v>3103</v>
      </c>
      <c r="D100" s="1441" t="s">
        <v>1359</v>
      </c>
      <c r="E100" s="1455"/>
      <c r="F100" s="1455"/>
      <c r="G100" s="1455">
        <f>SUMIF(AC_TKNO,$C100,AC_SOTIEN)</f>
        <v>0</v>
      </c>
      <c r="H100" s="1455">
        <f>SUMIF(AC_TKCO,$C100,AC_SOTIEN)</f>
        <v>0</v>
      </c>
      <c r="I100" s="1455" t="str">
        <f t="shared" si="1125"/>
        <v>-</v>
      </c>
      <c r="J100" s="1455" t="str">
        <f t="shared" si="1126"/>
        <v>-</v>
      </c>
      <c r="K100" s="1443"/>
      <c r="L100" s="1443"/>
      <c r="M100" s="1444" t="str">
        <f t="shared" ref="M100:N100" si="1179">S100</f>
        <v>#N/A</v>
      </c>
      <c r="N100" s="1444" t="str">
        <f t="shared" si="1179"/>
        <v>#N/A</v>
      </c>
      <c r="O100" s="1444" t="str">
        <f t="shared" ref="O100:P100" si="1180">W100</f>
        <v>#N/A</v>
      </c>
      <c r="P100" s="1444" t="str">
        <f t="shared" si="1180"/>
        <v>#N/A</v>
      </c>
      <c r="Q100" s="1445" t="str">
        <f t="shared" ref="Q100:R100" si="1181">AE100</f>
        <v>#N/A</v>
      </c>
      <c r="R100" s="1445" t="str">
        <f t="shared" si="1181"/>
        <v>#N/A</v>
      </c>
      <c r="S100" s="1445" t="str">
        <f t="shared" ref="S100:T100" si="1182">AK100</f>
        <v>#N/A</v>
      </c>
      <c r="T100" s="1445" t="str">
        <f t="shared" si="1182"/>
        <v>#N/A</v>
      </c>
      <c r="U100" s="1445" t="str">
        <f t="shared" ref="U100:V100" si="1183">AQ100</f>
        <v>#N/A</v>
      </c>
      <c r="V100" s="1445" t="str">
        <f t="shared" si="1183"/>
        <v>#N/A</v>
      </c>
      <c r="W100" s="1445" t="str">
        <f t="shared" ref="W100:X100" si="1184">AW100</f>
        <v>#N/A</v>
      </c>
      <c r="X100" s="1445" t="str">
        <f t="shared" si="1184"/>
        <v>#N/A</v>
      </c>
      <c r="Y100" s="630" t="str">
        <f t="shared" ref="Y100:Z100" si="1185">E100</f>
        <v/>
      </c>
      <c r="Z100" s="630" t="str">
        <f t="shared" si="1185"/>
        <v/>
      </c>
      <c r="AA100" s="630" t="str">
        <f t="shared" si="1186"/>
        <v>#N/A</v>
      </c>
      <c r="AB100" s="630" t="str">
        <f t="shared" si="1187"/>
        <v>#N/A</v>
      </c>
      <c r="AC100" s="630" t="str">
        <f t="shared" si="1188"/>
        <v>#N/A</v>
      </c>
      <c r="AD100" s="630" t="str">
        <f t="shared" si="1189"/>
        <v>#N/A</v>
      </c>
      <c r="AE100" s="630" t="str">
        <f t="shared" si="1190"/>
        <v>#N/A</v>
      </c>
      <c r="AF100" s="630" t="str">
        <f t="shared" si="1191"/>
        <v>#N/A</v>
      </c>
      <c r="AG100" s="630" t="str">
        <f t="shared" si="1192"/>
        <v>#N/A</v>
      </c>
      <c r="AH100" s="630" t="str">
        <f t="shared" si="1193"/>
        <v>#N/A</v>
      </c>
      <c r="AI100" s="630" t="str">
        <f t="shared" si="1194"/>
        <v>#N/A</v>
      </c>
      <c r="AJ100" s="630" t="str">
        <f t="shared" si="1195"/>
        <v>#N/A</v>
      </c>
      <c r="AK100" s="630" t="str">
        <f t="shared" si="1196"/>
        <v>#N/A</v>
      </c>
      <c r="AL100" s="630" t="str">
        <f t="shared" si="1197"/>
        <v>#N/A</v>
      </c>
      <c r="AM100" s="630" t="str">
        <f t="shared" si="1198"/>
        <v>#N/A</v>
      </c>
      <c r="AN100" s="630" t="str">
        <f t="shared" si="1199"/>
        <v>#N/A</v>
      </c>
      <c r="AO100" s="630" t="str">
        <f t="shared" si="1200"/>
        <v>#N/A</v>
      </c>
      <c r="AP100" s="630" t="str">
        <f t="shared" si="1201"/>
        <v>#N/A</v>
      </c>
      <c r="AQ100" s="630" t="str">
        <f t="shared" si="1202"/>
        <v>#N/A</v>
      </c>
      <c r="AR100" s="630" t="str">
        <f t="shared" si="1203"/>
        <v>#N/A</v>
      </c>
      <c r="AS100" s="630" t="str">
        <f t="shared" si="1204"/>
        <v>#N/A</v>
      </c>
      <c r="AT100" s="630" t="str">
        <f t="shared" si="1205"/>
        <v>#N/A</v>
      </c>
      <c r="AU100" s="630" t="str">
        <f t="shared" si="1206"/>
        <v>#N/A</v>
      </c>
      <c r="AV100" s="630" t="str">
        <f t="shared" si="1207"/>
        <v>#N/A</v>
      </c>
      <c r="AW100" s="630" t="str">
        <f t="shared" si="1208"/>
        <v>#N/A</v>
      </c>
      <c r="AX100" s="630" t="str">
        <f t="shared" si="1209"/>
        <v>#N/A</v>
      </c>
    </row>
    <row r="101">
      <c r="A101" s="1452" t="s">
        <v>2986</v>
      </c>
      <c r="B101" s="1439" t="s">
        <v>3104</v>
      </c>
      <c r="C101" s="1439" t="s">
        <v>3104</v>
      </c>
      <c r="D101" s="1441" t="s">
        <v>1411</v>
      </c>
      <c r="E101" s="1455"/>
      <c r="F101" s="1455"/>
      <c r="G101" s="1455">
        <f>SUMIF(AC_TKNO,$C101,AC_SOTIEN)</f>
        <v>539859370</v>
      </c>
      <c r="H101" s="1455">
        <f>SUMIF(AC_TKCO,$C101,AC_SOTIEN)</f>
        <v>737844070</v>
      </c>
      <c r="I101" s="1455" t="str">
        <f t="shared" si="1125"/>
        <v>-</v>
      </c>
      <c r="J101" s="1455">
        <f t="shared" si="1126"/>
        <v>197984700</v>
      </c>
      <c r="K101" s="1443"/>
      <c r="L101" s="1443"/>
      <c r="M101" s="1444" t="str">
        <f t="shared" ref="M101:N101" si="1210">S101</f>
        <v>#N/A</v>
      </c>
      <c r="N101" s="1444" t="str">
        <f t="shared" si="1210"/>
        <v>#N/A</v>
      </c>
      <c r="O101" s="1444" t="str">
        <f t="shared" ref="O101:P101" si="1211">W101</f>
        <v>#N/A</v>
      </c>
      <c r="P101" s="1444" t="str">
        <f t="shared" si="1211"/>
        <v>#N/A</v>
      </c>
      <c r="Q101" s="1445" t="str">
        <f t="shared" ref="Q101:R101" si="1212">AE101</f>
        <v>#N/A</v>
      </c>
      <c r="R101" s="1445" t="str">
        <f t="shared" si="1212"/>
        <v>#N/A</v>
      </c>
      <c r="S101" s="1445" t="str">
        <f t="shared" ref="S101:T101" si="1213">AK101</f>
        <v>#N/A</v>
      </c>
      <c r="T101" s="1445" t="str">
        <f t="shared" si="1213"/>
        <v>#N/A</v>
      </c>
      <c r="U101" s="1445" t="str">
        <f t="shared" ref="U101:V101" si="1214">AQ101</f>
        <v>#N/A</v>
      </c>
      <c r="V101" s="1445" t="str">
        <f t="shared" si="1214"/>
        <v>#N/A</v>
      </c>
      <c r="W101" s="1445" t="str">
        <f t="shared" ref="W101:X101" si="1215">AW101</f>
        <v>#N/A</v>
      </c>
      <c r="X101" s="1445" t="str">
        <f t="shared" si="1215"/>
        <v>#N/A</v>
      </c>
      <c r="Y101" s="630" t="str">
        <f t="shared" ref="Y101:Z101" si="1216">E101</f>
        <v/>
      </c>
      <c r="Z101" s="630" t="str">
        <f t="shared" si="1216"/>
        <v/>
      </c>
      <c r="AA101" s="630" t="str">
        <f t="shared" si="1186"/>
        <v>#N/A</v>
      </c>
      <c r="AB101" s="630" t="str">
        <f t="shared" si="1187"/>
        <v>#N/A</v>
      </c>
      <c r="AC101" s="630" t="str">
        <f t="shared" si="1188"/>
        <v>#N/A</v>
      </c>
      <c r="AD101" s="630" t="str">
        <f t="shared" si="1189"/>
        <v>#N/A</v>
      </c>
      <c r="AE101" s="630" t="str">
        <f t="shared" si="1190"/>
        <v>#N/A</v>
      </c>
      <c r="AF101" s="630" t="str">
        <f t="shared" si="1191"/>
        <v>#N/A</v>
      </c>
      <c r="AG101" s="630" t="str">
        <f t="shared" si="1192"/>
        <v>#N/A</v>
      </c>
      <c r="AH101" s="630" t="str">
        <f t="shared" si="1193"/>
        <v>#N/A</v>
      </c>
      <c r="AI101" s="630" t="str">
        <f t="shared" si="1194"/>
        <v>#N/A</v>
      </c>
      <c r="AJ101" s="630" t="str">
        <f t="shared" si="1195"/>
        <v>#N/A</v>
      </c>
      <c r="AK101" s="630" t="str">
        <f t="shared" si="1196"/>
        <v>#N/A</v>
      </c>
      <c r="AL101" s="630" t="str">
        <f t="shared" si="1197"/>
        <v>#N/A</v>
      </c>
      <c r="AM101" s="630" t="str">
        <f t="shared" si="1198"/>
        <v>#N/A</v>
      </c>
      <c r="AN101" s="630" t="str">
        <f t="shared" si="1199"/>
        <v>#N/A</v>
      </c>
      <c r="AO101" s="630" t="str">
        <f t="shared" si="1200"/>
        <v>#N/A</v>
      </c>
      <c r="AP101" s="630" t="str">
        <f t="shared" si="1201"/>
        <v>#N/A</v>
      </c>
      <c r="AQ101" s="630" t="str">
        <f t="shared" si="1202"/>
        <v>#N/A</v>
      </c>
      <c r="AR101" s="630" t="str">
        <f t="shared" si="1203"/>
        <v>#N/A</v>
      </c>
      <c r="AS101" s="630" t="str">
        <f t="shared" si="1204"/>
        <v>#N/A</v>
      </c>
      <c r="AT101" s="630" t="str">
        <f t="shared" si="1205"/>
        <v>#N/A</v>
      </c>
      <c r="AU101" s="630" t="str">
        <f t="shared" si="1206"/>
        <v>#N/A</v>
      </c>
      <c r="AV101" s="630" t="str">
        <f t="shared" si="1207"/>
        <v>#N/A</v>
      </c>
      <c r="AW101" s="630" t="str">
        <f t="shared" si="1208"/>
        <v>#N/A</v>
      </c>
      <c r="AX101" s="630" t="str">
        <f t="shared" si="1209"/>
        <v>#N/A</v>
      </c>
    </row>
    <row r="102">
      <c r="A102" s="1452" t="s">
        <v>2986</v>
      </c>
      <c r="B102" s="1439" t="s">
        <v>3105</v>
      </c>
      <c r="C102" s="1440"/>
      <c r="D102" s="1441" t="s">
        <v>1413</v>
      </c>
      <c r="E102" s="1442">
        <f t="shared" ref="E102:J102" si="1217">SUM(E103:E115)</f>
        <v>0</v>
      </c>
      <c r="F102" s="1442">
        <f t="shared" si="1217"/>
        <v>0</v>
      </c>
      <c r="G102" s="1442">
        <f t="shared" si="1217"/>
        <v>2000000</v>
      </c>
      <c r="H102" s="1442">
        <f t="shared" si="1217"/>
        <v>0</v>
      </c>
      <c r="I102" s="1442">
        <f t="shared" si="1217"/>
        <v>2000000</v>
      </c>
      <c r="J102" s="1442">
        <f t="shared" si="1217"/>
        <v>0</v>
      </c>
      <c r="K102" s="1443"/>
      <c r="L102" s="1443"/>
      <c r="M102" s="1444" t="str">
        <f t="shared" ref="M102:N102" si="1218">S102</f>
        <v>#N/A</v>
      </c>
      <c r="N102" s="1444" t="str">
        <f t="shared" si="1218"/>
        <v>#N/A</v>
      </c>
      <c r="O102" s="1444" t="str">
        <f t="shared" ref="O102:P102" si="1219">W102</f>
        <v>#N/A</v>
      </c>
      <c r="P102" s="1444" t="str">
        <f t="shared" si="1219"/>
        <v>#N/A</v>
      </c>
      <c r="Q102" s="1445" t="str">
        <f t="shared" ref="Q102:R102" si="1220">AE102</f>
        <v>#N/A</v>
      </c>
      <c r="R102" s="1445" t="str">
        <f t="shared" si="1220"/>
        <v>#N/A</v>
      </c>
      <c r="S102" s="1445" t="str">
        <f t="shared" ref="S102:T102" si="1221">AK102</f>
        <v>#N/A</v>
      </c>
      <c r="T102" s="1445" t="str">
        <f t="shared" si="1221"/>
        <v>#N/A</v>
      </c>
      <c r="U102" s="1445" t="str">
        <f t="shared" ref="U102:V102" si="1222">AQ102</f>
        <v>#N/A</v>
      </c>
      <c r="V102" s="1445" t="str">
        <f t="shared" si="1222"/>
        <v>#N/A</v>
      </c>
      <c r="W102" s="1445" t="str">
        <f t="shared" ref="W102:X102" si="1223">AW102</f>
        <v>#N/A</v>
      </c>
      <c r="X102" s="1445" t="str">
        <f t="shared" si="1223"/>
        <v>#N/A</v>
      </c>
      <c r="Y102" s="630">
        <f t="shared" ref="Y102:Z102" si="1224">E102</f>
        <v>0</v>
      </c>
      <c r="Z102" s="630">
        <f t="shared" si="1224"/>
        <v>0</v>
      </c>
      <c r="AA102" s="630" t="str">
        <f t="shared" si="1186"/>
        <v>#N/A</v>
      </c>
      <c r="AB102" s="630" t="str">
        <f t="shared" si="1187"/>
        <v>#N/A</v>
      </c>
      <c r="AC102" s="630" t="str">
        <f t="shared" si="1188"/>
        <v>#N/A</v>
      </c>
      <c r="AD102" s="630" t="str">
        <f t="shared" si="1189"/>
        <v>#N/A</v>
      </c>
      <c r="AE102" s="630" t="str">
        <f t="shared" si="1190"/>
        <v>#N/A</v>
      </c>
      <c r="AF102" s="630" t="str">
        <f t="shared" si="1191"/>
        <v>#N/A</v>
      </c>
      <c r="AG102" s="630" t="str">
        <f t="shared" si="1192"/>
        <v>#N/A</v>
      </c>
      <c r="AH102" s="630" t="str">
        <f t="shared" si="1193"/>
        <v>#N/A</v>
      </c>
      <c r="AI102" s="630" t="str">
        <f t="shared" si="1194"/>
        <v>#N/A</v>
      </c>
      <c r="AJ102" s="630" t="str">
        <f t="shared" si="1195"/>
        <v>#N/A</v>
      </c>
      <c r="AK102" s="630" t="str">
        <f t="shared" si="1196"/>
        <v>#N/A</v>
      </c>
      <c r="AL102" s="630" t="str">
        <f t="shared" si="1197"/>
        <v>#N/A</v>
      </c>
      <c r="AM102" s="630" t="str">
        <f t="shared" si="1198"/>
        <v>#N/A</v>
      </c>
      <c r="AN102" s="630" t="str">
        <f t="shared" si="1199"/>
        <v>#N/A</v>
      </c>
      <c r="AO102" s="630" t="str">
        <f t="shared" si="1200"/>
        <v>#N/A</v>
      </c>
      <c r="AP102" s="630" t="str">
        <f t="shared" si="1201"/>
        <v>#N/A</v>
      </c>
      <c r="AQ102" s="630" t="str">
        <f t="shared" si="1202"/>
        <v>#N/A</v>
      </c>
      <c r="AR102" s="630" t="str">
        <f t="shared" si="1203"/>
        <v>#N/A</v>
      </c>
      <c r="AS102" s="630" t="str">
        <f t="shared" si="1204"/>
        <v>#N/A</v>
      </c>
      <c r="AT102" s="630" t="str">
        <f t="shared" si="1205"/>
        <v>#N/A</v>
      </c>
      <c r="AU102" s="630" t="str">
        <f t="shared" si="1206"/>
        <v>#N/A</v>
      </c>
      <c r="AV102" s="630" t="str">
        <f t="shared" si="1207"/>
        <v>#N/A</v>
      </c>
      <c r="AW102" s="630" t="str">
        <f t="shared" si="1208"/>
        <v>#N/A</v>
      </c>
      <c r="AX102" s="630" t="str">
        <f t="shared" si="1209"/>
        <v>#N/A</v>
      </c>
    </row>
    <row r="103">
      <c r="A103" s="1448"/>
      <c r="B103" s="1440"/>
      <c r="C103" s="1449" t="s">
        <v>1887</v>
      </c>
      <c r="D103" s="1433" t="s">
        <v>1414</v>
      </c>
      <c r="E103" s="1450"/>
      <c r="F103" s="1450"/>
      <c r="G103" s="1450">
        <f>SUMIF(AC_TKNO,$C103,AC_SOTIEN)</f>
        <v>0</v>
      </c>
      <c r="H103" s="1450">
        <f>SUMIF(AC_TKCO,$C103,AC_SOTIEN)</f>
        <v>0</v>
      </c>
      <c r="I103" s="1450" t="str">
        <f t="shared" ref="I103:I115" si="1232">IF(E103+G103-F103-H103&gt;0,E103+G103-F103-H103,"-")</f>
        <v>-</v>
      </c>
      <c r="J103" s="1450" t="str">
        <f t="shared" ref="J103:J115" si="1233">IF(F103+H103-E103-G103&gt;0,F103+H103-E103-G103,"-")</f>
        <v>-</v>
      </c>
      <c r="K103" s="1443"/>
      <c r="L103" s="1443"/>
      <c r="M103" s="1444" t="str">
        <f t="shared" ref="M103:N103" si="1225">S103</f>
        <v>#N/A</v>
      </c>
      <c r="N103" s="1444" t="str">
        <f t="shared" si="1225"/>
        <v>#N/A</v>
      </c>
      <c r="O103" s="1444" t="str">
        <f t="shared" ref="O103:P103" si="1226">W103</f>
        <v>#N/A</v>
      </c>
      <c r="P103" s="1444" t="str">
        <f t="shared" si="1226"/>
        <v>#N/A</v>
      </c>
      <c r="Q103" s="1445" t="str">
        <f t="shared" ref="Q103:R103" si="1227">AE103</f>
        <v>#N/A</v>
      </c>
      <c r="R103" s="1445" t="str">
        <f t="shared" si="1227"/>
        <v>#N/A</v>
      </c>
      <c r="S103" s="1445" t="str">
        <f t="shared" ref="S103:T103" si="1228">AK103</f>
        <v>#N/A</v>
      </c>
      <c r="T103" s="1445" t="str">
        <f t="shared" si="1228"/>
        <v>#N/A</v>
      </c>
      <c r="U103" s="1445" t="str">
        <f t="shared" ref="U103:V103" si="1229">AQ103</f>
        <v>#N/A</v>
      </c>
      <c r="V103" s="1445" t="str">
        <f t="shared" si="1229"/>
        <v>#N/A</v>
      </c>
      <c r="W103" s="1445" t="str">
        <f t="shared" ref="W103:X103" si="1230">AW103</f>
        <v>#N/A</v>
      </c>
      <c r="X103" s="1445" t="str">
        <f t="shared" si="1230"/>
        <v>#N/A</v>
      </c>
      <c r="Y103" s="630" t="str">
        <f t="shared" ref="Y103:Z103" si="1231">E103</f>
        <v/>
      </c>
      <c r="Z103" s="630" t="str">
        <f t="shared" si="1231"/>
        <v/>
      </c>
      <c r="AA103" s="630" t="str">
        <f t="shared" ref="AA103:AA106" si="1241">IF(Y103+SUMIFS(PS_SOTIEN,PS_TKNO,#REF!,PS_MONTH,AA$3)-Z103-SUMIFS(PS_SOTIEN,PS_TKCO,#REF!,PS_MONTH,AA$3)&gt;0,Y103+SUMIFS(PS_SOTIEN,PS_TKNO,#REF!,PS_MONTH,AA$3)-Z103-SUMIFS(PS_SOTIEN,PS_TKCO,#REF!,PS_MONTH,AA$3),0)</f>
        <v>#N/A</v>
      </c>
      <c r="AB103" s="630" t="str">
        <f t="shared" ref="AB103:AB106" si="1242">IF(Z103+SUMIFS(PS_SOTIEN,PS_TKCO,#REF!,PS_MONTH,AA$3)-Y103-SUMIFS(PS_SOTIEN,PS_TKNO,#REF!,PS_MONTH,AA$3)&gt;0,Z103+SUMIFS(PS_SOTIEN,PS_TKCO,#REF!,PS_MONTH,AA$3)-Y103-SUMIFS(PS_SOTIEN,PS_TKNO,#REF!,PS_MONTH,AA$3),0)</f>
        <v>#N/A</v>
      </c>
      <c r="AC103" s="630" t="str">
        <f t="shared" ref="AC103:AC106" si="1243">IF(AA103+SUMIFS(PS_SOTIEN,PS_TKNO,#REF!,PS_MONTH,AC$3)-AB103-SUMIFS(PS_SOTIEN,PS_TKCO,#REF!,PS_MONTH,AC$3)&gt;0,AA103+SUMIFS(PS_SOTIEN,PS_TKNO,#REF!,PS_MONTH,AC$3)-AB103-SUMIFS(PS_SOTIEN,PS_TKCO,#REF!,PS_MONTH,AC$3),0)</f>
        <v>#N/A</v>
      </c>
      <c r="AD103" s="630" t="str">
        <f t="shared" ref="AD103:AD106" si="1244">IF(AB103+SUMIFS(PS_SOTIEN,PS_TKCO,#REF!,PS_MONTH,AC$3)-AA103-SUMIFS(PS_SOTIEN,PS_TKNO,#REF!,PS_MONTH,AC$3)&gt;0,AB103+SUMIFS(PS_SOTIEN,PS_TKCO,#REF!,PS_MONTH,AC$3)-AA103-SUMIFS(PS_SOTIEN,PS_TKNO,#REF!,PS_MONTH,AC$3),0)</f>
        <v>#N/A</v>
      </c>
      <c r="AE103" s="630" t="str">
        <f t="shared" ref="AE103:AE106" si="1245">IF(AC103+SUMIFS(PS_SOTIEN,PS_TKNO,#REF!,PS_MONTH,AE$3)-AD103-SUMIFS(PS_SOTIEN,PS_TKCO,#REF!,PS_MONTH,AE$3)&gt;0,AC103+SUMIFS(PS_SOTIEN,PS_TKNO,#REF!,PS_MONTH,AE$3)-AD103-SUMIFS(PS_SOTIEN,PS_TKCO,#REF!,PS_MONTH,AE$3),0)</f>
        <v>#N/A</v>
      </c>
      <c r="AF103" s="630" t="str">
        <f t="shared" ref="AF103:AF106" si="1246">IF(AD103+SUMIFS(PS_SOTIEN,PS_TKCO,#REF!,PS_MONTH,AE$3)-AC103-SUMIFS(PS_SOTIEN,PS_TKNO,#REF!,PS_MONTH,AE$3)&gt;0,AD103+SUMIFS(PS_SOTIEN,PS_TKCO,#REF!,PS_MONTH,AE$3)-AC103-SUMIFS(PS_SOTIEN,PS_TKNO,#REF!,PS_MONTH,AE$3),0)</f>
        <v>#N/A</v>
      </c>
      <c r="AG103" s="630" t="str">
        <f t="shared" ref="AG103:AG106" si="1247">IF(AE103+SUMIFS(PS_SOTIEN,PS_TKNO,#REF!,PS_MONTH,AG$3)-AF103-SUMIFS(PS_SOTIEN,PS_TKCO,#REF!,PS_MONTH,AG$3)&gt;0,AE103+SUMIFS(PS_SOTIEN,PS_TKNO,#REF!,PS_MONTH,AG$3)-AF103-SUMIFS(PS_SOTIEN,PS_TKCO,#REF!,PS_MONTH,AG$3),0)</f>
        <v>#N/A</v>
      </c>
      <c r="AH103" s="630" t="str">
        <f t="shared" ref="AH103:AH106" si="1248">IF(AF103+SUMIFS(PS_SOTIEN,PS_TKCO,#REF!,PS_MONTH,AG$3)-AE103-SUMIFS(PS_SOTIEN,PS_TKNO,#REF!,PS_MONTH,AG$3)&gt;0,AF103+SUMIFS(PS_SOTIEN,PS_TKCO,#REF!,PS_MONTH,AG$3)-AE103-SUMIFS(PS_SOTIEN,PS_TKNO,#REF!,PS_MONTH,AG$3),0)</f>
        <v>#N/A</v>
      </c>
      <c r="AI103" s="630" t="str">
        <f t="shared" ref="AI103:AI106" si="1249">IF(AG103+SUMIFS(PS_SOTIEN,PS_TKNO,#REF!,PS_MONTH,AI$3)-AH103-SUMIFS(PS_SOTIEN,PS_TKCO,#REF!,PS_MONTH,AI$3)&gt;0,AG103+SUMIFS(PS_SOTIEN,PS_TKNO,#REF!,PS_MONTH,AI$3)-AH103-SUMIFS(PS_SOTIEN,PS_TKCO,#REF!,PS_MONTH,AI$3),0)</f>
        <v>#N/A</v>
      </c>
      <c r="AJ103" s="630" t="str">
        <f t="shared" ref="AJ103:AJ106" si="1250">IF(AH103+SUMIFS(PS_SOTIEN,PS_TKCO,#REF!,PS_MONTH,AI$3)-AG103-SUMIFS(PS_SOTIEN,PS_TKNO,#REF!,PS_MONTH,AI$3)&gt;0,AH103+SUMIFS(PS_SOTIEN,PS_TKCO,#REF!,PS_MONTH,AI$3)-AG103-SUMIFS(PS_SOTIEN,PS_TKNO,#REF!,PS_MONTH,AI$3),0)</f>
        <v>#N/A</v>
      </c>
      <c r="AK103" s="630" t="str">
        <f t="shared" ref="AK103:AK106" si="1251">IF(AI103+SUMIFS(PS_SOTIEN,PS_TKNO,#REF!,PS_MONTH,AK$3)-AJ103-SUMIFS(PS_SOTIEN,PS_TKCO,#REF!,PS_MONTH,AK$3)&gt;0,AI103+SUMIFS(PS_SOTIEN,PS_TKNO,#REF!,PS_MONTH,AK$3)-AJ103-SUMIFS(PS_SOTIEN,PS_TKCO,#REF!,PS_MONTH,AK$3),0)</f>
        <v>#N/A</v>
      </c>
      <c r="AL103" s="630" t="str">
        <f t="shared" ref="AL103:AL106" si="1252">IF(AJ103+SUMIFS(PS_SOTIEN,PS_TKCO,#REF!,PS_MONTH,AK$3)-AI103-SUMIFS(PS_SOTIEN,PS_TKNO,#REF!,PS_MONTH,AK$3)&gt;0,AJ103+SUMIFS(PS_SOTIEN,PS_TKCO,#REF!,PS_MONTH,AK$3)-AI103-SUMIFS(PS_SOTIEN,PS_TKNO,#REF!,PS_MONTH,AK$3),0)</f>
        <v>#N/A</v>
      </c>
      <c r="AM103" s="630" t="str">
        <f t="shared" ref="AM103:AM106" si="1253">IF(AK103+SUMIFS(PS_SOTIEN,PS_TKNO,#REF!,PS_MONTH,AM$3)-AL103-SUMIFS(PS_SOTIEN,PS_TKCO,#REF!,PS_MONTH,AM$3)&gt;0,AK103+SUMIFS(PS_SOTIEN,PS_TKNO,#REF!,PS_MONTH,AM$3)-AL103-SUMIFS(PS_SOTIEN,PS_TKCO,#REF!,PS_MONTH,AM$3),0)</f>
        <v>#N/A</v>
      </c>
      <c r="AN103" s="630" t="str">
        <f t="shared" ref="AN103:AN106" si="1254">IF(AL103+SUMIFS(PS_SOTIEN,PS_TKCO,#REF!,PS_MONTH,AM$3)-AK103-SUMIFS(PS_SOTIEN,PS_TKNO,#REF!,PS_MONTH,AM$3)&gt;0,AL103+SUMIFS(PS_SOTIEN,PS_TKCO,#REF!,PS_MONTH,AM$3)-AK103-SUMIFS(PS_SOTIEN,PS_TKNO,#REF!,PS_MONTH,AM$3),0)</f>
        <v>#N/A</v>
      </c>
      <c r="AO103" s="630" t="str">
        <f t="shared" ref="AO103:AO106" si="1255">IF(AM103+SUMIFS(PS_SOTIEN,PS_TKNO,#REF!,PS_MONTH,AO$3)-AN103-SUMIFS(PS_SOTIEN,PS_TKCO,#REF!,PS_MONTH,AO$3)&gt;0,AM103+SUMIFS(PS_SOTIEN,PS_TKNO,#REF!,PS_MONTH,AO$3)-AN103-SUMIFS(PS_SOTIEN,PS_TKCO,#REF!,PS_MONTH,AO$3),0)</f>
        <v>#N/A</v>
      </c>
      <c r="AP103" s="630" t="str">
        <f t="shared" ref="AP103:AP106" si="1256">IF(AN103+SUMIFS(PS_SOTIEN,PS_TKCO,#REF!,PS_MONTH,AO$3)-AM103-SUMIFS(PS_SOTIEN,PS_TKNO,#REF!,PS_MONTH,AO$3)&gt;0,AN103+SUMIFS(PS_SOTIEN,PS_TKCO,#REF!,PS_MONTH,AO$3)-AM103-SUMIFS(PS_SOTIEN,PS_TKNO,#REF!,PS_MONTH,AO$3),0)</f>
        <v>#N/A</v>
      </c>
      <c r="AQ103" s="630" t="str">
        <f t="shared" ref="AQ103:AQ106" si="1257">IF(AO103+SUMIFS(PS_SOTIEN,PS_TKNO,#REF!,PS_MONTH,AQ$3)-AP103-SUMIFS(PS_SOTIEN,PS_TKCO,#REF!,PS_MONTH,AQ$3)&gt;0,AO103+SUMIFS(PS_SOTIEN,PS_TKNO,#REF!,PS_MONTH,AQ$3)-AP103-SUMIFS(PS_SOTIEN,PS_TKCO,#REF!,PS_MONTH,AQ$3),0)</f>
        <v>#N/A</v>
      </c>
      <c r="AR103" s="630" t="str">
        <f t="shared" ref="AR103:AR106" si="1258">IF(AP103+SUMIFS(PS_SOTIEN,PS_TKCO,#REF!,PS_MONTH,AQ$3)-AO103-SUMIFS(PS_SOTIEN,PS_TKNO,#REF!,PS_MONTH,AQ$3)&gt;0,AP103+SUMIFS(PS_SOTIEN,PS_TKCO,#REF!,PS_MONTH,AQ$3)-AO103-SUMIFS(PS_SOTIEN,PS_TKNO,#REF!,PS_MONTH,AQ$3),0)</f>
        <v>#N/A</v>
      </c>
      <c r="AS103" s="630" t="str">
        <f t="shared" ref="AS103:AS106" si="1259">IF(AQ103+SUMIFS(PS_SOTIEN,PS_TKNO,#REF!,PS_MONTH,AS$3)-AR103-SUMIFS(PS_SOTIEN,PS_TKCO,#REF!,PS_MONTH,AS$3)&gt;0,AQ103+SUMIFS(PS_SOTIEN,PS_TKNO,#REF!,PS_MONTH,AS$3)-AR103-SUMIFS(PS_SOTIEN,PS_TKCO,#REF!,PS_MONTH,AS$3),0)</f>
        <v>#N/A</v>
      </c>
      <c r="AT103" s="630" t="str">
        <f t="shared" ref="AT103:AT106" si="1260">IF(AR103+SUMIFS(PS_SOTIEN,PS_TKCO,#REF!,PS_MONTH,AS$3)-AQ103-SUMIFS(PS_SOTIEN,PS_TKNO,#REF!,PS_MONTH,AS$3)&gt;0,AR103+SUMIFS(PS_SOTIEN,PS_TKCO,#REF!,PS_MONTH,AS$3)-AQ103-SUMIFS(PS_SOTIEN,PS_TKNO,#REF!,PS_MONTH,AS$3),0)</f>
        <v>#N/A</v>
      </c>
      <c r="AU103" s="630" t="str">
        <f t="shared" ref="AU103:AU106" si="1261">IF(AS103+SUMIFS(PS_SOTIEN,PS_TKNO,#REF!,PS_MONTH,AU$3)-AT103-SUMIFS(PS_SOTIEN,PS_TKCO,#REF!,PS_MONTH,AU$3)&gt;0,AS103+SUMIFS(PS_SOTIEN,PS_TKNO,#REF!,PS_MONTH,AU$3)-AT103-SUMIFS(PS_SOTIEN,PS_TKCO,#REF!,PS_MONTH,AU$3),0)</f>
        <v>#N/A</v>
      </c>
      <c r="AV103" s="630" t="str">
        <f t="shared" ref="AV103:AV106" si="1262">IF(AT103+SUMIFS(PS_SOTIEN,PS_TKCO,#REF!,PS_MONTH,AU$3)-AS103-SUMIFS(PS_SOTIEN,PS_TKNO,#REF!,PS_MONTH,AU$3)&gt;0,AT103+SUMIFS(PS_SOTIEN,PS_TKCO,#REF!,PS_MONTH,AU$3)-AS103-SUMIFS(PS_SOTIEN,PS_TKNO,#REF!,PS_MONTH,AU$3),0)</f>
        <v>#N/A</v>
      </c>
      <c r="AW103" s="630" t="str">
        <f t="shared" ref="AW103:AW106" si="1263">IF(AU103+SUMIFS(PS_SOTIEN,PS_TKNO,#REF!,PS_MONTH,AW$3)-AV103-SUMIFS(PS_SOTIEN,PS_TKCO,#REF!,PS_MONTH,AW$3)&gt;0,AU103+SUMIFS(PS_SOTIEN,PS_TKNO,#REF!,PS_MONTH,AW$3)-AV103-SUMIFS(PS_SOTIEN,PS_TKCO,#REF!,PS_MONTH,AW$3),0)</f>
        <v>#N/A</v>
      </c>
      <c r="AX103" s="630" t="str">
        <f t="shared" ref="AX103:AX106" si="1264">IF(AV103+SUMIFS(PS_SOTIEN,PS_TKCO,#REF!,PS_MONTH,AW$3)-AU103-SUMIFS(PS_SOTIEN,PS_TKNO,#REF!,PS_MONTH,AW$3)&gt;0,AV103+SUMIFS(PS_SOTIEN,PS_TKCO,#REF!,PS_MONTH,AW$3)-AU103-SUMIFS(PS_SOTIEN,PS_TKNO,#REF!,PS_MONTH,AW$3),0)</f>
        <v>#N/A</v>
      </c>
    </row>
    <row r="104">
      <c r="A104" s="1448"/>
      <c r="B104" s="1440"/>
      <c r="C104" s="1460" t="s">
        <v>1415</v>
      </c>
      <c r="D104" s="1461" t="s">
        <v>1416</v>
      </c>
      <c r="E104" s="1450"/>
      <c r="F104" s="1450"/>
      <c r="G104" s="1450">
        <f>SUMIF(AC_TKNO,$C104,AC_SOTIEN)</f>
        <v>0</v>
      </c>
      <c r="H104" s="1450">
        <f>SUMIF(AC_TKCO,$C104,AC_SOTIEN)</f>
        <v>0</v>
      </c>
      <c r="I104" s="1450" t="str">
        <f t="shared" si="1232"/>
        <v>-</v>
      </c>
      <c r="J104" s="1450" t="str">
        <f t="shared" si="1233"/>
        <v>-</v>
      </c>
      <c r="K104" s="1443"/>
      <c r="L104" s="1443"/>
      <c r="M104" s="1444" t="str">
        <f t="shared" ref="M104:N104" si="1234">S104</f>
        <v>#N/A</v>
      </c>
      <c r="N104" s="1444" t="str">
        <f t="shared" si="1234"/>
        <v>#N/A</v>
      </c>
      <c r="O104" s="1444" t="str">
        <f t="shared" ref="O104:P104" si="1235">W104</f>
        <v>#N/A</v>
      </c>
      <c r="P104" s="1444" t="str">
        <f t="shared" si="1235"/>
        <v>#N/A</v>
      </c>
      <c r="Q104" s="1445" t="str">
        <f t="shared" ref="Q104:R104" si="1236">AE104</f>
        <v>#N/A</v>
      </c>
      <c r="R104" s="1445" t="str">
        <f t="shared" si="1236"/>
        <v>#N/A</v>
      </c>
      <c r="S104" s="1445" t="str">
        <f t="shared" ref="S104:T104" si="1237">AK104</f>
        <v>#N/A</v>
      </c>
      <c r="T104" s="1445" t="str">
        <f t="shared" si="1237"/>
        <v>#N/A</v>
      </c>
      <c r="U104" s="1445" t="str">
        <f t="shared" ref="U104:V104" si="1238">AQ104</f>
        <v>#N/A</v>
      </c>
      <c r="V104" s="1445" t="str">
        <f t="shared" si="1238"/>
        <v>#N/A</v>
      </c>
      <c r="W104" s="1445" t="str">
        <f t="shared" ref="W104:X104" si="1239">AW104</f>
        <v>#N/A</v>
      </c>
      <c r="X104" s="1445" t="str">
        <f t="shared" si="1239"/>
        <v>#N/A</v>
      </c>
      <c r="Y104" s="630" t="str">
        <f t="shared" ref="Y104:Z104" si="1240">E104</f>
        <v/>
      </c>
      <c r="Z104" s="630" t="str">
        <f t="shared" si="1240"/>
        <v/>
      </c>
      <c r="AA104" s="630" t="str">
        <f t="shared" si="1241"/>
        <v>#N/A</v>
      </c>
      <c r="AB104" s="630" t="str">
        <f t="shared" si="1242"/>
        <v>#N/A</v>
      </c>
      <c r="AC104" s="630" t="str">
        <f t="shared" si="1243"/>
        <v>#N/A</v>
      </c>
      <c r="AD104" s="630" t="str">
        <f t="shared" si="1244"/>
        <v>#N/A</v>
      </c>
      <c r="AE104" s="630" t="str">
        <f t="shared" si="1245"/>
        <v>#N/A</v>
      </c>
      <c r="AF104" s="630" t="str">
        <f t="shared" si="1246"/>
        <v>#N/A</v>
      </c>
      <c r="AG104" s="630" t="str">
        <f t="shared" si="1247"/>
        <v>#N/A</v>
      </c>
      <c r="AH104" s="630" t="str">
        <f t="shared" si="1248"/>
        <v>#N/A</v>
      </c>
      <c r="AI104" s="630" t="str">
        <f t="shared" si="1249"/>
        <v>#N/A</v>
      </c>
      <c r="AJ104" s="630" t="str">
        <f t="shared" si="1250"/>
        <v>#N/A</v>
      </c>
      <c r="AK104" s="630" t="str">
        <f t="shared" si="1251"/>
        <v>#N/A</v>
      </c>
      <c r="AL104" s="630" t="str">
        <f t="shared" si="1252"/>
        <v>#N/A</v>
      </c>
      <c r="AM104" s="630" t="str">
        <f t="shared" si="1253"/>
        <v>#N/A</v>
      </c>
      <c r="AN104" s="630" t="str">
        <f t="shared" si="1254"/>
        <v>#N/A</v>
      </c>
      <c r="AO104" s="630" t="str">
        <f t="shared" si="1255"/>
        <v>#N/A</v>
      </c>
      <c r="AP104" s="630" t="str">
        <f t="shared" si="1256"/>
        <v>#N/A</v>
      </c>
      <c r="AQ104" s="630" t="str">
        <f t="shared" si="1257"/>
        <v>#N/A</v>
      </c>
      <c r="AR104" s="630" t="str">
        <f t="shared" si="1258"/>
        <v>#N/A</v>
      </c>
      <c r="AS104" s="630" t="str">
        <f t="shared" si="1259"/>
        <v>#N/A</v>
      </c>
      <c r="AT104" s="630" t="str">
        <f t="shared" si="1260"/>
        <v>#N/A</v>
      </c>
      <c r="AU104" s="630" t="str">
        <f t="shared" si="1261"/>
        <v>#N/A</v>
      </c>
      <c r="AV104" s="630" t="str">
        <f t="shared" si="1262"/>
        <v>#N/A</v>
      </c>
      <c r="AW104" s="630" t="str">
        <f t="shared" si="1263"/>
        <v>#N/A</v>
      </c>
      <c r="AX104" s="630" t="str">
        <f t="shared" si="1264"/>
        <v>#N/A</v>
      </c>
    </row>
    <row r="105">
      <c r="A105" s="1448"/>
      <c r="B105" s="1440"/>
      <c r="C105" s="1460" t="s">
        <v>1417</v>
      </c>
      <c r="D105" s="1461" t="s">
        <v>1418</v>
      </c>
      <c r="E105" s="1450"/>
      <c r="F105" s="1450"/>
      <c r="G105" s="1450">
        <f>SUMIF(AC_TKNO,$C105,AC_SOTIEN)</f>
        <v>0</v>
      </c>
      <c r="H105" s="1450">
        <f>SUMIF(AC_TKCO,$C105,AC_SOTIEN)</f>
        <v>0</v>
      </c>
      <c r="I105" s="1450" t="str">
        <f t="shared" si="1232"/>
        <v>-</v>
      </c>
      <c r="J105" s="1450" t="str">
        <f t="shared" si="1233"/>
        <v>-</v>
      </c>
      <c r="K105" s="1443"/>
      <c r="L105" s="1443"/>
      <c r="M105" s="1444" t="str">
        <f t="shared" ref="M105:N105" si="1265">S105</f>
        <v>#N/A</v>
      </c>
      <c r="N105" s="1444" t="str">
        <f t="shared" si="1265"/>
        <v>#N/A</v>
      </c>
      <c r="O105" s="1444" t="str">
        <f t="shared" ref="O105:P105" si="1266">W105</f>
        <v>#N/A</v>
      </c>
      <c r="P105" s="1444" t="str">
        <f t="shared" si="1266"/>
        <v>#N/A</v>
      </c>
      <c r="Q105" s="1445" t="str">
        <f t="shared" ref="Q105:R105" si="1267">AE105</f>
        <v>#N/A</v>
      </c>
      <c r="R105" s="1445" t="str">
        <f t="shared" si="1267"/>
        <v>#N/A</v>
      </c>
      <c r="S105" s="1445" t="str">
        <f t="shared" ref="S105:T105" si="1268">AK105</f>
        <v>#N/A</v>
      </c>
      <c r="T105" s="1445" t="str">
        <f t="shared" si="1268"/>
        <v>#N/A</v>
      </c>
      <c r="U105" s="1445" t="str">
        <f t="shared" ref="U105:V105" si="1269">AQ105</f>
        <v>#N/A</v>
      </c>
      <c r="V105" s="1445" t="str">
        <f t="shared" si="1269"/>
        <v>#N/A</v>
      </c>
      <c r="W105" s="1445" t="str">
        <f t="shared" ref="W105:X105" si="1270">AW105</f>
        <v>#N/A</v>
      </c>
      <c r="X105" s="1445" t="str">
        <f t="shared" si="1270"/>
        <v>#N/A</v>
      </c>
      <c r="Y105" s="630" t="str">
        <f t="shared" ref="Y105:Z105" si="1271">E105</f>
        <v/>
      </c>
      <c r="Z105" s="630" t="str">
        <f t="shared" si="1271"/>
        <v/>
      </c>
      <c r="AA105" s="630" t="str">
        <f t="shared" si="1241"/>
        <v>#N/A</v>
      </c>
      <c r="AB105" s="630" t="str">
        <f t="shared" si="1242"/>
        <v>#N/A</v>
      </c>
      <c r="AC105" s="630" t="str">
        <f t="shared" si="1243"/>
        <v>#N/A</v>
      </c>
      <c r="AD105" s="630" t="str">
        <f t="shared" si="1244"/>
        <v>#N/A</v>
      </c>
      <c r="AE105" s="630" t="str">
        <f t="shared" si="1245"/>
        <v>#N/A</v>
      </c>
      <c r="AF105" s="630" t="str">
        <f t="shared" si="1246"/>
        <v>#N/A</v>
      </c>
      <c r="AG105" s="630" t="str">
        <f t="shared" si="1247"/>
        <v>#N/A</v>
      </c>
      <c r="AH105" s="630" t="str">
        <f t="shared" si="1248"/>
        <v>#N/A</v>
      </c>
      <c r="AI105" s="630" t="str">
        <f t="shared" si="1249"/>
        <v>#N/A</v>
      </c>
      <c r="AJ105" s="630" t="str">
        <f t="shared" si="1250"/>
        <v>#N/A</v>
      </c>
      <c r="AK105" s="630" t="str">
        <f t="shared" si="1251"/>
        <v>#N/A</v>
      </c>
      <c r="AL105" s="630" t="str">
        <f t="shared" si="1252"/>
        <v>#N/A</v>
      </c>
      <c r="AM105" s="630" t="str">
        <f t="shared" si="1253"/>
        <v>#N/A</v>
      </c>
      <c r="AN105" s="630" t="str">
        <f t="shared" si="1254"/>
        <v>#N/A</v>
      </c>
      <c r="AO105" s="630" t="str">
        <f t="shared" si="1255"/>
        <v>#N/A</v>
      </c>
      <c r="AP105" s="630" t="str">
        <f t="shared" si="1256"/>
        <v>#N/A</v>
      </c>
      <c r="AQ105" s="630" t="str">
        <f t="shared" si="1257"/>
        <v>#N/A</v>
      </c>
      <c r="AR105" s="630" t="str">
        <f t="shared" si="1258"/>
        <v>#N/A</v>
      </c>
      <c r="AS105" s="630" t="str">
        <f t="shared" si="1259"/>
        <v>#N/A</v>
      </c>
      <c r="AT105" s="630" t="str">
        <f t="shared" si="1260"/>
        <v>#N/A</v>
      </c>
      <c r="AU105" s="630" t="str">
        <f t="shared" si="1261"/>
        <v>#N/A</v>
      </c>
      <c r="AV105" s="630" t="str">
        <f t="shared" si="1262"/>
        <v>#N/A</v>
      </c>
      <c r="AW105" s="630" t="str">
        <f t="shared" si="1263"/>
        <v>#N/A</v>
      </c>
      <c r="AX105" s="630" t="str">
        <f t="shared" si="1264"/>
        <v>#N/A</v>
      </c>
    </row>
    <row r="106">
      <c r="A106" s="1448"/>
      <c r="B106" s="1440"/>
      <c r="C106" s="1449" t="s">
        <v>1419</v>
      </c>
      <c r="D106" s="1433" t="s">
        <v>1420</v>
      </c>
      <c r="E106" s="1450"/>
      <c r="F106" s="1450"/>
      <c r="G106" s="1450">
        <f>SUMIF(AC_TKNO,$C106,AC_SOTIEN)</f>
        <v>0</v>
      </c>
      <c r="H106" s="1450">
        <f>SUMIF(AC_TKCO,$C106,AC_SOTIEN)</f>
        <v>0</v>
      </c>
      <c r="I106" s="1450" t="str">
        <f t="shared" si="1232"/>
        <v>-</v>
      </c>
      <c r="J106" s="1450" t="str">
        <f t="shared" si="1233"/>
        <v>-</v>
      </c>
      <c r="K106" s="1443"/>
      <c r="L106" s="1443"/>
      <c r="M106" s="1444" t="str">
        <f t="shared" ref="M106:N106" si="1272">S106</f>
        <v>#N/A</v>
      </c>
      <c r="N106" s="1444" t="str">
        <f t="shared" si="1272"/>
        <v>#N/A</v>
      </c>
      <c r="O106" s="1444" t="str">
        <f t="shared" ref="O106:P106" si="1273">W106</f>
        <v>#N/A</v>
      </c>
      <c r="P106" s="1444" t="str">
        <f t="shared" si="1273"/>
        <v>#N/A</v>
      </c>
      <c r="Q106" s="1445" t="str">
        <f t="shared" ref="Q106:R106" si="1274">AE106</f>
        <v>#N/A</v>
      </c>
      <c r="R106" s="1445" t="str">
        <f t="shared" si="1274"/>
        <v>#N/A</v>
      </c>
      <c r="S106" s="1445" t="str">
        <f t="shared" ref="S106:T106" si="1275">AK106</f>
        <v>#N/A</v>
      </c>
      <c r="T106" s="1445" t="str">
        <f t="shared" si="1275"/>
        <v>#N/A</v>
      </c>
      <c r="U106" s="1445" t="str">
        <f t="shared" ref="U106:V106" si="1276">AQ106</f>
        <v>#N/A</v>
      </c>
      <c r="V106" s="1445" t="str">
        <f t="shared" si="1276"/>
        <v>#N/A</v>
      </c>
      <c r="W106" s="1445" t="str">
        <f t="shared" ref="W106:X106" si="1277">AW106</f>
        <v>#N/A</v>
      </c>
      <c r="X106" s="1445" t="str">
        <f t="shared" si="1277"/>
        <v>#N/A</v>
      </c>
      <c r="Y106" s="630" t="str">
        <f t="shared" ref="Y106:Z106" si="1278">E106</f>
        <v/>
      </c>
      <c r="Z106" s="630" t="str">
        <f t="shared" si="1278"/>
        <v/>
      </c>
      <c r="AA106" s="630" t="str">
        <f t="shared" si="1241"/>
        <v>#N/A</v>
      </c>
      <c r="AB106" s="630" t="str">
        <f t="shared" si="1242"/>
        <v>#N/A</v>
      </c>
      <c r="AC106" s="630" t="str">
        <f t="shared" si="1243"/>
        <v>#N/A</v>
      </c>
      <c r="AD106" s="630" t="str">
        <f t="shared" si="1244"/>
        <v>#N/A</v>
      </c>
      <c r="AE106" s="630" t="str">
        <f t="shared" si="1245"/>
        <v>#N/A</v>
      </c>
      <c r="AF106" s="630" t="str">
        <f t="shared" si="1246"/>
        <v>#N/A</v>
      </c>
      <c r="AG106" s="630" t="str">
        <f t="shared" si="1247"/>
        <v>#N/A</v>
      </c>
      <c r="AH106" s="630" t="str">
        <f t="shared" si="1248"/>
        <v>#N/A</v>
      </c>
      <c r="AI106" s="630" t="str">
        <f t="shared" si="1249"/>
        <v>#N/A</v>
      </c>
      <c r="AJ106" s="630" t="str">
        <f t="shared" si="1250"/>
        <v>#N/A</v>
      </c>
      <c r="AK106" s="630" t="str">
        <f t="shared" si="1251"/>
        <v>#N/A</v>
      </c>
      <c r="AL106" s="630" t="str">
        <f t="shared" si="1252"/>
        <v>#N/A</v>
      </c>
      <c r="AM106" s="630" t="str">
        <f t="shared" si="1253"/>
        <v>#N/A</v>
      </c>
      <c r="AN106" s="630" t="str">
        <f t="shared" si="1254"/>
        <v>#N/A</v>
      </c>
      <c r="AO106" s="630" t="str">
        <f t="shared" si="1255"/>
        <v>#N/A</v>
      </c>
      <c r="AP106" s="630" t="str">
        <f t="shared" si="1256"/>
        <v>#N/A</v>
      </c>
      <c r="AQ106" s="630" t="str">
        <f t="shared" si="1257"/>
        <v>#N/A</v>
      </c>
      <c r="AR106" s="630" t="str">
        <f t="shared" si="1258"/>
        <v>#N/A</v>
      </c>
      <c r="AS106" s="630" t="str">
        <f t="shared" si="1259"/>
        <v>#N/A</v>
      </c>
      <c r="AT106" s="630" t="str">
        <f t="shared" si="1260"/>
        <v>#N/A</v>
      </c>
      <c r="AU106" s="630" t="str">
        <f t="shared" si="1261"/>
        <v>#N/A</v>
      </c>
      <c r="AV106" s="630" t="str">
        <f t="shared" si="1262"/>
        <v>#N/A</v>
      </c>
      <c r="AW106" s="630" t="str">
        <f t="shared" si="1263"/>
        <v>#N/A</v>
      </c>
      <c r="AX106" s="630" t="str">
        <f t="shared" si="1264"/>
        <v>#N/A</v>
      </c>
    </row>
    <row r="107">
      <c r="A107" s="1448"/>
      <c r="B107" s="1440"/>
      <c r="C107" s="1449" t="s">
        <v>1421</v>
      </c>
      <c r="D107" s="1433" t="s">
        <v>1422</v>
      </c>
      <c r="E107" s="1450"/>
      <c r="F107" s="1450"/>
      <c r="G107" s="1450">
        <f>SUMIF(AC_TKNO,$C107,AC_SOTIEN)</f>
        <v>0</v>
      </c>
      <c r="H107" s="1450">
        <f>SUMIF(AC_TKCO,$C107,AC_SOTIEN)</f>
        <v>0</v>
      </c>
      <c r="I107" s="1450" t="str">
        <f t="shared" si="1232"/>
        <v>-</v>
      </c>
      <c r="J107" s="1450" t="str">
        <f t="shared" si="1233"/>
        <v>-</v>
      </c>
      <c r="K107" s="1443"/>
      <c r="L107" s="1443"/>
      <c r="M107" s="1444" t="str">
        <f t="shared" ref="M107:N107" si="1279">S107</f>
        <v>#N/A</v>
      </c>
      <c r="N107" s="1444" t="str">
        <f t="shared" si="1279"/>
        <v>#N/A</v>
      </c>
      <c r="O107" s="1444" t="str">
        <f t="shared" ref="O107:P107" si="1280">W107</f>
        <v>#N/A</v>
      </c>
      <c r="P107" s="1444" t="str">
        <f t="shared" si="1280"/>
        <v>#N/A</v>
      </c>
      <c r="Q107" s="1445" t="str">
        <f t="shared" ref="Q107:R107" si="1281">AE107</f>
        <v>#N/A</v>
      </c>
      <c r="R107" s="1445" t="str">
        <f t="shared" si="1281"/>
        <v>#N/A</v>
      </c>
      <c r="S107" s="1445" t="str">
        <f t="shared" ref="S107:T107" si="1282">AK107</f>
        <v>#N/A</v>
      </c>
      <c r="T107" s="1445" t="str">
        <f t="shared" si="1282"/>
        <v>#N/A</v>
      </c>
      <c r="U107" s="1445" t="str">
        <f t="shared" ref="U107:V107" si="1283">AQ107</f>
        <v>#N/A</v>
      </c>
      <c r="V107" s="1445" t="str">
        <f t="shared" si="1283"/>
        <v>#N/A</v>
      </c>
      <c r="W107" s="1445" t="str">
        <f t="shared" ref="W107:X107" si="1284">AW107</f>
        <v>#N/A</v>
      </c>
      <c r="X107" s="1445" t="str">
        <f t="shared" si="1284"/>
        <v>#N/A</v>
      </c>
      <c r="Y107" s="630" t="str">
        <f t="shared" ref="Y107:Z107" si="1285">E107</f>
        <v/>
      </c>
      <c r="Z107" s="630" t="str">
        <f t="shared" si="1285"/>
        <v/>
      </c>
      <c r="AA107" s="630" t="str">
        <f t="shared" ref="AA107:AA108" si="1293">IF(Y107+SUMIFS(PS_SOTIEN,PS_TKNO,$B101,PS_MONTH,AA$3)-Z107-SUMIFS(PS_SOTIEN,PS_TKCO,$B101,PS_MONTH,AA$3)&gt;0,Y107+SUMIFS(PS_SOTIEN,PS_TKNO,$B101,PS_MONTH,AA$3)-Z107-SUMIFS(PS_SOTIEN,PS_TKCO,$B101,PS_MONTH,AA$3),0)</f>
        <v>#N/A</v>
      </c>
      <c r="AB107" s="630" t="str">
        <f t="shared" ref="AB107:AB108" si="1294">IF(Z107+SUMIFS(PS_SOTIEN,PS_TKCO,$B101,PS_MONTH,AA$3)-Y107-SUMIFS(PS_SOTIEN,PS_TKNO,$B101,PS_MONTH,AA$3)&gt;0,Z107+SUMIFS(PS_SOTIEN,PS_TKCO,$B101,PS_MONTH,AA$3)-Y107-SUMIFS(PS_SOTIEN,PS_TKNO,$B101,PS_MONTH,AA$3),0)</f>
        <v>#N/A</v>
      </c>
      <c r="AC107" s="630" t="str">
        <f t="shared" ref="AC107:AC108" si="1295">IF(AA107+SUMIFS(PS_SOTIEN,PS_TKNO,$B101,PS_MONTH,AC$3)-AB107-SUMIFS(PS_SOTIEN,PS_TKCO,$B101,PS_MONTH,AC$3)&gt;0,AA107+SUMIFS(PS_SOTIEN,PS_TKNO,$B101,PS_MONTH,AC$3)-AB107-SUMIFS(PS_SOTIEN,PS_TKCO,$B101,PS_MONTH,AC$3),0)</f>
        <v>#N/A</v>
      </c>
      <c r="AD107" s="630" t="str">
        <f t="shared" ref="AD107:AD108" si="1296">IF(AB107+SUMIFS(PS_SOTIEN,PS_TKCO,$B101,PS_MONTH,AC$3)-AA107-SUMIFS(PS_SOTIEN,PS_TKNO,$B101,PS_MONTH,AC$3)&gt;0,AB107+SUMIFS(PS_SOTIEN,PS_TKCO,$B101,PS_MONTH,AC$3)-AA107-SUMIFS(PS_SOTIEN,PS_TKNO,$B101,PS_MONTH,AC$3),0)</f>
        <v>#N/A</v>
      </c>
      <c r="AE107" s="630" t="str">
        <f t="shared" ref="AE107:AE108" si="1297">IF(AC107+SUMIFS(PS_SOTIEN,PS_TKNO,$B101,PS_MONTH,AE$3)-AD107-SUMIFS(PS_SOTIEN,PS_TKCO,$B101,PS_MONTH,AE$3)&gt;0,AC107+SUMIFS(PS_SOTIEN,PS_TKNO,$B101,PS_MONTH,AE$3)-AD107-SUMIFS(PS_SOTIEN,PS_TKCO,$B101,PS_MONTH,AE$3),0)</f>
        <v>#N/A</v>
      </c>
      <c r="AF107" s="630" t="str">
        <f t="shared" ref="AF107:AF108" si="1298">IF(AD107+SUMIFS(PS_SOTIEN,PS_TKCO,$B101,PS_MONTH,AE$3)-AC107-SUMIFS(PS_SOTIEN,PS_TKNO,$B101,PS_MONTH,AE$3)&gt;0,AD107+SUMIFS(PS_SOTIEN,PS_TKCO,$B101,PS_MONTH,AE$3)-AC107-SUMIFS(PS_SOTIEN,PS_TKNO,$B101,PS_MONTH,AE$3),0)</f>
        <v>#N/A</v>
      </c>
      <c r="AG107" s="630" t="str">
        <f t="shared" ref="AG107:AG108" si="1299">IF(AE107+SUMIFS(PS_SOTIEN,PS_TKNO,$B101,PS_MONTH,AG$3)-AF107-SUMIFS(PS_SOTIEN,PS_TKCO,$B101,PS_MONTH,AG$3)&gt;0,AE107+SUMIFS(PS_SOTIEN,PS_TKNO,$B101,PS_MONTH,AG$3)-AF107-SUMIFS(PS_SOTIEN,PS_TKCO,$B101,PS_MONTH,AG$3),0)</f>
        <v>#N/A</v>
      </c>
      <c r="AH107" s="630" t="str">
        <f t="shared" ref="AH107:AH108" si="1300">IF(AF107+SUMIFS(PS_SOTIEN,PS_TKCO,$B101,PS_MONTH,AG$3)-AE107-SUMIFS(PS_SOTIEN,PS_TKNO,$B101,PS_MONTH,AG$3)&gt;0,AF107+SUMIFS(PS_SOTIEN,PS_TKCO,$B101,PS_MONTH,AG$3)-AE107-SUMIFS(PS_SOTIEN,PS_TKNO,$B101,PS_MONTH,AG$3),0)</f>
        <v>#N/A</v>
      </c>
      <c r="AI107" s="630" t="str">
        <f t="shared" ref="AI107:AI108" si="1301">IF(AG107+SUMIFS(PS_SOTIEN,PS_TKNO,$B101,PS_MONTH,AI$3)-AH107-SUMIFS(PS_SOTIEN,PS_TKCO,$B101,PS_MONTH,AI$3)&gt;0,AG107+SUMIFS(PS_SOTIEN,PS_TKNO,$B101,PS_MONTH,AI$3)-AH107-SUMIFS(PS_SOTIEN,PS_TKCO,$B101,PS_MONTH,AI$3),0)</f>
        <v>#N/A</v>
      </c>
      <c r="AJ107" s="630" t="str">
        <f t="shared" ref="AJ107:AJ108" si="1302">IF(AH107+SUMIFS(PS_SOTIEN,PS_TKCO,$B101,PS_MONTH,AI$3)-AG107-SUMIFS(PS_SOTIEN,PS_TKNO,$B101,PS_MONTH,AI$3)&gt;0,AH107+SUMIFS(PS_SOTIEN,PS_TKCO,$B101,PS_MONTH,AI$3)-AG107-SUMIFS(PS_SOTIEN,PS_TKNO,$B101,PS_MONTH,AI$3),0)</f>
        <v>#N/A</v>
      </c>
      <c r="AK107" s="630" t="str">
        <f t="shared" ref="AK107:AK108" si="1303">IF(AI107+SUMIFS(PS_SOTIEN,PS_TKNO,$B101,PS_MONTH,AK$3)-AJ107-SUMIFS(PS_SOTIEN,PS_TKCO,$B101,PS_MONTH,AK$3)&gt;0,AI107+SUMIFS(PS_SOTIEN,PS_TKNO,$B101,PS_MONTH,AK$3)-AJ107-SUMIFS(PS_SOTIEN,PS_TKCO,$B101,PS_MONTH,AK$3),0)</f>
        <v>#N/A</v>
      </c>
      <c r="AL107" s="630" t="str">
        <f t="shared" ref="AL107:AL108" si="1304">IF(AJ107+SUMIFS(PS_SOTIEN,PS_TKCO,$B101,PS_MONTH,AK$3)-AI107-SUMIFS(PS_SOTIEN,PS_TKNO,$B101,PS_MONTH,AK$3)&gt;0,AJ107+SUMIFS(PS_SOTIEN,PS_TKCO,$B101,PS_MONTH,AK$3)-AI107-SUMIFS(PS_SOTIEN,PS_TKNO,$B101,PS_MONTH,AK$3),0)</f>
        <v>#N/A</v>
      </c>
      <c r="AM107" s="630" t="str">
        <f t="shared" ref="AM107:AM108" si="1305">IF(AK107+SUMIFS(PS_SOTIEN,PS_TKNO,$B101,PS_MONTH,AM$3)-AL107-SUMIFS(PS_SOTIEN,PS_TKCO,$B101,PS_MONTH,AM$3)&gt;0,AK107+SUMIFS(PS_SOTIEN,PS_TKNO,$B101,PS_MONTH,AM$3)-AL107-SUMIFS(PS_SOTIEN,PS_TKCO,$B101,PS_MONTH,AM$3),0)</f>
        <v>#N/A</v>
      </c>
      <c r="AN107" s="630" t="str">
        <f t="shared" ref="AN107:AN108" si="1306">IF(AL107+SUMIFS(PS_SOTIEN,PS_TKCO,$B101,PS_MONTH,AM$3)-AK107-SUMIFS(PS_SOTIEN,PS_TKNO,$B101,PS_MONTH,AM$3)&gt;0,AL107+SUMIFS(PS_SOTIEN,PS_TKCO,$B101,PS_MONTH,AM$3)-AK107-SUMIFS(PS_SOTIEN,PS_TKNO,$B101,PS_MONTH,AM$3),0)</f>
        <v>#N/A</v>
      </c>
      <c r="AO107" s="630" t="str">
        <f t="shared" ref="AO107:AO108" si="1307">IF(AM107+SUMIFS(PS_SOTIEN,PS_TKNO,$B101,PS_MONTH,AO$3)-AN107-SUMIFS(PS_SOTIEN,PS_TKCO,$B101,PS_MONTH,AO$3)&gt;0,AM107+SUMIFS(PS_SOTIEN,PS_TKNO,$B101,PS_MONTH,AO$3)-AN107-SUMIFS(PS_SOTIEN,PS_TKCO,$B101,PS_MONTH,AO$3),0)</f>
        <v>#N/A</v>
      </c>
      <c r="AP107" s="630" t="str">
        <f t="shared" ref="AP107:AP108" si="1308">IF(AN107+SUMIFS(PS_SOTIEN,PS_TKCO,$B101,PS_MONTH,AO$3)-AM107-SUMIFS(PS_SOTIEN,PS_TKNO,$B101,PS_MONTH,AO$3)&gt;0,AN107+SUMIFS(PS_SOTIEN,PS_TKCO,$B101,PS_MONTH,AO$3)-AM107-SUMIFS(PS_SOTIEN,PS_TKNO,$B101,PS_MONTH,AO$3),0)</f>
        <v>#N/A</v>
      </c>
      <c r="AQ107" s="630" t="str">
        <f t="shared" ref="AQ107:AQ108" si="1309">IF(AO107+SUMIFS(PS_SOTIEN,PS_TKNO,$B101,PS_MONTH,AQ$3)-AP107-SUMIFS(PS_SOTIEN,PS_TKCO,$B101,PS_MONTH,AQ$3)&gt;0,AO107+SUMIFS(PS_SOTIEN,PS_TKNO,$B101,PS_MONTH,AQ$3)-AP107-SUMIFS(PS_SOTIEN,PS_TKCO,$B101,PS_MONTH,AQ$3),0)</f>
        <v>#N/A</v>
      </c>
      <c r="AR107" s="630" t="str">
        <f t="shared" ref="AR107:AR108" si="1310">IF(AP107+SUMIFS(PS_SOTIEN,PS_TKCO,$B101,PS_MONTH,AQ$3)-AO107-SUMIFS(PS_SOTIEN,PS_TKNO,$B101,PS_MONTH,AQ$3)&gt;0,AP107+SUMIFS(PS_SOTIEN,PS_TKCO,$B101,PS_MONTH,AQ$3)-AO107-SUMIFS(PS_SOTIEN,PS_TKNO,$B101,PS_MONTH,AQ$3),0)</f>
        <v>#N/A</v>
      </c>
      <c r="AS107" s="630" t="str">
        <f t="shared" ref="AS107:AS108" si="1311">IF(AQ107+SUMIFS(PS_SOTIEN,PS_TKNO,$B101,PS_MONTH,AS$3)-AR107-SUMIFS(PS_SOTIEN,PS_TKCO,$B101,PS_MONTH,AS$3)&gt;0,AQ107+SUMIFS(PS_SOTIEN,PS_TKNO,$B101,PS_MONTH,AS$3)-AR107-SUMIFS(PS_SOTIEN,PS_TKCO,$B101,PS_MONTH,AS$3),0)</f>
        <v>#N/A</v>
      </c>
      <c r="AT107" s="630" t="str">
        <f t="shared" ref="AT107:AT108" si="1312">IF(AR107+SUMIFS(PS_SOTIEN,PS_TKCO,$B101,PS_MONTH,AS$3)-AQ107-SUMIFS(PS_SOTIEN,PS_TKNO,$B101,PS_MONTH,AS$3)&gt;0,AR107+SUMIFS(PS_SOTIEN,PS_TKCO,$B101,PS_MONTH,AS$3)-AQ107-SUMIFS(PS_SOTIEN,PS_TKNO,$B101,PS_MONTH,AS$3),0)</f>
        <v>#N/A</v>
      </c>
      <c r="AU107" s="630" t="str">
        <f t="shared" ref="AU107:AU108" si="1313">IF(AS107+SUMIFS(PS_SOTIEN,PS_TKNO,$B101,PS_MONTH,AU$3)-AT107-SUMIFS(PS_SOTIEN,PS_TKCO,$B101,PS_MONTH,AU$3)&gt;0,AS107+SUMIFS(PS_SOTIEN,PS_TKNO,$B101,PS_MONTH,AU$3)-AT107-SUMIFS(PS_SOTIEN,PS_TKCO,$B101,PS_MONTH,AU$3),0)</f>
        <v>#N/A</v>
      </c>
      <c r="AV107" s="630" t="str">
        <f t="shared" ref="AV107:AV108" si="1314">IF(AT107+SUMIFS(PS_SOTIEN,PS_TKCO,$B101,PS_MONTH,AU$3)-AS107-SUMIFS(PS_SOTIEN,PS_TKNO,$B101,PS_MONTH,AU$3)&gt;0,AT107+SUMIFS(PS_SOTIEN,PS_TKCO,$B101,PS_MONTH,AU$3)-AS107-SUMIFS(PS_SOTIEN,PS_TKNO,$B101,PS_MONTH,AU$3),0)</f>
        <v>#N/A</v>
      </c>
      <c r="AW107" s="630" t="str">
        <f t="shared" ref="AW107:AW108" si="1315">IF(AU107+SUMIFS(PS_SOTIEN,PS_TKNO,$B101,PS_MONTH,AW$3)-AV107-SUMIFS(PS_SOTIEN,PS_TKCO,$B101,PS_MONTH,AW$3)&gt;0,AU107+SUMIFS(PS_SOTIEN,PS_TKNO,$B101,PS_MONTH,AW$3)-AV107-SUMIFS(PS_SOTIEN,PS_TKCO,$B101,PS_MONTH,AW$3),0)</f>
        <v>#N/A</v>
      </c>
      <c r="AX107" s="630" t="str">
        <f t="shared" ref="AX107:AX108" si="1316">IF(AV107+SUMIFS(PS_SOTIEN,PS_TKCO,$B101,PS_MONTH,AW$3)-AU107-SUMIFS(PS_SOTIEN,PS_TKNO,$B101,PS_MONTH,AW$3)&gt;0,AV107+SUMIFS(PS_SOTIEN,PS_TKCO,$B101,PS_MONTH,AW$3)-AU107-SUMIFS(PS_SOTIEN,PS_TKNO,$B101,PS_MONTH,AW$3),0)</f>
        <v>#N/A</v>
      </c>
    </row>
    <row r="108">
      <c r="A108" s="1448"/>
      <c r="B108" s="1440"/>
      <c r="C108" s="1449" t="s">
        <v>1423</v>
      </c>
      <c r="D108" s="1433" t="s">
        <v>1424</v>
      </c>
      <c r="E108" s="1450"/>
      <c r="F108" s="1450"/>
      <c r="G108" s="1450">
        <f>SUMIF(AC_TKNO,$C108,AC_SOTIEN)</f>
        <v>0</v>
      </c>
      <c r="H108" s="1450">
        <f>SUMIF(AC_TKCO,$C108,AC_SOTIEN)</f>
        <v>0</v>
      </c>
      <c r="I108" s="1450" t="str">
        <f t="shared" si="1232"/>
        <v>-</v>
      </c>
      <c r="J108" s="1450" t="str">
        <f t="shared" si="1233"/>
        <v>-</v>
      </c>
      <c r="K108" s="1443"/>
      <c r="L108" s="1443"/>
      <c r="M108" s="1444" t="str">
        <f t="shared" ref="M108:N108" si="1286">S108</f>
        <v>#N/A</v>
      </c>
      <c r="N108" s="1444" t="str">
        <f t="shared" si="1286"/>
        <v>#N/A</v>
      </c>
      <c r="O108" s="1444" t="str">
        <f t="shared" ref="O108:P108" si="1287">W108</f>
        <v>#N/A</v>
      </c>
      <c r="P108" s="1444" t="str">
        <f t="shared" si="1287"/>
        <v>#N/A</v>
      </c>
      <c r="Q108" s="1445" t="str">
        <f t="shared" ref="Q108:R108" si="1288">AE108</f>
        <v>#N/A</v>
      </c>
      <c r="R108" s="1445" t="str">
        <f t="shared" si="1288"/>
        <v>#N/A</v>
      </c>
      <c r="S108" s="1445" t="str">
        <f t="shared" ref="S108:T108" si="1289">AK108</f>
        <v>#N/A</v>
      </c>
      <c r="T108" s="1445" t="str">
        <f t="shared" si="1289"/>
        <v>#N/A</v>
      </c>
      <c r="U108" s="1445" t="str">
        <f t="shared" ref="U108:V108" si="1290">AQ108</f>
        <v>#N/A</v>
      </c>
      <c r="V108" s="1445" t="str">
        <f t="shared" si="1290"/>
        <v>#N/A</v>
      </c>
      <c r="W108" s="1445" t="str">
        <f t="shared" ref="W108:X108" si="1291">AW108</f>
        <v>#N/A</v>
      </c>
      <c r="X108" s="1445" t="str">
        <f t="shared" si="1291"/>
        <v>#N/A</v>
      </c>
      <c r="Y108" s="630" t="str">
        <f t="shared" ref="Y108:Z108" si="1292">E108</f>
        <v/>
      </c>
      <c r="Z108" s="630" t="str">
        <f t="shared" si="1292"/>
        <v/>
      </c>
      <c r="AA108" s="630" t="str">
        <f t="shared" si="1293"/>
        <v>#N/A</v>
      </c>
      <c r="AB108" s="630" t="str">
        <f t="shared" si="1294"/>
        <v>#N/A</v>
      </c>
      <c r="AC108" s="630" t="str">
        <f t="shared" si="1295"/>
        <v>#N/A</v>
      </c>
      <c r="AD108" s="630" t="str">
        <f t="shared" si="1296"/>
        <v>#N/A</v>
      </c>
      <c r="AE108" s="630" t="str">
        <f t="shared" si="1297"/>
        <v>#N/A</v>
      </c>
      <c r="AF108" s="630" t="str">
        <f t="shared" si="1298"/>
        <v>#N/A</v>
      </c>
      <c r="AG108" s="630" t="str">
        <f t="shared" si="1299"/>
        <v>#N/A</v>
      </c>
      <c r="AH108" s="630" t="str">
        <f t="shared" si="1300"/>
        <v>#N/A</v>
      </c>
      <c r="AI108" s="630" t="str">
        <f t="shared" si="1301"/>
        <v>#N/A</v>
      </c>
      <c r="AJ108" s="630" t="str">
        <f t="shared" si="1302"/>
        <v>#N/A</v>
      </c>
      <c r="AK108" s="630" t="str">
        <f t="shared" si="1303"/>
        <v>#N/A</v>
      </c>
      <c r="AL108" s="630" t="str">
        <f t="shared" si="1304"/>
        <v>#N/A</v>
      </c>
      <c r="AM108" s="630" t="str">
        <f t="shared" si="1305"/>
        <v>#N/A</v>
      </c>
      <c r="AN108" s="630" t="str">
        <f t="shared" si="1306"/>
        <v>#N/A</v>
      </c>
      <c r="AO108" s="630" t="str">
        <f t="shared" si="1307"/>
        <v>#N/A</v>
      </c>
      <c r="AP108" s="630" t="str">
        <f t="shared" si="1308"/>
        <v>#N/A</v>
      </c>
      <c r="AQ108" s="630" t="str">
        <f t="shared" si="1309"/>
        <v>#N/A</v>
      </c>
      <c r="AR108" s="630" t="str">
        <f t="shared" si="1310"/>
        <v>#N/A</v>
      </c>
      <c r="AS108" s="630" t="str">
        <f t="shared" si="1311"/>
        <v>#N/A</v>
      </c>
      <c r="AT108" s="630" t="str">
        <f t="shared" si="1312"/>
        <v>#N/A</v>
      </c>
      <c r="AU108" s="630" t="str">
        <f t="shared" si="1313"/>
        <v>#N/A</v>
      </c>
      <c r="AV108" s="630" t="str">
        <f t="shared" si="1314"/>
        <v>#N/A</v>
      </c>
      <c r="AW108" s="630" t="str">
        <f t="shared" si="1315"/>
        <v>#N/A</v>
      </c>
      <c r="AX108" s="630" t="str">
        <f t="shared" si="1316"/>
        <v>#N/A</v>
      </c>
    </row>
    <row r="109">
      <c r="A109" s="1448"/>
      <c r="B109" s="1440"/>
      <c r="C109" s="1449" t="s">
        <v>1425</v>
      </c>
      <c r="D109" s="1433" t="s">
        <v>1426</v>
      </c>
      <c r="E109" s="1450"/>
      <c r="F109" s="1450"/>
      <c r="G109" s="1450">
        <f>SUMIF(AC_TKNO,$C109,AC_SOTIEN)</f>
        <v>0</v>
      </c>
      <c r="H109" s="1450">
        <f>SUMIF(AC_TKCO,$C109,AC_SOTIEN)</f>
        <v>0</v>
      </c>
      <c r="I109" s="1450" t="str">
        <f t="shared" si="1232"/>
        <v>-</v>
      </c>
      <c r="J109" s="1450" t="str">
        <f t="shared" si="1233"/>
        <v>-</v>
      </c>
      <c r="K109" s="1443"/>
      <c r="L109" s="1443"/>
      <c r="M109" s="1444" t="str">
        <f t="shared" ref="M109:N109" si="1317">S109</f>
        <v>#N/A</v>
      </c>
      <c r="N109" s="1444" t="str">
        <f t="shared" si="1317"/>
        <v>#N/A</v>
      </c>
      <c r="O109" s="1444" t="str">
        <f t="shared" ref="O109:P109" si="1318">W109</f>
        <v>#N/A</v>
      </c>
      <c r="P109" s="1444" t="str">
        <f t="shared" si="1318"/>
        <v>#N/A</v>
      </c>
      <c r="Q109" s="1445" t="str">
        <f t="shared" ref="Q109:R109" si="1319">AE109</f>
        <v>#N/A</v>
      </c>
      <c r="R109" s="1445" t="str">
        <f t="shared" si="1319"/>
        <v>#N/A</v>
      </c>
      <c r="S109" s="1445" t="str">
        <f t="shared" ref="S109:T109" si="1320">AK109</f>
        <v>#N/A</v>
      </c>
      <c r="T109" s="1445" t="str">
        <f t="shared" si="1320"/>
        <v>#N/A</v>
      </c>
      <c r="U109" s="1445" t="str">
        <f t="shared" ref="U109:V109" si="1321">AQ109</f>
        <v>#N/A</v>
      </c>
      <c r="V109" s="1445" t="str">
        <f t="shared" si="1321"/>
        <v>#N/A</v>
      </c>
      <c r="W109" s="1445" t="str">
        <f t="shared" ref="W109:X109" si="1322">AW109</f>
        <v>#N/A</v>
      </c>
      <c r="X109" s="1445" t="str">
        <f t="shared" si="1322"/>
        <v>#N/A</v>
      </c>
      <c r="Y109" s="1447">
        <f t="shared" ref="Y109:AX109" si="1323">SUM(Y110:Y111)</f>
        <v>0</v>
      </c>
      <c r="Z109" s="1447">
        <f t="shared" si="1323"/>
        <v>0</v>
      </c>
      <c r="AA109" s="1447" t="str">
        <f t="shared" si="1323"/>
        <v>#N/A</v>
      </c>
      <c r="AB109" s="1447" t="str">
        <f t="shared" si="1323"/>
        <v>#N/A</v>
      </c>
      <c r="AC109" s="1447" t="str">
        <f t="shared" si="1323"/>
        <v>#N/A</v>
      </c>
      <c r="AD109" s="1447" t="str">
        <f t="shared" si="1323"/>
        <v>#N/A</v>
      </c>
      <c r="AE109" s="1447" t="str">
        <f t="shared" si="1323"/>
        <v>#N/A</v>
      </c>
      <c r="AF109" s="1447" t="str">
        <f t="shared" si="1323"/>
        <v>#N/A</v>
      </c>
      <c r="AG109" s="1447" t="str">
        <f t="shared" si="1323"/>
        <v>#N/A</v>
      </c>
      <c r="AH109" s="1447" t="str">
        <f t="shared" si="1323"/>
        <v>#N/A</v>
      </c>
      <c r="AI109" s="1447" t="str">
        <f t="shared" si="1323"/>
        <v>#N/A</v>
      </c>
      <c r="AJ109" s="1447" t="str">
        <f t="shared" si="1323"/>
        <v>#N/A</v>
      </c>
      <c r="AK109" s="1447" t="str">
        <f t="shared" si="1323"/>
        <v>#N/A</v>
      </c>
      <c r="AL109" s="1447" t="str">
        <f t="shared" si="1323"/>
        <v>#N/A</v>
      </c>
      <c r="AM109" s="1447" t="str">
        <f t="shared" si="1323"/>
        <v>#N/A</v>
      </c>
      <c r="AN109" s="1447" t="str">
        <f t="shared" si="1323"/>
        <v>#N/A</v>
      </c>
      <c r="AO109" s="1447" t="str">
        <f t="shared" si="1323"/>
        <v>#N/A</v>
      </c>
      <c r="AP109" s="1447" t="str">
        <f t="shared" si="1323"/>
        <v>#N/A</v>
      </c>
      <c r="AQ109" s="1447" t="str">
        <f t="shared" si="1323"/>
        <v>#N/A</v>
      </c>
      <c r="AR109" s="1447" t="str">
        <f t="shared" si="1323"/>
        <v>#N/A</v>
      </c>
      <c r="AS109" s="1447" t="str">
        <f t="shared" si="1323"/>
        <v>#N/A</v>
      </c>
      <c r="AT109" s="1447" t="str">
        <f t="shared" si="1323"/>
        <v>#N/A</v>
      </c>
      <c r="AU109" s="1447" t="str">
        <f t="shared" si="1323"/>
        <v>#N/A</v>
      </c>
      <c r="AV109" s="1447" t="str">
        <f t="shared" si="1323"/>
        <v>#N/A</v>
      </c>
      <c r="AW109" s="1447" t="str">
        <f t="shared" si="1323"/>
        <v>#N/A</v>
      </c>
      <c r="AX109" s="1447" t="str">
        <f t="shared" si="1323"/>
        <v>#N/A</v>
      </c>
    </row>
    <row r="110">
      <c r="A110" s="1448"/>
      <c r="B110" s="1440"/>
      <c r="C110" s="1449" t="s">
        <v>1427</v>
      </c>
      <c r="D110" s="1433" t="s">
        <v>1428</v>
      </c>
      <c r="E110" s="1450"/>
      <c r="F110" s="1450"/>
      <c r="G110" s="1450">
        <f>SUMIF(AC_TKNO,$C110,AC_SOTIEN)</f>
        <v>0</v>
      </c>
      <c r="H110" s="1450">
        <f>SUMIF(AC_TKCO,$C110,AC_SOTIEN)</f>
        <v>0</v>
      </c>
      <c r="I110" s="1450" t="str">
        <f t="shared" si="1232"/>
        <v>-</v>
      </c>
      <c r="J110" s="1450" t="str">
        <f t="shared" si="1233"/>
        <v>-</v>
      </c>
      <c r="K110" s="1443"/>
      <c r="L110" s="1443"/>
      <c r="M110" s="1444" t="str">
        <f t="shared" ref="M110:N110" si="1324">S110</f>
        <v>#N/A</v>
      </c>
      <c r="N110" s="1444" t="str">
        <f t="shared" si="1324"/>
        <v>#N/A</v>
      </c>
      <c r="O110" s="1444" t="str">
        <f t="shared" ref="O110:P110" si="1325">W110</f>
        <v>#N/A</v>
      </c>
      <c r="P110" s="1444" t="str">
        <f t="shared" si="1325"/>
        <v>#N/A</v>
      </c>
      <c r="Q110" s="1445" t="str">
        <f t="shared" ref="Q110:R110" si="1326">AE110</f>
        <v>#N/A</v>
      </c>
      <c r="R110" s="1445" t="str">
        <f t="shared" si="1326"/>
        <v>#N/A</v>
      </c>
      <c r="S110" s="1445" t="str">
        <f t="shared" ref="S110:T110" si="1327">AK110</f>
        <v>#N/A</v>
      </c>
      <c r="T110" s="1445" t="str">
        <f t="shared" si="1327"/>
        <v>#N/A</v>
      </c>
      <c r="U110" s="1445" t="str">
        <f t="shared" ref="U110:V110" si="1328">AQ110</f>
        <v>#N/A</v>
      </c>
      <c r="V110" s="1445" t="str">
        <f t="shared" si="1328"/>
        <v>#N/A</v>
      </c>
      <c r="W110" s="1445" t="str">
        <f t="shared" ref="W110:X110" si="1329">AW110</f>
        <v>#N/A</v>
      </c>
      <c r="X110" s="1445" t="str">
        <f t="shared" si="1329"/>
        <v>#N/A</v>
      </c>
      <c r="Y110" s="630" t="str">
        <f t="shared" ref="Y110:Z110" si="1330">E110</f>
        <v/>
      </c>
      <c r="Z110" s="630" t="str">
        <f t="shared" si="1330"/>
        <v/>
      </c>
      <c r="AA110" s="630" t="str">
        <f t="shared" ref="AA110:AA111" si="1338">IF(Y110+SUMIFS(PS_SOTIEN,PS_TKNO,$B104,PS_MONTH,AA$3)-Z110-SUMIFS(PS_SOTIEN,PS_TKCO,$B104,PS_MONTH,AA$3)&gt;0,Y110+SUMIFS(PS_SOTIEN,PS_TKNO,$B104,PS_MONTH,AA$3)-Z110-SUMIFS(PS_SOTIEN,PS_TKCO,$B104,PS_MONTH,AA$3),0)</f>
        <v>#N/A</v>
      </c>
      <c r="AB110" s="630" t="str">
        <f t="shared" ref="AB110:AB111" si="1339">IF(Z110+SUMIFS(PS_SOTIEN,PS_TKCO,$B104,PS_MONTH,AA$3)-Y110-SUMIFS(PS_SOTIEN,PS_TKNO,$B104,PS_MONTH,AA$3)&gt;0,Z110+SUMIFS(PS_SOTIEN,PS_TKCO,$B104,PS_MONTH,AA$3)-Y110-SUMIFS(PS_SOTIEN,PS_TKNO,$B104,PS_MONTH,AA$3),0)</f>
        <v>#N/A</v>
      </c>
      <c r="AC110" s="630" t="str">
        <f t="shared" ref="AC110:AC111" si="1340">IF(AA110+SUMIFS(PS_SOTIEN,PS_TKNO,$B104,PS_MONTH,AC$3)-AB110-SUMIFS(PS_SOTIEN,PS_TKCO,$B104,PS_MONTH,AC$3)&gt;0,AA110+SUMIFS(PS_SOTIEN,PS_TKNO,$B104,PS_MONTH,AC$3)-AB110-SUMIFS(PS_SOTIEN,PS_TKCO,$B104,PS_MONTH,AC$3),0)</f>
        <v>#N/A</v>
      </c>
      <c r="AD110" s="630" t="str">
        <f t="shared" ref="AD110:AD111" si="1341">IF(AB110+SUMIFS(PS_SOTIEN,PS_TKCO,$B104,PS_MONTH,AC$3)-AA110-SUMIFS(PS_SOTIEN,PS_TKNO,$B104,PS_MONTH,AC$3)&gt;0,AB110+SUMIFS(PS_SOTIEN,PS_TKCO,$B104,PS_MONTH,AC$3)-AA110-SUMIFS(PS_SOTIEN,PS_TKNO,$B104,PS_MONTH,AC$3),0)</f>
        <v>#N/A</v>
      </c>
      <c r="AE110" s="630" t="str">
        <f t="shared" ref="AE110:AE111" si="1342">IF(AC110+SUMIFS(PS_SOTIEN,PS_TKNO,$B104,PS_MONTH,AE$3)-AD110-SUMIFS(PS_SOTIEN,PS_TKCO,$B104,PS_MONTH,AE$3)&gt;0,AC110+SUMIFS(PS_SOTIEN,PS_TKNO,$B104,PS_MONTH,AE$3)-AD110-SUMIFS(PS_SOTIEN,PS_TKCO,$B104,PS_MONTH,AE$3),0)</f>
        <v>#N/A</v>
      </c>
      <c r="AF110" s="630" t="str">
        <f t="shared" ref="AF110:AF111" si="1343">IF(AD110+SUMIFS(PS_SOTIEN,PS_TKCO,$B104,PS_MONTH,AE$3)-AC110-SUMIFS(PS_SOTIEN,PS_TKNO,$B104,PS_MONTH,AE$3)&gt;0,AD110+SUMIFS(PS_SOTIEN,PS_TKCO,$B104,PS_MONTH,AE$3)-AC110-SUMIFS(PS_SOTIEN,PS_TKNO,$B104,PS_MONTH,AE$3),0)</f>
        <v>#N/A</v>
      </c>
      <c r="AG110" s="630" t="str">
        <f t="shared" ref="AG110:AG111" si="1344">IF(AE110+SUMIFS(PS_SOTIEN,PS_TKNO,$B104,PS_MONTH,AG$3)-AF110-SUMIFS(PS_SOTIEN,PS_TKCO,$B104,PS_MONTH,AG$3)&gt;0,AE110+SUMIFS(PS_SOTIEN,PS_TKNO,$B104,PS_MONTH,AG$3)-AF110-SUMIFS(PS_SOTIEN,PS_TKCO,$B104,PS_MONTH,AG$3),0)</f>
        <v>#N/A</v>
      </c>
      <c r="AH110" s="630" t="str">
        <f t="shared" ref="AH110:AH111" si="1345">IF(AF110+SUMIFS(PS_SOTIEN,PS_TKCO,$B104,PS_MONTH,AG$3)-AE110-SUMIFS(PS_SOTIEN,PS_TKNO,$B104,PS_MONTH,AG$3)&gt;0,AF110+SUMIFS(PS_SOTIEN,PS_TKCO,$B104,PS_MONTH,AG$3)-AE110-SUMIFS(PS_SOTIEN,PS_TKNO,$B104,PS_MONTH,AG$3),0)</f>
        <v>#N/A</v>
      </c>
      <c r="AI110" s="630" t="str">
        <f t="shared" ref="AI110:AI111" si="1346">IF(AG110+SUMIFS(PS_SOTIEN,PS_TKNO,$B104,PS_MONTH,AI$3)-AH110-SUMIFS(PS_SOTIEN,PS_TKCO,$B104,PS_MONTH,AI$3)&gt;0,AG110+SUMIFS(PS_SOTIEN,PS_TKNO,$B104,PS_MONTH,AI$3)-AH110-SUMIFS(PS_SOTIEN,PS_TKCO,$B104,PS_MONTH,AI$3),0)</f>
        <v>#N/A</v>
      </c>
      <c r="AJ110" s="630" t="str">
        <f t="shared" ref="AJ110:AJ111" si="1347">IF(AH110+SUMIFS(PS_SOTIEN,PS_TKCO,$B104,PS_MONTH,AI$3)-AG110-SUMIFS(PS_SOTIEN,PS_TKNO,$B104,PS_MONTH,AI$3)&gt;0,AH110+SUMIFS(PS_SOTIEN,PS_TKCO,$B104,PS_MONTH,AI$3)-AG110-SUMIFS(PS_SOTIEN,PS_TKNO,$B104,PS_MONTH,AI$3),0)</f>
        <v>#N/A</v>
      </c>
      <c r="AK110" s="630" t="str">
        <f t="shared" ref="AK110:AK111" si="1348">IF(AI110+SUMIFS(PS_SOTIEN,PS_TKNO,$B104,PS_MONTH,AK$3)-AJ110-SUMIFS(PS_SOTIEN,PS_TKCO,$B104,PS_MONTH,AK$3)&gt;0,AI110+SUMIFS(PS_SOTIEN,PS_TKNO,$B104,PS_MONTH,AK$3)-AJ110-SUMIFS(PS_SOTIEN,PS_TKCO,$B104,PS_MONTH,AK$3),0)</f>
        <v>#N/A</v>
      </c>
      <c r="AL110" s="630" t="str">
        <f t="shared" ref="AL110:AL111" si="1349">IF(AJ110+SUMIFS(PS_SOTIEN,PS_TKCO,$B104,PS_MONTH,AK$3)-AI110-SUMIFS(PS_SOTIEN,PS_TKNO,$B104,PS_MONTH,AK$3)&gt;0,AJ110+SUMIFS(PS_SOTIEN,PS_TKCO,$B104,PS_MONTH,AK$3)-AI110-SUMIFS(PS_SOTIEN,PS_TKNO,$B104,PS_MONTH,AK$3),0)</f>
        <v>#N/A</v>
      </c>
      <c r="AM110" s="630" t="str">
        <f t="shared" ref="AM110:AM111" si="1350">IF(AK110+SUMIFS(PS_SOTIEN,PS_TKNO,$B104,PS_MONTH,AM$3)-AL110-SUMIFS(PS_SOTIEN,PS_TKCO,$B104,PS_MONTH,AM$3)&gt;0,AK110+SUMIFS(PS_SOTIEN,PS_TKNO,$B104,PS_MONTH,AM$3)-AL110-SUMIFS(PS_SOTIEN,PS_TKCO,$B104,PS_MONTH,AM$3),0)</f>
        <v>#N/A</v>
      </c>
      <c r="AN110" s="630" t="str">
        <f t="shared" ref="AN110:AN111" si="1351">IF(AL110+SUMIFS(PS_SOTIEN,PS_TKCO,$B104,PS_MONTH,AM$3)-AK110-SUMIFS(PS_SOTIEN,PS_TKNO,$B104,PS_MONTH,AM$3)&gt;0,AL110+SUMIFS(PS_SOTIEN,PS_TKCO,$B104,PS_MONTH,AM$3)-AK110-SUMIFS(PS_SOTIEN,PS_TKNO,$B104,PS_MONTH,AM$3),0)</f>
        <v>#N/A</v>
      </c>
      <c r="AO110" s="630" t="str">
        <f t="shared" ref="AO110:AO111" si="1352">IF(AM110+SUMIFS(PS_SOTIEN,PS_TKNO,$B104,PS_MONTH,AO$3)-AN110-SUMIFS(PS_SOTIEN,PS_TKCO,$B104,PS_MONTH,AO$3)&gt;0,AM110+SUMIFS(PS_SOTIEN,PS_TKNO,$B104,PS_MONTH,AO$3)-AN110-SUMIFS(PS_SOTIEN,PS_TKCO,$B104,PS_MONTH,AO$3),0)</f>
        <v>#N/A</v>
      </c>
      <c r="AP110" s="630" t="str">
        <f t="shared" ref="AP110:AP111" si="1353">IF(AN110+SUMIFS(PS_SOTIEN,PS_TKCO,$B104,PS_MONTH,AO$3)-AM110-SUMIFS(PS_SOTIEN,PS_TKNO,$B104,PS_MONTH,AO$3)&gt;0,AN110+SUMIFS(PS_SOTIEN,PS_TKCO,$B104,PS_MONTH,AO$3)-AM110-SUMIFS(PS_SOTIEN,PS_TKNO,$B104,PS_MONTH,AO$3),0)</f>
        <v>#N/A</v>
      </c>
      <c r="AQ110" s="630" t="str">
        <f t="shared" ref="AQ110:AQ111" si="1354">IF(AO110+SUMIFS(PS_SOTIEN,PS_TKNO,$B104,PS_MONTH,AQ$3)-AP110-SUMIFS(PS_SOTIEN,PS_TKCO,$B104,PS_MONTH,AQ$3)&gt;0,AO110+SUMIFS(PS_SOTIEN,PS_TKNO,$B104,PS_MONTH,AQ$3)-AP110-SUMIFS(PS_SOTIEN,PS_TKCO,$B104,PS_MONTH,AQ$3),0)</f>
        <v>#N/A</v>
      </c>
      <c r="AR110" s="630" t="str">
        <f t="shared" ref="AR110:AR111" si="1355">IF(AP110+SUMIFS(PS_SOTIEN,PS_TKCO,$B104,PS_MONTH,AQ$3)-AO110-SUMIFS(PS_SOTIEN,PS_TKNO,$B104,PS_MONTH,AQ$3)&gt;0,AP110+SUMIFS(PS_SOTIEN,PS_TKCO,$B104,PS_MONTH,AQ$3)-AO110-SUMIFS(PS_SOTIEN,PS_TKNO,$B104,PS_MONTH,AQ$3),0)</f>
        <v>#N/A</v>
      </c>
      <c r="AS110" s="630" t="str">
        <f t="shared" ref="AS110:AS111" si="1356">IF(AQ110+SUMIFS(PS_SOTIEN,PS_TKNO,$B104,PS_MONTH,AS$3)-AR110-SUMIFS(PS_SOTIEN,PS_TKCO,$B104,PS_MONTH,AS$3)&gt;0,AQ110+SUMIFS(PS_SOTIEN,PS_TKNO,$B104,PS_MONTH,AS$3)-AR110-SUMIFS(PS_SOTIEN,PS_TKCO,$B104,PS_MONTH,AS$3),0)</f>
        <v>#N/A</v>
      </c>
      <c r="AT110" s="630" t="str">
        <f t="shared" ref="AT110:AT111" si="1357">IF(AR110+SUMIFS(PS_SOTIEN,PS_TKCO,$B104,PS_MONTH,AS$3)-AQ110-SUMIFS(PS_SOTIEN,PS_TKNO,$B104,PS_MONTH,AS$3)&gt;0,AR110+SUMIFS(PS_SOTIEN,PS_TKCO,$B104,PS_MONTH,AS$3)-AQ110-SUMIFS(PS_SOTIEN,PS_TKNO,$B104,PS_MONTH,AS$3),0)</f>
        <v>#N/A</v>
      </c>
      <c r="AU110" s="630" t="str">
        <f t="shared" ref="AU110:AU111" si="1358">IF(AS110+SUMIFS(PS_SOTIEN,PS_TKNO,$B104,PS_MONTH,AU$3)-AT110-SUMIFS(PS_SOTIEN,PS_TKCO,$B104,PS_MONTH,AU$3)&gt;0,AS110+SUMIFS(PS_SOTIEN,PS_TKNO,$B104,PS_MONTH,AU$3)-AT110-SUMIFS(PS_SOTIEN,PS_TKCO,$B104,PS_MONTH,AU$3),0)</f>
        <v>#N/A</v>
      </c>
      <c r="AV110" s="630" t="str">
        <f t="shared" ref="AV110:AV111" si="1359">IF(AT110+SUMIFS(PS_SOTIEN,PS_TKCO,$B104,PS_MONTH,AU$3)-AS110-SUMIFS(PS_SOTIEN,PS_TKNO,$B104,PS_MONTH,AU$3)&gt;0,AT110+SUMIFS(PS_SOTIEN,PS_TKCO,$B104,PS_MONTH,AU$3)-AS110-SUMIFS(PS_SOTIEN,PS_TKNO,$B104,PS_MONTH,AU$3),0)</f>
        <v>#N/A</v>
      </c>
      <c r="AW110" s="630" t="str">
        <f t="shared" ref="AW110:AW111" si="1360">IF(AU110+SUMIFS(PS_SOTIEN,PS_TKNO,$B104,PS_MONTH,AW$3)-AV110-SUMIFS(PS_SOTIEN,PS_TKCO,$B104,PS_MONTH,AW$3)&gt;0,AU110+SUMIFS(PS_SOTIEN,PS_TKNO,$B104,PS_MONTH,AW$3)-AV110-SUMIFS(PS_SOTIEN,PS_TKCO,$B104,PS_MONTH,AW$3),0)</f>
        <v>#N/A</v>
      </c>
      <c r="AX110" s="630" t="str">
        <f t="shared" ref="AX110:AX111" si="1361">IF(AV110+SUMIFS(PS_SOTIEN,PS_TKCO,$B104,PS_MONTH,AW$3)-AU110-SUMIFS(PS_SOTIEN,PS_TKNO,$B104,PS_MONTH,AW$3)&gt;0,AV110+SUMIFS(PS_SOTIEN,PS_TKCO,$B104,PS_MONTH,AW$3)-AU110-SUMIFS(PS_SOTIEN,PS_TKNO,$B104,PS_MONTH,AW$3),0)</f>
        <v>#N/A</v>
      </c>
    </row>
    <row r="111">
      <c r="A111" s="1448"/>
      <c r="B111" s="1440"/>
      <c r="C111" s="1449" t="s">
        <v>1429</v>
      </c>
      <c r="D111" s="1433" t="s">
        <v>1430</v>
      </c>
      <c r="E111" s="1450"/>
      <c r="F111" s="1450"/>
      <c r="G111" s="1450">
        <f>SUMIF(AC_TKNO,$C111,AC_SOTIEN)</f>
        <v>0</v>
      </c>
      <c r="H111" s="1450">
        <f>SUMIF(AC_TKCO,$C111,AC_SOTIEN)</f>
        <v>0</v>
      </c>
      <c r="I111" s="1450" t="str">
        <f t="shared" si="1232"/>
        <v>-</v>
      </c>
      <c r="J111" s="1450" t="str">
        <f t="shared" si="1233"/>
        <v>-</v>
      </c>
      <c r="K111" s="1443"/>
      <c r="L111" s="1443"/>
      <c r="M111" s="1444" t="str">
        <f t="shared" ref="M111:N111" si="1331">S111</f>
        <v>#N/A</v>
      </c>
      <c r="N111" s="1444" t="str">
        <f t="shared" si="1331"/>
        <v>#N/A</v>
      </c>
      <c r="O111" s="1444" t="str">
        <f t="shared" ref="O111:P111" si="1332">W111</f>
        <v>#N/A</v>
      </c>
      <c r="P111" s="1444" t="str">
        <f t="shared" si="1332"/>
        <v>#N/A</v>
      </c>
      <c r="Q111" s="1445" t="str">
        <f t="shared" ref="Q111:R111" si="1333">AE111</f>
        <v>#N/A</v>
      </c>
      <c r="R111" s="1445" t="str">
        <f t="shared" si="1333"/>
        <v>#N/A</v>
      </c>
      <c r="S111" s="1445" t="str">
        <f t="shared" ref="S111:T111" si="1334">AK111</f>
        <v>#N/A</v>
      </c>
      <c r="T111" s="1445" t="str">
        <f t="shared" si="1334"/>
        <v>#N/A</v>
      </c>
      <c r="U111" s="1445" t="str">
        <f t="shared" ref="U111:V111" si="1335">AQ111</f>
        <v>#N/A</v>
      </c>
      <c r="V111" s="1445" t="str">
        <f t="shared" si="1335"/>
        <v>#N/A</v>
      </c>
      <c r="W111" s="1445" t="str">
        <f t="shared" ref="W111:X111" si="1336">AW111</f>
        <v>#N/A</v>
      </c>
      <c r="X111" s="1445" t="str">
        <f t="shared" si="1336"/>
        <v>#N/A</v>
      </c>
      <c r="Y111" s="630" t="str">
        <f t="shared" ref="Y111:Z111" si="1337">E111</f>
        <v/>
      </c>
      <c r="Z111" s="630" t="str">
        <f t="shared" si="1337"/>
        <v/>
      </c>
      <c r="AA111" s="630" t="str">
        <f t="shared" si="1338"/>
        <v>#N/A</v>
      </c>
      <c r="AB111" s="630" t="str">
        <f t="shared" si="1339"/>
        <v>#N/A</v>
      </c>
      <c r="AC111" s="630" t="str">
        <f t="shared" si="1340"/>
        <v>#N/A</v>
      </c>
      <c r="AD111" s="630" t="str">
        <f t="shared" si="1341"/>
        <v>#N/A</v>
      </c>
      <c r="AE111" s="630" t="str">
        <f t="shared" si="1342"/>
        <v>#N/A</v>
      </c>
      <c r="AF111" s="630" t="str">
        <f t="shared" si="1343"/>
        <v>#N/A</v>
      </c>
      <c r="AG111" s="630" t="str">
        <f t="shared" si="1344"/>
        <v>#N/A</v>
      </c>
      <c r="AH111" s="630" t="str">
        <f t="shared" si="1345"/>
        <v>#N/A</v>
      </c>
      <c r="AI111" s="630" t="str">
        <f t="shared" si="1346"/>
        <v>#N/A</v>
      </c>
      <c r="AJ111" s="630" t="str">
        <f t="shared" si="1347"/>
        <v>#N/A</v>
      </c>
      <c r="AK111" s="630" t="str">
        <f t="shared" si="1348"/>
        <v>#N/A</v>
      </c>
      <c r="AL111" s="630" t="str">
        <f t="shared" si="1349"/>
        <v>#N/A</v>
      </c>
      <c r="AM111" s="630" t="str">
        <f t="shared" si="1350"/>
        <v>#N/A</v>
      </c>
      <c r="AN111" s="630" t="str">
        <f t="shared" si="1351"/>
        <v>#N/A</v>
      </c>
      <c r="AO111" s="630" t="str">
        <f t="shared" si="1352"/>
        <v>#N/A</v>
      </c>
      <c r="AP111" s="630" t="str">
        <f t="shared" si="1353"/>
        <v>#N/A</v>
      </c>
      <c r="AQ111" s="630" t="str">
        <f t="shared" si="1354"/>
        <v>#N/A</v>
      </c>
      <c r="AR111" s="630" t="str">
        <f t="shared" si="1355"/>
        <v>#N/A</v>
      </c>
      <c r="AS111" s="630" t="str">
        <f t="shared" si="1356"/>
        <v>#N/A</v>
      </c>
      <c r="AT111" s="630" t="str">
        <f t="shared" si="1357"/>
        <v>#N/A</v>
      </c>
      <c r="AU111" s="630" t="str">
        <f t="shared" si="1358"/>
        <v>#N/A</v>
      </c>
      <c r="AV111" s="630" t="str">
        <f t="shared" si="1359"/>
        <v>#N/A</v>
      </c>
      <c r="AW111" s="630" t="str">
        <f t="shared" si="1360"/>
        <v>#N/A</v>
      </c>
      <c r="AX111" s="630" t="str">
        <f t="shared" si="1361"/>
        <v>#N/A</v>
      </c>
    </row>
    <row r="112">
      <c r="A112" s="1448"/>
      <c r="B112" s="1440"/>
      <c r="C112" s="1449" t="s">
        <v>1431</v>
      </c>
      <c r="D112" s="1433" t="s">
        <v>1432</v>
      </c>
      <c r="E112" s="1450"/>
      <c r="F112" s="1450"/>
      <c r="G112" s="1450">
        <f>SUMIF(AC_TKNO,$C112,AC_SOTIEN)</f>
        <v>2000000</v>
      </c>
      <c r="H112" s="1450">
        <f>SUMIF(AC_TKCO,$C112,AC_SOTIEN)</f>
        <v>0</v>
      </c>
      <c r="I112" s="1450">
        <f t="shared" si="1232"/>
        <v>2000000</v>
      </c>
      <c r="J112" s="1450" t="str">
        <f t="shared" si="1233"/>
        <v>-</v>
      </c>
      <c r="K112" s="1443"/>
      <c r="L112" s="1443"/>
      <c r="M112" s="1444" t="str">
        <f t="shared" ref="M112:N112" si="1362">S112</f>
        <v>#N/A</v>
      </c>
      <c r="N112" s="1444" t="str">
        <f t="shared" si="1362"/>
        <v>#N/A</v>
      </c>
      <c r="O112" s="1444" t="str">
        <f t="shared" ref="O112:P112" si="1363">W112</f>
        <v>#N/A</v>
      </c>
      <c r="P112" s="1444" t="str">
        <f t="shared" si="1363"/>
        <v>#N/A</v>
      </c>
      <c r="Q112" s="1445" t="str">
        <f t="shared" ref="Q112:R112" si="1364">AE112</f>
        <v>#N/A</v>
      </c>
      <c r="R112" s="1445" t="str">
        <f t="shared" si="1364"/>
        <v>#N/A</v>
      </c>
      <c r="S112" s="1445" t="str">
        <f t="shared" ref="S112:T112" si="1365">AK112</f>
        <v>#N/A</v>
      </c>
      <c r="T112" s="1445" t="str">
        <f t="shared" si="1365"/>
        <v>#N/A</v>
      </c>
      <c r="U112" s="1445" t="str">
        <f t="shared" ref="U112:V112" si="1366">AQ112</f>
        <v>#N/A</v>
      </c>
      <c r="V112" s="1445" t="str">
        <f t="shared" si="1366"/>
        <v>#N/A</v>
      </c>
      <c r="W112" s="1445" t="str">
        <f t="shared" ref="W112:X112" si="1367">AW112</f>
        <v>#N/A</v>
      </c>
      <c r="X112" s="1445" t="str">
        <f t="shared" si="1367"/>
        <v>#N/A</v>
      </c>
      <c r="Y112" s="1447">
        <f t="shared" ref="Y112:AX112" si="1368">SUM(Y113:Y125)</f>
        <v>0</v>
      </c>
      <c r="Z112" s="1447">
        <f t="shared" si="1368"/>
        <v>0</v>
      </c>
      <c r="AA112" s="1447" t="str">
        <f t="shared" si="1368"/>
        <v>#N/A</v>
      </c>
      <c r="AB112" s="1447" t="str">
        <f t="shared" si="1368"/>
        <v>#N/A</v>
      </c>
      <c r="AC112" s="1447" t="str">
        <f t="shared" si="1368"/>
        <v>#N/A</v>
      </c>
      <c r="AD112" s="1447" t="str">
        <f t="shared" si="1368"/>
        <v>#N/A</v>
      </c>
      <c r="AE112" s="1447" t="str">
        <f t="shared" si="1368"/>
        <v>#N/A</v>
      </c>
      <c r="AF112" s="1447" t="str">
        <f t="shared" si="1368"/>
        <v>#N/A</v>
      </c>
      <c r="AG112" s="1447" t="str">
        <f t="shared" si="1368"/>
        <v>#N/A</v>
      </c>
      <c r="AH112" s="1447" t="str">
        <f t="shared" si="1368"/>
        <v>#N/A</v>
      </c>
      <c r="AI112" s="1447" t="str">
        <f t="shared" si="1368"/>
        <v>#N/A</v>
      </c>
      <c r="AJ112" s="1447" t="str">
        <f t="shared" si="1368"/>
        <v>#N/A</v>
      </c>
      <c r="AK112" s="1447" t="str">
        <f t="shared" si="1368"/>
        <v>#N/A</v>
      </c>
      <c r="AL112" s="1447" t="str">
        <f t="shared" si="1368"/>
        <v>#N/A</v>
      </c>
      <c r="AM112" s="1447" t="str">
        <f t="shared" si="1368"/>
        <v>#N/A</v>
      </c>
      <c r="AN112" s="1447" t="str">
        <f t="shared" si="1368"/>
        <v>#N/A</v>
      </c>
      <c r="AO112" s="1447" t="str">
        <f t="shared" si="1368"/>
        <v>#N/A</v>
      </c>
      <c r="AP112" s="1447" t="str">
        <f t="shared" si="1368"/>
        <v>#N/A</v>
      </c>
      <c r="AQ112" s="1447" t="str">
        <f t="shared" si="1368"/>
        <v>#N/A</v>
      </c>
      <c r="AR112" s="1447" t="str">
        <f t="shared" si="1368"/>
        <v>#N/A</v>
      </c>
      <c r="AS112" s="1447" t="str">
        <f t="shared" si="1368"/>
        <v>#N/A</v>
      </c>
      <c r="AT112" s="1447" t="str">
        <f t="shared" si="1368"/>
        <v>#N/A</v>
      </c>
      <c r="AU112" s="1447" t="str">
        <f t="shared" si="1368"/>
        <v>#N/A</v>
      </c>
      <c r="AV112" s="1447" t="str">
        <f t="shared" si="1368"/>
        <v>#N/A</v>
      </c>
      <c r="AW112" s="1447" t="str">
        <f t="shared" si="1368"/>
        <v>#N/A</v>
      </c>
      <c r="AX112" s="1447" t="str">
        <f t="shared" si="1368"/>
        <v>#N/A</v>
      </c>
    </row>
    <row r="113">
      <c r="A113" s="1448"/>
      <c r="B113" s="1440"/>
      <c r="C113" s="1460" t="s">
        <v>1433</v>
      </c>
      <c r="D113" s="1461" t="s">
        <v>1434</v>
      </c>
      <c r="E113" s="1450"/>
      <c r="F113" s="1450"/>
      <c r="G113" s="1450">
        <f>SUMIF(AC_TKNO,$C113,AC_SOTIEN)</f>
        <v>0</v>
      </c>
      <c r="H113" s="1450">
        <f>SUMIF(AC_TKCO,$C113,AC_SOTIEN)</f>
        <v>0</v>
      </c>
      <c r="I113" s="1450" t="str">
        <f t="shared" si="1232"/>
        <v>-</v>
      </c>
      <c r="J113" s="1450" t="str">
        <f t="shared" si="1233"/>
        <v>-</v>
      </c>
      <c r="K113" s="1443"/>
      <c r="L113" s="1443"/>
      <c r="M113" s="1444" t="str">
        <f t="shared" ref="M113:N113" si="1369">S113</f>
        <v>#N/A</v>
      </c>
      <c r="N113" s="1444" t="str">
        <f t="shared" si="1369"/>
        <v>#N/A</v>
      </c>
      <c r="O113" s="1444" t="str">
        <f t="shared" ref="O113:P113" si="1370">W113</f>
        <v>#N/A</v>
      </c>
      <c r="P113" s="1444" t="str">
        <f t="shared" si="1370"/>
        <v>#N/A</v>
      </c>
      <c r="Q113" s="1445" t="str">
        <f t="shared" ref="Q113:R113" si="1371">AE113</f>
        <v>#N/A</v>
      </c>
      <c r="R113" s="1445" t="str">
        <f t="shared" si="1371"/>
        <v>#N/A</v>
      </c>
      <c r="S113" s="1445" t="str">
        <f t="shared" ref="S113:T113" si="1372">AK113</f>
        <v>#N/A</v>
      </c>
      <c r="T113" s="1445" t="str">
        <f t="shared" si="1372"/>
        <v>#N/A</v>
      </c>
      <c r="U113" s="1445" t="str">
        <f t="shared" ref="U113:V113" si="1373">AQ113</f>
        <v>#N/A</v>
      </c>
      <c r="V113" s="1445" t="str">
        <f t="shared" si="1373"/>
        <v>#N/A</v>
      </c>
      <c r="W113" s="1445" t="str">
        <f t="shared" ref="W113:X113" si="1374">AW113</f>
        <v>#N/A</v>
      </c>
      <c r="X113" s="1445" t="str">
        <f t="shared" si="1374"/>
        <v>#N/A</v>
      </c>
      <c r="Y113" s="630" t="str">
        <f t="shared" ref="Y113:Z113" si="1375">E113</f>
        <v/>
      </c>
      <c r="Z113" s="630" t="str">
        <f t="shared" si="1375"/>
        <v/>
      </c>
      <c r="AA113" s="630" t="str">
        <f t="shared" ref="AA113:AA117" si="1383">IF(Y113+SUMIFS(PS_SOTIEN,PS_TKNO,$B107,PS_MONTH,AA$3)-Z113-SUMIFS(PS_SOTIEN,PS_TKCO,$B107,PS_MONTH,AA$3)&gt;0,Y113+SUMIFS(PS_SOTIEN,PS_TKNO,$B107,PS_MONTH,AA$3)-Z113-SUMIFS(PS_SOTIEN,PS_TKCO,$B107,PS_MONTH,AA$3),0)</f>
        <v>#N/A</v>
      </c>
      <c r="AB113" s="630" t="str">
        <f t="shared" ref="AB113:AB117" si="1384">IF(Z113+SUMIFS(PS_SOTIEN,PS_TKCO,$B107,PS_MONTH,AA$3)-Y113-SUMIFS(PS_SOTIEN,PS_TKNO,$B107,PS_MONTH,AA$3)&gt;0,Z113+SUMIFS(PS_SOTIEN,PS_TKCO,$B107,PS_MONTH,AA$3)-Y113-SUMIFS(PS_SOTIEN,PS_TKNO,$B107,PS_MONTH,AA$3),0)</f>
        <v>#N/A</v>
      </c>
      <c r="AC113" s="630" t="str">
        <f t="shared" ref="AC113:AC117" si="1385">IF(AA113+SUMIFS(PS_SOTIEN,PS_TKNO,$B107,PS_MONTH,AC$3)-AB113-SUMIFS(PS_SOTIEN,PS_TKCO,$B107,PS_MONTH,AC$3)&gt;0,AA113+SUMIFS(PS_SOTIEN,PS_TKNO,$B107,PS_MONTH,AC$3)-AB113-SUMIFS(PS_SOTIEN,PS_TKCO,$B107,PS_MONTH,AC$3),0)</f>
        <v>#N/A</v>
      </c>
      <c r="AD113" s="630" t="str">
        <f t="shared" ref="AD113:AD117" si="1386">IF(AB113+SUMIFS(PS_SOTIEN,PS_TKCO,$B107,PS_MONTH,AC$3)-AA113-SUMIFS(PS_SOTIEN,PS_TKNO,$B107,PS_MONTH,AC$3)&gt;0,AB113+SUMIFS(PS_SOTIEN,PS_TKCO,$B107,PS_MONTH,AC$3)-AA113-SUMIFS(PS_SOTIEN,PS_TKNO,$B107,PS_MONTH,AC$3),0)</f>
        <v>#N/A</v>
      </c>
      <c r="AE113" s="630" t="str">
        <f t="shared" ref="AE113:AE117" si="1387">IF(AC113+SUMIFS(PS_SOTIEN,PS_TKNO,$B107,PS_MONTH,AE$3)-AD113-SUMIFS(PS_SOTIEN,PS_TKCO,$B107,PS_MONTH,AE$3)&gt;0,AC113+SUMIFS(PS_SOTIEN,PS_TKNO,$B107,PS_MONTH,AE$3)-AD113-SUMIFS(PS_SOTIEN,PS_TKCO,$B107,PS_MONTH,AE$3),0)</f>
        <v>#N/A</v>
      </c>
      <c r="AF113" s="630" t="str">
        <f t="shared" ref="AF113:AF117" si="1388">IF(AD113+SUMIFS(PS_SOTIEN,PS_TKCO,$B107,PS_MONTH,AE$3)-AC113-SUMIFS(PS_SOTIEN,PS_TKNO,$B107,PS_MONTH,AE$3)&gt;0,AD113+SUMIFS(PS_SOTIEN,PS_TKCO,$B107,PS_MONTH,AE$3)-AC113-SUMIFS(PS_SOTIEN,PS_TKNO,$B107,PS_MONTH,AE$3),0)</f>
        <v>#N/A</v>
      </c>
      <c r="AG113" s="630" t="str">
        <f t="shared" ref="AG113:AG117" si="1389">IF(AE113+SUMIFS(PS_SOTIEN,PS_TKNO,$B107,PS_MONTH,AG$3)-AF113-SUMIFS(PS_SOTIEN,PS_TKCO,$B107,PS_MONTH,AG$3)&gt;0,AE113+SUMIFS(PS_SOTIEN,PS_TKNO,$B107,PS_MONTH,AG$3)-AF113-SUMIFS(PS_SOTIEN,PS_TKCO,$B107,PS_MONTH,AG$3),0)</f>
        <v>#N/A</v>
      </c>
      <c r="AH113" s="630" t="str">
        <f t="shared" ref="AH113:AH117" si="1390">IF(AF113+SUMIFS(PS_SOTIEN,PS_TKCO,$B107,PS_MONTH,AG$3)-AE113-SUMIFS(PS_SOTIEN,PS_TKNO,$B107,PS_MONTH,AG$3)&gt;0,AF113+SUMIFS(PS_SOTIEN,PS_TKCO,$B107,PS_MONTH,AG$3)-AE113-SUMIFS(PS_SOTIEN,PS_TKNO,$B107,PS_MONTH,AG$3),0)</f>
        <v>#N/A</v>
      </c>
      <c r="AI113" s="630" t="str">
        <f t="shared" ref="AI113:AI117" si="1391">IF(AG113+SUMIFS(PS_SOTIEN,PS_TKNO,$B107,PS_MONTH,AI$3)-AH113-SUMIFS(PS_SOTIEN,PS_TKCO,$B107,PS_MONTH,AI$3)&gt;0,AG113+SUMIFS(PS_SOTIEN,PS_TKNO,$B107,PS_MONTH,AI$3)-AH113-SUMIFS(PS_SOTIEN,PS_TKCO,$B107,PS_MONTH,AI$3),0)</f>
        <v>#N/A</v>
      </c>
      <c r="AJ113" s="630" t="str">
        <f t="shared" ref="AJ113:AJ117" si="1392">IF(AH113+SUMIFS(PS_SOTIEN,PS_TKCO,$B107,PS_MONTH,AI$3)-AG113-SUMIFS(PS_SOTIEN,PS_TKNO,$B107,PS_MONTH,AI$3)&gt;0,AH113+SUMIFS(PS_SOTIEN,PS_TKCO,$B107,PS_MONTH,AI$3)-AG113-SUMIFS(PS_SOTIEN,PS_TKNO,$B107,PS_MONTH,AI$3),0)</f>
        <v>#N/A</v>
      </c>
      <c r="AK113" s="630" t="str">
        <f t="shared" ref="AK113:AK117" si="1393">IF(AI113+SUMIFS(PS_SOTIEN,PS_TKNO,$B107,PS_MONTH,AK$3)-AJ113-SUMIFS(PS_SOTIEN,PS_TKCO,$B107,PS_MONTH,AK$3)&gt;0,AI113+SUMIFS(PS_SOTIEN,PS_TKNO,$B107,PS_MONTH,AK$3)-AJ113-SUMIFS(PS_SOTIEN,PS_TKCO,$B107,PS_MONTH,AK$3),0)</f>
        <v>#N/A</v>
      </c>
      <c r="AL113" s="630" t="str">
        <f t="shared" ref="AL113:AL117" si="1394">IF(AJ113+SUMIFS(PS_SOTIEN,PS_TKCO,$B107,PS_MONTH,AK$3)-AI113-SUMIFS(PS_SOTIEN,PS_TKNO,$B107,PS_MONTH,AK$3)&gt;0,AJ113+SUMIFS(PS_SOTIEN,PS_TKCO,$B107,PS_MONTH,AK$3)-AI113-SUMIFS(PS_SOTIEN,PS_TKNO,$B107,PS_MONTH,AK$3),0)</f>
        <v>#N/A</v>
      </c>
      <c r="AM113" s="630" t="str">
        <f t="shared" ref="AM113:AM117" si="1395">IF(AK113+SUMIFS(PS_SOTIEN,PS_TKNO,$B107,PS_MONTH,AM$3)-AL113-SUMIFS(PS_SOTIEN,PS_TKCO,$B107,PS_MONTH,AM$3)&gt;0,AK113+SUMIFS(PS_SOTIEN,PS_TKNO,$B107,PS_MONTH,AM$3)-AL113-SUMIFS(PS_SOTIEN,PS_TKCO,$B107,PS_MONTH,AM$3),0)</f>
        <v>#N/A</v>
      </c>
      <c r="AN113" s="630" t="str">
        <f t="shared" ref="AN113:AN117" si="1396">IF(AL113+SUMIFS(PS_SOTIEN,PS_TKCO,$B107,PS_MONTH,AM$3)-AK113-SUMIFS(PS_SOTIEN,PS_TKNO,$B107,PS_MONTH,AM$3)&gt;0,AL113+SUMIFS(PS_SOTIEN,PS_TKCO,$B107,PS_MONTH,AM$3)-AK113-SUMIFS(PS_SOTIEN,PS_TKNO,$B107,PS_MONTH,AM$3),0)</f>
        <v>#N/A</v>
      </c>
      <c r="AO113" s="630" t="str">
        <f t="shared" ref="AO113:AO117" si="1397">IF(AM113+SUMIFS(PS_SOTIEN,PS_TKNO,$B107,PS_MONTH,AO$3)-AN113-SUMIFS(PS_SOTIEN,PS_TKCO,$B107,PS_MONTH,AO$3)&gt;0,AM113+SUMIFS(PS_SOTIEN,PS_TKNO,$B107,PS_MONTH,AO$3)-AN113-SUMIFS(PS_SOTIEN,PS_TKCO,$B107,PS_MONTH,AO$3),0)</f>
        <v>#N/A</v>
      </c>
      <c r="AP113" s="630" t="str">
        <f t="shared" ref="AP113:AP117" si="1398">IF(AN113+SUMIFS(PS_SOTIEN,PS_TKCO,$B107,PS_MONTH,AO$3)-AM113-SUMIFS(PS_SOTIEN,PS_TKNO,$B107,PS_MONTH,AO$3)&gt;0,AN113+SUMIFS(PS_SOTIEN,PS_TKCO,$B107,PS_MONTH,AO$3)-AM113-SUMIFS(PS_SOTIEN,PS_TKNO,$B107,PS_MONTH,AO$3),0)</f>
        <v>#N/A</v>
      </c>
      <c r="AQ113" s="630" t="str">
        <f t="shared" ref="AQ113:AQ117" si="1399">IF(AO113+SUMIFS(PS_SOTIEN,PS_TKNO,$B107,PS_MONTH,AQ$3)-AP113-SUMIFS(PS_SOTIEN,PS_TKCO,$B107,PS_MONTH,AQ$3)&gt;0,AO113+SUMIFS(PS_SOTIEN,PS_TKNO,$B107,PS_MONTH,AQ$3)-AP113-SUMIFS(PS_SOTIEN,PS_TKCO,$B107,PS_MONTH,AQ$3),0)</f>
        <v>#N/A</v>
      </c>
      <c r="AR113" s="630" t="str">
        <f t="shared" ref="AR113:AR117" si="1400">IF(AP113+SUMIFS(PS_SOTIEN,PS_TKCO,$B107,PS_MONTH,AQ$3)-AO113-SUMIFS(PS_SOTIEN,PS_TKNO,$B107,PS_MONTH,AQ$3)&gt;0,AP113+SUMIFS(PS_SOTIEN,PS_TKCO,$B107,PS_MONTH,AQ$3)-AO113-SUMIFS(PS_SOTIEN,PS_TKNO,$B107,PS_MONTH,AQ$3),0)</f>
        <v>#N/A</v>
      </c>
      <c r="AS113" s="630" t="str">
        <f t="shared" ref="AS113:AS117" si="1401">IF(AQ113+SUMIFS(PS_SOTIEN,PS_TKNO,$B107,PS_MONTH,AS$3)-AR113-SUMIFS(PS_SOTIEN,PS_TKCO,$B107,PS_MONTH,AS$3)&gt;0,AQ113+SUMIFS(PS_SOTIEN,PS_TKNO,$B107,PS_MONTH,AS$3)-AR113-SUMIFS(PS_SOTIEN,PS_TKCO,$B107,PS_MONTH,AS$3),0)</f>
        <v>#N/A</v>
      </c>
      <c r="AT113" s="630" t="str">
        <f t="shared" ref="AT113:AT117" si="1402">IF(AR113+SUMIFS(PS_SOTIEN,PS_TKCO,$B107,PS_MONTH,AS$3)-AQ113-SUMIFS(PS_SOTIEN,PS_TKNO,$B107,PS_MONTH,AS$3)&gt;0,AR113+SUMIFS(PS_SOTIEN,PS_TKCO,$B107,PS_MONTH,AS$3)-AQ113-SUMIFS(PS_SOTIEN,PS_TKNO,$B107,PS_MONTH,AS$3),0)</f>
        <v>#N/A</v>
      </c>
      <c r="AU113" s="630" t="str">
        <f t="shared" ref="AU113:AU117" si="1403">IF(AS113+SUMIFS(PS_SOTIEN,PS_TKNO,$B107,PS_MONTH,AU$3)-AT113-SUMIFS(PS_SOTIEN,PS_TKCO,$B107,PS_MONTH,AU$3)&gt;0,AS113+SUMIFS(PS_SOTIEN,PS_TKNO,$B107,PS_MONTH,AU$3)-AT113-SUMIFS(PS_SOTIEN,PS_TKCO,$B107,PS_MONTH,AU$3),0)</f>
        <v>#N/A</v>
      </c>
      <c r="AV113" s="630" t="str">
        <f t="shared" ref="AV113:AV117" si="1404">IF(AT113+SUMIFS(PS_SOTIEN,PS_TKCO,$B107,PS_MONTH,AU$3)-AS113-SUMIFS(PS_SOTIEN,PS_TKNO,$B107,PS_MONTH,AU$3)&gt;0,AT113+SUMIFS(PS_SOTIEN,PS_TKCO,$B107,PS_MONTH,AU$3)-AS113-SUMIFS(PS_SOTIEN,PS_TKNO,$B107,PS_MONTH,AU$3),0)</f>
        <v>#N/A</v>
      </c>
      <c r="AW113" s="630" t="str">
        <f t="shared" ref="AW113:AW117" si="1405">IF(AU113+SUMIFS(PS_SOTIEN,PS_TKNO,$B107,PS_MONTH,AW$3)-AV113-SUMIFS(PS_SOTIEN,PS_TKCO,$B107,PS_MONTH,AW$3)&gt;0,AU113+SUMIFS(PS_SOTIEN,PS_TKNO,$B107,PS_MONTH,AW$3)-AV113-SUMIFS(PS_SOTIEN,PS_TKCO,$B107,PS_MONTH,AW$3),0)</f>
        <v>#N/A</v>
      </c>
      <c r="AX113" s="630" t="str">
        <f t="shared" ref="AX113:AX117" si="1406">IF(AV113+SUMIFS(PS_SOTIEN,PS_TKCO,$B107,PS_MONTH,AW$3)-AU113-SUMIFS(PS_SOTIEN,PS_TKNO,$B107,PS_MONTH,AW$3)&gt;0,AV113+SUMIFS(PS_SOTIEN,PS_TKCO,$B107,PS_MONTH,AW$3)-AU113-SUMIFS(PS_SOTIEN,PS_TKNO,$B107,PS_MONTH,AW$3),0)</f>
        <v>#N/A</v>
      </c>
    </row>
    <row r="114">
      <c r="A114" s="1448"/>
      <c r="B114" s="1440"/>
      <c r="C114" s="1460" t="s">
        <v>1435</v>
      </c>
      <c r="D114" s="1461" t="s">
        <v>1436</v>
      </c>
      <c r="E114" s="1450"/>
      <c r="F114" s="1450"/>
      <c r="G114" s="1450">
        <f>SUMIF(AC_TKNO,$C114,AC_SOTIEN)</f>
        <v>0</v>
      </c>
      <c r="H114" s="1450">
        <f>SUMIF(AC_TKCO,$C114,AC_SOTIEN)</f>
        <v>0</v>
      </c>
      <c r="I114" s="1450" t="str">
        <f t="shared" si="1232"/>
        <v>-</v>
      </c>
      <c r="J114" s="1450" t="str">
        <f t="shared" si="1233"/>
        <v>-</v>
      </c>
      <c r="K114" s="1443"/>
      <c r="L114" s="1443"/>
      <c r="M114" s="1444" t="str">
        <f t="shared" ref="M114:N114" si="1376">S114</f>
        <v>#N/A</v>
      </c>
      <c r="N114" s="1444" t="str">
        <f t="shared" si="1376"/>
        <v>#N/A</v>
      </c>
      <c r="O114" s="1444" t="str">
        <f t="shared" ref="O114:P114" si="1377">W114</f>
        <v>#N/A</v>
      </c>
      <c r="P114" s="1444" t="str">
        <f t="shared" si="1377"/>
        <v>#N/A</v>
      </c>
      <c r="Q114" s="1445" t="str">
        <f t="shared" ref="Q114:R114" si="1378">AE114</f>
        <v>#N/A</v>
      </c>
      <c r="R114" s="1445" t="str">
        <f t="shared" si="1378"/>
        <v>#N/A</v>
      </c>
      <c r="S114" s="1445" t="str">
        <f t="shared" ref="S114:T114" si="1379">AK114</f>
        <v>#N/A</v>
      </c>
      <c r="T114" s="1445" t="str">
        <f t="shared" si="1379"/>
        <v>#N/A</v>
      </c>
      <c r="U114" s="1445" t="str">
        <f t="shared" ref="U114:V114" si="1380">AQ114</f>
        <v>#N/A</v>
      </c>
      <c r="V114" s="1445" t="str">
        <f t="shared" si="1380"/>
        <v>#N/A</v>
      </c>
      <c r="W114" s="1445" t="str">
        <f t="shared" ref="W114:X114" si="1381">AW114</f>
        <v>#N/A</v>
      </c>
      <c r="X114" s="1445" t="str">
        <f t="shared" si="1381"/>
        <v>#N/A</v>
      </c>
      <c r="Y114" s="630" t="str">
        <f t="shared" ref="Y114:Z114" si="1382">E114</f>
        <v/>
      </c>
      <c r="Z114" s="630" t="str">
        <f t="shared" si="1382"/>
        <v/>
      </c>
      <c r="AA114" s="630" t="str">
        <f t="shared" si="1383"/>
        <v>#N/A</v>
      </c>
      <c r="AB114" s="630" t="str">
        <f t="shared" si="1384"/>
        <v>#N/A</v>
      </c>
      <c r="AC114" s="630" t="str">
        <f t="shared" si="1385"/>
        <v>#N/A</v>
      </c>
      <c r="AD114" s="630" t="str">
        <f t="shared" si="1386"/>
        <v>#N/A</v>
      </c>
      <c r="AE114" s="630" t="str">
        <f t="shared" si="1387"/>
        <v>#N/A</v>
      </c>
      <c r="AF114" s="630" t="str">
        <f t="shared" si="1388"/>
        <v>#N/A</v>
      </c>
      <c r="AG114" s="630" t="str">
        <f t="shared" si="1389"/>
        <v>#N/A</v>
      </c>
      <c r="AH114" s="630" t="str">
        <f t="shared" si="1390"/>
        <v>#N/A</v>
      </c>
      <c r="AI114" s="630" t="str">
        <f t="shared" si="1391"/>
        <v>#N/A</v>
      </c>
      <c r="AJ114" s="630" t="str">
        <f t="shared" si="1392"/>
        <v>#N/A</v>
      </c>
      <c r="AK114" s="630" t="str">
        <f t="shared" si="1393"/>
        <v>#N/A</v>
      </c>
      <c r="AL114" s="630" t="str">
        <f t="shared" si="1394"/>
        <v>#N/A</v>
      </c>
      <c r="AM114" s="630" t="str">
        <f t="shared" si="1395"/>
        <v>#N/A</v>
      </c>
      <c r="AN114" s="630" t="str">
        <f t="shared" si="1396"/>
        <v>#N/A</v>
      </c>
      <c r="AO114" s="630" t="str">
        <f t="shared" si="1397"/>
        <v>#N/A</v>
      </c>
      <c r="AP114" s="630" t="str">
        <f t="shared" si="1398"/>
        <v>#N/A</v>
      </c>
      <c r="AQ114" s="630" t="str">
        <f t="shared" si="1399"/>
        <v>#N/A</v>
      </c>
      <c r="AR114" s="630" t="str">
        <f t="shared" si="1400"/>
        <v>#N/A</v>
      </c>
      <c r="AS114" s="630" t="str">
        <f t="shared" si="1401"/>
        <v>#N/A</v>
      </c>
      <c r="AT114" s="630" t="str">
        <f t="shared" si="1402"/>
        <v>#N/A</v>
      </c>
      <c r="AU114" s="630" t="str">
        <f t="shared" si="1403"/>
        <v>#N/A</v>
      </c>
      <c r="AV114" s="630" t="str">
        <f t="shared" si="1404"/>
        <v>#N/A</v>
      </c>
      <c r="AW114" s="630" t="str">
        <f t="shared" si="1405"/>
        <v>#N/A</v>
      </c>
      <c r="AX114" s="630" t="str">
        <f t="shared" si="1406"/>
        <v>#N/A</v>
      </c>
    </row>
    <row r="115">
      <c r="A115" s="1448"/>
      <c r="B115" s="1440"/>
      <c r="C115" s="1449" t="s">
        <v>1437</v>
      </c>
      <c r="D115" s="1433" t="s">
        <v>1438</v>
      </c>
      <c r="E115" s="1450"/>
      <c r="F115" s="1450"/>
      <c r="G115" s="1450">
        <f>SUMIF(AC_TKNO,$C115,AC_SOTIEN)</f>
        <v>0</v>
      </c>
      <c r="H115" s="1450">
        <f>SUMIF(AC_TKCO,$C115,AC_SOTIEN)</f>
        <v>0</v>
      </c>
      <c r="I115" s="1450" t="str">
        <f t="shared" si="1232"/>
        <v>-</v>
      </c>
      <c r="J115" s="1450" t="str">
        <f t="shared" si="1233"/>
        <v>-</v>
      </c>
      <c r="K115" s="1443"/>
      <c r="L115" s="1443"/>
      <c r="M115" s="1444" t="str">
        <f t="shared" ref="M115:N115" si="1407">S115</f>
        <v>#N/A</v>
      </c>
      <c r="N115" s="1444" t="str">
        <f t="shared" si="1407"/>
        <v>#N/A</v>
      </c>
      <c r="O115" s="1444" t="str">
        <f t="shared" ref="O115:P115" si="1408">W115</f>
        <v>#N/A</v>
      </c>
      <c r="P115" s="1444" t="str">
        <f t="shared" si="1408"/>
        <v>#N/A</v>
      </c>
      <c r="Q115" s="1445" t="str">
        <f t="shared" ref="Q115:R115" si="1409">AE115</f>
        <v>#N/A</v>
      </c>
      <c r="R115" s="1445" t="str">
        <f t="shared" si="1409"/>
        <v>#N/A</v>
      </c>
      <c r="S115" s="1445" t="str">
        <f t="shared" ref="S115:T115" si="1410">AK115</f>
        <v>#N/A</v>
      </c>
      <c r="T115" s="1445" t="str">
        <f t="shared" si="1410"/>
        <v>#N/A</v>
      </c>
      <c r="U115" s="1445" t="str">
        <f t="shared" ref="U115:V115" si="1411">AQ115</f>
        <v>#N/A</v>
      </c>
      <c r="V115" s="1445" t="str">
        <f t="shared" si="1411"/>
        <v>#N/A</v>
      </c>
      <c r="W115" s="1445" t="str">
        <f t="shared" ref="W115:X115" si="1412">AW115</f>
        <v>#N/A</v>
      </c>
      <c r="X115" s="1445" t="str">
        <f t="shared" si="1412"/>
        <v>#N/A</v>
      </c>
      <c r="Y115" s="630" t="str">
        <f t="shared" ref="Y115:Z115" si="1413">E115</f>
        <v/>
      </c>
      <c r="Z115" s="630" t="str">
        <f t="shared" si="1413"/>
        <v/>
      </c>
      <c r="AA115" s="630" t="str">
        <f t="shared" si="1383"/>
        <v>#N/A</v>
      </c>
      <c r="AB115" s="630" t="str">
        <f t="shared" si="1384"/>
        <v>#N/A</v>
      </c>
      <c r="AC115" s="630" t="str">
        <f t="shared" si="1385"/>
        <v>#N/A</v>
      </c>
      <c r="AD115" s="630" t="str">
        <f t="shared" si="1386"/>
        <v>#N/A</v>
      </c>
      <c r="AE115" s="630" t="str">
        <f t="shared" si="1387"/>
        <v>#N/A</v>
      </c>
      <c r="AF115" s="630" t="str">
        <f t="shared" si="1388"/>
        <v>#N/A</v>
      </c>
      <c r="AG115" s="630" t="str">
        <f t="shared" si="1389"/>
        <v>#N/A</v>
      </c>
      <c r="AH115" s="630" t="str">
        <f t="shared" si="1390"/>
        <v>#N/A</v>
      </c>
      <c r="AI115" s="630" t="str">
        <f t="shared" si="1391"/>
        <v>#N/A</v>
      </c>
      <c r="AJ115" s="630" t="str">
        <f t="shared" si="1392"/>
        <v>#N/A</v>
      </c>
      <c r="AK115" s="630" t="str">
        <f t="shared" si="1393"/>
        <v>#N/A</v>
      </c>
      <c r="AL115" s="630" t="str">
        <f t="shared" si="1394"/>
        <v>#N/A</v>
      </c>
      <c r="AM115" s="630" t="str">
        <f t="shared" si="1395"/>
        <v>#N/A</v>
      </c>
      <c r="AN115" s="630" t="str">
        <f t="shared" si="1396"/>
        <v>#N/A</v>
      </c>
      <c r="AO115" s="630" t="str">
        <f t="shared" si="1397"/>
        <v>#N/A</v>
      </c>
      <c r="AP115" s="630" t="str">
        <f t="shared" si="1398"/>
        <v>#N/A</v>
      </c>
      <c r="AQ115" s="630" t="str">
        <f t="shared" si="1399"/>
        <v>#N/A</v>
      </c>
      <c r="AR115" s="630" t="str">
        <f t="shared" si="1400"/>
        <v>#N/A</v>
      </c>
      <c r="AS115" s="630" t="str">
        <f t="shared" si="1401"/>
        <v>#N/A</v>
      </c>
      <c r="AT115" s="630" t="str">
        <f t="shared" si="1402"/>
        <v>#N/A</v>
      </c>
      <c r="AU115" s="630" t="str">
        <f t="shared" si="1403"/>
        <v>#N/A</v>
      </c>
      <c r="AV115" s="630" t="str">
        <f t="shared" si="1404"/>
        <v>#N/A</v>
      </c>
      <c r="AW115" s="630" t="str">
        <f t="shared" si="1405"/>
        <v>#N/A</v>
      </c>
      <c r="AX115" s="630" t="str">
        <f t="shared" si="1406"/>
        <v>#N/A</v>
      </c>
    </row>
    <row r="116">
      <c r="A116" s="1452" t="s">
        <v>2986</v>
      </c>
      <c r="B116" s="1439" t="s">
        <v>3106</v>
      </c>
      <c r="C116" s="1440"/>
      <c r="D116" s="1441" t="s">
        <v>1439</v>
      </c>
      <c r="E116" s="1442">
        <f t="shared" ref="E116:J116" si="1414">SUM(E117:E123)</f>
        <v>0</v>
      </c>
      <c r="F116" s="1442">
        <f t="shared" si="1414"/>
        <v>0</v>
      </c>
      <c r="G116" s="1442">
        <f t="shared" si="1414"/>
        <v>1942340037</v>
      </c>
      <c r="H116" s="1442">
        <f t="shared" si="1414"/>
        <v>2593086327</v>
      </c>
      <c r="I116" s="1442">
        <f t="shared" si="1414"/>
        <v>776902210</v>
      </c>
      <c r="J116" s="1442">
        <f t="shared" si="1414"/>
        <v>1427648500</v>
      </c>
      <c r="K116" s="1443"/>
      <c r="L116" s="1443"/>
      <c r="M116" s="1444" t="str">
        <f t="shared" ref="M116:N116" si="1415">S116</f>
        <v>#N/A</v>
      </c>
      <c r="N116" s="1444" t="str">
        <f t="shared" si="1415"/>
        <v>#N/A</v>
      </c>
      <c r="O116" s="1444" t="str">
        <f t="shared" ref="O116:P116" si="1416">W116</f>
        <v>#N/A</v>
      </c>
      <c r="P116" s="1444" t="str">
        <f t="shared" si="1416"/>
        <v>#N/A</v>
      </c>
      <c r="Q116" s="1445" t="str">
        <f t="shared" ref="Q116:R116" si="1417">AE116</f>
        <v>#N/A</v>
      </c>
      <c r="R116" s="1445" t="str">
        <f t="shared" si="1417"/>
        <v>#N/A</v>
      </c>
      <c r="S116" s="1445" t="str">
        <f t="shared" ref="S116:T116" si="1418">AK116</f>
        <v>#N/A</v>
      </c>
      <c r="T116" s="1445" t="str">
        <f t="shared" si="1418"/>
        <v>#N/A</v>
      </c>
      <c r="U116" s="1445" t="str">
        <f t="shared" ref="U116:V116" si="1419">AQ116</f>
        <v>#N/A</v>
      </c>
      <c r="V116" s="1445" t="str">
        <f t="shared" si="1419"/>
        <v>#N/A</v>
      </c>
      <c r="W116" s="1445" t="str">
        <f t="shared" ref="W116:X116" si="1420">AW116</f>
        <v>#N/A</v>
      </c>
      <c r="X116" s="1445" t="str">
        <f t="shared" si="1420"/>
        <v>#N/A</v>
      </c>
      <c r="Y116" s="630">
        <f t="shared" ref="Y116:Z116" si="1421">E116</f>
        <v>0</v>
      </c>
      <c r="Z116" s="630">
        <f t="shared" si="1421"/>
        <v>0</v>
      </c>
      <c r="AA116" s="630" t="str">
        <f t="shared" si="1383"/>
        <v>#N/A</v>
      </c>
      <c r="AB116" s="630" t="str">
        <f t="shared" si="1384"/>
        <v>#N/A</v>
      </c>
      <c r="AC116" s="630" t="str">
        <f t="shared" si="1385"/>
        <v>#N/A</v>
      </c>
      <c r="AD116" s="630" t="str">
        <f t="shared" si="1386"/>
        <v>#N/A</v>
      </c>
      <c r="AE116" s="630" t="str">
        <f t="shared" si="1387"/>
        <v>#N/A</v>
      </c>
      <c r="AF116" s="630" t="str">
        <f t="shared" si="1388"/>
        <v>#N/A</v>
      </c>
      <c r="AG116" s="630" t="str">
        <f t="shared" si="1389"/>
        <v>#N/A</v>
      </c>
      <c r="AH116" s="630" t="str">
        <f t="shared" si="1390"/>
        <v>#N/A</v>
      </c>
      <c r="AI116" s="630" t="str">
        <f t="shared" si="1391"/>
        <v>#N/A</v>
      </c>
      <c r="AJ116" s="630" t="str">
        <f t="shared" si="1392"/>
        <v>#N/A</v>
      </c>
      <c r="AK116" s="630" t="str">
        <f t="shared" si="1393"/>
        <v>#N/A</v>
      </c>
      <c r="AL116" s="630" t="str">
        <f t="shared" si="1394"/>
        <v>#N/A</v>
      </c>
      <c r="AM116" s="630" t="str">
        <f t="shared" si="1395"/>
        <v>#N/A</v>
      </c>
      <c r="AN116" s="630" t="str">
        <f t="shared" si="1396"/>
        <v>#N/A</v>
      </c>
      <c r="AO116" s="630" t="str">
        <f t="shared" si="1397"/>
        <v>#N/A</v>
      </c>
      <c r="AP116" s="630" t="str">
        <f t="shared" si="1398"/>
        <v>#N/A</v>
      </c>
      <c r="AQ116" s="630" t="str">
        <f t="shared" si="1399"/>
        <v>#N/A</v>
      </c>
      <c r="AR116" s="630" t="str">
        <f t="shared" si="1400"/>
        <v>#N/A</v>
      </c>
      <c r="AS116" s="630" t="str">
        <f t="shared" si="1401"/>
        <v>#N/A</v>
      </c>
      <c r="AT116" s="630" t="str">
        <f t="shared" si="1402"/>
        <v>#N/A</v>
      </c>
      <c r="AU116" s="630" t="str">
        <f t="shared" si="1403"/>
        <v>#N/A</v>
      </c>
      <c r="AV116" s="630" t="str">
        <f t="shared" si="1404"/>
        <v>#N/A</v>
      </c>
      <c r="AW116" s="630" t="str">
        <f t="shared" si="1405"/>
        <v>#N/A</v>
      </c>
      <c r="AX116" s="630" t="str">
        <f t="shared" si="1406"/>
        <v>#N/A</v>
      </c>
    </row>
    <row r="117">
      <c r="A117" s="1448"/>
      <c r="B117" s="1440"/>
      <c r="C117" s="1449" t="s">
        <v>3107</v>
      </c>
      <c r="D117" s="1462" t="s">
        <v>3108</v>
      </c>
      <c r="E117" s="1450"/>
      <c r="F117" s="1450"/>
      <c r="G117" s="1450">
        <f>SUMIF(AC_TKNO,$C117,AC_SOTIEN)</f>
        <v>1933426037</v>
      </c>
      <c r="H117" s="1450">
        <f>SUMIF(AC_TKCO,$C117,AC_SOTIEN)</f>
        <v>1156523827</v>
      </c>
      <c r="I117" s="1450">
        <f t="shared" ref="I117:I124" si="1429">IF(E117+G117-F117-H117&gt;0,E117+G117-F117-H117,"-")</f>
        <v>776902210</v>
      </c>
      <c r="J117" s="1450" t="str">
        <f t="shared" ref="J117:J124" si="1430">IF(F117+H117-E117-G117&gt;0,F117+H117-E117-G117,"-")</f>
        <v>-</v>
      </c>
      <c r="K117" s="1443"/>
      <c r="L117" s="1443"/>
      <c r="M117" s="1444" t="str">
        <f t="shared" ref="M117:N117" si="1422">S117</f>
        <v>#N/A</v>
      </c>
      <c r="N117" s="1444" t="str">
        <f t="shared" si="1422"/>
        <v>#N/A</v>
      </c>
      <c r="O117" s="1444" t="str">
        <f t="shared" ref="O117:P117" si="1423">W117</f>
        <v>#N/A</v>
      </c>
      <c r="P117" s="1444" t="str">
        <f t="shared" si="1423"/>
        <v>#N/A</v>
      </c>
      <c r="Q117" s="1445" t="str">
        <f t="shared" ref="Q117:R117" si="1424">AE117</f>
        <v>#N/A</v>
      </c>
      <c r="R117" s="1445" t="str">
        <f t="shared" si="1424"/>
        <v>#N/A</v>
      </c>
      <c r="S117" s="1445" t="str">
        <f t="shared" ref="S117:T117" si="1425">AK117</f>
        <v>#N/A</v>
      </c>
      <c r="T117" s="1445" t="str">
        <f t="shared" si="1425"/>
        <v>#N/A</v>
      </c>
      <c r="U117" s="1445" t="str">
        <f t="shared" ref="U117:V117" si="1426">AQ117</f>
        <v>#N/A</v>
      </c>
      <c r="V117" s="1445" t="str">
        <f t="shared" si="1426"/>
        <v>#N/A</v>
      </c>
      <c r="W117" s="1445" t="str">
        <f t="shared" ref="W117:X117" si="1427">AW117</f>
        <v>#N/A</v>
      </c>
      <c r="X117" s="1445" t="str">
        <f t="shared" si="1427"/>
        <v>#N/A</v>
      </c>
      <c r="Y117" s="630" t="str">
        <f t="shared" ref="Y117:Z117" si="1428">E117</f>
        <v/>
      </c>
      <c r="Z117" s="630" t="str">
        <f t="shared" si="1428"/>
        <v/>
      </c>
      <c r="AA117" s="630" t="str">
        <f t="shared" si="1383"/>
        <v>#N/A</v>
      </c>
      <c r="AB117" s="630" t="str">
        <f t="shared" si="1384"/>
        <v>#N/A</v>
      </c>
      <c r="AC117" s="630" t="str">
        <f t="shared" si="1385"/>
        <v>#N/A</v>
      </c>
      <c r="AD117" s="630" t="str">
        <f t="shared" si="1386"/>
        <v>#N/A</v>
      </c>
      <c r="AE117" s="630" t="str">
        <f t="shared" si="1387"/>
        <v>#N/A</v>
      </c>
      <c r="AF117" s="630" t="str">
        <f t="shared" si="1388"/>
        <v>#N/A</v>
      </c>
      <c r="AG117" s="630" t="str">
        <f t="shared" si="1389"/>
        <v>#N/A</v>
      </c>
      <c r="AH117" s="630" t="str">
        <f t="shared" si="1390"/>
        <v>#N/A</v>
      </c>
      <c r="AI117" s="630" t="str">
        <f t="shared" si="1391"/>
        <v>#N/A</v>
      </c>
      <c r="AJ117" s="630" t="str">
        <f t="shared" si="1392"/>
        <v>#N/A</v>
      </c>
      <c r="AK117" s="630" t="str">
        <f t="shared" si="1393"/>
        <v>#N/A</v>
      </c>
      <c r="AL117" s="630" t="str">
        <f t="shared" si="1394"/>
        <v>#N/A</v>
      </c>
      <c r="AM117" s="630" t="str">
        <f t="shared" si="1395"/>
        <v>#N/A</v>
      </c>
      <c r="AN117" s="630" t="str">
        <f t="shared" si="1396"/>
        <v>#N/A</v>
      </c>
      <c r="AO117" s="630" t="str">
        <f t="shared" si="1397"/>
        <v>#N/A</v>
      </c>
      <c r="AP117" s="630" t="str">
        <f t="shared" si="1398"/>
        <v>#N/A</v>
      </c>
      <c r="AQ117" s="630" t="str">
        <f t="shared" si="1399"/>
        <v>#N/A</v>
      </c>
      <c r="AR117" s="630" t="str">
        <f t="shared" si="1400"/>
        <v>#N/A</v>
      </c>
      <c r="AS117" s="630" t="str">
        <f t="shared" si="1401"/>
        <v>#N/A</v>
      </c>
      <c r="AT117" s="630" t="str">
        <f t="shared" si="1402"/>
        <v>#N/A</v>
      </c>
      <c r="AU117" s="630" t="str">
        <f t="shared" si="1403"/>
        <v>#N/A</v>
      </c>
      <c r="AV117" s="630" t="str">
        <f t="shared" si="1404"/>
        <v>#N/A</v>
      </c>
      <c r="AW117" s="630" t="str">
        <f t="shared" si="1405"/>
        <v>#N/A</v>
      </c>
      <c r="AX117" s="630" t="str">
        <f t="shared" si="1406"/>
        <v>#N/A</v>
      </c>
    </row>
    <row r="118">
      <c r="A118" s="1448"/>
      <c r="B118" s="1440"/>
      <c r="C118" s="1449" t="s">
        <v>3109</v>
      </c>
      <c r="D118" s="1462" t="s">
        <v>3110</v>
      </c>
      <c r="E118" s="1450"/>
      <c r="F118" s="1450"/>
      <c r="G118" s="1450">
        <f>SUMIF(AC_TKNO,$C118,AC_SOTIEN)</f>
        <v>0</v>
      </c>
      <c r="H118" s="1450">
        <f>SUMIF(AC_TKCO,$C118,AC_SOTIEN)</f>
        <v>23790000</v>
      </c>
      <c r="I118" s="1450" t="str">
        <f t="shared" si="1429"/>
        <v>-</v>
      </c>
      <c r="J118" s="1450">
        <f t="shared" si="1430"/>
        <v>23790000</v>
      </c>
      <c r="K118" s="1443"/>
      <c r="L118" s="1443"/>
      <c r="M118" s="1444"/>
      <c r="N118" s="1444"/>
      <c r="O118" s="1444"/>
      <c r="P118" s="1444"/>
      <c r="Q118" s="1445"/>
      <c r="R118" s="1445"/>
      <c r="S118" s="1445"/>
      <c r="T118" s="1445"/>
      <c r="U118" s="1445"/>
      <c r="V118" s="1445"/>
      <c r="W118" s="1445"/>
      <c r="X118" s="1445"/>
      <c r="Y118" s="630"/>
      <c r="Z118" s="630"/>
      <c r="AA118" s="630"/>
      <c r="AB118" s="630"/>
      <c r="AC118" s="630"/>
      <c r="AD118" s="630"/>
      <c r="AE118" s="630"/>
      <c r="AF118" s="630"/>
      <c r="AG118" s="630"/>
      <c r="AH118" s="630"/>
      <c r="AI118" s="630"/>
      <c r="AJ118" s="630"/>
      <c r="AK118" s="630"/>
      <c r="AL118" s="630"/>
      <c r="AM118" s="630"/>
      <c r="AN118" s="630"/>
      <c r="AO118" s="630"/>
      <c r="AP118" s="630"/>
      <c r="AQ118" s="630"/>
      <c r="AR118" s="630"/>
      <c r="AS118" s="630"/>
      <c r="AT118" s="630"/>
      <c r="AU118" s="630"/>
      <c r="AV118" s="630"/>
      <c r="AW118" s="630"/>
      <c r="AX118" s="630"/>
    </row>
    <row r="119">
      <c r="A119" s="1448"/>
      <c r="B119" s="1440"/>
      <c r="C119" s="1449" t="s">
        <v>3111</v>
      </c>
      <c r="D119" s="1462" t="s">
        <v>3112</v>
      </c>
      <c r="E119" s="1450"/>
      <c r="F119" s="1450"/>
      <c r="G119" s="1450">
        <f>SUMIF(AC_TKNO,$C119,AC_SOTIEN)</f>
        <v>0</v>
      </c>
      <c r="H119" s="1450">
        <f>SUMIF(AC_TKCO,$C119,AC_SOTIEN)</f>
        <v>36000000</v>
      </c>
      <c r="I119" s="1450" t="str">
        <f t="shared" si="1429"/>
        <v>-</v>
      </c>
      <c r="J119" s="1450">
        <f t="shared" si="1430"/>
        <v>36000000</v>
      </c>
      <c r="K119" s="1443"/>
      <c r="L119" s="1443"/>
      <c r="M119" s="1444"/>
      <c r="N119" s="1444"/>
      <c r="O119" s="1444"/>
      <c r="P119" s="1444"/>
      <c r="Q119" s="1445"/>
      <c r="R119" s="1445"/>
      <c r="S119" s="1445"/>
      <c r="T119" s="1445"/>
      <c r="U119" s="1445"/>
      <c r="V119" s="1445"/>
      <c r="W119" s="1445"/>
      <c r="X119" s="1445"/>
      <c r="Y119" s="630"/>
      <c r="Z119" s="630"/>
      <c r="AA119" s="630"/>
      <c r="AB119" s="630"/>
      <c r="AC119" s="630"/>
      <c r="AD119" s="630"/>
      <c r="AE119" s="630"/>
      <c r="AF119" s="630"/>
      <c r="AG119" s="630"/>
      <c r="AH119" s="630"/>
      <c r="AI119" s="630"/>
      <c r="AJ119" s="630"/>
      <c r="AK119" s="630"/>
      <c r="AL119" s="630"/>
      <c r="AM119" s="630"/>
      <c r="AN119" s="630"/>
      <c r="AO119" s="630"/>
      <c r="AP119" s="630"/>
      <c r="AQ119" s="630"/>
      <c r="AR119" s="630"/>
      <c r="AS119" s="630"/>
      <c r="AT119" s="630"/>
      <c r="AU119" s="630"/>
      <c r="AV119" s="630"/>
      <c r="AW119" s="630"/>
      <c r="AX119" s="630"/>
    </row>
    <row r="120">
      <c r="A120" s="1448"/>
      <c r="B120" s="1440"/>
      <c r="C120" s="1449" t="s">
        <v>3113</v>
      </c>
      <c r="D120" s="1462" t="s">
        <v>193</v>
      </c>
      <c r="E120" s="1450"/>
      <c r="F120" s="1450"/>
      <c r="G120" s="1450">
        <f>SUMIF(AC_TKNO,$C120,AC_SOTIEN)</f>
        <v>8914000</v>
      </c>
      <c r="H120" s="1450">
        <f>SUMIF(AC_TKCO,$C120,AC_SOTIEN)</f>
        <v>67962000</v>
      </c>
      <c r="I120" s="1450" t="str">
        <f t="shared" si="1429"/>
        <v>-</v>
      </c>
      <c r="J120" s="1450">
        <f t="shared" si="1430"/>
        <v>59048000</v>
      </c>
      <c r="K120" s="1443"/>
      <c r="L120" s="1443"/>
      <c r="M120" s="1444"/>
      <c r="N120" s="1444"/>
      <c r="O120" s="1444"/>
      <c r="P120" s="1444"/>
      <c r="Q120" s="1445"/>
      <c r="R120" s="1445"/>
      <c r="S120" s="1445"/>
      <c r="T120" s="1445"/>
      <c r="U120" s="1445"/>
      <c r="V120" s="1445"/>
      <c r="W120" s="1445"/>
      <c r="X120" s="1445"/>
      <c r="Y120" s="630"/>
      <c r="Z120" s="630"/>
      <c r="AA120" s="630"/>
      <c r="AB120" s="630"/>
      <c r="AC120" s="630"/>
      <c r="AD120" s="630"/>
      <c r="AE120" s="630"/>
      <c r="AF120" s="630"/>
      <c r="AG120" s="630"/>
      <c r="AH120" s="630"/>
      <c r="AI120" s="630"/>
      <c r="AJ120" s="630"/>
      <c r="AK120" s="630"/>
      <c r="AL120" s="630"/>
      <c r="AM120" s="630"/>
      <c r="AN120" s="630"/>
      <c r="AO120" s="630"/>
      <c r="AP120" s="630"/>
      <c r="AQ120" s="630"/>
      <c r="AR120" s="630"/>
      <c r="AS120" s="630"/>
      <c r="AT120" s="630"/>
      <c r="AU120" s="630"/>
      <c r="AV120" s="630"/>
      <c r="AW120" s="630"/>
      <c r="AX120" s="630"/>
    </row>
    <row r="121">
      <c r="A121" s="1448"/>
      <c r="B121" s="1440"/>
      <c r="C121" s="1449" t="s">
        <v>3114</v>
      </c>
      <c r="D121" s="1462" t="s">
        <v>189</v>
      </c>
      <c r="E121" s="1450"/>
      <c r="F121" s="1450"/>
      <c r="G121" s="1450">
        <f>SUMIF(AC_TKNO,$C121,AC_SOTIEN)</f>
        <v>0</v>
      </c>
      <c r="H121" s="1450">
        <f>SUMIF(AC_TKCO,$C121,AC_SOTIEN)</f>
        <v>1055910500</v>
      </c>
      <c r="I121" s="1450" t="str">
        <f t="shared" si="1429"/>
        <v>-</v>
      </c>
      <c r="J121" s="1450">
        <f t="shared" si="1430"/>
        <v>1055910500</v>
      </c>
      <c r="K121" s="1443"/>
      <c r="L121" s="1443"/>
      <c r="M121" s="1444"/>
      <c r="N121" s="1444"/>
      <c r="O121" s="1444"/>
      <c r="P121" s="1444"/>
      <c r="Q121" s="1445"/>
      <c r="R121" s="1445"/>
      <c r="S121" s="1445"/>
      <c r="T121" s="1445"/>
      <c r="U121" s="1445"/>
      <c r="V121" s="1445"/>
      <c r="W121" s="1445"/>
      <c r="X121" s="1445"/>
      <c r="Y121" s="630"/>
      <c r="Z121" s="630"/>
      <c r="AA121" s="630"/>
      <c r="AB121" s="630"/>
      <c r="AC121" s="630"/>
      <c r="AD121" s="630"/>
      <c r="AE121" s="630"/>
      <c r="AF121" s="630"/>
      <c r="AG121" s="630"/>
      <c r="AH121" s="630"/>
      <c r="AI121" s="630"/>
      <c r="AJ121" s="630"/>
      <c r="AK121" s="630"/>
      <c r="AL121" s="630"/>
      <c r="AM121" s="630"/>
      <c r="AN121" s="630"/>
      <c r="AO121" s="630"/>
      <c r="AP121" s="630"/>
      <c r="AQ121" s="630"/>
      <c r="AR121" s="630"/>
      <c r="AS121" s="630"/>
      <c r="AT121" s="630"/>
      <c r="AU121" s="630"/>
      <c r="AV121" s="630"/>
      <c r="AW121" s="630"/>
      <c r="AX121" s="630"/>
    </row>
    <row r="122">
      <c r="A122" s="1448"/>
      <c r="B122" s="1440"/>
      <c r="C122" s="1449" t="s">
        <v>3115</v>
      </c>
      <c r="D122" s="1462" t="s">
        <v>582</v>
      </c>
      <c r="E122" s="1450"/>
      <c r="F122" s="1450"/>
      <c r="G122" s="1450">
        <f>SUMIF(AC_TKNO,$C122,AC_SOTIEN)</f>
        <v>0</v>
      </c>
      <c r="H122" s="1450">
        <f>SUMIF(AC_TKCO,$C122,AC_SOTIEN)</f>
        <v>113000000</v>
      </c>
      <c r="I122" s="1450" t="str">
        <f t="shared" si="1429"/>
        <v>-</v>
      </c>
      <c r="J122" s="1450">
        <f t="shared" si="1430"/>
        <v>113000000</v>
      </c>
      <c r="K122" s="1443"/>
      <c r="L122" s="1443"/>
      <c r="M122" s="1444"/>
      <c r="N122" s="1444"/>
      <c r="O122" s="1444"/>
      <c r="P122" s="1444"/>
      <c r="Q122" s="1445"/>
      <c r="R122" s="1445"/>
      <c r="S122" s="1445"/>
      <c r="T122" s="1445"/>
      <c r="U122" s="1445"/>
      <c r="V122" s="1445"/>
      <c r="W122" s="1445"/>
      <c r="X122" s="1445"/>
      <c r="Y122" s="630"/>
      <c r="Z122" s="630"/>
      <c r="AA122" s="630"/>
      <c r="AB122" s="630"/>
      <c r="AC122" s="630"/>
      <c r="AD122" s="630"/>
      <c r="AE122" s="630"/>
      <c r="AF122" s="630"/>
      <c r="AG122" s="630"/>
      <c r="AH122" s="630"/>
      <c r="AI122" s="630"/>
      <c r="AJ122" s="630"/>
      <c r="AK122" s="630"/>
      <c r="AL122" s="630"/>
      <c r="AM122" s="630"/>
      <c r="AN122" s="630"/>
      <c r="AO122" s="630"/>
      <c r="AP122" s="630"/>
      <c r="AQ122" s="630"/>
      <c r="AR122" s="630"/>
      <c r="AS122" s="630"/>
      <c r="AT122" s="630"/>
      <c r="AU122" s="630"/>
      <c r="AV122" s="630"/>
      <c r="AW122" s="630"/>
      <c r="AX122" s="630"/>
    </row>
    <row r="123">
      <c r="A123" s="1448"/>
      <c r="B123" s="1440"/>
      <c r="C123" s="1449" t="s">
        <v>3116</v>
      </c>
      <c r="D123" s="1433" t="s">
        <v>3117</v>
      </c>
      <c r="E123" s="1450"/>
      <c r="F123" s="1450"/>
      <c r="G123" s="1450">
        <f>SUMIF(AC_TKNO,$C123,AC_SOTIEN)</f>
        <v>0</v>
      </c>
      <c r="H123" s="1450">
        <f>SUMIF(AC_TKCO,$C123,AC_SOTIEN)</f>
        <v>139900000</v>
      </c>
      <c r="I123" s="1450" t="str">
        <f t="shared" si="1429"/>
        <v>-</v>
      </c>
      <c r="J123" s="1450">
        <f t="shared" si="1430"/>
        <v>139900000</v>
      </c>
      <c r="K123" s="1443"/>
      <c r="L123" s="1443"/>
      <c r="M123" s="1444" t="str">
        <f t="shared" ref="M123:N123" si="1431">S123</f>
        <v>#N/A</v>
      </c>
      <c r="N123" s="1444" t="str">
        <f t="shared" si="1431"/>
        <v>#N/A</v>
      </c>
      <c r="O123" s="1444" t="str">
        <f t="shared" ref="O123:P123" si="1432">W123</f>
        <v>#N/A</v>
      </c>
      <c r="P123" s="1444" t="str">
        <f t="shared" si="1432"/>
        <v>#N/A</v>
      </c>
      <c r="Q123" s="1445" t="str">
        <f t="shared" ref="Q123:R123" si="1433">AE123</f>
        <v>#N/A</v>
      </c>
      <c r="R123" s="1445" t="str">
        <f t="shared" si="1433"/>
        <v>#N/A</v>
      </c>
      <c r="S123" s="1445" t="str">
        <f t="shared" ref="S123:T123" si="1434">AK123</f>
        <v>#N/A</v>
      </c>
      <c r="T123" s="1445" t="str">
        <f t="shared" si="1434"/>
        <v>#N/A</v>
      </c>
      <c r="U123" s="1445" t="str">
        <f t="shared" ref="U123:V123" si="1435">AQ123</f>
        <v>#N/A</v>
      </c>
      <c r="V123" s="1445" t="str">
        <f t="shared" si="1435"/>
        <v>#N/A</v>
      </c>
      <c r="W123" s="1445" t="str">
        <f t="shared" ref="W123:X123" si="1436">AW123</f>
        <v>#N/A</v>
      </c>
      <c r="X123" s="1445" t="str">
        <f t="shared" si="1436"/>
        <v>#N/A</v>
      </c>
      <c r="Y123" s="630" t="str">
        <f t="shared" ref="Y123:Z123" si="1437">E123</f>
        <v/>
      </c>
      <c r="Z123" s="630" t="str">
        <f t="shared" si="1437"/>
        <v/>
      </c>
      <c r="AA123" s="630" t="str">
        <f t="shared" ref="AA123:AA125" si="1445">IF(Y123+SUMIFS(PS_SOTIEN,PS_TKNO,$B112,PS_MONTH,AA$3)-Z123-SUMIFS(PS_SOTIEN,PS_TKCO,$B112,PS_MONTH,AA$3)&gt;0,Y123+SUMIFS(PS_SOTIEN,PS_TKNO,$B112,PS_MONTH,AA$3)-Z123-SUMIFS(PS_SOTIEN,PS_TKCO,$B112,PS_MONTH,AA$3),0)</f>
        <v>#N/A</v>
      </c>
      <c r="AB123" s="630" t="str">
        <f t="shared" ref="AB123:AB125" si="1446">IF(Z123+SUMIFS(PS_SOTIEN,PS_TKCO,$B112,PS_MONTH,AA$3)-Y123-SUMIFS(PS_SOTIEN,PS_TKNO,$B112,PS_MONTH,AA$3)&gt;0,Z123+SUMIFS(PS_SOTIEN,PS_TKCO,$B112,PS_MONTH,AA$3)-Y123-SUMIFS(PS_SOTIEN,PS_TKNO,$B112,PS_MONTH,AA$3),0)</f>
        <v>#N/A</v>
      </c>
      <c r="AC123" s="630" t="str">
        <f t="shared" ref="AC123:AC125" si="1447">IF(AA123+SUMIFS(PS_SOTIEN,PS_TKNO,$B112,PS_MONTH,AC$3)-AB123-SUMIFS(PS_SOTIEN,PS_TKCO,$B112,PS_MONTH,AC$3)&gt;0,AA123+SUMIFS(PS_SOTIEN,PS_TKNO,$B112,PS_MONTH,AC$3)-AB123-SUMIFS(PS_SOTIEN,PS_TKCO,$B112,PS_MONTH,AC$3),0)</f>
        <v>#N/A</v>
      </c>
      <c r="AD123" s="630" t="str">
        <f t="shared" ref="AD123:AD125" si="1448">IF(AB123+SUMIFS(PS_SOTIEN,PS_TKCO,$B112,PS_MONTH,AC$3)-AA123-SUMIFS(PS_SOTIEN,PS_TKNO,$B112,PS_MONTH,AC$3)&gt;0,AB123+SUMIFS(PS_SOTIEN,PS_TKCO,$B112,PS_MONTH,AC$3)-AA123-SUMIFS(PS_SOTIEN,PS_TKNO,$B112,PS_MONTH,AC$3),0)</f>
        <v>#N/A</v>
      </c>
      <c r="AE123" s="630" t="str">
        <f t="shared" ref="AE123:AE125" si="1449">IF(AC123+SUMIFS(PS_SOTIEN,PS_TKNO,$B112,PS_MONTH,AE$3)-AD123-SUMIFS(PS_SOTIEN,PS_TKCO,$B112,PS_MONTH,AE$3)&gt;0,AC123+SUMIFS(PS_SOTIEN,PS_TKNO,$B112,PS_MONTH,AE$3)-AD123-SUMIFS(PS_SOTIEN,PS_TKCO,$B112,PS_MONTH,AE$3),0)</f>
        <v>#N/A</v>
      </c>
      <c r="AF123" s="630" t="str">
        <f t="shared" ref="AF123:AF125" si="1450">IF(AD123+SUMIFS(PS_SOTIEN,PS_TKCO,$B112,PS_MONTH,AE$3)-AC123-SUMIFS(PS_SOTIEN,PS_TKNO,$B112,PS_MONTH,AE$3)&gt;0,AD123+SUMIFS(PS_SOTIEN,PS_TKCO,$B112,PS_MONTH,AE$3)-AC123-SUMIFS(PS_SOTIEN,PS_TKNO,$B112,PS_MONTH,AE$3),0)</f>
        <v>#N/A</v>
      </c>
      <c r="AG123" s="630" t="str">
        <f t="shared" ref="AG123:AG125" si="1451">IF(AE123+SUMIFS(PS_SOTIEN,PS_TKNO,$B112,PS_MONTH,AG$3)-AF123-SUMIFS(PS_SOTIEN,PS_TKCO,$B112,PS_MONTH,AG$3)&gt;0,AE123+SUMIFS(PS_SOTIEN,PS_TKNO,$B112,PS_MONTH,AG$3)-AF123-SUMIFS(PS_SOTIEN,PS_TKCO,$B112,PS_MONTH,AG$3),0)</f>
        <v>#N/A</v>
      </c>
      <c r="AH123" s="630" t="str">
        <f t="shared" ref="AH123:AH125" si="1452">IF(AF123+SUMIFS(PS_SOTIEN,PS_TKCO,$B112,PS_MONTH,AG$3)-AE123-SUMIFS(PS_SOTIEN,PS_TKNO,$B112,PS_MONTH,AG$3)&gt;0,AF123+SUMIFS(PS_SOTIEN,PS_TKCO,$B112,PS_MONTH,AG$3)-AE123-SUMIFS(PS_SOTIEN,PS_TKNO,$B112,PS_MONTH,AG$3),0)</f>
        <v>#N/A</v>
      </c>
      <c r="AI123" s="630" t="str">
        <f t="shared" ref="AI123:AI125" si="1453">IF(AG123+SUMIFS(PS_SOTIEN,PS_TKNO,$B112,PS_MONTH,AI$3)-AH123-SUMIFS(PS_SOTIEN,PS_TKCO,$B112,PS_MONTH,AI$3)&gt;0,AG123+SUMIFS(PS_SOTIEN,PS_TKNO,$B112,PS_MONTH,AI$3)-AH123-SUMIFS(PS_SOTIEN,PS_TKCO,$B112,PS_MONTH,AI$3),0)</f>
        <v>#N/A</v>
      </c>
      <c r="AJ123" s="630" t="str">
        <f t="shared" ref="AJ123:AJ125" si="1454">IF(AH123+SUMIFS(PS_SOTIEN,PS_TKCO,$B112,PS_MONTH,AI$3)-AG123-SUMIFS(PS_SOTIEN,PS_TKNO,$B112,PS_MONTH,AI$3)&gt;0,AH123+SUMIFS(PS_SOTIEN,PS_TKCO,$B112,PS_MONTH,AI$3)-AG123-SUMIFS(PS_SOTIEN,PS_TKNO,$B112,PS_MONTH,AI$3),0)</f>
        <v>#N/A</v>
      </c>
      <c r="AK123" s="630" t="str">
        <f t="shared" ref="AK123:AK125" si="1455">IF(AI123+SUMIFS(PS_SOTIEN,PS_TKNO,$B112,PS_MONTH,AK$3)-AJ123-SUMIFS(PS_SOTIEN,PS_TKCO,$B112,PS_MONTH,AK$3)&gt;0,AI123+SUMIFS(PS_SOTIEN,PS_TKNO,$B112,PS_MONTH,AK$3)-AJ123-SUMIFS(PS_SOTIEN,PS_TKCO,$B112,PS_MONTH,AK$3),0)</f>
        <v>#N/A</v>
      </c>
      <c r="AL123" s="630" t="str">
        <f t="shared" ref="AL123:AL125" si="1456">IF(AJ123+SUMIFS(PS_SOTIEN,PS_TKCO,$B112,PS_MONTH,AK$3)-AI123-SUMIFS(PS_SOTIEN,PS_TKNO,$B112,PS_MONTH,AK$3)&gt;0,AJ123+SUMIFS(PS_SOTIEN,PS_TKCO,$B112,PS_MONTH,AK$3)-AI123-SUMIFS(PS_SOTIEN,PS_TKNO,$B112,PS_MONTH,AK$3),0)</f>
        <v>#N/A</v>
      </c>
      <c r="AM123" s="630" t="str">
        <f t="shared" ref="AM123:AM125" si="1457">IF(AK123+SUMIFS(PS_SOTIEN,PS_TKNO,$B112,PS_MONTH,AM$3)-AL123-SUMIFS(PS_SOTIEN,PS_TKCO,$B112,PS_MONTH,AM$3)&gt;0,AK123+SUMIFS(PS_SOTIEN,PS_TKNO,$B112,PS_MONTH,AM$3)-AL123-SUMIFS(PS_SOTIEN,PS_TKCO,$B112,PS_MONTH,AM$3),0)</f>
        <v>#N/A</v>
      </c>
      <c r="AN123" s="630" t="str">
        <f t="shared" ref="AN123:AN125" si="1458">IF(AL123+SUMIFS(PS_SOTIEN,PS_TKCO,$B112,PS_MONTH,AM$3)-AK123-SUMIFS(PS_SOTIEN,PS_TKNO,$B112,PS_MONTH,AM$3)&gt;0,AL123+SUMIFS(PS_SOTIEN,PS_TKCO,$B112,PS_MONTH,AM$3)-AK123-SUMIFS(PS_SOTIEN,PS_TKNO,$B112,PS_MONTH,AM$3),0)</f>
        <v>#N/A</v>
      </c>
      <c r="AO123" s="630" t="str">
        <f t="shared" ref="AO123:AO125" si="1459">IF(AM123+SUMIFS(PS_SOTIEN,PS_TKNO,$B112,PS_MONTH,AO$3)-AN123-SUMIFS(PS_SOTIEN,PS_TKCO,$B112,PS_MONTH,AO$3)&gt;0,AM123+SUMIFS(PS_SOTIEN,PS_TKNO,$B112,PS_MONTH,AO$3)-AN123-SUMIFS(PS_SOTIEN,PS_TKCO,$B112,PS_MONTH,AO$3),0)</f>
        <v>#N/A</v>
      </c>
      <c r="AP123" s="630" t="str">
        <f t="shared" ref="AP123:AP125" si="1460">IF(AN123+SUMIFS(PS_SOTIEN,PS_TKCO,$B112,PS_MONTH,AO$3)-AM123-SUMIFS(PS_SOTIEN,PS_TKNO,$B112,PS_MONTH,AO$3)&gt;0,AN123+SUMIFS(PS_SOTIEN,PS_TKCO,$B112,PS_MONTH,AO$3)-AM123-SUMIFS(PS_SOTIEN,PS_TKNO,$B112,PS_MONTH,AO$3),0)</f>
        <v>#N/A</v>
      </c>
      <c r="AQ123" s="630" t="str">
        <f t="shared" ref="AQ123:AQ125" si="1461">IF(AO123+SUMIFS(PS_SOTIEN,PS_TKNO,$B112,PS_MONTH,AQ$3)-AP123-SUMIFS(PS_SOTIEN,PS_TKCO,$B112,PS_MONTH,AQ$3)&gt;0,AO123+SUMIFS(PS_SOTIEN,PS_TKNO,$B112,PS_MONTH,AQ$3)-AP123-SUMIFS(PS_SOTIEN,PS_TKCO,$B112,PS_MONTH,AQ$3),0)</f>
        <v>#N/A</v>
      </c>
      <c r="AR123" s="630" t="str">
        <f t="shared" ref="AR123:AR125" si="1462">IF(AP123+SUMIFS(PS_SOTIEN,PS_TKCO,$B112,PS_MONTH,AQ$3)-AO123-SUMIFS(PS_SOTIEN,PS_TKNO,$B112,PS_MONTH,AQ$3)&gt;0,AP123+SUMIFS(PS_SOTIEN,PS_TKCO,$B112,PS_MONTH,AQ$3)-AO123-SUMIFS(PS_SOTIEN,PS_TKNO,$B112,PS_MONTH,AQ$3),0)</f>
        <v>#N/A</v>
      </c>
      <c r="AS123" s="630" t="str">
        <f t="shared" ref="AS123:AS125" si="1463">IF(AQ123+SUMIFS(PS_SOTIEN,PS_TKNO,$B112,PS_MONTH,AS$3)-AR123-SUMIFS(PS_SOTIEN,PS_TKCO,$B112,PS_MONTH,AS$3)&gt;0,AQ123+SUMIFS(PS_SOTIEN,PS_TKNO,$B112,PS_MONTH,AS$3)-AR123-SUMIFS(PS_SOTIEN,PS_TKCO,$B112,PS_MONTH,AS$3),0)</f>
        <v>#N/A</v>
      </c>
      <c r="AT123" s="630" t="str">
        <f t="shared" ref="AT123:AT125" si="1464">IF(AR123+SUMIFS(PS_SOTIEN,PS_TKCO,$B112,PS_MONTH,AS$3)-AQ123-SUMIFS(PS_SOTIEN,PS_TKNO,$B112,PS_MONTH,AS$3)&gt;0,AR123+SUMIFS(PS_SOTIEN,PS_TKCO,$B112,PS_MONTH,AS$3)-AQ123-SUMIFS(PS_SOTIEN,PS_TKNO,$B112,PS_MONTH,AS$3),0)</f>
        <v>#N/A</v>
      </c>
      <c r="AU123" s="630" t="str">
        <f t="shared" ref="AU123:AU125" si="1465">IF(AS123+SUMIFS(PS_SOTIEN,PS_TKNO,$B112,PS_MONTH,AU$3)-AT123-SUMIFS(PS_SOTIEN,PS_TKCO,$B112,PS_MONTH,AU$3)&gt;0,AS123+SUMIFS(PS_SOTIEN,PS_TKNO,$B112,PS_MONTH,AU$3)-AT123-SUMIFS(PS_SOTIEN,PS_TKCO,$B112,PS_MONTH,AU$3),0)</f>
        <v>#N/A</v>
      </c>
      <c r="AV123" s="630" t="str">
        <f t="shared" ref="AV123:AV125" si="1466">IF(AT123+SUMIFS(PS_SOTIEN,PS_TKCO,$B112,PS_MONTH,AU$3)-AS123-SUMIFS(PS_SOTIEN,PS_TKNO,$B112,PS_MONTH,AU$3)&gt;0,AT123+SUMIFS(PS_SOTIEN,PS_TKCO,$B112,PS_MONTH,AU$3)-AS123-SUMIFS(PS_SOTIEN,PS_TKNO,$B112,PS_MONTH,AU$3),0)</f>
        <v>#N/A</v>
      </c>
      <c r="AW123" s="630" t="str">
        <f t="shared" ref="AW123:AW125" si="1467">IF(AU123+SUMIFS(PS_SOTIEN,PS_TKNO,$B112,PS_MONTH,AW$3)-AV123-SUMIFS(PS_SOTIEN,PS_TKCO,$B112,PS_MONTH,AW$3)&gt;0,AU123+SUMIFS(PS_SOTIEN,PS_TKNO,$B112,PS_MONTH,AW$3)-AV123-SUMIFS(PS_SOTIEN,PS_TKCO,$B112,PS_MONTH,AW$3),0)</f>
        <v>#N/A</v>
      </c>
      <c r="AX123" s="630" t="str">
        <f t="shared" ref="AX123:AX125" si="1468">IF(AV123+SUMIFS(PS_SOTIEN,PS_TKCO,$B112,PS_MONTH,AW$3)-AU123-SUMIFS(PS_SOTIEN,PS_TKNO,$B112,PS_MONTH,AW$3)&gt;0,AV123+SUMIFS(PS_SOTIEN,PS_TKCO,$B112,PS_MONTH,AW$3)-AU123-SUMIFS(PS_SOTIEN,PS_TKNO,$B112,PS_MONTH,AW$3),0)</f>
        <v>#N/A</v>
      </c>
    </row>
    <row r="124" collapsed="1">
      <c r="A124" s="1452" t="s">
        <v>2986</v>
      </c>
      <c r="B124" s="1439" t="s">
        <v>3118</v>
      </c>
      <c r="C124" s="1439" t="s">
        <v>3118</v>
      </c>
      <c r="D124" s="1441" t="s">
        <v>1440</v>
      </c>
      <c r="E124" s="1455"/>
      <c r="F124" s="1455"/>
      <c r="G124" s="1455">
        <f>SUMIF(AC_TKNO,$C124,AC_SOTIEN)</f>
        <v>0</v>
      </c>
      <c r="H124" s="1455">
        <f>SUMIF(AC_TKCO,$C124,AC_SOTIEN)</f>
        <v>0</v>
      </c>
      <c r="I124" s="1455" t="str">
        <f t="shared" si="1429"/>
        <v>-</v>
      </c>
      <c r="J124" s="1455" t="str">
        <f t="shared" si="1430"/>
        <v>-</v>
      </c>
      <c r="K124" s="1443"/>
      <c r="L124" s="1443"/>
      <c r="M124" s="1444" t="str">
        <f t="shared" ref="M124:N124" si="1438">S124</f>
        <v>#N/A</v>
      </c>
      <c r="N124" s="1444" t="str">
        <f t="shared" si="1438"/>
        <v>#N/A</v>
      </c>
      <c r="O124" s="1444" t="str">
        <f t="shared" ref="O124:P124" si="1439">W124</f>
        <v>#N/A</v>
      </c>
      <c r="P124" s="1444" t="str">
        <f t="shared" si="1439"/>
        <v>#N/A</v>
      </c>
      <c r="Q124" s="1445" t="str">
        <f t="shared" ref="Q124:R124" si="1440">AE124</f>
        <v>#N/A</v>
      </c>
      <c r="R124" s="1445" t="str">
        <f t="shared" si="1440"/>
        <v>#N/A</v>
      </c>
      <c r="S124" s="1445" t="str">
        <f t="shared" ref="S124:T124" si="1441">AK124</f>
        <v>#N/A</v>
      </c>
      <c r="T124" s="1445" t="str">
        <f t="shared" si="1441"/>
        <v>#N/A</v>
      </c>
      <c r="U124" s="1445" t="str">
        <f t="shared" ref="U124:V124" si="1442">AQ124</f>
        <v>#N/A</v>
      </c>
      <c r="V124" s="1445" t="str">
        <f t="shared" si="1442"/>
        <v>#N/A</v>
      </c>
      <c r="W124" s="1445" t="str">
        <f t="shared" ref="W124:X124" si="1443">AW124</f>
        <v>#N/A</v>
      </c>
      <c r="X124" s="1445" t="str">
        <f t="shared" si="1443"/>
        <v>#N/A</v>
      </c>
      <c r="Y124" s="630" t="str">
        <f t="shared" ref="Y124:Z124" si="1444">E124</f>
        <v/>
      </c>
      <c r="Z124" s="630" t="str">
        <f t="shared" si="1444"/>
        <v/>
      </c>
      <c r="AA124" s="630" t="str">
        <f t="shared" si="1445"/>
        <v>#N/A</v>
      </c>
      <c r="AB124" s="630" t="str">
        <f t="shared" si="1446"/>
        <v>#N/A</v>
      </c>
      <c r="AC124" s="630" t="str">
        <f t="shared" si="1447"/>
        <v>#N/A</v>
      </c>
      <c r="AD124" s="630" t="str">
        <f t="shared" si="1448"/>
        <v>#N/A</v>
      </c>
      <c r="AE124" s="630" t="str">
        <f t="shared" si="1449"/>
        <v>#N/A</v>
      </c>
      <c r="AF124" s="630" t="str">
        <f t="shared" si="1450"/>
        <v>#N/A</v>
      </c>
      <c r="AG124" s="630" t="str">
        <f t="shared" si="1451"/>
        <v>#N/A</v>
      </c>
      <c r="AH124" s="630" t="str">
        <f t="shared" si="1452"/>
        <v>#N/A</v>
      </c>
      <c r="AI124" s="630" t="str">
        <f t="shared" si="1453"/>
        <v>#N/A</v>
      </c>
      <c r="AJ124" s="630" t="str">
        <f t="shared" si="1454"/>
        <v>#N/A</v>
      </c>
      <c r="AK124" s="630" t="str">
        <f t="shared" si="1455"/>
        <v>#N/A</v>
      </c>
      <c r="AL124" s="630" t="str">
        <f t="shared" si="1456"/>
        <v>#N/A</v>
      </c>
      <c r="AM124" s="630" t="str">
        <f t="shared" si="1457"/>
        <v>#N/A</v>
      </c>
      <c r="AN124" s="630" t="str">
        <f t="shared" si="1458"/>
        <v>#N/A</v>
      </c>
      <c r="AO124" s="630" t="str">
        <f t="shared" si="1459"/>
        <v>#N/A</v>
      </c>
      <c r="AP124" s="630" t="str">
        <f t="shared" si="1460"/>
        <v>#N/A</v>
      </c>
      <c r="AQ124" s="630" t="str">
        <f t="shared" si="1461"/>
        <v>#N/A</v>
      </c>
      <c r="AR124" s="630" t="str">
        <f t="shared" si="1462"/>
        <v>#N/A</v>
      </c>
      <c r="AS124" s="630" t="str">
        <f t="shared" si="1463"/>
        <v>#N/A</v>
      </c>
      <c r="AT124" s="630" t="str">
        <f t="shared" si="1464"/>
        <v>#N/A</v>
      </c>
      <c r="AU124" s="630" t="str">
        <f t="shared" si="1465"/>
        <v>#N/A</v>
      </c>
      <c r="AV124" s="630" t="str">
        <f t="shared" si="1466"/>
        <v>#N/A</v>
      </c>
      <c r="AW124" s="630" t="str">
        <f t="shared" si="1467"/>
        <v>#N/A</v>
      </c>
      <c r="AX124" s="630" t="str">
        <f t="shared" si="1468"/>
        <v>#N/A</v>
      </c>
    </row>
    <row r="125" hidden="1" outlineLevel="1">
      <c r="A125" s="1452" t="s">
        <v>2986</v>
      </c>
      <c r="B125" s="1439" t="s">
        <v>3119</v>
      </c>
      <c r="C125" s="1440"/>
      <c r="D125" s="1441" t="s">
        <v>1441</v>
      </c>
      <c r="E125" s="1442">
        <f t="shared" ref="E125:J125" si="1469">SUM(E126:E129)</f>
        <v>0</v>
      </c>
      <c r="F125" s="1442">
        <f t="shared" si="1469"/>
        <v>0</v>
      </c>
      <c r="G125" s="1442">
        <f t="shared" si="1469"/>
        <v>0</v>
      </c>
      <c r="H125" s="1442">
        <f t="shared" si="1469"/>
        <v>0</v>
      </c>
      <c r="I125" s="1442">
        <f t="shared" si="1469"/>
        <v>0</v>
      </c>
      <c r="J125" s="1442">
        <f t="shared" si="1469"/>
        <v>0</v>
      </c>
      <c r="K125" s="1443"/>
      <c r="L125" s="1443"/>
      <c r="M125" s="1444" t="str">
        <f t="shared" ref="M125:N125" si="1470">S125</f>
        <v>#N/A</v>
      </c>
      <c r="N125" s="1444" t="str">
        <f t="shared" si="1470"/>
        <v>#N/A</v>
      </c>
      <c r="O125" s="1444" t="str">
        <f t="shared" ref="O125:P125" si="1471">W125</f>
        <v>#N/A</v>
      </c>
      <c r="P125" s="1444" t="str">
        <f t="shared" si="1471"/>
        <v>#N/A</v>
      </c>
      <c r="Q125" s="1445" t="str">
        <f t="shared" ref="Q125:R125" si="1472">AE125</f>
        <v>#N/A</v>
      </c>
      <c r="R125" s="1445" t="str">
        <f t="shared" si="1472"/>
        <v>#N/A</v>
      </c>
      <c r="S125" s="1445" t="str">
        <f t="shared" ref="S125:T125" si="1473">AK125</f>
        <v>#N/A</v>
      </c>
      <c r="T125" s="1445" t="str">
        <f t="shared" si="1473"/>
        <v>#N/A</v>
      </c>
      <c r="U125" s="1445" t="str">
        <f t="shared" ref="U125:V125" si="1474">AQ125</f>
        <v>#N/A</v>
      </c>
      <c r="V125" s="1445" t="str">
        <f t="shared" si="1474"/>
        <v>#N/A</v>
      </c>
      <c r="W125" s="1445" t="str">
        <f t="shared" ref="W125:X125" si="1475">AW125</f>
        <v>#N/A</v>
      </c>
      <c r="X125" s="1445" t="str">
        <f t="shared" si="1475"/>
        <v>#N/A</v>
      </c>
      <c r="Y125" s="630">
        <f t="shared" ref="Y125:Z125" si="1476">E125</f>
        <v>0</v>
      </c>
      <c r="Z125" s="630">
        <f t="shared" si="1476"/>
        <v>0</v>
      </c>
      <c r="AA125" s="630" t="str">
        <f t="shared" si="1445"/>
        <v>#N/A</v>
      </c>
      <c r="AB125" s="630" t="str">
        <f t="shared" si="1446"/>
        <v>#N/A</v>
      </c>
      <c r="AC125" s="630" t="str">
        <f t="shared" si="1447"/>
        <v>#N/A</v>
      </c>
      <c r="AD125" s="630" t="str">
        <f t="shared" si="1448"/>
        <v>#N/A</v>
      </c>
      <c r="AE125" s="630" t="str">
        <f t="shared" si="1449"/>
        <v>#N/A</v>
      </c>
      <c r="AF125" s="630" t="str">
        <f t="shared" si="1450"/>
        <v>#N/A</v>
      </c>
      <c r="AG125" s="630" t="str">
        <f t="shared" si="1451"/>
        <v>#N/A</v>
      </c>
      <c r="AH125" s="630" t="str">
        <f t="shared" si="1452"/>
        <v>#N/A</v>
      </c>
      <c r="AI125" s="630" t="str">
        <f t="shared" si="1453"/>
        <v>#N/A</v>
      </c>
      <c r="AJ125" s="630" t="str">
        <f t="shared" si="1454"/>
        <v>#N/A</v>
      </c>
      <c r="AK125" s="630" t="str">
        <f t="shared" si="1455"/>
        <v>#N/A</v>
      </c>
      <c r="AL125" s="630" t="str">
        <f t="shared" si="1456"/>
        <v>#N/A</v>
      </c>
      <c r="AM125" s="630" t="str">
        <f t="shared" si="1457"/>
        <v>#N/A</v>
      </c>
      <c r="AN125" s="630" t="str">
        <f t="shared" si="1458"/>
        <v>#N/A</v>
      </c>
      <c r="AO125" s="630" t="str">
        <f t="shared" si="1459"/>
        <v>#N/A</v>
      </c>
      <c r="AP125" s="630" t="str">
        <f t="shared" si="1460"/>
        <v>#N/A</v>
      </c>
      <c r="AQ125" s="630" t="str">
        <f t="shared" si="1461"/>
        <v>#N/A</v>
      </c>
      <c r="AR125" s="630" t="str">
        <f t="shared" si="1462"/>
        <v>#N/A</v>
      </c>
      <c r="AS125" s="630" t="str">
        <f t="shared" si="1463"/>
        <v>#N/A</v>
      </c>
      <c r="AT125" s="630" t="str">
        <f t="shared" si="1464"/>
        <v>#N/A</v>
      </c>
      <c r="AU125" s="630" t="str">
        <f t="shared" si="1465"/>
        <v>#N/A</v>
      </c>
      <c r="AV125" s="630" t="str">
        <f t="shared" si="1466"/>
        <v>#N/A</v>
      </c>
      <c r="AW125" s="630" t="str">
        <f t="shared" si="1467"/>
        <v>#N/A</v>
      </c>
      <c r="AX125" s="630" t="str">
        <f t="shared" si="1468"/>
        <v>#N/A</v>
      </c>
    </row>
    <row r="126" hidden="1" outlineLevel="1">
      <c r="A126" s="1448"/>
      <c r="B126" s="1440"/>
      <c r="C126" s="1449" t="s">
        <v>1442</v>
      </c>
      <c r="D126" s="1433" t="s">
        <v>1443</v>
      </c>
      <c r="E126" s="1450"/>
      <c r="F126" s="1450"/>
      <c r="G126" s="1450">
        <f>SUMIF(AC_TKNO,$C126,AC_SOTIEN)</f>
        <v>0</v>
      </c>
      <c r="H126" s="1450">
        <f>SUMIF(AC_TKCO,$C126,AC_SOTIEN)</f>
        <v>0</v>
      </c>
      <c r="I126" s="1450" t="str">
        <f t="shared" ref="I126:I130" si="1484">IF(E126+G126-F126-H126&gt;0,E126+G126-F126-H126,"-")</f>
        <v>-</v>
      </c>
      <c r="J126" s="1450" t="str">
        <f t="shared" ref="J126:J130" si="1485">IF(F126+H126-E126-G126&gt;0,F126+H126-E126-G126,"-")</f>
        <v>-</v>
      </c>
      <c r="K126" s="1443"/>
      <c r="L126" s="1443"/>
      <c r="M126" s="1444" t="str">
        <f t="shared" ref="M126:N126" si="1477">S126</f>
        <v>#N/A</v>
      </c>
      <c r="N126" s="1444" t="str">
        <f t="shared" si="1477"/>
        <v>#N/A</v>
      </c>
      <c r="O126" s="1444" t="str">
        <f t="shared" ref="O126:P126" si="1478">W126</f>
        <v>#N/A</v>
      </c>
      <c r="P126" s="1444" t="str">
        <f t="shared" si="1478"/>
        <v>#N/A</v>
      </c>
      <c r="Q126" s="1445" t="str">
        <f t="shared" ref="Q126:R126" si="1479">AE126</f>
        <v>#N/A</v>
      </c>
      <c r="R126" s="1445" t="str">
        <f t="shared" si="1479"/>
        <v>#N/A</v>
      </c>
      <c r="S126" s="1445" t="str">
        <f t="shared" ref="S126:T126" si="1480">AK126</f>
        <v>#N/A</v>
      </c>
      <c r="T126" s="1445" t="str">
        <f t="shared" si="1480"/>
        <v>#N/A</v>
      </c>
      <c r="U126" s="1445" t="str">
        <f t="shared" ref="U126:V126" si="1481">AQ126</f>
        <v>#N/A</v>
      </c>
      <c r="V126" s="1445" t="str">
        <f t="shared" si="1481"/>
        <v>#N/A</v>
      </c>
      <c r="W126" s="1445" t="str">
        <f t="shared" ref="W126:X126" si="1482">AW126</f>
        <v>#N/A</v>
      </c>
      <c r="X126" s="1445" t="str">
        <f t="shared" si="1482"/>
        <v>#N/A</v>
      </c>
      <c r="Y126" s="1447">
        <f t="shared" ref="Y126:AX126" si="1483">SUM(Y127:Y128)</f>
        <v>0</v>
      </c>
      <c r="Z126" s="1447">
        <f t="shared" si="1483"/>
        <v>0</v>
      </c>
      <c r="AA126" s="1447" t="str">
        <f t="shared" si="1483"/>
        <v>#N/A</v>
      </c>
      <c r="AB126" s="1447" t="str">
        <f t="shared" si="1483"/>
        <v>#N/A</v>
      </c>
      <c r="AC126" s="1447" t="str">
        <f t="shared" si="1483"/>
        <v>#N/A</v>
      </c>
      <c r="AD126" s="1447" t="str">
        <f t="shared" si="1483"/>
        <v>#N/A</v>
      </c>
      <c r="AE126" s="1447" t="str">
        <f t="shared" si="1483"/>
        <v>#N/A</v>
      </c>
      <c r="AF126" s="1447" t="str">
        <f t="shared" si="1483"/>
        <v>#N/A</v>
      </c>
      <c r="AG126" s="1447" t="str">
        <f t="shared" si="1483"/>
        <v>#N/A</v>
      </c>
      <c r="AH126" s="1447" t="str">
        <f t="shared" si="1483"/>
        <v>#N/A</v>
      </c>
      <c r="AI126" s="1447" t="str">
        <f t="shared" si="1483"/>
        <v>#N/A</v>
      </c>
      <c r="AJ126" s="1447" t="str">
        <f t="shared" si="1483"/>
        <v>#N/A</v>
      </c>
      <c r="AK126" s="1447" t="str">
        <f t="shared" si="1483"/>
        <v>#N/A</v>
      </c>
      <c r="AL126" s="1447" t="str">
        <f t="shared" si="1483"/>
        <v>#N/A</v>
      </c>
      <c r="AM126" s="1447" t="str">
        <f t="shared" si="1483"/>
        <v>#N/A</v>
      </c>
      <c r="AN126" s="1447" t="str">
        <f t="shared" si="1483"/>
        <v>#N/A</v>
      </c>
      <c r="AO126" s="1447" t="str">
        <f t="shared" si="1483"/>
        <v>#N/A</v>
      </c>
      <c r="AP126" s="1447" t="str">
        <f t="shared" si="1483"/>
        <v>#N/A</v>
      </c>
      <c r="AQ126" s="1447" t="str">
        <f t="shared" si="1483"/>
        <v>#N/A</v>
      </c>
      <c r="AR126" s="1447" t="str">
        <f t="shared" si="1483"/>
        <v>#N/A</v>
      </c>
      <c r="AS126" s="1447" t="str">
        <f t="shared" si="1483"/>
        <v>#N/A</v>
      </c>
      <c r="AT126" s="1447" t="str">
        <f t="shared" si="1483"/>
        <v>#N/A</v>
      </c>
      <c r="AU126" s="1447" t="str">
        <f t="shared" si="1483"/>
        <v>#N/A</v>
      </c>
      <c r="AV126" s="1447" t="str">
        <f t="shared" si="1483"/>
        <v>#N/A</v>
      </c>
      <c r="AW126" s="1447" t="str">
        <f t="shared" si="1483"/>
        <v>#N/A</v>
      </c>
      <c r="AX126" s="1447" t="str">
        <f t="shared" si="1483"/>
        <v>#N/A</v>
      </c>
    </row>
    <row r="127" hidden="1" outlineLevel="1">
      <c r="A127" s="1448"/>
      <c r="B127" s="1440"/>
      <c r="C127" s="1449" t="s">
        <v>3120</v>
      </c>
      <c r="D127" s="1433" t="s">
        <v>1708</v>
      </c>
      <c r="E127" s="1450"/>
      <c r="F127" s="1450"/>
      <c r="G127" s="1450">
        <f>SUMIF(AC_TKNO,$C127,AC_SOTIEN)</f>
        <v>0</v>
      </c>
      <c r="H127" s="1450">
        <f>SUMIF(AC_TKCO,$C127,AC_SOTIEN)</f>
        <v>0</v>
      </c>
      <c r="I127" s="1450" t="str">
        <f t="shared" si="1484"/>
        <v>-</v>
      </c>
      <c r="J127" s="1450" t="str">
        <f t="shared" si="1485"/>
        <v>-</v>
      </c>
      <c r="K127" s="1443"/>
      <c r="L127" s="1443"/>
      <c r="M127" s="1444" t="str">
        <f t="shared" ref="M127:N127" si="1486">S127</f>
        <v>#N/A</v>
      </c>
      <c r="N127" s="1444" t="str">
        <f t="shared" si="1486"/>
        <v>#N/A</v>
      </c>
      <c r="O127" s="1444" t="str">
        <f t="shared" ref="O127:P127" si="1487">W127</f>
        <v>#N/A</v>
      </c>
      <c r="P127" s="1444" t="str">
        <f t="shared" si="1487"/>
        <v>#N/A</v>
      </c>
      <c r="Q127" s="1445" t="str">
        <f t="shared" ref="Q127:R127" si="1488">AE127</f>
        <v>#N/A</v>
      </c>
      <c r="R127" s="1445" t="str">
        <f t="shared" si="1488"/>
        <v>#N/A</v>
      </c>
      <c r="S127" s="1445" t="str">
        <f t="shared" ref="S127:T127" si="1489">AK127</f>
        <v>#N/A</v>
      </c>
      <c r="T127" s="1445" t="str">
        <f t="shared" si="1489"/>
        <v>#N/A</v>
      </c>
      <c r="U127" s="1445" t="str">
        <f t="shared" ref="U127:V127" si="1490">AQ127</f>
        <v>#N/A</v>
      </c>
      <c r="V127" s="1445" t="str">
        <f t="shared" si="1490"/>
        <v>#N/A</v>
      </c>
      <c r="W127" s="1445" t="str">
        <f t="shared" ref="W127:X127" si="1491">AW127</f>
        <v>#N/A</v>
      </c>
      <c r="X127" s="1445" t="str">
        <f t="shared" si="1491"/>
        <v>#N/A</v>
      </c>
      <c r="Y127" s="630" t="str">
        <f t="shared" ref="Y127:Z127" si="1492">E127</f>
        <v/>
      </c>
      <c r="Z127" s="630" t="str">
        <f t="shared" si="1492"/>
        <v/>
      </c>
      <c r="AA127" s="630" t="str">
        <f t="shared" ref="AA127:AA128" si="1500">IF(Y127+SUMIFS(PS_SOTIEN,PS_TKNO,$B116,PS_MONTH,AA$3)-Z127-SUMIFS(PS_SOTIEN,PS_TKCO,$B116,PS_MONTH,AA$3)&gt;0,Y127+SUMIFS(PS_SOTIEN,PS_TKNO,$B116,PS_MONTH,AA$3)-Z127-SUMIFS(PS_SOTIEN,PS_TKCO,$B116,PS_MONTH,AA$3),0)</f>
        <v>#N/A</v>
      </c>
      <c r="AB127" s="630" t="str">
        <f t="shared" ref="AB127:AB128" si="1501">IF(Z127+SUMIFS(PS_SOTIEN,PS_TKCO,$B116,PS_MONTH,AA$3)-Y127-SUMIFS(PS_SOTIEN,PS_TKNO,$B116,PS_MONTH,AA$3)&gt;0,Z127+SUMIFS(PS_SOTIEN,PS_TKCO,$B116,PS_MONTH,AA$3)-Y127-SUMIFS(PS_SOTIEN,PS_TKNO,$B116,PS_MONTH,AA$3),0)</f>
        <v>#N/A</v>
      </c>
      <c r="AC127" s="630" t="str">
        <f t="shared" ref="AC127:AC128" si="1502">IF(AA127+SUMIFS(PS_SOTIEN,PS_TKNO,$B116,PS_MONTH,AC$3)-AB127-SUMIFS(PS_SOTIEN,PS_TKCO,$B116,PS_MONTH,AC$3)&gt;0,AA127+SUMIFS(PS_SOTIEN,PS_TKNO,$B116,PS_MONTH,AC$3)-AB127-SUMIFS(PS_SOTIEN,PS_TKCO,$B116,PS_MONTH,AC$3),0)</f>
        <v>#N/A</v>
      </c>
      <c r="AD127" s="630" t="str">
        <f t="shared" ref="AD127:AD128" si="1503">IF(AB127+SUMIFS(PS_SOTIEN,PS_TKCO,$B116,PS_MONTH,AC$3)-AA127-SUMIFS(PS_SOTIEN,PS_TKNO,$B116,PS_MONTH,AC$3)&gt;0,AB127+SUMIFS(PS_SOTIEN,PS_TKCO,$B116,PS_MONTH,AC$3)-AA127-SUMIFS(PS_SOTIEN,PS_TKNO,$B116,PS_MONTH,AC$3),0)</f>
        <v>#N/A</v>
      </c>
      <c r="AE127" s="630" t="str">
        <f t="shared" ref="AE127:AE128" si="1504">IF(AC127+SUMIFS(PS_SOTIEN,PS_TKNO,$B116,PS_MONTH,AE$3)-AD127-SUMIFS(PS_SOTIEN,PS_TKCO,$B116,PS_MONTH,AE$3)&gt;0,AC127+SUMIFS(PS_SOTIEN,PS_TKNO,$B116,PS_MONTH,AE$3)-AD127-SUMIFS(PS_SOTIEN,PS_TKCO,$B116,PS_MONTH,AE$3),0)</f>
        <v>#N/A</v>
      </c>
      <c r="AF127" s="630" t="str">
        <f t="shared" ref="AF127:AF128" si="1505">IF(AD127+SUMIFS(PS_SOTIEN,PS_TKCO,$B116,PS_MONTH,AE$3)-AC127-SUMIFS(PS_SOTIEN,PS_TKNO,$B116,PS_MONTH,AE$3)&gt;0,AD127+SUMIFS(PS_SOTIEN,PS_TKCO,$B116,PS_MONTH,AE$3)-AC127-SUMIFS(PS_SOTIEN,PS_TKNO,$B116,PS_MONTH,AE$3),0)</f>
        <v>#N/A</v>
      </c>
      <c r="AG127" s="630" t="str">
        <f t="shared" ref="AG127:AG128" si="1506">IF(AE127+SUMIFS(PS_SOTIEN,PS_TKNO,$B116,PS_MONTH,AG$3)-AF127-SUMIFS(PS_SOTIEN,PS_TKCO,$B116,PS_MONTH,AG$3)&gt;0,AE127+SUMIFS(PS_SOTIEN,PS_TKNO,$B116,PS_MONTH,AG$3)-AF127-SUMIFS(PS_SOTIEN,PS_TKCO,$B116,PS_MONTH,AG$3),0)</f>
        <v>#N/A</v>
      </c>
      <c r="AH127" s="630" t="str">
        <f t="shared" ref="AH127:AH128" si="1507">IF(AF127+SUMIFS(PS_SOTIEN,PS_TKCO,$B116,PS_MONTH,AG$3)-AE127-SUMIFS(PS_SOTIEN,PS_TKNO,$B116,PS_MONTH,AG$3)&gt;0,AF127+SUMIFS(PS_SOTIEN,PS_TKCO,$B116,PS_MONTH,AG$3)-AE127-SUMIFS(PS_SOTIEN,PS_TKNO,$B116,PS_MONTH,AG$3),0)</f>
        <v>#N/A</v>
      </c>
      <c r="AI127" s="630" t="str">
        <f t="shared" ref="AI127:AI128" si="1508">IF(AG127+SUMIFS(PS_SOTIEN,PS_TKNO,$B116,PS_MONTH,AI$3)-AH127-SUMIFS(PS_SOTIEN,PS_TKCO,$B116,PS_MONTH,AI$3)&gt;0,AG127+SUMIFS(PS_SOTIEN,PS_TKNO,$B116,PS_MONTH,AI$3)-AH127-SUMIFS(PS_SOTIEN,PS_TKCO,$B116,PS_MONTH,AI$3),0)</f>
        <v>#N/A</v>
      </c>
      <c r="AJ127" s="630" t="str">
        <f t="shared" ref="AJ127:AJ128" si="1509">IF(AH127+SUMIFS(PS_SOTIEN,PS_TKCO,$B116,PS_MONTH,AI$3)-AG127-SUMIFS(PS_SOTIEN,PS_TKNO,$B116,PS_MONTH,AI$3)&gt;0,AH127+SUMIFS(PS_SOTIEN,PS_TKCO,$B116,PS_MONTH,AI$3)-AG127-SUMIFS(PS_SOTIEN,PS_TKNO,$B116,PS_MONTH,AI$3),0)</f>
        <v>#N/A</v>
      </c>
      <c r="AK127" s="630" t="str">
        <f t="shared" ref="AK127:AK128" si="1510">IF(AI127+SUMIFS(PS_SOTIEN,PS_TKNO,$B116,PS_MONTH,AK$3)-AJ127-SUMIFS(PS_SOTIEN,PS_TKCO,$B116,PS_MONTH,AK$3)&gt;0,AI127+SUMIFS(PS_SOTIEN,PS_TKNO,$B116,PS_MONTH,AK$3)-AJ127-SUMIFS(PS_SOTIEN,PS_TKCO,$B116,PS_MONTH,AK$3),0)</f>
        <v>#N/A</v>
      </c>
      <c r="AL127" s="630" t="str">
        <f t="shared" ref="AL127:AL128" si="1511">IF(AJ127+SUMIFS(PS_SOTIEN,PS_TKCO,$B116,PS_MONTH,AK$3)-AI127-SUMIFS(PS_SOTIEN,PS_TKNO,$B116,PS_MONTH,AK$3)&gt;0,AJ127+SUMIFS(PS_SOTIEN,PS_TKCO,$B116,PS_MONTH,AK$3)-AI127-SUMIFS(PS_SOTIEN,PS_TKNO,$B116,PS_MONTH,AK$3),0)</f>
        <v>#N/A</v>
      </c>
      <c r="AM127" s="630" t="str">
        <f t="shared" ref="AM127:AM128" si="1512">IF(AK127+SUMIFS(PS_SOTIEN,PS_TKNO,$B116,PS_MONTH,AM$3)-AL127-SUMIFS(PS_SOTIEN,PS_TKCO,$B116,PS_MONTH,AM$3)&gt;0,AK127+SUMIFS(PS_SOTIEN,PS_TKNO,$B116,PS_MONTH,AM$3)-AL127-SUMIFS(PS_SOTIEN,PS_TKCO,$B116,PS_MONTH,AM$3),0)</f>
        <v>#N/A</v>
      </c>
      <c r="AN127" s="630" t="str">
        <f t="shared" ref="AN127:AN128" si="1513">IF(AL127+SUMIFS(PS_SOTIEN,PS_TKCO,$B116,PS_MONTH,AM$3)-AK127-SUMIFS(PS_SOTIEN,PS_TKNO,$B116,PS_MONTH,AM$3)&gt;0,AL127+SUMIFS(PS_SOTIEN,PS_TKCO,$B116,PS_MONTH,AM$3)-AK127-SUMIFS(PS_SOTIEN,PS_TKNO,$B116,PS_MONTH,AM$3),0)</f>
        <v>#N/A</v>
      </c>
      <c r="AO127" s="630" t="str">
        <f t="shared" ref="AO127:AO128" si="1514">IF(AM127+SUMIFS(PS_SOTIEN,PS_TKNO,$B116,PS_MONTH,AO$3)-AN127-SUMIFS(PS_SOTIEN,PS_TKCO,$B116,PS_MONTH,AO$3)&gt;0,AM127+SUMIFS(PS_SOTIEN,PS_TKNO,$B116,PS_MONTH,AO$3)-AN127-SUMIFS(PS_SOTIEN,PS_TKCO,$B116,PS_MONTH,AO$3),0)</f>
        <v>#N/A</v>
      </c>
      <c r="AP127" s="630" t="str">
        <f t="shared" ref="AP127:AP128" si="1515">IF(AN127+SUMIFS(PS_SOTIEN,PS_TKCO,$B116,PS_MONTH,AO$3)-AM127-SUMIFS(PS_SOTIEN,PS_TKNO,$B116,PS_MONTH,AO$3)&gt;0,AN127+SUMIFS(PS_SOTIEN,PS_TKCO,$B116,PS_MONTH,AO$3)-AM127-SUMIFS(PS_SOTIEN,PS_TKNO,$B116,PS_MONTH,AO$3),0)</f>
        <v>#N/A</v>
      </c>
      <c r="AQ127" s="630" t="str">
        <f t="shared" ref="AQ127:AQ128" si="1516">IF(AO127+SUMIFS(PS_SOTIEN,PS_TKNO,$B116,PS_MONTH,AQ$3)-AP127-SUMIFS(PS_SOTIEN,PS_TKCO,$B116,PS_MONTH,AQ$3)&gt;0,AO127+SUMIFS(PS_SOTIEN,PS_TKNO,$B116,PS_MONTH,AQ$3)-AP127-SUMIFS(PS_SOTIEN,PS_TKCO,$B116,PS_MONTH,AQ$3),0)</f>
        <v>#N/A</v>
      </c>
      <c r="AR127" s="630" t="str">
        <f t="shared" ref="AR127:AR128" si="1517">IF(AP127+SUMIFS(PS_SOTIEN,PS_TKCO,$B116,PS_MONTH,AQ$3)-AO127-SUMIFS(PS_SOTIEN,PS_TKNO,$B116,PS_MONTH,AQ$3)&gt;0,AP127+SUMIFS(PS_SOTIEN,PS_TKCO,$B116,PS_MONTH,AQ$3)-AO127-SUMIFS(PS_SOTIEN,PS_TKNO,$B116,PS_MONTH,AQ$3),0)</f>
        <v>#N/A</v>
      </c>
      <c r="AS127" s="630" t="str">
        <f t="shared" ref="AS127:AS128" si="1518">IF(AQ127+SUMIFS(PS_SOTIEN,PS_TKNO,$B116,PS_MONTH,AS$3)-AR127-SUMIFS(PS_SOTIEN,PS_TKCO,$B116,PS_MONTH,AS$3)&gt;0,AQ127+SUMIFS(PS_SOTIEN,PS_TKNO,$B116,PS_MONTH,AS$3)-AR127-SUMIFS(PS_SOTIEN,PS_TKCO,$B116,PS_MONTH,AS$3),0)</f>
        <v>#N/A</v>
      </c>
      <c r="AT127" s="630" t="str">
        <f t="shared" ref="AT127:AT128" si="1519">IF(AR127+SUMIFS(PS_SOTIEN,PS_TKCO,$B116,PS_MONTH,AS$3)-AQ127-SUMIFS(PS_SOTIEN,PS_TKNO,$B116,PS_MONTH,AS$3)&gt;0,AR127+SUMIFS(PS_SOTIEN,PS_TKCO,$B116,PS_MONTH,AS$3)-AQ127-SUMIFS(PS_SOTIEN,PS_TKNO,$B116,PS_MONTH,AS$3),0)</f>
        <v>#N/A</v>
      </c>
      <c r="AU127" s="630" t="str">
        <f t="shared" ref="AU127:AU128" si="1520">IF(AS127+SUMIFS(PS_SOTIEN,PS_TKNO,$B116,PS_MONTH,AU$3)-AT127-SUMIFS(PS_SOTIEN,PS_TKCO,$B116,PS_MONTH,AU$3)&gt;0,AS127+SUMIFS(PS_SOTIEN,PS_TKNO,$B116,PS_MONTH,AU$3)-AT127-SUMIFS(PS_SOTIEN,PS_TKCO,$B116,PS_MONTH,AU$3),0)</f>
        <v>#N/A</v>
      </c>
      <c r="AV127" s="630" t="str">
        <f t="shared" ref="AV127:AV128" si="1521">IF(AT127+SUMIFS(PS_SOTIEN,PS_TKCO,$B116,PS_MONTH,AU$3)-AS127-SUMIFS(PS_SOTIEN,PS_TKNO,$B116,PS_MONTH,AU$3)&gt;0,AT127+SUMIFS(PS_SOTIEN,PS_TKCO,$B116,PS_MONTH,AU$3)-AS127-SUMIFS(PS_SOTIEN,PS_TKNO,$B116,PS_MONTH,AU$3),0)</f>
        <v>#N/A</v>
      </c>
      <c r="AW127" s="630" t="str">
        <f t="shared" ref="AW127:AW128" si="1522">IF(AU127+SUMIFS(PS_SOTIEN,PS_TKNO,$B116,PS_MONTH,AW$3)-AV127-SUMIFS(PS_SOTIEN,PS_TKCO,$B116,PS_MONTH,AW$3)&gt;0,AU127+SUMIFS(PS_SOTIEN,PS_TKNO,$B116,PS_MONTH,AW$3)-AV127-SUMIFS(PS_SOTIEN,PS_TKCO,$B116,PS_MONTH,AW$3),0)</f>
        <v>#N/A</v>
      </c>
      <c r="AX127" s="630" t="str">
        <f t="shared" ref="AX127:AX128" si="1523">IF(AV127+SUMIFS(PS_SOTIEN,PS_TKCO,$B116,PS_MONTH,AW$3)-AU127-SUMIFS(PS_SOTIEN,PS_TKNO,$B116,PS_MONTH,AW$3)&gt;0,AV127+SUMIFS(PS_SOTIEN,PS_TKCO,$B116,PS_MONTH,AW$3)-AU127-SUMIFS(PS_SOTIEN,PS_TKNO,$B116,PS_MONTH,AW$3),0)</f>
        <v>#N/A</v>
      </c>
    </row>
    <row r="128" hidden="1" outlineLevel="1">
      <c r="A128" s="1448"/>
      <c r="B128" s="1440"/>
      <c r="C128" s="1449" t="s">
        <v>3121</v>
      </c>
      <c r="D128" s="1433" t="s">
        <v>1709</v>
      </c>
      <c r="E128" s="1450"/>
      <c r="F128" s="1450"/>
      <c r="G128" s="1450">
        <f>SUMIF(AC_TKNO,$C128,AC_SOTIEN)</f>
        <v>0</v>
      </c>
      <c r="H128" s="1450">
        <f>SUMIF(AC_TKCO,$C128,AC_SOTIEN)</f>
        <v>0</v>
      </c>
      <c r="I128" s="1450" t="str">
        <f t="shared" si="1484"/>
        <v>-</v>
      </c>
      <c r="J128" s="1450" t="str">
        <f t="shared" si="1485"/>
        <v>-</v>
      </c>
      <c r="K128" s="1443"/>
      <c r="L128" s="1443"/>
      <c r="M128" s="1444" t="str">
        <f t="shared" ref="M128:N128" si="1493">S128</f>
        <v>#N/A</v>
      </c>
      <c r="N128" s="1444" t="str">
        <f t="shared" si="1493"/>
        <v>#N/A</v>
      </c>
      <c r="O128" s="1444" t="str">
        <f t="shared" ref="O128:P128" si="1494">W128</f>
        <v>#N/A</v>
      </c>
      <c r="P128" s="1444" t="str">
        <f t="shared" si="1494"/>
        <v>#N/A</v>
      </c>
      <c r="Q128" s="1445" t="str">
        <f t="shared" ref="Q128:R128" si="1495">AE128</f>
        <v>#N/A</v>
      </c>
      <c r="R128" s="1445" t="str">
        <f t="shared" si="1495"/>
        <v>#N/A</v>
      </c>
      <c r="S128" s="1445" t="str">
        <f t="shared" ref="S128:T128" si="1496">AK128</f>
        <v>#N/A</v>
      </c>
      <c r="T128" s="1445" t="str">
        <f t="shared" si="1496"/>
        <v>#N/A</v>
      </c>
      <c r="U128" s="1445" t="str">
        <f t="shared" ref="U128:V128" si="1497">AQ128</f>
        <v>#N/A</v>
      </c>
      <c r="V128" s="1445" t="str">
        <f t="shared" si="1497"/>
        <v>#N/A</v>
      </c>
      <c r="W128" s="1445" t="str">
        <f t="shared" ref="W128:X128" si="1498">AW128</f>
        <v>#N/A</v>
      </c>
      <c r="X128" s="1445" t="str">
        <f t="shared" si="1498"/>
        <v>#N/A</v>
      </c>
      <c r="Y128" s="630" t="str">
        <f t="shared" ref="Y128:Z128" si="1499">E128</f>
        <v/>
      </c>
      <c r="Z128" s="630" t="str">
        <f t="shared" si="1499"/>
        <v/>
      </c>
      <c r="AA128" s="630" t="str">
        <f t="shared" si="1500"/>
        <v>#N/A</v>
      </c>
      <c r="AB128" s="630" t="str">
        <f t="shared" si="1501"/>
        <v>#N/A</v>
      </c>
      <c r="AC128" s="630" t="str">
        <f t="shared" si="1502"/>
        <v>#N/A</v>
      </c>
      <c r="AD128" s="630" t="str">
        <f t="shared" si="1503"/>
        <v>#N/A</v>
      </c>
      <c r="AE128" s="630" t="str">
        <f t="shared" si="1504"/>
        <v>#N/A</v>
      </c>
      <c r="AF128" s="630" t="str">
        <f t="shared" si="1505"/>
        <v>#N/A</v>
      </c>
      <c r="AG128" s="630" t="str">
        <f t="shared" si="1506"/>
        <v>#N/A</v>
      </c>
      <c r="AH128" s="630" t="str">
        <f t="shared" si="1507"/>
        <v>#N/A</v>
      </c>
      <c r="AI128" s="630" t="str">
        <f t="shared" si="1508"/>
        <v>#N/A</v>
      </c>
      <c r="AJ128" s="630" t="str">
        <f t="shared" si="1509"/>
        <v>#N/A</v>
      </c>
      <c r="AK128" s="630" t="str">
        <f t="shared" si="1510"/>
        <v>#N/A</v>
      </c>
      <c r="AL128" s="630" t="str">
        <f t="shared" si="1511"/>
        <v>#N/A</v>
      </c>
      <c r="AM128" s="630" t="str">
        <f t="shared" si="1512"/>
        <v>#N/A</v>
      </c>
      <c r="AN128" s="630" t="str">
        <f t="shared" si="1513"/>
        <v>#N/A</v>
      </c>
      <c r="AO128" s="630" t="str">
        <f t="shared" si="1514"/>
        <v>#N/A</v>
      </c>
      <c r="AP128" s="630" t="str">
        <f t="shared" si="1515"/>
        <v>#N/A</v>
      </c>
      <c r="AQ128" s="630" t="str">
        <f t="shared" si="1516"/>
        <v>#N/A</v>
      </c>
      <c r="AR128" s="630" t="str">
        <f t="shared" si="1517"/>
        <v>#N/A</v>
      </c>
      <c r="AS128" s="630" t="str">
        <f t="shared" si="1518"/>
        <v>#N/A</v>
      </c>
      <c r="AT128" s="630" t="str">
        <f t="shared" si="1519"/>
        <v>#N/A</v>
      </c>
      <c r="AU128" s="630" t="str">
        <f t="shared" si="1520"/>
        <v>#N/A</v>
      </c>
      <c r="AV128" s="630" t="str">
        <f t="shared" si="1521"/>
        <v>#N/A</v>
      </c>
      <c r="AW128" s="630" t="str">
        <f t="shared" si="1522"/>
        <v>#N/A</v>
      </c>
      <c r="AX128" s="630" t="str">
        <f t="shared" si="1523"/>
        <v>#N/A</v>
      </c>
    </row>
    <row r="129" hidden="1" outlineLevel="1">
      <c r="A129" s="1448"/>
      <c r="B129" s="1440"/>
      <c r="C129" s="1449" t="s">
        <v>1444</v>
      </c>
      <c r="D129" s="1433" t="s">
        <v>1445</v>
      </c>
      <c r="E129" s="1450"/>
      <c r="F129" s="1450"/>
      <c r="G129" s="1450">
        <f>SUMIF(AC_TKNO,$C129,AC_SOTIEN)</f>
        <v>0</v>
      </c>
      <c r="H129" s="1450">
        <f>SUMIF(AC_TKCO,$C129,AC_SOTIEN)</f>
        <v>0</v>
      </c>
      <c r="I129" s="1450" t="str">
        <f t="shared" si="1484"/>
        <v>-</v>
      </c>
      <c r="J129" s="1450" t="str">
        <f t="shared" si="1485"/>
        <v>-</v>
      </c>
      <c r="K129" s="1443"/>
      <c r="L129" s="1443"/>
      <c r="M129" s="1444" t="str">
        <f t="shared" ref="M129:N129" si="1524">S129</f>
        <v>#N/A</v>
      </c>
      <c r="N129" s="1444" t="str">
        <f t="shared" si="1524"/>
        <v>#N/A</v>
      </c>
      <c r="O129" s="1444" t="str">
        <f t="shared" ref="O129:P129" si="1525">W129</f>
        <v>#N/A</v>
      </c>
      <c r="P129" s="1444" t="str">
        <f t="shared" si="1525"/>
        <v>#N/A</v>
      </c>
      <c r="Q129" s="1445" t="str">
        <f t="shared" ref="Q129:R129" si="1526">AE129</f>
        <v>#N/A</v>
      </c>
      <c r="R129" s="1445" t="str">
        <f t="shared" si="1526"/>
        <v>#N/A</v>
      </c>
      <c r="S129" s="1445" t="str">
        <f t="shared" ref="S129:T129" si="1527">AK129</f>
        <v>#N/A</v>
      </c>
      <c r="T129" s="1445" t="str">
        <f t="shared" si="1527"/>
        <v>#N/A</v>
      </c>
      <c r="U129" s="1445" t="str">
        <f t="shared" ref="U129:V129" si="1528">AQ129</f>
        <v>#N/A</v>
      </c>
      <c r="V129" s="1445" t="str">
        <f t="shared" si="1528"/>
        <v>#N/A</v>
      </c>
      <c r="W129" s="1445" t="str">
        <f t="shared" ref="W129:X129" si="1529">AW129</f>
        <v>#N/A</v>
      </c>
      <c r="X129" s="1445" t="str">
        <f t="shared" si="1529"/>
        <v>#N/A</v>
      </c>
      <c r="Y129" s="1447">
        <f t="shared" ref="Y129:AX129" si="1530">SUM(Y130:Y133)</f>
        <v>0</v>
      </c>
      <c r="Z129" s="1447">
        <f t="shared" si="1530"/>
        <v>0</v>
      </c>
      <c r="AA129" s="1447" t="str">
        <f t="shared" si="1530"/>
        <v>#N/A</v>
      </c>
      <c r="AB129" s="1447" t="str">
        <f t="shared" si="1530"/>
        <v>#N/A</v>
      </c>
      <c r="AC129" s="1447" t="str">
        <f t="shared" si="1530"/>
        <v>#N/A</v>
      </c>
      <c r="AD129" s="1447" t="str">
        <f t="shared" si="1530"/>
        <v>#N/A</v>
      </c>
      <c r="AE129" s="1447" t="str">
        <f t="shared" si="1530"/>
        <v>#N/A</v>
      </c>
      <c r="AF129" s="1447" t="str">
        <f t="shared" si="1530"/>
        <v>#N/A</v>
      </c>
      <c r="AG129" s="1447" t="str">
        <f t="shared" si="1530"/>
        <v>#N/A</v>
      </c>
      <c r="AH129" s="1447" t="str">
        <f t="shared" si="1530"/>
        <v>#N/A</v>
      </c>
      <c r="AI129" s="1447" t="str">
        <f t="shared" si="1530"/>
        <v>#N/A</v>
      </c>
      <c r="AJ129" s="1447" t="str">
        <f t="shared" si="1530"/>
        <v>#N/A</v>
      </c>
      <c r="AK129" s="1447" t="str">
        <f t="shared" si="1530"/>
        <v>#N/A</v>
      </c>
      <c r="AL129" s="1447" t="str">
        <f t="shared" si="1530"/>
        <v>#N/A</v>
      </c>
      <c r="AM129" s="1447" t="str">
        <f t="shared" si="1530"/>
        <v>#N/A</v>
      </c>
      <c r="AN129" s="1447" t="str">
        <f t="shared" si="1530"/>
        <v>#N/A</v>
      </c>
      <c r="AO129" s="1447" t="str">
        <f t="shared" si="1530"/>
        <v>#N/A</v>
      </c>
      <c r="AP129" s="1447" t="str">
        <f t="shared" si="1530"/>
        <v>#N/A</v>
      </c>
      <c r="AQ129" s="1447" t="str">
        <f t="shared" si="1530"/>
        <v>#N/A</v>
      </c>
      <c r="AR129" s="1447" t="str">
        <f t="shared" si="1530"/>
        <v>#N/A</v>
      </c>
      <c r="AS129" s="1447" t="str">
        <f t="shared" si="1530"/>
        <v>#N/A</v>
      </c>
      <c r="AT129" s="1447" t="str">
        <f t="shared" si="1530"/>
        <v>#N/A</v>
      </c>
      <c r="AU129" s="1447" t="str">
        <f t="shared" si="1530"/>
        <v>#N/A</v>
      </c>
      <c r="AV129" s="1447" t="str">
        <f t="shared" si="1530"/>
        <v>#N/A</v>
      </c>
      <c r="AW129" s="1447" t="str">
        <f t="shared" si="1530"/>
        <v>#N/A</v>
      </c>
      <c r="AX129" s="1447" t="str">
        <f t="shared" si="1530"/>
        <v>#N/A</v>
      </c>
    </row>
    <row r="130" hidden="1" outlineLevel="1">
      <c r="A130" s="1452" t="s">
        <v>2986</v>
      </c>
      <c r="B130" s="1439" t="s">
        <v>3122</v>
      </c>
      <c r="C130" s="1439" t="s">
        <v>3122</v>
      </c>
      <c r="D130" s="1441" t="s">
        <v>3123</v>
      </c>
      <c r="E130" s="1455"/>
      <c r="F130" s="1455"/>
      <c r="G130" s="1455">
        <f>SUMIF(AC_TKNO,$C130,AC_SOTIEN)</f>
        <v>0</v>
      </c>
      <c r="H130" s="1455">
        <f>SUMIF(AC_TKCO,$C130,AC_SOTIEN)</f>
        <v>0</v>
      </c>
      <c r="I130" s="1455" t="str">
        <f t="shared" si="1484"/>
        <v>-</v>
      </c>
      <c r="J130" s="1455" t="str">
        <f t="shared" si="1485"/>
        <v>-</v>
      </c>
      <c r="K130" s="1443"/>
      <c r="L130" s="1443"/>
      <c r="M130" s="1444" t="str">
        <f t="shared" ref="M130:N130" si="1531">S130</f>
        <v>#N/A</v>
      </c>
      <c r="N130" s="1444" t="str">
        <f t="shared" si="1531"/>
        <v>#N/A</v>
      </c>
      <c r="O130" s="1444" t="str">
        <f t="shared" ref="O130:P130" si="1532">W130</f>
        <v>#N/A</v>
      </c>
      <c r="P130" s="1444" t="str">
        <f t="shared" si="1532"/>
        <v>#N/A</v>
      </c>
      <c r="Q130" s="1445" t="str">
        <f t="shared" ref="Q130:R130" si="1533">AE130</f>
        <v>#N/A</v>
      </c>
      <c r="R130" s="1445" t="str">
        <f t="shared" si="1533"/>
        <v>#N/A</v>
      </c>
      <c r="S130" s="1445" t="str">
        <f t="shared" ref="S130:T130" si="1534">AK130</f>
        <v>#N/A</v>
      </c>
      <c r="T130" s="1445" t="str">
        <f t="shared" si="1534"/>
        <v>#N/A</v>
      </c>
      <c r="U130" s="1445" t="str">
        <f t="shared" ref="U130:V130" si="1535">AQ130</f>
        <v>#N/A</v>
      </c>
      <c r="V130" s="1445" t="str">
        <f t="shared" si="1535"/>
        <v>#N/A</v>
      </c>
      <c r="W130" s="1445" t="str">
        <f t="shared" ref="W130:X130" si="1536">AW130</f>
        <v>#N/A</v>
      </c>
      <c r="X130" s="1445" t="str">
        <f t="shared" si="1536"/>
        <v>#N/A</v>
      </c>
      <c r="Y130" s="630" t="str">
        <f t="shared" ref="Y130:Z130" si="1537">E130</f>
        <v/>
      </c>
      <c r="Z130" s="630" t="str">
        <f t="shared" si="1537"/>
        <v/>
      </c>
      <c r="AA130" s="630" t="str">
        <f t="shared" ref="AA130:AA151" si="1546">IF(Y130+SUMIFS(PS_SOTIEN,PS_TKNO,$B124,PS_MONTH,AA$3)-Z130-SUMIFS(PS_SOTIEN,PS_TKCO,$B124,PS_MONTH,AA$3)&gt;0,Y130+SUMIFS(PS_SOTIEN,PS_TKNO,$B124,PS_MONTH,AA$3)-Z130-SUMIFS(PS_SOTIEN,PS_TKCO,$B124,PS_MONTH,AA$3),0)</f>
        <v>#N/A</v>
      </c>
      <c r="AB130" s="630" t="str">
        <f t="shared" ref="AB130:AB151" si="1547">IF(Z130+SUMIFS(PS_SOTIEN,PS_TKCO,$B124,PS_MONTH,AA$3)-Y130-SUMIFS(PS_SOTIEN,PS_TKNO,$B124,PS_MONTH,AA$3)&gt;0,Z130+SUMIFS(PS_SOTIEN,PS_TKCO,$B124,PS_MONTH,AA$3)-Y130-SUMIFS(PS_SOTIEN,PS_TKNO,$B124,PS_MONTH,AA$3),0)</f>
        <v>#N/A</v>
      </c>
      <c r="AC130" s="630" t="str">
        <f t="shared" ref="AC130:AC151" si="1548">IF(AA130+SUMIFS(PS_SOTIEN,PS_TKNO,$B124,PS_MONTH,AC$3)-AB130-SUMIFS(PS_SOTIEN,PS_TKCO,$B124,PS_MONTH,AC$3)&gt;0,AA130+SUMIFS(PS_SOTIEN,PS_TKNO,$B124,PS_MONTH,AC$3)-AB130-SUMIFS(PS_SOTIEN,PS_TKCO,$B124,PS_MONTH,AC$3),0)</f>
        <v>#N/A</v>
      </c>
      <c r="AD130" s="630" t="str">
        <f t="shared" ref="AD130:AD151" si="1549">IF(AB130+SUMIFS(PS_SOTIEN,PS_TKCO,$B124,PS_MONTH,AC$3)-AA130-SUMIFS(PS_SOTIEN,PS_TKNO,$B124,PS_MONTH,AC$3)&gt;0,AB130+SUMIFS(PS_SOTIEN,PS_TKCO,$B124,PS_MONTH,AC$3)-AA130-SUMIFS(PS_SOTIEN,PS_TKNO,$B124,PS_MONTH,AC$3),0)</f>
        <v>#N/A</v>
      </c>
      <c r="AE130" s="630" t="str">
        <f t="shared" ref="AE130:AE151" si="1550">IF(AC130+SUMIFS(PS_SOTIEN,PS_TKNO,$B124,PS_MONTH,AE$3)-AD130-SUMIFS(PS_SOTIEN,PS_TKCO,$B124,PS_MONTH,AE$3)&gt;0,AC130+SUMIFS(PS_SOTIEN,PS_TKNO,$B124,PS_MONTH,AE$3)-AD130-SUMIFS(PS_SOTIEN,PS_TKCO,$B124,PS_MONTH,AE$3),0)</f>
        <v>#N/A</v>
      </c>
      <c r="AF130" s="630" t="str">
        <f t="shared" ref="AF130:AF151" si="1551">IF(AD130+SUMIFS(PS_SOTIEN,PS_TKCO,$B124,PS_MONTH,AE$3)-AC130-SUMIFS(PS_SOTIEN,PS_TKNO,$B124,PS_MONTH,AE$3)&gt;0,AD130+SUMIFS(PS_SOTIEN,PS_TKCO,$B124,PS_MONTH,AE$3)-AC130-SUMIFS(PS_SOTIEN,PS_TKNO,$B124,PS_MONTH,AE$3),0)</f>
        <v>#N/A</v>
      </c>
      <c r="AG130" s="630" t="str">
        <f t="shared" ref="AG130:AG151" si="1552">IF(AE130+SUMIFS(PS_SOTIEN,PS_TKNO,$B124,PS_MONTH,AG$3)-AF130-SUMIFS(PS_SOTIEN,PS_TKCO,$B124,PS_MONTH,AG$3)&gt;0,AE130+SUMIFS(PS_SOTIEN,PS_TKNO,$B124,PS_MONTH,AG$3)-AF130-SUMIFS(PS_SOTIEN,PS_TKCO,$B124,PS_MONTH,AG$3),0)</f>
        <v>#N/A</v>
      </c>
      <c r="AH130" s="630" t="str">
        <f t="shared" ref="AH130:AH151" si="1553">IF(AF130+SUMIFS(PS_SOTIEN,PS_TKCO,$B124,PS_MONTH,AG$3)-AE130-SUMIFS(PS_SOTIEN,PS_TKNO,$B124,PS_MONTH,AG$3)&gt;0,AF130+SUMIFS(PS_SOTIEN,PS_TKCO,$B124,PS_MONTH,AG$3)-AE130-SUMIFS(PS_SOTIEN,PS_TKNO,$B124,PS_MONTH,AG$3),0)</f>
        <v>#N/A</v>
      </c>
      <c r="AI130" s="630" t="str">
        <f t="shared" ref="AI130:AI151" si="1554">IF(AG130+SUMIFS(PS_SOTIEN,PS_TKNO,$B124,PS_MONTH,AI$3)-AH130-SUMIFS(PS_SOTIEN,PS_TKCO,$B124,PS_MONTH,AI$3)&gt;0,AG130+SUMIFS(PS_SOTIEN,PS_TKNO,$B124,PS_MONTH,AI$3)-AH130-SUMIFS(PS_SOTIEN,PS_TKCO,$B124,PS_MONTH,AI$3),0)</f>
        <v>#N/A</v>
      </c>
      <c r="AJ130" s="630" t="str">
        <f t="shared" ref="AJ130:AJ151" si="1555">IF(AH130+SUMIFS(PS_SOTIEN,PS_TKCO,$B124,PS_MONTH,AI$3)-AG130-SUMIFS(PS_SOTIEN,PS_TKNO,$B124,PS_MONTH,AI$3)&gt;0,AH130+SUMIFS(PS_SOTIEN,PS_TKCO,$B124,PS_MONTH,AI$3)-AG130-SUMIFS(PS_SOTIEN,PS_TKNO,$B124,PS_MONTH,AI$3),0)</f>
        <v>#N/A</v>
      </c>
      <c r="AK130" s="630" t="str">
        <f t="shared" ref="AK130:AK151" si="1556">IF(AI130+SUMIFS(PS_SOTIEN,PS_TKNO,$B124,PS_MONTH,AK$3)-AJ130-SUMIFS(PS_SOTIEN,PS_TKCO,$B124,PS_MONTH,AK$3)&gt;0,AI130+SUMIFS(PS_SOTIEN,PS_TKNO,$B124,PS_MONTH,AK$3)-AJ130-SUMIFS(PS_SOTIEN,PS_TKCO,$B124,PS_MONTH,AK$3),0)</f>
        <v>#N/A</v>
      </c>
      <c r="AL130" s="630" t="str">
        <f t="shared" ref="AL130:AL151" si="1557">IF(AJ130+SUMIFS(PS_SOTIEN,PS_TKCO,$B124,PS_MONTH,AK$3)-AI130-SUMIFS(PS_SOTIEN,PS_TKNO,$B124,PS_MONTH,AK$3)&gt;0,AJ130+SUMIFS(PS_SOTIEN,PS_TKCO,$B124,PS_MONTH,AK$3)-AI130-SUMIFS(PS_SOTIEN,PS_TKNO,$B124,PS_MONTH,AK$3),0)</f>
        <v>#N/A</v>
      </c>
      <c r="AM130" s="630" t="str">
        <f t="shared" ref="AM130:AM151" si="1558">IF(AK130+SUMIFS(PS_SOTIEN,PS_TKNO,$B124,PS_MONTH,AM$3)-AL130-SUMIFS(PS_SOTIEN,PS_TKCO,$B124,PS_MONTH,AM$3)&gt;0,AK130+SUMIFS(PS_SOTIEN,PS_TKNO,$B124,PS_MONTH,AM$3)-AL130-SUMIFS(PS_SOTIEN,PS_TKCO,$B124,PS_MONTH,AM$3),0)</f>
        <v>#N/A</v>
      </c>
      <c r="AN130" s="630" t="str">
        <f t="shared" ref="AN130:AN151" si="1559">IF(AL130+SUMIFS(PS_SOTIEN,PS_TKCO,$B124,PS_MONTH,AM$3)-AK130-SUMIFS(PS_SOTIEN,PS_TKNO,$B124,PS_MONTH,AM$3)&gt;0,AL130+SUMIFS(PS_SOTIEN,PS_TKCO,$B124,PS_MONTH,AM$3)-AK130-SUMIFS(PS_SOTIEN,PS_TKNO,$B124,PS_MONTH,AM$3),0)</f>
        <v>#N/A</v>
      </c>
      <c r="AO130" s="630" t="str">
        <f t="shared" ref="AO130:AO151" si="1560">IF(AM130+SUMIFS(PS_SOTIEN,PS_TKNO,$B124,PS_MONTH,AO$3)-AN130-SUMIFS(PS_SOTIEN,PS_TKCO,$B124,PS_MONTH,AO$3)&gt;0,AM130+SUMIFS(PS_SOTIEN,PS_TKNO,$B124,PS_MONTH,AO$3)-AN130-SUMIFS(PS_SOTIEN,PS_TKCO,$B124,PS_MONTH,AO$3),0)</f>
        <v>#N/A</v>
      </c>
      <c r="AP130" s="630" t="str">
        <f t="shared" ref="AP130:AP151" si="1561">IF(AN130+SUMIFS(PS_SOTIEN,PS_TKCO,$B124,PS_MONTH,AO$3)-AM130-SUMIFS(PS_SOTIEN,PS_TKNO,$B124,PS_MONTH,AO$3)&gt;0,AN130+SUMIFS(PS_SOTIEN,PS_TKCO,$B124,PS_MONTH,AO$3)-AM130-SUMIFS(PS_SOTIEN,PS_TKNO,$B124,PS_MONTH,AO$3),0)</f>
        <v>#N/A</v>
      </c>
      <c r="AQ130" s="630" t="str">
        <f t="shared" ref="AQ130:AQ151" si="1562">IF(AO130+SUMIFS(PS_SOTIEN,PS_TKNO,$B124,PS_MONTH,AQ$3)-AP130-SUMIFS(PS_SOTIEN,PS_TKCO,$B124,PS_MONTH,AQ$3)&gt;0,AO130+SUMIFS(PS_SOTIEN,PS_TKNO,$B124,PS_MONTH,AQ$3)-AP130-SUMIFS(PS_SOTIEN,PS_TKCO,$B124,PS_MONTH,AQ$3),0)</f>
        <v>#N/A</v>
      </c>
      <c r="AR130" s="630" t="str">
        <f t="shared" ref="AR130:AR151" si="1563">IF(AP130+SUMIFS(PS_SOTIEN,PS_TKCO,$B124,PS_MONTH,AQ$3)-AO130-SUMIFS(PS_SOTIEN,PS_TKNO,$B124,PS_MONTH,AQ$3)&gt;0,AP130+SUMIFS(PS_SOTIEN,PS_TKCO,$B124,PS_MONTH,AQ$3)-AO130-SUMIFS(PS_SOTIEN,PS_TKNO,$B124,PS_MONTH,AQ$3),0)</f>
        <v>#N/A</v>
      </c>
      <c r="AS130" s="630" t="str">
        <f t="shared" ref="AS130:AS151" si="1564">IF(AQ130+SUMIFS(PS_SOTIEN,PS_TKNO,$B124,PS_MONTH,AS$3)-AR130-SUMIFS(PS_SOTIEN,PS_TKCO,$B124,PS_MONTH,AS$3)&gt;0,AQ130+SUMIFS(PS_SOTIEN,PS_TKNO,$B124,PS_MONTH,AS$3)-AR130-SUMIFS(PS_SOTIEN,PS_TKCO,$B124,PS_MONTH,AS$3),0)</f>
        <v>#N/A</v>
      </c>
      <c r="AT130" s="630" t="str">
        <f t="shared" ref="AT130:AT151" si="1565">IF(AR130+SUMIFS(PS_SOTIEN,PS_TKCO,$B124,PS_MONTH,AS$3)-AQ130-SUMIFS(PS_SOTIEN,PS_TKNO,$B124,PS_MONTH,AS$3)&gt;0,AR130+SUMIFS(PS_SOTIEN,PS_TKCO,$B124,PS_MONTH,AS$3)-AQ130-SUMIFS(PS_SOTIEN,PS_TKNO,$B124,PS_MONTH,AS$3),0)</f>
        <v>#N/A</v>
      </c>
      <c r="AU130" s="630" t="str">
        <f t="shared" ref="AU130:AU151" si="1566">IF(AS130+SUMIFS(PS_SOTIEN,PS_TKNO,$B124,PS_MONTH,AU$3)-AT130-SUMIFS(PS_SOTIEN,PS_TKCO,$B124,PS_MONTH,AU$3)&gt;0,AS130+SUMIFS(PS_SOTIEN,PS_TKNO,$B124,PS_MONTH,AU$3)-AT130-SUMIFS(PS_SOTIEN,PS_TKCO,$B124,PS_MONTH,AU$3),0)</f>
        <v>#N/A</v>
      </c>
      <c r="AV130" s="630" t="str">
        <f t="shared" ref="AV130:AV151" si="1567">IF(AT130+SUMIFS(PS_SOTIEN,PS_TKCO,$B124,PS_MONTH,AU$3)-AS130-SUMIFS(PS_SOTIEN,PS_TKNO,$B124,PS_MONTH,AU$3)&gt;0,AT130+SUMIFS(PS_SOTIEN,PS_TKCO,$B124,PS_MONTH,AU$3)-AS130-SUMIFS(PS_SOTIEN,PS_TKNO,$B124,PS_MONTH,AU$3),0)</f>
        <v>#N/A</v>
      </c>
      <c r="AW130" s="630" t="str">
        <f t="shared" ref="AW130:AW151" si="1568">IF(AU130+SUMIFS(PS_SOTIEN,PS_TKNO,$B124,PS_MONTH,AW$3)-AV130-SUMIFS(PS_SOTIEN,PS_TKCO,$B124,PS_MONTH,AW$3)&gt;0,AU130+SUMIFS(PS_SOTIEN,PS_TKNO,$B124,PS_MONTH,AW$3)-AV130-SUMIFS(PS_SOTIEN,PS_TKCO,$B124,PS_MONTH,AW$3),0)</f>
        <v>#N/A</v>
      </c>
      <c r="AX130" s="630" t="str">
        <f t="shared" ref="AX130:AX151" si="1569">IF(AV130+SUMIFS(PS_SOTIEN,PS_TKCO,$B124,PS_MONTH,AW$3)-AU130-SUMIFS(PS_SOTIEN,PS_TKNO,$B124,PS_MONTH,AW$3)&gt;0,AV130+SUMIFS(PS_SOTIEN,PS_TKCO,$B124,PS_MONTH,AW$3)-AU130-SUMIFS(PS_SOTIEN,PS_TKNO,$B124,PS_MONTH,AW$3),0)</f>
        <v>#N/A</v>
      </c>
    </row>
    <row r="131">
      <c r="A131" s="1452" t="s">
        <v>2986</v>
      </c>
      <c r="B131" s="1439" t="s">
        <v>3124</v>
      </c>
      <c r="C131" s="1440"/>
      <c r="D131" s="1441" t="s">
        <v>1446</v>
      </c>
      <c r="E131" s="1442">
        <f t="shared" ref="E131:J131" si="1538">SUM(E132:E139)</f>
        <v>0</v>
      </c>
      <c r="F131" s="1442">
        <f t="shared" si="1538"/>
        <v>0</v>
      </c>
      <c r="G131" s="1442">
        <f t="shared" si="1538"/>
        <v>15047998</v>
      </c>
      <c r="H131" s="1442">
        <f t="shared" si="1538"/>
        <v>12726281</v>
      </c>
      <c r="I131" s="1442">
        <f t="shared" si="1538"/>
        <v>15047998</v>
      </c>
      <c r="J131" s="1442">
        <f t="shared" si="1538"/>
        <v>12726281</v>
      </c>
      <c r="K131" s="1443"/>
      <c r="L131" s="1443"/>
      <c r="M131" s="1444" t="str">
        <f t="shared" ref="M131:N131" si="1539">S131</f>
        <v>#N/A</v>
      </c>
      <c r="N131" s="1444" t="str">
        <f t="shared" si="1539"/>
        <v>#N/A</v>
      </c>
      <c r="O131" s="1444" t="str">
        <f t="shared" ref="O131:P131" si="1540">W131</f>
        <v>#N/A</v>
      </c>
      <c r="P131" s="1444" t="str">
        <f t="shared" si="1540"/>
        <v>#N/A</v>
      </c>
      <c r="Q131" s="1445" t="str">
        <f t="shared" ref="Q131:R131" si="1541">AE131</f>
        <v>#N/A</v>
      </c>
      <c r="R131" s="1445" t="str">
        <f t="shared" si="1541"/>
        <v>#N/A</v>
      </c>
      <c r="S131" s="1445" t="str">
        <f t="shared" ref="S131:T131" si="1542">AK131</f>
        <v>#N/A</v>
      </c>
      <c r="T131" s="1445" t="str">
        <f t="shared" si="1542"/>
        <v>#N/A</v>
      </c>
      <c r="U131" s="1445" t="str">
        <f t="shared" ref="U131:V131" si="1543">AQ131</f>
        <v>#N/A</v>
      </c>
      <c r="V131" s="1445" t="str">
        <f t="shared" si="1543"/>
        <v>#N/A</v>
      </c>
      <c r="W131" s="1445" t="str">
        <f t="shared" ref="W131:X131" si="1544">AW131</f>
        <v>#N/A</v>
      </c>
      <c r="X131" s="1445" t="str">
        <f t="shared" si="1544"/>
        <v>#N/A</v>
      </c>
      <c r="Y131" s="630">
        <f t="shared" ref="Y131:Z131" si="1545">E131</f>
        <v>0</v>
      </c>
      <c r="Z131" s="630">
        <f t="shared" si="1545"/>
        <v>0</v>
      </c>
      <c r="AA131" s="630" t="str">
        <f t="shared" si="1546"/>
        <v>#N/A</v>
      </c>
      <c r="AB131" s="630" t="str">
        <f t="shared" si="1547"/>
        <v>#N/A</v>
      </c>
      <c r="AC131" s="630" t="str">
        <f t="shared" si="1548"/>
        <v>#N/A</v>
      </c>
      <c r="AD131" s="630" t="str">
        <f t="shared" si="1549"/>
        <v>#N/A</v>
      </c>
      <c r="AE131" s="630" t="str">
        <f t="shared" si="1550"/>
        <v>#N/A</v>
      </c>
      <c r="AF131" s="630" t="str">
        <f t="shared" si="1551"/>
        <v>#N/A</v>
      </c>
      <c r="AG131" s="630" t="str">
        <f t="shared" si="1552"/>
        <v>#N/A</v>
      </c>
      <c r="AH131" s="630" t="str">
        <f t="shared" si="1553"/>
        <v>#N/A</v>
      </c>
      <c r="AI131" s="630" t="str">
        <f t="shared" si="1554"/>
        <v>#N/A</v>
      </c>
      <c r="AJ131" s="630" t="str">
        <f t="shared" si="1555"/>
        <v>#N/A</v>
      </c>
      <c r="AK131" s="630" t="str">
        <f t="shared" si="1556"/>
        <v>#N/A</v>
      </c>
      <c r="AL131" s="630" t="str">
        <f t="shared" si="1557"/>
        <v>#N/A</v>
      </c>
      <c r="AM131" s="630" t="str">
        <f t="shared" si="1558"/>
        <v>#N/A</v>
      </c>
      <c r="AN131" s="630" t="str">
        <f t="shared" si="1559"/>
        <v>#N/A</v>
      </c>
      <c r="AO131" s="630" t="str">
        <f t="shared" si="1560"/>
        <v>#N/A</v>
      </c>
      <c r="AP131" s="630" t="str">
        <f t="shared" si="1561"/>
        <v>#N/A</v>
      </c>
      <c r="AQ131" s="630" t="str">
        <f t="shared" si="1562"/>
        <v>#N/A</v>
      </c>
      <c r="AR131" s="630" t="str">
        <f t="shared" si="1563"/>
        <v>#N/A</v>
      </c>
      <c r="AS131" s="630" t="str">
        <f t="shared" si="1564"/>
        <v>#N/A</v>
      </c>
      <c r="AT131" s="630" t="str">
        <f t="shared" si="1565"/>
        <v>#N/A</v>
      </c>
      <c r="AU131" s="630" t="str">
        <f t="shared" si="1566"/>
        <v>#N/A</v>
      </c>
      <c r="AV131" s="630" t="str">
        <f t="shared" si="1567"/>
        <v>#N/A</v>
      </c>
      <c r="AW131" s="630" t="str">
        <f t="shared" si="1568"/>
        <v>#N/A</v>
      </c>
      <c r="AX131" s="630" t="str">
        <f t="shared" si="1569"/>
        <v>#N/A</v>
      </c>
    </row>
    <row r="132">
      <c r="A132" s="1448"/>
      <c r="B132" s="1440"/>
      <c r="C132" s="1449" t="s">
        <v>1447</v>
      </c>
      <c r="D132" s="1433" t="s">
        <v>1448</v>
      </c>
      <c r="E132" s="1450"/>
      <c r="F132" s="1450"/>
      <c r="G132" s="1450">
        <f>SUMIF(AC_TKNO,$C132,AC_SOTIEN)</f>
        <v>0</v>
      </c>
      <c r="H132" s="1450">
        <f>SUMIF(AC_TKCO,$C132,AC_SOTIEN)</f>
        <v>0</v>
      </c>
      <c r="I132" s="1450" t="str">
        <f t="shared" ref="I132:I139" si="1577">IF(E132+G132-F132-H132&gt;0,E132+G132-F132-H132,"-")</f>
        <v>-</v>
      </c>
      <c r="J132" s="1450" t="str">
        <f t="shared" ref="J132:J139" si="1578">IF(F132+H132-E132-G132&gt;0,F132+H132-E132-G132,"-")</f>
        <v>-</v>
      </c>
      <c r="K132" s="1443"/>
      <c r="L132" s="1443"/>
      <c r="M132" s="1444" t="str">
        <f t="shared" ref="M132:N132" si="1570">S132</f>
        <v>#N/A</v>
      </c>
      <c r="N132" s="1444" t="str">
        <f t="shared" si="1570"/>
        <v>#N/A</v>
      </c>
      <c r="O132" s="1444" t="str">
        <f t="shared" ref="O132:P132" si="1571">W132</f>
        <v>#N/A</v>
      </c>
      <c r="P132" s="1444" t="str">
        <f t="shared" si="1571"/>
        <v>#N/A</v>
      </c>
      <c r="Q132" s="1445" t="str">
        <f t="shared" ref="Q132:R132" si="1572">AE132</f>
        <v>#N/A</v>
      </c>
      <c r="R132" s="1445" t="str">
        <f t="shared" si="1572"/>
        <v>#N/A</v>
      </c>
      <c r="S132" s="1445" t="str">
        <f t="shared" ref="S132:T132" si="1573">AK132</f>
        <v>#N/A</v>
      </c>
      <c r="T132" s="1445" t="str">
        <f t="shared" si="1573"/>
        <v>#N/A</v>
      </c>
      <c r="U132" s="1445" t="str">
        <f t="shared" ref="U132:V132" si="1574">AQ132</f>
        <v>#N/A</v>
      </c>
      <c r="V132" s="1445" t="str">
        <f t="shared" si="1574"/>
        <v>#N/A</v>
      </c>
      <c r="W132" s="1445" t="str">
        <f t="shared" ref="W132:X132" si="1575">AW132</f>
        <v>#N/A</v>
      </c>
      <c r="X132" s="1445" t="str">
        <f t="shared" si="1575"/>
        <v>#N/A</v>
      </c>
      <c r="Y132" s="630" t="str">
        <f t="shared" ref="Y132:Z132" si="1576">E132</f>
        <v/>
      </c>
      <c r="Z132" s="630" t="str">
        <f t="shared" si="1576"/>
        <v/>
      </c>
      <c r="AA132" s="630" t="str">
        <f t="shared" si="1546"/>
        <v>#N/A</v>
      </c>
      <c r="AB132" s="630" t="str">
        <f t="shared" si="1547"/>
        <v>#N/A</v>
      </c>
      <c r="AC132" s="630" t="str">
        <f t="shared" si="1548"/>
        <v>#N/A</v>
      </c>
      <c r="AD132" s="630" t="str">
        <f t="shared" si="1549"/>
        <v>#N/A</v>
      </c>
      <c r="AE132" s="630" t="str">
        <f t="shared" si="1550"/>
        <v>#N/A</v>
      </c>
      <c r="AF132" s="630" t="str">
        <f t="shared" si="1551"/>
        <v>#N/A</v>
      </c>
      <c r="AG132" s="630" t="str">
        <f t="shared" si="1552"/>
        <v>#N/A</v>
      </c>
      <c r="AH132" s="630" t="str">
        <f t="shared" si="1553"/>
        <v>#N/A</v>
      </c>
      <c r="AI132" s="630" t="str">
        <f t="shared" si="1554"/>
        <v>#N/A</v>
      </c>
      <c r="AJ132" s="630" t="str">
        <f t="shared" si="1555"/>
        <v>#N/A</v>
      </c>
      <c r="AK132" s="630" t="str">
        <f t="shared" si="1556"/>
        <v>#N/A</v>
      </c>
      <c r="AL132" s="630" t="str">
        <f t="shared" si="1557"/>
        <v>#N/A</v>
      </c>
      <c r="AM132" s="630" t="str">
        <f t="shared" si="1558"/>
        <v>#N/A</v>
      </c>
      <c r="AN132" s="630" t="str">
        <f t="shared" si="1559"/>
        <v>#N/A</v>
      </c>
      <c r="AO132" s="630" t="str">
        <f t="shared" si="1560"/>
        <v>#N/A</v>
      </c>
      <c r="AP132" s="630" t="str">
        <f t="shared" si="1561"/>
        <v>#N/A</v>
      </c>
      <c r="AQ132" s="630" t="str">
        <f t="shared" si="1562"/>
        <v>#N/A</v>
      </c>
      <c r="AR132" s="630" t="str">
        <f t="shared" si="1563"/>
        <v>#N/A</v>
      </c>
      <c r="AS132" s="630" t="str">
        <f t="shared" si="1564"/>
        <v>#N/A</v>
      </c>
      <c r="AT132" s="630" t="str">
        <f t="shared" si="1565"/>
        <v>#N/A</v>
      </c>
      <c r="AU132" s="630" t="str">
        <f t="shared" si="1566"/>
        <v>#N/A</v>
      </c>
      <c r="AV132" s="630" t="str">
        <f t="shared" si="1567"/>
        <v>#N/A</v>
      </c>
      <c r="AW132" s="630" t="str">
        <f t="shared" si="1568"/>
        <v>#N/A</v>
      </c>
      <c r="AX132" s="630" t="str">
        <f t="shared" si="1569"/>
        <v>#N/A</v>
      </c>
    </row>
    <row r="133">
      <c r="A133" s="1448"/>
      <c r="B133" s="1440"/>
      <c r="C133" s="1449" t="s">
        <v>1449</v>
      </c>
      <c r="D133" s="1433" t="s">
        <v>1450</v>
      </c>
      <c r="E133" s="1450"/>
      <c r="F133" s="1450"/>
      <c r="G133" s="1450">
        <f>SUMIF(AC_TKNO,$C133,AC_SOTIEN)</f>
        <v>0</v>
      </c>
      <c r="H133" s="1450">
        <f>SUMIF(AC_TKCO,$C133,AC_SOTIEN)</f>
        <v>0</v>
      </c>
      <c r="I133" s="1450" t="str">
        <f t="shared" si="1577"/>
        <v>-</v>
      </c>
      <c r="J133" s="1450" t="str">
        <f t="shared" si="1578"/>
        <v>-</v>
      </c>
      <c r="K133" s="1443"/>
      <c r="L133" s="1443"/>
      <c r="M133" s="1444" t="str">
        <f t="shared" ref="M133:N133" si="1579">S133</f>
        <v>#N/A</v>
      </c>
      <c r="N133" s="1444" t="str">
        <f t="shared" si="1579"/>
        <v>#N/A</v>
      </c>
      <c r="O133" s="1444" t="str">
        <f t="shared" ref="O133:P133" si="1580">W133</f>
        <v>#N/A</v>
      </c>
      <c r="P133" s="1444" t="str">
        <f t="shared" si="1580"/>
        <v>#N/A</v>
      </c>
      <c r="Q133" s="1445" t="str">
        <f t="shared" ref="Q133:R133" si="1581">AE133</f>
        <v>#N/A</v>
      </c>
      <c r="R133" s="1445" t="str">
        <f t="shared" si="1581"/>
        <v>#N/A</v>
      </c>
      <c r="S133" s="1445" t="str">
        <f t="shared" ref="S133:T133" si="1582">AK133</f>
        <v>#N/A</v>
      </c>
      <c r="T133" s="1445" t="str">
        <f t="shared" si="1582"/>
        <v>#N/A</v>
      </c>
      <c r="U133" s="1445" t="str">
        <f t="shared" ref="U133:V133" si="1583">AQ133</f>
        <v>#N/A</v>
      </c>
      <c r="V133" s="1445" t="str">
        <f t="shared" si="1583"/>
        <v>#N/A</v>
      </c>
      <c r="W133" s="1445" t="str">
        <f t="shared" ref="W133:X133" si="1584">AW133</f>
        <v>#N/A</v>
      </c>
      <c r="X133" s="1445" t="str">
        <f t="shared" si="1584"/>
        <v>#N/A</v>
      </c>
      <c r="Y133" s="630" t="str">
        <f t="shared" ref="Y133:Z133" si="1585">E133</f>
        <v/>
      </c>
      <c r="Z133" s="630" t="str">
        <f t="shared" si="1585"/>
        <v/>
      </c>
      <c r="AA133" s="630" t="str">
        <f t="shared" si="1546"/>
        <v>#N/A</v>
      </c>
      <c r="AB133" s="630" t="str">
        <f t="shared" si="1547"/>
        <v>#N/A</v>
      </c>
      <c r="AC133" s="630" t="str">
        <f t="shared" si="1548"/>
        <v>#N/A</v>
      </c>
      <c r="AD133" s="630" t="str">
        <f t="shared" si="1549"/>
        <v>#N/A</v>
      </c>
      <c r="AE133" s="630" t="str">
        <f t="shared" si="1550"/>
        <v>#N/A</v>
      </c>
      <c r="AF133" s="630" t="str">
        <f t="shared" si="1551"/>
        <v>#N/A</v>
      </c>
      <c r="AG133" s="630" t="str">
        <f t="shared" si="1552"/>
        <v>#N/A</v>
      </c>
      <c r="AH133" s="630" t="str">
        <f t="shared" si="1553"/>
        <v>#N/A</v>
      </c>
      <c r="AI133" s="630" t="str">
        <f t="shared" si="1554"/>
        <v>#N/A</v>
      </c>
      <c r="AJ133" s="630" t="str">
        <f t="shared" si="1555"/>
        <v>#N/A</v>
      </c>
      <c r="AK133" s="630" t="str">
        <f t="shared" si="1556"/>
        <v>#N/A</v>
      </c>
      <c r="AL133" s="630" t="str">
        <f t="shared" si="1557"/>
        <v>#N/A</v>
      </c>
      <c r="AM133" s="630" t="str">
        <f t="shared" si="1558"/>
        <v>#N/A</v>
      </c>
      <c r="AN133" s="630" t="str">
        <f t="shared" si="1559"/>
        <v>#N/A</v>
      </c>
      <c r="AO133" s="630" t="str">
        <f t="shared" si="1560"/>
        <v>#N/A</v>
      </c>
      <c r="AP133" s="630" t="str">
        <f t="shared" si="1561"/>
        <v>#N/A</v>
      </c>
      <c r="AQ133" s="630" t="str">
        <f t="shared" si="1562"/>
        <v>#N/A</v>
      </c>
      <c r="AR133" s="630" t="str">
        <f t="shared" si="1563"/>
        <v>#N/A</v>
      </c>
      <c r="AS133" s="630" t="str">
        <f t="shared" si="1564"/>
        <v>#N/A</v>
      </c>
      <c r="AT133" s="630" t="str">
        <f t="shared" si="1565"/>
        <v>#N/A</v>
      </c>
      <c r="AU133" s="630" t="str">
        <f t="shared" si="1566"/>
        <v>#N/A</v>
      </c>
      <c r="AV133" s="630" t="str">
        <f t="shared" si="1567"/>
        <v>#N/A</v>
      </c>
      <c r="AW133" s="630" t="str">
        <f t="shared" si="1568"/>
        <v>#N/A</v>
      </c>
      <c r="AX133" s="630" t="str">
        <f t="shared" si="1569"/>
        <v>#N/A</v>
      </c>
    </row>
    <row r="134">
      <c r="A134" s="1448"/>
      <c r="B134" s="1440"/>
      <c r="C134" s="1449" t="s">
        <v>1451</v>
      </c>
      <c r="D134" s="1433" t="s">
        <v>1452</v>
      </c>
      <c r="E134" s="1450"/>
      <c r="F134" s="1450"/>
      <c r="G134" s="1450">
        <f>SUMIF(AC_TKNO,$C134,AC_SOTIEN)</f>
        <v>13199999</v>
      </c>
      <c r="H134" s="1450">
        <f>SUMIF(AC_TKCO,$C134,AC_SOTIEN)</f>
        <v>0</v>
      </c>
      <c r="I134" s="1450">
        <f t="shared" si="1577"/>
        <v>13199999</v>
      </c>
      <c r="J134" s="1450" t="str">
        <f t="shared" si="1578"/>
        <v>-</v>
      </c>
      <c r="K134" s="1463"/>
      <c r="L134" s="1443"/>
      <c r="M134" s="1444" t="str">
        <f t="shared" ref="M134:N134" si="1586">S134</f>
        <v>#N/A</v>
      </c>
      <c r="N134" s="1444" t="str">
        <f t="shared" si="1586"/>
        <v>#N/A</v>
      </c>
      <c r="O134" s="1444" t="str">
        <f t="shared" ref="O134:P134" si="1587">W134</f>
        <v>#N/A</v>
      </c>
      <c r="P134" s="1444" t="str">
        <f t="shared" si="1587"/>
        <v>#N/A</v>
      </c>
      <c r="Q134" s="1445" t="str">
        <f t="shared" ref="Q134:R134" si="1588">AE134</f>
        <v>#N/A</v>
      </c>
      <c r="R134" s="1445" t="str">
        <f t="shared" si="1588"/>
        <v>#N/A</v>
      </c>
      <c r="S134" s="1445" t="str">
        <f t="shared" ref="S134:T134" si="1589">AK134</f>
        <v>#N/A</v>
      </c>
      <c r="T134" s="1445" t="str">
        <f t="shared" si="1589"/>
        <v>#N/A</v>
      </c>
      <c r="U134" s="1445" t="str">
        <f t="shared" ref="U134:V134" si="1590">AQ134</f>
        <v>#N/A</v>
      </c>
      <c r="V134" s="1445" t="str">
        <f t="shared" si="1590"/>
        <v>#N/A</v>
      </c>
      <c r="W134" s="1445" t="str">
        <f t="shared" ref="W134:X134" si="1591">AW134</f>
        <v>#N/A</v>
      </c>
      <c r="X134" s="1445" t="str">
        <f t="shared" si="1591"/>
        <v>#N/A</v>
      </c>
      <c r="Y134" s="1457" t="str">
        <f t="shared" ref="Y134:Z134" si="1592">E134</f>
        <v/>
      </c>
      <c r="Z134" s="1457" t="str">
        <f t="shared" si="1592"/>
        <v/>
      </c>
      <c r="AA134" s="630" t="str">
        <f t="shared" si="1546"/>
        <v>#N/A</v>
      </c>
      <c r="AB134" s="630" t="str">
        <f t="shared" si="1547"/>
        <v>#N/A</v>
      </c>
      <c r="AC134" s="630" t="str">
        <f t="shared" si="1548"/>
        <v>#N/A</v>
      </c>
      <c r="AD134" s="630" t="str">
        <f t="shared" si="1549"/>
        <v>#N/A</v>
      </c>
      <c r="AE134" s="630" t="str">
        <f t="shared" si="1550"/>
        <v>#N/A</v>
      </c>
      <c r="AF134" s="630" t="str">
        <f t="shared" si="1551"/>
        <v>#N/A</v>
      </c>
      <c r="AG134" s="630" t="str">
        <f t="shared" si="1552"/>
        <v>#N/A</v>
      </c>
      <c r="AH134" s="630" t="str">
        <f t="shared" si="1553"/>
        <v>#N/A</v>
      </c>
      <c r="AI134" s="630" t="str">
        <f t="shared" si="1554"/>
        <v>#N/A</v>
      </c>
      <c r="AJ134" s="630" t="str">
        <f t="shared" si="1555"/>
        <v>#N/A</v>
      </c>
      <c r="AK134" s="630" t="str">
        <f t="shared" si="1556"/>
        <v>#N/A</v>
      </c>
      <c r="AL134" s="630" t="str">
        <f t="shared" si="1557"/>
        <v>#N/A</v>
      </c>
      <c r="AM134" s="630" t="str">
        <f t="shared" si="1558"/>
        <v>#N/A</v>
      </c>
      <c r="AN134" s="630" t="str">
        <f t="shared" si="1559"/>
        <v>#N/A</v>
      </c>
      <c r="AO134" s="630" t="str">
        <f t="shared" si="1560"/>
        <v>#N/A</v>
      </c>
      <c r="AP134" s="630" t="str">
        <f t="shared" si="1561"/>
        <v>#N/A</v>
      </c>
      <c r="AQ134" s="630" t="str">
        <f t="shared" si="1562"/>
        <v>#N/A</v>
      </c>
      <c r="AR134" s="630" t="str">
        <f t="shared" si="1563"/>
        <v>#N/A</v>
      </c>
      <c r="AS134" s="630" t="str">
        <f t="shared" si="1564"/>
        <v>#N/A</v>
      </c>
      <c r="AT134" s="630" t="str">
        <f t="shared" si="1565"/>
        <v>#N/A</v>
      </c>
      <c r="AU134" s="630" t="str">
        <f t="shared" si="1566"/>
        <v>#N/A</v>
      </c>
      <c r="AV134" s="630" t="str">
        <f t="shared" si="1567"/>
        <v>#N/A</v>
      </c>
      <c r="AW134" s="630" t="str">
        <f t="shared" si="1568"/>
        <v>#N/A</v>
      </c>
      <c r="AX134" s="630" t="str">
        <f t="shared" si="1569"/>
        <v>#N/A</v>
      </c>
    </row>
    <row r="135">
      <c r="A135" s="1448"/>
      <c r="B135" s="1440"/>
      <c r="C135" s="1449" t="s">
        <v>1453</v>
      </c>
      <c r="D135" s="1433" t="s">
        <v>1454</v>
      </c>
      <c r="E135" s="1450"/>
      <c r="F135" s="1450"/>
      <c r="G135" s="1450">
        <f>SUMIF(AC_TKNO,$C135,AC_SOTIEN)</f>
        <v>1511999</v>
      </c>
      <c r="H135" s="1450">
        <f>SUMIF(AC_TKCO,$C135,AC_SOTIEN)</f>
        <v>0</v>
      </c>
      <c r="I135" s="1450">
        <f t="shared" si="1577"/>
        <v>1511999</v>
      </c>
      <c r="J135" s="1450" t="str">
        <f t="shared" si="1578"/>
        <v>-</v>
      </c>
      <c r="K135" s="1443"/>
      <c r="L135" s="1443"/>
      <c r="M135" s="1444" t="str">
        <f t="shared" ref="M135:N135" si="1593">S135</f>
        <v>#N/A</v>
      </c>
      <c r="N135" s="1444" t="str">
        <f t="shared" si="1593"/>
        <v>#N/A</v>
      </c>
      <c r="O135" s="1444" t="str">
        <f t="shared" ref="O135:P135" si="1594">W135</f>
        <v>#N/A</v>
      </c>
      <c r="P135" s="1444" t="str">
        <f t="shared" si="1594"/>
        <v>#N/A</v>
      </c>
      <c r="Q135" s="1445" t="str">
        <f t="shared" ref="Q135:R135" si="1595">AE135</f>
        <v>#N/A</v>
      </c>
      <c r="R135" s="1445" t="str">
        <f t="shared" si="1595"/>
        <v>#N/A</v>
      </c>
      <c r="S135" s="1445" t="str">
        <f t="shared" ref="S135:T135" si="1596">AK135</f>
        <v>#N/A</v>
      </c>
      <c r="T135" s="1445" t="str">
        <f t="shared" si="1596"/>
        <v>#N/A</v>
      </c>
      <c r="U135" s="1445" t="str">
        <f t="shared" ref="U135:V135" si="1597">AQ135</f>
        <v>#N/A</v>
      </c>
      <c r="V135" s="1445" t="str">
        <f t="shared" si="1597"/>
        <v>#N/A</v>
      </c>
      <c r="W135" s="1445" t="str">
        <f t="shared" ref="W135:X135" si="1598">AW135</f>
        <v>#N/A</v>
      </c>
      <c r="X135" s="1445" t="str">
        <f t="shared" si="1598"/>
        <v>#N/A</v>
      </c>
      <c r="Y135" s="1457" t="str">
        <f t="shared" ref="Y135:Z135" si="1599">E135</f>
        <v/>
      </c>
      <c r="Z135" s="1457" t="str">
        <f t="shared" si="1599"/>
        <v/>
      </c>
      <c r="AA135" s="630" t="str">
        <f t="shared" si="1546"/>
        <v>#N/A</v>
      </c>
      <c r="AB135" s="630" t="str">
        <f t="shared" si="1547"/>
        <v>#N/A</v>
      </c>
      <c r="AC135" s="630" t="str">
        <f t="shared" si="1548"/>
        <v>#N/A</v>
      </c>
      <c r="AD135" s="630" t="str">
        <f t="shared" si="1549"/>
        <v>#N/A</v>
      </c>
      <c r="AE135" s="630" t="str">
        <f t="shared" si="1550"/>
        <v>#N/A</v>
      </c>
      <c r="AF135" s="630" t="str">
        <f t="shared" si="1551"/>
        <v>#N/A</v>
      </c>
      <c r="AG135" s="630" t="str">
        <f t="shared" si="1552"/>
        <v>#N/A</v>
      </c>
      <c r="AH135" s="630" t="str">
        <f t="shared" si="1553"/>
        <v>#N/A</v>
      </c>
      <c r="AI135" s="630" t="str">
        <f t="shared" si="1554"/>
        <v>#N/A</v>
      </c>
      <c r="AJ135" s="630" t="str">
        <f t="shared" si="1555"/>
        <v>#N/A</v>
      </c>
      <c r="AK135" s="630" t="str">
        <f t="shared" si="1556"/>
        <v>#N/A</v>
      </c>
      <c r="AL135" s="630" t="str">
        <f t="shared" si="1557"/>
        <v>#N/A</v>
      </c>
      <c r="AM135" s="630" t="str">
        <f t="shared" si="1558"/>
        <v>#N/A</v>
      </c>
      <c r="AN135" s="630" t="str">
        <f t="shared" si="1559"/>
        <v>#N/A</v>
      </c>
      <c r="AO135" s="630" t="str">
        <f t="shared" si="1560"/>
        <v>#N/A</v>
      </c>
      <c r="AP135" s="630" t="str">
        <f t="shared" si="1561"/>
        <v>#N/A</v>
      </c>
      <c r="AQ135" s="630" t="str">
        <f t="shared" si="1562"/>
        <v>#N/A</v>
      </c>
      <c r="AR135" s="630" t="str">
        <f t="shared" si="1563"/>
        <v>#N/A</v>
      </c>
      <c r="AS135" s="630" t="str">
        <f t="shared" si="1564"/>
        <v>#N/A</v>
      </c>
      <c r="AT135" s="630" t="str">
        <f t="shared" si="1565"/>
        <v>#N/A</v>
      </c>
      <c r="AU135" s="630" t="str">
        <f t="shared" si="1566"/>
        <v>#N/A</v>
      </c>
      <c r="AV135" s="630" t="str">
        <f t="shared" si="1567"/>
        <v>#N/A</v>
      </c>
      <c r="AW135" s="630" t="str">
        <f t="shared" si="1568"/>
        <v>#N/A</v>
      </c>
      <c r="AX135" s="630" t="str">
        <f t="shared" si="1569"/>
        <v>#N/A</v>
      </c>
    </row>
    <row r="136">
      <c r="A136" s="1448"/>
      <c r="B136" s="1440"/>
      <c r="C136" s="1449" t="s">
        <v>1455</v>
      </c>
      <c r="D136" s="1433" t="s">
        <v>3125</v>
      </c>
      <c r="E136" s="1450"/>
      <c r="F136" s="1450"/>
      <c r="G136" s="1450">
        <f>SUMIF(AC_TKNO,$C136,AC_SOTIEN)</f>
        <v>0</v>
      </c>
      <c r="H136" s="1450">
        <f>SUMIF(AC_TKCO,$C136,AC_SOTIEN)</f>
        <v>12726281</v>
      </c>
      <c r="I136" s="1450" t="str">
        <f t="shared" si="1577"/>
        <v>-</v>
      </c>
      <c r="J136" s="1450">
        <f t="shared" si="1578"/>
        <v>12726281</v>
      </c>
      <c r="K136" s="1443"/>
      <c r="L136" s="1443"/>
      <c r="M136" s="1444" t="str">
        <f t="shared" ref="M136:N136" si="1600">S136</f>
        <v>#N/A</v>
      </c>
      <c r="N136" s="1444" t="str">
        <f t="shared" si="1600"/>
        <v>#N/A</v>
      </c>
      <c r="O136" s="1444" t="str">
        <f t="shared" ref="O136:P136" si="1601">W136</f>
        <v>#N/A</v>
      </c>
      <c r="P136" s="1444" t="str">
        <f t="shared" si="1601"/>
        <v>#N/A</v>
      </c>
      <c r="Q136" s="1445" t="str">
        <f t="shared" ref="Q136:R136" si="1602">AE136</f>
        <v>#N/A</v>
      </c>
      <c r="R136" s="1445" t="str">
        <f t="shared" si="1602"/>
        <v>#N/A</v>
      </c>
      <c r="S136" s="1445" t="str">
        <f t="shared" ref="S136:T136" si="1603">AK136</f>
        <v>#N/A</v>
      </c>
      <c r="T136" s="1445" t="str">
        <f t="shared" si="1603"/>
        <v>#N/A</v>
      </c>
      <c r="U136" s="1445" t="str">
        <f t="shared" ref="U136:V136" si="1604">AQ136</f>
        <v>#N/A</v>
      </c>
      <c r="V136" s="1445" t="str">
        <f t="shared" si="1604"/>
        <v>#N/A</v>
      </c>
      <c r="W136" s="1445" t="str">
        <f t="shared" ref="W136:X136" si="1605">AW136</f>
        <v>#N/A</v>
      </c>
      <c r="X136" s="1445" t="str">
        <f t="shared" si="1605"/>
        <v>#N/A</v>
      </c>
      <c r="Y136" s="1457" t="str">
        <f t="shared" ref="Y136:Z136" si="1606">E136</f>
        <v/>
      </c>
      <c r="Z136" s="1457" t="str">
        <f t="shared" si="1606"/>
        <v/>
      </c>
      <c r="AA136" s="630" t="str">
        <f t="shared" si="1546"/>
        <v>#N/A</v>
      </c>
      <c r="AB136" s="630" t="str">
        <f t="shared" si="1547"/>
        <v>#N/A</v>
      </c>
      <c r="AC136" s="630" t="str">
        <f t="shared" si="1548"/>
        <v>#N/A</v>
      </c>
      <c r="AD136" s="630" t="str">
        <f t="shared" si="1549"/>
        <v>#N/A</v>
      </c>
      <c r="AE136" s="630" t="str">
        <f t="shared" si="1550"/>
        <v>#N/A</v>
      </c>
      <c r="AF136" s="630" t="str">
        <f t="shared" si="1551"/>
        <v>#N/A</v>
      </c>
      <c r="AG136" s="630" t="str">
        <f t="shared" si="1552"/>
        <v>#N/A</v>
      </c>
      <c r="AH136" s="630" t="str">
        <f t="shared" si="1553"/>
        <v>#N/A</v>
      </c>
      <c r="AI136" s="630" t="str">
        <f t="shared" si="1554"/>
        <v>#N/A</v>
      </c>
      <c r="AJ136" s="630" t="str">
        <f t="shared" si="1555"/>
        <v>#N/A</v>
      </c>
      <c r="AK136" s="630" t="str">
        <f t="shared" si="1556"/>
        <v>#N/A</v>
      </c>
      <c r="AL136" s="630" t="str">
        <f t="shared" si="1557"/>
        <v>#N/A</v>
      </c>
      <c r="AM136" s="630" t="str">
        <f t="shared" si="1558"/>
        <v>#N/A</v>
      </c>
      <c r="AN136" s="630" t="str">
        <f t="shared" si="1559"/>
        <v>#N/A</v>
      </c>
      <c r="AO136" s="630" t="str">
        <f t="shared" si="1560"/>
        <v>#N/A</v>
      </c>
      <c r="AP136" s="630" t="str">
        <f t="shared" si="1561"/>
        <v>#N/A</v>
      </c>
      <c r="AQ136" s="630" t="str">
        <f t="shared" si="1562"/>
        <v>#N/A</v>
      </c>
      <c r="AR136" s="630" t="str">
        <f t="shared" si="1563"/>
        <v>#N/A</v>
      </c>
      <c r="AS136" s="630" t="str">
        <f t="shared" si="1564"/>
        <v>#N/A</v>
      </c>
      <c r="AT136" s="630" t="str">
        <f t="shared" si="1565"/>
        <v>#N/A</v>
      </c>
      <c r="AU136" s="630" t="str">
        <f t="shared" si="1566"/>
        <v>#N/A</v>
      </c>
      <c r="AV136" s="630" t="str">
        <f t="shared" si="1567"/>
        <v>#N/A</v>
      </c>
      <c r="AW136" s="630" t="str">
        <f t="shared" si="1568"/>
        <v>#N/A</v>
      </c>
      <c r="AX136" s="630" t="str">
        <f t="shared" si="1569"/>
        <v>#N/A</v>
      </c>
    </row>
    <row r="137">
      <c r="A137" s="1448"/>
      <c r="B137" s="1440"/>
      <c r="C137" s="1449" t="s">
        <v>1457</v>
      </c>
      <c r="D137" s="1433" t="s">
        <v>1456</v>
      </c>
      <c r="E137" s="1450"/>
      <c r="F137" s="1450"/>
      <c r="G137" s="1450">
        <f>SUMIF(AC_TKNO,$C137,AC_SOTIEN)</f>
        <v>336000</v>
      </c>
      <c r="H137" s="1450">
        <f>SUMIF(AC_TKCO,$C137,AC_SOTIEN)</f>
        <v>0</v>
      </c>
      <c r="I137" s="1450">
        <f t="shared" si="1577"/>
        <v>336000</v>
      </c>
      <c r="J137" s="1450" t="str">
        <f t="shared" si="1578"/>
        <v>-</v>
      </c>
      <c r="K137" s="1443"/>
      <c r="L137" s="1443"/>
      <c r="M137" s="1444" t="str">
        <f t="shared" ref="M137:N137" si="1607">S137</f>
        <v>#N/A</v>
      </c>
      <c r="N137" s="1444" t="str">
        <f t="shared" si="1607"/>
        <v>#N/A</v>
      </c>
      <c r="O137" s="1444" t="str">
        <f t="shared" ref="O137:P137" si="1608">W137</f>
        <v>#N/A</v>
      </c>
      <c r="P137" s="1444" t="str">
        <f t="shared" si="1608"/>
        <v>#N/A</v>
      </c>
      <c r="Q137" s="1445" t="str">
        <f t="shared" ref="Q137:R137" si="1609">AE137</f>
        <v>#N/A</v>
      </c>
      <c r="R137" s="1445" t="str">
        <f t="shared" si="1609"/>
        <v>#N/A</v>
      </c>
      <c r="S137" s="1445" t="str">
        <f t="shared" ref="S137:T137" si="1610">AK137</f>
        <v>#N/A</v>
      </c>
      <c r="T137" s="1445" t="str">
        <f t="shared" si="1610"/>
        <v>#N/A</v>
      </c>
      <c r="U137" s="1445" t="str">
        <f t="shared" ref="U137:V137" si="1611">AQ137</f>
        <v>#N/A</v>
      </c>
      <c r="V137" s="1445" t="str">
        <f t="shared" si="1611"/>
        <v>#N/A</v>
      </c>
      <c r="W137" s="1445" t="str">
        <f t="shared" ref="W137:X137" si="1612">AW137</f>
        <v>#N/A</v>
      </c>
      <c r="X137" s="1445" t="str">
        <f t="shared" si="1612"/>
        <v>#N/A</v>
      </c>
      <c r="Y137" s="1457" t="str">
        <f t="shared" ref="Y137:Z137" si="1613">E137</f>
        <v/>
      </c>
      <c r="Z137" s="1457" t="str">
        <f t="shared" si="1613"/>
        <v/>
      </c>
      <c r="AA137" s="630" t="str">
        <f t="shared" si="1546"/>
        <v>#N/A</v>
      </c>
      <c r="AB137" s="630" t="str">
        <f t="shared" si="1547"/>
        <v>#N/A</v>
      </c>
      <c r="AC137" s="630" t="str">
        <f t="shared" si="1548"/>
        <v>#N/A</v>
      </c>
      <c r="AD137" s="630" t="str">
        <f t="shared" si="1549"/>
        <v>#N/A</v>
      </c>
      <c r="AE137" s="630" t="str">
        <f t="shared" si="1550"/>
        <v>#N/A</v>
      </c>
      <c r="AF137" s="630" t="str">
        <f t="shared" si="1551"/>
        <v>#N/A</v>
      </c>
      <c r="AG137" s="630" t="str">
        <f t="shared" si="1552"/>
        <v>#N/A</v>
      </c>
      <c r="AH137" s="630" t="str">
        <f t="shared" si="1553"/>
        <v>#N/A</v>
      </c>
      <c r="AI137" s="630" t="str">
        <f t="shared" si="1554"/>
        <v>#N/A</v>
      </c>
      <c r="AJ137" s="630" t="str">
        <f t="shared" si="1555"/>
        <v>#N/A</v>
      </c>
      <c r="AK137" s="630" t="str">
        <f t="shared" si="1556"/>
        <v>#N/A</v>
      </c>
      <c r="AL137" s="630" t="str">
        <f t="shared" si="1557"/>
        <v>#N/A</v>
      </c>
      <c r="AM137" s="630" t="str">
        <f t="shared" si="1558"/>
        <v>#N/A</v>
      </c>
      <c r="AN137" s="630" t="str">
        <f t="shared" si="1559"/>
        <v>#N/A</v>
      </c>
      <c r="AO137" s="630" t="str">
        <f t="shared" si="1560"/>
        <v>#N/A</v>
      </c>
      <c r="AP137" s="630" t="str">
        <f t="shared" si="1561"/>
        <v>#N/A</v>
      </c>
      <c r="AQ137" s="630" t="str">
        <f t="shared" si="1562"/>
        <v>#N/A</v>
      </c>
      <c r="AR137" s="630" t="str">
        <f t="shared" si="1563"/>
        <v>#N/A</v>
      </c>
      <c r="AS137" s="630" t="str">
        <f t="shared" si="1564"/>
        <v>#N/A</v>
      </c>
      <c r="AT137" s="630" t="str">
        <f t="shared" si="1565"/>
        <v>#N/A</v>
      </c>
      <c r="AU137" s="630" t="str">
        <f t="shared" si="1566"/>
        <v>#N/A</v>
      </c>
      <c r="AV137" s="630" t="str">
        <f t="shared" si="1567"/>
        <v>#N/A</v>
      </c>
      <c r="AW137" s="630" t="str">
        <f t="shared" si="1568"/>
        <v>#N/A</v>
      </c>
      <c r="AX137" s="630" t="str">
        <f t="shared" si="1569"/>
        <v>#N/A</v>
      </c>
    </row>
    <row r="138">
      <c r="A138" s="1448"/>
      <c r="B138" s="1440"/>
      <c r="C138" s="1449" t="s">
        <v>1459</v>
      </c>
      <c r="D138" s="1433" t="s">
        <v>1460</v>
      </c>
      <c r="E138" s="1450"/>
      <c r="F138" s="1450"/>
      <c r="G138" s="1450">
        <f>SUMIF(AC_TKNO,$C138,AC_SOTIEN)</f>
        <v>0</v>
      </c>
      <c r="H138" s="1450">
        <f>SUMIF(AC_TKCO,$C138,AC_SOTIEN)</f>
        <v>0</v>
      </c>
      <c r="I138" s="1450" t="str">
        <f t="shared" si="1577"/>
        <v>-</v>
      </c>
      <c r="J138" s="1450" t="str">
        <f t="shared" si="1578"/>
        <v>-</v>
      </c>
      <c r="K138" s="1443"/>
      <c r="L138" s="1443"/>
      <c r="M138" s="1444" t="str">
        <f t="shared" ref="M138:N138" si="1614">S138</f>
        <v>#N/A</v>
      </c>
      <c r="N138" s="1444" t="str">
        <f t="shared" si="1614"/>
        <v>#N/A</v>
      </c>
      <c r="O138" s="1444" t="str">
        <f t="shared" ref="O138:P138" si="1615">W138</f>
        <v>#N/A</v>
      </c>
      <c r="P138" s="1444" t="str">
        <f t="shared" si="1615"/>
        <v>#N/A</v>
      </c>
      <c r="Q138" s="1445" t="str">
        <f t="shared" ref="Q138:R138" si="1616">AE138</f>
        <v>#N/A</v>
      </c>
      <c r="R138" s="1445" t="str">
        <f t="shared" si="1616"/>
        <v>#N/A</v>
      </c>
      <c r="S138" s="1445" t="str">
        <f t="shared" ref="S138:T138" si="1617">AK138</f>
        <v>#N/A</v>
      </c>
      <c r="T138" s="1445" t="str">
        <f t="shared" si="1617"/>
        <v>#N/A</v>
      </c>
      <c r="U138" s="1445" t="str">
        <f t="shared" ref="U138:V138" si="1618">AQ138</f>
        <v>#N/A</v>
      </c>
      <c r="V138" s="1445" t="str">
        <f t="shared" si="1618"/>
        <v>#N/A</v>
      </c>
      <c r="W138" s="1445" t="str">
        <f t="shared" ref="W138:X138" si="1619">AW138</f>
        <v>#N/A</v>
      </c>
      <c r="X138" s="1445" t="str">
        <f t="shared" si="1619"/>
        <v>#N/A</v>
      </c>
      <c r="Y138" s="1459" t="str">
        <f t="shared" ref="Y138:Z138" si="1620">E138</f>
        <v/>
      </c>
      <c r="Z138" s="1459" t="str">
        <f t="shared" si="1620"/>
        <v/>
      </c>
      <c r="AA138" s="1459" t="str">
        <f t="shared" si="1546"/>
        <v>#N/A</v>
      </c>
      <c r="AB138" s="1459" t="str">
        <f t="shared" si="1547"/>
        <v>#N/A</v>
      </c>
      <c r="AC138" s="1459" t="str">
        <f t="shared" si="1548"/>
        <v>#N/A</v>
      </c>
      <c r="AD138" s="1459" t="str">
        <f t="shared" si="1549"/>
        <v>#N/A</v>
      </c>
      <c r="AE138" s="1459" t="str">
        <f t="shared" si="1550"/>
        <v>#N/A</v>
      </c>
      <c r="AF138" s="1459" t="str">
        <f t="shared" si="1551"/>
        <v>#N/A</v>
      </c>
      <c r="AG138" s="1459" t="str">
        <f t="shared" si="1552"/>
        <v>#N/A</v>
      </c>
      <c r="AH138" s="1459" t="str">
        <f t="shared" si="1553"/>
        <v>#N/A</v>
      </c>
      <c r="AI138" s="1459" t="str">
        <f t="shared" si="1554"/>
        <v>#N/A</v>
      </c>
      <c r="AJ138" s="1459" t="str">
        <f t="shared" si="1555"/>
        <v>#N/A</v>
      </c>
      <c r="AK138" s="1459" t="str">
        <f t="shared" si="1556"/>
        <v>#N/A</v>
      </c>
      <c r="AL138" s="1459" t="str">
        <f t="shared" si="1557"/>
        <v>#N/A</v>
      </c>
      <c r="AM138" s="1459" t="str">
        <f t="shared" si="1558"/>
        <v>#N/A</v>
      </c>
      <c r="AN138" s="1459" t="str">
        <f t="shared" si="1559"/>
        <v>#N/A</v>
      </c>
      <c r="AO138" s="1459" t="str">
        <f t="shared" si="1560"/>
        <v>#N/A</v>
      </c>
      <c r="AP138" s="1459" t="str">
        <f t="shared" si="1561"/>
        <v>#N/A</v>
      </c>
      <c r="AQ138" s="1459" t="str">
        <f t="shared" si="1562"/>
        <v>#N/A</v>
      </c>
      <c r="AR138" s="1459" t="str">
        <f t="shared" si="1563"/>
        <v>#N/A</v>
      </c>
      <c r="AS138" s="1459" t="str">
        <f t="shared" si="1564"/>
        <v>#N/A</v>
      </c>
      <c r="AT138" s="1459" t="str">
        <f t="shared" si="1565"/>
        <v>#N/A</v>
      </c>
      <c r="AU138" s="1459" t="str">
        <f t="shared" si="1566"/>
        <v>#N/A</v>
      </c>
      <c r="AV138" s="1459" t="str">
        <f t="shared" si="1567"/>
        <v>#N/A</v>
      </c>
      <c r="AW138" s="1459" t="str">
        <f t="shared" si="1568"/>
        <v>#N/A</v>
      </c>
      <c r="AX138" s="1459" t="str">
        <f t="shared" si="1569"/>
        <v>#N/A</v>
      </c>
    </row>
    <row r="139" collapsed="1">
      <c r="A139" s="1448"/>
      <c r="B139" s="1440"/>
      <c r="C139" s="1449" t="s">
        <v>1461</v>
      </c>
      <c r="D139" s="1433" t="s">
        <v>1446</v>
      </c>
      <c r="E139" s="1450"/>
      <c r="F139" s="1450"/>
      <c r="G139" s="1450">
        <f>SUMIF(AC_TKNO,$C139,AC_SOTIEN)</f>
        <v>0</v>
      </c>
      <c r="H139" s="1450">
        <f>SUMIF(AC_TKCO,$C139,AC_SOTIEN)</f>
        <v>0</v>
      </c>
      <c r="I139" s="1450" t="str">
        <f t="shared" si="1577"/>
        <v>-</v>
      </c>
      <c r="J139" s="1450" t="str">
        <f t="shared" si="1578"/>
        <v>-</v>
      </c>
      <c r="K139" s="1443"/>
      <c r="L139" s="1443"/>
      <c r="M139" s="1444" t="str">
        <f t="shared" ref="M139:N139" si="1621">S139</f>
        <v>#N/A</v>
      </c>
      <c r="N139" s="1444" t="str">
        <f t="shared" si="1621"/>
        <v>#N/A</v>
      </c>
      <c r="O139" s="1444" t="str">
        <f t="shared" ref="O139:P139" si="1622">W139</f>
        <v>#N/A</v>
      </c>
      <c r="P139" s="1444" t="str">
        <f t="shared" si="1622"/>
        <v>#N/A</v>
      </c>
      <c r="Q139" s="1445" t="str">
        <f t="shared" ref="Q139:R139" si="1623">AE139</f>
        <v>#N/A</v>
      </c>
      <c r="R139" s="1445" t="str">
        <f t="shared" si="1623"/>
        <v>#N/A</v>
      </c>
      <c r="S139" s="1445" t="str">
        <f t="shared" ref="S139:T139" si="1624">AK139</f>
        <v>#N/A</v>
      </c>
      <c r="T139" s="1445" t="str">
        <f t="shared" si="1624"/>
        <v>#N/A</v>
      </c>
      <c r="U139" s="1445" t="str">
        <f t="shared" ref="U139:V139" si="1625">AQ139</f>
        <v>#N/A</v>
      </c>
      <c r="V139" s="1445" t="str">
        <f t="shared" si="1625"/>
        <v>#N/A</v>
      </c>
      <c r="W139" s="1445" t="str">
        <f t="shared" ref="W139:X139" si="1626">AW139</f>
        <v>#N/A</v>
      </c>
      <c r="X139" s="1445" t="str">
        <f t="shared" si="1626"/>
        <v>#N/A</v>
      </c>
      <c r="Y139" s="630" t="str">
        <f t="shared" ref="Y139:Z139" si="1627">E139</f>
        <v/>
      </c>
      <c r="Z139" s="630" t="str">
        <f t="shared" si="1627"/>
        <v/>
      </c>
      <c r="AA139" s="630" t="str">
        <f t="shared" si="1546"/>
        <v>#N/A</v>
      </c>
      <c r="AB139" s="630" t="str">
        <f t="shared" si="1547"/>
        <v>#N/A</v>
      </c>
      <c r="AC139" s="630" t="str">
        <f t="shared" si="1548"/>
        <v>#N/A</v>
      </c>
      <c r="AD139" s="630" t="str">
        <f t="shared" si="1549"/>
        <v>#N/A</v>
      </c>
      <c r="AE139" s="630" t="str">
        <f t="shared" si="1550"/>
        <v>#N/A</v>
      </c>
      <c r="AF139" s="630" t="str">
        <f t="shared" si="1551"/>
        <v>#N/A</v>
      </c>
      <c r="AG139" s="630" t="str">
        <f t="shared" si="1552"/>
        <v>#N/A</v>
      </c>
      <c r="AH139" s="630" t="str">
        <f t="shared" si="1553"/>
        <v>#N/A</v>
      </c>
      <c r="AI139" s="630" t="str">
        <f t="shared" si="1554"/>
        <v>#N/A</v>
      </c>
      <c r="AJ139" s="630" t="str">
        <f t="shared" si="1555"/>
        <v>#N/A</v>
      </c>
      <c r="AK139" s="630" t="str">
        <f t="shared" si="1556"/>
        <v>#N/A</v>
      </c>
      <c r="AL139" s="630" t="str">
        <f t="shared" si="1557"/>
        <v>#N/A</v>
      </c>
      <c r="AM139" s="630" t="str">
        <f t="shared" si="1558"/>
        <v>#N/A</v>
      </c>
      <c r="AN139" s="630" t="str">
        <f t="shared" si="1559"/>
        <v>#N/A</v>
      </c>
      <c r="AO139" s="630" t="str">
        <f t="shared" si="1560"/>
        <v>#N/A</v>
      </c>
      <c r="AP139" s="630" t="str">
        <f t="shared" si="1561"/>
        <v>#N/A</v>
      </c>
      <c r="AQ139" s="630" t="str">
        <f t="shared" si="1562"/>
        <v>#N/A</v>
      </c>
      <c r="AR139" s="630" t="str">
        <f t="shared" si="1563"/>
        <v>#N/A</v>
      </c>
      <c r="AS139" s="630" t="str">
        <f t="shared" si="1564"/>
        <v>#N/A</v>
      </c>
      <c r="AT139" s="630" t="str">
        <f t="shared" si="1565"/>
        <v>#N/A</v>
      </c>
      <c r="AU139" s="630" t="str">
        <f t="shared" si="1566"/>
        <v>#N/A</v>
      </c>
      <c r="AV139" s="630" t="str">
        <f t="shared" si="1567"/>
        <v>#N/A</v>
      </c>
      <c r="AW139" s="630" t="str">
        <f t="shared" si="1568"/>
        <v>#N/A</v>
      </c>
      <c r="AX139" s="630" t="str">
        <f t="shared" si="1569"/>
        <v>#N/A</v>
      </c>
    </row>
    <row r="140" hidden="1" outlineLevel="1">
      <c r="A140" s="1452" t="s">
        <v>2986</v>
      </c>
      <c r="B140" s="1439" t="s">
        <v>3126</v>
      </c>
      <c r="C140" s="1440"/>
      <c r="D140" s="1441" t="s">
        <v>1462</v>
      </c>
      <c r="E140" s="1442">
        <f t="shared" ref="E140:J140" si="1628">SUM(E141:E142)</f>
        <v>0</v>
      </c>
      <c r="F140" s="1442">
        <f t="shared" si="1628"/>
        <v>0</v>
      </c>
      <c r="G140" s="1442">
        <f t="shared" si="1628"/>
        <v>0</v>
      </c>
      <c r="H140" s="1442">
        <f t="shared" si="1628"/>
        <v>0</v>
      </c>
      <c r="I140" s="1442">
        <f t="shared" si="1628"/>
        <v>0</v>
      </c>
      <c r="J140" s="1442">
        <f t="shared" si="1628"/>
        <v>0</v>
      </c>
      <c r="K140" s="1443"/>
      <c r="L140" s="1443"/>
      <c r="M140" s="1444" t="str">
        <f t="shared" ref="M140:N140" si="1629">S140</f>
        <v>#N/A</v>
      </c>
      <c r="N140" s="1444" t="str">
        <f t="shared" si="1629"/>
        <v>#N/A</v>
      </c>
      <c r="O140" s="1444" t="str">
        <f t="shared" ref="O140:P140" si="1630">W140</f>
        <v>#N/A</v>
      </c>
      <c r="P140" s="1444" t="str">
        <f t="shared" si="1630"/>
        <v>#N/A</v>
      </c>
      <c r="Q140" s="1445" t="str">
        <f t="shared" ref="Q140:R140" si="1631">AE140</f>
        <v>#N/A</v>
      </c>
      <c r="R140" s="1445" t="str">
        <f t="shared" si="1631"/>
        <v>#N/A</v>
      </c>
      <c r="S140" s="1445" t="str">
        <f t="shared" ref="S140:T140" si="1632">AK140</f>
        <v>#N/A</v>
      </c>
      <c r="T140" s="1445" t="str">
        <f t="shared" si="1632"/>
        <v>#N/A</v>
      </c>
      <c r="U140" s="1445" t="str">
        <f t="shared" ref="U140:V140" si="1633">AQ140</f>
        <v>#N/A</v>
      </c>
      <c r="V140" s="1445" t="str">
        <f t="shared" si="1633"/>
        <v>#N/A</v>
      </c>
      <c r="W140" s="1445" t="str">
        <f t="shared" ref="W140:X140" si="1634">AW140</f>
        <v>#N/A</v>
      </c>
      <c r="X140" s="1445" t="str">
        <f t="shared" si="1634"/>
        <v>#N/A</v>
      </c>
      <c r="Y140" s="630">
        <f t="shared" ref="Y140:Z140" si="1635">E140</f>
        <v>0</v>
      </c>
      <c r="Z140" s="630">
        <f t="shared" si="1635"/>
        <v>0</v>
      </c>
      <c r="AA140" s="630" t="str">
        <f t="shared" si="1546"/>
        <v>#N/A</v>
      </c>
      <c r="AB140" s="630" t="str">
        <f t="shared" si="1547"/>
        <v>#N/A</v>
      </c>
      <c r="AC140" s="630" t="str">
        <f t="shared" si="1548"/>
        <v>#N/A</v>
      </c>
      <c r="AD140" s="630" t="str">
        <f t="shared" si="1549"/>
        <v>#N/A</v>
      </c>
      <c r="AE140" s="630" t="str">
        <f t="shared" si="1550"/>
        <v>#N/A</v>
      </c>
      <c r="AF140" s="630" t="str">
        <f t="shared" si="1551"/>
        <v>#N/A</v>
      </c>
      <c r="AG140" s="630" t="str">
        <f t="shared" si="1552"/>
        <v>#N/A</v>
      </c>
      <c r="AH140" s="630" t="str">
        <f t="shared" si="1553"/>
        <v>#N/A</v>
      </c>
      <c r="AI140" s="630" t="str">
        <f t="shared" si="1554"/>
        <v>#N/A</v>
      </c>
      <c r="AJ140" s="630" t="str">
        <f t="shared" si="1555"/>
        <v>#N/A</v>
      </c>
      <c r="AK140" s="630" t="str">
        <f t="shared" si="1556"/>
        <v>#N/A</v>
      </c>
      <c r="AL140" s="630" t="str">
        <f t="shared" si="1557"/>
        <v>#N/A</v>
      </c>
      <c r="AM140" s="630" t="str">
        <f t="shared" si="1558"/>
        <v>#N/A</v>
      </c>
      <c r="AN140" s="630" t="str">
        <f t="shared" si="1559"/>
        <v>#N/A</v>
      </c>
      <c r="AO140" s="630" t="str">
        <f t="shared" si="1560"/>
        <v>#N/A</v>
      </c>
      <c r="AP140" s="630" t="str">
        <f t="shared" si="1561"/>
        <v>#N/A</v>
      </c>
      <c r="AQ140" s="630" t="str">
        <f t="shared" si="1562"/>
        <v>#N/A</v>
      </c>
      <c r="AR140" s="630" t="str">
        <f t="shared" si="1563"/>
        <v>#N/A</v>
      </c>
      <c r="AS140" s="630" t="str">
        <f t="shared" si="1564"/>
        <v>#N/A</v>
      </c>
      <c r="AT140" s="630" t="str">
        <f t="shared" si="1565"/>
        <v>#N/A</v>
      </c>
      <c r="AU140" s="630" t="str">
        <f t="shared" si="1566"/>
        <v>#N/A</v>
      </c>
      <c r="AV140" s="630" t="str">
        <f t="shared" si="1567"/>
        <v>#N/A</v>
      </c>
      <c r="AW140" s="630" t="str">
        <f t="shared" si="1568"/>
        <v>#N/A</v>
      </c>
      <c r="AX140" s="630" t="str">
        <f t="shared" si="1569"/>
        <v>#N/A</v>
      </c>
    </row>
    <row r="141" hidden="1" outlineLevel="1">
      <c r="A141" s="1448"/>
      <c r="B141" s="1440"/>
      <c r="C141" s="1449" t="s">
        <v>3127</v>
      </c>
      <c r="D141" s="1433" t="s">
        <v>1463</v>
      </c>
      <c r="E141" s="1450"/>
      <c r="F141" s="1450"/>
      <c r="G141" s="1450">
        <f>SUMIF(AC_TKNO,$C141,AC_SOTIEN)</f>
        <v>0</v>
      </c>
      <c r="H141" s="1450">
        <f>SUMIF(AC_TKCO,$C141,AC_SOTIEN)</f>
        <v>0</v>
      </c>
      <c r="I141" s="1450" t="str">
        <f t="shared" ref="I141:I142" si="1643">IF(E141+G141-F141-H141&gt;0,E141+G141-F141-H141,"-")</f>
        <v>-</v>
      </c>
      <c r="J141" s="1450" t="str">
        <f t="shared" ref="J141:J142" si="1644">IF(F141+H141-E141-G141&gt;0,F141+H141-E141-G141,"-")</f>
        <v>-</v>
      </c>
      <c r="K141" s="1443"/>
      <c r="L141" s="1443"/>
      <c r="M141" s="1444" t="str">
        <f t="shared" ref="M141:N141" si="1636">S141</f>
        <v>#N/A</v>
      </c>
      <c r="N141" s="1444" t="str">
        <f t="shared" si="1636"/>
        <v>#N/A</v>
      </c>
      <c r="O141" s="1444" t="str">
        <f t="shared" ref="O141:P141" si="1637">W141</f>
        <v>#N/A</v>
      </c>
      <c r="P141" s="1444" t="str">
        <f t="shared" si="1637"/>
        <v>#N/A</v>
      </c>
      <c r="Q141" s="1445" t="str">
        <f t="shared" ref="Q141:R141" si="1638">AE141</f>
        <v>#N/A</v>
      </c>
      <c r="R141" s="1445" t="str">
        <f t="shared" si="1638"/>
        <v>#N/A</v>
      </c>
      <c r="S141" s="1445" t="str">
        <f t="shared" ref="S141:T141" si="1639">AK141</f>
        <v>#N/A</v>
      </c>
      <c r="T141" s="1445" t="str">
        <f t="shared" si="1639"/>
        <v>#N/A</v>
      </c>
      <c r="U141" s="1445" t="str">
        <f t="shared" ref="U141:V141" si="1640">AQ141</f>
        <v>#N/A</v>
      </c>
      <c r="V141" s="1445" t="str">
        <f t="shared" si="1640"/>
        <v>#N/A</v>
      </c>
      <c r="W141" s="1445" t="str">
        <f t="shared" ref="W141:X141" si="1641">AW141</f>
        <v>#N/A</v>
      </c>
      <c r="X141" s="1445" t="str">
        <f t="shared" si="1641"/>
        <v>#N/A</v>
      </c>
      <c r="Y141" s="630" t="str">
        <f t="shared" ref="Y141:Z141" si="1642">E141</f>
        <v/>
      </c>
      <c r="Z141" s="630" t="str">
        <f t="shared" si="1642"/>
        <v/>
      </c>
      <c r="AA141" s="630" t="str">
        <f t="shared" si="1546"/>
        <v>#N/A</v>
      </c>
      <c r="AB141" s="630" t="str">
        <f t="shared" si="1547"/>
        <v>#N/A</v>
      </c>
      <c r="AC141" s="630" t="str">
        <f t="shared" si="1548"/>
        <v>#N/A</v>
      </c>
      <c r="AD141" s="630" t="str">
        <f t="shared" si="1549"/>
        <v>#N/A</v>
      </c>
      <c r="AE141" s="630" t="str">
        <f t="shared" si="1550"/>
        <v>#N/A</v>
      </c>
      <c r="AF141" s="630" t="str">
        <f t="shared" si="1551"/>
        <v>#N/A</v>
      </c>
      <c r="AG141" s="630" t="str">
        <f t="shared" si="1552"/>
        <v>#N/A</v>
      </c>
      <c r="AH141" s="630" t="str">
        <f t="shared" si="1553"/>
        <v>#N/A</v>
      </c>
      <c r="AI141" s="630" t="str">
        <f t="shared" si="1554"/>
        <v>#N/A</v>
      </c>
      <c r="AJ141" s="630" t="str">
        <f t="shared" si="1555"/>
        <v>#N/A</v>
      </c>
      <c r="AK141" s="630" t="str">
        <f t="shared" si="1556"/>
        <v>#N/A</v>
      </c>
      <c r="AL141" s="630" t="str">
        <f t="shared" si="1557"/>
        <v>#N/A</v>
      </c>
      <c r="AM141" s="630" t="str">
        <f t="shared" si="1558"/>
        <v>#N/A</v>
      </c>
      <c r="AN141" s="630" t="str">
        <f t="shared" si="1559"/>
        <v>#N/A</v>
      </c>
      <c r="AO141" s="630" t="str">
        <f t="shared" si="1560"/>
        <v>#N/A</v>
      </c>
      <c r="AP141" s="630" t="str">
        <f t="shared" si="1561"/>
        <v>#N/A</v>
      </c>
      <c r="AQ141" s="630" t="str">
        <f t="shared" si="1562"/>
        <v>#N/A</v>
      </c>
      <c r="AR141" s="630" t="str">
        <f t="shared" si="1563"/>
        <v>#N/A</v>
      </c>
      <c r="AS141" s="630" t="str">
        <f t="shared" si="1564"/>
        <v>#N/A</v>
      </c>
      <c r="AT141" s="630" t="str">
        <f t="shared" si="1565"/>
        <v>#N/A</v>
      </c>
      <c r="AU141" s="630" t="str">
        <f t="shared" si="1566"/>
        <v>#N/A</v>
      </c>
      <c r="AV141" s="630" t="str">
        <f t="shared" si="1567"/>
        <v>#N/A</v>
      </c>
      <c r="AW141" s="630" t="str">
        <f t="shared" si="1568"/>
        <v>#N/A</v>
      </c>
      <c r="AX141" s="630" t="str">
        <f t="shared" si="1569"/>
        <v>#N/A</v>
      </c>
    </row>
    <row r="142" hidden="1" outlineLevel="1">
      <c r="A142" s="1448"/>
      <c r="B142" s="1440"/>
      <c r="C142" s="1449" t="s">
        <v>3128</v>
      </c>
      <c r="D142" s="1433" t="s">
        <v>1464</v>
      </c>
      <c r="E142" s="1450"/>
      <c r="F142" s="1450"/>
      <c r="G142" s="1450">
        <f>SUMIF(AC_TKNO,$C142,AC_SOTIEN)</f>
        <v>0</v>
      </c>
      <c r="H142" s="1450">
        <f>SUMIF(AC_TKCO,$C142,AC_SOTIEN)</f>
        <v>0</v>
      </c>
      <c r="I142" s="1450" t="str">
        <f t="shared" si="1643"/>
        <v>-</v>
      </c>
      <c r="J142" s="1450" t="str">
        <f t="shared" si="1644"/>
        <v>-</v>
      </c>
      <c r="K142" s="1443"/>
      <c r="L142" s="1443"/>
      <c r="M142" s="1444" t="str">
        <f t="shared" ref="M142:N142" si="1645">S142</f>
        <v>#N/A</v>
      </c>
      <c r="N142" s="1444" t="str">
        <f t="shared" si="1645"/>
        <v>#N/A</v>
      </c>
      <c r="O142" s="1444" t="str">
        <f t="shared" ref="O142:P142" si="1646">W142</f>
        <v>#N/A</v>
      </c>
      <c r="P142" s="1444" t="str">
        <f t="shared" si="1646"/>
        <v>#N/A</v>
      </c>
      <c r="Q142" s="1445" t="str">
        <f t="shared" ref="Q142:R142" si="1647">AE142</f>
        <v>#N/A</v>
      </c>
      <c r="R142" s="1445" t="str">
        <f t="shared" si="1647"/>
        <v>#N/A</v>
      </c>
      <c r="S142" s="1445" t="str">
        <f t="shared" ref="S142:T142" si="1648">AK142</f>
        <v>#N/A</v>
      </c>
      <c r="T142" s="1445" t="str">
        <f t="shared" si="1648"/>
        <v>#N/A</v>
      </c>
      <c r="U142" s="1445" t="str">
        <f t="shared" ref="U142:V142" si="1649">AQ142</f>
        <v>#N/A</v>
      </c>
      <c r="V142" s="1445" t="str">
        <f t="shared" si="1649"/>
        <v>#N/A</v>
      </c>
      <c r="W142" s="1445" t="str">
        <f t="shared" ref="W142:X142" si="1650">AW142</f>
        <v>#N/A</v>
      </c>
      <c r="X142" s="1445" t="str">
        <f t="shared" si="1650"/>
        <v>#N/A</v>
      </c>
      <c r="Y142" s="1457" t="str">
        <f t="shared" ref="Y142:Z142" si="1651">E142</f>
        <v/>
      </c>
      <c r="Z142" s="1457" t="str">
        <f t="shared" si="1651"/>
        <v/>
      </c>
      <c r="AA142" s="630" t="str">
        <f t="shared" si="1546"/>
        <v>#N/A</v>
      </c>
      <c r="AB142" s="630" t="str">
        <f t="shared" si="1547"/>
        <v>#N/A</v>
      </c>
      <c r="AC142" s="630" t="str">
        <f t="shared" si="1548"/>
        <v>#N/A</v>
      </c>
      <c r="AD142" s="630" t="str">
        <f t="shared" si="1549"/>
        <v>#N/A</v>
      </c>
      <c r="AE142" s="630" t="str">
        <f t="shared" si="1550"/>
        <v>#N/A</v>
      </c>
      <c r="AF142" s="630" t="str">
        <f t="shared" si="1551"/>
        <v>#N/A</v>
      </c>
      <c r="AG142" s="630" t="str">
        <f t="shared" si="1552"/>
        <v>#N/A</v>
      </c>
      <c r="AH142" s="630" t="str">
        <f t="shared" si="1553"/>
        <v>#N/A</v>
      </c>
      <c r="AI142" s="630" t="str">
        <f t="shared" si="1554"/>
        <v>#N/A</v>
      </c>
      <c r="AJ142" s="630" t="str">
        <f t="shared" si="1555"/>
        <v>#N/A</v>
      </c>
      <c r="AK142" s="630" t="str">
        <f t="shared" si="1556"/>
        <v>#N/A</v>
      </c>
      <c r="AL142" s="630" t="str">
        <f t="shared" si="1557"/>
        <v>#N/A</v>
      </c>
      <c r="AM142" s="630" t="str">
        <f t="shared" si="1558"/>
        <v>#N/A</v>
      </c>
      <c r="AN142" s="630" t="str">
        <f t="shared" si="1559"/>
        <v>#N/A</v>
      </c>
      <c r="AO142" s="630" t="str">
        <f t="shared" si="1560"/>
        <v>#N/A</v>
      </c>
      <c r="AP142" s="630" t="str">
        <f t="shared" si="1561"/>
        <v>#N/A</v>
      </c>
      <c r="AQ142" s="630" t="str">
        <f t="shared" si="1562"/>
        <v>#N/A</v>
      </c>
      <c r="AR142" s="630" t="str">
        <f t="shared" si="1563"/>
        <v>#N/A</v>
      </c>
      <c r="AS142" s="630" t="str">
        <f t="shared" si="1564"/>
        <v>#N/A</v>
      </c>
      <c r="AT142" s="630" t="str">
        <f t="shared" si="1565"/>
        <v>#N/A</v>
      </c>
      <c r="AU142" s="630" t="str">
        <f t="shared" si="1566"/>
        <v>#N/A</v>
      </c>
      <c r="AV142" s="630" t="str">
        <f t="shared" si="1567"/>
        <v>#N/A</v>
      </c>
      <c r="AW142" s="630" t="str">
        <f t="shared" si="1568"/>
        <v>#N/A</v>
      </c>
      <c r="AX142" s="630" t="str">
        <f t="shared" si="1569"/>
        <v>#N/A</v>
      </c>
    </row>
    <row r="143" hidden="1" outlineLevel="1">
      <c r="A143" s="1452" t="s">
        <v>2986</v>
      </c>
      <c r="B143" s="1439" t="s">
        <v>3129</v>
      </c>
      <c r="C143" s="1440"/>
      <c r="D143" s="1441" t="s">
        <v>1712</v>
      </c>
      <c r="E143" s="1442">
        <f t="shared" ref="E143:J143" si="1652">SUM(E144:E148)</f>
        <v>0</v>
      </c>
      <c r="F143" s="1442">
        <f t="shared" si="1652"/>
        <v>0</v>
      </c>
      <c r="G143" s="1442">
        <f t="shared" si="1652"/>
        <v>0</v>
      </c>
      <c r="H143" s="1442">
        <f t="shared" si="1652"/>
        <v>0</v>
      </c>
      <c r="I143" s="1442">
        <f t="shared" si="1652"/>
        <v>0</v>
      </c>
      <c r="J143" s="1442">
        <f t="shared" si="1652"/>
        <v>0</v>
      </c>
      <c r="K143" s="1443"/>
      <c r="L143" s="1443"/>
      <c r="M143" s="1444" t="str">
        <f t="shared" ref="M143:N143" si="1653">S143</f>
        <v>#N/A</v>
      </c>
      <c r="N143" s="1444" t="str">
        <f t="shared" si="1653"/>
        <v>#N/A</v>
      </c>
      <c r="O143" s="1444" t="str">
        <f t="shared" ref="O143:P143" si="1654">W143</f>
        <v>#N/A</v>
      </c>
      <c r="P143" s="1444" t="str">
        <f t="shared" si="1654"/>
        <v>#N/A</v>
      </c>
      <c r="Q143" s="1445" t="str">
        <f t="shared" ref="Q143:R143" si="1655">AE143</f>
        <v>#N/A</v>
      </c>
      <c r="R143" s="1445" t="str">
        <f t="shared" si="1655"/>
        <v>#N/A</v>
      </c>
      <c r="S143" s="1445" t="str">
        <f t="shared" ref="S143:T143" si="1656">AK143</f>
        <v>#N/A</v>
      </c>
      <c r="T143" s="1445" t="str">
        <f t="shared" si="1656"/>
        <v>#N/A</v>
      </c>
      <c r="U143" s="1445" t="str">
        <f t="shared" ref="U143:V143" si="1657">AQ143</f>
        <v>#N/A</v>
      </c>
      <c r="V143" s="1445" t="str">
        <f t="shared" si="1657"/>
        <v>#N/A</v>
      </c>
      <c r="W143" s="1445" t="str">
        <f t="shared" ref="W143:X143" si="1658">AW143</f>
        <v>#N/A</v>
      </c>
      <c r="X143" s="1445" t="str">
        <f t="shared" si="1658"/>
        <v>#N/A</v>
      </c>
      <c r="Y143" s="1457">
        <f t="shared" ref="Y143:Z143" si="1659">E143</f>
        <v>0</v>
      </c>
      <c r="Z143" s="1457">
        <f t="shared" si="1659"/>
        <v>0</v>
      </c>
      <c r="AA143" s="630" t="str">
        <f t="shared" si="1546"/>
        <v>#N/A</v>
      </c>
      <c r="AB143" s="630" t="str">
        <f t="shared" si="1547"/>
        <v>#N/A</v>
      </c>
      <c r="AC143" s="630" t="str">
        <f t="shared" si="1548"/>
        <v>#N/A</v>
      </c>
      <c r="AD143" s="630" t="str">
        <f t="shared" si="1549"/>
        <v>#N/A</v>
      </c>
      <c r="AE143" s="630" t="str">
        <f t="shared" si="1550"/>
        <v>#N/A</v>
      </c>
      <c r="AF143" s="630" t="str">
        <f t="shared" si="1551"/>
        <v>#N/A</v>
      </c>
      <c r="AG143" s="630" t="str">
        <f t="shared" si="1552"/>
        <v>#N/A</v>
      </c>
      <c r="AH143" s="630" t="str">
        <f t="shared" si="1553"/>
        <v>#N/A</v>
      </c>
      <c r="AI143" s="630" t="str">
        <f t="shared" si="1554"/>
        <v>#N/A</v>
      </c>
      <c r="AJ143" s="630" t="str">
        <f t="shared" si="1555"/>
        <v>#N/A</v>
      </c>
      <c r="AK143" s="630" t="str">
        <f t="shared" si="1556"/>
        <v>#N/A</v>
      </c>
      <c r="AL143" s="630" t="str">
        <f t="shared" si="1557"/>
        <v>#N/A</v>
      </c>
      <c r="AM143" s="630" t="str">
        <f t="shared" si="1558"/>
        <v>#N/A</v>
      </c>
      <c r="AN143" s="630" t="str">
        <f t="shared" si="1559"/>
        <v>#N/A</v>
      </c>
      <c r="AO143" s="630" t="str">
        <f t="shared" si="1560"/>
        <v>#N/A</v>
      </c>
      <c r="AP143" s="630" t="str">
        <f t="shared" si="1561"/>
        <v>#N/A</v>
      </c>
      <c r="AQ143" s="630" t="str">
        <f t="shared" si="1562"/>
        <v>#N/A</v>
      </c>
      <c r="AR143" s="630" t="str">
        <f t="shared" si="1563"/>
        <v>#N/A</v>
      </c>
      <c r="AS143" s="630" t="str">
        <f t="shared" si="1564"/>
        <v>#N/A</v>
      </c>
      <c r="AT143" s="630" t="str">
        <f t="shared" si="1565"/>
        <v>#N/A</v>
      </c>
      <c r="AU143" s="630" t="str">
        <f t="shared" si="1566"/>
        <v>#N/A</v>
      </c>
      <c r="AV143" s="630" t="str">
        <f t="shared" si="1567"/>
        <v>#N/A</v>
      </c>
      <c r="AW143" s="630" t="str">
        <f t="shared" si="1568"/>
        <v>#N/A</v>
      </c>
      <c r="AX143" s="630" t="str">
        <f t="shared" si="1569"/>
        <v>#N/A</v>
      </c>
    </row>
    <row r="144" hidden="1" outlineLevel="1">
      <c r="A144" s="1448"/>
      <c r="B144" s="1440"/>
      <c r="C144" s="1449" t="s">
        <v>3130</v>
      </c>
      <c r="D144" s="1433" t="s">
        <v>1713</v>
      </c>
      <c r="E144" s="1450"/>
      <c r="F144" s="1450"/>
      <c r="G144" s="1450">
        <f>SUMIF(AC_TKNO,$C144,AC_SOTIEN)</f>
        <v>0</v>
      </c>
      <c r="H144" s="1450">
        <f>SUMIF(AC_TKCO,$C144,AC_SOTIEN)</f>
        <v>0</v>
      </c>
      <c r="I144" s="1450" t="str">
        <f t="shared" ref="I144:I150" si="1667">IF(E144+G144-F144-H144&gt;0,E144+G144-F144-H144,"-")</f>
        <v>-</v>
      </c>
      <c r="J144" s="1450" t="str">
        <f t="shared" ref="J144:J150" si="1668">IF(F144+H144-E144-G144&gt;0,F144+H144-E144-G144,"-")</f>
        <v>-</v>
      </c>
      <c r="K144" s="1443"/>
      <c r="L144" s="1443"/>
      <c r="M144" s="1444" t="str">
        <f t="shared" ref="M144:N144" si="1660">S144</f>
        <v>#N/A</v>
      </c>
      <c r="N144" s="1444" t="str">
        <f t="shared" si="1660"/>
        <v>#N/A</v>
      </c>
      <c r="O144" s="1444" t="str">
        <f t="shared" ref="O144:P144" si="1661">W144</f>
        <v>#N/A</v>
      </c>
      <c r="P144" s="1444" t="str">
        <f t="shared" si="1661"/>
        <v>#N/A</v>
      </c>
      <c r="Q144" s="1445" t="str">
        <f t="shared" ref="Q144:R144" si="1662">AE144</f>
        <v>#N/A</v>
      </c>
      <c r="R144" s="1445" t="str">
        <f t="shared" si="1662"/>
        <v>#N/A</v>
      </c>
      <c r="S144" s="1445" t="str">
        <f t="shared" ref="S144:T144" si="1663">AK144</f>
        <v>#N/A</v>
      </c>
      <c r="T144" s="1445" t="str">
        <f t="shared" si="1663"/>
        <v>#N/A</v>
      </c>
      <c r="U144" s="1445" t="str">
        <f t="shared" ref="U144:V144" si="1664">AQ144</f>
        <v>#N/A</v>
      </c>
      <c r="V144" s="1445" t="str">
        <f t="shared" si="1664"/>
        <v>#N/A</v>
      </c>
      <c r="W144" s="1445" t="str">
        <f t="shared" ref="W144:X144" si="1665">AW144</f>
        <v>#N/A</v>
      </c>
      <c r="X144" s="1445" t="str">
        <f t="shared" si="1665"/>
        <v>#N/A</v>
      </c>
      <c r="Y144" s="1457" t="str">
        <f t="shared" ref="Y144:Z144" si="1666">E144</f>
        <v/>
      </c>
      <c r="Z144" s="1457" t="str">
        <f t="shared" si="1666"/>
        <v/>
      </c>
      <c r="AA144" s="630" t="str">
        <f t="shared" si="1546"/>
        <v>#N/A</v>
      </c>
      <c r="AB144" s="630" t="str">
        <f t="shared" si="1547"/>
        <v>#N/A</v>
      </c>
      <c r="AC144" s="630" t="str">
        <f t="shared" si="1548"/>
        <v>#N/A</v>
      </c>
      <c r="AD144" s="630" t="str">
        <f t="shared" si="1549"/>
        <v>#N/A</v>
      </c>
      <c r="AE144" s="630" t="str">
        <f t="shared" si="1550"/>
        <v>#N/A</v>
      </c>
      <c r="AF144" s="630" t="str">
        <f t="shared" si="1551"/>
        <v>#N/A</v>
      </c>
      <c r="AG144" s="630" t="str">
        <f t="shared" si="1552"/>
        <v>#N/A</v>
      </c>
      <c r="AH144" s="630" t="str">
        <f t="shared" si="1553"/>
        <v>#N/A</v>
      </c>
      <c r="AI144" s="630" t="str">
        <f t="shared" si="1554"/>
        <v>#N/A</v>
      </c>
      <c r="AJ144" s="630" t="str">
        <f t="shared" si="1555"/>
        <v>#N/A</v>
      </c>
      <c r="AK144" s="630" t="str">
        <f t="shared" si="1556"/>
        <v>#N/A</v>
      </c>
      <c r="AL144" s="630" t="str">
        <f t="shared" si="1557"/>
        <v>#N/A</v>
      </c>
      <c r="AM144" s="630" t="str">
        <f t="shared" si="1558"/>
        <v>#N/A</v>
      </c>
      <c r="AN144" s="630" t="str">
        <f t="shared" si="1559"/>
        <v>#N/A</v>
      </c>
      <c r="AO144" s="630" t="str">
        <f t="shared" si="1560"/>
        <v>#N/A</v>
      </c>
      <c r="AP144" s="630" t="str">
        <f t="shared" si="1561"/>
        <v>#N/A</v>
      </c>
      <c r="AQ144" s="630" t="str">
        <f t="shared" si="1562"/>
        <v>#N/A</v>
      </c>
      <c r="AR144" s="630" t="str">
        <f t="shared" si="1563"/>
        <v>#N/A</v>
      </c>
      <c r="AS144" s="630" t="str">
        <f t="shared" si="1564"/>
        <v>#N/A</v>
      </c>
      <c r="AT144" s="630" t="str">
        <f t="shared" si="1565"/>
        <v>#N/A</v>
      </c>
      <c r="AU144" s="630" t="str">
        <f t="shared" si="1566"/>
        <v>#N/A</v>
      </c>
      <c r="AV144" s="630" t="str">
        <f t="shared" si="1567"/>
        <v>#N/A</v>
      </c>
      <c r="AW144" s="630" t="str">
        <f t="shared" si="1568"/>
        <v>#N/A</v>
      </c>
      <c r="AX144" s="630" t="str">
        <f t="shared" si="1569"/>
        <v>#N/A</v>
      </c>
    </row>
    <row r="145" hidden="1" outlineLevel="1">
      <c r="A145" s="1448"/>
      <c r="B145" s="1440"/>
      <c r="C145" s="1460" t="s">
        <v>3131</v>
      </c>
      <c r="D145" s="1461" t="s">
        <v>3132</v>
      </c>
      <c r="E145" s="1450"/>
      <c r="F145" s="1450"/>
      <c r="G145" s="1450">
        <f>SUMIF(AC_TKNO,$C145,AC_SOTIEN)</f>
        <v>0</v>
      </c>
      <c r="H145" s="1450">
        <f>SUMIF(AC_TKCO,$C145,AC_SOTIEN)</f>
        <v>0</v>
      </c>
      <c r="I145" s="1450" t="str">
        <f t="shared" si="1667"/>
        <v>-</v>
      </c>
      <c r="J145" s="1450" t="str">
        <f t="shared" si="1668"/>
        <v>-</v>
      </c>
      <c r="K145" s="1443"/>
      <c r="L145" s="1443"/>
      <c r="M145" s="1444" t="str">
        <f t="shared" ref="M145:N145" si="1669">S145</f>
        <v>#N/A</v>
      </c>
      <c r="N145" s="1444" t="str">
        <f t="shared" si="1669"/>
        <v>#N/A</v>
      </c>
      <c r="O145" s="1444" t="str">
        <f t="shared" ref="O145:P145" si="1670">W145</f>
        <v>#N/A</v>
      </c>
      <c r="P145" s="1444" t="str">
        <f t="shared" si="1670"/>
        <v>#N/A</v>
      </c>
      <c r="Q145" s="1445" t="str">
        <f t="shared" ref="Q145:R145" si="1671">AE145</f>
        <v>#N/A</v>
      </c>
      <c r="R145" s="1445" t="str">
        <f t="shared" si="1671"/>
        <v>#N/A</v>
      </c>
      <c r="S145" s="1445" t="str">
        <f t="shared" ref="S145:T145" si="1672">AK145</f>
        <v>#N/A</v>
      </c>
      <c r="T145" s="1445" t="str">
        <f t="shared" si="1672"/>
        <v>#N/A</v>
      </c>
      <c r="U145" s="1445" t="str">
        <f t="shared" ref="U145:V145" si="1673">AQ145</f>
        <v>#N/A</v>
      </c>
      <c r="V145" s="1445" t="str">
        <f t="shared" si="1673"/>
        <v>#N/A</v>
      </c>
      <c r="W145" s="1445" t="str">
        <f t="shared" ref="W145:X145" si="1674">AW145</f>
        <v>#N/A</v>
      </c>
      <c r="X145" s="1445" t="str">
        <f t="shared" si="1674"/>
        <v>#N/A</v>
      </c>
      <c r="Y145" s="1457" t="str">
        <f t="shared" ref="Y145:Z145" si="1675">E145</f>
        <v/>
      </c>
      <c r="Z145" s="1457" t="str">
        <f t="shared" si="1675"/>
        <v/>
      </c>
      <c r="AA145" s="630" t="str">
        <f t="shared" si="1546"/>
        <v>#N/A</v>
      </c>
      <c r="AB145" s="630" t="str">
        <f t="shared" si="1547"/>
        <v>#N/A</v>
      </c>
      <c r="AC145" s="630" t="str">
        <f t="shared" si="1548"/>
        <v>#N/A</v>
      </c>
      <c r="AD145" s="630" t="str">
        <f t="shared" si="1549"/>
        <v>#N/A</v>
      </c>
      <c r="AE145" s="630" t="str">
        <f t="shared" si="1550"/>
        <v>#N/A</v>
      </c>
      <c r="AF145" s="630" t="str">
        <f t="shared" si="1551"/>
        <v>#N/A</v>
      </c>
      <c r="AG145" s="630" t="str">
        <f t="shared" si="1552"/>
        <v>#N/A</v>
      </c>
      <c r="AH145" s="630" t="str">
        <f t="shared" si="1553"/>
        <v>#N/A</v>
      </c>
      <c r="AI145" s="630" t="str">
        <f t="shared" si="1554"/>
        <v>#N/A</v>
      </c>
      <c r="AJ145" s="630" t="str">
        <f t="shared" si="1555"/>
        <v>#N/A</v>
      </c>
      <c r="AK145" s="630" t="str">
        <f t="shared" si="1556"/>
        <v>#N/A</v>
      </c>
      <c r="AL145" s="630" t="str">
        <f t="shared" si="1557"/>
        <v>#N/A</v>
      </c>
      <c r="AM145" s="630" t="str">
        <f t="shared" si="1558"/>
        <v>#N/A</v>
      </c>
      <c r="AN145" s="630" t="str">
        <f t="shared" si="1559"/>
        <v>#N/A</v>
      </c>
      <c r="AO145" s="630" t="str">
        <f t="shared" si="1560"/>
        <v>#N/A</v>
      </c>
      <c r="AP145" s="630" t="str">
        <f t="shared" si="1561"/>
        <v>#N/A</v>
      </c>
      <c r="AQ145" s="630" t="str">
        <f t="shared" si="1562"/>
        <v>#N/A</v>
      </c>
      <c r="AR145" s="630" t="str">
        <f t="shared" si="1563"/>
        <v>#N/A</v>
      </c>
      <c r="AS145" s="630" t="str">
        <f t="shared" si="1564"/>
        <v>#N/A</v>
      </c>
      <c r="AT145" s="630" t="str">
        <f t="shared" si="1565"/>
        <v>#N/A</v>
      </c>
      <c r="AU145" s="630" t="str">
        <f t="shared" si="1566"/>
        <v>#N/A</v>
      </c>
      <c r="AV145" s="630" t="str">
        <f t="shared" si="1567"/>
        <v>#N/A</v>
      </c>
      <c r="AW145" s="630" t="str">
        <f t="shared" si="1568"/>
        <v>#N/A</v>
      </c>
      <c r="AX145" s="630" t="str">
        <f t="shared" si="1569"/>
        <v>#N/A</v>
      </c>
    </row>
    <row r="146" hidden="1" outlineLevel="1">
      <c r="A146" s="1448"/>
      <c r="B146" s="1440"/>
      <c r="C146" s="1460" t="s">
        <v>3133</v>
      </c>
      <c r="D146" s="1464" t="s">
        <v>3134</v>
      </c>
      <c r="E146" s="1450"/>
      <c r="F146" s="1450"/>
      <c r="G146" s="1450">
        <f>SUMIF(AC_TKNO,$C146,AC_SOTIEN)</f>
        <v>0</v>
      </c>
      <c r="H146" s="1450">
        <f>SUMIF(AC_TKCO,$C146,AC_SOTIEN)</f>
        <v>0</v>
      </c>
      <c r="I146" s="1450" t="str">
        <f t="shared" si="1667"/>
        <v>-</v>
      </c>
      <c r="J146" s="1450" t="str">
        <f t="shared" si="1668"/>
        <v>-</v>
      </c>
      <c r="K146" s="1443"/>
      <c r="L146" s="1443"/>
      <c r="M146" s="1444" t="str">
        <f t="shared" ref="M146:N146" si="1676">S146</f>
        <v>#N/A</v>
      </c>
      <c r="N146" s="1444" t="str">
        <f t="shared" si="1676"/>
        <v>#N/A</v>
      </c>
      <c r="O146" s="1444" t="str">
        <f t="shared" ref="O146:P146" si="1677">W146</f>
        <v>#N/A</v>
      </c>
      <c r="P146" s="1444" t="str">
        <f t="shared" si="1677"/>
        <v>#N/A</v>
      </c>
      <c r="Q146" s="1445" t="str">
        <f t="shared" ref="Q146:R146" si="1678">AE146</f>
        <v>#N/A</v>
      </c>
      <c r="R146" s="1445" t="str">
        <f t="shared" si="1678"/>
        <v>#N/A</v>
      </c>
      <c r="S146" s="1445" t="str">
        <f t="shared" ref="S146:T146" si="1679">AK146</f>
        <v>#N/A</v>
      </c>
      <c r="T146" s="1445" t="str">
        <f t="shared" si="1679"/>
        <v>#N/A</v>
      </c>
      <c r="U146" s="1445" t="str">
        <f t="shared" ref="U146:V146" si="1680">AQ146</f>
        <v>#N/A</v>
      </c>
      <c r="V146" s="1445" t="str">
        <f t="shared" si="1680"/>
        <v>#N/A</v>
      </c>
      <c r="W146" s="1445" t="str">
        <f t="shared" ref="W146:X146" si="1681">AW146</f>
        <v>#N/A</v>
      </c>
      <c r="X146" s="1445" t="str">
        <f t="shared" si="1681"/>
        <v>#N/A</v>
      </c>
      <c r="Y146" s="1457" t="str">
        <f t="shared" ref="Y146:Z146" si="1682">E146</f>
        <v/>
      </c>
      <c r="Z146" s="1457" t="str">
        <f t="shared" si="1682"/>
        <v/>
      </c>
      <c r="AA146" s="630" t="str">
        <f t="shared" si="1546"/>
        <v>#N/A</v>
      </c>
      <c r="AB146" s="630" t="str">
        <f t="shared" si="1547"/>
        <v>#N/A</v>
      </c>
      <c r="AC146" s="630" t="str">
        <f t="shared" si="1548"/>
        <v>#N/A</v>
      </c>
      <c r="AD146" s="630" t="str">
        <f t="shared" si="1549"/>
        <v>#N/A</v>
      </c>
      <c r="AE146" s="630" t="str">
        <f t="shared" si="1550"/>
        <v>#N/A</v>
      </c>
      <c r="AF146" s="630" t="str">
        <f t="shared" si="1551"/>
        <v>#N/A</v>
      </c>
      <c r="AG146" s="630" t="str">
        <f t="shared" si="1552"/>
        <v>#N/A</v>
      </c>
      <c r="AH146" s="630" t="str">
        <f t="shared" si="1553"/>
        <v>#N/A</v>
      </c>
      <c r="AI146" s="630" t="str">
        <f t="shared" si="1554"/>
        <v>#N/A</v>
      </c>
      <c r="AJ146" s="630" t="str">
        <f t="shared" si="1555"/>
        <v>#N/A</v>
      </c>
      <c r="AK146" s="630" t="str">
        <f t="shared" si="1556"/>
        <v>#N/A</v>
      </c>
      <c r="AL146" s="630" t="str">
        <f t="shared" si="1557"/>
        <v>#N/A</v>
      </c>
      <c r="AM146" s="630" t="str">
        <f t="shared" si="1558"/>
        <v>#N/A</v>
      </c>
      <c r="AN146" s="630" t="str">
        <f t="shared" si="1559"/>
        <v>#N/A</v>
      </c>
      <c r="AO146" s="630" t="str">
        <f t="shared" si="1560"/>
        <v>#N/A</v>
      </c>
      <c r="AP146" s="630" t="str">
        <f t="shared" si="1561"/>
        <v>#N/A</v>
      </c>
      <c r="AQ146" s="630" t="str">
        <f t="shared" si="1562"/>
        <v>#N/A</v>
      </c>
      <c r="AR146" s="630" t="str">
        <f t="shared" si="1563"/>
        <v>#N/A</v>
      </c>
      <c r="AS146" s="630" t="str">
        <f t="shared" si="1564"/>
        <v>#N/A</v>
      </c>
      <c r="AT146" s="630" t="str">
        <f t="shared" si="1565"/>
        <v>#N/A</v>
      </c>
      <c r="AU146" s="630" t="str">
        <f t="shared" si="1566"/>
        <v>#N/A</v>
      </c>
      <c r="AV146" s="630" t="str">
        <f t="shared" si="1567"/>
        <v>#N/A</v>
      </c>
      <c r="AW146" s="630" t="str">
        <f t="shared" si="1568"/>
        <v>#N/A</v>
      </c>
      <c r="AX146" s="630" t="str">
        <f t="shared" si="1569"/>
        <v>#N/A</v>
      </c>
    </row>
    <row r="147" hidden="1" outlineLevel="1">
      <c r="A147" s="1465"/>
      <c r="B147" s="1440"/>
      <c r="C147" s="1460" t="s">
        <v>3135</v>
      </c>
      <c r="D147" s="1466" t="s">
        <v>3136</v>
      </c>
      <c r="E147" s="1450"/>
      <c r="F147" s="1450"/>
      <c r="G147" s="1450">
        <f>SUMIF(AC_TKNO,$C147,AC_SOTIEN)</f>
        <v>0</v>
      </c>
      <c r="H147" s="1450">
        <f>SUMIF(AC_TKCO,$C147,AC_SOTIEN)</f>
        <v>0</v>
      </c>
      <c r="I147" s="1450" t="str">
        <f t="shared" si="1667"/>
        <v>-</v>
      </c>
      <c r="J147" s="1450" t="str">
        <f t="shared" si="1668"/>
        <v>-</v>
      </c>
      <c r="K147" s="1443"/>
      <c r="L147" s="1443"/>
      <c r="M147" s="1444" t="str">
        <f t="shared" ref="M147:N147" si="1683">S147</f>
        <v>#N/A</v>
      </c>
      <c r="N147" s="1444" t="str">
        <f t="shared" si="1683"/>
        <v>#N/A</v>
      </c>
      <c r="O147" s="1444" t="str">
        <f t="shared" ref="O147:P147" si="1684">W147</f>
        <v>#N/A</v>
      </c>
      <c r="P147" s="1444" t="str">
        <f t="shared" si="1684"/>
        <v>#N/A</v>
      </c>
      <c r="Q147" s="1445" t="str">
        <f t="shared" ref="Q147:R147" si="1685">AE147</f>
        <v>#N/A</v>
      </c>
      <c r="R147" s="1445" t="str">
        <f t="shared" si="1685"/>
        <v>#N/A</v>
      </c>
      <c r="S147" s="1445" t="str">
        <f t="shared" ref="S147:T147" si="1686">AK147</f>
        <v>#N/A</v>
      </c>
      <c r="T147" s="1445" t="str">
        <f t="shared" si="1686"/>
        <v>#N/A</v>
      </c>
      <c r="U147" s="1445" t="str">
        <f t="shared" ref="U147:V147" si="1687">AQ147</f>
        <v>#N/A</v>
      </c>
      <c r="V147" s="1445" t="str">
        <f t="shared" si="1687"/>
        <v>#N/A</v>
      </c>
      <c r="W147" s="1445" t="str">
        <f t="shared" ref="W147:X147" si="1688">AW147</f>
        <v>#N/A</v>
      </c>
      <c r="X147" s="1445" t="str">
        <f t="shared" si="1688"/>
        <v>#N/A</v>
      </c>
      <c r="Y147" s="1457" t="str">
        <f t="shared" ref="Y147:Z147" si="1689">E147</f>
        <v/>
      </c>
      <c r="Z147" s="1457" t="str">
        <f t="shared" si="1689"/>
        <v/>
      </c>
      <c r="AA147" s="630" t="str">
        <f t="shared" si="1546"/>
        <v>#N/A</v>
      </c>
      <c r="AB147" s="630" t="str">
        <f t="shared" si="1547"/>
        <v>#N/A</v>
      </c>
      <c r="AC147" s="630" t="str">
        <f t="shared" si="1548"/>
        <v>#N/A</v>
      </c>
      <c r="AD147" s="630" t="str">
        <f t="shared" si="1549"/>
        <v>#N/A</v>
      </c>
      <c r="AE147" s="630" t="str">
        <f t="shared" si="1550"/>
        <v>#N/A</v>
      </c>
      <c r="AF147" s="630" t="str">
        <f t="shared" si="1551"/>
        <v>#N/A</v>
      </c>
      <c r="AG147" s="630" t="str">
        <f t="shared" si="1552"/>
        <v>#N/A</v>
      </c>
      <c r="AH147" s="630" t="str">
        <f t="shared" si="1553"/>
        <v>#N/A</v>
      </c>
      <c r="AI147" s="630" t="str">
        <f t="shared" si="1554"/>
        <v>#N/A</v>
      </c>
      <c r="AJ147" s="630" t="str">
        <f t="shared" si="1555"/>
        <v>#N/A</v>
      </c>
      <c r="AK147" s="630" t="str">
        <f t="shared" si="1556"/>
        <v>#N/A</v>
      </c>
      <c r="AL147" s="630" t="str">
        <f t="shared" si="1557"/>
        <v>#N/A</v>
      </c>
      <c r="AM147" s="630" t="str">
        <f t="shared" si="1558"/>
        <v>#N/A</v>
      </c>
      <c r="AN147" s="630" t="str">
        <f t="shared" si="1559"/>
        <v>#N/A</v>
      </c>
      <c r="AO147" s="630" t="str">
        <f t="shared" si="1560"/>
        <v>#N/A</v>
      </c>
      <c r="AP147" s="630" t="str">
        <f t="shared" si="1561"/>
        <v>#N/A</v>
      </c>
      <c r="AQ147" s="630" t="str">
        <f t="shared" si="1562"/>
        <v>#N/A</v>
      </c>
      <c r="AR147" s="630" t="str">
        <f t="shared" si="1563"/>
        <v>#N/A</v>
      </c>
      <c r="AS147" s="630" t="str">
        <f t="shared" si="1564"/>
        <v>#N/A</v>
      </c>
      <c r="AT147" s="630" t="str">
        <f t="shared" si="1565"/>
        <v>#N/A</v>
      </c>
      <c r="AU147" s="630" t="str">
        <f t="shared" si="1566"/>
        <v>#N/A</v>
      </c>
      <c r="AV147" s="630" t="str">
        <f t="shared" si="1567"/>
        <v>#N/A</v>
      </c>
      <c r="AW147" s="630" t="str">
        <f t="shared" si="1568"/>
        <v>#N/A</v>
      </c>
      <c r="AX147" s="630" t="str">
        <f t="shared" si="1569"/>
        <v>#N/A</v>
      </c>
    </row>
    <row r="148" hidden="1" outlineLevel="1">
      <c r="A148" s="1465"/>
      <c r="B148" s="1440"/>
      <c r="C148" s="1449" t="s">
        <v>3137</v>
      </c>
      <c r="D148" s="1467" t="s">
        <v>1714</v>
      </c>
      <c r="E148" s="1450"/>
      <c r="F148" s="1450"/>
      <c r="G148" s="1450">
        <f>SUMIF(AC_TKNO,$C148,AC_SOTIEN)</f>
        <v>0</v>
      </c>
      <c r="H148" s="1450">
        <f>SUMIF(AC_TKCO,$C148,AC_SOTIEN)</f>
        <v>0</v>
      </c>
      <c r="I148" s="1450" t="str">
        <f t="shared" si="1667"/>
        <v>-</v>
      </c>
      <c r="J148" s="1450" t="str">
        <f t="shared" si="1668"/>
        <v>-</v>
      </c>
      <c r="K148" s="1443"/>
      <c r="L148" s="1443"/>
      <c r="M148" s="1444" t="str">
        <f t="shared" ref="M148:N148" si="1690">S148</f>
        <v>#N/A</v>
      </c>
      <c r="N148" s="1444" t="str">
        <f t="shared" si="1690"/>
        <v>#N/A</v>
      </c>
      <c r="O148" s="1444" t="str">
        <f t="shared" ref="O148:P148" si="1691">W148</f>
        <v>#N/A</v>
      </c>
      <c r="P148" s="1444" t="str">
        <f t="shared" si="1691"/>
        <v>#N/A</v>
      </c>
      <c r="Q148" s="1445" t="str">
        <f t="shared" ref="Q148:R148" si="1692">AE148</f>
        <v>#N/A</v>
      </c>
      <c r="R148" s="1445" t="str">
        <f t="shared" si="1692"/>
        <v>#N/A</v>
      </c>
      <c r="S148" s="1445" t="str">
        <f t="shared" ref="S148:T148" si="1693">AK148</f>
        <v>#N/A</v>
      </c>
      <c r="T148" s="1445" t="str">
        <f t="shared" si="1693"/>
        <v>#N/A</v>
      </c>
      <c r="U148" s="1445" t="str">
        <f t="shared" ref="U148:V148" si="1694">AQ148</f>
        <v>#N/A</v>
      </c>
      <c r="V148" s="1445" t="str">
        <f t="shared" si="1694"/>
        <v>#N/A</v>
      </c>
      <c r="W148" s="1445" t="str">
        <f t="shared" ref="W148:X148" si="1695">AW148</f>
        <v>#N/A</v>
      </c>
      <c r="X148" s="1445" t="str">
        <f t="shared" si="1695"/>
        <v>#N/A</v>
      </c>
      <c r="Y148" s="1457" t="str">
        <f t="shared" ref="Y148:Z148" si="1696">E148</f>
        <v/>
      </c>
      <c r="Z148" s="1457" t="str">
        <f t="shared" si="1696"/>
        <v/>
      </c>
      <c r="AA148" s="630" t="str">
        <f t="shared" si="1546"/>
        <v>#N/A</v>
      </c>
      <c r="AB148" s="630" t="str">
        <f t="shared" si="1547"/>
        <v>#N/A</v>
      </c>
      <c r="AC148" s="630" t="str">
        <f t="shared" si="1548"/>
        <v>#N/A</v>
      </c>
      <c r="AD148" s="630" t="str">
        <f t="shared" si="1549"/>
        <v>#N/A</v>
      </c>
      <c r="AE148" s="630" t="str">
        <f t="shared" si="1550"/>
        <v>#N/A</v>
      </c>
      <c r="AF148" s="630" t="str">
        <f t="shared" si="1551"/>
        <v>#N/A</v>
      </c>
      <c r="AG148" s="630" t="str">
        <f t="shared" si="1552"/>
        <v>#N/A</v>
      </c>
      <c r="AH148" s="630" t="str">
        <f t="shared" si="1553"/>
        <v>#N/A</v>
      </c>
      <c r="AI148" s="630" t="str">
        <f t="shared" si="1554"/>
        <v>#N/A</v>
      </c>
      <c r="AJ148" s="630" t="str">
        <f t="shared" si="1555"/>
        <v>#N/A</v>
      </c>
      <c r="AK148" s="630" t="str">
        <f t="shared" si="1556"/>
        <v>#N/A</v>
      </c>
      <c r="AL148" s="630" t="str">
        <f t="shared" si="1557"/>
        <v>#N/A</v>
      </c>
      <c r="AM148" s="630" t="str">
        <f t="shared" si="1558"/>
        <v>#N/A</v>
      </c>
      <c r="AN148" s="630" t="str">
        <f t="shared" si="1559"/>
        <v>#N/A</v>
      </c>
      <c r="AO148" s="630" t="str">
        <f t="shared" si="1560"/>
        <v>#N/A</v>
      </c>
      <c r="AP148" s="630" t="str">
        <f t="shared" si="1561"/>
        <v>#N/A</v>
      </c>
      <c r="AQ148" s="630" t="str">
        <f t="shared" si="1562"/>
        <v>#N/A</v>
      </c>
      <c r="AR148" s="630" t="str">
        <f t="shared" si="1563"/>
        <v>#N/A</v>
      </c>
      <c r="AS148" s="630" t="str">
        <f t="shared" si="1564"/>
        <v>#N/A</v>
      </c>
      <c r="AT148" s="630" t="str">
        <f t="shared" si="1565"/>
        <v>#N/A</v>
      </c>
      <c r="AU148" s="630" t="str">
        <f t="shared" si="1566"/>
        <v>#N/A</v>
      </c>
      <c r="AV148" s="630" t="str">
        <f t="shared" si="1567"/>
        <v>#N/A</v>
      </c>
      <c r="AW148" s="630" t="str">
        <f t="shared" si="1568"/>
        <v>#N/A</v>
      </c>
      <c r="AX148" s="630" t="str">
        <f t="shared" si="1569"/>
        <v>#N/A</v>
      </c>
    </row>
    <row r="149" collapsed="1">
      <c r="A149" s="1468">
        <v>1.0</v>
      </c>
      <c r="B149" s="1439" t="s">
        <v>3138</v>
      </c>
      <c r="C149" s="1439" t="s">
        <v>3138</v>
      </c>
      <c r="D149" s="1469" t="s">
        <v>1458</v>
      </c>
      <c r="E149" s="1455"/>
      <c r="F149" s="1455"/>
      <c r="G149" s="1455">
        <f>SUMIF(AC_TKNO,$C149,AC_SOTIEN)</f>
        <v>0</v>
      </c>
      <c r="H149" s="1455">
        <f>SUMIF(AC_TKCO,$C149,AC_SOTIEN)</f>
        <v>0</v>
      </c>
      <c r="I149" s="1455" t="str">
        <f t="shared" si="1667"/>
        <v>-</v>
      </c>
      <c r="J149" s="1455" t="str">
        <f t="shared" si="1668"/>
        <v>-</v>
      </c>
      <c r="K149" s="1443"/>
      <c r="L149" s="1443"/>
      <c r="M149" s="1444" t="str">
        <f t="shared" ref="M149:N149" si="1697">S149</f>
        <v>#N/A</v>
      </c>
      <c r="N149" s="1444" t="str">
        <f t="shared" si="1697"/>
        <v>#N/A</v>
      </c>
      <c r="O149" s="1444" t="str">
        <f t="shared" ref="O149:P149" si="1698">W149</f>
        <v>#N/A</v>
      </c>
      <c r="P149" s="1444" t="str">
        <f t="shared" si="1698"/>
        <v>#N/A</v>
      </c>
      <c r="Q149" s="1445" t="str">
        <f t="shared" ref="Q149:R149" si="1699">AE149</f>
        <v>#N/A</v>
      </c>
      <c r="R149" s="1445" t="str">
        <f t="shared" si="1699"/>
        <v>#N/A</v>
      </c>
      <c r="S149" s="1445" t="str">
        <f t="shared" ref="S149:T149" si="1700">AK149</f>
        <v>#N/A</v>
      </c>
      <c r="T149" s="1445" t="str">
        <f t="shared" si="1700"/>
        <v>#N/A</v>
      </c>
      <c r="U149" s="1445" t="str">
        <f t="shared" ref="U149:V149" si="1701">AQ149</f>
        <v>#N/A</v>
      </c>
      <c r="V149" s="1445" t="str">
        <f t="shared" si="1701"/>
        <v>#N/A</v>
      </c>
      <c r="W149" s="1445" t="str">
        <f t="shared" ref="W149:X149" si="1702">AW149</f>
        <v>#N/A</v>
      </c>
      <c r="X149" s="1445" t="str">
        <f t="shared" si="1702"/>
        <v>#N/A</v>
      </c>
      <c r="Y149" s="1457" t="str">
        <f t="shared" ref="Y149:Z149" si="1703">E149</f>
        <v/>
      </c>
      <c r="Z149" s="1457" t="str">
        <f t="shared" si="1703"/>
        <v/>
      </c>
      <c r="AA149" s="630" t="str">
        <f t="shared" si="1546"/>
        <v>#N/A</v>
      </c>
      <c r="AB149" s="630" t="str">
        <f t="shared" si="1547"/>
        <v>#N/A</v>
      </c>
      <c r="AC149" s="630" t="str">
        <f t="shared" si="1548"/>
        <v>#N/A</v>
      </c>
      <c r="AD149" s="630" t="str">
        <f t="shared" si="1549"/>
        <v>#N/A</v>
      </c>
      <c r="AE149" s="630" t="str">
        <f t="shared" si="1550"/>
        <v>#N/A</v>
      </c>
      <c r="AF149" s="630" t="str">
        <f t="shared" si="1551"/>
        <v>#N/A</v>
      </c>
      <c r="AG149" s="630" t="str">
        <f t="shared" si="1552"/>
        <v>#N/A</v>
      </c>
      <c r="AH149" s="630" t="str">
        <f t="shared" si="1553"/>
        <v>#N/A</v>
      </c>
      <c r="AI149" s="630" t="str">
        <f t="shared" si="1554"/>
        <v>#N/A</v>
      </c>
      <c r="AJ149" s="630" t="str">
        <f t="shared" si="1555"/>
        <v>#N/A</v>
      </c>
      <c r="AK149" s="630" t="str">
        <f t="shared" si="1556"/>
        <v>#N/A</v>
      </c>
      <c r="AL149" s="630" t="str">
        <f t="shared" si="1557"/>
        <v>#N/A</v>
      </c>
      <c r="AM149" s="630" t="str">
        <f t="shared" si="1558"/>
        <v>#N/A</v>
      </c>
      <c r="AN149" s="630" t="str">
        <f t="shared" si="1559"/>
        <v>#N/A</v>
      </c>
      <c r="AO149" s="630" t="str">
        <f t="shared" si="1560"/>
        <v>#N/A</v>
      </c>
      <c r="AP149" s="630" t="str">
        <f t="shared" si="1561"/>
        <v>#N/A</v>
      </c>
      <c r="AQ149" s="630" t="str">
        <f t="shared" si="1562"/>
        <v>#N/A</v>
      </c>
      <c r="AR149" s="630" t="str">
        <f t="shared" si="1563"/>
        <v>#N/A</v>
      </c>
      <c r="AS149" s="630" t="str">
        <f t="shared" si="1564"/>
        <v>#N/A</v>
      </c>
      <c r="AT149" s="630" t="str">
        <f t="shared" si="1565"/>
        <v>#N/A</v>
      </c>
      <c r="AU149" s="630" t="str">
        <f t="shared" si="1566"/>
        <v>#N/A</v>
      </c>
      <c r="AV149" s="630" t="str">
        <f t="shared" si="1567"/>
        <v>#N/A</v>
      </c>
      <c r="AW149" s="630" t="str">
        <f t="shared" si="1568"/>
        <v>#N/A</v>
      </c>
      <c r="AX149" s="630" t="str">
        <f t="shared" si="1569"/>
        <v>#N/A</v>
      </c>
    </row>
    <row r="150" hidden="1" outlineLevel="1">
      <c r="A150" s="1468">
        <v>1.0</v>
      </c>
      <c r="B150" s="1439" t="s">
        <v>3139</v>
      </c>
      <c r="C150" s="1439" t="s">
        <v>3139</v>
      </c>
      <c r="D150" s="1469" t="s">
        <v>1715</v>
      </c>
      <c r="E150" s="1455"/>
      <c r="F150" s="1455"/>
      <c r="G150" s="1455">
        <f>SUMIF(AC_TKNO,$C150,AC_SOTIEN)</f>
        <v>0</v>
      </c>
      <c r="H150" s="1455">
        <f>SUMIF(AC_TKCO,$C150,AC_SOTIEN)</f>
        <v>0</v>
      </c>
      <c r="I150" s="1455" t="str">
        <f t="shared" si="1667"/>
        <v>-</v>
      </c>
      <c r="J150" s="1455" t="str">
        <f t="shared" si="1668"/>
        <v>-</v>
      </c>
      <c r="K150" s="1443"/>
      <c r="L150" s="1443"/>
      <c r="M150" s="1444" t="str">
        <f t="shared" ref="M150:N150" si="1704">S150</f>
        <v>#N/A</v>
      </c>
      <c r="N150" s="1444" t="str">
        <f t="shared" si="1704"/>
        <v>#N/A</v>
      </c>
      <c r="O150" s="1444" t="str">
        <f t="shared" ref="O150:P150" si="1705">W150</f>
        <v>#N/A</v>
      </c>
      <c r="P150" s="1444" t="str">
        <f t="shared" si="1705"/>
        <v>#N/A</v>
      </c>
      <c r="Q150" s="1445" t="str">
        <f t="shared" ref="Q150:R150" si="1706">AE150</f>
        <v>#N/A</v>
      </c>
      <c r="R150" s="1445" t="str">
        <f t="shared" si="1706"/>
        <v>#N/A</v>
      </c>
      <c r="S150" s="1445" t="str">
        <f t="shared" ref="S150:T150" si="1707">AK150</f>
        <v>#N/A</v>
      </c>
      <c r="T150" s="1445" t="str">
        <f t="shared" si="1707"/>
        <v>#N/A</v>
      </c>
      <c r="U150" s="1445" t="str">
        <f t="shared" ref="U150:V150" si="1708">AQ150</f>
        <v>#N/A</v>
      </c>
      <c r="V150" s="1445" t="str">
        <f t="shared" si="1708"/>
        <v>#N/A</v>
      </c>
      <c r="W150" s="1445" t="str">
        <f t="shared" ref="W150:X150" si="1709">AW150</f>
        <v>#N/A</v>
      </c>
      <c r="X150" s="1445" t="str">
        <f t="shared" si="1709"/>
        <v>#N/A</v>
      </c>
      <c r="Y150" s="1457" t="str">
        <f t="shared" ref="Y150:Z150" si="1710">E150</f>
        <v/>
      </c>
      <c r="Z150" s="1457" t="str">
        <f t="shared" si="1710"/>
        <v/>
      </c>
      <c r="AA150" s="630" t="str">
        <f t="shared" si="1546"/>
        <v>#N/A</v>
      </c>
      <c r="AB150" s="630" t="str">
        <f t="shared" si="1547"/>
        <v>#N/A</v>
      </c>
      <c r="AC150" s="630" t="str">
        <f t="shared" si="1548"/>
        <v>#N/A</v>
      </c>
      <c r="AD150" s="630" t="str">
        <f t="shared" si="1549"/>
        <v>#N/A</v>
      </c>
      <c r="AE150" s="630" t="str">
        <f t="shared" si="1550"/>
        <v>#N/A</v>
      </c>
      <c r="AF150" s="630" t="str">
        <f t="shared" si="1551"/>
        <v>#N/A</v>
      </c>
      <c r="AG150" s="630" t="str">
        <f t="shared" si="1552"/>
        <v>#N/A</v>
      </c>
      <c r="AH150" s="630" t="str">
        <f t="shared" si="1553"/>
        <v>#N/A</v>
      </c>
      <c r="AI150" s="630" t="str">
        <f t="shared" si="1554"/>
        <v>#N/A</v>
      </c>
      <c r="AJ150" s="630" t="str">
        <f t="shared" si="1555"/>
        <v>#N/A</v>
      </c>
      <c r="AK150" s="630" t="str">
        <f t="shared" si="1556"/>
        <v>#N/A</v>
      </c>
      <c r="AL150" s="630" t="str">
        <f t="shared" si="1557"/>
        <v>#N/A</v>
      </c>
      <c r="AM150" s="630" t="str">
        <f t="shared" si="1558"/>
        <v>#N/A</v>
      </c>
      <c r="AN150" s="630" t="str">
        <f t="shared" si="1559"/>
        <v>#N/A</v>
      </c>
      <c r="AO150" s="630" t="str">
        <f t="shared" si="1560"/>
        <v>#N/A</v>
      </c>
      <c r="AP150" s="630" t="str">
        <f t="shared" si="1561"/>
        <v>#N/A</v>
      </c>
      <c r="AQ150" s="630" t="str">
        <f t="shared" si="1562"/>
        <v>#N/A</v>
      </c>
      <c r="AR150" s="630" t="str">
        <f t="shared" si="1563"/>
        <v>#N/A</v>
      </c>
      <c r="AS150" s="630" t="str">
        <f t="shared" si="1564"/>
        <v>#N/A</v>
      </c>
      <c r="AT150" s="630" t="str">
        <f t="shared" si="1565"/>
        <v>#N/A</v>
      </c>
      <c r="AU150" s="630" t="str">
        <f t="shared" si="1566"/>
        <v>#N/A</v>
      </c>
      <c r="AV150" s="630" t="str">
        <f t="shared" si="1567"/>
        <v>#N/A</v>
      </c>
      <c r="AW150" s="630" t="str">
        <f t="shared" si="1568"/>
        <v>#N/A</v>
      </c>
      <c r="AX150" s="630" t="str">
        <f t="shared" si="1569"/>
        <v>#N/A</v>
      </c>
    </row>
    <row r="151">
      <c r="A151" s="1468">
        <v>1.0</v>
      </c>
      <c r="B151" s="1439" t="s">
        <v>3140</v>
      </c>
      <c r="C151" s="1440"/>
      <c r="D151" s="1469" t="s">
        <v>1465</v>
      </c>
      <c r="E151" s="1442">
        <f t="shared" ref="E151:J151" si="1711">SUM(E152:E155)</f>
        <v>0</v>
      </c>
      <c r="F151" s="1442">
        <f t="shared" si="1711"/>
        <v>0</v>
      </c>
      <c r="G151" s="1442">
        <f t="shared" si="1711"/>
        <v>0</v>
      </c>
      <c r="H151" s="1442">
        <f t="shared" si="1711"/>
        <v>0</v>
      </c>
      <c r="I151" s="1442">
        <f t="shared" si="1711"/>
        <v>0</v>
      </c>
      <c r="J151" s="1442">
        <f t="shared" si="1711"/>
        <v>0</v>
      </c>
      <c r="K151" s="1443"/>
      <c r="L151" s="1443"/>
      <c r="M151" s="1444" t="str">
        <f t="shared" ref="M151:N151" si="1712">S151</f>
        <v>#N/A</v>
      </c>
      <c r="N151" s="1444" t="str">
        <f t="shared" si="1712"/>
        <v>#N/A</v>
      </c>
      <c r="O151" s="1444" t="str">
        <f t="shared" ref="O151:P151" si="1713">W151</f>
        <v>#N/A</v>
      </c>
      <c r="P151" s="1444" t="str">
        <f t="shared" si="1713"/>
        <v>#N/A</v>
      </c>
      <c r="Q151" s="1445" t="str">
        <f t="shared" ref="Q151:R151" si="1714">AE151</f>
        <v>#N/A</v>
      </c>
      <c r="R151" s="1445" t="str">
        <f t="shared" si="1714"/>
        <v>#N/A</v>
      </c>
      <c r="S151" s="1445" t="str">
        <f t="shared" ref="S151:T151" si="1715">AK151</f>
        <v>#N/A</v>
      </c>
      <c r="T151" s="1445" t="str">
        <f t="shared" si="1715"/>
        <v>#N/A</v>
      </c>
      <c r="U151" s="1445" t="str">
        <f t="shared" ref="U151:V151" si="1716">AQ151</f>
        <v>#N/A</v>
      </c>
      <c r="V151" s="1445" t="str">
        <f t="shared" si="1716"/>
        <v>#N/A</v>
      </c>
      <c r="W151" s="1445" t="str">
        <f t="shared" ref="W151:X151" si="1717">AW151</f>
        <v>#N/A</v>
      </c>
      <c r="X151" s="1445" t="str">
        <f t="shared" si="1717"/>
        <v>#N/A</v>
      </c>
      <c r="Y151" s="1457">
        <f t="shared" ref="Y151:Z151" si="1718">E151</f>
        <v>0</v>
      </c>
      <c r="Z151" s="1457">
        <f t="shared" si="1718"/>
        <v>0</v>
      </c>
      <c r="AA151" s="1470" t="str">
        <f t="shared" si="1546"/>
        <v>#N/A</v>
      </c>
      <c r="AB151" s="1470" t="str">
        <f t="shared" si="1547"/>
        <v>#N/A</v>
      </c>
      <c r="AC151" s="1470" t="str">
        <f t="shared" si="1548"/>
        <v>#N/A</v>
      </c>
      <c r="AD151" s="1470" t="str">
        <f t="shared" si="1549"/>
        <v>#N/A</v>
      </c>
      <c r="AE151" s="1470" t="str">
        <f t="shared" si="1550"/>
        <v>#N/A</v>
      </c>
      <c r="AF151" s="1470" t="str">
        <f t="shared" si="1551"/>
        <v>#N/A</v>
      </c>
      <c r="AG151" s="1470" t="str">
        <f t="shared" si="1552"/>
        <v>#N/A</v>
      </c>
      <c r="AH151" s="1470" t="str">
        <f t="shared" si="1553"/>
        <v>#N/A</v>
      </c>
      <c r="AI151" s="1470" t="str">
        <f t="shared" si="1554"/>
        <v>#N/A</v>
      </c>
      <c r="AJ151" s="1470" t="str">
        <f t="shared" si="1555"/>
        <v>#N/A</v>
      </c>
      <c r="AK151" s="1470" t="str">
        <f t="shared" si="1556"/>
        <v>#N/A</v>
      </c>
      <c r="AL151" s="1470" t="str">
        <f t="shared" si="1557"/>
        <v>#N/A</v>
      </c>
      <c r="AM151" s="1470" t="str">
        <f t="shared" si="1558"/>
        <v>#N/A</v>
      </c>
      <c r="AN151" s="1470" t="str">
        <f t="shared" si="1559"/>
        <v>#N/A</v>
      </c>
      <c r="AO151" s="1470" t="str">
        <f t="shared" si="1560"/>
        <v>#N/A</v>
      </c>
      <c r="AP151" s="1470" t="str">
        <f t="shared" si="1561"/>
        <v>#N/A</v>
      </c>
      <c r="AQ151" s="1470" t="str">
        <f t="shared" si="1562"/>
        <v>#N/A</v>
      </c>
      <c r="AR151" s="1470" t="str">
        <f t="shared" si="1563"/>
        <v>#N/A</v>
      </c>
      <c r="AS151" s="1470" t="str">
        <f t="shared" si="1564"/>
        <v>#N/A</v>
      </c>
      <c r="AT151" s="1470" t="str">
        <f t="shared" si="1565"/>
        <v>#N/A</v>
      </c>
      <c r="AU151" s="1470" t="str">
        <f t="shared" si="1566"/>
        <v>#N/A</v>
      </c>
      <c r="AV151" s="1470" t="str">
        <f t="shared" si="1567"/>
        <v>#N/A</v>
      </c>
      <c r="AW151" s="1470" t="str">
        <f t="shared" si="1568"/>
        <v>#N/A</v>
      </c>
      <c r="AX151" s="1470" t="str">
        <f t="shared" si="1569"/>
        <v>#N/A</v>
      </c>
    </row>
    <row r="152">
      <c r="A152" s="1465"/>
      <c r="B152" s="1440"/>
      <c r="C152" s="1449" t="s">
        <v>1466</v>
      </c>
      <c r="D152" s="1467" t="s">
        <v>1467</v>
      </c>
      <c r="E152" s="1450"/>
      <c r="F152" s="1450"/>
      <c r="G152" s="1450">
        <f>SUMIF(AC_TKNO,$C152,AC_SOTIEN)</f>
        <v>0</v>
      </c>
      <c r="H152" s="1450">
        <f>SUMIF(AC_TKCO,$C152,AC_SOTIEN)</f>
        <v>0</v>
      </c>
      <c r="I152" s="1450" t="str">
        <f t="shared" ref="I152:I155" si="1719">IF(E152+G152-F152-H152&gt;0,E152+G152-F152-H152,"-")</f>
        <v>-</v>
      </c>
      <c r="J152" s="1450" t="str">
        <f t="shared" ref="J152:J155" si="1720">IF(F152+H152-E152-G152&gt;0,F152+H152-E152-G152,"-")</f>
        <v>-</v>
      </c>
      <c r="K152" s="1471"/>
      <c r="L152" s="1463"/>
      <c r="M152" s="1472"/>
      <c r="N152" s="1472"/>
      <c r="O152" s="1472"/>
      <c r="P152" s="1472"/>
      <c r="Q152" s="1473"/>
      <c r="R152" s="1473"/>
      <c r="S152" s="1445"/>
      <c r="T152" s="1445"/>
      <c r="U152" s="1445"/>
      <c r="V152" s="1445"/>
      <c r="W152" s="1445"/>
      <c r="X152" s="1445"/>
      <c r="Y152" s="1473"/>
      <c r="Z152" s="1473"/>
      <c r="AA152" s="1473"/>
      <c r="AB152" s="1473"/>
      <c r="AC152" s="1473"/>
      <c r="AD152" s="1473"/>
      <c r="AE152" s="1473"/>
      <c r="AF152" s="1473"/>
      <c r="AG152" s="1473"/>
      <c r="AH152" s="1473"/>
      <c r="AI152" s="1473"/>
      <c r="AJ152" s="1473"/>
      <c r="AK152" s="1473"/>
      <c r="AL152" s="1473"/>
      <c r="AM152" s="1473"/>
      <c r="AN152" s="1473"/>
      <c r="AO152" s="1473"/>
      <c r="AP152" s="1473"/>
      <c r="AQ152" s="1473"/>
      <c r="AR152" s="1473"/>
      <c r="AS152" s="1473"/>
      <c r="AT152" s="1473"/>
      <c r="AU152" s="1473"/>
      <c r="AV152" s="1473"/>
      <c r="AW152" s="1473"/>
      <c r="AX152" s="1473"/>
    </row>
    <row r="153">
      <c r="A153" s="1465"/>
      <c r="B153" s="1440"/>
      <c r="C153" s="1449" t="s">
        <v>1468</v>
      </c>
      <c r="D153" s="1467" t="s">
        <v>1469</v>
      </c>
      <c r="E153" s="1450"/>
      <c r="F153" s="1450"/>
      <c r="G153" s="1450">
        <f>SUMIF(AC_TKNO,$C153,AC_SOTIEN)</f>
        <v>0</v>
      </c>
      <c r="H153" s="1450">
        <f>SUMIF(AC_TKCO,$C153,AC_SOTIEN)</f>
        <v>0</v>
      </c>
      <c r="I153" s="1450" t="str">
        <f t="shared" si="1719"/>
        <v>-</v>
      </c>
      <c r="J153" s="1450" t="str">
        <f t="shared" si="1720"/>
        <v>-</v>
      </c>
      <c r="K153" s="1471"/>
      <c r="L153" s="1463"/>
      <c r="M153" s="1472"/>
      <c r="N153" s="1472"/>
      <c r="O153" s="1472"/>
      <c r="P153" s="1472"/>
      <c r="Q153" s="1473"/>
      <c r="R153" s="1473"/>
      <c r="S153" s="1445"/>
      <c r="T153" s="1445"/>
      <c r="U153" s="1445"/>
      <c r="V153" s="1445"/>
      <c r="W153" s="1445"/>
      <c r="X153" s="1445"/>
      <c r="Y153" s="1473"/>
      <c r="Z153" s="1473"/>
      <c r="AA153" s="1473"/>
      <c r="AB153" s="1473"/>
      <c r="AC153" s="1473"/>
      <c r="AD153" s="1473"/>
      <c r="AE153" s="1473"/>
      <c r="AF153" s="1473"/>
      <c r="AG153" s="1473"/>
      <c r="AH153" s="1473"/>
      <c r="AI153" s="1473"/>
      <c r="AJ153" s="1473"/>
      <c r="AK153" s="1473"/>
      <c r="AL153" s="1473"/>
      <c r="AM153" s="1473"/>
      <c r="AN153" s="1473"/>
      <c r="AO153" s="1473"/>
      <c r="AP153" s="1473"/>
      <c r="AQ153" s="1473"/>
      <c r="AR153" s="1473"/>
      <c r="AS153" s="1473"/>
      <c r="AT153" s="1473"/>
      <c r="AU153" s="1473"/>
      <c r="AV153" s="1473"/>
      <c r="AW153" s="1473"/>
      <c r="AX153" s="1473"/>
    </row>
    <row r="154">
      <c r="A154" s="1465"/>
      <c r="B154" s="1440"/>
      <c r="C154" s="1449" t="s">
        <v>3141</v>
      </c>
      <c r="D154" s="1467" t="s">
        <v>1717</v>
      </c>
      <c r="E154" s="1450"/>
      <c r="F154" s="1450"/>
      <c r="G154" s="1450">
        <f>SUMIF(AC_TKNO,$C154,AC_SOTIEN)</f>
        <v>0</v>
      </c>
      <c r="H154" s="1450">
        <f>SUMIF(AC_TKCO,$C154,AC_SOTIEN)</f>
        <v>0</v>
      </c>
      <c r="I154" s="1450" t="str">
        <f t="shared" si="1719"/>
        <v>-</v>
      </c>
      <c r="J154" s="1450" t="str">
        <f t="shared" si="1720"/>
        <v>-</v>
      </c>
      <c r="K154" s="1471"/>
      <c r="L154" s="1463"/>
      <c r="M154" s="1472"/>
      <c r="N154" s="1472"/>
      <c r="O154" s="1472"/>
      <c r="P154" s="1472"/>
      <c r="Q154" s="1473"/>
      <c r="R154" s="1473"/>
      <c r="S154" s="1445"/>
      <c r="T154" s="1445"/>
      <c r="U154" s="1445"/>
      <c r="V154" s="1445"/>
      <c r="W154" s="1445"/>
      <c r="X154" s="1445"/>
      <c r="Y154" s="1473"/>
      <c r="Z154" s="1473"/>
      <c r="AA154" s="1473"/>
      <c r="AB154" s="1473"/>
      <c r="AC154" s="1473"/>
      <c r="AD154" s="1473"/>
      <c r="AE154" s="1473"/>
      <c r="AF154" s="1473"/>
      <c r="AG154" s="1473"/>
      <c r="AH154" s="1473"/>
      <c r="AI154" s="1473"/>
      <c r="AJ154" s="1473"/>
      <c r="AK154" s="1473"/>
      <c r="AL154" s="1473"/>
      <c r="AM154" s="1473"/>
      <c r="AN154" s="1473"/>
      <c r="AO154" s="1473"/>
      <c r="AP154" s="1473"/>
      <c r="AQ154" s="1473"/>
      <c r="AR154" s="1473"/>
      <c r="AS154" s="1473"/>
      <c r="AT154" s="1473"/>
      <c r="AU154" s="1473"/>
      <c r="AV154" s="1473"/>
      <c r="AW154" s="1473"/>
      <c r="AX154" s="1473"/>
    </row>
    <row r="155">
      <c r="A155" s="1465"/>
      <c r="B155" s="1440"/>
      <c r="C155" s="1449" t="s">
        <v>1470</v>
      </c>
      <c r="D155" s="1467" t="s">
        <v>1471</v>
      </c>
      <c r="E155" s="1450"/>
      <c r="F155" s="1450"/>
      <c r="G155" s="1450">
        <f>SUMIF(AC_TKNO,$C155,AC_SOTIEN)</f>
        <v>0</v>
      </c>
      <c r="H155" s="1450">
        <f>SUMIF(AC_TKCO,$C155,AC_SOTIEN)</f>
        <v>0</v>
      </c>
      <c r="I155" s="1450" t="str">
        <f t="shared" si="1719"/>
        <v>-</v>
      </c>
      <c r="J155" s="1450" t="str">
        <f t="shared" si="1720"/>
        <v>-</v>
      </c>
      <c r="K155" s="1471"/>
      <c r="L155" s="1463"/>
      <c r="M155" s="1472"/>
      <c r="N155" s="1472"/>
      <c r="O155" s="1472"/>
      <c r="P155" s="1472"/>
      <c r="Q155" s="1473"/>
      <c r="R155" s="1473"/>
      <c r="S155" s="1445"/>
      <c r="T155" s="1445"/>
      <c r="U155" s="1445"/>
      <c r="V155" s="1445"/>
      <c r="W155" s="1445"/>
      <c r="X155" s="1445"/>
      <c r="Y155" s="1473"/>
      <c r="Z155" s="1473"/>
      <c r="AA155" s="1473"/>
      <c r="AB155" s="1473"/>
      <c r="AC155" s="1473"/>
      <c r="AD155" s="1473"/>
      <c r="AE155" s="1473"/>
      <c r="AF155" s="1473"/>
      <c r="AG155" s="1473"/>
      <c r="AH155" s="1473"/>
      <c r="AI155" s="1473"/>
      <c r="AJ155" s="1473"/>
      <c r="AK155" s="1473"/>
      <c r="AL155" s="1473"/>
      <c r="AM155" s="1473"/>
      <c r="AN155" s="1473"/>
      <c r="AO155" s="1473"/>
      <c r="AP155" s="1473"/>
      <c r="AQ155" s="1473"/>
      <c r="AR155" s="1473"/>
      <c r="AS155" s="1473"/>
      <c r="AT155" s="1473"/>
      <c r="AU155" s="1473"/>
      <c r="AV155" s="1473"/>
      <c r="AW155" s="1473"/>
      <c r="AX155" s="1473"/>
    </row>
    <row r="156">
      <c r="A156" s="1468">
        <v>1.0</v>
      </c>
      <c r="B156" s="1439" t="s">
        <v>3142</v>
      </c>
      <c r="C156" s="1440"/>
      <c r="D156" s="1469" t="s">
        <v>3143</v>
      </c>
      <c r="E156" s="1442">
        <f t="shared" ref="E156:J156" si="1721">SUM(E157:E160)</f>
        <v>0</v>
      </c>
      <c r="F156" s="1442">
        <f t="shared" si="1721"/>
        <v>0</v>
      </c>
      <c r="G156" s="1442">
        <f t="shared" si="1721"/>
        <v>0</v>
      </c>
      <c r="H156" s="1442">
        <f t="shared" si="1721"/>
        <v>0</v>
      </c>
      <c r="I156" s="1442">
        <f t="shared" si="1721"/>
        <v>0</v>
      </c>
      <c r="J156" s="1442">
        <f t="shared" si="1721"/>
        <v>0</v>
      </c>
      <c r="K156" s="1471"/>
      <c r="L156" s="1463"/>
      <c r="M156" s="1472"/>
      <c r="N156" s="1472"/>
      <c r="O156" s="1472"/>
      <c r="P156" s="1472"/>
      <c r="Q156" s="1473"/>
      <c r="R156" s="1473"/>
      <c r="S156" s="1445"/>
      <c r="T156" s="1445"/>
      <c r="U156" s="1445"/>
      <c r="V156" s="1445"/>
      <c r="W156" s="1445"/>
      <c r="X156" s="1445"/>
      <c r="Y156" s="1473"/>
      <c r="Z156" s="1473"/>
      <c r="AA156" s="1473"/>
      <c r="AB156" s="1473"/>
      <c r="AC156" s="1473"/>
      <c r="AD156" s="1473"/>
      <c r="AE156" s="1473"/>
      <c r="AF156" s="1473"/>
      <c r="AG156" s="1473"/>
      <c r="AH156" s="1473"/>
      <c r="AI156" s="1473"/>
      <c r="AJ156" s="1473"/>
      <c r="AK156" s="1473"/>
      <c r="AL156" s="1473"/>
      <c r="AM156" s="1473"/>
      <c r="AN156" s="1473"/>
      <c r="AO156" s="1473"/>
      <c r="AP156" s="1473"/>
      <c r="AQ156" s="1473"/>
      <c r="AR156" s="1473"/>
      <c r="AS156" s="1473"/>
      <c r="AT156" s="1473"/>
      <c r="AU156" s="1473"/>
      <c r="AV156" s="1473"/>
      <c r="AW156" s="1473"/>
      <c r="AX156" s="1473"/>
    </row>
    <row r="157">
      <c r="A157" s="1465"/>
      <c r="B157" s="1440"/>
      <c r="C157" s="1449" t="s">
        <v>3144</v>
      </c>
      <c r="D157" s="1467" t="s">
        <v>3145</v>
      </c>
      <c r="E157" s="1450"/>
      <c r="F157" s="1450"/>
      <c r="G157" s="1450">
        <f>SUMIF(AC_TKNO,$C157,AC_SOTIEN)</f>
        <v>0</v>
      </c>
      <c r="H157" s="1450">
        <f>SUMIF(AC_TKCO,$C157,AC_SOTIEN)</f>
        <v>0</v>
      </c>
      <c r="I157" s="1450" t="str">
        <f t="shared" ref="I157:I160" si="1722">IF(E157+G157-F157-H157&gt;0,E157+G157-F157-H157,"-")</f>
        <v>-</v>
      </c>
      <c r="J157" s="1450" t="str">
        <f t="shared" ref="J157:J160" si="1723">IF(F157+H157-E157-G157&gt;0,F157+H157-E157-G157,"-")</f>
        <v>-</v>
      </c>
      <c r="K157" s="1471"/>
      <c r="L157" s="1463"/>
      <c r="M157" s="1472"/>
      <c r="N157" s="1472"/>
      <c r="O157" s="1472"/>
      <c r="P157" s="1472"/>
      <c r="Q157" s="1473"/>
      <c r="R157" s="1473"/>
      <c r="S157" s="1445"/>
      <c r="T157" s="1445"/>
      <c r="U157" s="1445"/>
      <c r="V157" s="1445"/>
      <c r="W157" s="1445"/>
      <c r="X157" s="1445"/>
      <c r="Y157" s="1473"/>
      <c r="Z157" s="1473"/>
      <c r="AA157" s="1473"/>
      <c r="AB157" s="1473"/>
      <c r="AC157" s="1473"/>
      <c r="AD157" s="1473"/>
      <c r="AE157" s="1473"/>
      <c r="AF157" s="1473"/>
      <c r="AG157" s="1473"/>
      <c r="AH157" s="1473"/>
      <c r="AI157" s="1473"/>
      <c r="AJ157" s="1473"/>
      <c r="AK157" s="1473"/>
      <c r="AL157" s="1473"/>
      <c r="AM157" s="1473"/>
      <c r="AN157" s="1473"/>
      <c r="AO157" s="1473"/>
      <c r="AP157" s="1473"/>
      <c r="AQ157" s="1473"/>
      <c r="AR157" s="1473"/>
      <c r="AS157" s="1473"/>
      <c r="AT157" s="1473"/>
      <c r="AU157" s="1473"/>
      <c r="AV157" s="1473"/>
      <c r="AW157" s="1473"/>
      <c r="AX157" s="1473"/>
    </row>
    <row r="158">
      <c r="A158" s="1465"/>
      <c r="B158" s="1440"/>
      <c r="C158" s="1449" t="s">
        <v>3146</v>
      </c>
      <c r="D158" s="1467" t="s">
        <v>3147</v>
      </c>
      <c r="E158" s="1450"/>
      <c r="F158" s="1450"/>
      <c r="G158" s="1450">
        <f>SUMIF(AC_TKNO,$C158,AC_SOTIEN)</f>
        <v>0</v>
      </c>
      <c r="H158" s="1450">
        <f>SUMIF(AC_TKCO,$C158,AC_SOTIEN)</f>
        <v>0</v>
      </c>
      <c r="I158" s="1450" t="str">
        <f t="shared" si="1722"/>
        <v>-</v>
      </c>
      <c r="J158" s="1450" t="str">
        <f t="shared" si="1723"/>
        <v>-</v>
      </c>
      <c r="K158" s="1471"/>
      <c r="L158" s="1463"/>
      <c r="M158" s="1472"/>
      <c r="N158" s="1472"/>
      <c r="O158" s="1472"/>
      <c r="P158" s="1472"/>
      <c r="Q158" s="1473"/>
      <c r="R158" s="1473"/>
      <c r="S158" s="1445"/>
      <c r="T158" s="1445"/>
      <c r="U158" s="1445"/>
      <c r="V158" s="1445"/>
      <c r="W158" s="1445"/>
      <c r="X158" s="1445"/>
      <c r="Y158" s="1473"/>
      <c r="Z158" s="1473"/>
      <c r="AA158" s="1473"/>
      <c r="AB158" s="1473"/>
      <c r="AC158" s="1473"/>
      <c r="AD158" s="1473"/>
      <c r="AE158" s="1473"/>
      <c r="AF158" s="1473"/>
      <c r="AG158" s="1473"/>
      <c r="AH158" s="1473"/>
      <c r="AI158" s="1473"/>
      <c r="AJ158" s="1473"/>
      <c r="AK158" s="1473"/>
      <c r="AL158" s="1473"/>
      <c r="AM158" s="1473"/>
      <c r="AN158" s="1473"/>
      <c r="AO158" s="1473"/>
      <c r="AP158" s="1473"/>
      <c r="AQ158" s="1473"/>
      <c r="AR158" s="1473"/>
      <c r="AS158" s="1473"/>
      <c r="AT158" s="1473"/>
      <c r="AU158" s="1473"/>
      <c r="AV158" s="1473"/>
      <c r="AW158" s="1473"/>
      <c r="AX158" s="1473"/>
    </row>
    <row r="159">
      <c r="A159" s="1465"/>
      <c r="B159" s="1440"/>
      <c r="C159" s="1449" t="s">
        <v>3148</v>
      </c>
      <c r="D159" s="1467" t="s">
        <v>3149</v>
      </c>
      <c r="E159" s="1450"/>
      <c r="F159" s="1450"/>
      <c r="G159" s="1450">
        <f>SUMIF(AC_TKNO,$C159,AC_SOTIEN)</f>
        <v>0</v>
      </c>
      <c r="H159" s="1450">
        <f>SUMIF(AC_TKCO,$C159,AC_SOTIEN)</f>
        <v>0</v>
      </c>
      <c r="I159" s="1450" t="str">
        <f t="shared" si="1722"/>
        <v>-</v>
      </c>
      <c r="J159" s="1450" t="str">
        <f t="shared" si="1723"/>
        <v>-</v>
      </c>
      <c r="K159" s="1471"/>
      <c r="L159" s="1463"/>
      <c r="M159" s="1472"/>
      <c r="N159" s="1472"/>
      <c r="O159" s="1472"/>
      <c r="P159" s="1472"/>
      <c r="Q159" s="1473"/>
      <c r="R159" s="1473"/>
      <c r="S159" s="1445"/>
      <c r="T159" s="1445"/>
      <c r="U159" s="1445"/>
      <c r="V159" s="1445"/>
      <c r="W159" s="1445"/>
      <c r="X159" s="1445"/>
      <c r="Y159" s="1473"/>
      <c r="Z159" s="1473"/>
      <c r="AA159" s="1473"/>
      <c r="AB159" s="1473"/>
      <c r="AC159" s="1473"/>
      <c r="AD159" s="1473"/>
      <c r="AE159" s="1473"/>
      <c r="AF159" s="1473"/>
      <c r="AG159" s="1473"/>
      <c r="AH159" s="1473"/>
      <c r="AI159" s="1473"/>
      <c r="AJ159" s="1473"/>
      <c r="AK159" s="1473"/>
      <c r="AL159" s="1473"/>
      <c r="AM159" s="1473"/>
      <c r="AN159" s="1473"/>
      <c r="AO159" s="1473"/>
      <c r="AP159" s="1473"/>
      <c r="AQ159" s="1473"/>
      <c r="AR159" s="1473"/>
      <c r="AS159" s="1473"/>
      <c r="AT159" s="1473"/>
      <c r="AU159" s="1473"/>
      <c r="AV159" s="1473"/>
      <c r="AW159" s="1473"/>
      <c r="AX159" s="1473"/>
    </row>
    <row r="160" collapsed="1">
      <c r="A160" s="1465"/>
      <c r="B160" s="1440"/>
      <c r="C160" s="1449" t="s">
        <v>3150</v>
      </c>
      <c r="D160" s="1467" t="s">
        <v>3151</v>
      </c>
      <c r="E160" s="1450"/>
      <c r="F160" s="1450"/>
      <c r="G160" s="1450">
        <f>SUMIF(AC_TKNO,$C160,AC_SOTIEN)</f>
        <v>0</v>
      </c>
      <c r="H160" s="1450">
        <f>SUMIF(AC_TKCO,$C160,AC_SOTIEN)</f>
        <v>0</v>
      </c>
      <c r="I160" s="1450" t="str">
        <f t="shared" si="1722"/>
        <v>-</v>
      </c>
      <c r="J160" s="1450" t="str">
        <f t="shared" si="1723"/>
        <v>-</v>
      </c>
      <c r="K160" s="1471"/>
      <c r="L160" s="1463"/>
      <c r="M160" s="1472"/>
      <c r="N160" s="1472"/>
      <c r="O160" s="1472"/>
      <c r="P160" s="1472"/>
      <c r="Q160" s="1473"/>
      <c r="R160" s="1473"/>
      <c r="S160" s="1445"/>
      <c r="T160" s="1445"/>
      <c r="U160" s="1445"/>
      <c r="V160" s="1445"/>
      <c r="W160" s="1445"/>
      <c r="X160" s="1445"/>
      <c r="Y160" s="1473"/>
      <c r="Z160" s="1473"/>
      <c r="AA160" s="1473"/>
      <c r="AB160" s="1473"/>
      <c r="AC160" s="1473"/>
      <c r="AD160" s="1473"/>
      <c r="AE160" s="1473"/>
      <c r="AF160" s="1473"/>
      <c r="AG160" s="1473"/>
      <c r="AH160" s="1473"/>
      <c r="AI160" s="1473"/>
      <c r="AJ160" s="1473"/>
      <c r="AK160" s="1473"/>
      <c r="AL160" s="1473"/>
      <c r="AM160" s="1473"/>
      <c r="AN160" s="1473"/>
      <c r="AO160" s="1473"/>
      <c r="AP160" s="1473"/>
      <c r="AQ160" s="1473"/>
      <c r="AR160" s="1473"/>
      <c r="AS160" s="1473"/>
      <c r="AT160" s="1473"/>
      <c r="AU160" s="1473"/>
      <c r="AV160" s="1473"/>
      <c r="AW160" s="1473"/>
      <c r="AX160" s="1473"/>
    </row>
    <row r="161" hidden="1" outlineLevel="1">
      <c r="A161" s="1468">
        <v>1.0</v>
      </c>
      <c r="B161" s="1439" t="s">
        <v>3152</v>
      </c>
      <c r="C161" s="1440"/>
      <c r="D161" s="1469" t="s">
        <v>3153</v>
      </c>
      <c r="E161" s="1442">
        <f t="shared" ref="E161:J161" si="1724">SUM(E162:E163)</f>
        <v>0</v>
      </c>
      <c r="F161" s="1442">
        <f t="shared" si="1724"/>
        <v>0</v>
      </c>
      <c r="G161" s="1442">
        <f t="shared" si="1724"/>
        <v>0</v>
      </c>
      <c r="H161" s="1442">
        <f t="shared" si="1724"/>
        <v>0</v>
      </c>
      <c r="I161" s="1442">
        <f t="shared" si="1724"/>
        <v>0</v>
      </c>
      <c r="J161" s="1442">
        <f t="shared" si="1724"/>
        <v>0</v>
      </c>
      <c r="K161" s="1471"/>
      <c r="L161" s="1463"/>
      <c r="M161" s="1472"/>
      <c r="N161" s="1472"/>
      <c r="O161" s="1472"/>
      <c r="P161" s="1472"/>
      <c r="Q161" s="1473"/>
      <c r="R161" s="1473"/>
      <c r="S161" s="1445"/>
      <c r="T161" s="1445"/>
      <c r="U161" s="1445"/>
      <c r="V161" s="1445"/>
      <c r="W161" s="1445"/>
      <c r="X161" s="1445"/>
      <c r="Y161" s="1473"/>
      <c r="Z161" s="1473"/>
      <c r="AA161" s="1473"/>
      <c r="AB161" s="1473"/>
      <c r="AC161" s="1473"/>
      <c r="AD161" s="1473"/>
      <c r="AE161" s="1473"/>
      <c r="AF161" s="1473"/>
      <c r="AG161" s="1473"/>
      <c r="AH161" s="1473"/>
      <c r="AI161" s="1473"/>
      <c r="AJ161" s="1473"/>
      <c r="AK161" s="1473"/>
      <c r="AL161" s="1473"/>
      <c r="AM161" s="1473"/>
      <c r="AN161" s="1473"/>
      <c r="AO161" s="1473"/>
      <c r="AP161" s="1473"/>
      <c r="AQ161" s="1473"/>
      <c r="AR161" s="1473"/>
      <c r="AS161" s="1473"/>
      <c r="AT161" s="1473"/>
      <c r="AU161" s="1473"/>
      <c r="AV161" s="1473"/>
      <c r="AW161" s="1473"/>
      <c r="AX161" s="1473"/>
    </row>
    <row r="162" hidden="1" outlineLevel="1">
      <c r="A162" s="1465"/>
      <c r="B162" s="1440"/>
      <c r="C162" s="1449" t="s">
        <v>1478</v>
      </c>
      <c r="D162" s="1467" t="s">
        <v>3153</v>
      </c>
      <c r="E162" s="1450"/>
      <c r="F162" s="1450"/>
      <c r="G162" s="1450">
        <f>SUMIF(AC_TKNO,$C162,AC_SOTIEN)</f>
        <v>0</v>
      </c>
      <c r="H162" s="1450">
        <f>SUMIF(AC_TKCO,$C162,AC_SOTIEN)</f>
        <v>0</v>
      </c>
      <c r="I162" s="1450" t="str">
        <f t="shared" ref="I162:I164" si="1725">IF(E162+G162-F162-H162&gt;0,E162+G162-F162-H162,"-")</f>
        <v>-</v>
      </c>
      <c r="J162" s="1450" t="str">
        <f t="shared" ref="J162:J164" si="1726">IF(F162+H162-E162-G162&gt;0,F162+H162-E162-G162,"-")</f>
        <v>-</v>
      </c>
      <c r="K162" s="1471"/>
      <c r="L162" s="1463"/>
      <c r="M162" s="1472"/>
      <c r="N162" s="1472"/>
      <c r="O162" s="1472"/>
      <c r="P162" s="1472"/>
      <c r="Q162" s="1473"/>
      <c r="R162" s="1473"/>
      <c r="S162" s="1445"/>
      <c r="T162" s="1445"/>
      <c r="U162" s="1445"/>
      <c r="V162" s="1445"/>
      <c r="W162" s="1445"/>
      <c r="X162" s="1445"/>
      <c r="Y162" s="1473"/>
      <c r="Z162" s="1473"/>
      <c r="AA162" s="1473"/>
      <c r="AB162" s="1473"/>
      <c r="AC162" s="1473"/>
      <c r="AD162" s="1473"/>
      <c r="AE162" s="1473"/>
      <c r="AF162" s="1473"/>
      <c r="AG162" s="1473"/>
      <c r="AH162" s="1473"/>
      <c r="AI162" s="1473"/>
      <c r="AJ162" s="1473"/>
      <c r="AK162" s="1473"/>
      <c r="AL162" s="1473"/>
      <c r="AM162" s="1473"/>
      <c r="AN162" s="1473"/>
      <c r="AO162" s="1473"/>
      <c r="AP162" s="1473"/>
      <c r="AQ162" s="1473"/>
      <c r="AR162" s="1473"/>
      <c r="AS162" s="1473"/>
      <c r="AT162" s="1473"/>
      <c r="AU162" s="1473"/>
      <c r="AV162" s="1473"/>
      <c r="AW162" s="1473"/>
      <c r="AX162" s="1473"/>
    </row>
    <row r="163" hidden="1" outlineLevel="1">
      <c r="A163" s="1465"/>
      <c r="B163" s="1440"/>
      <c r="C163" s="1449" t="s">
        <v>1479</v>
      </c>
      <c r="D163" s="1467" t="s">
        <v>3154</v>
      </c>
      <c r="E163" s="1450"/>
      <c r="F163" s="1450"/>
      <c r="G163" s="1450">
        <f>SUMIF(AC_TKNO,$C163,AC_SOTIEN)</f>
        <v>0</v>
      </c>
      <c r="H163" s="1450">
        <f>SUMIF(AC_TKCO,$C163,AC_SOTIEN)</f>
        <v>0</v>
      </c>
      <c r="I163" s="1450" t="str">
        <f t="shared" si="1725"/>
        <v>-</v>
      </c>
      <c r="J163" s="1450" t="str">
        <f t="shared" si="1726"/>
        <v>-</v>
      </c>
      <c r="K163" s="1471"/>
      <c r="L163" s="1463"/>
      <c r="M163" s="1472"/>
      <c r="N163" s="1472"/>
      <c r="O163" s="1472"/>
      <c r="P163" s="1472"/>
      <c r="Q163" s="1473"/>
      <c r="R163" s="1473"/>
      <c r="S163" s="1445"/>
      <c r="T163" s="1445"/>
      <c r="U163" s="1445"/>
      <c r="V163" s="1445"/>
      <c r="W163" s="1445"/>
      <c r="X163" s="1445"/>
      <c r="Y163" s="1473"/>
      <c r="Z163" s="1473"/>
      <c r="AA163" s="1473"/>
      <c r="AB163" s="1473"/>
      <c r="AC163" s="1473"/>
      <c r="AD163" s="1473"/>
      <c r="AE163" s="1473"/>
      <c r="AF163" s="1473"/>
      <c r="AG163" s="1473"/>
      <c r="AH163" s="1473"/>
      <c r="AI163" s="1473"/>
      <c r="AJ163" s="1473"/>
      <c r="AK163" s="1473"/>
      <c r="AL163" s="1473"/>
      <c r="AM163" s="1473"/>
      <c r="AN163" s="1473"/>
      <c r="AO163" s="1473"/>
      <c r="AP163" s="1473"/>
      <c r="AQ163" s="1473"/>
      <c r="AR163" s="1473"/>
      <c r="AS163" s="1473"/>
      <c r="AT163" s="1473"/>
      <c r="AU163" s="1473"/>
      <c r="AV163" s="1473"/>
      <c r="AW163" s="1473"/>
      <c r="AX163" s="1473"/>
    </row>
    <row r="164" hidden="1" outlineLevel="1">
      <c r="A164" s="1468">
        <v>1.0</v>
      </c>
      <c r="B164" s="1439" t="s">
        <v>3155</v>
      </c>
      <c r="C164" s="1439" t="s">
        <v>3155</v>
      </c>
      <c r="D164" s="1469" t="s">
        <v>3156</v>
      </c>
      <c r="E164" s="1455"/>
      <c r="F164" s="1455"/>
      <c r="G164" s="1455">
        <f>SUMIF(AC_TKNO,$C164,AC_SOTIEN)</f>
        <v>0</v>
      </c>
      <c r="H164" s="1455">
        <f>SUMIF(AC_TKCO,$C164,AC_SOTIEN)</f>
        <v>0</v>
      </c>
      <c r="I164" s="1455" t="str">
        <f t="shared" si="1725"/>
        <v>-</v>
      </c>
      <c r="J164" s="1455" t="str">
        <f t="shared" si="1726"/>
        <v>-</v>
      </c>
      <c r="K164" s="1471"/>
      <c r="L164" s="1463"/>
      <c r="M164" s="1472"/>
      <c r="N164" s="1472"/>
      <c r="O164" s="1472"/>
      <c r="P164" s="1472"/>
      <c r="Q164" s="1473"/>
      <c r="R164" s="1473"/>
      <c r="S164" s="1445"/>
      <c r="T164" s="1445"/>
      <c r="U164" s="1445"/>
      <c r="V164" s="1445"/>
      <c r="W164" s="1445"/>
      <c r="X164" s="1445"/>
      <c r="Y164" s="1473"/>
      <c r="Z164" s="1473"/>
      <c r="AA164" s="1473"/>
      <c r="AB164" s="1473"/>
      <c r="AC164" s="1473"/>
      <c r="AD164" s="1473"/>
      <c r="AE164" s="1473"/>
      <c r="AF164" s="1473"/>
      <c r="AG164" s="1473"/>
      <c r="AH164" s="1473"/>
      <c r="AI164" s="1473"/>
      <c r="AJ164" s="1473"/>
      <c r="AK164" s="1473"/>
      <c r="AL164" s="1473"/>
      <c r="AM164" s="1473"/>
      <c r="AN164" s="1473"/>
      <c r="AO164" s="1473"/>
      <c r="AP164" s="1473"/>
      <c r="AQ164" s="1473"/>
      <c r="AR164" s="1473"/>
      <c r="AS164" s="1473"/>
      <c r="AT164" s="1473"/>
      <c r="AU164" s="1473"/>
      <c r="AV164" s="1473"/>
      <c r="AW164" s="1473"/>
      <c r="AX164" s="1473"/>
    </row>
    <row r="165">
      <c r="A165" s="1468">
        <v>1.0</v>
      </c>
      <c r="B165" s="1439" t="s">
        <v>3157</v>
      </c>
      <c r="C165" s="1440"/>
      <c r="D165" s="1469" t="s">
        <v>1483</v>
      </c>
      <c r="E165" s="1442">
        <f t="shared" ref="E165:J165" si="1727">SUM(E166:E169)</f>
        <v>0</v>
      </c>
      <c r="F165" s="1442">
        <f t="shared" si="1727"/>
        <v>0</v>
      </c>
      <c r="G165" s="1442">
        <f t="shared" si="1727"/>
        <v>0</v>
      </c>
      <c r="H165" s="1442">
        <f t="shared" si="1727"/>
        <v>1850000000</v>
      </c>
      <c r="I165" s="1442">
        <f t="shared" si="1727"/>
        <v>0</v>
      </c>
      <c r="J165" s="1442">
        <f t="shared" si="1727"/>
        <v>1850000000</v>
      </c>
      <c r="K165" s="1471"/>
      <c r="L165" s="1463"/>
      <c r="M165" s="1472"/>
      <c r="N165" s="1472"/>
      <c r="O165" s="1472"/>
      <c r="P165" s="1472"/>
      <c r="Q165" s="1473"/>
      <c r="R165" s="1473"/>
      <c r="S165" s="1445"/>
      <c r="T165" s="1445"/>
      <c r="U165" s="1445"/>
      <c r="V165" s="1445"/>
      <c r="W165" s="1445"/>
      <c r="X165" s="1445"/>
      <c r="Y165" s="1473"/>
      <c r="Z165" s="1473"/>
      <c r="AA165" s="1473"/>
      <c r="AB165" s="1473"/>
      <c r="AC165" s="1473"/>
      <c r="AD165" s="1473"/>
      <c r="AE165" s="1473"/>
      <c r="AF165" s="1473"/>
      <c r="AG165" s="1473"/>
      <c r="AH165" s="1473"/>
      <c r="AI165" s="1473"/>
      <c r="AJ165" s="1473"/>
      <c r="AK165" s="1473"/>
      <c r="AL165" s="1473"/>
      <c r="AM165" s="1473"/>
      <c r="AN165" s="1473"/>
      <c r="AO165" s="1473"/>
      <c r="AP165" s="1473"/>
      <c r="AQ165" s="1473"/>
      <c r="AR165" s="1473"/>
      <c r="AS165" s="1473"/>
      <c r="AT165" s="1473"/>
      <c r="AU165" s="1473"/>
      <c r="AV165" s="1473"/>
      <c r="AW165" s="1473"/>
      <c r="AX165" s="1473"/>
    </row>
    <row r="166" collapsed="1">
      <c r="A166" s="1465"/>
      <c r="B166" s="1440"/>
      <c r="C166" s="1449" t="s">
        <v>1484</v>
      </c>
      <c r="D166" s="1467" t="s">
        <v>1485</v>
      </c>
      <c r="E166" s="1450"/>
      <c r="F166" s="1450"/>
      <c r="G166" s="1450">
        <f>SUMIF(AC_TKNO,$C166,AC_SOTIEN)</f>
        <v>0</v>
      </c>
      <c r="H166" s="1450">
        <f>SUMIF(AC_TKCO,$C166,AC_SOTIEN)</f>
        <v>1850000000</v>
      </c>
      <c r="I166" s="1450" t="str">
        <f t="shared" ref="I166:I170" si="1728">IF(E166+G166-F166-H166&gt;0,E166+G166-F166-H166,"-")</f>
        <v>-</v>
      </c>
      <c r="J166" s="1450">
        <f t="shared" ref="J166:J170" si="1729">IF(F166+H166-E166-G166&gt;0,F166+H166-E166-G166,"-")</f>
        <v>1850000000</v>
      </c>
      <c r="K166" s="1471"/>
      <c r="L166" s="1463"/>
      <c r="M166" s="1472"/>
      <c r="N166" s="1472"/>
      <c r="O166" s="1472"/>
      <c r="P166" s="1472"/>
      <c r="Q166" s="1473"/>
      <c r="R166" s="1473"/>
      <c r="S166" s="1445"/>
      <c r="T166" s="1445"/>
      <c r="U166" s="1445"/>
      <c r="V166" s="1445"/>
      <c r="W166" s="1445"/>
      <c r="X166" s="1445"/>
      <c r="Y166" s="1473"/>
      <c r="Z166" s="1473"/>
      <c r="AA166" s="1473"/>
      <c r="AB166" s="1473"/>
      <c r="AC166" s="1473"/>
      <c r="AD166" s="1473"/>
      <c r="AE166" s="1473"/>
      <c r="AF166" s="1473"/>
      <c r="AG166" s="1473"/>
      <c r="AH166" s="1473"/>
      <c r="AI166" s="1473"/>
      <c r="AJ166" s="1473"/>
      <c r="AK166" s="1473"/>
      <c r="AL166" s="1473"/>
      <c r="AM166" s="1473"/>
      <c r="AN166" s="1473"/>
      <c r="AO166" s="1473"/>
      <c r="AP166" s="1473"/>
      <c r="AQ166" s="1473"/>
      <c r="AR166" s="1473"/>
      <c r="AS166" s="1473"/>
      <c r="AT166" s="1473"/>
      <c r="AU166" s="1473"/>
      <c r="AV166" s="1473"/>
      <c r="AW166" s="1473"/>
      <c r="AX166" s="1473"/>
    </row>
    <row r="167" hidden="1" outlineLevel="1">
      <c r="A167" s="1465"/>
      <c r="B167" s="1440"/>
      <c r="C167" s="1449" t="s">
        <v>1486</v>
      </c>
      <c r="D167" s="1467" t="s">
        <v>1487</v>
      </c>
      <c r="E167" s="1450"/>
      <c r="F167" s="1450"/>
      <c r="G167" s="1450">
        <f>SUMIF(AC_TKNO,$C167,AC_SOTIEN)</f>
        <v>0</v>
      </c>
      <c r="H167" s="1450">
        <f>SUMIF(AC_TKCO,$C167,AC_SOTIEN)</f>
        <v>0</v>
      </c>
      <c r="I167" s="1450" t="str">
        <f t="shared" si="1728"/>
        <v>-</v>
      </c>
      <c r="J167" s="1450" t="str">
        <f t="shared" si="1729"/>
        <v>-</v>
      </c>
      <c r="K167" s="1471"/>
      <c r="L167" s="1463"/>
      <c r="M167" s="1472"/>
      <c r="N167" s="1472"/>
      <c r="O167" s="1472"/>
      <c r="P167" s="1472"/>
      <c r="Q167" s="1473"/>
      <c r="R167" s="1473"/>
      <c r="S167" s="1445"/>
      <c r="T167" s="1445"/>
      <c r="U167" s="1445"/>
      <c r="V167" s="1445"/>
      <c r="W167" s="1445"/>
      <c r="X167" s="1445"/>
      <c r="Y167" s="1473"/>
      <c r="Z167" s="1473"/>
      <c r="AA167" s="1473"/>
      <c r="AB167" s="1473"/>
      <c r="AC167" s="1473"/>
      <c r="AD167" s="1473"/>
      <c r="AE167" s="1473"/>
      <c r="AF167" s="1473"/>
      <c r="AG167" s="1473"/>
      <c r="AH167" s="1473"/>
      <c r="AI167" s="1473"/>
      <c r="AJ167" s="1473"/>
      <c r="AK167" s="1473"/>
      <c r="AL167" s="1473"/>
      <c r="AM167" s="1473"/>
      <c r="AN167" s="1473"/>
      <c r="AO167" s="1473"/>
      <c r="AP167" s="1473"/>
      <c r="AQ167" s="1473"/>
      <c r="AR167" s="1473"/>
      <c r="AS167" s="1473"/>
      <c r="AT167" s="1473"/>
      <c r="AU167" s="1473"/>
      <c r="AV167" s="1473"/>
      <c r="AW167" s="1473"/>
      <c r="AX167" s="1473"/>
    </row>
    <row r="168" hidden="1" outlineLevel="1">
      <c r="A168" s="1465"/>
      <c r="B168" s="1440"/>
      <c r="C168" s="1449" t="s">
        <v>3158</v>
      </c>
      <c r="D168" s="1467" t="s">
        <v>1722</v>
      </c>
      <c r="E168" s="1450"/>
      <c r="F168" s="1450"/>
      <c r="G168" s="1450">
        <f>SUMIF(AC_TKNO,$C168,AC_SOTIEN)</f>
        <v>0</v>
      </c>
      <c r="H168" s="1450">
        <f>SUMIF(AC_TKCO,$C168,AC_SOTIEN)</f>
        <v>0</v>
      </c>
      <c r="I168" s="1450" t="str">
        <f t="shared" si="1728"/>
        <v>-</v>
      </c>
      <c r="J168" s="1450" t="str">
        <f t="shared" si="1729"/>
        <v>-</v>
      </c>
      <c r="K168" s="1471"/>
      <c r="L168" s="1463"/>
      <c r="M168" s="1472"/>
      <c r="N168" s="1472"/>
      <c r="O168" s="1472"/>
      <c r="P168" s="1472"/>
      <c r="Q168" s="1473"/>
      <c r="R168" s="1473"/>
      <c r="S168" s="1445"/>
      <c r="T168" s="1445"/>
      <c r="U168" s="1445"/>
      <c r="V168" s="1445"/>
      <c r="W168" s="1445"/>
      <c r="X168" s="1445"/>
      <c r="Y168" s="1473"/>
      <c r="Z168" s="1473"/>
      <c r="AA168" s="1473"/>
      <c r="AB168" s="1473"/>
      <c r="AC168" s="1473"/>
      <c r="AD168" s="1473"/>
      <c r="AE168" s="1473"/>
      <c r="AF168" s="1473"/>
      <c r="AG168" s="1473"/>
      <c r="AH168" s="1473"/>
      <c r="AI168" s="1473"/>
      <c r="AJ168" s="1473"/>
      <c r="AK168" s="1473"/>
      <c r="AL168" s="1473"/>
      <c r="AM168" s="1473"/>
      <c r="AN168" s="1473"/>
      <c r="AO168" s="1473"/>
      <c r="AP168" s="1473"/>
      <c r="AQ168" s="1473"/>
      <c r="AR168" s="1473"/>
      <c r="AS168" s="1473"/>
      <c r="AT168" s="1473"/>
      <c r="AU168" s="1473"/>
      <c r="AV168" s="1473"/>
      <c r="AW168" s="1473"/>
      <c r="AX168" s="1473"/>
    </row>
    <row r="169" hidden="1" outlineLevel="1">
      <c r="A169" s="1465"/>
      <c r="B169" s="1440"/>
      <c r="C169" s="1449" t="s">
        <v>1488</v>
      </c>
      <c r="D169" s="1467" t="s">
        <v>1489</v>
      </c>
      <c r="E169" s="1450"/>
      <c r="F169" s="1450"/>
      <c r="G169" s="1450">
        <f>SUMIF(AC_TKNO,$C169,AC_SOTIEN)</f>
        <v>0</v>
      </c>
      <c r="H169" s="1450">
        <f>SUMIF(AC_TKCO,$C169,AC_SOTIEN)</f>
        <v>0</v>
      </c>
      <c r="I169" s="1450" t="str">
        <f t="shared" si="1728"/>
        <v>-</v>
      </c>
      <c r="J169" s="1450" t="str">
        <f t="shared" si="1729"/>
        <v>-</v>
      </c>
      <c r="K169" s="1471"/>
      <c r="L169" s="1463"/>
      <c r="M169" s="1472"/>
      <c r="N169" s="1472"/>
      <c r="O169" s="1472"/>
      <c r="P169" s="1472"/>
      <c r="Q169" s="1473"/>
      <c r="R169" s="1473"/>
      <c r="S169" s="1445"/>
      <c r="T169" s="1445"/>
      <c r="U169" s="1445"/>
      <c r="V169" s="1445"/>
      <c r="W169" s="1445"/>
      <c r="X169" s="1445"/>
      <c r="Y169" s="1473"/>
      <c r="Z169" s="1473"/>
      <c r="AA169" s="1473"/>
      <c r="AB169" s="1473"/>
      <c r="AC169" s="1473"/>
      <c r="AD169" s="1473"/>
      <c r="AE169" s="1473"/>
      <c r="AF169" s="1473"/>
      <c r="AG169" s="1473"/>
      <c r="AH169" s="1473"/>
      <c r="AI169" s="1473"/>
      <c r="AJ169" s="1473"/>
      <c r="AK169" s="1473"/>
      <c r="AL169" s="1473"/>
      <c r="AM169" s="1473"/>
      <c r="AN169" s="1473"/>
      <c r="AO169" s="1473"/>
      <c r="AP169" s="1473"/>
      <c r="AQ169" s="1473"/>
      <c r="AR169" s="1473"/>
      <c r="AS169" s="1473"/>
      <c r="AT169" s="1473"/>
      <c r="AU169" s="1473"/>
      <c r="AV169" s="1473"/>
      <c r="AW169" s="1473"/>
      <c r="AX169" s="1473"/>
    </row>
    <row r="170" hidden="1" outlineLevel="1">
      <c r="A170" s="1468">
        <v>1.0</v>
      </c>
      <c r="B170" s="1439" t="s">
        <v>3159</v>
      </c>
      <c r="C170" s="1439" t="s">
        <v>3159</v>
      </c>
      <c r="D170" s="1469" t="s">
        <v>1723</v>
      </c>
      <c r="E170" s="1455"/>
      <c r="F170" s="1455"/>
      <c r="G170" s="1455">
        <f>SUMIF(AC_TKNO,$C170,AC_SOTIEN)</f>
        <v>0</v>
      </c>
      <c r="H170" s="1455">
        <f>SUMIF(AC_TKCO,$C170,AC_SOTIEN)</f>
        <v>0</v>
      </c>
      <c r="I170" s="1455" t="str">
        <f t="shared" si="1728"/>
        <v>-</v>
      </c>
      <c r="J170" s="1455" t="str">
        <f t="shared" si="1729"/>
        <v>-</v>
      </c>
      <c r="K170" s="1471"/>
      <c r="L170" s="1463"/>
      <c r="M170" s="1472"/>
      <c r="N170" s="1472"/>
      <c r="O170" s="1472"/>
      <c r="P170" s="1472"/>
      <c r="Q170" s="1473"/>
      <c r="R170" s="1473"/>
      <c r="S170" s="1445"/>
      <c r="T170" s="1445"/>
      <c r="U170" s="1445"/>
      <c r="V170" s="1445"/>
      <c r="W170" s="1445"/>
      <c r="X170" s="1445"/>
      <c r="Y170" s="1473"/>
      <c r="Z170" s="1473"/>
      <c r="AA170" s="1473"/>
      <c r="AB170" s="1473"/>
      <c r="AC170" s="1473"/>
      <c r="AD170" s="1473"/>
      <c r="AE170" s="1473"/>
      <c r="AF170" s="1473"/>
      <c r="AG170" s="1473"/>
      <c r="AH170" s="1473"/>
      <c r="AI170" s="1473"/>
      <c r="AJ170" s="1473"/>
      <c r="AK170" s="1473"/>
      <c r="AL170" s="1473"/>
      <c r="AM170" s="1473"/>
      <c r="AN170" s="1473"/>
      <c r="AO170" s="1473"/>
      <c r="AP170" s="1473"/>
      <c r="AQ170" s="1473"/>
      <c r="AR170" s="1473"/>
      <c r="AS170" s="1473"/>
      <c r="AT170" s="1473"/>
      <c r="AU170" s="1473"/>
      <c r="AV170" s="1473"/>
      <c r="AW170" s="1473"/>
      <c r="AX170" s="1473"/>
    </row>
    <row r="171" hidden="1" outlineLevel="1">
      <c r="A171" s="1468">
        <v>1.0</v>
      </c>
      <c r="B171" s="1439" t="s">
        <v>3160</v>
      </c>
      <c r="C171" s="1440"/>
      <c r="D171" s="1469" t="s">
        <v>1490</v>
      </c>
      <c r="E171" s="1442">
        <f t="shared" ref="E171:J171" si="1730">SUM(E172:E173)</f>
        <v>0</v>
      </c>
      <c r="F171" s="1442">
        <f t="shared" si="1730"/>
        <v>0</v>
      </c>
      <c r="G171" s="1442">
        <f t="shared" si="1730"/>
        <v>0</v>
      </c>
      <c r="H171" s="1442">
        <f t="shared" si="1730"/>
        <v>0</v>
      </c>
      <c r="I171" s="1442">
        <f t="shared" si="1730"/>
        <v>0</v>
      </c>
      <c r="J171" s="1442">
        <f t="shared" si="1730"/>
        <v>0</v>
      </c>
      <c r="K171" s="1471"/>
      <c r="L171" s="1463"/>
      <c r="M171" s="1472"/>
      <c r="N171" s="1472"/>
      <c r="O171" s="1472"/>
      <c r="P171" s="1472"/>
      <c r="Q171" s="1473"/>
      <c r="R171" s="1473"/>
      <c r="S171" s="1445"/>
      <c r="T171" s="1445"/>
      <c r="U171" s="1445"/>
      <c r="V171" s="1445"/>
      <c r="W171" s="1445"/>
      <c r="X171" s="1445"/>
      <c r="Y171" s="1473"/>
      <c r="Z171" s="1473"/>
      <c r="AA171" s="1473"/>
      <c r="AB171" s="1473"/>
      <c r="AC171" s="1473"/>
      <c r="AD171" s="1473"/>
      <c r="AE171" s="1473"/>
      <c r="AF171" s="1473"/>
      <c r="AG171" s="1473"/>
      <c r="AH171" s="1473"/>
      <c r="AI171" s="1473"/>
      <c r="AJ171" s="1473"/>
      <c r="AK171" s="1473"/>
      <c r="AL171" s="1473"/>
      <c r="AM171" s="1473"/>
      <c r="AN171" s="1473"/>
      <c r="AO171" s="1473"/>
      <c r="AP171" s="1473"/>
      <c r="AQ171" s="1473"/>
      <c r="AR171" s="1473"/>
      <c r="AS171" s="1473"/>
      <c r="AT171" s="1473"/>
      <c r="AU171" s="1473"/>
      <c r="AV171" s="1473"/>
      <c r="AW171" s="1473"/>
      <c r="AX171" s="1473"/>
    </row>
    <row r="172" hidden="1" outlineLevel="1">
      <c r="A172" s="1465"/>
      <c r="B172" s="1440"/>
      <c r="C172" s="1449" t="s">
        <v>3161</v>
      </c>
      <c r="D172" s="1467" t="s">
        <v>3162</v>
      </c>
      <c r="E172" s="1450"/>
      <c r="F172" s="1450"/>
      <c r="G172" s="1450">
        <f>SUMIF(AC_TKNO,$C172,AC_SOTIEN)</f>
        <v>0</v>
      </c>
      <c r="H172" s="1450">
        <f>SUMIF(AC_TKCO,$C172,AC_SOTIEN)</f>
        <v>0</v>
      </c>
      <c r="I172" s="1450" t="str">
        <f t="shared" ref="I172:I177" si="1731">IF(E172+G172-F172-H172&gt;0,E172+G172-F172-H172,"-")</f>
        <v>-</v>
      </c>
      <c r="J172" s="1450" t="str">
        <f t="shared" ref="J172:J177" si="1732">IF(F172+H172-E172-G172&gt;0,F172+H172-E172-G172,"-")</f>
        <v>-</v>
      </c>
      <c r="K172" s="1471"/>
      <c r="L172" s="1463"/>
      <c r="M172" s="1472"/>
      <c r="N172" s="1472"/>
      <c r="O172" s="1472"/>
      <c r="P172" s="1472"/>
      <c r="Q172" s="1473"/>
      <c r="R172" s="1473"/>
      <c r="S172" s="1445"/>
      <c r="T172" s="1445"/>
      <c r="U172" s="1445"/>
      <c r="V172" s="1445"/>
      <c r="W172" s="1445"/>
      <c r="X172" s="1445"/>
      <c r="Y172" s="1473"/>
      <c r="Z172" s="1473"/>
      <c r="AA172" s="1473"/>
      <c r="AB172" s="1473"/>
      <c r="AC172" s="1473"/>
      <c r="AD172" s="1473"/>
      <c r="AE172" s="1473"/>
      <c r="AF172" s="1473"/>
      <c r="AG172" s="1473"/>
      <c r="AH172" s="1473"/>
      <c r="AI172" s="1473"/>
      <c r="AJ172" s="1473"/>
      <c r="AK172" s="1473"/>
      <c r="AL172" s="1473"/>
      <c r="AM172" s="1473"/>
      <c r="AN172" s="1473"/>
      <c r="AO172" s="1473"/>
      <c r="AP172" s="1473"/>
      <c r="AQ172" s="1473"/>
      <c r="AR172" s="1473"/>
      <c r="AS172" s="1473"/>
      <c r="AT172" s="1473"/>
      <c r="AU172" s="1473"/>
      <c r="AV172" s="1473"/>
      <c r="AW172" s="1473"/>
      <c r="AX172" s="1473"/>
    </row>
    <row r="173" hidden="1" outlineLevel="1">
      <c r="A173" s="1465"/>
      <c r="B173" s="1440"/>
      <c r="C173" s="1449" t="s">
        <v>3163</v>
      </c>
      <c r="D173" s="1467" t="s">
        <v>3164</v>
      </c>
      <c r="E173" s="1450"/>
      <c r="F173" s="1450"/>
      <c r="G173" s="1450">
        <f>SUMIF(AC_TKNO,$C173,AC_SOTIEN)</f>
        <v>0</v>
      </c>
      <c r="H173" s="1450">
        <f>SUMIF(AC_TKCO,$C173,AC_SOTIEN)</f>
        <v>0</v>
      </c>
      <c r="I173" s="1450" t="str">
        <f t="shared" si="1731"/>
        <v>-</v>
      </c>
      <c r="J173" s="1450" t="str">
        <f t="shared" si="1732"/>
        <v>-</v>
      </c>
      <c r="K173" s="1471"/>
      <c r="L173" s="1463"/>
      <c r="M173" s="1472"/>
      <c r="N173" s="1472"/>
      <c r="O173" s="1472"/>
      <c r="P173" s="1472"/>
      <c r="Q173" s="1473"/>
      <c r="R173" s="1473"/>
      <c r="S173" s="1445"/>
      <c r="T173" s="1445"/>
      <c r="U173" s="1445"/>
      <c r="V173" s="1445"/>
      <c r="W173" s="1445"/>
      <c r="X173" s="1445"/>
      <c r="Y173" s="1473"/>
      <c r="Z173" s="1473"/>
      <c r="AA173" s="1473"/>
      <c r="AB173" s="1473"/>
      <c r="AC173" s="1473"/>
      <c r="AD173" s="1473"/>
      <c r="AE173" s="1473"/>
      <c r="AF173" s="1473"/>
      <c r="AG173" s="1473"/>
      <c r="AH173" s="1473"/>
      <c r="AI173" s="1473"/>
      <c r="AJ173" s="1473"/>
      <c r="AK173" s="1473"/>
      <c r="AL173" s="1473"/>
      <c r="AM173" s="1473"/>
      <c r="AN173" s="1473"/>
      <c r="AO173" s="1473"/>
      <c r="AP173" s="1473"/>
      <c r="AQ173" s="1473"/>
      <c r="AR173" s="1473"/>
      <c r="AS173" s="1473"/>
      <c r="AT173" s="1473"/>
      <c r="AU173" s="1473"/>
      <c r="AV173" s="1473"/>
      <c r="AW173" s="1473"/>
      <c r="AX173" s="1473"/>
    </row>
    <row r="174">
      <c r="A174" s="1468">
        <v>1.0</v>
      </c>
      <c r="B174" s="1439" t="s">
        <v>3165</v>
      </c>
      <c r="C174" s="1439" t="s">
        <v>3165</v>
      </c>
      <c r="D174" s="1469" t="s">
        <v>3166</v>
      </c>
      <c r="E174" s="1455"/>
      <c r="F174" s="1455"/>
      <c r="G174" s="1455">
        <f>SUMIF(AC_TKNO,$C174,AC_SOTIEN)</f>
        <v>0</v>
      </c>
      <c r="H174" s="1455">
        <f>SUMIF(AC_TKCO,$C174,AC_SOTIEN)</f>
        <v>0</v>
      </c>
      <c r="I174" s="1455" t="str">
        <f t="shared" si="1731"/>
        <v>-</v>
      </c>
      <c r="J174" s="1455" t="str">
        <f t="shared" si="1732"/>
        <v>-</v>
      </c>
      <c r="K174" s="1471"/>
      <c r="L174" s="1463"/>
      <c r="M174" s="1472"/>
      <c r="N174" s="1472"/>
      <c r="O174" s="1472"/>
      <c r="P174" s="1472"/>
      <c r="Q174" s="1473"/>
      <c r="R174" s="1473"/>
      <c r="S174" s="1445"/>
      <c r="T174" s="1445"/>
      <c r="U174" s="1445"/>
      <c r="V174" s="1445"/>
      <c r="W174" s="1445"/>
      <c r="X174" s="1445"/>
      <c r="Y174" s="1473"/>
      <c r="Z174" s="1473"/>
      <c r="AA174" s="1473"/>
      <c r="AB174" s="1473"/>
      <c r="AC174" s="1473"/>
      <c r="AD174" s="1473"/>
      <c r="AE174" s="1473"/>
      <c r="AF174" s="1473"/>
      <c r="AG174" s="1473"/>
      <c r="AH174" s="1473"/>
      <c r="AI174" s="1473"/>
      <c r="AJ174" s="1473"/>
      <c r="AK174" s="1473"/>
      <c r="AL174" s="1473"/>
      <c r="AM174" s="1473"/>
      <c r="AN174" s="1473"/>
      <c r="AO174" s="1473"/>
      <c r="AP174" s="1473"/>
      <c r="AQ174" s="1473"/>
      <c r="AR174" s="1473"/>
      <c r="AS174" s="1473"/>
      <c r="AT174" s="1473"/>
      <c r="AU174" s="1473"/>
      <c r="AV174" s="1473"/>
      <c r="AW174" s="1473"/>
      <c r="AX174" s="1473"/>
    </row>
    <row r="175">
      <c r="A175" s="1468">
        <v>1.0</v>
      </c>
      <c r="B175" s="1439" t="s">
        <v>3167</v>
      </c>
      <c r="C175" s="1439" t="s">
        <v>3167</v>
      </c>
      <c r="D175" s="1469" t="s">
        <v>3168</v>
      </c>
      <c r="E175" s="1455"/>
      <c r="F175" s="1455"/>
      <c r="G175" s="1455">
        <f>SUMIF(AC_TKNO,$C175,AC_SOTIEN)</f>
        <v>0</v>
      </c>
      <c r="H175" s="1455">
        <f>SUMIF(AC_TKCO,$C175,AC_SOTIEN)</f>
        <v>0</v>
      </c>
      <c r="I175" s="1455" t="str">
        <f t="shared" si="1731"/>
        <v>-</v>
      </c>
      <c r="J175" s="1455" t="str">
        <f t="shared" si="1732"/>
        <v>-</v>
      </c>
      <c r="K175" s="1471"/>
      <c r="L175" s="1463"/>
      <c r="M175" s="1472"/>
      <c r="N175" s="1472"/>
      <c r="O175" s="1472"/>
      <c r="P175" s="1472"/>
      <c r="Q175" s="1473"/>
      <c r="R175" s="1473"/>
      <c r="S175" s="1445"/>
      <c r="T175" s="1445"/>
      <c r="U175" s="1445"/>
      <c r="V175" s="1445"/>
      <c r="W175" s="1445"/>
      <c r="X175" s="1445"/>
      <c r="Y175" s="1473"/>
      <c r="Z175" s="1473"/>
      <c r="AA175" s="1473"/>
      <c r="AB175" s="1473"/>
      <c r="AC175" s="1473"/>
      <c r="AD175" s="1473"/>
      <c r="AE175" s="1473"/>
      <c r="AF175" s="1473"/>
      <c r="AG175" s="1473"/>
      <c r="AH175" s="1473"/>
      <c r="AI175" s="1473"/>
      <c r="AJ175" s="1473"/>
      <c r="AK175" s="1473"/>
      <c r="AL175" s="1473"/>
      <c r="AM175" s="1473"/>
      <c r="AN175" s="1473"/>
      <c r="AO175" s="1473"/>
      <c r="AP175" s="1473"/>
      <c r="AQ175" s="1473"/>
      <c r="AR175" s="1473"/>
      <c r="AS175" s="1473"/>
      <c r="AT175" s="1473"/>
      <c r="AU175" s="1473"/>
      <c r="AV175" s="1473"/>
      <c r="AW175" s="1473"/>
      <c r="AX175" s="1473"/>
    </row>
    <row r="176" collapsed="1">
      <c r="A176" s="1468">
        <v>1.0</v>
      </c>
      <c r="B176" s="1439" t="s">
        <v>3169</v>
      </c>
      <c r="C176" s="1439" t="s">
        <v>3169</v>
      </c>
      <c r="D176" s="1469" t="s">
        <v>1491</v>
      </c>
      <c r="E176" s="1455"/>
      <c r="F176" s="1455"/>
      <c r="G176" s="1455">
        <f>SUMIF(AC_TKNO,$C176,AC_SOTIEN)</f>
        <v>0</v>
      </c>
      <c r="H176" s="1455">
        <f>SUMIF(AC_TKCO,$C176,AC_SOTIEN)</f>
        <v>0</v>
      </c>
      <c r="I176" s="1455" t="str">
        <f t="shared" si="1731"/>
        <v>-</v>
      </c>
      <c r="J176" s="1455" t="str">
        <f t="shared" si="1732"/>
        <v>-</v>
      </c>
      <c r="K176" s="1471"/>
      <c r="L176" s="1463"/>
      <c r="M176" s="1472"/>
      <c r="N176" s="1472"/>
      <c r="O176" s="1472"/>
      <c r="P176" s="1472"/>
      <c r="Q176" s="1473"/>
      <c r="R176" s="1473"/>
      <c r="S176" s="1445"/>
      <c r="T176" s="1445"/>
      <c r="U176" s="1445"/>
      <c r="V176" s="1445"/>
      <c r="W176" s="1445"/>
      <c r="X176" s="1445"/>
      <c r="Y176" s="1473"/>
      <c r="Z176" s="1473"/>
      <c r="AA176" s="1473"/>
      <c r="AB176" s="1473"/>
      <c r="AC176" s="1473"/>
      <c r="AD176" s="1473"/>
      <c r="AE176" s="1473"/>
      <c r="AF176" s="1473"/>
      <c r="AG176" s="1473"/>
      <c r="AH176" s="1473"/>
      <c r="AI176" s="1473"/>
      <c r="AJ176" s="1473"/>
      <c r="AK176" s="1473"/>
      <c r="AL176" s="1473"/>
      <c r="AM176" s="1473"/>
      <c r="AN176" s="1473"/>
      <c r="AO176" s="1473"/>
      <c r="AP176" s="1473"/>
      <c r="AQ176" s="1473"/>
      <c r="AR176" s="1473"/>
      <c r="AS176" s="1473"/>
      <c r="AT176" s="1473"/>
      <c r="AU176" s="1473"/>
      <c r="AV176" s="1473"/>
      <c r="AW176" s="1473"/>
      <c r="AX176" s="1473"/>
    </row>
    <row r="177" hidden="1" outlineLevel="1">
      <c r="A177" s="1468">
        <v>1.0</v>
      </c>
      <c r="B177" s="1439" t="s">
        <v>3170</v>
      </c>
      <c r="C177" s="1439" t="s">
        <v>3170</v>
      </c>
      <c r="D177" s="1469" t="s">
        <v>3171</v>
      </c>
      <c r="E177" s="1455"/>
      <c r="F177" s="1455"/>
      <c r="G177" s="1455">
        <f>SUMIF(AC_TKNO,$C177,AC_SOTIEN)</f>
        <v>0</v>
      </c>
      <c r="H177" s="1455">
        <f>SUMIF(AC_TKCO,$C177,AC_SOTIEN)</f>
        <v>0</v>
      </c>
      <c r="I177" s="1455" t="str">
        <f t="shared" si="1731"/>
        <v>-</v>
      </c>
      <c r="J177" s="1455" t="str">
        <f t="shared" si="1732"/>
        <v>-</v>
      </c>
      <c r="K177" s="1471"/>
      <c r="L177" s="1463"/>
      <c r="M177" s="1472"/>
      <c r="N177" s="1472"/>
      <c r="O177" s="1472"/>
      <c r="P177" s="1472"/>
      <c r="Q177" s="1473"/>
      <c r="R177" s="1473"/>
      <c r="S177" s="1445"/>
      <c r="T177" s="1445"/>
      <c r="U177" s="1445"/>
      <c r="V177" s="1445"/>
      <c r="W177" s="1445"/>
      <c r="X177" s="1445"/>
      <c r="Y177" s="1473"/>
      <c r="Z177" s="1473"/>
      <c r="AA177" s="1473"/>
      <c r="AB177" s="1473"/>
      <c r="AC177" s="1473"/>
      <c r="AD177" s="1473"/>
      <c r="AE177" s="1473"/>
      <c r="AF177" s="1473"/>
      <c r="AG177" s="1473"/>
      <c r="AH177" s="1473"/>
      <c r="AI177" s="1473"/>
      <c r="AJ177" s="1473"/>
      <c r="AK177" s="1473"/>
      <c r="AL177" s="1473"/>
      <c r="AM177" s="1473"/>
      <c r="AN177" s="1473"/>
      <c r="AO177" s="1473"/>
      <c r="AP177" s="1473"/>
      <c r="AQ177" s="1473"/>
      <c r="AR177" s="1473"/>
      <c r="AS177" s="1473"/>
      <c r="AT177" s="1473"/>
      <c r="AU177" s="1473"/>
      <c r="AV177" s="1473"/>
      <c r="AW177" s="1473"/>
      <c r="AX177" s="1473"/>
    </row>
    <row r="178">
      <c r="A178" s="1468">
        <v>1.0</v>
      </c>
      <c r="B178" s="1439" t="s">
        <v>3172</v>
      </c>
      <c r="C178" s="1440"/>
      <c r="D178" s="1469" t="s">
        <v>1493</v>
      </c>
      <c r="E178" s="1442">
        <f t="shared" ref="E178:J178" si="1733">SUM(E179:E180)</f>
        <v>0</v>
      </c>
      <c r="F178" s="1442">
        <f t="shared" si="1733"/>
        <v>0</v>
      </c>
      <c r="G178" s="1442">
        <f t="shared" si="1733"/>
        <v>0</v>
      </c>
      <c r="H178" s="1442">
        <f t="shared" si="1733"/>
        <v>0</v>
      </c>
      <c r="I178" s="1442">
        <f t="shared" si="1733"/>
        <v>0</v>
      </c>
      <c r="J178" s="1442">
        <f t="shared" si="1733"/>
        <v>0</v>
      </c>
      <c r="K178" s="1471"/>
      <c r="L178" s="1463"/>
      <c r="M178" s="1472"/>
      <c r="N178" s="1472"/>
      <c r="O178" s="1472"/>
      <c r="P178" s="1472"/>
      <c r="Q178" s="1473"/>
      <c r="R178" s="1473"/>
      <c r="S178" s="1445"/>
      <c r="T178" s="1445"/>
      <c r="U178" s="1445"/>
      <c r="V178" s="1445"/>
      <c r="W178" s="1445"/>
      <c r="X178" s="1445"/>
      <c r="Y178" s="1473"/>
      <c r="Z178" s="1473"/>
      <c r="AA178" s="1473"/>
      <c r="AB178" s="1473"/>
      <c r="AC178" s="1473"/>
      <c r="AD178" s="1473"/>
      <c r="AE178" s="1473"/>
      <c r="AF178" s="1473"/>
      <c r="AG178" s="1473"/>
      <c r="AH178" s="1473"/>
      <c r="AI178" s="1473"/>
      <c r="AJ178" s="1473"/>
      <c r="AK178" s="1473"/>
      <c r="AL178" s="1473"/>
      <c r="AM178" s="1473"/>
      <c r="AN178" s="1473"/>
      <c r="AO178" s="1473"/>
      <c r="AP178" s="1473"/>
      <c r="AQ178" s="1473"/>
      <c r="AR178" s="1473"/>
      <c r="AS178" s="1473"/>
      <c r="AT178" s="1473"/>
      <c r="AU178" s="1473"/>
      <c r="AV178" s="1473"/>
      <c r="AW178" s="1473"/>
      <c r="AX178" s="1473"/>
    </row>
    <row r="179">
      <c r="A179" s="1465"/>
      <c r="B179" s="1440"/>
      <c r="C179" s="1449" t="s">
        <v>3173</v>
      </c>
      <c r="D179" s="1467" t="s">
        <v>3174</v>
      </c>
      <c r="E179" s="1450"/>
      <c r="F179" s="1450"/>
      <c r="G179" s="1450">
        <f>SUMIF(AC_TKNO,$C179,AC_SOTIEN)</f>
        <v>0</v>
      </c>
      <c r="H179" s="1450">
        <f>SUMIF(AC_TKCO,$C179,AC_SOTIEN)</f>
        <v>0</v>
      </c>
      <c r="I179" s="1450" t="str">
        <f t="shared" ref="I179:I181" si="1734">IF(E179+G179-F179-H179&gt;0,E179+G179-F179-H179,"-")</f>
        <v>-</v>
      </c>
      <c r="J179" s="1450" t="str">
        <f t="shared" ref="J179:J181" si="1735">IF(F179+H179-E179-G179&gt;0,F179+H179-E179-G179,"-")</f>
        <v>-</v>
      </c>
      <c r="K179" s="1471"/>
      <c r="L179" s="1463"/>
      <c r="M179" s="1472"/>
      <c r="N179" s="1472"/>
      <c r="O179" s="1472"/>
      <c r="P179" s="1472"/>
      <c r="Q179" s="1473"/>
      <c r="R179" s="1473"/>
      <c r="S179" s="1445"/>
      <c r="T179" s="1445"/>
      <c r="U179" s="1445"/>
      <c r="V179" s="1445"/>
      <c r="W179" s="1445"/>
      <c r="X179" s="1445"/>
      <c r="Y179" s="1473"/>
      <c r="Z179" s="1473"/>
      <c r="AA179" s="1473"/>
      <c r="AB179" s="1473"/>
      <c r="AC179" s="1473"/>
      <c r="AD179" s="1473"/>
      <c r="AE179" s="1473"/>
      <c r="AF179" s="1473"/>
      <c r="AG179" s="1473"/>
      <c r="AH179" s="1473"/>
      <c r="AI179" s="1473"/>
      <c r="AJ179" s="1473"/>
      <c r="AK179" s="1473"/>
      <c r="AL179" s="1473"/>
      <c r="AM179" s="1473"/>
      <c r="AN179" s="1473"/>
      <c r="AO179" s="1473"/>
      <c r="AP179" s="1473"/>
      <c r="AQ179" s="1473"/>
      <c r="AR179" s="1473"/>
      <c r="AS179" s="1473"/>
      <c r="AT179" s="1473"/>
      <c r="AU179" s="1473"/>
      <c r="AV179" s="1473"/>
      <c r="AW179" s="1473"/>
      <c r="AX179" s="1473"/>
    </row>
    <row r="180" collapsed="1">
      <c r="A180" s="1465"/>
      <c r="B180" s="1440"/>
      <c r="C180" s="1449" t="s">
        <v>3175</v>
      </c>
      <c r="D180" s="1467" t="s">
        <v>1495</v>
      </c>
      <c r="E180" s="1450"/>
      <c r="F180" s="1450"/>
      <c r="G180" s="1450">
        <f>SUMIF(AC_TKNO,$C180,AC_SOTIEN)</f>
        <v>0</v>
      </c>
      <c r="H180" s="1450">
        <f>SUMIF(AC_TKCO,$C180,AC_SOTIEN)</f>
        <v>0</v>
      </c>
      <c r="I180" s="1450" t="str">
        <f t="shared" si="1734"/>
        <v>-</v>
      </c>
      <c r="J180" s="1450" t="str">
        <f t="shared" si="1735"/>
        <v>-</v>
      </c>
      <c r="K180" s="1471"/>
      <c r="L180" s="1463"/>
      <c r="M180" s="1472"/>
      <c r="N180" s="1472"/>
      <c r="O180" s="1472"/>
      <c r="P180" s="1472"/>
      <c r="Q180" s="1473"/>
      <c r="R180" s="1473"/>
      <c r="S180" s="1445"/>
      <c r="T180" s="1445"/>
      <c r="U180" s="1445"/>
      <c r="V180" s="1445"/>
      <c r="W180" s="1445"/>
      <c r="X180" s="1445"/>
      <c r="Y180" s="1473"/>
      <c r="Z180" s="1473"/>
      <c r="AA180" s="1473"/>
      <c r="AB180" s="1473"/>
      <c r="AC180" s="1473"/>
      <c r="AD180" s="1473"/>
      <c r="AE180" s="1473"/>
      <c r="AF180" s="1473"/>
      <c r="AG180" s="1473"/>
      <c r="AH180" s="1473"/>
      <c r="AI180" s="1473"/>
      <c r="AJ180" s="1473"/>
      <c r="AK180" s="1473"/>
      <c r="AL180" s="1473"/>
      <c r="AM180" s="1473"/>
      <c r="AN180" s="1473"/>
      <c r="AO180" s="1473"/>
      <c r="AP180" s="1473"/>
      <c r="AQ180" s="1473"/>
      <c r="AR180" s="1473"/>
      <c r="AS180" s="1473"/>
      <c r="AT180" s="1473"/>
      <c r="AU180" s="1473"/>
      <c r="AV180" s="1473"/>
      <c r="AW180" s="1473"/>
      <c r="AX180" s="1473"/>
    </row>
    <row r="181" hidden="1" outlineLevel="1">
      <c r="A181" s="1468">
        <v>1.0</v>
      </c>
      <c r="B181" s="1439" t="s">
        <v>3176</v>
      </c>
      <c r="C181" s="1439" t="s">
        <v>3176</v>
      </c>
      <c r="D181" s="1469" t="s">
        <v>3177</v>
      </c>
      <c r="E181" s="1455"/>
      <c r="F181" s="1455"/>
      <c r="G181" s="1455">
        <f>SUMIF(AC_TKNO,$C181,AC_SOTIEN)</f>
        <v>0</v>
      </c>
      <c r="H181" s="1455">
        <f>SUMIF(AC_TKCO,$C181,AC_SOTIEN)</f>
        <v>0</v>
      </c>
      <c r="I181" s="1455" t="str">
        <f t="shared" si="1734"/>
        <v>-</v>
      </c>
      <c r="J181" s="1455" t="str">
        <f t="shared" si="1735"/>
        <v>-</v>
      </c>
      <c r="K181" s="1471"/>
      <c r="L181" s="1463"/>
      <c r="M181" s="1472"/>
      <c r="N181" s="1472"/>
      <c r="O181" s="1472"/>
      <c r="P181" s="1472"/>
      <c r="Q181" s="1473"/>
      <c r="R181" s="1473"/>
      <c r="S181" s="1445"/>
      <c r="T181" s="1445"/>
      <c r="U181" s="1445"/>
      <c r="V181" s="1445"/>
      <c r="W181" s="1445"/>
      <c r="X181" s="1445"/>
      <c r="Y181" s="1473"/>
      <c r="Z181" s="1473"/>
      <c r="AA181" s="1473"/>
      <c r="AB181" s="1473"/>
      <c r="AC181" s="1473"/>
      <c r="AD181" s="1473"/>
      <c r="AE181" s="1473"/>
      <c r="AF181" s="1473"/>
      <c r="AG181" s="1473"/>
      <c r="AH181" s="1473"/>
      <c r="AI181" s="1473"/>
      <c r="AJ181" s="1473"/>
      <c r="AK181" s="1473"/>
      <c r="AL181" s="1473"/>
      <c r="AM181" s="1473"/>
      <c r="AN181" s="1473"/>
      <c r="AO181" s="1473"/>
      <c r="AP181" s="1473"/>
      <c r="AQ181" s="1473"/>
      <c r="AR181" s="1473"/>
      <c r="AS181" s="1473"/>
      <c r="AT181" s="1473"/>
      <c r="AU181" s="1473"/>
      <c r="AV181" s="1473"/>
      <c r="AW181" s="1473"/>
      <c r="AX181" s="1473"/>
    </row>
    <row r="182" hidden="1" outlineLevel="1">
      <c r="A182" s="1468">
        <v>1.0</v>
      </c>
      <c r="B182" s="1439" t="s">
        <v>3178</v>
      </c>
      <c r="C182" s="1440"/>
      <c r="D182" s="1469" t="s">
        <v>3179</v>
      </c>
      <c r="E182" s="1442">
        <f t="shared" ref="E182:J182" si="1736">SUM(E183:E184)</f>
        <v>0</v>
      </c>
      <c r="F182" s="1442">
        <f t="shared" si="1736"/>
        <v>0</v>
      </c>
      <c r="G182" s="1442">
        <f t="shared" si="1736"/>
        <v>0</v>
      </c>
      <c r="H182" s="1442">
        <f t="shared" si="1736"/>
        <v>0</v>
      </c>
      <c r="I182" s="1442">
        <f t="shared" si="1736"/>
        <v>0</v>
      </c>
      <c r="J182" s="1442">
        <f t="shared" si="1736"/>
        <v>0</v>
      </c>
      <c r="K182" s="1471"/>
      <c r="L182" s="1463"/>
      <c r="M182" s="1472"/>
      <c r="N182" s="1472"/>
      <c r="O182" s="1472"/>
      <c r="P182" s="1472"/>
      <c r="Q182" s="1473"/>
      <c r="R182" s="1473"/>
      <c r="S182" s="1445"/>
      <c r="T182" s="1445"/>
      <c r="U182" s="1445"/>
      <c r="V182" s="1445"/>
      <c r="W182" s="1445"/>
      <c r="X182" s="1445"/>
      <c r="Y182" s="1473"/>
      <c r="Z182" s="1473"/>
      <c r="AA182" s="1473"/>
      <c r="AB182" s="1473"/>
      <c r="AC182" s="1473"/>
      <c r="AD182" s="1473"/>
      <c r="AE182" s="1473"/>
      <c r="AF182" s="1473"/>
      <c r="AG182" s="1473"/>
      <c r="AH182" s="1473"/>
      <c r="AI182" s="1473"/>
      <c r="AJ182" s="1473"/>
      <c r="AK182" s="1473"/>
      <c r="AL182" s="1473"/>
      <c r="AM182" s="1473"/>
      <c r="AN182" s="1473"/>
      <c r="AO182" s="1473"/>
      <c r="AP182" s="1473"/>
      <c r="AQ182" s="1473"/>
      <c r="AR182" s="1473"/>
      <c r="AS182" s="1473"/>
      <c r="AT182" s="1473"/>
      <c r="AU182" s="1473"/>
      <c r="AV182" s="1473"/>
      <c r="AW182" s="1473"/>
      <c r="AX182" s="1473"/>
    </row>
    <row r="183" hidden="1" outlineLevel="1">
      <c r="A183" s="1465"/>
      <c r="B183" s="1440"/>
      <c r="C183" s="1449" t="s">
        <v>3180</v>
      </c>
      <c r="D183" s="1467" t="s">
        <v>3181</v>
      </c>
      <c r="E183" s="1450"/>
      <c r="F183" s="1450"/>
      <c r="G183" s="1450">
        <f>SUMIF(AC_TKNO,$C183,AC_SOTIEN)</f>
        <v>0</v>
      </c>
      <c r="H183" s="1450">
        <f>SUMIF(AC_TKCO,$C183,AC_SOTIEN)</f>
        <v>0</v>
      </c>
      <c r="I183" s="1450" t="str">
        <f t="shared" ref="I183:I185" si="1737">IF(E183+G183-F183-H183&gt;0,E183+G183-F183-H183,"-")</f>
        <v>-</v>
      </c>
      <c r="J183" s="1450" t="str">
        <f t="shared" ref="J183:J185" si="1738">IF(F183+H183-E183-G183&gt;0,F183+H183-E183-G183,"-")</f>
        <v>-</v>
      </c>
      <c r="K183" s="1471"/>
      <c r="L183" s="1463"/>
      <c r="M183" s="1472"/>
      <c r="N183" s="1472"/>
      <c r="O183" s="1472"/>
      <c r="P183" s="1472"/>
      <c r="Q183" s="1473"/>
      <c r="R183" s="1473"/>
      <c r="S183" s="1445"/>
      <c r="T183" s="1445"/>
      <c r="U183" s="1445"/>
      <c r="V183" s="1445"/>
      <c r="W183" s="1445"/>
      <c r="X183" s="1445"/>
      <c r="Y183" s="1473"/>
      <c r="Z183" s="1473"/>
      <c r="AA183" s="1473"/>
      <c r="AB183" s="1473"/>
      <c r="AC183" s="1473"/>
      <c r="AD183" s="1473"/>
      <c r="AE183" s="1473"/>
      <c r="AF183" s="1473"/>
      <c r="AG183" s="1473"/>
      <c r="AH183" s="1473"/>
      <c r="AI183" s="1473"/>
      <c r="AJ183" s="1473"/>
      <c r="AK183" s="1473"/>
      <c r="AL183" s="1473"/>
      <c r="AM183" s="1473"/>
      <c r="AN183" s="1473"/>
      <c r="AO183" s="1473"/>
      <c r="AP183" s="1473"/>
      <c r="AQ183" s="1473"/>
      <c r="AR183" s="1473"/>
      <c r="AS183" s="1473"/>
      <c r="AT183" s="1473"/>
      <c r="AU183" s="1473"/>
      <c r="AV183" s="1473"/>
      <c r="AW183" s="1473"/>
      <c r="AX183" s="1473"/>
    </row>
    <row r="184" hidden="1" outlineLevel="1">
      <c r="A184" s="1465"/>
      <c r="B184" s="1440"/>
      <c r="C184" s="1449" t="s">
        <v>3182</v>
      </c>
      <c r="D184" s="1467" t="s">
        <v>3183</v>
      </c>
      <c r="E184" s="1450"/>
      <c r="F184" s="1450"/>
      <c r="G184" s="1450">
        <f>SUMIF(AC_TKNO,$C184,AC_SOTIEN)</f>
        <v>0</v>
      </c>
      <c r="H184" s="1450">
        <f>SUMIF(AC_TKCO,$C184,AC_SOTIEN)</f>
        <v>0</v>
      </c>
      <c r="I184" s="1450" t="str">
        <f t="shared" si="1737"/>
        <v>-</v>
      </c>
      <c r="J184" s="1450" t="str">
        <f t="shared" si="1738"/>
        <v>-</v>
      </c>
      <c r="K184" s="1471"/>
      <c r="L184" s="1463"/>
      <c r="M184" s="1472"/>
      <c r="N184" s="1472"/>
      <c r="O184" s="1472"/>
      <c r="P184" s="1472"/>
      <c r="Q184" s="1473"/>
      <c r="R184" s="1473"/>
      <c r="S184" s="1445"/>
      <c r="T184" s="1445"/>
      <c r="U184" s="1445"/>
      <c r="V184" s="1445"/>
      <c r="W184" s="1445"/>
      <c r="X184" s="1445"/>
      <c r="Y184" s="1473"/>
      <c r="Z184" s="1473"/>
      <c r="AA184" s="1473"/>
      <c r="AB184" s="1473"/>
      <c r="AC184" s="1473"/>
      <c r="AD184" s="1473"/>
      <c r="AE184" s="1473"/>
      <c r="AF184" s="1473"/>
      <c r="AG184" s="1473"/>
      <c r="AH184" s="1473"/>
      <c r="AI184" s="1473"/>
      <c r="AJ184" s="1473"/>
      <c r="AK184" s="1473"/>
      <c r="AL184" s="1473"/>
      <c r="AM184" s="1473"/>
      <c r="AN184" s="1473"/>
      <c r="AO184" s="1473"/>
      <c r="AP184" s="1473"/>
      <c r="AQ184" s="1473"/>
      <c r="AR184" s="1473"/>
      <c r="AS184" s="1473"/>
      <c r="AT184" s="1473"/>
      <c r="AU184" s="1473"/>
      <c r="AV184" s="1473"/>
      <c r="AW184" s="1473"/>
      <c r="AX184" s="1473"/>
    </row>
    <row r="185" hidden="1" outlineLevel="1">
      <c r="A185" s="1468">
        <v>1.0</v>
      </c>
      <c r="B185" s="1439" t="s">
        <v>3184</v>
      </c>
      <c r="C185" s="1439" t="s">
        <v>3184</v>
      </c>
      <c r="D185" s="1469" t="s">
        <v>3185</v>
      </c>
      <c r="E185" s="1455"/>
      <c r="F185" s="1455"/>
      <c r="G185" s="1455">
        <f>SUMIF(AC_TKNO,$C185,AC_SOTIEN)</f>
        <v>0</v>
      </c>
      <c r="H185" s="1455">
        <f>SUMIF(AC_TKCO,$C185,AC_SOTIEN)</f>
        <v>0</v>
      </c>
      <c r="I185" s="1455" t="str">
        <f t="shared" si="1737"/>
        <v>-</v>
      </c>
      <c r="J185" s="1455" t="str">
        <f t="shared" si="1738"/>
        <v>-</v>
      </c>
      <c r="K185" s="1471"/>
      <c r="L185" s="1463"/>
      <c r="M185" s="1472"/>
      <c r="N185" s="1472"/>
      <c r="O185" s="1472"/>
      <c r="P185" s="1472"/>
      <c r="Q185" s="1473"/>
      <c r="R185" s="1473"/>
      <c r="S185" s="1445"/>
      <c r="T185" s="1445"/>
      <c r="U185" s="1445"/>
      <c r="V185" s="1445"/>
      <c r="W185" s="1445"/>
      <c r="X185" s="1445"/>
      <c r="Y185" s="1473"/>
      <c r="Z185" s="1473"/>
      <c r="AA185" s="1473"/>
      <c r="AB185" s="1473"/>
      <c r="AC185" s="1473"/>
      <c r="AD185" s="1473"/>
      <c r="AE185" s="1473"/>
      <c r="AF185" s="1473"/>
      <c r="AG185" s="1473"/>
      <c r="AH185" s="1473"/>
      <c r="AI185" s="1473"/>
      <c r="AJ185" s="1473"/>
      <c r="AK185" s="1473"/>
      <c r="AL185" s="1473"/>
      <c r="AM185" s="1473"/>
      <c r="AN185" s="1473"/>
      <c r="AO185" s="1473"/>
      <c r="AP185" s="1473"/>
      <c r="AQ185" s="1473"/>
      <c r="AR185" s="1473"/>
      <c r="AS185" s="1473"/>
      <c r="AT185" s="1473"/>
      <c r="AU185" s="1473"/>
      <c r="AV185" s="1473"/>
      <c r="AW185" s="1473"/>
      <c r="AX185" s="1473"/>
    </row>
    <row r="186">
      <c r="A186" s="1468">
        <v>1.0</v>
      </c>
      <c r="B186" s="1439" t="s">
        <v>2942</v>
      </c>
      <c r="C186" s="1440"/>
      <c r="D186" s="1469" t="s">
        <v>1497</v>
      </c>
      <c r="E186" s="1442">
        <f t="shared" ref="E186:J186" si="1739">SUM(E187:E192)</f>
        <v>0</v>
      </c>
      <c r="F186" s="1442">
        <f t="shared" si="1739"/>
        <v>0</v>
      </c>
      <c r="G186" s="1442">
        <f t="shared" si="1739"/>
        <v>4344612000</v>
      </c>
      <c r="H186" s="1442">
        <f t="shared" si="1739"/>
        <v>4344612000</v>
      </c>
      <c r="I186" s="1442">
        <f t="shared" si="1739"/>
        <v>0</v>
      </c>
      <c r="J186" s="1442">
        <f t="shared" si="1739"/>
        <v>0</v>
      </c>
      <c r="K186" s="1471"/>
      <c r="L186" s="1463"/>
      <c r="M186" s="1472"/>
      <c r="N186" s="1472"/>
      <c r="O186" s="1472"/>
      <c r="P186" s="1472"/>
      <c r="Q186" s="1473"/>
      <c r="R186" s="1473"/>
      <c r="S186" s="1445"/>
      <c r="T186" s="1445"/>
      <c r="U186" s="1445"/>
      <c r="V186" s="1445"/>
      <c r="W186" s="1445"/>
      <c r="X186" s="1445"/>
      <c r="Y186" s="1473"/>
      <c r="Z186" s="1473"/>
      <c r="AA186" s="1473"/>
      <c r="AB186" s="1473"/>
      <c r="AC186" s="1473"/>
      <c r="AD186" s="1473"/>
      <c r="AE186" s="1473"/>
      <c r="AF186" s="1473"/>
      <c r="AG186" s="1473"/>
      <c r="AH186" s="1473"/>
      <c r="AI186" s="1473"/>
      <c r="AJ186" s="1473"/>
      <c r="AK186" s="1473"/>
      <c r="AL186" s="1473"/>
      <c r="AM186" s="1473"/>
      <c r="AN186" s="1473"/>
      <c r="AO186" s="1473"/>
      <c r="AP186" s="1473"/>
      <c r="AQ186" s="1473"/>
      <c r="AR186" s="1473"/>
      <c r="AS186" s="1473"/>
      <c r="AT186" s="1473"/>
      <c r="AU186" s="1473"/>
      <c r="AV186" s="1473"/>
      <c r="AW186" s="1473"/>
      <c r="AX186" s="1473"/>
    </row>
    <row r="187">
      <c r="A187" s="1465"/>
      <c r="B187" s="1440"/>
      <c r="C187" s="1449" t="s">
        <v>1499</v>
      </c>
      <c r="D187" s="1467" t="s">
        <v>1500</v>
      </c>
      <c r="E187" s="1450"/>
      <c r="F187" s="1450"/>
      <c r="G187" s="1450">
        <f>SUMIF(AC_TKNO,$C187,AC_SOTIEN)</f>
        <v>0</v>
      </c>
      <c r="H187" s="1450">
        <f>SUMIF(AC_TKCO,$C187,AC_SOTIEN)</f>
        <v>0</v>
      </c>
      <c r="I187" s="1450" t="str">
        <f t="shared" ref="I187:I194" si="1740">IF(E187+G187-F187-H187&gt;0,E187+G187-F187-H187,"-")</f>
        <v>-</v>
      </c>
      <c r="J187" s="1450" t="str">
        <f t="shared" ref="J187:J194" si="1741">IF(F187+H187-E187-G187&gt;0,F187+H187-E187-G187,"-")</f>
        <v>-</v>
      </c>
      <c r="K187" s="1471"/>
      <c r="L187" s="1463"/>
      <c r="M187" s="1472"/>
      <c r="N187" s="1472"/>
      <c r="O187" s="1472"/>
      <c r="P187" s="1472"/>
      <c r="Q187" s="1473"/>
      <c r="R187" s="1473"/>
      <c r="S187" s="1445"/>
      <c r="T187" s="1445"/>
      <c r="U187" s="1445"/>
      <c r="V187" s="1445"/>
      <c r="W187" s="1445"/>
      <c r="X187" s="1445"/>
      <c r="Y187" s="1473"/>
      <c r="Z187" s="1473"/>
      <c r="AA187" s="1473"/>
      <c r="AB187" s="1473"/>
      <c r="AC187" s="1473"/>
      <c r="AD187" s="1473"/>
      <c r="AE187" s="1473"/>
      <c r="AF187" s="1473"/>
      <c r="AG187" s="1473"/>
      <c r="AH187" s="1473"/>
      <c r="AI187" s="1473"/>
      <c r="AJ187" s="1473"/>
      <c r="AK187" s="1473"/>
      <c r="AL187" s="1473"/>
      <c r="AM187" s="1473"/>
      <c r="AN187" s="1473"/>
      <c r="AO187" s="1473"/>
      <c r="AP187" s="1473"/>
      <c r="AQ187" s="1473"/>
      <c r="AR187" s="1473"/>
      <c r="AS187" s="1473"/>
      <c r="AT187" s="1473"/>
      <c r="AU187" s="1473"/>
      <c r="AV187" s="1473"/>
      <c r="AW187" s="1473"/>
      <c r="AX187" s="1473"/>
    </row>
    <row r="188">
      <c r="A188" s="1465"/>
      <c r="B188" s="1440"/>
      <c r="C188" s="1449" t="s">
        <v>1501</v>
      </c>
      <c r="D188" s="1467" t="s">
        <v>3186</v>
      </c>
      <c r="E188" s="1450"/>
      <c r="F188" s="1450"/>
      <c r="G188" s="1450">
        <f>SUMIF(AC_TKNO,$C188,AC_SOTIEN)</f>
        <v>0</v>
      </c>
      <c r="H188" s="1450">
        <f>SUMIF(AC_TKCO,$C188,AC_SOTIEN)</f>
        <v>0</v>
      </c>
      <c r="I188" s="1450" t="str">
        <f t="shared" si="1740"/>
        <v>-</v>
      </c>
      <c r="J188" s="1450" t="str">
        <f t="shared" si="1741"/>
        <v>-</v>
      </c>
      <c r="K188" s="1471"/>
      <c r="L188" s="1463"/>
      <c r="M188" s="1472"/>
      <c r="N188" s="1472"/>
      <c r="O188" s="1472"/>
      <c r="P188" s="1472"/>
      <c r="Q188" s="1473"/>
      <c r="R188" s="1473"/>
      <c r="S188" s="1445"/>
      <c r="T188" s="1445"/>
      <c r="U188" s="1445"/>
      <c r="V188" s="1445"/>
      <c r="W188" s="1445"/>
      <c r="X188" s="1445"/>
      <c r="Y188" s="1473"/>
      <c r="Z188" s="1473"/>
      <c r="AA188" s="1473"/>
      <c r="AB188" s="1473"/>
      <c r="AC188" s="1473"/>
      <c r="AD188" s="1473"/>
      <c r="AE188" s="1473"/>
      <c r="AF188" s="1473"/>
      <c r="AG188" s="1473"/>
      <c r="AH188" s="1473"/>
      <c r="AI188" s="1473"/>
      <c r="AJ188" s="1473"/>
      <c r="AK188" s="1473"/>
      <c r="AL188" s="1473"/>
      <c r="AM188" s="1473"/>
      <c r="AN188" s="1473"/>
      <c r="AO188" s="1473"/>
      <c r="AP188" s="1473"/>
      <c r="AQ188" s="1473"/>
      <c r="AR188" s="1473"/>
      <c r="AS188" s="1473"/>
      <c r="AT188" s="1473"/>
      <c r="AU188" s="1473"/>
      <c r="AV188" s="1473"/>
      <c r="AW188" s="1473"/>
      <c r="AX188" s="1473"/>
    </row>
    <row r="189">
      <c r="A189" s="1465"/>
      <c r="B189" s="1440"/>
      <c r="C189" s="1449" t="s">
        <v>1503</v>
      </c>
      <c r="D189" s="1467" t="s">
        <v>1504</v>
      </c>
      <c r="E189" s="1450"/>
      <c r="F189" s="1450"/>
      <c r="G189" s="1450">
        <f>SUMIF(AC_TKNO,$C189,AC_SOTIEN)</f>
        <v>4344612000</v>
      </c>
      <c r="H189" s="1450">
        <f>SUMIF(AC_TKCO,$C189,AC_SOTIEN)</f>
        <v>4344612000</v>
      </c>
      <c r="I189" s="1450" t="str">
        <f t="shared" si="1740"/>
        <v>-</v>
      </c>
      <c r="J189" s="1450" t="str">
        <f t="shared" si="1741"/>
        <v>-</v>
      </c>
      <c r="K189" s="1471"/>
      <c r="L189" s="1463"/>
      <c r="M189" s="1472"/>
      <c r="N189" s="1472"/>
      <c r="O189" s="1472"/>
      <c r="P189" s="1472"/>
      <c r="Q189" s="1473"/>
      <c r="R189" s="1473"/>
      <c r="S189" s="1445"/>
      <c r="T189" s="1445"/>
      <c r="U189" s="1445"/>
      <c r="V189" s="1445"/>
      <c r="W189" s="1445"/>
      <c r="X189" s="1445"/>
      <c r="Y189" s="1473"/>
      <c r="Z189" s="1473"/>
      <c r="AA189" s="1473"/>
      <c r="AB189" s="1473"/>
      <c r="AC189" s="1473"/>
      <c r="AD189" s="1473"/>
      <c r="AE189" s="1473"/>
      <c r="AF189" s="1473"/>
      <c r="AG189" s="1473"/>
      <c r="AH189" s="1473"/>
      <c r="AI189" s="1473"/>
      <c r="AJ189" s="1473"/>
      <c r="AK189" s="1473"/>
      <c r="AL189" s="1473"/>
      <c r="AM189" s="1473"/>
      <c r="AN189" s="1473"/>
      <c r="AO189" s="1473"/>
      <c r="AP189" s="1473"/>
      <c r="AQ189" s="1473"/>
      <c r="AR189" s="1473"/>
      <c r="AS189" s="1473"/>
      <c r="AT189" s="1473"/>
      <c r="AU189" s="1473"/>
      <c r="AV189" s="1473"/>
      <c r="AW189" s="1473"/>
      <c r="AX189" s="1473"/>
    </row>
    <row r="190">
      <c r="A190" s="1465"/>
      <c r="B190" s="1440"/>
      <c r="C190" s="1449" t="s">
        <v>3187</v>
      </c>
      <c r="D190" s="1467" t="s">
        <v>3188</v>
      </c>
      <c r="E190" s="1450"/>
      <c r="F190" s="1450"/>
      <c r="G190" s="1450">
        <f>SUMIF(AC_TKNO,$C190,AC_SOTIEN)</f>
        <v>0</v>
      </c>
      <c r="H190" s="1450">
        <f>SUMIF(AC_TKCO,$C190,AC_SOTIEN)</f>
        <v>0</v>
      </c>
      <c r="I190" s="1450" t="str">
        <f t="shared" si="1740"/>
        <v>-</v>
      </c>
      <c r="J190" s="1450" t="str">
        <f t="shared" si="1741"/>
        <v>-</v>
      </c>
      <c r="K190" s="1471"/>
      <c r="L190" s="1463"/>
      <c r="M190" s="1472"/>
      <c r="N190" s="1472"/>
      <c r="O190" s="1472"/>
      <c r="P190" s="1472"/>
      <c r="Q190" s="1473"/>
      <c r="R190" s="1473"/>
      <c r="S190" s="1445"/>
      <c r="T190" s="1445"/>
      <c r="U190" s="1445"/>
      <c r="V190" s="1445"/>
      <c r="W190" s="1445"/>
      <c r="X190" s="1445"/>
      <c r="Y190" s="1473"/>
      <c r="Z190" s="1473"/>
      <c r="AA190" s="1473"/>
      <c r="AB190" s="1473"/>
      <c r="AC190" s="1473"/>
      <c r="AD190" s="1473"/>
      <c r="AE190" s="1473"/>
      <c r="AF190" s="1473"/>
      <c r="AG190" s="1473"/>
      <c r="AH190" s="1473"/>
      <c r="AI190" s="1473"/>
      <c r="AJ190" s="1473"/>
      <c r="AK190" s="1473"/>
      <c r="AL190" s="1473"/>
      <c r="AM190" s="1473"/>
      <c r="AN190" s="1473"/>
      <c r="AO190" s="1473"/>
      <c r="AP190" s="1473"/>
      <c r="AQ190" s="1473"/>
      <c r="AR190" s="1473"/>
      <c r="AS190" s="1473"/>
      <c r="AT190" s="1473"/>
      <c r="AU190" s="1473"/>
      <c r="AV190" s="1473"/>
      <c r="AW190" s="1473"/>
      <c r="AX190" s="1473"/>
    </row>
    <row r="191">
      <c r="A191" s="1465"/>
      <c r="B191" s="1440"/>
      <c r="C191" s="1449" t="s">
        <v>3189</v>
      </c>
      <c r="D191" s="1467" t="s">
        <v>3190</v>
      </c>
      <c r="E191" s="1450"/>
      <c r="F191" s="1450"/>
      <c r="G191" s="1450">
        <f>SUMIF(AC_TKNO,$C191,AC_SOTIEN)</f>
        <v>0</v>
      </c>
      <c r="H191" s="1450">
        <f>SUMIF(AC_TKCO,$C191,AC_SOTIEN)</f>
        <v>0</v>
      </c>
      <c r="I191" s="1450" t="str">
        <f t="shared" si="1740"/>
        <v>-</v>
      </c>
      <c r="J191" s="1450" t="str">
        <f t="shared" si="1741"/>
        <v>-</v>
      </c>
      <c r="K191" s="1471"/>
      <c r="L191" s="1463"/>
      <c r="M191" s="1472"/>
      <c r="N191" s="1472"/>
      <c r="O191" s="1472"/>
      <c r="P191" s="1472"/>
      <c r="Q191" s="1473"/>
      <c r="R191" s="1473"/>
      <c r="S191" s="1445"/>
      <c r="T191" s="1445"/>
      <c r="U191" s="1445"/>
      <c r="V191" s="1445"/>
      <c r="W191" s="1445"/>
      <c r="X191" s="1445"/>
      <c r="Y191" s="1473"/>
      <c r="Z191" s="1473"/>
      <c r="AA191" s="1473"/>
      <c r="AB191" s="1473"/>
      <c r="AC191" s="1473"/>
      <c r="AD191" s="1473"/>
      <c r="AE191" s="1473"/>
      <c r="AF191" s="1473"/>
      <c r="AG191" s="1473"/>
      <c r="AH191" s="1473"/>
      <c r="AI191" s="1473"/>
      <c r="AJ191" s="1473"/>
      <c r="AK191" s="1473"/>
      <c r="AL191" s="1473"/>
      <c r="AM191" s="1473"/>
      <c r="AN191" s="1473"/>
      <c r="AO191" s="1473"/>
      <c r="AP191" s="1473"/>
      <c r="AQ191" s="1473"/>
      <c r="AR191" s="1473"/>
      <c r="AS191" s="1473"/>
      <c r="AT191" s="1473"/>
      <c r="AU191" s="1473"/>
      <c r="AV191" s="1473"/>
      <c r="AW191" s="1473"/>
      <c r="AX191" s="1473"/>
    </row>
    <row r="192">
      <c r="A192" s="1465"/>
      <c r="B192" s="1440"/>
      <c r="C192" s="1449" t="s">
        <v>1505</v>
      </c>
      <c r="D192" s="1467" t="s">
        <v>1506</v>
      </c>
      <c r="E192" s="1450"/>
      <c r="F192" s="1450"/>
      <c r="G192" s="1450">
        <f>SUMIF(AC_TKNO,$C192,AC_SOTIEN)</f>
        <v>0</v>
      </c>
      <c r="H192" s="1450">
        <f>SUMIF(AC_TKCO,$C192,AC_SOTIEN)</f>
        <v>0</v>
      </c>
      <c r="I192" s="1450" t="str">
        <f t="shared" si="1740"/>
        <v>-</v>
      </c>
      <c r="J192" s="1450" t="str">
        <f t="shared" si="1741"/>
        <v>-</v>
      </c>
      <c r="K192" s="1471"/>
      <c r="L192" s="1463"/>
      <c r="M192" s="1472"/>
      <c r="N192" s="1472"/>
      <c r="O192" s="1472"/>
      <c r="P192" s="1472"/>
      <c r="Q192" s="1473"/>
      <c r="R192" s="1473"/>
      <c r="S192" s="1445"/>
      <c r="T192" s="1445"/>
      <c r="U192" s="1445"/>
      <c r="V192" s="1445"/>
      <c r="W192" s="1445"/>
      <c r="X192" s="1445"/>
      <c r="Y192" s="1473"/>
      <c r="Z192" s="1473"/>
      <c r="AA192" s="1473"/>
      <c r="AB192" s="1473"/>
      <c r="AC192" s="1473"/>
      <c r="AD192" s="1473"/>
      <c r="AE192" s="1473"/>
      <c r="AF192" s="1473"/>
      <c r="AG192" s="1473"/>
      <c r="AH192" s="1473"/>
      <c r="AI192" s="1473"/>
      <c r="AJ192" s="1473"/>
      <c r="AK192" s="1473"/>
      <c r="AL192" s="1473"/>
      <c r="AM192" s="1473"/>
      <c r="AN192" s="1473"/>
      <c r="AO192" s="1473"/>
      <c r="AP192" s="1473"/>
      <c r="AQ192" s="1473"/>
      <c r="AR192" s="1473"/>
      <c r="AS192" s="1473"/>
      <c r="AT192" s="1473"/>
      <c r="AU192" s="1473"/>
      <c r="AV192" s="1473"/>
      <c r="AW192" s="1473"/>
      <c r="AX192" s="1473"/>
    </row>
    <row r="193">
      <c r="A193" s="1468">
        <v>1.0</v>
      </c>
      <c r="B193" s="1439" t="s">
        <v>2951</v>
      </c>
      <c r="C193" s="1439" t="s">
        <v>2951</v>
      </c>
      <c r="D193" s="1469" t="s">
        <v>1507</v>
      </c>
      <c r="E193" s="1455"/>
      <c r="F193" s="1455"/>
      <c r="G193" s="1455">
        <f>SUMIF(AC_TKNO,$C193,AC_SOTIEN)</f>
        <v>0</v>
      </c>
      <c r="H193" s="1455">
        <f>SUMIF(AC_TKCO,$C193,AC_SOTIEN)</f>
        <v>0</v>
      </c>
      <c r="I193" s="1455" t="str">
        <f t="shared" si="1740"/>
        <v>-</v>
      </c>
      <c r="J193" s="1455" t="str">
        <f t="shared" si="1741"/>
        <v>-</v>
      </c>
      <c r="K193" s="1471"/>
      <c r="L193" s="1463"/>
      <c r="M193" s="1472"/>
      <c r="N193" s="1472"/>
      <c r="O193" s="1472"/>
      <c r="P193" s="1472"/>
      <c r="Q193" s="1473"/>
      <c r="R193" s="1473"/>
      <c r="S193" s="1445"/>
      <c r="T193" s="1445"/>
      <c r="U193" s="1445"/>
      <c r="V193" s="1445"/>
      <c r="W193" s="1445"/>
      <c r="X193" s="1445"/>
      <c r="Y193" s="1473"/>
      <c r="Z193" s="1473"/>
      <c r="AA193" s="1473"/>
      <c r="AB193" s="1473"/>
      <c r="AC193" s="1473"/>
      <c r="AD193" s="1473"/>
      <c r="AE193" s="1473"/>
      <c r="AF193" s="1473"/>
      <c r="AG193" s="1473"/>
      <c r="AH193" s="1473"/>
      <c r="AI193" s="1473"/>
      <c r="AJ193" s="1473"/>
      <c r="AK193" s="1473"/>
      <c r="AL193" s="1473"/>
      <c r="AM193" s="1473"/>
      <c r="AN193" s="1473"/>
      <c r="AO193" s="1473"/>
      <c r="AP193" s="1473"/>
      <c r="AQ193" s="1473"/>
      <c r="AR193" s="1473"/>
      <c r="AS193" s="1473"/>
      <c r="AT193" s="1473"/>
      <c r="AU193" s="1473"/>
      <c r="AV193" s="1473"/>
      <c r="AW193" s="1473"/>
      <c r="AX193" s="1473"/>
    </row>
    <row r="194" collapsed="1">
      <c r="A194" s="1468">
        <v>1.0</v>
      </c>
      <c r="B194" s="1439" t="s">
        <v>2945</v>
      </c>
      <c r="C194" s="1439" t="s">
        <v>2945</v>
      </c>
      <c r="D194" s="1469" t="s">
        <v>1725</v>
      </c>
      <c r="E194" s="1455"/>
      <c r="F194" s="1455"/>
      <c r="G194" s="1455">
        <f>SUMIF(AC_TKNO,$C194,AC_SOTIEN)</f>
        <v>237190000</v>
      </c>
      <c r="H194" s="1455">
        <f>SUMIF(AC_TKCO,$C194,AC_SOTIEN)</f>
        <v>0</v>
      </c>
      <c r="I194" s="1455">
        <f t="shared" si="1740"/>
        <v>237190000</v>
      </c>
      <c r="J194" s="1455" t="str">
        <f t="shared" si="1741"/>
        <v>-</v>
      </c>
      <c r="K194" s="1471"/>
      <c r="L194" s="1463"/>
      <c r="M194" s="1472"/>
      <c r="N194" s="1472"/>
      <c r="O194" s="1472"/>
      <c r="P194" s="1472"/>
      <c r="Q194" s="1473"/>
      <c r="R194" s="1473"/>
      <c r="S194" s="1445"/>
      <c r="T194" s="1445"/>
      <c r="U194" s="1445"/>
      <c r="V194" s="1445"/>
      <c r="W194" s="1445"/>
      <c r="X194" s="1445"/>
      <c r="Y194" s="1473"/>
      <c r="Z194" s="1473"/>
      <c r="AA194" s="1473"/>
      <c r="AB194" s="1473"/>
      <c r="AC194" s="1473"/>
      <c r="AD194" s="1473"/>
      <c r="AE194" s="1473"/>
      <c r="AF194" s="1473"/>
      <c r="AG194" s="1473"/>
      <c r="AH194" s="1473"/>
      <c r="AI194" s="1473"/>
      <c r="AJ194" s="1473"/>
      <c r="AK194" s="1473"/>
      <c r="AL194" s="1473"/>
      <c r="AM194" s="1473"/>
      <c r="AN194" s="1473"/>
      <c r="AO194" s="1473"/>
      <c r="AP194" s="1473"/>
      <c r="AQ194" s="1473"/>
      <c r="AR194" s="1473"/>
      <c r="AS194" s="1473"/>
      <c r="AT194" s="1473"/>
      <c r="AU194" s="1473"/>
      <c r="AV194" s="1473"/>
      <c r="AW194" s="1473"/>
      <c r="AX194" s="1473"/>
    </row>
    <row r="195" hidden="1" outlineLevel="1">
      <c r="A195" s="1468">
        <v>1.0</v>
      </c>
      <c r="B195" s="1439" t="s">
        <v>1509</v>
      </c>
      <c r="C195" s="1440"/>
      <c r="D195" s="1469" t="s">
        <v>1510</v>
      </c>
      <c r="E195" s="1442">
        <f t="shared" ref="E195:J195" si="1742">SUM(E196:E197)</f>
        <v>0</v>
      </c>
      <c r="F195" s="1442">
        <f t="shared" si="1742"/>
        <v>0</v>
      </c>
      <c r="G195" s="1442">
        <f t="shared" si="1742"/>
        <v>0</v>
      </c>
      <c r="H195" s="1442">
        <f t="shared" si="1742"/>
        <v>0</v>
      </c>
      <c r="I195" s="1442">
        <f t="shared" si="1742"/>
        <v>0</v>
      </c>
      <c r="J195" s="1442">
        <f t="shared" si="1742"/>
        <v>0</v>
      </c>
      <c r="K195" s="1471"/>
      <c r="L195" s="1463"/>
      <c r="M195" s="1472"/>
      <c r="N195" s="1472"/>
      <c r="O195" s="1472"/>
      <c r="P195" s="1472"/>
      <c r="Q195" s="1473"/>
      <c r="R195" s="1473"/>
      <c r="S195" s="1445"/>
      <c r="T195" s="1445"/>
      <c r="U195" s="1445"/>
      <c r="V195" s="1445"/>
      <c r="W195" s="1445"/>
      <c r="X195" s="1445"/>
      <c r="Y195" s="1473"/>
      <c r="Z195" s="1473"/>
      <c r="AA195" s="1473"/>
      <c r="AB195" s="1473"/>
      <c r="AC195" s="1473"/>
      <c r="AD195" s="1473"/>
      <c r="AE195" s="1473"/>
      <c r="AF195" s="1473"/>
      <c r="AG195" s="1473"/>
      <c r="AH195" s="1473"/>
      <c r="AI195" s="1473"/>
      <c r="AJ195" s="1473"/>
      <c r="AK195" s="1473"/>
      <c r="AL195" s="1473"/>
      <c r="AM195" s="1473"/>
      <c r="AN195" s="1473"/>
      <c r="AO195" s="1473"/>
      <c r="AP195" s="1473"/>
      <c r="AQ195" s="1473"/>
      <c r="AR195" s="1473"/>
      <c r="AS195" s="1473"/>
      <c r="AT195" s="1473"/>
      <c r="AU195" s="1473"/>
      <c r="AV195" s="1473"/>
      <c r="AW195" s="1473"/>
      <c r="AX195" s="1473"/>
    </row>
    <row r="196" hidden="1" outlineLevel="1">
      <c r="A196" s="1465"/>
      <c r="B196" s="1440"/>
      <c r="C196" s="1449" t="s">
        <v>3191</v>
      </c>
      <c r="D196" s="1467" t="s">
        <v>3192</v>
      </c>
      <c r="E196" s="1450"/>
      <c r="F196" s="1450"/>
      <c r="G196" s="1450">
        <f>SUMIF(AC_TKNO,$C196,AC_SOTIEN)</f>
        <v>0</v>
      </c>
      <c r="H196" s="1450">
        <f>SUMIF(AC_TKCO,$C196,AC_SOTIEN)</f>
        <v>0</v>
      </c>
      <c r="I196" s="1450" t="str">
        <f t="shared" ref="I196:I199" si="1743">IF(E196+G196-F196-H196&gt;0,E196+G196-F196-H196,"-")</f>
        <v>-</v>
      </c>
      <c r="J196" s="1450" t="str">
        <f t="shared" ref="J196:J199" si="1744">IF(F196+H196-E196-G196&gt;0,F196+H196-E196-G196,"-")</f>
        <v>-</v>
      </c>
      <c r="K196" s="1471"/>
      <c r="L196" s="1463"/>
      <c r="M196" s="1472"/>
      <c r="N196" s="1472"/>
      <c r="O196" s="1472"/>
      <c r="P196" s="1472"/>
      <c r="Q196" s="1473"/>
      <c r="R196" s="1473"/>
      <c r="S196" s="1445"/>
      <c r="T196" s="1445"/>
      <c r="U196" s="1445"/>
      <c r="V196" s="1445"/>
      <c r="W196" s="1445"/>
      <c r="X196" s="1445"/>
      <c r="Y196" s="1473"/>
      <c r="Z196" s="1473"/>
      <c r="AA196" s="1473"/>
      <c r="AB196" s="1473"/>
      <c r="AC196" s="1473"/>
      <c r="AD196" s="1473"/>
      <c r="AE196" s="1473"/>
      <c r="AF196" s="1473"/>
      <c r="AG196" s="1473"/>
      <c r="AH196" s="1473"/>
      <c r="AI196" s="1473"/>
      <c r="AJ196" s="1473"/>
      <c r="AK196" s="1473"/>
      <c r="AL196" s="1473"/>
      <c r="AM196" s="1473"/>
      <c r="AN196" s="1473"/>
      <c r="AO196" s="1473"/>
      <c r="AP196" s="1473"/>
      <c r="AQ196" s="1473"/>
      <c r="AR196" s="1473"/>
      <c r="AS196" s="1473"/>
      <c r="AT196" s="1473"/>
      <c r="AU196" s="1473"/>
      <c r="AV196" s="1473"/>
      <c r="AW196" s="1473"/>
      <c r="AX196" s="1473"/>
    </row>
    <row r="197" hidden="1" outlineLevel="1">
      <c r="A197" s="1465"/>
      <c r="B197" s="1440"/>
      <c r="C197" s="1449" t="s">
        <v>3193</v>
      </c>
      <c r="D197" s="1467" t="s">
        <v>3194</v>
      </c>
      <c r="E197" s="1450"/>
      <c r="F197" s="1450"/>
      <c r="G197" s="1450">
        <f>SUMIF(AC_TKNO,$C197,AC_SOTIEN)</f>
        <v>0</v>
      </c>
      <c r="H197" s="1450">
        <f>SUMIF(AC_TKCO,$C197,AC_SOTIEN)</f>
        <v>0</v>
      </c>
      <c r="I197" s="1450" t="str">
        <f t="shared" si="1743"/>
        <v>-</v>
      </c>
      <c r="J197" s="1450" t="str">
        <f t="shared" si="1744"/>
        <v>-</v>
      </c>
      <c r="K197" s="1471"/>
      <c r="L197" s="1463"/>
      <c r="M197" s="1472"/>
      <c r="N197" s="1472"/>
      <c r="O197" s="1472"/>
      <c r="P197" s="1472"/>
      <c r="Q197" s="1473"/>
      <c r="R197" s="1473"/>
      <c r="S197" s="1445"/>
      <c r="T197" s="1445"/>
      <c r="U197" s="1445"/>
      <c r="V197" s="1445"/>
      <c r="W197" s="1445"/>
      <c r="X197" s="1445"/>
      <c r="Y197" s="1473"/>
      <c r="Z197" s="1473"/>
      <c r="AA197" s="1473"/>
      <c r="AB197" s="1473"/>
      <c r="AC197" s="1473"/>
      <c r="AD197" s="1473"/>
      <c r="AE197" s="1473"/>
      <c r="AF197" s="1473"/>
      <c r="AG197" s="1473"/>
      <c r="AH197" s="1473"/>
      <c r="AI197" s="1473"/>
      <c r="AJ197" s="1473"/>
      <c r="AK197" s="1473"/>
      <c r="AL197" s="1473"/>
      <c r="AM197" s="1473"/>
      <c r="AN197" s="1473"/>
      <c r="AO197" s="1473"/>
      <c r="AP197" s="1473"/>
      <c r="AQ197" s="1473"/>
      <c r="AR197" s="1473"/>
      <c r="AS197" s="1473"/>
      <c r="AT197" s="1473"/>
      <c r="AU197" s="1473"/>
      <c r="AV197" s="1473"/>
      <c r="AW197" s="1473"/>
      <c r="AX197" s="1473"/>
    </row>
    <row r="198" hidden="1" outlineLevel="1">
      <c r="A198" s="1468">
        <v>1.0</v>
      </c>
      <c r="B198" s="1439" t="s">
        <v>3195</v>
      </c>
      <c r="C198" s="1439" t="s">
        <v>3195</v>
      </c>
      <c r="D198" s="1469" t="s">
        <v>1726</v>
      </c>
      <c r="E198" s="1455"/>
      <c r="F198" s="1455"/>
      <c r="G198" s="1455">
        <f>SUMIF(AC_TKNO,$C198,AC_SOTIEN)</f>
        <v>0</v>
      </c>
      <c r="H198" s="1455">
        <f>SUMIF(AC_TKCO,$C198,AC_SOTIEN)</f>
        <v>0</v>
      </c>
      <c r="I198" s="1455" t="str">
        <f t="shared" si="1743"/>
        <v>-</v>
      </c>
      <c r="J198" s="1455" t="str">
        <f t="shared" si="1744"/>
        <v>-</v>
      </c>
      <c r="K198" s="1471"/>
      <c r="L198" s="1463"/>
      <c r="M198" s="1472"/>
      <c r="N198" s="1472"/>
      <c r="O198" s="1472"/>
      <c r="P198" s="1472"/>
      <c r="Q198" s="1473"/>
      <c r="R198" s="1473"/>
      <c r="S198" s="1445"/>
      <c r="T198" s="1445"/>
      <c r="U198" s="1445"/>
      <c r="V198" s="1445"/>
      <c r="W198" s="1445"/>
      <c r="X198" s="1445"/>
      <c r="Y198" s="1473"/>
      <c r="Z198" s="1473"/>
      <c r="AA198" s="1473"/>
      <c r="AB198" s="1473"/>
      <c r="AC198" s="1473"/>
      <c r="AD198" s="1473"/>
      <c r="AE198" s="1473"/>
      <c r="AF198" s="1473"/>
      <c r="AG198" s="1473"/>
      <c r="AH198" s="1473"/>
      <c r="AI198" s="1473"/>
      <c r="AJ198" s="1473"/>
      <c r="AK198" s="1473"/>
      <c r="AL198" s="1473"/>
      <c r="AM198" s="1473"/>
      <c r="AN198" s="1473"/>
      <c r="AO198" s="1473"/>
      <c r="AP198" s="1473"/>
      <c r="AQ198" s="1473"/>
      <c r="AR198" s="1473"/>
      <c r="AS198" s="1473"/>
      <c r="AT198" s="1473"/>
      <c r="AU198" s="1473"/>
      <c r="AV198" s="1473"/>
      <c r="AW198" s="1473"/>
      <c r="AX198" s="1473"/>
    </row>
    <row r="199" hidden="1" outlineLevel="1">
      <c r="A199" s="1468">
        <v>1.0</v>
      </c>
      <c r="B199" s="1439" t="s">
        <v>3196</v>
      </c>
      <c r="C199" s="1439" t="s">
        <v>3196</v>
      </c>
      <c r="D199" s="1469" t="s">
        <v>1727</v>
      </c>
      <c r="E199" s="1455"/>
      <c r="F199" s="1455"/>
      <c r="G199" s="1455">
        <f>SUMIF(AC_TKNO,$C199,AC_SOTIEN)</f>
        <v>0</v>
      </c>
      <c r="H199" s="1455">
        <f>SUMIF(AC_TKCO,$C199,AC_SOTIEN)</f>
        <v>0</v>
      </c>
      <c r="I199" s="1455" t="str">
        <f t="shared" si="1743"/>
        <v>-</v>
      </c>
      <c r="J199" s="1455" t="str">
        <f t="shared" si="1744"/>
        <v>-</v>
      </c>
      <c r="K199" s="1471"/>
      <c r="L199" s="1463"/>
      <c r="M199" s="1472"/>
      <c r="N199" s="1472"/>
      <c r="O199" s="1472"/>
      <c r="P199" s="1472"/>
      <c r="Q199" s="1473"/>
      <c r="R199" s="1473"/>
      <c r="S199" s="1445"/>
      <c r="T199" s="1445"/>
      <c r="U199" s="1445"/>
      <c r="V199" s="1445"/>
      <c r="W199" s="1445"/>
      <c r="X199" s="1445"/>
      <c r="Y199" s="1473"/>
      <c r="Z199" s="1473"/>
      <c r="AA199" s="1473"/>
      <c r="AB199" s="1473"/>
      <c r="AC199" s="1473"/>
      <c r="AD199" s="1473"/>
      <c r="AE199" s="1473"/>
      <c r="AF199" s="1473"/>
      <c r="AG199" s="1473"/>
      <c r="AH199" s="1473"/>
      <c r="AI199" s="1473"/>
      <c r="AJ199" s="1473"/>
      <c r="AK199" s="1473"/>
      <c r="AL199" s="1473"/>
      <c r="AM199" s="1473"/>
      <c r="AN199" s="1473"/>
      <c r="AO199" s="1473"/>
      <c r="AP199" s="1473"/>
      <c r="AQ199" s="1473"/>
      <c r="AR199" s="1473"/>
      <c r="AS199" s="1473"/>
      <c r="AT199" s="1473"/>
      <c r="AU199" s="1473"/>
      <c r="AV199" s="1473"/>
      <c r="AW199" s="1473"/>
      <c r="AX199" s="1473"/>
    </row>
    <row r="200" hidden="1" outlineLevel="1">
      <c r="A200" s="1468">
        <v>1.0</v>
      </c>
      <c r="B200" s="1439" t="s">
        <v>3197</v>
      </c>
      <c r="C200" s="1440"/>
      <c r="D200" s="1469" t="s">
        <v>1728</v>
      </c>
      <c r="E200" s="1442">
        <f t="shared" ref="E200:J200" si="1745">SUM(E201:E206)</f>
        <v>0</v>
      </c>
      <c r="F200" s="1442">
        <f t="shared" si="1745"/>
        <v>0</v>
      </c>
      <c r="G200" s="1442">
        <f t="shared" si="1745"/>
        <v>0</v>
      </c>
      <c r="H200" s="1442">
        <f t="shared" si="1745"/>
        <v>0</v>
      </c>
      <c r="I200" s="1442">
        <f t="shared" si="1745"/>
        <v>0</v>
      </c>
      <c r="J200" s="1442">
        <f t="shared" si="1745"/>
        <v>0</v>
      </c>
      <c r="K200" s="1471"/>
      <c r="L200" s="1463"/>
      <c r="M200" s="1472"/>
      <c r="N200" s="1472"/>
      <c r="O200" s="1472"/>
      <c r="P200" s="1472"/>
      <c r="Q200" s="1473"/>
      <c r="R200" s="1473"/>
      <c r="S200" s="1445"/>
      <c r="T200" s="1445"/>
      <c r="U200" s="1445"/>
      <c r="V200" s="1445"/>
      <c r="W200" s="1445"/>
      <c r="X200" s="1445"/>
      <c r="Y200" s="1473"/>
      <c r="Z200" s="1473"/>
      <c r="AA200" s="1473"/>
      <c r="AB200" s="1473"/>
      <c r="AC200" s="1473"/>
      <c r="AD200" s="1473"/>
      <c r="AE200" s="1473"/>
      <c r="AF200" s="1473"/>
      <c r="AG200" s="1473"/>
      <c r="AH200" s="1473"/>
      <c r="AI200" s="1473"/>
      <c r="AJ200" s="1473"/>
      <c r="AK200" s="1473"/>
      <c r="AL200" s="1473"/>
      <c r="AM200" s="1473"/>
      <c r="AN200" s="1473"/>
      <c r="AO200" s="1473"/>
      <c r="AP200" s="1473"/>
      <c r="AQ200" s="1473"/>
      <c r="AR200" s="1473"/>
      <c r="AS200" s="1473"/>
      <c r="AT200" s="1473"/>
      <c r="AU200" s="1473"/>
      <c r="AV200" s="1473"/>
      <c r="AW200" s="1473"/>
      <c r="AX200" s="1473"/>
    </row>
    <row r="201" hidden="1" outlineLevel="1">
      <c r="A201" s="1465"/>
      <c r="B201" s="1440"/>
      <c r="C201" s="1449" t="s">
        <v>3198</v>
      </c>
      <c r="D201" s="1467" t="s">
        <v>1729</v>
      </c>
      <c r="E201" s="1450"/>
      <c r="F201" s="1450"/>
      <c r="G201" s="1450">
        <f>SUMIF(AC_TKNO,$C201,AC_SOTIEN)</f>
        <v>0</v>
      </c>
      <c r="H201" s="1450">
        <f>SUMIF(AC_TKCO,$C201,AC_SOTIEN)</f>
        <v>0</v>
      </c>
      <c r="I201" s="1450" t="str">
        <f t="shared" ref="I201:I206" si="1746">IF(E201+G201-F201-H201&gt;0,E201+G201-F201-H201,"-")</f>
        <v>-</v>
      </c>
      <c r="J201" s="1450" t="str">
        <f t="shared" ref="J201:J206" si="1747">IF(F201+H201-E201-G201&gt;0,F201+H201-E201-G201,"-")</f>
        <v>-</v>
      </c>
      <c r="K201" s="1471"/>
      <c r="L201" s="1463"/>
      <c r="M201" s="1472"/>
      <c r="N201" s="1472"/>
      <c r="O201" s="1472"/>
      <c r="P201" s="1472"/>
      <c r="Q201" s="1473"/>
      <c r="R201" s="1473"/>
      <c r="S201" s="1445"/>
      <c r="T201" s="1445"/>
      <c r="U201" s="1445"/>
      <c r="V201" s="1445"/>
      <c r="W201" s="1445"/>
      <c r="X201" s="1445"/>
      <c r="Y201" s="1473"/>
      <c r="Z201" s="1473"/>
      <c r="AA201" s="1473"/>
      <c r="AB201" s="1473"/>
      <c r="AC201" s="1473"/>
      <c r="AD201" s="1473"/>
      <c r="AE201" s="1473"/>
      <c r="AF201" s="1473"/>
      <c r="AG201" s="1473"/>
      <c r="AH201" s="1473"/>
      <c r="AI201" s="1473"/>
      <c r="AJ201" s="1473"/>
      <c r="AK201" s="1473"/>
      <c r="AL201" s="1473"/>
      <c r="AM201" s="1473"/>
      <c r="AN201" s="1473"/>
      <c r="AO201" s="1473"/>
      <c r="AP201" s="1473"/>
      <c r="AQ201" s="1473"/>
      <c r="AR201" s="1473"/>
      <c r="AS201" s="1473"/>
      <c r="AT201" s="1473"/>
      <c r="AU201" s="1473"/>
      <c r="AV201" s="1473"/>
      <c r="AW201" s="1473"/>
      <c r="AX201" s="1473"/>
    </row>
    <row r="202" hidden="1" outlineLevel="1">
      <c r="A202" s="1465"/>
      <c r="B202" s="1440"/>
      <c r="C202" s="1449" t="s">
        <v>3199</v>
      </c>
      <c r="D202" s="1467" t="s">
        <v>3200</v>
      </c>
      <c r="E202" s="1450"/>
      <c r="F202" s="1450"/>
      <c r="G202" s="1450">
        <f>SUMIF(AC_TKNO,$C202,AC_SOTIEN)</f>
        <v>0</v>
      </c>
      <c r="H202" s="1450">
        <f>SUMIF(AC_TKCO,$C202,AC_SOTIEN)</f>
        <v>0</v>
      </c>
      <c r="I202" s="1450" t="str">
        <f t="shared" si="1746"/>
        <v>-</v>
      </c>
      <c r="J202" s="1450" t="str">
        <f t="shared" si="1747"/>
        <v>-</v>
      </c>
      <c r="K202" s="1471"/>
      <c r="L202" s="1463"/>
      <c r="M202" s="1472"/>
      <c r="N202" s="1472"/>
      <c r="O202" s="1472"/>
      <c r="P202" s="1472"/>
      <c r="Q202" s="1473"/>
      <c r="R202" s="1473"/>
      <c r="S202" s="1445"/>
      <c r="T202" s="1445"/>
      <c r="U202" s="1445"/>
      <c r="V202" s="1445"/>
      <c r="W202" s="1445"/>
      <c r="X202" s="1445"/>
      <c r="Y202" s="1473"/>
      <c r="Z202" s="1473"/>
      <c r="AA202" s="1473"/>
      <c r="AB202" s="1473"/>
      <c r="AC202" s="1473"/>
      <c r="AD202" s="1473"/>
      <c r="AE202" s="1473"/>
      <c r="AF202" s="1473"/>
      <c r="AG202" s="1473"/>
      <c r="AH202" s="1473"/>
      <c r="AI202" s="1473"/>
      <c r="AJ202" s="1473"/>
      <c r="AK202" s="1473"/>
      <c r="AL202" s="1473"/>
      <c r="AM202" s="1473"/>
      <c r="AN202" s="1473"/>
      <c r="AO202" s="1473"/>
      <c r="AP202" s="1473"/>
      <c r="AQ202" s="1473"/>
      <c r="AR202" s="1473"/>
      <c r="AS202" s="1473"/>
      <c r="AT202" s="1473"/>
      <c r="AU202" s="1473"/>
      <c r="AV202" s="1473"/>
      <c r="AW202" s="1473"/>
      <c r="AX202" s="1473"/>
    </row>
    <row r="203" hidden="1" outlineLevel="1">
      <c r="A203" s="1465"/>
      <c r="B203" s="1440"/>
      <c r="C203" s="1449" t="s">
        <v>3201</v>
      </c>
      <c r="D203" s="1467" t="s">
        <v>1731</v>
      </c>
      <c r="E203" s="1450"/>
      <c r="F203" s="1450"/>
      <c r="G203" s="1450">
        <f>SUMIF(AC_TKNO,$C203,AC_SOTIEN)</f>
        <v>0</v>
      </c>
      <c r="H203" s="1450">
        <f>SUMIF(AC_TKCO,$C203,AC_SOTIEN)</f>
        <v>0</v>
      </c>
      <c r="I203" s="1450" t="str">
        <f t="shared" si="1746"/>
        <v>-</v>
      </c>
      <c r="J203" s="1450" t="str">
        <f t="shared" si="1747"/>
        <v>-</v>
      </c>
      <c r="K203" s="1471"/>
      <c r="L203" s="1463"/>
      <c r="M203" s="1472"/>
      <c r="N203" s="1472"/>
      <c r="O203" s="1472"/>
      <c r="P203" s="1472"/>
      <c r="Q203" s="1473"/>
      <c r="R203" s="1473"/>
      <c r="S203" s="1445"/>
      <c r="T203" s="1445"/>
      <c r="U203" s="1445"/>
      <c r="V203" s="1445"/>
      <c r="W203" s="1445"/>
      <c r="X203" s="1445"/>
      <c r="Y203" s="1473"/>
      <c r="Z203" s="1473"/>
      <c r="AA203" s="1473"/>
      <c r="AB203" s="1473"/>
      <c r="AC203" s="1473"/>
      <c r="AD203" s="1473"/>
      <c r="AE203" s="1473"/>
      <c r="AF203" s="1473"/>
      <c r="AG203" s="1473"/>
      <c r="AH203" s="1473"/>
      <c r="AI203" s="1473"/>
      <c r="AJ203" s="1473"/>
      <c r="AK203" s="1473"/>
      <c r="AL203" s="1473"/>
      <c r="AM203" s="1473"/>
      <c r="AN203" s="1473"/>
      <c r="AO203" s="1473"/>
      <c r="AP203" s="1473"/>
      <c r="AQ203" s="1473"/>
      <c r="AR203" s="1473"/>
      <c r="AS203" s="1473"/>
      <c r="AT203" s="1473"/>
      <c r="AU203" s="1473"/>
      <c r="AV203" s="1473"/>
      <c r="AW203" s="1473"/>
      <c r="AX203" s="1473"/>
    </row>
    <row r="204" hidden="1" outlineLevel="1">
      <c r="A204" s="1465"/>
      <c r="B204" s="1440"/>
      <c r="C204" s="1449" t="s">
        <v>3202</v>
      </c>
      <c r="D204" s="1467" t="s">
        <v>1732</v>
      </c>
      <c r="E204" s="1450"/>
      <c r="F204" s="1450"/>
      <c r="G204" s="1450">
        <f>SUMIF(AC_TKNO,$C204,AC_SOTIEN)</f>
        <v>0</v>
      </c>
      <c r="H204" s="1450">
        <f>SUMIF(AC_TKCO,$C204,AC_SOTIEN)</f>
        <v>0</v>
      </c>
      <c r="I204" s="1450" t="str">
        <f t="shared" si="1746"/>
        <v>-</v>
      </c>
      <c r="J204" s="1450" t="str">
        <f t="shared" si="1747"/>
        <v>-</v>
      </c>
      <c r="K204" s="1471"/>
      <c r="L204" s="1463"/>
      <c r="M204" s="1472"/>
      <c r="N204" s="1472"/>
      <c r="O204" s="1472"/>
      <c r="P204" s="1472"/>
      <c r="Q204" s="1473"/>
      <c r="R204" s="1473"/>
      <c r="S204" s="1445"/>
      <c r="T204" s="1445"/>
      <c r="U204" s="1445"/>
      <c r="V204" s="1445"/>
      <c r="W204" s="1445"/>
      <c r="X204" s="1445"/>
      <c r="Y204" s="1473"/>
      <c r="Z204" s="1473"/>
      <c r="AA204" s="1473"/>
      <c r="AB204" s="1473"/>
      <c r="AC204" s="1473"/>
      <c r="AD204" s="1473"/>
      <c r="AE204" s="1473"/>
      <c r="AF204" s="1473"/>
      <c r="AG204" s="1473"/>
      <c r="AH204" s="1473"/>
      <c r="AI204" s="1473"/>
      <c r="AJ204" s="1473"/>
      <c r="AK204" s="1473"/>
      <c r="AL204" s="1473"/>
      <c r="AM204" s="1473"/>
      <c r="AN204" s="1473"/>
      <c r="AO204" s="1473"/>
      <c r="AP204" s="1473"/>
      <c r="AQ204" s="1473"/>
      <c r="AR204" s="1473"/>
      <c r="AS204" s="1473"/>
      <c r="AT204" s="1473"/>
      <c r="AU204" s="1473"/>
      <c r="AV204" s="1473"/>
      <c r="AW204" s="1473"/>
      <c r="AX204" s="1473"/>
    </row>
    <row r="205" hidden="1" outlineLevel="1">
      <c r="A205" s="1465"/>
      <c r="B205" s="1440"/>
      <c r="C205" s="1449" t="s">
        <v>3203</v>
      </c>
      <c r="D205" s="1467" t="s">
        <v>1733</v>
      </c>
      <c r="E205" s="1450"/>
      <c r="F205" s="1450"/>
      <c r="G205" s="1450">
        <f>SUMIF(AC_TKNO,$C205,AC_SOTIEN)</f>
        <v>0</v>
      </c>
      <c r="H205" s="1450">
        <f>SUMIF(AC_TKCO,$C205,AC_SOTIEN)</f>
        <v>0</v>
      </c>
      <c r="I205" s="1450" t="str">
        <f t="shared" si="1746"/>
        <v>-</v>
      </c>
      <c r="J205" s="1450" t="str">
        <f t="shared" si="1747"/>
        <v>-</v>
      </c>
      <c r="K205" s="1471"/>
      <c r="L205" s="1463"/>
      <c r="M205" s="1472"/>
      <c r="N205" s="1472"/>
      <c r="O205" s="1472"/>
      <c r="P205" s="1472"/>
      <c r="Q205" s="1473"/>
      <c r="R205" s="1473"/>
      <c r="S205" s="1445"/>
      <c r="T205" s="1445"/>
      <c r="U205" s="1445"/>
      <c r="V205" s="1445"/>
      <c r="W205" s="1445"/>
      <c r="X205" s="1445"/>
      <c r="Y205" s="1473"/>
      <c r="Z205" s="1473"/>
      <c r="AA205" s="1473"/>
      <c r="AB205" s="1473"/>
      <c r="AC205" s="1473"/>
      <c r="AD205" s="1473"/>
      <c r="AE205" s="1473"/>
      <c r="AF205" s="1473"/>
      <c r="AG205" s="1473"/>
      <c r="AH205" s="1473"/>
      <c r="AI205" s="1473"/>
      <c r="AJ205" s="1473"/>
      <c r="AK205" s="1473"/>
      <c r="AL205" s="1473"/>
      <c r="AM205" s="1473"/>
      <c r="AN205" s="1473"/>
      <c r="AO205" s="1473"/>
      <c r="AP205" s="1473"/>
      <c r="AQ205" s="1473"/>
      <c r="AR205" s="1473"/>
      <c r="AS205" s="1473"/>
      <c r="AT205" s="1473"/>
      <c r="AU205" s="1473"/>
      <c r="AV205" s="1473"/>
      <c r="AW205" s="1473"/>
      <c r="AX205" s="1473"/>
    </row>
    <row r="206" hidden="1" outlineLevel="1">
      <c r="A206" s="1465"/>
      <c r="B206" s="1440"/>
      <c r="C206" s="1449" t="s">
        <v>3204</v>
      </c>
      <c r="D206" s="1467" t="s">
        <v>1734</v>
      </c>
      <c r="E206" s="1450"/>
      <c r="F206" s="1450"/>
      <c r="G206" s="1450">
        <f>SUMIF(AC_TKNO,$C206,AC_SOTIEN)</f>
        <v>0</v>
      </c>
      <c r="H206" s="1450">
        <f>SUMIF(AC_TKCO,$C206,AC_SOTIEN)</f>
        <v>0</v>
      </c>
      <c r="I206" s="1450" t="str">
        <f t="shared" si="1746"/>
        <v>-</v>
      </c>
      <c r="J206" s="1450" t="str">
        <f t="shared" si="1747"/>
        <v>-</v>
      </c>
      <c r="K206" s="1471"/>
      <c r="L206" s="1463"/>
      <c r="M206" s="1472"/>
      <c r="N206" s="1472"/>
      <c r="O206" s="1472"/>
      <c r="P206" s="1472"/>
      <c r="Q206" s="1473"/>
      <c r="R206" s="1473"/>
      <c r="S206" s="1445"/>
      <c r="T206" s="1445"/>
      <c r="U206" s="1445"/>
      <c r="V206" s="1445"/>
      <c r="W206" s="1445"/>
      <c r="X206" s="1445"/>
      <c r="Y206" s="1473"/>
      <c r="Z206" s="1473"/>
      <c r="AA206" s="1473"/>
      <c r="AB206" s="1473"/>
      <c r="AC206" s="1473"/>
      <c r="AD206" s="1473"/>
      <c r="AE206" s="1473"/>
      <c r="AF206" s="1473"/>
      <c r="AG206" s="1473"/>
      <c r="AH206" s="1473"/>
      <c r="AI206" s="1473"/>
      <c r="AJ206" s="1473"/>
      <c r="AK206" s="1473"/>
      <c r="AL206" s="1473"/>
      <c r="AM206" s="1473"/>
      <c r="AN206" s="1473"/>
      <c r="AO206" s="1473"/>
      <c r="AP206" s="1473"/>
      <c r="AQ206" s="1473"/>
      <c r="AR206" s="1473"/>
      <c r="AS206" s="1473"/>
      <c r="AT206" s="1473"/>
      <c r="AU206" s="1473"/>
      <c r="AV206" s="1473"/>
      <c r="AW206" s="1473"/>
      <c r="AX206" s="1473"/>
    </row>
    <row r="207" hidden="1" outlineLevel="1">
      <c r="A207" s="1468">
        <v>1.0</v>
      </c>
      <c r="B207" s="1439" t="s">
        <v>3205</v>
      </c>
      <c r="C207" s="1440"/>
      <c r="D207" s="1469" t="s">
        <v>1735</v>
      </c>
      <c r="E207" s="1442">
        <f t="shared" ref="E207:J207" si="1748">SUM(E208:E213)</f>
        <v>0</v>
      </c>
      <c r="F207" s="1442">
        <f t="shared" si="1748"/>
        <v>0</v>
      </c>
      <c r="G207" s="1442">
        <f t="shared" si="1748"/>
        <v>0</v>
      </c>
      <c r="H207" s="1442">
        <f t="shared" si="1748"/>
        <v>0</v>
      </c>
      <c r="I207" s="1442">
        <f t="shared" si="1748"/>
        <v>0</v>
      </c>
      <c r="J207" s="1442">
        <f t="shared" si="1748"/>
        <v>0</v>
      </c>
      <c r="K207" s="1471"/>
      <c r="L207" s="1463"/>
      <c r="M207" s="1472"/>
      <c r="N207" s="1472"/>
      <c r="O207" s="1472"/>
      <c r="P207" s="1472"/>
      <c r="Q207" s="1473"/>
      <c r="R207" s="1473"/>
      <c r="S207" s="1445"/>
      <c r="T207" s="1445"/>
      <c r="U207" s="1445"/>
      <c r="V207" s="1445"/>
      <c r="W207" s="1445"/>
      <c r="X207" s="1445"/>
      <c r="Y207" s="1473"/>
      <c r="Z207" s="1473"/>
      <c r="AA207" s="1473"/>
      <c r="AB207" s="1473"/>
      <c r="AC207" s="1473"/>
      <c r="AD207" s="1473"/>
      <c r="AE207" s="1473"/>
      <c r="AF207" s="1473"/>
      <c r="AG207" s="1473"/>
      <c r="AH207" s="1473"/>
      <c r="AI207" s="1473"/>
      <c r="AJ207" s="1473"/>
      <c r="AK207" s="1473"/>
      <c r="AL207" s="1473"/>
      <c r="AM207" s="1473"/>
      <c r="AN207" s="1473"/>
      <c r="AO207" s="1473"/>
      <c r="AP207" s="1473"/>
      <c r="AQ207" s="1473"/>
      <c r="AR207" s="1473"/>
      <c r="AS207" s="1473"/>
      <c r="AT207" s="1473"/>
      <c r="AU207" s="1473"/>
      <c r="AV207" s="1473"/>
      <c r="AW207" s="1473"/>
      <c r="AX207" s="1473"/>
    </row>
    <row r="208" hidden="1" outlineLevel="1">
      <c r="A208" s="1465"/>
      <c r="B208" s="1440"/>
      <c r="C208" s="1449" t="s">
        <v>3206</v>
      </c>
      <c r="D208" s="1467" t="s">
        <v>1736</v>
      </c>
      <c r="E208" s="1450"/>
      <c r="F208" s="1450"/>
      <c r="G208" s="1450">
        <f>SUMIF(AC_TKNO,$C208,AC_SOTIEN)</f>
        <v>0</v>
      </c>
      <c r="H208" s="1450">
        <f>SUMIF(AC_TKCO,$C208,AC_SOTIEN)</f>
        <v>0</v>
      </c>
      <c r="I208" s="1450" t="str">
        <f t="shared" ref="I208:I222" si="1749">IF(E208+G208-F208-H208&gt;0,E208+G208-F208-H208,"-")</f>
        <v>-</v>
      </c>
      <c r="J208" s="1450" t="str">
        <f t="shared" ref="J208:J222" si="1750">IF(F208+H208-E208-G208&gt;0,F208+H208-E208-G208,"-")</f>
        <v>-</v>
      </c>
      <c r="K208" s="1471"/>
      <c r="L208" s="1463"/>
      <c r="M208" s="1472"/>
      <c r="N208" s="1472"/>
      <c r="O208" s="1472"/>
      <c r="P208" s="1472"/>
      <c r="Q208" s="1473"/>
      <c r="R208" s="1473"/>
      <c r="S208" s="1445"/>
      <c r="T208" s="1445"/>
      <c r="U208" s="1445"/>
      <c r="V208" s="1445"/>
      <c r="W208" s="1445"/>
      <c r="X208" s="1445"/>
      <c r="Y208" s="1473"/>
      <c r="Z208" s="1473"/>
      <c r="AA208" s="1473"/>
      <c r="AB208" s="1473"/>
      <c r="AC208" s="1473"/>
      <c r="AD208" s="1473"/>
      <c r="AE208" s="1473"/>
      <c r="AF208" s="1473"/>
      <c r="AG208" s="1473"/>
      <c r="AH208" s="1473"/>
      <c r="AI208" s="1473"/>
      <c r="AJ208" s="1473"/>
      <c r="AK208" s="1473"/>
      <c r="AL208" s="1473"/>
      <c r="AM208" s="1473"/>
      <c r="AN208" s="1473"/>
      <c r="AO208" s="1473"/>
      <c r="AP208" s="1473"/>
      <c r="AQ208" s="1473"/>
      <c r="AR208" s="1473"/>
      <c r="AS208" s="1473"/>
      <c r="AT208" s="1473"/>
      <c r="AU208" s="1473"/>
      <c r="AV208" s="1473"/>
      <c r="AW208" s="1473"/>
      <c r="AX208" s="1473"/>
    </row>
    <row r="209" hidden="1" outlineLevel="1">
      <c r="A209" s="1465"/>
      <c r="B209" s="1440"/>
      <c r="C209" s="1449" t="s">
        <v>3207</v>
      </c>
      <c r="D209" s="1467" t="s">
        <v>3200</v>
      </c>
      <c r="E209" s="1450"/>
      <c r="F209" s="1450"/>
      <c r="G209" s="1450">
        <f>SUMIF(AC_TKNO,$C209,AC_SOTIEN)</f>
        <v>0</v>
      </c>
      <c r="H209" s="1450">
        <f>SUMIF(AC_TKCO,$C209,AC_SOTIEN)</f>
        <v>0</v>
      </c>
      <c r="I209" s="1450" t="str">
        <f t="shared" si="1749"/>
        <v>-</v>
      </c>
      <c r="J209" s="1450" t="str">
        <f t="shared" si="1750"/>
        <v>-</v>
      </c>
      <c r="K209" s="1471"/>
      <c r="L209" s="1463"/>
      <c r="M209" s="1472"/>
      <c r="N209" s="1472"/>
      <c r="O209" s="1472"/>
      <c r="P209" s="1472"/>
      <c r="Q209" s="1473"/>
      <c r="R209" s="1473"/>
      <c r="S209" s="1445"/>
      <c r="T209" s="1445"/>
      <c r="U209" s="1445"/>
      <c r="V209" s="1445"/>
      <c r="W209" s="1445"/>
      <c r="X209" s="1445"/>
      <c r="Y209" s="1473"/>
      <c r="Z209" s="1473"/>
      <c r="AA209" s="1473"/>
      <c r="AB209" s="1473"/>
      <c r="AC209" s="1473"/>
      <c r="AD209" s="1473"/>
      <c r="AE209" s="1473"/>
      <c r="AF209" s="1473"/>
      <c r="AG209" s="1473"/>
      <c r="AH209" s="1473"/>
      <c r="AI209" s="1473"/>
      <c r="AJ209" s="1473"/>
      <c r="AK209" s="1473"/>
      <c r="AL209" s="1473"/>
      <c r="AM209" s="1473"/>
      <c r="AN209" s="1473"/>
      <c r="AO209" s="1473"/>
      <c r="AP209" s="1473"/>
      <c r="AQ209" s="1473"/>
      <c r="AR209" s="1473"/>
      <c r="AS209" s="1473"/>
      <c r="AT209" s="1473"/>
      <c r="AU209" s="1473"/>
      <c r="AV209" s="1473"/>
      <c r="AW209" s="1473"/>
      <c r="AX209" s="1473"/>
    </row>
    <row r="210" hidden="1" outlineLevel="1">
      <c r="A210" s="1465"/>
      <c r="B210" s="1440"/>
      <c r="C210" s="1449" t="s">
        <v>3208</v>
      </c>
      <c r="D210" s="1467" t="s">
        <v>1731</v>
      </c>
      <c r="E210" s="1450"/>
      <c r="F210" s="1450"/>
      <c r="G210" s="1450">
        <f>SUMIF(AC_TKNO,$C210,AC_SOTIEN)</f>
        <v>0</v>
      </c>
      <c r="H210" s="1450">
        <f>SUMIF(AC_TKCO,$C210,AC_SOTIEN)</f>
        <v>0</v>
      </c>
      <c r="I210" s="1450" t="str">
        <f t="shared" si="1749"/>
        <v>-</v>
      </c>
      <c r="J210" s="1450" t="str">
        <f t="shared" si="1750"/>
        <v>-</v>
      </c>
      <c r="K210" s="1471"/>
      <c r="L210" s="1463"/>
      <c r="M210" s="1472"/>
      <c r="N210" s="1472"/>
      <c r="O210" s="1472"/>
      <c r="P210" s="1472"/>
      <c r="Q210" s="1473"/>
      <c r="R210" s="1473"/>
      <c r="S210" s="1445"/>
      <c r="T210" s="1445"/>
      <c r="U210" s="1445"/>
      <c r="V210" s="1445"/>
      <c r="W210" s="1445"/>
      <c r="X210" s="1445"/>
      <c r="Y210" s="1473"/>
      <c r="Z210" s="1473"/>
      <c r="AA210" s="1473"/>
      <c r="AB210" s="1473"/>
      <c r="AC210" s="1473"/>
      <c r="AD210" s="1473"/>
      <c r="AE210" s="1473"/>
      <c r="AF210" s="1473"/>
      <c r="AG210" s="1473"/>
      <c r="AH210" s="1473"/>
      <c r="AI210" s="1473"/>
      <c r="AJ210" s="1473"/>
      <c r="AK210" s="1473"/>
      <c r="AL210" s="1473"/>
      <c r="AM210" s="1473"/>
      <c r="AN210" s="1473"/>
      <c r="AO210" s="1473"/>
      <c r="AP210" s="1473"/>
      <c r="AQ210" s="1473"/>
      <c r="AR210" s="1473"/>
      <c r="AS210" s="1473"/>
      <c r="AT210" s="1473"/>
      <c r="AU210" s="1473"/>
      <c r="AV210" s="1473"/>
      <c r="AW210" s="1473"/>
      <c r="AX210" s="1473"/>
    </row>
    <row r="211" hidden="1" outlineLevel="1">
      <c r="A211" s="1465"/>
      <c r="B211" s="1440"/>
      <c r="C211" s="1449" t="s">
        <v>3209</v>
      </c>
      <c r="D211" s="1467" t="s">
        <v>1737</v>
      </c>
      <c r="E211" s="1450"/>
      <c r="F211" s="1450"/>
      <c r="G211" s="1450">
        <f>SUMIF(AC_TKNO,$C211,AC_SOTIEN)</f>
        <v>0</v>
      </c>
      <c r="H211" s="1450">
        <f>SUMIF(AC_TKCO,$C211,AC_SOTIEN)</f>
        <v>0</v>
      </c>
      <c r="I211" s="1450" t="str">
        <f t="shared" si="1749"/>
        <v>-</v>
      </c>
      <c r="J211" s="1450" t="str">
        <f t="shared" si="1750"/>
        <v>-</v>
      </c>
      <c r="K211" s="1471"/>
      <c r="L211" s="1463"/>
      <c r="M211" s="1472"/>
      <c r="N211" s="1472"/>
      <c r="O211" s="1472"/>
      <c r="P211" s="1472"/>
      <c r="Q211" s="1473"/>
      <c r="R211" s="1473"/>
      <c r="S211" s="1445"/>
      <c r="T211" s="1445"/>
      <c r="U211" s="1445"/>
      <c r="V211" s="1445"/>
      <c r="W211" s="1445"/>
      <c r="X211" s="1445"/>
      <c r="Y211" s="1473"/>
      <c r="Z211" s="1473"/>
      <c r="AA211" s="1473"/>
      <c r="AB211" s="1473"/>
      <c r="AC211" s="1473"/>
      <c r="AD211" s="1473"/>
      <c r="AE211" s="1473"/>
      <c r="AF211" s="1473"/>
      <c r="AG211" s="1473"/>
      <c r="AH211" s="1473"/>
      <c r="AI211" s="1473"/>
      <c r="AJ211" s="1473"/>
      <c r="AK211" s="1473"/>
      <c r="AL211" s="1473"/>
      <c r="AM211" s="1473"/>
      <c r="AN211" s="1473"/>
      <c r="AO211" s="1473"/>
      <c r="AP211" s="1473"/>
      <c r="AQ211" s="1473"/>
      <c r="AR211" s="1473"/>
      <c r="AS211" s="1473"/>
      <c r="AT211" s="1473"/>
      <c r="AU211" s="1473"/>
      <c r="AV211" s="1473"/>
      <c r="AW211" s="1473"/>
      <c r="AX211" s="1473"/>
    </row>
    <row r="212" hidden="1" outlineLevel="1">
      <c r="A212" s="1465"/>
      <c r="B212" s="1440"/>
      <c r="C212" s="1449" t="s">
        <v>3210</v>
      </c>
      <c r="D212" s="1467" t="s">
        <v>1733</v>
      </c>
      <c r="E212" s="1450"/>
      <c r="F212" s="1450"/>
      <c r="G212" s="1450">
        <f>SUMIF(AC_TKNO,$C212,AC_SOTIEN)</f>
        <v>0</v>
      </c>
      <c r="H212" s="1450">
        <f>SUMIF(AC_TKCO,$C212,AC_SOTIEN)</f>
        <v>0</v>
      </c>
      <c r="I212" s="1450" t="str">
        <f t="shared" si="1749"/>
        <v>-</v>
      </c>
      <c r="J212" s="1450" t="str">
        <f t="shared" si="1750"/>
        <v>-</v>
      </c>
      <c r="K212" s="1471"/>
      <c r="L212" s="1463"/>
      <c r="M212" s="1472"/>
      <c r="N212" s="1472"/>
      <c r="O212" s="1472"/>
      <c r="P212" s="1472"/>
      <c r="Q212" s="1473"/>
      <c r="R212" s="1473"/>
      <c r="S212" s="1445"/>
      <c r="T212" s="1445"/>
      <c r="U212" s="1445"/>
      <c r="V212" s="1445"/>
      <c r="W212" s="1445"/>
      <c r="X212" s="1445"/>
      <c r="Y212" s="1473"/>
      <c r="Z212" s="1473"/>
      <c r="AA212" s="1473"/>
      <c r="AB212" s="1473"/>
      <c r="AC212" s="1473"/>
      <c r="AD212" s="1473"/>
      <c r="AE212" s="1473"/>
      <c r="AF212" s="1473"/>
      <c r="AG212" s="1473"/>
      <c r="AH212" s="1473"/>
      <c r="AI212" s="1473"/>
      <c r="AJ212" s="1473"/>
      <c r="AK212" s="1473"/>
      <c r="AL212" s="1473"/>
      <c r="AM212" s="1473"/>
      <c r="AN212" s="1473"/>
      <c r="AO212" s="1473"/>
      <c r="AP212" s="1473"/>
      <c r="AQ212" s="1473"/>
      <c r="AR212" s="1473"/>
      <c r="AS212" s="1473"/>
      <c r="AT212" s="1473"/>
      <c r="AU212" s="1473"/>
      <c r="AV212" s="1473"/>
      <c r="AW212" s="1473"/>
      <c r="AX212" s="1473"/>
    </row>
    <row r="213" hidden="1" outlineLevel="1">
      <c r="A213" s="1465"/>
      <c r="B213" s="1440"/>
      <c r="C213" s="1449" t="s">
        <v>3211</v>
      </c>
      <c r="D213" s="1467" t="s">
        <v>1734</v>
      </c>
      <c r="E213" s="1450"/>
      <c r="F213" s="1450"/>
      <c r="G213" s="1450">
        <f>SUMIF(AC_TKNO,$C213,AC_SOTIEN)</f>
        <v>0</v>
      </c>
      <c r="H213" s="1450">
        <f>SUMIF(AC_TKCO,$C213,AC_SOTIEN)</f>
        <v>0</v>
      </c>
      <c r="I213" s="1450" t="str">
        <f t="shared" si="1749"/>
        <v>-</v>
      </c>
      <c r="J213" s="1450" t="str">
        <f t="shared" si="1750"/>
        <v>-</v>
      </c>
      <c r="K213" s="1471"/>
      <c r="L213" s="1463"/>
      <c r="M213" s="1472"/>
      <c r="N213" s="1472"/>
      <c r="O213" s="1472"/>
      <c r="P213" s="1472"/>
      <c r="Q213" s="1473"/>
      <c r="R213" s="1473"/>
      <c r="S213" s="1445"/>
      <c r="T213" s="1445"/>
      <c r="U213" s="1445"/>
      <c r="V213" s="1445"/>
      <c r="W213" s="1445"/>
      <c r="X213" s="1445"/>
      <c r="Y213" s="1473"/>
      <c r="Z213" s="1473"/>
      <c r="AA213" s="1473"/>
      <c r="AB213" s="1473"/>
      <c r="AC213" s="1473"/>
      <c r="AD213" s="1473"/>
      <c r="AE213" s="1473"/>
      <c r="AF213" s="1473"/>
      <c r="AG213" s="1473"/>
      <c r="AH213" s="1473"/>
      <c r="AI213" s="1473"/>
      <c r="AJ213" s="1473"/>
      <c r="AK213" s="1473"/>
      <c r="AL213" s="1473"/>
      <c r="AM213" s="1473"/>
      <c r="AN213" s="1473"/>
      <c r="AO213" s="1473"/>
      <c r="AP213" s="1473"/>
      <c r="AQ213" s="1473"/>
      <c r="AR213" s="1473"/>
      <c r="AS213" s="1473"/>
      <c r="AT213" s="1473"/>
      <c r="AU213" s="1473"/>
      <c r="AV213" s="1473"/>
      <c r="AW213" s="1473"/>
      <c r="AX213" s="1473"/>
    </row>
    <row r="214" hidden="1" outlineLevel="1">
      <c r="A214" s="1468">
        <v>1.0</v>
      </c>
      <c r="B214" s="1439" t="s">
        <v>3212</v>
      </c>
      <c r="C214" s="1439" t="s">
        <v>3212</v>
      </c>
      <c r="D214" s="1469" t="s">
        <v>3213</v>
      </c>
      <c r="E214" s="1455"/>
      <c r="F214" s="1455"/>
      <c r="G214" s="1455">
        <f>SUMIF(AC_TKNO,$C214,AC_SOTIEN)</f>
        <v>0</v>
      </c>
      <c r="H214" s="1455">
        <f>SUMIF(AC_TKCO,$C214,AC_SOTIEN)</f>
        <v>0</v>
      </c>
      <c r="I214" s="1455" t="str">
        <f t="shared" si="1749"/>
        <v>-</v>
      </c>
      <c r="J214" s="1455" t="str">
        <f t="shared" si="1750"/>
        <v>-</v>
      </c>
      <c r="K214" s="1471"/>
      <c r="L214" s="1463"/>
      <c r="M214" s="1472"/>
      <c r="N214" s="1472"/>
      <c r="O214" s="1472"/>
      <c r="P214" s="1472"/>
      <c r="Q214" s="1473"/>
      <c r="R214" s="1473"/>
      <c r="S214" s="1445"/>
      <c r="T214" s="1445"/>
      <c r="U214" s="1445"/>
      <c r="V214" s="1445"/>
      <c r="W214" s="1445"/>
      <c r="X214" s="1445"/>
      <c r="Y214" s="1473"/>
      <c r="Z214" s="1473"/>
      <c r="AA214" s="1473"/>
      <c r="AB214" s="1473"/>
      <c r="AC214" s="1473"/>
      <c r="AD214" s="1473"/>
      <c r="AE214" s="1473"/>
      <c r="AF214" s="1473"/>
      <c r="AG214" s="1473"/>
      <c r="AH214" s="1473"/>
      <c r="AI214" s="1473"/>
      <c r="AJ214" s="1473"/>
      <c r="AK214" s="1473"/>
      <c r="AL214" s="1473"/>
      <c r="AM214" s="1473"/>
      <c r="AN214" s="1473"/>
      <c r="AO214" s="1473"/>
      <c r="AP214" s="1473"/>
      <c r="AQ214" s="1473"/>
      <c r="AR214" s="1473"/>
      <c r="AS214" s="1473"/>
      <c r="AT214" s="1473"/>
      <c r="AU214" s="1473"/>
      <c r="AV214" s="1473"/>
      <c r="AW214" s="1473"/>
      <c r="AX214" s="1473"/>
    </row>
    <row r="215">
      <c r="A215" s="1468">
        <v>1.0</v>
      </c>
      <c r="B215" s="1439" t="s">
        <v>2948</v>
      </c>
      <c r="C215" s="1439" t="s">
        <v>2948</v>
      </c>
      <c r="D215" s="1469" t="s">
        <v>3214</v>
      </c>
      <c r="E215" s="1455"/>
      <c r="F215" s="1455"/>
      <c r="G215" s="1455">
        <f>SUMIF(AC_TKNO,$C215,AC_SOTIEN)</f>
        <v>0</v>
      </c>
      <c r="H215" s="1455">
        <f>SUMIF(AC_TKCO,$C215,AC_SOTIEN)</f>
        <v>1217020500</v>
      </c>
      <c r="I215" s="1455" t="str">
        <f t="shared" si="1749"/>
        <v>-</v>
      </c>
      <c r="J215" s="1455">
        <f t="shared" si="1750"/>
        <v>1217020500</v>
      </c>
      <c r="K215" s="1471"/>
      <c r="L215" s="1463"/>
      <c r="M215" s="1472"/>
      <c r="N215" s="1472"/>
      <c r="O215" s="1472"/>
      <c r="P215" s="1472"/>
      <c r="Q215" s="1473"/>
      <c r="R215" s="1473"/>
      <c r="S215" s="1445"/>
      <c r="T215" s="1445"/>
      <c r="U215" s="1445"/>
      <c r="V215" s="1445"/>
      <c r="W215" s="1445"/>
      <c r="X215" s="1445"/>
      <c r="Y215" s="1473"/>
      <c r="Z215" s="1473"/>
      <c r="AA215" s="1473"/>
      <c r="AB215" s="1473"/>
      <c r="AC215" s="1473"/>
      <c r="AD215" s="1473"/>
      <c r="AE215" s="1473"/>
      <c r="AF215" s="1473"/>
      <c r="AG215" s="1473"/>
      <c r="AH215" s="1473"/>
      <c r="AI215" s="1473"/>
      <c r="AJ215" s="1473"/>
      <c r="AK215" s="1473"/>
      <c r="AL215" s="1473"/>
      <c r="AM215" s="1473"/>
      <c r="AN215" s="1473"/>
      <c r="AO215" s="1473"/>
      <c r="AP215" s="1473"/>
      <c r="AQ215" s="1473"/>
      <c r="AR215" s="1473"/>
      <c r="AS215" s="1473"/>
      <c r="AT215" s="1473"/>
      <c r="AU215" s="1473"/>
      <c r="AV215" s="1473"/>
      <c r="AW215" s="1473"/>
      <c r="AX215" s="1473"/>
    </row>
    <row r="216">
      <c r="A216" s="1468">
        <v>1.0</v>
      </c>
      <c r="B216" s="1439" t="s">
        <v>2953</v>
      </c>
      <c r="C216" s="1439" t="s">
        <v>2953</v>
      </c>
      <c r="D216" s="1469" t="s">
        <v>1513</v>
      </c>
      <c r="E216" s="1455"/>
      <c r="F216" s="1455"/>
      <c r="G216" s="1455">
        <f>SUMIF(AC_TKNO,$C216,AC_SOTIEN)</f>
        <v>33806286</v>
      </c>
      <c r="H216" s="1455">
        <f>SUMIF(AC_TKCO,$C216,AC_SOTIEN)</f>
        <v>0</v>
      </c>
      <c r="I216" s="1455">
        <f t="shared" si="1749"/>
        <v>33806286</v>
      </c>
      <c r="J216" s="1455" t="str">
        <f t="shared" si="1750"/>
        <v>-</v>
      </c>
      <c r="K216" s="1471"/>
      <c r="L216" s="1463"/>
      <c r="M216" s="1472"/>
      <c r="N216" s="1472"/>
      <c r="O216" s="1472"/>
      <c r="P216" s="1472"/>
      <c r="Q216" s="1473"/>
      <c r="R216" s="1473"/>
      <c r="S216" s="1445"/>
      <c r="T216" s="1445"/>
      <c r="U216" s="1445"/>
      <c r="V216" s="1445"/>
      <c r="W216" s="1445"/>
      <c r="X216" s="1445"/>
      <c r="Y216" s="1473"/>
      <c r="Z216" s="1473"/>
      <c r="AA216" s="1473"/>
      <c r="AB216" s="1473"/>
      <c r="AC216" s="1473"/>
      <c r="AD216" s="1473"/>
      <c r="AE216" s="1473"/>
      <c r="AF216" s="1473"/>
      <c r="AG216" s="1473"/>
      <c r="AH216" s="1473"/>
      <c r="AI216" s="1473"/>
      <c r="AJ216" s="1473"/>
      <c r="AK216" s="1473"/>
      <c r="AL216" s="1473"/>
      <c r="AM216" s="1473"/>
      <c r="AN216" s="1473"/>
      <c r="AO216" s="1473"/>
      <c r="AP216" s="1473"/>
      <c r="AQ216" s="1473"/>
      <c r="AR216" s="1473"/>
      <c r="AS216" s="1473"/>
      <c r="AT216" s="1473"/>
      <c r="AU216" s="1473"/>
      <c r="AV216" s="1473"/>
      <c r="AW216" s="1473"/>
      <c r="AX216" s="1473"/>
    </row>
    <row r="217">
      <c r="A217" s="1468">
        <v>1.0</v>
      </c>
      <c r="B217" s="1439" t="s">
        <v>2955</v>
      </c>
      <c r="C217" s="1439" t="s">
        <v>2955</v>
      </c>
      <c r="D217" s="1469" t="s">
        <v>1515</v>
      </c>
      <c r="E217" s="1455"/>
      <c r="F217" s="1455"/>
      <c r="G217" s="1455">
        <f>SUMIF(AC_TKNO,$C217,AC_SOTIEN)</f>
        <v>496209599</v>
      </c>
      <c r="H217" s="1455">
        <f>SUMIF(AC_TKCO,$C217,AC_SOTIEN)</f>
        <v>1338945024</v>
      </c>
      <c r="I217" s="1455" t="str">
        <f t="shared" si="1749"/>
        <v>-</v>
      </c>
      <c r="J217" s="1455">
        <f t="shared" si="1750"/>
        <v>842735425</v>
      </c>
      <c r="K217" s="1471"/>
      <c r="L217" s="1463"/>
      <c r="M217" s="1472"/>
      <c r="N217" s="1472"/>
      <c r="O217" s="1472"/>
      <c r="P217" s="1472"/>
      <c r="Q217" s="1473"/>
      <c r="R217" s="1473"/>
      <c r="S217" s="1445"/>
      <c r="T217" s="1445"/>
      <c r="U217" s="1445"/>
      <c r="V217" s="1445"/>
      <c r="W217" s="1445"/>
      <c r="X217" s="1445"/>
      <c r="Y217" s="1473"/>
      <c r="Z217" s="1473"/>
      <c r="AA217" s="1473"/>
      <c r="AB217" s="1473"/>
      <c r="AC217" s="1473"/>
      <c r="AD217" s="1473"/>
      <c r="AE217" s="1473"/>
      <c r="AF217" s="1473"/>
      <c r="AG217" s="1473"/>
      <c r="AH217" s="1473"/>
      <c r="AI217" s="1473"/>
      <c r="AJ217" s="1473"/>
      <c r="AK217" s="1473"/>
      <c r="AL217" s="1473"/>
      <c r="AM217" s="1473"/>
      <c r="AN217" s="1473"/>
      <c r="AO217" s="1473"/>
      <c r="AP217" s="1473"/>
      <c r="AQ217" s="1473"/>
      <c r="AR217" s="1473"/>
      <c r="AS217" s="1473"/>
      <c r="AT217" s="1473"/>
      <c r="AU217" s="1473"/>
      <c r="AV217" s="1473"/>
      <c r="AW217" s="1473"/>
      <c r="AX217" s="1473"/>
    </row>
    <row r="218">
      <c r="A218" s="1468">
        <v>1.0</v>
      </c>
      <c r="B218" s="1439" t="s">
        <v>1874</v>
      </c>
      <c r="C218" s="1439" t="s">
        <v>1874</v>
      </c>
      <c r="D218" s="1469" t="s">
        <v>3215</v>
      </c>
      <c r="E218" s="1455"/>
      <c r="F218" s="1455"/>
      <c r="G218" s="1455">
        <f>SUMIF(AC_TKNO,$C218,AC_SOTIEN)</f>
        <v>729414667</v>
      </c>
      <c r="H218" s="1455">
        <f>SUMIF(AC_TKCO,$C218,AC_SOTIEN)</f>
        <v>681857953</v>
      </c>
      <c r="I218" s="1455">
        <f t="shared" si="1749"/>
        <v>47556714</v>
      </c>
      <c r="J218" s="1455" t="str">
        <f t="shared" si="1750"/>
        <v>-</v>
      </c>
      <c r="K218" s="1471"/>
      <c r="L218" s="1463"/>
      <c r="M218" s="1472"/>
      <c r="N218" s="1472"/>
      <c r="O218" s="1472"/>
      <c r="P218" s="1472"/>
      <c r="Q218" s="1473"/>
      <c r="R218" s="1473"/>
      <c r="S218" s="1445"/>
      <c r="T218" s="1445"/>
      <c r="U218" s="1445"/>
      <c r="V218" s="1445"/>
      <c r="W218" s="1445"/>
      <c r="X218" s="1445"/>
      <c r="Y218" s="1473"/>
      <c r="Z218" s="1473"/>
      <c r="AA218" s="1473"/>
      <c r="AB218" s="1473"/>
      <c r="AC218" s="1473"/>
      <c r="AD218" s="1473"/>
      <c r="AE218" s="1473"/>
      <c r="AF218" s="1473"/>
      <c r="AG218" s="1473"/>
      <c r="AH218" s="1473"/>
      <c r="AI218" s="1473"/>
      <c r="AJ218" s="1473"/>
      <c r="AK218" s="1473"/>
      <c r="AL218" s="1473"/>
      <c r="AM218" s="1473"/>
      <c r="AN218" s="1473"/>
      <c r="AO218" s="1473"/>
      <c r="AP218" s="1473"/>
      <c r="AQ218" s="1473"/>
      <c r="AR218" s="1473"/>
      <c r="AS218" s="1473"/>
      <c r="AT218" s="1473"/>
      <c r="AU218" s="1473"/>
      <c r="AV218" s="1473"/>
      <c r="AW218" s="1473"/>
      <c r="AX218" s="1473"/>
    </row>
    <row r="219">
      <c r="A219" s="1468">
        <v>1.0</v>
      </c>
      <c r="B219" s="1439" t="s">
        <v>2959</v>
      </c>
      <c r="C219" s="1439" t="s">
        <v>2959</v>
      </c>
      <c r="D219" s="1469" t="s">
        <v>1517</v>
      </c>
      <c r="E219" s="1455"/>
      <c r="F219" s="1455"/>
      <c r="G219" s="1455">
        <f>SUMIF(AC_TKNO,$C219,AC_SOTIEN)</f>
        <v>0</v>
      </c>
      <c r="H219" s="1455">
        <f>SUMIF(AC_TKCO,$C219,AC_SOTIEN)</f>
        <v>0</v>
      </c>
      <c r="I219" s="1455" t="str">
        <f t="shared" si="1749"/>
        <v>-</v>
      </c>
      <c r="J219" s="1455" t="str">
        <f t="shared" si="1750"/>
        <v>-</v>
      </c>
      <c r="K219" s="1471"/>
      <c r="L219" s="1463"/>
      <c r="M219" s="1472"/>
      <c r="N219" s="1472"/>
      <c r="O219" s="1472"/>
      <c r="P219" s="1472"/>
      <c r="Q219" s="1473"/>
      <c r="R219" s="1473"/>
      <c r="S219" s="1445"/>
      <c r="T219" s="1445"/>
      <c r="U219" s="1445"/>
      <c r="V219" s="1445"/>
      <c r="W219" s="1445"/>
      <c r="X219" s="1445"/>
      <c r="Y219" s="1473"/>
      <c r="Z219" s="1473"/>
      <c r="AA219" s="1473"/>
      <c r="AB219" s="1473"/>
      <c r="AC219" s="1473"/>
      <c r="AD219" s="1473"/>
      <c r="AE219" s="1473"/>
      <c r="AF219" s="1473"/>
      <c r="AG219" s="1473"/>
      <c r="AH219" s="1473"/>
      <c r="AI219" s="1473"/>
      <c r="AJ219" s="1473"/>
      <c r="AK219" s="1473"/>
      <c r="AL219" s="1473"/>
      <c r="AM219" s="1473"/>
      <c r="AN219" s="1473"/>
      <c r="AO219" s="1473"/>
      <c r="AP219" s="1473"/>
      <c r="AQ219" s="1473"/>
      <c r="AR219" s="1473"/>
      <c r="AS219" s="1473"/>
      <c r="AT219" s="1473"/>
      <c r="AU219" s="1473"/>
      <c r="AV219" s="1473"/>
      <c r="AW219" s="1473"/>
      <c r="AX219" s="1473"/>
    </row>
    <row r="220">
      <c r="A220" s="1468">
        <v>1.0</v>
      </c>
      <c r="B220" s="1439" t="s">
        <v>2961</v>
      </c>
      <c r="C220" s="1439" t="s">
        <v>2961</v>
      </c>
      <c r="D220" s="1469" t="s">
        <v>1519</v>
      </c>
      <c r="E220" s="1455"/>
      <c r="F220" s="1455"/>
      <c r="G220" s="1455">
        <f>SUMIF(AC_TKNO,$C220,AC_SOTIEN)</f>
        <v>0</v>
      </c>
      <c r="H220" s="1455">
        <f>SUMIF(AC_TKCO,$C220,AC_SOTIEN)</f>
        <v>0</v>
      </c>
      <c r="I220" s="1455" t="str">
        <f t="shared" si="1749"/>
        <v>-</v>
      </c>
      <c r="J220" s="1455" t="str">
        <f t="shared" si="1750"/>
        <v>-</v>
      </c>
      <c r="K220" s="1471"/>
      <c r="L220" s="1463"/>
      <c r="M220" s="1472"/>
      <c r="N220" s="1472"/>
      <c r="O220" s="1472"/>
      <c r="P220" s="1472"/>
      <c r="Q220" s="1473"/>
      <c r="R220" s="1473"/>
      <c r="S220" s="1445"/>
      <c r="T220" s="1445"/>
      <c r="U220" s="1445"/>
      <c r="V220" s="1445"/>
      <c r="W220" s="1445"/>
      <c r="X220" s="1445"/>
      <c r="Y220" s="1473"/>
      <c r="Z220" s="1473"/>
      <c r="AA220" s="1473"/>
      <c r="AB220" s="1473"/>
      <c r="AC220" s="1473"/>
      <c r="AD220" s="1473"/>
      <c r="AE220" s="1473"/>
      <c r="AF220" s="1473"/>
      <c r="AG220" s="1473"/>
      <c r="AH220" s="1473"/>
      <c r="AI220" s="1473"/>
      <c r="AJ220" s="1473"/>
      <c r="AK220" s="1473"/>
      <c r="AL220" s="1473"/>
      <c r="AM220" s="1473"/>
      <c r="AN220" s="1473"/>
      <c r="AO220" s="1473"/>
      <c r="AP220" s="1473"/>
      <c r="AQ220" s="1473"/>
      <c r="AR220" s="1473"/>
      <c r="AS220" s="1473"/>
      <c r="AT220" s="1473"/>
      <c r="AU220" s="1473"/>
      <c r="AV220" s="1473"/>
      <c r="AW220" s="1473"/>
      <c r="AX220" s="1473"/>
    </row>
    <row r="221">
      <c r="A221" s="1468">
        <v>1.0</v>
      </c>
      <c r="B221" s="1439" t="s">
        <v>2965</v>
      </c>
      <c r="C221" s="1439" t="s">
        <v>2965</v>
      </c>
      <c r="D221" s="1469" t="s">
        <v>1520</v>
      </c>
      <c r="E221" s="1455"/>
      <c r="F221" s="1455"/>
      <c r="G221" s="1455">
        <f>SUMIF(AC_TKNO,$C221,AC_SOTIEN)</f>
        <v>0</v>
      </c>
      <c r="H221" s="1455">
        <f>SUMIF(AC_TKCO,$C221,AC_SOTIEN)</f>
        <v>0</v>
      </c>
      <c r="I221" s="1455" t="str">
        <f t="shared" si="1749"/>
        <v>-</v>
      </c>
      <c r="J221" s="1455" t="str">
        <f t="shared" si="1750"/>
        <v>-</v>
      </c>
      <c r="K221" s="1471"/>
      <c r="L221" s="1463"/>
      <c r="M221" s="1472"/>
      <c r="N221" s="1472"/>
      <c r="O221" s="1472"/>
      <c r="P221" s="1472"/>
      <c r="Q221" s="1473"/>
      <c r="R221" s="1473"/>
      <c r="S221" s="1445"/>
      <c r="T221" s="1445"/>
      <c r="U221" s="1445"/>
      <c r="V221" s="1445"/>
      <c r="W221" s="1445"/>
      <c r="X221" s="1445"/>
      <c r="Y221" s="1473"/>
      <c r="Z221" s="1473"/>
      <c r="AA221" s="1473"/>
      <c r="AB221" s="1473"/>
      <c r="AC221" s="1473"/>
      <c r="AD221" s="1473"/>
      <c r="AE221" s="1473"/>
      <c r="AF221" s="1473"/>
      <c r="AG221" s="1473"/>
      <c r="AH221" s="1473"/>
      <c r="AI221" s="1473"/>
      <c r="AJ221" s="1473"/>
      <c r="AK221" s="1473"/>
      <c r="AL221" s="1473"/>
      <c r="AM221" s="1473"/>
      <c r="AN221" s="1473"/>
      <c r="AO221" s="1473"/>
      <c r="AP221" s="1473"/>
      <c r="AQ221" s="1473"/>
      <c r="AR221" s="1473"/>
      <c r="AS221" s="1473"/>
      <c r="AT221" s="1473"/>
      <c r="AU221" s="1473"/>
      <c r="AV221" s="1473"/>
      <c r="AW221" s="1473"/>
      <c r="AX221" s="1473"/>
    </row>
    <row r="222">
      <c r="A222" s="1468">
        <v>1.0</v>
      </c>
      <c r="B222" s="1439" t="s">
        <v>2943</v>
      </c>
      <c r="C222" s="1439" t="s">
        <v>2943</v>
      </c>
      <c r="D222" s="1469" t="s">
        <v>1522</v>
      </c>
      <c r="E222" s="1455"/>
      <c r="F222" s="1455"/>
      <c r="G222" s="1455">
        <f>SUMIF(AC_TKNO,$C222,AC_SOTIEN)</f>
        <v>3231103477</v>
      </c>
      <c r="H222" s="1455">
        <f>SUMIF(AC_TKCO,$C222,AC_SOTIEN)</f>
        <v>4344612000</v>
      </c>
      <c r="I222" s="1455" t="str">
        <f t="shared" si="1749"/>
        <v>-</v>
      </c>
      <c r="J222" s="1455">
        <f t="shared" si="1750"/>
        <v>1113508523</v>
      </c>
      <c r="K222" s="1471"/>
      <c r="L222" s="1463"/>
      <c r="M222" s="1472"/>
      <c r="N222" s="1472"/>
      <c r="O222" s="1472"/>
      <c r="P222" s="1472"/>
      <c r="Q222" s="1473"/>
      <c r="R222" s="1473"/>
      <c r="S222" s="1445"/>
      <c r="T222" s="1445"/>
      <c r="U222" s="1445"/>
      <c r="V222" s="1445"/>
      <c r="W222" s="1445"/>
      <c r="X222" s="1445"/>
      <c r="Y222" s="1473"/>
      <c r="Z222" s="1473"/>
      <c r="AA222" s="1473"/>
      <c r="AB222" s="1473"/>
      <c r="AC222" s="1473"/>
      <c r="AD222" s="1473"/>
      <c r="AE222" s="1473"/>
      <c r="AF222" s="1473"/>
      <c r="AG222" s="1473"/>
      <c r="AH222" s="1473"/>
      <c r="AI222" s="1473"/>
      <c r="AJ222" s="1473"/>
      <c r="AK222" s="1473"/>
      <c r="AL222" s="1473"/>
      <c r="AM222" s="1473"/>
      <c r="AN222" s="1473"/>
      <c r="AO222" s="1473"/>
      <c r="AP222" s="1473"/>
      <c r="AQ222" s="1473"/>
      <c r="AR222" s="1473"/>
      <c r="AS222" s="1473"/>
      <c r="AT222" s="1473"/>
      <c r="AU222" s="1473"/>
      <c r="AV222" s="1473"/>
      <c r="AW222" s="1473"/>
      <c r="AX222" s="1473"/>
    </row>
    <row r="223">
      <c r="A223" s="1474"/>
      <c r="B223" s="1475"/>
      <c r="C223" s="1475"/>
      <c r="D223" s="1476"/>
      <c r="E223" s="1477">
        <f t="shared" ref="E223:J223" si="1751">SUMIF($A$5:$A$145,"1",E$5:E$151)</f>
        <v>0</v>
      </c>
      <c r="F223" s="1477">
        <f t="shared" si="1751"/>
        <v>0</v>
      </c>
      <c r="G223" s="1477">
        <f t="shared" si="1751"/>
        <v>14994628416</v>
      </c>
      <c r="H223" s="1477">
        <f t="shared" si="1751"/>
        <v>10290700533</v>
      </c>
      <c r="I223" s="1477">
        <f t="shared" si="1751"/>
        <v>6342287364</v>
      </c>
      <c r="J223" s="1477">
        <f t="shared" si="1751"/>
        <v>1638359481</v>
      </c>
      <c r="K223" s="1471">
        <f>SUMIF($E$5:$K$151,1,$K$5:$K$151)</f>
        <v>0</v>
      </c>
      <c r="L223" s="1463"/>
      <c r="M223" s="1472">
        <f t="shared" ref="M223:R223" si="1752">SUMIF($D$5:$D$145,"1",M$5:M$151)</f>
        <v>0</v>
      </c>
      <c r="N223" s="1472">
        <f t="shared" si="1752"/>
        <v>0</v>
      </c>
      <c r="O223" s="1472">
        <f t="shared" si="1752"/>
        <v>0</v>
      </c>
      <c r="P223" s="1472">
        <f t="shared" si="1752"/>
        <v>0</v>
      </c>
      <c r="Q223" s="1473">
        <f t="shared" si="1752"/>
        <v>0</v>
      </c>
      <c r="R223" s="1473">
        <f t="shared" si="1752"/>
        <v>0</v>
      </c>
      <c r="S223" s="1445">
        <f>SUMIF(AG$4:AL$4,S$4,AG223:AL223)</f>
        <v>0</v>
      </c>
      <c r="T223" s="1445">
        <f>SUMIF(AG$4:AL$4,T$4,AG223:AL223)</f>
        <v>0</v>
      </c>
      <c r="U223" s="1445">
        <f>SUMIF(AM$4:AR$4,U$4,AM223:AR223)</f>
        <v>0</v>
      </c>
      <c r="V223" s="1445">
        <f>SUMIF(AM$4:AR$4,V$4,AM223:AR223)</f>
        <v>0</v>
      </c>
      <c r="W223" s="1445">
        <f>SUMIF(AS$4:AX$4,W$4,AS223:AX223)</f>
        <v>0</v>
      </c>
      <c r="X223" s="1445">
        <f>SUMIF(AS$4:AX$4,X$4,AS223:AX223)</f>
        <v>0</v>
      </c>
      <c r="Y223" s="1473">
        <f t="shared" ref="Y223:AX223" si="1753">SUMIF($D$5:$D$145,"1",Y$5:Y$151)</f>
        <v>0</v>
      </c>
      <c r="Z223" s="1473">
        <f t="shared" si="1753"/>
        <v>0</v>
      </c>
      <c r="AA223" s="1473">
        <f t="shared" si="1753"/>
        <v>0</v>
      </c>
      <c r="AB223" s="1473">
        <f t="shared" si="1753"/>
        <v>0</v>
      </c>
      <c r="AC223" s="1473">
        <f t="shared" si="1753"/>
        <v>0</v>
      </c>
      <c r="AD223" s="1473">
        <f t="shared" si="1753"/>
        <v>0</v>
      </c>
      <c r="AE223" s="1473">
        <f t="shared" si="1753"/>
        <v>0</v>
      </c>
      <c r="AF223" s="1473">
        <f t="shared" si="1753"/>
        <v>0</v>
      </c>
      <c r="AG223" s="1473">
        <f t="shared" si="1753"/>
        <v>0</v>
      </c>
      <c r="AH223" s="1473">
        <f t="shared" si="1753"/>
        <v>0</v>
      </c>
      <c r="AI223" s="1473">
        <f t="shared" si="1753"/>
        <v>0</v>
      </c>
      <c r="AJ223" s="1473">
        <f t="shared" si="1753"/>
        <v>0</v>
      </c>
      <c r="AK223" s="1473">
        <f t="shared" si="1753"/>
        <v>0</v>
      </c>
      <c r="AL223" s="1473">
        <f t="shared" si="1753"/>
        <v>0</v>
      </c>
      <c r="AM223" s="1473">
        <f t="shared" si="1753"/>
        <v>0</v>
      </c>
      <c r="AN223" s="1473">
        <f t="shared" si="1753"/>
        <v>0</v>
      </c>
      <c r="AO223" s="1473">
        <f t="shared" si="1753"/>
        <v>0</v>
      </c>
      <c r="AP223" s="1473">
        <f t="shared" si="1753"/>
        <v>0</v>
      </c>
      <c r="AQ223" s="1473">
        <f t="shared" si="1753"/>
        <v>0</v>
      </c>
      <c r="AR223" s="1473">
        <f t="shared" si="1753"/>
        <v>0</v>
      </c>
      <c r="AS223" s="1473">
        <f t="shared" si="1753"/>
        <v>0</v>
      </c>
      <c r="AT223" s="1473">
        <f t="shared" si="1753"/>
        <v>0</v>
      </c>
      <c r="AU223" s="1473">
        <f t="shared" si="1753"/>
        <v>0</v>
      </c>
      <c r="AV223" s="1473">
        <f t="shared" si="1753"/>
        <v>0</v>
      </c>
      <c r="AW223" s="1473">
        <f t="shared" si="1753"/>
        <v>0</v>
      </c>
      <c r="AX223" s="1473">
        <f t="shared" si="1753"/>
        <v>0</v>
      </c>
    </row>
    <row r="224">
      <c r="A224" s="661"/>
      <c r="B224" s="1478"/>
      <c r="C224" s="1478"/>
      <c r="D224" s="661"/>
      <c r="E224" s="661"/>
      <c r="F224" s="661"/>
      <c r="G224" s="661"/>
      <c r="H224" s="661"/>
      <c r="I224" s="661"/>
      <c r="J224" s="661"/>
      <c r="K224" s="661"/>
      <c r="L224" s="661"/>
      <c r="M224" s="661"/>
      <c r="N224" s="661"/>
      <c r="O224" s="661"/>
      <c r="P224" s="661"/>
      <c r="Q224" s="661"/>
      <c r="R224" s="661"/>
      <c r="S224" s="661"/>
      <c r="T224" s="661"/>
      <c r="U224" s="661"/>
      <c r="V224" s="661"/>
      <c r="W224" s="661"/>
      <c r="X224" s="661"/>
      <c r="Y224" s="661"/>
      <c r="Z224" s="661"/>
      <c r="AA224" s="661"/>
      <c r="AB224" s="661"/>
      <c r="AC224" s="661"/>
      <c r="AD224" s="661"/>
      <c r="AE224" s="661"/>
      <c r="AF224" s="661"/>
      <c r="AG224" s="661"/>
      <c r="AH224" s="661"/>
      <c r="AI224" s="661"/>
      <c r="AJ224" s="661"/>
      <c r="AK224" s="661"/>
      <c r="AL224" s="661"/>
      <c r="AM224" s="661"/>
      <c r="AN224" s="661"/>
      <c r="AO224" s="661"/>
      <c r="AP224" s="661"/>
      <c r="AQ224" s="661"/>
      <c r="AR224" s="661"/>
      <c r="AS224" s="661"/>
      <c r="AT224" s="661"/>
      <c r="AU224" s="661"/>
      <c r="AV224" s="661"/>
      <c r="AW224" s="661"/>
      <c r="AX224" s="661"/>
    </row>
  </sheetData>
  <mergeCells count="32">
    <mergeCell ref="B3:C3"/>
    <mergeCell ref="E3:F3"/>
    <mergeCell ref="G3:H3"/>
    <mergeCell ref="I3:J3"/>
    <mergeCell ref="B1:D1"/>
    <mergeCell ref="E1:F1"/>
    <mergeCell ref="G1:H1"/>
    <mergeCell ref="I1:J1"/>
    <mergeCell ref="K1:K2"/>
    <mergeCell ref="B2:J2"/>
    <mergeCell ref="A3:A4"/>
    <mergeCell ref="K3:K4"/>
    <mergeCell ref="L3:L4"/>
    <mergeCell ref="M3:N3"/>
    <mergeCell ref="O3:P3"/>
    <mergeCell ref="Q3:R3"/>
    <mergeCell ref="S3:T3"/>
    <mergeCell ref="U3:V3"/>
    <mergeCell ref="AK3:AL3"/>
    <mergeCell ref="AM3:AN3"/>
    <mergeCell ref="AO3:AP3"/>
    <mergeCell ref="AQ3:AR3"/>
    <mergeCell ref="AS3:AT3"/>
    <mergeCell ref="AU3:AV3"/>
    <mergeCell ref="AW3:AX3"/>
    <mergeCell ref="W3:X3"/>
    <mergeCell ref="Y3:Z3"/>
    <mergeCell ref="AA3:AB3"/>
    <mergeCell ref="AC3:AD3"/>
    <mergeCell ref="AE3:AF3"/>
    <mergeCell ref="AG3:AH3"/>
    <mergeCell ref="AI3:AJ3"/>
  </mergeCells>
  <conditionalFormatting sqref="G1:J1">
    <cfRule type="notContainsBlanks" dxfId="13" priority="1">
      <formula>LEN(TRIM(G1))&gt;0</formula>
    </cfRule>
  </conditionalFormatting>
  <drawing r:id="rId2"/>
  <legacyDrawing r:id="rId3"/>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7.57"/>
    <col customWidth="1" min="2" max="2" width="35.57"/>
    <col customWidth="1" min="3" max="3" width="8.57"/>
    <col customWidth="1" min="5" max="5" width="10.0"/>
    <col customWidth="1" min="7" max="7" width="8.57"/>
    <col customWidth="1" min="8" max="8" width="10.14"/>
    <col customWidth="1" min="9" max="9" width="16.43"/>
    <col customWidth="1" min="10" max="10" width="9.43"/>
    <col customWidth="1" min="11" max="11" width="9.57"/>
    <col customWidth="1" min="13" max="14" width="9.29"/>
  </cols>
  <sheetData>
    <row r="1">
      <c r="A1" s="1479"/>
      <c r="B1" s="1479"/>
      <c r="C1" s="1479"/>
      <c r="D1" s="1480"/>
      <c r="E1" s="1481"/>
      <c r="F1" s="1480" t="str">
        <f>IF(F188-F110&lt;&gt;0,"TS&amp;NV đầu kỳ chưa cân, cần ktra lại","")</f>
        <v/>
      </c>
      <c r="G1" s="1479"/>
      <c r="H1" s="1479"/>
      <c r="I1" s="1480" t="str">
        <f>IF(I188-I110&lt;&gt;0,"TS&amp;NV cuối kỳ chưa cân, cần ktra lại","")</f>
        <v>TS&amp;NV cuối kỳ chưa cân, cần ktra lại</v>
      </c>
      <c r="J1" s="1482"/>
      <c r="K1" s="1479"/>
      <c r="L1" s="1479"/>
      <c r="M1" s="1479"/>
      <c r="N1" s="1483"/>
    </row>
    <row r="2" ht="24.75" customHeight="1">
      <c r="A2" s="1484"/>
      <c r="B2" s="1484"/>
      <c r="C2" s="1484"/>
      <c r="D2" s="1485"/>
      <c r="E2" s="1486"/>
      <c r="F2" s="1487" t="s">
        <v>3216</v>
      </c>
      <c r="G2" s="1484"/>
      <c r="H2" s="1484"/>
      <c r="I2" s="1484"/>
      <c r="J2" s="1488"/>
      <c r="K2" s="1484"/>
      <c r="L2" s="1484"/>
      <c r="M2" s="1484"/>
      <c r="N2" s="1489"/>
    </row>
    <row r="3">
      <c r="A3" s="1490"/>
      <c r="B3" s="1491"/>
      <c r="C3" s="1491"/>
      <c r="D3" s="1492"/>
      <c r="E3" s="1493"/>
      <c r="F3" s="1492"/>
      <c r="G3" s="1494"/>
      <c r="H3" s="1495"/>
      <c r="I3" s="1496"/>
      <c r="J3" s="1497"/>
      <c r="K3" s="1497"/>
      <c r="L3" s="1498"/>
      <c r="M3" s="1499"/>
      <c r="N3" s="1500"/>
    </row>
    <row r="4">
      <c r="A4" s="1501" t="s">
        <v>1526</v>
      </c>
      <c r="B4" s="1502" t="s">
        <v>2936</v>
      </c>
      <c r="C4" s="1502" t="s">
        <v>3217</v>
      </c>
      <c r="D4" s="1503" t="s">
        <v>1841</v>
      </c>
      <c r="E4" s="1502" t="s">
        <v>1838</v>
      </c>
      <c r="F4" s="1504">
        <v>44562.0</v>
      </c>
      <c r="G4" s="1505" t="s">
        <v>3218</v>
      </c>
      <c r="H4" s="1505" t="s">
        <v>3219</v>
      </c>
      <c r="I4" s="1504">
        <v>44593.0</v>
      </c>
      <c r="J4" s="1506" t="s">
        <v>3218</v>
      </c>
      <c r="K4" s="1505" t="s">
        <v>3219</v>
      </c>
      <c r="L4" s="1505" t="s">
        <v>3220</v>
      </c>
      <c r="M4" s="1507" t="s">
        <v>2056</v>
      </c>
      <c r="N4" s="1508"/>
    </row>
    <row r="5">
      <c r="A5" s="1509">
        <v>5.0</v>
      </c>
      <c r="B5" s="1510" t="s">
        <v>3221</v>
      </c>
      <c r="C5" s="1511" t="s">
        <v>3222</v>
      </c>
      <c r="D5" s="1512" t="s">
        <v>3223</v>
      </c>
      <c r="E5" s="1513" t="s">
        <v>2214</v>
      </c>
      <c r="F5" s="1514">
        <f>F6+F16+F23+F41+F52</f>
        <v>0</v>
      </c>
      <c r="G5" s="1515" t="str">
        <f t="shared" ref="G5:G189" si="1">IFERROR(F5/F$110,"")</f>
        <v/>
      </c>
      <c r="H5" s="1515" t="str">
        <f>G5</f>
        <v/>
      </c>
      <c r="I5" s="1514">
        <f>I6+I16+I23+I41+I52</f>
        <v>4198337156</v>
      </c>
      <c r="J5" s="1516">
        <f t="shared" ref="J5:J189" si="2">IFERROR(I5/I$110,"")</f>
        <v>0.5987777039</v>
      </c>
      <c r="K5" s="1517">
        <f>J5</f>
        <v>0.5987777039</v>
      </c>
      <c r="L5" s="1518">
        <f t="shared" ref="L5:L10" si="3">I5-F5</f>
        <v>4198337156</v>
      </c>
      <c r="M5" s="1515" t="str">
        <f t="shared" ref="M5:M189" si="4">IFERROR(L5/F5,"")</f>
        <v/>
      </c>
      <c r="N5" s="1519"/>
    </row>
    <row r="6">
      <c r="A6" s="1520">
        <v>10.0</v>
      </c>
      <c r="B6" s="1521" t="s">
        <v>3224</v>
      </c>
      <c r="C6" s="1522" t="s">
        <v>3225</v>
      </c>
      <c r="D6" s="1523" t="s">
        <v>3226</v>
      </c>
      <c r="E6" s="1524" t="s">
        <v>2214</v>
      </c>
      <c r="F6" s="1525">
        <f>F7+F13</f>
        <v>0</v>
      </c>
      <c r="G6" s="1526" t="str">
        <f t="shared" si="1"/>
        <v/>
      </c>
      <c r="H6" s="1526" t="str">
        <f>IFERROR(F6/F$5,"")</f>
        <v/>
      </c>
      <c r="I6" s="1527">
        <f>I7+I13</f>
        <v>1173088710</v>
      </c>
      <c r="J6" s="1528">
        <f t="shared" si="2"/>
        <v>0.1673089459</v>
      </c>
      <c r="K6" s="1529">
        <f>IFERROR(I6/I$5,"")</f>
        <v>0.2794174613</v>
      </c>
      <c r="L6" s="1530">
        <f t="shared" si="3"/>
        <v>1173088710</v>
      </c>
      <c r="M6" s="1531" t="str">
        <f t="shared" si="4"/>
        <v/>
      </c>
      <c r="N6" s="1532"/>
    </row>
    <row r="7">
      <c r="A7" s="1533">
        <v>15.0</v>
      </c>
      <c r="B7" s="1534" t="s">
        <v>3227</v>
      </c>
      <c r="C7" s="1524" t="s">
        <v>2980</v>
      </c>
      <c r="D7" s="1535" t="s">
        <v>3228</v>
      </c>
      <c r="E7" s="1524" t="s">
        <v>2214</v>
      </c>
      <c r="F7" s="1536">
        <f>SUM(F8:F10)</f>
        <v>0</v>
      </c>
      <c r="G7" s="1537" t="str">
        <f t="shared" si="1"/>
        <v/>
      </c>
      <c r="H7" s="1538"/>
      <c r="I7" s="1539">
        <f>SUM(I8:I10)</f>
        <v>1173088710</v>
      </c>
      <c r="J7" s="1540">
        <f t="shared" si="2"/>
        <v>0.1673089459</v>
      </c>
      <c r="K7" s="1541"/>
      <c r="L7" s="1542">
        <f t="shared" si="3"/>
        <v>1173088710</v>
      </c>
      <c r="M7" s="1531" t="str">
        <f t="shared" si="4"/>
        <v/>
      </c>
      <c r="N7" s="1532"/>
    </row>
    <row r="8">
      <c r="A8" s="1533">
        <v>20.0</v>
      </c>
      <c r="B8" s="1534" t="s">
        <v>3229</v>
      </c>
      <c r="C8" s="1524" t="s">
        <v>2214</v>
      </c>
      <c r="D8" s="1535" t="s">
        <v>2214</v>
      </c>
      <c r="E8" s="1543" t="s">
        <v>1328</v>
      </c>
      <c r="F8" s="1536">
        <f>SUMIF(MA_CODE,$E8,SDNDK)</f>
        <v>0</v>
      </c>
      <c r="G8" s="1537" t="str">
        <f t="shared" si="1"/>
        <v/>
      </c>
      <c r="H8" s="1538"/>
      <c r="I8" s="1539">
        <f>SUMIF(MA_CODE,$E8,SDNCK)</f>
        <v>1173088710</v>
      </c>
      <c r="J8" s="1540">
        <f t="shared" si="2"/>
        <v>0.1673089459</v>
      </c>
      <c r="K8" s="1541"/>
      <c r="L8" s="1542">
        <f t="shared" si="3"/>
        <v>1173088710</v>
      </c>
      <c r="M8" s="1531" t="str">
        <f t="shared" si="4"/>
        <v/>
      </c>
      <c r="N8" s="1532"/>
    </row>
    <row r="9">
      <c r="A9" s="1533">
        <v>25.0</v>
      </c>
      <c r="B9" s="1534" t="s">
        <v>3230</v>
      </c>
      <c r="C9" s="1524" t="s">
        <v>2214</v>
      </c>
      <c r="D9" s="1535" t="s">
        <v>2214</v>
      </c>
      <c r="E9" s="1524" t="s">
        <v>2991</v>
      </c>
      <c r="F9" s="1536">
        <f>SUMIF(MA_CODE,$E9,SDNDK)</f>
        <v>0</v>
      </c>
      <c r="G9" s="1537" t="str">
        <f t="shared" si="1"/>
        <v/>
      </c>
      <c r="H9" s="1538"/>
      <c r="I9" s="1539">
        <f>SUMIF(MA_CODE,$E9,SDNCK)</f>
        <v>0</v>
      </c>
      <c r="J9" s="1540">
        <f t="shared" si="2"/>
        <v>0</v>
      </c>
      <c r="K9" s="1541"/>
      <c r="L9" s="1542">
        <f t="shared" si="3"/>
        <v>0</v>
      </c>
      <c r="M9" s="1531" t="str">
        <f t="shared" si="4"/>
        <v/>
      </c>
      <c r="N9" s="1532"/>
    </row>
    <row r="10">
      <c r="A10" s="1533">
        <v>30.0</v>
      </c>
      <c r="B10" s="1534" t="s">
        <v>3231</v>
      </c>
      <c r="C10" s="1524" t="s">
        <v>2214</v>
      </c>
      <c r="D10" s="1535" t="s">
        <v>2214</v>
      </c>
      <c r="E10" s="1524" t="s">
        <v>2987</v>
      </c>
      <c r="F10" s="1536">
        <f>SUMIF(MA_CODE,$E10,SDNDK)</f>
        <v>0</v>
      </c>
      <c r="G10" s="1537" t="str">
        <f t="shared" si="1"/>
        <v/>
      </c>
      <c r="H10" s="1538"/>
      <c r="I10" s="1539">
        <f>SUMIF(MA_CODE,$E10,SDNCK)</f>
        <v>0</v>
      </c>
      <c r="J10" s="1540">
        <f t="shared" si="2"/>
        <v>0</v>
      </c>
      <c r="K10" s="1541"/>
      <c r="L10" s="1542">
        <f t="shared" si="3"/>
        <v>0</v>
      </c>
      <c r="M10" s="1531" t="str">
        <f t="shared" si="4"/>
        <v/>
      </c>
      <c r="N10" s="1532"/>
    </row>
    <row r="11">
      <c r="A11" s="1544"/>
      <c r="B11" s="1545"/>
      <c r="C11" s="1524"/>
      <c r="D11" s="1524"/>
      <c r="E11" s="1546"/>
      <c r="F11" s="1536">
        <f>SUMIF(MATK,$E11,SDNDK)</f>
        <v>0</v>
      </c>
      <c r="G11" s="1537" t="str">
        <f t="shared" si="1"/>
        <v/>
      </c>
      <c r="H11" s="1538"/>
      <c r="I11" s="1539">
        <f>SUMIF(MATK,$E11,SDNDK)</f>
        <v>0</v>
      </c>
      <c r="J11" s="1541">
        <f t="shared" si="2"/>
        <v>0</v>
      </c>
      <c r="K11" s="1541"/>
      <c r="L11" s="1547"/>
      <c r="M11" s="1531" t="str">
        <f t="shared" si="4"/>
        <v/>
      </c>
      <c r="N11" s="1532"/>
    </row>
    <row r="12">
      <c r="A12" s="1544"/>
      <c r="B12" s="1545"/>
      <c r="C12" s="1524"/>
      <c r="D12" s="1524"/>
      <c r="E12" s="1546"/>
      <c r="F12" s="1536">
        <f>SUMIF(MATK,$E12,SDNDK)</f>
        <v>0</v>
      </c>
      <c r="G12" s="1537" t="str">
        <f t="shared" si="1"/>
        <v/>
      </c>
      <c r="H12" s="1538"/>
      <c r="I12" s="1539">
        <f>SUMIF(MATK,$E12,SDNDK)</f>
        <v>0</v>
      </c>
      <c r="J12" s="1541">
        <f t="shared" si="2"/>
        <v>0</v>
      </c>
      <c r="K12" s="1541"/>
      <c r="L12" s="1547"/>
      <c r="M12" s="1531" t="str">
        <f t="shared" si="4"/>
        <v/>
      </c>
      <c r="N12" s="1532"/>
    </row>
    <row r="13">
      <c r="A13" s="1533">
        <v>35.0</v>
      </c>
      <c r="B13" s="1534" t="s">
        <v>3232</v>
      </c>
      <c r="C13" s="1524" t="s">
        <v>2987</v>
      </c>
      <c r="D13" s="1535" t="s">
        <v>3233</v>
      </c>
      <c r="E13" s="1524" t="s">
        <v>2214</v>
      </c>
      <c r="F13" s="1536">
        <f>SUM(F14:F15)</f>
        <v>0</v>
      </c>
      <c r="G13" s="1537" t="str">
        <f t="shared" si="1"/>
        <v/>
      </c>
      <c r="H13" s="1538"/>
      <c r="I13" s="1539">
        <f>SUM(I14:I15)</f>
        <v>0</v>
      </c>
      <c r="J13" s="1540">
        <f t="shared" si="2"/>
        <v>0</v>
      </c>
      <c r="K13" s="1541"/>
      <c r="L13" s="1542">
        <f t="shared" ref="L13:L110" si="5">I13-F13</f>
        <v>0</v>
      </c>
      <c r="M13" s="1531" t="str">
        <f t="shared" si="4"/>
        <v/>
      </c>
      <c r="N13" s="1532"/>
    </row>
    <row r="14">
      <c r="A14" s="1533">
        <v>40.0</v>
      </c>
      <c r="B14" s="1548" t="s">
        <v>3234</v>
      </c>
      <c r="C14" s="1524" t="s">
        <v>2214</v>
      </c>
      <c r="D14" s="1535" t="s">
        <v>2214</v>
      </c>
      <c r="E14" s="1524" t="s">
        <v>3235</v>
      </c>
      <c r="F14" s="1536">
        <f>SUMIF(MA_CODE,$E14,SDNDK)</f>
        <v>0</v>
      </c>
      <c r="G14" s="1537" t="str">
        <f t="shared" si="1"/>
        <v/>
      </c>
      <c r="H14" s="1538"/>
      <c r="I14" s="1539">
        <f>SUMIF(MA_CODE,$E14,SDNCK)</f>
        <v>0</v>
      </c>
      <c r="J14" s="1540">
        <f t="shared" si="2"/>
        <v>0</v>
      </c>
      <c r="K14" s="1541"/>
      <c r="L14" s="1542">
        <f t="shared" si="5"/>
        <v>0</v>
      </c>
      <c r="M14" s="1531" t="str">
        <f t="shared" si="4"/>
        <v/>
      </c>
      <c r="N14" s="1532"/>
    </row>
    <row r="15">
      <c r="A15" s="1533">
        <v>45.0</v>
      </c>
      <c r="B15" s="1548" t="s">
        <v>3236</v>
      </c>
      <c r="C15" s="1524" t="s">
        <v>2214</v>
      </c>
      <c r="D15" s="1535" t="s">
        <v>2214</v>
      </c>
      <c r="E15" s="1524" t="s">
        <v>3237</v>
      </c>
      <c r="F15" s="1536">
        <f>SUMIF(MA_CODE,$E15,SDNDK)</f>
        <v>0</v>
      </c>
      <c r="G15" s="1537" t="str">
        <f t="shared" si="1"/>
        <v/>
      </c>
      <c r="H15" s="1538"/>
      <c r="I15" s="1539">
        <f>SUMIF(MA_CODE,$E15,SDNCK)</f>
        <v>0</v>
      </c>
      <c r="J15" s="1540">
        <f t="shared" si="2"/>
        <v>0</v>
      </c>
      <c r="K15" s="1541"/>
      <c r="L15" s="1542">
        <f t="shared" si="5"/>
        <v>0</v>
      </c>
      <c r="M15" s="1531" t="str">
        <f t="shared" si="4"/>
        <v/>
      </c>
      <c r="N15" s="1532"/>
    </row>
    <row r="16">
      <c r="A16" s="1520">
        <v>50.0</v>
      </c>
      <c r="B16" s="1521" t="s">
        <v>3238</v>
      </c>
      <c r="C16" s="1522" t="s">
        <v>3239</v>
      </c>
      <c r="D16" s="1523" t="s">
        <v>3240</v>
      </c>
      <c r="E16" s="1524" t="s">
        <v>2214</v>
      </c>
      <c r="F16" s="1525">
        <f>F17+F18+F19</f>
        <v>0</v>
      </c>
      <c r="G16" s="1526" t="str">
        <f t="shared" si="1"/>
        <v/>
      </c>
      <c r="H16" s="1526" t="str">
        <f>IFERROR(F16/F$5,"")</f>
        <v/>
      </c>
      <c r="I16" s="1527">
        <f>I17+I18+I19</f>
        <v>0</v>
      </c>
      <c r="J16" s="1528">
        <f t="shared" si="2"/>
        <v>0</v>
      </c>
      <c r="K16" s="1529">
        <f>IFERROR(I16/I$5,"")</f>
        <v>0</v>
      </c>
      <c r="L16" s="1530">
        <f t="shared" si="5"/>
        <v>0</v>
      </c>
      <c r="M16" s="1531" t="str">
        <f t="shared" si="4"/>
        <v/>
      </c>
      <c r="N16" s="1532"/>
    </row>
    <row r="17">
      <c r="A17" s="1533">
        <v>55.0</v>
      </c>
      <c r="B17" s="1534" t="s">
        <v>3241</v>
      </c>
      <c r="C17" s="1524" t="s">
        <v>2995</v>
      </c>
      <c r="D17" s="1535" t="s">
        <v>2214</v>
      </c>
      <c r="E17" s="1524" t="s">
        <v>2995</v>
      </c>
      <c r="F17" s="1536">
        <f>SUMIF(MA_CODE,$E17,SDNDK)</f>
        <v>0</v>
      </c>
      <c r="G17" s="1537" t="str">
        <f t="shared" si="1"/>
        <v/>
      </c>
      <c r="H17" s="1538"/>
      <c r="I17" s="1539">
        <f>SUMIF(MA_CODE,$E17,SDNCK)</f>
        <v>0</v>
      </c>
      <c r="J17" s="1540">
        <f t="shared" si="2"/>
        <v>0</v>
      </c>
      <c r="K17" s="1541"/>
      <c r="L17" s="1542">
        <f t="shared" si="5"/>
        <v>0</v>
      </c>
      <c r="M17" s="1531" t="str">
        <f t="shared" si="4"/>
        <v/>
      </c>
      <c r="N17" s="1532"/>
    </row>
    <row r="18">
      <c r="A18" s="1533">
        <v>60.0</v>
      </c>
      <c r="B18" s="1534" t="s">
        <v>3242</v>
      </c>
      <c r="C18" s="1524" t="s">
        <v>3243</v>
      </c>
      <c r="D18" s="1535" t="s">
        <v>2214</v>
      </c>
      <c r="E18" s="1524" t="s">
        <v>1394</v>
      </c>
      <c r="F18" s="1536">
        <f>SUMIF(MA_CODE,$E18,SDNDK)</f>
        <v>0</v>
      </c>
      <c r="G18" s="1537" t="str">
        <f t="shared" si="1"/>
        <v/>
      </c>
      <c r="H18" s="1538"/>
      <c r="I18" s="1539">
        <f>SUMIF(MA_CODE,$E18,SDNCK)</f>
        <v>0</v>
      </c>
      <c r="J18" s="1540">
        <f t="shared" si="2"/>
        <v>0</v>
      </c>
      <c r="K18" s="1541"/>
      <c r="L18" s="1542">
        <f t="shared" si="5"/>
        <v>0</v>
      </c>
      <c r="M18" s="1531" t="str">
        <f t="shared" si="4"/>
        <v/>
      </c>
      <c r="N18" s="1532"/>
    </row>
    <row r="19">
      <c r="A19" s="1533">
        <v>65.0</v>
      </c>
      <c r="B19" s="1534" t="s">
        <v>3244</v>
      </c>
      <c r="C19" s="1524" t="s">
        <v>3245</v>
      </c>
      <c r="D19" s="1535" t="s">
        <v>3246</v>
      </c>
      <c r="E19" s="1524" t="s">
        <v>2214</v>
      </c>
      <c r="F19" s="1536">
        <f>SUM(F20:F22)</f>
        <v>0</v>
      </c>
      <c r="G19" s="1537" t="str">
        <f t="shared" si="1"/>
        <v/>
      </c>
      <c r="H19" s="1538"/>
      <c r="I19" s="1539">
        <f>SUM(I20:I22)</f>
        <v>0</v>
      </c>
      <c r="J19" s="1540">
        <f t="shared" si="2"/>
        <v>0</v>
      </c>
      <c r="K19" s="1541"/>
      <c r="L19" s="1542">
        <f t="shared" si="5"/>
        <v>0</v>
      </c>
      <c r="M19" s="1531" t="str">
        <f t="shared" si="4"/>
        <v/>
      </c>
      <c r="N19" s="1532"/>
    </row>
    <row r="20">
      <c r="A20" s="1533">
        <v>70.0</v>
      </c>
      <c r="B20" s="1534" t="s">
        <v>3247</v>
      </c>
      <c r="C20" s="1524" t="s">
        <v>2214</v>
      </c>
      <c r="D20" s="1535" t="s">
        <v>2214</v>
      </c>
      <c r="E20" s="1524" t="s">
        <v>3248</v>
      </c>
      <c r="F20" s="1536">
        <f>SUMIF(MA_CODE,$E20,SDNDK)</f>
        <v>0</v>
      </c>
      <c r="G20" s="1537" t="str">
        <f t="shared" si="1"/>
        <v/>
      </c>
      <c r="H20" s="1538"/>
      <c r="I20" s="1539">
        <f>SUMIF(MA_CODE,$E20,SDNCK)</f>
        <v>0</v>
      </c>
      <c r="J20" s="1540">
        <f t="shared" si="2"/>
        <v>0</v>
      </c>
      <c r="K20" s="1541"/>
      <c r="L20" s="1542">
        <f t="shared" si="5"/>
        <v>0</v>
      </c>
      <c r="M20" s="1531" t="str">
        <f t="shared" si="4"/>
        <v/>
      </c>
      <c r="N20" s="1532"/>
    </row>
    <row r="21">
      <c r="A21" s="1533">
        <v>75.0</v>
      </c>
      <c r="B21" s="1534" t="s">
        <v>3249</v>
      </c>
      <c r="C21" s="1524" t="s">
        <v>2214</v>
      </c>
      <c r="D21" s="1535" t="s">
        <v>2214</v>
      </c>
      <c r="E21" s="1524" t="s">
        <v>3250</v>
      </c>
      <c r="F21" s="1536">
        <f>SUMIF(MA_CODE,$E21,SDNDK)</f>
        <v>0</v>
      </c>
      <c r="G21" s="1537" t="str">
        <f t="shared" si="1"/>
        <v/>
      </c>
      <c r="H21" s="1538"/>
      <c r="I21" s="1539">
        <f>SUMIF(MA_CODE,$E21,SDNCK)</f>
        <v>0</v>
      </c>
      <c r="J21" s="1540">
        <f t="shared" si="2"/>
        <v>0</v>
      </c>
      <c r="K21" s="1541"/>
      <c r="L21" s="1542">
        <f t="shared" si="5"/>
        <v>0</v>
      </c>
      <c r="M21" s="1531" t="str">
        <f t="shared" si="4"/>
        <v/>
      </c>
      <c r="N21" s="1532"/>
    </row>
    <row r="22">
      <c r="A22" s="1533">
        <v>80.0</v>
      </c>
      <c r="B22" s="1534" t="s">
        <v>3251</v>
      </c>
      <c r="C22" s="1524" t="s">
        <v>2214</v>
      </c>
      <c r="D22" s="1535" t="s">
        <v>2214</v>
      </c>
      <c r="E22" s="1524" t="s">
        <v>3252</v>
      </c>
      <c r="F22" s="1536">
        <f>SUMIF(MA_CODE,$E22,SDNDK)</f>
        <v>0</v>
      </c>
      <c r="G22" s="1537" t="str">
        <f t="shared" si="1"/>
        <v/>
      </c>
      <c r="H22" s="1538"/>
      <c r="I22" s="1539">
        <f>SUMIF(MA_CODE,$E22,SDNCK)</f>
        <v>0</v>
      </c>
      <c r="J22" s="1540">
        <f t="shared" si="2"/>
        <v>0</v>
      </c>
      <c r="K22" s="1541"/>
      <c r="L22" s="1542">
        <f t="shared" si="5"/>
        <v>0</v>
      </c>
      <c r="M22" s="1531" t="str">
        <f t="shared" si="4"/>
        <v/>
      </c>
      <c r="N22" s="1532"/>
    </row>
    <row r="23">
      <c r="A23" s="1520">
        <v>85.0</v>
      </c>
      <c r="B23" s="1521" t="s">
        <v>3253</v>
      </c>
      <c r="C23" s="1522" t="s">
        <v>3254</v>
      </c>
      <c r="D23" s="1523" t="s">
        <v>3255</v>
      </c>
      <c r="E23" s="1524"/>
      <c r="F23" s="1536">
        <f>F24+F25+F26+F30+F31+F32+F39+F40</f>
        <v>0</v>
      </c>
      <c r="G23" s="1537" t="str">
        <f t="shared" si="1"/>
        <v/>
      </c>
      <c r="H23" s="1526" t="str">
        <f>IFERROR(F23/F$5,"")</f>
        <v/>
      </c>
      <c r="I23" s="1539">
        <f>I24+I25+I26+I30+I31+I32+I39+I40</f>
        <v>712073435</v>
      </c>
      <c r="J23" s="1540">
        <f t="shared" si="2"/>
        <v>0.101557755</v>
      </c>
      <c r="K23" s="1549">
        <f>IFERROR(I23/I$5,"")</f>
        <v>0.1696084446</v>
      </c>
      <c r="L23" s="1542">
        <f t="shared" si="5"/>
        <v>712073435</v>
      </c>
      <c r="M23" s="1531" t="str">
        <f t="shared" si="4"/>
        <v/>
      </c>
      <c r="N23" s="1532"/>
    </row>
    <row r="24">
      <c r="A24" s="1533">
        <v>90.0</v>
      </c>
      <c r="B24" s="1534" t="s">
        <v>3256</v>
      </c>
      <c r="C24" s="1524" t="s">
        <v>3010</v>
      </c>
      <c r="D24" s="1535" t="s">
        <v>2214</v>
      </c>
      <c r="E24" s="1543" t="s">
        <v>3010</v>
      </c>
      <c r="F24" s="1536">
        <f>SUMIF(MA_CODE,$E24,SDNDK)</f>
        <v>0</v>
      </c>
      <c r="G24" s="1537" t="str">
        <f t="shared" si="1"/>
        <v/>
      </c>
      <c r="H24" s="1538"/>
      <c r="I24" s="1539">
        <f>SUMIF(MA_CODE,$E24,SDNCK)</f>
        <v>212073435</v>
      </c>
      <c r="J24" s="1540">
        <f t="shared" si="2"/>
        <v>0.03024646181</v>
      </c>
      <c r="K24" s="1541"/>
      <c r="L24" s="1542">
        <f t="shared" si="5"/>
        <v>212073435</v>
      </c>
      <c r="M24" s="1531" t="str">
        <f t="shared" si="4"/>
        <v/>
      </c>
      <c r="N24" s="1532"/>
    </row>
    <row r="25">
      <c r="A25" s="1533">
        <v>95.0</v>
      </c>
      <c r="B25" s="1534" t="s">
        <v>3257</v>
      </c>
      <c r="C25" s="1524" t="s">
        <v>3258</v>
      </c>
      <c r="D25" s="1535" t="s">
        <v>2214</v>
      </c>
      <c r="E25" s="1524" t="s">
        <v>1810</v>
      </c>
      <c r="F25" s="1536">
        <f>SUMIF(MA_CODE,$E25,SDNDK)</f>
        <v>0</v>
      </c>
      <c r="G25" s="1537" t="str">
        <f t="shared" si="1"/>
        <v/>
      </c>
      <c r="H25" s="1538"/>
      <c r="I25" s="1539">
        <f>SUMIF(MA_CODE,$E25,SDNCK)</f>
        <v>0</v>
      </c>
      <c r="J25" s="1540">
        <f t="shared" si="2"/>
        <v>0</v>
      </c>
      <c r="K25" s="1541"/>
      <c r="L25" s="1542">
        <f t="shared" si="5"/>
        <v>0</v>
      </c>
      <c r="M25" s="1531" t="str">
        <f t="shared" si="4"/>
        <v/>
      </c>
      <c r="N25" s="1532"/>
    </row>
    <row r="26">
      <c r="A26" s="1533">
        <v>100.0</v>
      </c>
      <c r="B26" s="1534" t="s">
        <v>3259</v>
      </c>
      <c r="C26" s="1524" t="s">
        <v>1890</v>
      </c>
      <c r="D26" s="1535" t="s">
        <v>3260</v>
      </c>
      <c r="E26" s="1524" t="s">
        <v>2214</v>
      </c>
      <c r="F26" s="1536">
        <f>SUM(F27:F29)</f>
        <v>0</v>
      </c>
      <c r="G26" s="1537" t="str">
        <f t="shared" si="1"/>
        <v/>
      </c>
      <c r="H26" s="1538"/>
      <c r="I26" s="1539">
        <f>SUM(I27:I29)</f>
        <v>0</v>
      </c>
      <c r="J26" s="1540">
        <f t="shared" si="2"/>
        <v>0</v>
      </c>
      <c r="K26" s="1541"/>
      <c r="L26" s="1542">
        <f t="shared" si="5"/>
        <v>0</v>
      </c>
      <c r="M26" s="1531" t="str">
        <f t="shared" si="4"/>
        <v/>
      </c>
      <c r="N26" s="1532"/>
    </row>
    <row r="27">
      <c r="A27" s="1533">
        <v>105.0</v>
      </c>
      <c r="B27" s="1534" t="s">
        <v>3261</v>
      </c>
      <c r="C27" s="1524" t="s">
        <v>2214</v>
      </c>
      <c r="D27" s="1535" t="s">
        <v>2214</v>
      </c>
      <c r="E27" s="1524" t="s">
        <v>3020</v>
      </c>
      <c r="F27" s="1536">
        <f>SUMIF(MA_CODE,$E27,SDNDK)</f>
        <v>0</v>
      </c>
      <c r="G27" s="1537" t="str">
        <f t="shared" si="1"/>
        <v/>
      </c>
      <c r="H27" s="1538"/>
      <c r="I27" s="1539">
        <f>SUMIF(MA_CODE,$E27,SDNCK)</f>
        <v>0</v>
      </c>
      <c r="J27" s="1540">
        <f t="shared" si="2"/>
        <v>0</v>
      </c>
      <c r="K27" s="1541"/>
      <c r="L27" s="1542">
        <f t="shared" si="5"/>
        <v>0</v>
      </c>
      <c r="M27" s="1531" t="str">
        <f t="shared" si="4"/>
        <v/>
      </c>
      <c r="N27" s="1532"/>
    </row>
    <row r="28">
      <c r="A28" s="1533">
        <v>110.0</v>
      </c>
      <c r="B28" s="1534" t="s">
        <v>3262</v>
      </c>
      <c r="C28" s="1524" t="s">
        <v>2214</v>
      </c>
      <c r="D28" s="1535" t="s">
        <v>2214</v>
      </c>
      <c r="E28" s="1524" t="s">
        <v>3022</v>
      </c>
      <c r="F28" s="1536">
        <f>SUMIF(MA_CODE,$E28,SDNDK)</f>
        <v>0</v>
      </c>
      <c r="G28" s="1537" t="str">
        <f t="shared" si="1"/>
        <v/>
      </c>
      <c r="H28" s="1538"/>
      <c r="I28" s="1539">
        <f>SUMIF(MA_CODE,$E28,SDNCK)</f>
        <v>0</v>
      </c>
      <c r="J28" s="1540">
        <f t="shared" si="2"/>
        <v>0</v>
      </c>
      <c r="K28" s="1541"/>
      <c r="L28" s="1542">
        <f t="shared" si="5"/>
        <v>0</v>
      </c>
      <c r="M28" s="1531" t="str">
        <f t="shared" si="4"/>
        <v/>
      </c>
      <c r="N28" s="1532"/>
    </row>
    <row r="29">
      <c r="A29" s="1533">
        <v>115.0</v>
      </c>
      <c r="B29" s="1534" t="s">
        <v>3263</v>
      </c>
      <c r="C29" s="1524" t="s">
        <v>2214</v>
      </c>
      <c r="D29" s="1535" t="s">
        <v>2214</v>
      </c>
      <c r="E29" s="1524" t="s">
        <v>1353</v>
      </c>
      <c r="F29" s="1536">
        <f>SUMIF(MA_CODE,$E29,SDNDK)</f>
        <v>0</v>
      </c>
      <c r="G29" s="1537" t="str">
        <f t="shared" si="1"/>
        <v/>
      </c>
      <c r="H29" s="1538"/>
      <c r="I29" s="1539">
        <f>SUMIF(MA_CODE,$E29,SDNCK)</f>
        <v>0</v>
      </c>
      <c r="J29" s="1540">
        <f t="shared" si="2"/>
        <v>0</v>
      </c>
      <c r="K29" s="1541"/>
      <c r="L29" s="1542">
        <f t="shared" si="5"/>
        <v>0</v>
      </c>
      <c r="M29" s="1531" t="str">
        <f t="shared" si="4"/>
        <v/>
      </c>
      <c r="N29" s="1532"/>
    </row>
    <row r="30">
      <c r="A30" s="1533">
        <v>120.0</v>
      </c>
      <c r="B30" s="1534" t="s">
        <v>3264</v>
      </c>
      <c r="C30" s="1524" t="s">
        <v>3265</v>
      </c>
      <c r="D30" s="1535" t="s">
        <v>2214</v>
      </c>
      <c r="E30" s="1524" t="s">
        <v>3122</v>
      </c>
      <c r="F30" s="1536">
        <f>SUMIF(MA_CODE,$E30,SDNDK)</f>
        <v>0</v>
      </c>
      <c r="G30" s="1537" t="str">
        <f t="shared" si="1"/>
        <v/>
      </c>
      <c r="H30" s="1538"/>
      <c r="I30" s="1539">
        <f>SUMIF(MA_CODE,$E30,SDNCK)</f>
        <v>0</v>
      </c>
      <c r="J30" s="1540">
        <f t="shared" si="2"/>
        <v>0</v>
      </c>
      <c r="K30" s="1541"/>
      <c r="L30" s="1542">
        <f t="shared" si="5"/>
        <v>0</v>
      </c>
      <c r="M30" s="1531" t="str">
        <f t="shared" si="4"/>
        <v/>
      </c>
      <c r="N30" s="1532"/>
    </row>
    <row r="31">
      <c r="A31" s="1533">
        <v>125.0</v>
      </c>
      <c r="B31" s="1534" t="s">
        <v>3266</v>
      </c>
      <c r="C31" s="1524" t="s">
        <v>3267</v>
      </c>
      <c r="D31" s="1535" t="s">
        <v>2214</v>
      </c>
      <c r="E31" s="1524" t="s">
        <v>3268</v>
      </c>
      <c r="F31" s="1536">
        <f>SUMIF(MA_CODE,$E31,SDNDK)</f>
        <v>0</v>
      </c>
      <c r="G31" s="1537" t="str">
        <f t="shared" si="1"/>
        <v/>
      </c>
      <c r="H31" s="1538"/>
      <c r="I31" s="1539">
        <f>SUMIF(MA_CODE,$E31,SDNCK)</f>
        <v>0</v>
      </c>
      <c r="J31" s="1540">
        <f t="shared" si="2"/>
        <v>0</v>
      </c>
      <c r="K31" s="1541"/>
      <c r="L31" s="1542">
        <f t="shared" si="5"/>
        <v>0</v>
      </c>
      <c r="M31" s="1531" t="str">
        <f t="shared" si="4"/>
        <v/>
      </c>
      <c r="N31" s="1532"/>
    </row>
    <row r="32">
      <c r="A32" s="1533">
        <v>130.0</v>
      </c>
      <c r="B32" s="1534" t="s">
        <v>3269</v>
      </c>
      <c r="C32" s="1524" t="s">
        <v>3017</v>
      </c>
      <c r="D32" s="1535" t="s">
        <v>3270</v>
      </c>
      <c r="E32" s="1524" t="s">
        <v>2214</v>
      </c>
      <c r="F32" s="1536">
        <f>SUM(F33:F38)</f>
        <v>0</v>
      </c>
      <c r="G32" s="1537" t="str">
        <f t="shared" si="1"/>
        <v/>
      </c>
      <c r="H32" s="1538"/>
      <c r="I32" s="1539">
        <f>SUM(I33:I38)</f>
        <v>500000000</v>
      </c>
      <c r="J32" s="1540">
        <f t="shared" si="2"/>
        <v>0.07131129321</v>
      </c>
      <c r="K32" s="1541"/>
      <c r="L32" s="1542">
        <f t="shared" si="5"/>
        <v>500000000</v>
      </c>
      <c r="M32" s="1531" t="str">
        <f t="shared" si="4"/>
        <v/>
      </c>
      <c r="N32" s="1532"/>
    </row>
    <row r="33">
      <c r="A33" s="1533">
        <v>135.0</v>
      </c>
      <c r="B33" s="1534" t="s">
        <v>3271</v>
      </c>
      <c r="C33" s="1524" t="s">
        <v>2214</v>
      </c>
      <c r="D33" s="1535" t="s">
        <v>2214</v>
      </c>
      <c r="E33" s="1524" t="s">
        <v>3024</v>
      </c>
      <c r="F33" s="1536">
        <f>SUMIF(MA_CODE,$E33,SDNDK)</f>
        <v>0</v>
      </c>
      <c r="G33" s="1537" t="str">
        <f t="shared" si="1"/>
        <v/>
      </c>
      <c r="H33" s="1538"/>
      <c r="I33" s="1539">
        <f>SUMIF(MA_CODE,$E33,SDNCK)</f>
        <v>500000000</v>
      </c>
      <c r="J33" s="1540">
        <f t="shared" si="2"/>
        <v>0.07131129321</v>
      </c>
      <c r="K33" s="1541"/>
      <c r="L33" s="1542">
        <f t="shared" si="5"/>
        <v>500000000</v>
      </c>
      <c r="M33" s="1531" t="str">
        <f t="shared" si="4"/>
        <v/>
      </c>
      <c r="N33" s="1532"/>
    </row>
    <row r="34">
      <c r="A34" s="1533">
        <v>140.0</v>
      </c>
      <c r="B34" s="1534" t="s">
        <v>3272</v>
      </c>
      <c r="C34" s="1524" t="s">
        <v>2214</v>
      </c>
      <c r="D34" s="1535" t="s">
        <v>2214</v>
      </c>
      <c r="E34" s="1524" t="s">
        <v>1360</v>
      </c>
      <c r="F34" s="1536">
        <f>SUMIF(MA_CODE,$E34,SDNDK)</f>
        <v>0</v>
      </c>
      <c r="G34" s="1537" t="str">
        <f t="shared" si="1"/>
        <v/>
      </c>
      <c r="H34" s="1538"/>
      <c r="I34" s="1539">
        <f>SUMIF(MA_CODE,$E34,SDNCK)</f>
        <v>0</v>
      </c>
      <c r="J34" s="1540">
        <f t="shared" si="2"/>
        <v>0</v>
      </c>
      <c r="K34" s="1541"/>
      <c r="L34" s="1542">
        <f t="shared" si="5"/>
        <v>0</v>
      </c>
      <c r="M34" s="1531" t="str">
        <f t="shared" si="4"/>
        <v/>
      </c>
      <c r="N34" s="1532"/>
    </row>
    <row r="35">
      <c r="A35" s="1533">
        <v>145.0</v>
      </c>
      <c r="B35" s="1534" t="s">
        <v>3273</v>
      </c>
      <c r="C35" s="1524" t="s">
        <v>2214</v>
      </c>
      <c r="D35" s="1535" t="s">
        <v>2214</v>
      </c>
      <c r="E35" s="1524" t="s">
        <v>3106</v>
      </c>
      <c r="F35" s="1536">
        <f>SUMIF(MA_CODE,$E35,SDNDK)</f>
        <v>0</v>
      </c>
      <c r="G35" s="1537" t="str">
        <f t="shared" si="1"/>
        <v/>
      </c>
      <c r="H35" s="1538"/>
      <c r="I35" s="1539">
        <f>SUMIF(MA_CODE,$E35,SDNCK)</f>
        <v>0</v>
      </c>
      <c r="J35" s="1540">
        <f t="shared" si="2"/>
        <v>0</v>
      </c>
      <c r="K35" s="1541"/>
      <c r="L35" s="1542">
        <f t="shared" si="5"/>
        <v>0</v>
      </c>
      <c r="M35" s="1531" t="str">
        <f t="shared" si="4"/>
        <v/>
      </c>
      <c r="N35" s="1532"/>
    </row>
    <row r="36">
      <c r="A36" s="1533">
        <v>150.0</v>
      </c>
      <c r="B36" s="1534" t="s">
        <v>3274</v>
      </c>
      <c r="C36" s="1524" t="s">
        <v>2214</v>
      </c>
      <c r="D36" s="1535" t="s">
        <v>2214</v>
      </c>
      <c r="E36" s="1543" t="s">
        <v>3124</v>
      </c>
      <c r="F36" s="1536">
        <f>SUMIF(MA_CODE,$E36,SDNDK)</f>
        <v>0</v>
      </c>
      <c r="G36" s="1537" t="str">
        <f t="shared" si="1"/>
        <v/>
      </c>
      <c r="H36" s="1538"/>
      <c r="I36" s="1539">
        <f>SUMIF(MA_CODE,$E36,SDNCK)</f>
        <v>0</v>
      </c>
      <c r="J36" s="1540">
        <f t="shared" si="2"/>
        <v>0</v>
      </c>
      <c r="K36" s="1541"/>
      <c r="L36" s="1542">
        <f t="shared" si="5"/>
        <v>0</v>
      </c>
      <c r="M36" s="1531" t="str">
        <f t="shared" si="4"/>
        <v/>
      </c>
      <c r="N36" s="1532"/>
    </row>
    <row r="37">
      <c r="A37" s="1533">
        <v>155.0</v>
      </c>
      <c r="B37" s="1534" t="s">
        <v>3275</v>
      </c>
      <c r="C37" s="1524" t="s">
        <v>2214</v>
      </c>
      <c r="D37" s="1535" t="s">
        <v>2214</v>
      </c>
      <c r="E37" s="1524" t="s">
        <v>3026</v>
      </c>
      <c r="F37" s="1536">
        <f>SUMIF(MA_CODE,$E37,SDNDK)</f>
        <v>0</v>
      </c>
      <c r="G37" s="1537" t="str">
        <f t="shared" si="1"/>
        <v/>
      </c>
      <c r="H37" s="1538"/>
      <c r="I37" s="1539">
        <f>SUMIF(MA_CODE,$E37,SDNCK)</f>
        <v>0</v>
      </c>
      <c r="J37" s="1540">
        <f t="shared" si="2"/>
        <v>0</v>
      </c>
      <c r="K37" s="1541"/>
      <c r="L37" s="1542">
        <f t="shared" si="5"/>
        <v>0</v>
      </c>
      <c r="M37" s="1531" t="str">
        <f t="shared" si="4"/>
        <v/>
      </c>
      <c r="N37" s="1532"/>
    </row>
    <row r="38">
      <c r="A38" s="1533">
        <v>160.0</v>
      </c>
      <c r="B38" s="1534" t="s">
        <v>3276</v>
      </c>
      <c r="C38" s="1524" t="s">
        <v>2214</v>
      </c>
      <c r="D38" s="1535" t="s">
        <v>2214</v>
      </c>
      <c r="E38" s="1524" t="s">
        <v>3103</v>
      </c>
      <c r="F38" s="1536">
        <f>SUMIF(MA_CODE,$E38,SDNDK)</f>
        <v>0</v>
      </c>
      <c r="G38" s="1537" t="str">
        <f t="shared" si="1"/>
        <v/>
      </c>
      <c r="H38" s="1538"/>
      <c r="I38" s="1539">
        <f>SUMIF(MA_CODE,$E38,SDNCK)</f>
        <v>0</v>
      </c>
      <c r="J38" s="1540">
        <f t="shared" si="2"/>
        <v>0</v>
      </c>
      <c r="K38" s="1541"/>
      <c r="L38" s="1542">
        <f t="shared" si="5"/>
        <v>0</v>
      </c>
      <c r="M38" s="1531" t="str">
        <f t="shared" si="4"/>
        <v/>
      </c>
      <c r="N38" s="1532"/>
    </row>
    <row r="39">
      <c r="A39" s="1533">
        <v>165.0</v>
      </c>
      <c r="B39" s="1534" t="s">
        <v>3277</v>
      </c>
      <c r="C39" s="1524" t="s">
        <v>3278</v>
      </c>
      <c r="D39" s="1535" t="s">
        <v>2214</v>
      </c>
      <c r="E39" s="1524" t="s">
        <v>1398</v>
      </c>
      <c r="F39" s="1536">
        <f>SUMIF(MA_CODE,$E39,SDNDK)</f>
        <v>0</v>
      </c>
      <c r="G39" s="1537" t="str">
        <f t="shared" si="1"/>
        <v/>
      </c>
      <c r="H39" s="1538"/>
      <c r="I39" s="1539">
        <f>SUMIF(MA_CODE,$E39,SDNCK)</f>
        <v>0</v>
      </c>
      <c r="J39" s="1540">
        <f t="shared" si="2"/>
        <v>0</v>
      </c>
      <c r="K39" s="1541"/>
      <c r="L39" s="1542">
        <f t="shared" si="5"/>
        <v>0</v>
      </c>
      <c r="M39" s="1531" t="str">
        <f t="shared" si="4"/>
        <v/>
      </c>
      <c r="N39" s="1532"/>
    </row>
    <row r="40">
      <c r="A40" s="1533">
        <v>170.0</v>
      </c>
      <c r="B40" s="1534" t="s">
        <v>3279</v>
      </c>
      <c r="C40" s="1524" t="s">
        <v>3280</v>
      </c>
      <c r="D40" s="1535" t="s">
        <v>2214</v>
      </c>
      <c r="E40" s="1524" t="s">
        <v>1356</v>
      </c>
      <c r="F40" s="1536">
        <f>SUMIF(MA_CODE,$E40,SDNDK)</f>
        <v>0</v>
      </c>
      <c r="G40" s="1537" t="str">
        <f t="shared" si="1"/>
        <v/>
      </c>
      <c r="H40" s="1538"/>
      <c r="I40" s="1539">
        <f>SUMIF(MA_CODE,$E40,SDNCK)</f>
        <v>0</v>
      </c>
      <c r="J40" s="1540">
        <f t="shared" si="2"/>
        <v>0</v>
      </c>
      <c r="K40" s="1541"/>
      <c r="L40" s="1542">
        <f t="shared" si="5"/>
        <v>0</v>
      </c>
      <c r="M40" s="1531" t="str">
        <f t="shared" si="4"/>
        <v/>
      </c>
      <c r="N40" s="1532"/>
    </row>
    <row r="41">
      <c r="A41" s="1520">
        <v>175.0</v>
      </c>
      <c r="B41" s="1521" t="s">
        <v>3281</v>
      </c>
      <c r="C41" s="1522" t="s">
        <v>3282</v>
      </c>
      <c r="D41" s="1523" t="s">
        <v>3283</v>
      </c>
      <c r="E41" s="1524" t="s">
        <v>2214</v>
      </c>
      <c r="F41" s="1525">
        <f>F42+F51</f>
        <v>0</v>
      </c>
      <c r="G41" s="1526" t="str">
        <f t="shared" si="1"/>
        <v/>
      </c>
      <c r="H41" s="1526" t="str">
        <f>IFERROR(F41/F$5,"")</f>
        <v/>
      </c>
      <c r="I41" s="1527">
        <f>I42+I51</f>
        <v>2313175011</v>
      </c>
      <c r="J41" s="1528">
        <f t="shared" si="2"/>
        <v>0.3299110029</v>
      </c>
      <c r="K41" s="1529">
        <f>IFERROR(I41/I$5,"")</f>
        <v>0.550974094</v>
      </c>
      <c r="L41" s="1530">
        <f t="shared" si="5"/>
        <v>2313175011</v>
      </c>
      <c r="M41" s="1531" t="str">
        <f t="shared" si="4"/>
        <v/>
      </c>
      <c r="N41" s="1532"/>
    </row>
    <row r="42">
      <c r="A42" s="1533">
        <v>180.0</v>
      </c>
      <c r="B42" s="1534" t="s">
        <v>3284</v>
      </c>
      <c r="C42" s="1524" t="s">
        <v>3026</v>
      </c>
      <c r="D42" s="1535" t="s">
        <v>3285</v>
      </c>
      <c r="E42" s="1524" t="s">
        <v>2214</v>
      </c>
      <c r="F42" s="1536">
        <f>SUM(F43:F50)</f>
        <v>0</v>
      </c>
      <c r="G42" s="1537" t="str">
        <f t="shared" si="1"/>
        <v/>
      </c>
      <c r="H42" s="1538"/>
      <c r="I42" s="1539">
        <f>SUM(I43:I50)</f>
        <v>2313175011</v>
      </c>
      <c r="J42" s="1540">
        <f t="shared" si="2"/>
        <v>0.3299110029</v>
      </c>
      <c r="K42" s="1541"/>
      <c r="L42" s="1542">
        <f t="shared" si="5"/>
        <v>2313175011</v>
      </c>
      <c r="M42" s="1531" t="str">
        <f t="shared" si="4"/>
        <v/>
      </c>
      <c r="N42" s="1532"/>
    </row>
    <row r="43">
      <c r="A43" s="1533">
        <v>185.0</v>
      </c>
      <c r="B43" s="1534" t="s">
        <v>3286</v>
      </c>
      <c r="C43" s="1524" t="s">
        <v>2214</v>
      </c>
      <c r="D43" s="1535" t="s">
        <v>2214</v>
      </c>
      <c r="E43" s="1524" t="s">
        <v>3027</v>
      </c>
      <c r="F43" s="1536">
        <f>SUMIF(MA_CODE,$E43,SDNDK)</f>
        <v>0</v>
      </c>
      <c r="G43" s="1537" t="str">
        <f t="shared" si="1"/>
        <v/>
      </c>
      <c r="H43" s="1538"/>
      <c r="I43" s="1539">
        <f>SUMIF(MA_CODE,$E43,SDNCK)</f>
        <v>0</v>
      </c>
      <c r="J43" s="1540">
        <f t="shared" si="2"/>
        <v>0</v>
      </c>
      <c r="K43" s="1541"/>
      <c r="L43" s="1542">
        <f t="shared" si="5"/>
        <v>0</v>
      </c>
      <c r="M43" s="1531" t="str">
        <f t="shared" si="4"/>
        <v/>
      </c>
      <c r="N43" s="1532"/>
    </row>
    <row r="44">
      <c r="A44" s="1533">
        <v>190.0</v>
      </c>
      <c r="B44" s="1534" t="s">
        <v>3287</v>
      </c>
      <c r="C44" s="1524" t="s">
        <v>2214</v>
      </c>
      <c r="D44" s="1535" t="s">
        <v>2214</v>
      </c>
      <c r="E44" s="1524" t="s">
        <v>3028</v>
      </c>
      <c r="F44" s="1536">
        <f>SUMIF(MA_CODE,$E44,SDNDK)</f>
        <v>0</v>
      </c>
      <c r="G44" s="1537" t="str">
        <f t="shared" si="1"/>
        <v/>
      </c>
      <c r="H44" s="1538"/>
      <c r="I44" s="1539">
        <f>SUMIF(MA_CODE,$E44,SDNCK)</f>
        <v>0</v>
      </c>
      <c r="J44" s="1540">
        <f t="shared" si="2"/>
        <v>0</v>
      </c>
      <c r="K44" s="1541"/>
      <c r="L44" s="1542">
        <f t="shared" si="5"/>
        <v>0</v>
      </c>
      <c r="M44" s="1531" t="str">
        <f t="shared" si="4"/>
        <v/>
      </c>
      <c r="N44" s="1532"/>
    </row>
    <row r="45">
      <c r="A45" s="1533">
        <v>195.0</v>
      </c>
      <c r="B45" s="1534" t="s">
        <v>3288</v>
      </c>
      <c r="C45" s="1524" t="s">
        <v>2214</v>
      </c>
      <c r="D45" s="1535" t="s">
        <v>2214</v>
      </c>
      <c r="E45" s="1524" t="s">
        <v>3029</v>
      </c>
      <c r="F45" s="1536">
        <f>SUMIF(MA_CODE,$E45,SDNDK)</f>
        <v>0</v>
      </c>
      <c r="G45" s="1537" t="str">
        <f t="shared" si="1"/>
        <v/>
      </c>
      <c r="H45" s="1538"/>
      <c r="I45" s="1539">
        <f>SUMIF(MA_CODE,$E45,SDNCK)</f>
        <v>0</v>
      </c>
      <c r="J45" s="1540">
        <f t="shared" si="2"/>
        <v>0</v>
      </c>
      <c r="K45" s="1541"/>
      <c r="L45" s="1542">
        <f t="shared" si="5"/>
        <v>0</v>
      </c>
      <c r="M45" s="1531" t="str">
        <f t="shared" si="4"/>
        <v/>
      </c>
      <c r="N45" s="1532"/>
    </row>
    <row r="46">
      <c r="A46" s="1533">
        <v>200.0</v>
      </c>
      <c r="B46" s="1534" t="s">
        <v>3289</v>
      </c>
      <c r="C46" s="1524" t="s">
        <v>2214</v>
      </c>
      <c r="D46" s="1535" t="s">
        <v>2214</v>
      </c>
      <c r="E46" s="1524" t="s">
        <v>1875</v>
      </c>
      <c r="F46" s="1536">
        <f>SUMIF(MA_CODE,$E46,SDNDK)</f>
        <v>0</v>
      </c>
      <c r="G46" s="1537" t="str">
        <f t="shared" si="1"/>
        <v/>
      </c>
      <c r="H46" s="1538"/>
      <c r="I46" s="1539">
        <f>SUMIF(MA_CODE,$E46,SDNCK)</f>
        <v>2313175011</v>
      </c>
      <c r="J46" s="1540">
        <f t="shared" si="2"/>
        <v>0.3299110029</v>
      </c>
      <c r="K46" s="1541"/>
      <c r="L46" s="1542">
        <f t="shared" si="5"/>
        <v>2313175011</v>
      </c>
      <c r="M46" s="1531" t="str">
        <f t="shared" si="4"/>
        <v/>
      </c>
      <c r="N46" s="1532"/>
    </row>
    <row r="47">
      <c r="A47" s="1533">
        <v>205.0</v>
      </c>
      <c r="B47" s="1534" t="s">
        <v>3290</v>
      </c>
      <c r="C47" s="1524" t="s">
        <v>2214</v>
      </c>
      <c r="D47" s="1535" t="s">
        <v>2214</v>
      </c>
      <c r="E47" s="1524" t="s">
        <v>3037</v>
      </c>
      <c r="F47" s="1536">
        <f>SUMIF(MA_CODE,$E47,SDNDK)</f>
        <v>0</v>
      </c>
      <c r="G47" s="1537" t="str">
        <f t="shared" si="1"/>
        <v/>
      </c>
      <c r="H47" s="1538"/>
      <c r="I47" s="1539">
        <f>SUMIF(MA_CODE,$E47,SDNCK)</f>
        <v>0</v>
      </c>
      <c r="J47" s="1540">
        <f t="shared" si="2"/>
        <v>0</v>
      </c>
      <c r="K47" s="1541"/>
      <c r="L47" s="1542">
        <f t="shared" si="5"/>
        <v>0</v>
      </c>
      <c r="M47" s="1531" t="str">
        <f t="shared" si="4"/>
        <v/>
      </c>
      <c r="N47" s="1532"/>
    </row>
    <row r="48">
      <c r="A48" s="1533">
        <v>210.0</v>
      </c>
      <c r="B48" s="1534" t="s">
        <v>3291</v>
      </c>
      <c r="C48" s="1524" t="s">
        <v>2214</v>
      </c>
      <c r="D48" s="1535" t="s">
        <v>2214</v>
      </c>
      <c r="E48" s="1524" t="s">
        <v>3043</v>
      </c>
      <c r="F48" s="1536">
        <f>SUMIF(MA_CODE,$E48,SDNDK)</f>
        <v>0</v>
      </c>
      <c r="G48" s="1537" t="str">
        <f t="shared" si="1"/>
        <v/>
      </c>
      <c r="H48" s="1538"/>
      <c r="I48" s="1539">
        <f>SUMIF(MA_CODE,$E48,SDNCK)</f>
        <v>0</v>
      </c>
      <c r="J48" s="1540">
        <f t="shared" si="2"/>
        <v>0</v>
      </c>
      <c r="K48" s="1541"/>
      <c r="L48" s="1542">
        <f t="shared" si="5"/>
        <v>0</v>
      </c>
      <c r="M48" s="1531" t="str">
        <f t="shared" si="4"/>
        <v/>
      </c>
      <c r="N48" s="1532"/>
    </row>
    <row r="49">
      <c r="A49" s="1533">
        <v>215.0</v>
      </c>
      <c r="B49" s="1534" t="s">
        <v>3292</v>
      </c>
      <c r="C49" s="1524" t="s">
        <v>2214</v>
      </c>
      <c r="D49" s="1535" t="s">
        <v>2214</v>
      </c>
      <c r="E49" s="1524" t="s">
        <v>3050</v>
      </c>
      <c r="F49" s="1536">
        <f>SUMIF(MA_CODE,$E49,SDNDK)</f>
        <v>0</v>
      </c>
      <c r="G49" s="1537" t="str">
        <f t="shared" si="1"/>
        <v/>
      </c>
      <c r="H49" s="1538"/>
      <c r="I49" s="1539">
        <f>SUMIF(MA_CODE,$E49,SDNCK)</f>
        <v>0</v>
      </c>
      <c r="J49" s="1540">
        <f t="shared" si="2"/>
        <v>0</v>
      </c>
      <c r="K49" s="1541"/>
      <c r="L49" s="1542">
        <f t="shared" si="5"/>
        <v>0</v>
      </c>
      <c r="M49" s="1531" t="str">
        <f t="shared" si="4"/>
        <v/>
      </c>
      <c r="N49" s="1532"/>
    </row>
    <row r="50">
      <c r="A50" s="1533">
        <v>220.0</v>
      </c>
      <c r="B50" s="1534" t="s">
        <v>3293</v>
      </c>
      <c r="C50" s="1524" t="s">
        <v>2214</v>
      </c>
      <c r="D50" s="1535" t="s">
        <v>2214</v>
      </c>
      <c r="E50" s="1524" t="s">
        <v>3051</v>
      </c>
      <c r="F50" s="1536">
        <f>SUMIF(MA_CODE,$E50,SDNDK)</f>
        <v>0</v>
      </c>
      <c r="G50" s="1537" t="str">
        <f t="shared" si="1"/>
        <v/>
      </c>
      <c r="H50" s="1538"/>
      <c r="I50" s="1539">
        <f>SUMIF(MA_CODE,$E50,SDNCK)</f>
        <v>0</v>
      </c>
      <c r="J50" s="1540">
        <f t="shared" si="2"/>
        <v>0</v>
      </c>
      <c r="K50" s="1541"/>
      <c r="L50" s="1542">
        <f t="shared" si="5"/>
        <v>0</v>
      </c>
      <c r="M50" s="1531" t="str">
        <f t="shared" si="4"/>
        <v/>
      </c>
      <c r="N50" s="1532"/>
    </row>
    <row r="51">
      <c r="A51" s="1533">
        <v>225.0</v>
      </c>
      <c r="B51" s="1534" t="s">
        <v>3294</v>
      </c>
      <c r="C51" s="1524" t="s">
        <v>3295</v>
      </c>
      <c r="D51" s="1535" t="s">
        <v>2214</v>
      </c>
      <c r="E51" s="1524" t="s">
        <v>1400</v>
      </c>
      <c r="F51" s="1536">
        <f>SUMIF(MA_CODE,$E51,SDNDK)</f>
        <v>0</v>
      </c>
      <c r="G51" s="1537" t="str">
        <f t="shared" si="1"/>
        <v/>
      </c>
      <c r="H51" s="1538"/>
      <c r="I51" s="1539">
        <f>SUMIF(MA_CODE,$E51,SDNCK)</f>
        <v>0</v>
      </c>
      <c r="J51" s="1540">
        <f t="shared" si="2"/>
        <v>0</v>
      </c>
      <c r="K51" s="1541"/>
      <c r="L51" s="1542">
        <f t="shared" si="5"/>
        <v>0</v>
      </c>
      <c r="M51" s="1531" t="str">
        <f t="shared" si="4"/>
        <v/>
      </c>
      <c r="N51" s="1532"/>
    </row>
    <row r="52">
      <c r="A52" s="1520">
        <v>230.0</v>
      </c>
      <c r="B52" s="1521" t="s">
        <v>3296</v>
      </c>
      <c r="C52" s="1522" t="s">
        <v>3297</v>
      </c>
      <c r="D52" s="1523" t="s">
        <v>3298</v>
      </c>
      <c r="E52" s="1524" t="s">
        <v>2214</v>
      </c>
      <c r="F52" s="1525">
        <f>SUM(F53:F57)</f>
        <v>0</v>
      </c>
      <c r="G52" s="1526" t="str">
        <f t="shared" si="1"/>
        <v/>
      </c>
      <c r="H52" s="1526" t="str">
        <f>IFERROR(F52/F$5,"")</f>
        <v/>
      </c>
      <c r="I52" s="1527">
        <f>SUM(I53:I57)</f>
        <v>0</v>
      </c>
      <c r="J52" s="1528">
        <f t="shared" si="2"/>
        <v>0</v>
      </c>
      <c r="K52" s="1529">
        <f>IFERROR(I52/I$5,"")</f>
        <v>0</v>
      </c>
      <c r="L52" s="1530">
        <f t="shared" si="5"/>
        <v>0</v>
      </c>
      <c r="M52" s="1531" t="str">
        <f t="shared" si="4"/>
        <v/>
      </c>
      <c r="N52" s="1532"/>
    </row>
    <row r="53">
      <c r="A53" s="1533">
        <v>235.0</v>
      </c>
      <c r="B53" s="1534" t="s">
        <v>3299</v>
      </c>
      <c r="C53" s="1524" t="s">
        <v>3027</v>
      </c>
      <c r="D53" s="1535" t="s">
        <v>2214</v>
      </c>
      <c r="E53" s="1524" t="s">
        <v>3300</v>
      </c>
      <c r="F53" s="1536">
        <f>SUMIF(MA_CODE,$E53,SDNDK)</f>
        <v>0</v>
      </c>
      <c r="G53" s="1537" t="str">
        <f t="shared" si="1"/>
        <v/>
      </c>
      <c r="H53" s="1538"/>
      <c r="I53" s="1539">
        <f>SUMIF(MA_CODE,$E53,SDNCK)</f>
        <v>0</v>
      </c>
      <c r="J53" s="1540">
        <f t="shared" si="2"/>
        <v>0</v>
      </c>
      <c r="K53" s="1541"/>
      <c r="L53" s="1542">
        <f t="shared" si="5"/>
        <v>0</v>
      </c>
      <c r="M53" s="1531" t="str">
        <f t="shared" si="4"/>
        <v/>
      </c>
      <c r="N53" s="1532"/>
    </row>
    <row r="54">
      <c r="A54" s="1533">
        <v>240.0</v>
      </c>
      <c r="B54" s="1534" t="s">
        <v>3301</v>
      </c>
      <c r="C54" s="1524" t="s">
        <v>3028</v>
      </c>
      <c r="D54" s="1535" t="s">
        <v>2214</v>
      </c>
      <c r="E54" s="1524" t="s">
        <v>1890</v>
      </c>
      <c r="F54" s="1536">
        <f>SUMIF(MA_CODE,$E54,SDNDK)</f>
        <v>0</v>
      </c>
      <c r="G54" s="1537" t="str">
        <f t="shared" si="1"/>
        <v/>
      </c>
      <c r="H54" s="1538"/>
      <c r="I54" s="1539">
        <f>SUMIF(MA_CODE,$E54,SDNCK)</f>
        <v>0</v>
      </c>
      <c r="J54" s="1540">
        <f t="shared" si="2"/>
        <v>0</v>
      </c>
      <c r="K54" s="1541"/>
      <c r="L54" s="1542">
        <f t="shared" si="5"/>
        <v>0</v>
      </c>
      <c r="M54" s="1531" t="str">
        <f t="shared" si="4"/>
        <v/>
      </c>
      <c r="N54" s="1532"/>
    </row>
    <row r="55">
      <c r="A55" s="1533">
        <v>245.0</v>
      </c>
      <c r="B55" s="1534" t="s">
        <v>3302</v>
      </c>
      <c r="C55" s="1524" t="s">
        <v>3029</v>
      </c>
      <c r="D55" s="1535" t="s">
        <v>2214</v>
      </c>
      <c r="E55" s="1524" t="s">
        <v>3105</v>
      </c>
      <c r="F55" s="1536">
        <f>SUMIF(MA_CODE,$E55,SDNDK)</f>
        <v>0</v>
      </c>
      <c r="G55" s="1537" t="str">
        <f t="shared" si="1"/>
        <v/>
      </c>
      <c r="H55" s="1538"/>
      <c r="I55" s="1539">
        <f>SUMIF(MA_CODE,$E55,SDNCK)</f>
        <v>0</v>
      </c>
      <c r="J55" s="1540">
        <f t="shared" si="2"/>
        <v>0</v>
      </c>
      <c r="K55" s="1541"/>
      <c r="L55" s="1542">
        <f t="shared" si="5"/>
        <v>0</v>
      </c>
      <c r="M55" s="1531" t="str">
        <f t="shared" si="4"/>
        <v/>
      </c>
      <c r="N55" s="1532"/>
    </row>
    <row r="56">
      <c r="A56" s="1533">
        <v>250.0</v>
      </c>
      <c r="B56" s="1534" t="s">
        <v>3303</v>
      </c>
      <c r="C56" s="1524" t="s">
        <v>1875</v>
      </c>
      <c r="D56" s="1535" t="s">
        <v>2214</v>
      </c>
      <c r="E56" s="1524" t="s">
        <v>3059</v>
      </c>
      <c r="F56" s="1536">
        <f>SUMIF(MA_CODE,$E56,SDNDK)</f>
        <v>0</v>
      </c>
      <c r="G56" s="1537" t="str">
        <f t="shared" si="1"/>
        <v/>
      </c>
      <c r="H56" s="1538"/>
      <c r="I56" s="1539">
        <f>SUMIF(MA_CODE,$E56,SDNCK)</f>
        <v>0</v>
      </c>
      <c r="J56" s="1540">
        <f t="shared" si="2"/>
        <v>0</v>
      </c>
      <c r="K56" s="1541"/>
      <c r="L56" s="1542">
        <f t="shared" si="5"/>
        <v>0</v>
      </c>
      <c r="M56" s="1531" t="str">
        <f t="shared" si="4"/>
        <v/>
      </c>
      <c r="N56" s="1532"/>
    </row>
    <row r="57">
      <c r="A57" s="1533">
        <v>255.0</v>
      </c>
      <c r="B57" s="1534" t="s">
        <v>3304</v>
      </c>
      <c r="C57" s="1524" t="s">
        <v>3037</v>
      </c>
      <c r="D57" s="1535" t="s">
        <v>2214</v>
      </c>
      <c r="E57" s="1524" t="s">
        <v>1391</v>
      </c>
      <c r="F57" s="1536">
        <f>SUMIF(MA_CODE,$E57,SDNDK)</f>
        <v>0</v>
      </c>
      <c r="G57" s="1537" t="str">
        <f t="shared" si="1"/>
        <v/>
      </c>
      <c r="H57" s="1538"/>
      <c r="I57" s="1539">
        <f>SUMIF(MA_CODE,$E57,SDNCK)</f>
        <v>0</v>
      </c>
      <c r="J57" s="1540">
        <f t="shared" si="2"/>
        <v>0</v>
      </c>
      <c r="K57" s="1541"/>
      <c r="L57" s="1542">
        <f t="shared" si="5"/>
        <v>0</v>
      </c>
      <c r="M57" s="1531" t="str">
        <f t="shared" si="4"/>
        <v/>
      </c>
      <c r="N57" s="1532"/>
    </row>
    <row r="58">
      <c r="A58" s="1509">
        <v>260.0</v>
      </c>
      <c r="B58" s="1510" t="s">
        <v>3305</v>
      </c>
      <c r="C58" s="1511" t="s">
        <v>3306</v>
      </c>
      <c r="D58" s="1512" t="s">
        <v>3307</v>
      </c>
      <c r="E58" s="1513" t="s">
        <v>2214</v>
      </c>
      <c r="F58" s="1514">
        <f>F59+F76+F86+F89+F94+F103</f>
        <v>0</v>
      </c>
      <c r="G58" s="1515" t="str">
        <f t="shared" si="1"/>
        <v/>
      </c>
      <c r="H58" s="1515" t="str">
        <f>G58</f>
        <v/>
      </c>
      <c r="I58" s="1514">
        <f>I59+I76+I86+I89+I94+I103</f>
        <v>2813175011</v>
      </c>
      <c r="J58" s="1516">
        <f t="shared" si="2"/>
        <v>0.4012222961</v>
      </c>
      <c r="K58" s="1517">
        <f>J58</f>
        <v>0.4012222961</v>
      </c>
      <c r="L58" s="1518">
        <f t="shared" si="5"/>
        <v>2813175011</v>
      </c>
      <c r="M58" s="1515" t="str">
        <f t="shared" si="4"/>
        <v/>
      </c>
      <c r="N58" s="1519"/>
    </row>
    <row r="59">
      <c r="A59" s="1520">
        <v>265.0</v>
      </c>
      <c r="B59" s="1521" t="s">
        <v>3308</v>
      </c>
      <c r="C59" s="1522" t="s">
        <v>3309</v>
      </c>
      <c r="D59" s="1523" t="s">
        <v>3310</v>
      </c>
      <c r="E59" s="1524" t="s">
        <v>2214</v>
      </c>
      <c r="F59" s="1525">
        <f>SUM(F60:F63)+F67+F68+F75</f>
        <v>0</v>
      </c>
      <c r="G59" s="1526" t="str">
        <f t="shared" si="1"/>
        <v/>
      </c>
      <c r="H59" s="1526" t="str">
        <f>IFERROR(F59/F$58,"")</f>
        <v/>
      </c>
      <c r="I59" s="1527">
        <f>SUM(I60:I63)+I67+I68+I75</f>
        <v>500000000</v>
      </c>
      <c r="J59" s="1528">
        <f t="shared" si="2"/>
        <v>0.07131129321</v>
      </c>
      <c r="K59" s="1529">
        <f>IFERROR(I59/I$58,"")</f>
        <v>0.1777351207</v>
      </c>
      <c r="L59" s="1530">
        <f t="shared" si="5"/>
        <v>500000000</v>
      </c>
      <c r="M59" s="1531" t="str">
        <f t="shared" si="4"/>
        <v/>
      </c>
      <c r="N59" s="1532"/>
    </row>
    <row r="60">
      <c r="A60" s="1533">
        <v>270.0</v>
      </c>
      <c r="B60" s="1534" t="s">
        <v>3311</v>
      </c>
      <c r="C60" s="1524" t="s">
        <v>3061</v>
      </c>
      <c r="D60" s="1535" t="s">
        <v>2214</v>
      </c>
      <c r="E60" s="1524" t="s">
        <v>3312</v>
      </c>
      <c r="F60" s="1536">
        <f>SUMIF(MA_CODE,$E60,SDNDK)</f>
        <v>0</v>
      </c>
      <c r="G60" s="1537" t="str">
        <f t="shared" si="1"/>
        <v/>
      </c>
      <c r="H60" s="1538"/>
      <c r="I60" s="1539">
        <f>SUMIF(MA_CODE,$E60,SDNCK)</f>
        <v>0</v>
      </c>
      <c r="J60" s="1540">
        <f t="shared" si="2"/>
        <v>0</v>
      </c>
      <c r="K60" s="1541"/>
      <c r="L60" s="1542">
        <f t="shared" si="5"/>
        <v>0</v>
      </c>
      <c r="M60" s="1531" t="str">
        <f t="shared" si="4"/>
        <v/>
      </c>
      <c r="N60" s="1532"/>
    </row>
    <row r="61">
      <c r="A61" s="1533">
        <v>275.0</v>
      </c>
      <c r="B61" s="1534" t="s">
        <v>3313</v>
      </c>
      <c r="C61" s="1524" t="s">
        <v>3071</v>
      </c>
      <c r="D61" s="1535" t="s">
        <v>2214</v>
      </c>
      <c r="E61" s="1524" t="s">
        <v>3314</v>
      </c>
      <c r="F61" s="1536">
        <f>SUMIF(MA_CODE,$E61,SDNDK)</f>
        <v>0</v>
      </c>
      <c r="G61" s="1537" t="str">
        <f t="shared" si="1"/>
        <v/>
      </c>
      <c r="H61" s="1538"/>
      <c r="I61" s="1539">
        <f>SUMIF(MA_CODE,$E61,SDNCK)</f>
        <v>0</v>
      </c>
      <c r="J61" s="1540">
        <f t="shared" si="2"/>
        <v>0</v>
      </c>
      <c r="K61" s="1541"/>
      <c r="L61" s="1542">
        <f t="shared" si="5"/>
        <v>0</v>
      </c>
      <c r="M61" s="1531" t="str">
        <f t="shared" si="4"/>
        <v/>
      </c>
      <c r="N61" s="1532"/>
    </row>
    <row r="62">
      <c r="A62" s="1533">
        <v>280.0</v>
      </c>
      <c r="B62" s="1534" t="s">
        <v>3315</v>
      </c>
      <c r="C62" s="1524" t="s">
        <v>3076</v>
      </c>
      <c r="D62" s="1535" t="s">
        <v>2214</v>
      </c>
      <c r="E62" s="1524" t="s">
        <v>1351</v>
      </c>
      <c r="F62" s="1536">
        <f>SUMIF(MA_CODE,$E62,SDNDK)</f>
        <v>0</v>
      </c>
      <c r="G62" s="1537" t="str">
        <f t="shared" si="1"/>
        <v/>
      </c>
      <c r="H62" s="1538"/>
      <c r="I62" s="1539">
        <f>SUMIF(MA_CODE,$E62,SDNCK)</f>
        <v>0</v>
      </c>
      <c r="J62" s="1540">
        <f t="shared" si="2"/>
        <v>0</v>
      </c>
      <c r="K62" s="1541"/>
      <c r="L62" s="1542">
        <f t="shared" si="5"/>
        <v>0</v>
      </c>
      <c r="M62" s="1531" t="str">
        <f t="shared" si="4"/>
        <v/>
      </c>
      <c r="N62" s="1532"/>
    </row>
    <row r="63">
      <c r="A63" s="1533">
        <v>285.0</v>
      </c>
      <c r="B63" s="1534" t="s">
        <v>3316</v>
      </c>
      <c r="C63" s="1524" t="s">
        <v>3091</v>
      </c>
      <c r="D63" s="1535" t="s">
        <v>3317</v>
      </c>
      <c r="E63" s="1524" t="s">
        <v>2214</v>
      </c>
      <c r="F63" s="1536">
        <f>SUM(F64:F66)</f>
        <v>0</v>
      </c>
      <c r="G63" s="1537" t="str">
        <f t="shared" si="1"/>
        <v/>
      </c>
      <c r="H63" s="1538"/>
      <c r="I63" s="1539">
        <f>SUM(I64:I66)</f>
        <v>0</v>
      </c>
      <c r="J63" s="1540">
        <f t="shared" si="2"/>
        <v>0</v>
      </c>
      <c r="K63" s="1541"/>
      <c r="L63" s="1542">
        <f t="shared" si="5"/>
        <v>0</v>
      </c>
      <c r="M63" s="1531" t="str">
        <f t="shared" si="4"/>
        <v/>
      </c>
      <c r="N63" s="1532"/>
    </row>
    <row r="64">
      <c r="A64" s="1533">
        <v>290.0</v>
      </c>
      <c r="B64" s="1534" t="s">
        <v>3261</v>
      </c>
      <c r="C64" s="1524" t="s">
        <v>2214</v>
      </c>
      <c r="D64" s="1535" t="s">
        <v>2214</v>
      </c>
      <c r="E64" s="1550" t="s">
        <v>3020</v>
      </c>
      <c r="F64" s="1536">
        <f>SUMIF(MA_CODE,$E64,SDNDK)</f>
        <v>0</v>
      </c>
      <c r="G64" s="1537" t="str">
        <f t="shared" si="1"/>
        <v/>
      </c>
      <c r="H64" s="1538"/>
      <c r="I64" s="1539">
        <f>SUMIF(MA_CODE,$E64,SDNCK)</f>
        <v>0</v>
      </c>
      <c r="J64" s="1540">
        <f t="shared" si="2"/>
        <v>0</v>
      </c>
      <c r="K64" s="1541"/>
      <c r="L64" s="1542">
        <f t="shared" si="5"/>
        <v>0</v>
      </c>
      <c r="M64" s="1531" t="str">
        <f t="shared" si="4"/>
        <v/>
      </c>
      <c r="N64" s="1532"/>
    </row>
    <row r="65">
      <c r="A65" s="1533">
        <v>295.0</v>
      </c>
      <c r="B65" s="1534" t="s">
        <v>3262</v>
      </c>
      <c r="C65" s="1524" t="s">
        <v>2214</v>
      </c>
      <c r="D65" s="1535" t="s">
        <v>2214</v>
      </c>
      <c r="E65" s="1550" t="s">
        <v>3022</v>
      </c>
      <c r="F65" s="1536">
        <f>SUMIF(MA_CODE,$E65,SDNDK)</f>
        <v>0</v>
      </c>
      <c r="G65" s="1537" t="str">
        <f t="shared" si="1"/>
        <v/>
      </c>
      <c r="H65" s="1538"/>
      <c r="I65" s="1539">
        <f>SUMIF(MA_CODE,$E65,SDNCK)</f>
        <v>0</v>
      </c>
      <c r="J65" s="1540">
        <f t="shared" si="2"/>
        <v>0</v>
      </c>
      <c r="K65" s="1541"/>
      <c r="L65" s="1542">
        <f t="shared" si="5"/>
        <v>0</v>
      </c>
      <c r="M65" s="1531" t="str">
        <f t="shared" si="4"/>
        <v/>
      </c>
      <c r="N65" s="1532"/>
    </row>
    <row r="66">
      <c r="A66" s="1533">
        <v>300.0</v>
      </c>
      <c r="B66" s="1534" t="s">
        <v>3263</v>
      </c>
      <c r="C66" s="1524" t="s">
        <v>2214</v>
      </c>
      <c r="D66" s="1535" t="s">
        <v>2214</v>
      </c>
      <c r="E66" s="1550" t="s">
        <v>1353</v>
      </c>
      <c r="F66" s="1536">
        <f>SUMIF(MA_CODE,$E66,SDNDK)</f>
        <v>0</v>
      </c>
      <c r="G66" s="1537" t="str">
        <f t="shared" si="1"/>
        <v/>
      </c>
      <c r="H66" s="1538"/>
      <c r="I66" s="1539">
        <f>SUMIF(MA_CODE,$E66,SDNCK)</f>
        <v>0</v>
      </c>
      <c r="J66" s="1540">
        <f t="shared" si="2"/>
        <v>0</v>
      </c>
      <c r="K66" s="1541"/>
      <c r="L66" s="1542">
        <f t="shared" si="5"/>
        <v>0</v>
      </c>
      <c r="M66" s="1531" t="str">
        <f t="shared" si="4"/>
        <v/>
      </c>
      <c r="N66" s="1532"/>
    </row>
    <row r="67">
      <c r="A67" s="1533">
        <v>305.0</v>
      </c>
      <c r="B67" s="1534" t="s">
        <v>3318</v>
      </c>
      <c r="C67" s="1524" t="s">
        <v>3319</v>
      </c>
      <c r="D67" s="1535" t="s">
        <v>2214</v>
      </c>
      <c r="E67" s="1524" t="s">
        <v>3320</v>
      </c>
      <c r="F67" s="1536">
        <f>SUMIF(MA_CODE,$E67,SDNDK)</f>
        <v>0</v>
      </c>
      <c r="G67" s="1537" t="str">
        <f t="shared" si="1"/>
        <v/>
      </c>
      <c r="H67" s="1538"/>
      <c r="I67" s="1539">
        <f>SUMIF(MA_CODE,$E67,SDNCK)</f>
        <v>0</v>
      </c>
      <c r="J67" s="1540">
        <f t="shared" si="2"/>
        <v>0</v>
      </c>
      <c r="K67" s="1541"/>
      <c r="L67" s="1542">
        <f t="shared" si="5"/>
        <v>0</v>
      </c>
      <c r="M67" s="1531" t="str">
        <f t="shared" si="4"/>
        <v/>
      </c>
      <c r="N67" s="1532"/>
    </row>
    <row r="68">
      <c r="A68" s="1533">
        <v>310.0</v>
      </c>
      <c r="B68" s="1534" t="s">
        <v>3321</v>
      </c>
      <c r="C68" s="1524" t="s">
        <v>3322</v>
      </c>
      <c r="D68" s="1535" t="s">
        <v>3323</v>
      </c>
      <c r="E68" s="1524" t="s">
        <v>2214</v>
      </c>
      <c r="F68" s="1536">
        <f>SUM(F69:F74)</f>
        <v>0</v>
      </c>
      <c r="G68" s="1537" t="str">
        <f t="shared" si="1"/>
        <v/>
      </c>
      <c r="H68" s="1538"/>
      <c r="I68" s="1539">
        <f>SUM(I69:I74)</f>
        <v>500000000</v>
      </c>
      <c r="J68" s="1540">
        <f t="shared" si="2"/>
        <v>0.07131129321</v>
      </c>
      <c r="K68" s="1541"/>
      <c r="L68" s="1542">
        <f t="shared" si="5"/>
        <v>500000000</v>
      </c>
      <c r="M68" s="1531" t="str">
        <f t="shared" si="4"/>
        <v/>
      </c>
      <c r="N68" s="1532"/>
    </row>
    <row r="69">
      <c r="A69" s="1533">
        <v>315.0</v>
      </c>
      <c r="B69" s="1534" t="s">
        <v>3271</v>
      </c>
      <c r="C69" s="1524" t="s">
        <v>2214</v>
      </c>
      <c r="D69" s="1535" t="s">
        <v>2214</v>
      </c>
      <c r="E69" s="1550" t="s">
        <v>3024</v>
      </c>
      <c r="F69" s="1536">
        <f>SUMIF(MA_CODE,$E69,SDNDK)</f>
        <v>0</v>
      </c>
      <c r="G69" s="1537" t="str">
        <f t="shared" si="1"/>
        <v/>
      </c>
      <c r="H69" s="1538"/>
      <c r="I69" s="1539">
        <f>SUMIF(MA_CODE,$E69,SDNCK)</f>
        <v>500000000</v>
      </c>
      <c r="J69" s="1540">
        <f t="shared" si="2"/>
        <v>0.07131129321</v>
      </c>
      <c r="K69" s="1541"/>
      <c r="L69" s="1542">
        <f t="shared" si="5"/>
        <v>500000000</v>
      </c>
      <c r="M69" s="1531" t="str">
        <f t="shared" si="4"/>
        <v/>
      </c>
      <c r="N69" s="1532"/>
    </row>
    <row r="70">
      <c r="A70" s="1533">
        <v>320.0</v>
      </c>
      <c r="B70" s="1534" t="s">
        <v>3324</v>
      </c>
      <c r="C70" s="1524" t="s">
        <v>2214</v>
      </c>
      <c r="D70" s="1535" t="s">
        <v>2214</v>
      </c>
      <c r="E70" s="1550" t="s">
        <v>1360</v>
      </c>
      <c r="F70" s="1536">
        <f>SUMIF(MA_CODE,$E70,SDNDK)</f>
        <v>0</v>
      </c>
      <c r="G70" s="1537" t="str">
        <f t="shared" si="1"/>
        <v/>
      </c>
      <c r="H70" s="1538"/>
      <c r="I70" s="1539">
        <f>SUMIF(MA_CODE,$E70,SDNCK)</f>
        <v>0</v>
      </c>
      <c r="J70" s="1540">
        <f t="shared" si="2"/>
        <v>0</v>
      </c>
      <c r="K70" s="1541"/>
      <c r="L70" s="1542">
        <f t="shared" si="5"/>
        <v>0</v>
      </c>
      <c r="M70" s="1531" t="str">
        <f t="shared" si="4"/>
        <v/>
      </c>
      <c r="N70" s="1532"/>
    </row>
    <row r="71">
      <c r="A71" s="1533">
        <v>325.0</v>
      </c>
      <c r="B71" s="1534" t="s">
        <v>3273</v>
      </c>
      <c r="C71" s="1524" t="s">
        <v>2214</v>
      </c>
      <c r="D71" s="1535" t="s">
        <v>2214</v>
      </c>
      <c r="E71" s="1550" t="s">
        <v>3106</v>
      </c>
      <c r="F71" s="1536">
        <f>SUMIF(MA_CODE,$E71,SDNDK)</f>
        <v>0</v>
      </c>
      <c r="G71" s="1537" t="str">
        <f t="shared" si="1"/>
        <v/>
      </c>
      <c r="H71" s="1538"/>
      <c r="I71" s="1539">
        <f>SUMIF(MA_CODE,$E71,SDNCK)</f>
        <v>0</v>
      </c>
      <c r="J71" s="1540">
        <f t="shared" si="2"/>
        <v>0</v>
      </c>
      <c r="K71" s="1541"/>
      <c r="L71" s="1542">
        <f t="shared" si="5"/>
        <v>0</v>
      </c>
      <c r="M71" s="1531" t="str">
        <f t="shared" si="4"/>
        <v/>
      </c>
      <c r="N71" s="1532"/>
    </row>
    <row r="72">
      <c r="A72" s="1533">
        <v>330.0</v>
      </c>
      <c r="B72" s="1534" t="s">
        <v>3325</v>
      </c>
      <c r="C72" s="1524" t="s">
        <v>2214</v>
      </c>
      <c r="D72" s="1535" t="s">
        <v>2214</v>
      </c>
      <c r="E72" s="1550" t="s">
        <v>1461</v>
      </c>
      <c r="F72" s="1536">
        <f>SUMIF(MA_CODE,$E72,SDNDK)</f>
        <v>0</v>
      </c>
      <c r="G72" s="1537" t="str">
        <f t="shared" si="1"/>
        <v/>
      </c>
      <c r="H72" s="1538"/>
      <c r="I72" s="1539">
        <f>SUMIF(MA_CODE,$E72,SDNCK)</f>
        <v>0</v>
      </c>
      <c r="J72" s="1540">
        <f t="shared" si="2"/>
        <v>0</v>
      </c>
      <c r="K72" s="1541"/>
      <c r="L72" s="1542">
        <f t="shared" si="5"/>
        <v>0</v>
      </c>
      <c r="M72" s="1531" t="str">
        <f t="shared" si="4"/>
        <v/>
      </c>
      <c r="N72" s="1532"/>
    </row>
    <row r="73">
      <c r="A73" s="1533">
        <v>335.0</v>
      </c>
      <c r="B73" s="1534" t="s">
        <v>3275</v>
      </c>
      <c r="C73" s="1524" t="s">
        <v>2214</v>
      </c>
      <c r="D73" s="1535" t="s">
        <v>2214</v>
      </c>
      <c r="E73" s="1550" t="s">
        <v>3026</v>
      </c>
      <c r="F73" s="1536">
        <f>SUMIF(MA_CODE,$E73,SDNDK)</f>
        <v>0</v>
      </c>
      <c r="G73" s="1537" t="str">
        <f t="shared" si="1"/>
        <v/>
      </c>
      <c r="H73" s="1538"/>
      <c r="I73" s="1539">
        <f>SUMIF(MA_CODE,$E73,SDNCK)</f>
        <v>0</v>
      </c>
      <c r="J73" s="1540">
        <f t="shared" si="2"/>
        <v>0</v>
      </c>
      <c r="K73" s="1541"/>
      <c r="L73" s="1542">
        <f t="shared" si="5"/>
        <v>0</v>
      </c>
      <c r="M73" s="1531" t="str">
        <f t="shared" si="4"/>
        <v/>
      </c>
      <c r="N73" s="1532"/>
    </row>
    <row r="74">
      <c r="A74" s="1533">
        <v>340.0</v>
      </c>
      <c r="B74" s="1534" t="s">
        <v>3326</v>
      </c>
      <c r="C74" s="1524" t="s">
        <v>2214</v>
      </c>
      <c r="D74" s="1535" t="s">
        <v>2214</v>
      </c>
      <c r="E74" s="1550" t="s">
        <v>3103</v>
      </c>
      <c r="F74" s="1536">
        <f>SUMIF(MA_CODE,$E74,SDNDK)</f>
        <v>0</v>
      </c>
      <c r="G74" s="1537" t="str">
        <f t="shared" si="1"/>
        <v/>
      </c>
      <c r="H74" s="1538"/>
      <c r="I74" s="1539">
        <f>SUMIF(MA_CODE,$E74,SDNCK)</f>
        <v>0</v>
      </c>
      <c r="J74" s="1540">
        <f t="shared" si="2"/>
        <v>0</v>
      </c>
      <c r="K74" s="1541"/>
      <c r="L74" s="1542">
        <f t="shared" si="5"/>
        <v>0</v>
      </c>
      <c r="M74" s="1531" t="str">
        <f t="shared" si="4"/>
        <v/>
      </c>
      <c r="N74" s="1532"/>
    </row>
    <row r="75">
      <c r="A75" s="1533">
        <v>345.0</v>
      </c>
      <c r="B75" s="1534" t="s">
        <v>3327</v>
      </c>
      <c r="C75" s="1524" t="s">
        <v>3328</v>
      </c>
      <c r="D75" s="1535" t="s">
        <v>2214</v>
      </c>
      <c r="E75" s="1550" t="s">
        <v>1398</v>
      </c>
      <c r="F75" s="1536">
        <f>SUMIF(MA_CODE,$E75,SDNDK)</f>
        <v>0</v>
      </c>
      <c r="G75" s="1537" t="str">
        <f t="shared" si="1"/>
        <v/>
      </c>
      <c r="H75" s="1538"/>
      <c r="I75" s="1539">
        <f>SUMIF(MA_CODE,$E75,SDNCK)</f>
        <v>0</v>
      </c>
      <c r="J75" s="1540">
        <f t="shared" si="2"/>
        <v>0</v>
      </c>
      <c r="K75" s="1541"/>
      <c r="L75" s="1542">
        <f t="shared" si="5"/>
        <v>0</v>
      </c>
      <c r="M75" s="1531" t="str">
        <f t="shared" si="4"/>
        <v/>
      </c>
      <c r="N75" s="1532"/>
    </row>
    <row r="76">
      <c r="A76" s="1520">
        <v>350.0</v>
      </c>
      <c r="B76" s="1521" t="s">
        <v>3329</v>
      </c>
      <c r="C76" s="1522" t="s">
        <v>3330</v>
      </c>
      <c r="D76" s="1523" t="s">
        <v>3331</v>
      </c>
      <c r="E76" s="1524" t="s">
        <v>2214</v>
      </c>
      <c r="F76" s="1525">
        <f>F77+F80+F83</f>
        <v>0</v>
      </c>
      <c r="G76" s="1526" t="str">
        <f t="shared" si="1"/>
        <v/>
      </c>
      <c r="H76" s="1526" t="str">
        <f>IFERROR(F76/F$58,"")</f>
        <v/>
      </c>
      <c r="I76" s="1527">
        <f>I77+I80+I83</f>
        <v>0</v>
      </c>
      <c r="J76" s="1528">
        <f t="shared" si="2"/>
        <v>0</v>
      </c>
      <c r="K76" s="1529">
        <f>IFERROR(I76/I$58,"")</f>
        <v>0</v>
      </c>
      <c r="L76" s="1530">
        <f t="shared" si="5"/>
        <v>0</v>
      </c>
      <c r="M76" s="1531" t="str">
        <f t="shared" si="4"/>
        <v/>
      </c>
      <c r="N76" s="1532"/>
    </row>
    <row r="77">
      <c r="A77" s="1533">
        <v>355.0</v>
      </c>
      <c r="B77" s="1534" t="s">
        <v>3332</v>
      </c>
      <c r="C77" s="1524" t="s">
        <v>3094</v>
      </c>
      <c r="D77" s="1535" t="s">
        <v>3333</v>
      </c>
      <c r="E77" s="1524" t="s">
        <v>2214</v>
      </c>
      <c r="F77" s="1536">
        <f>SUM(F78:F79)</f>
        <v>0</v>
      </c>
      <c r="G77" s="1537" t="str">
        <f t="shared" si="1"/>
        <v/>
      </c>
      <c r="H77" s="1538"/>
      <c r="I77" s="1539">
        <f>SUM(I78:I79)</f>
        <v>0</v>
      </c>
      <c r="J77" s="1540">
        <f t="shared" si="2"/>
        <v>0</v>
      </c>
      <c r="K77" s="1541"/>
      <c r="L77" s="1542">
        <f t="shared" si="5"/>
        <v>0</v>
      </c>
      <c r="M77" s="1531" t="str">
        <f t="shared" si="4"/>
        <v/>
      </c>
      <c r="N77" s="1532"/>
    </row>
    <row r="78">
      <c r="A78" s="1533">
        <v>360.0</v>
      </c>
      <c r="B78" s="1534" t="s">
        <v>3334</v>
      </c>
      <c r="C78" s="1524" t="s">
        <v>3095</v>
      </c>
      <c r="D78" s="1535" t="s">
        <v>2214</v>
      </c>
      <c r="E78" s="1524" t="s">
        <v>3061</v>
      </c>
      <c r="F78" s="1536">
        <f>SUMIF(MA_CODE,$E78,SDNDK)</f>
        <v>0</v>
      </c>
      <c r="G78" s="1537" t="str">
        <f t="shared" si="1"/>
        <v/>
      </c>
      <c r="H78" s="1538"/>
      <c r="I78" s="1539">
        <f>SUMIF(MA_CODE,$E78,SDNCK)</f>
        <v>0</v>
      </c>
      <c r="J78" s="1540">
        <f t="shared" si="2"/>
        <v>0</v>
      </c>
      <c r="K78" s="1541"/>
      <c r="L78" s="1542">
        <f t="shared" si="5"/>
        <v>0</v>
      </c>
      <c r="M78" s="1531" t="str">
        <f t="shared" si="4"/>
        <v/>
      </c>
      <c r="N78" s="1532"/>
    </row>
    <row r="79">
      <c r="A79" s="1533">
        <v>365.0</v>
      </c>
      <c r="B79" s="1534" t="s">
        <v>3335</v>
      </c>
      <c r="C79" s="1524" t="s">
        <v>3336</v>
      </c>
      <c r="D79" s="1535" t="s">
        <v>2214</v>
      </c>
      <c r="E79" s="1524" t="s">
        <v>1378</v>
      </c>
      <c r="F79" s="1536">
        <f>SUMIF(MA_CODE,$E79,SDNDK)-SUMIF(MA_CODE,$E79,SDCDK)</f>
        <v>0</v>
      </c>
      <c r="G79" s="1537" t="str">
        <f t="shared" si="1"/>
        <v/>
      </c>
      <c r="H79" s="1538"/>
      <c r="I79" s="1539">
        <f>SUMIF(MA_CODE,$E79,SDNCK)-SUMIF(MA_CODE,$E79,SDCCK)</f>
        <v>0</v>
      </c>
      <c r="J79" s="1540">
        <f t="shared" si="2"/>
        <v>0</v>
      </c>
      <c r="K79" s="1541"/>
      <c r="L79" s="1542">
        <f t="shared" si="5"/>
        <v>0</v>
      </c>
      <c r="M79" s="1531" t="str">
        <f t="shared" si="4"/>
        <v/>
      </c>
      <c r="N79" s="1532"/>
    </row>
    <row r="80">
      <c r="A80" s="1533">
        <v>370.0</v>
      </c>
      <c r="B80" s="1534" t="s">
        <v>3337</v>
      </c>
      <c r="C80" s="1524" t="s">
        <v>3338</v>
      </c>
      <c r="D80" s="1535" t="s">
        <v>3339</v>
      </c>
      <c r="E80" s="1524" t="s">
        <v>2214</v>
      </c>
      <c r="F80" s="1536">
        <f>SUM(F81:F82)</f>
        <v>0</v>
      </c>
      <c r="G80" s="1537" t="str">
        <f t="shared" si="1"/>
        <v/>
      </c>
      <c r="H80" s="1538"/>
      <c r="I80" s="1539">
        <f>SUM(I81:I82)</f>
        <v>0</v>
      </c>
      <c r="J80" s="1540">
        <f t="shared" si="2"/>
        <v>0</v>
      </c>
      <c r="K80" s="1541"/>
      <c r="L80" s="1542">
        <f t="shared" si="5"/>
        <v>0</v>
      </c>
      <c r="M80" s="1531" t="str">
        <f t="shared" si="4"/>
        <v/>
      </c>
      <c r="N80" s="1532"/>
    </row>
    <row r="81">
      <c r="A81" s="1533">
        <v>375.0</v>
      </c>
      <c r="B81" s="1534" t="s">
        <v>3334</v>
      </c>
      <c r="C81" s="1524" t="s">
        <v>3340</v>
      </c>
      <c r="D81" s="1535" t="s">
        <v>2214</v>
      </c>
      <c r="E81" s="1524" t="s">
        <v>3071</v>
      </c>
      <c r="F81" s="1536">
        <f>SUMIF(MA_CODE,$E81,SDNDK)</f>
        <v>0</v>
      </c>
      <c r="G81" s="1537" t="str">
        <f t="shared" si="1"/>
        <v/>
      </c>
      <c r="H81" s="1538"/>
      <c r="I81" s="1539">
        <f>SUMIF(MA_CODE,$E81,SDNCK)</f>
        <v>0</v>
      </c>
      <c r="J81" s="1540">
        <f t="shared" si="2"/>
        <v>0</v>
      </c>
      <c r="K81" s="1541"/>
      <c r="L81" s="1542">
        <f t="shared" si="5"/>
        <v>0</v>
      </c>
      <c r="M81" s="1531" t="str">
        <f t="shared" si="4"/>
        <v/>
      </c>
      <c r="N81" s="1532"/>
    </row>
    <row r="82">
      <c r="A82" s="1533">
        <v>380.0</v>
      </c>
      <c r="B82" s="1534" t="s">
        <v>3335</v>
      </c>
      <c r="C82" s="1524" t="s">
        <v>3341</v>
      </c>
      <c r="D82" s="1535" t="s">
        <v>2214</v>
      </c>
      <c r="E82" s="1524" t="s">
        <v>1380</v>
      </c>
      <c r="F82" s="1536">
        <f>SUMIF(MA_CODE,$E82,SDNDK)-SUMIF(MA_CODE,$E82,SDCDK)</f>
        <v>0</v>
      </c>
      <c r="G82" s="1537" t="str">
        <f t="shared" si="1"/>
        <v/>
      </c>
      <c r="H82" s="1538"/>
      <c r="I82" s="1539">
        <f>SUMIF(MA_CODE,$E82,SDNCK)-SUMIF(MA_CODE,$E82,SDCCK)</f>
        <v>0</v>
      </c>
      <c r="J82" s="1540">
        <f t="shared" si="2"/>
        <v>0</v>
      </c>
      <c r="K82" s="1541"/>
      <c r="L82" s="1542">
        <f t="shared" si="5"/>
        <v>0</v>
      </c>
      <c r="M82" s="1531" t="str">
        <f t="shared" si="4"/>
        <v/>
      </c>
      <c r="N82" s="1532"/>
    </row>
    <row r="83">
      <c r="A83" s="1533">
        <v>385.0</v>
      </c>
      <c r="B83" s="1534" t="s">
        <v>3342</v>
      </c>
      <c r="C83" s="1524" t="s">
        <v>3343</v>
      </c>
      <c r="D83" s="1535" t="s">
        <v>3344</v>
      </c>
      <c r="E83" s="1524" t="s">
        <v>2214</v>
      </c>
      <c r="F83" s="1536">
        <f>SUM(F84:F85)</f>
        <v>0</v>
      </c>
      <c r="G83" s="1537" t="str">
        <f t="shared" si="1"/>
        <v/>
      </c>
      <c r="H83" s="1538"/>
      <c r="I83" s="1539">
        <f>SUM(I84:I85)</f>
        <v>0</v>
      </c>
      <c r="J83" s="1540">
        <f t="shared" si="2"/>
        <v>0</v>
      </c>
      <c r="K83" s="1541"/>
      <c r="L83" s="1542">
        <f t="shared" si="5"/>
        <v>0</v>
      </c>
      <c r="M83" s="1531" t="str">
        <f t="shared" si="4"/>
        <v/>
      </c>
      <c r="N83" s="1532"/>
    </row>
    <row r="84">
      <c r="A84" s="1533">
        <v>390.0</v>
      </c>
      <c r="B84" s="1534" t="s">
        <v>3334</v>
      </c>
      <c r="C84" s="1524" t="s">
        <v>1387</v>
      </c>
      <c r="D84" s="1535" t="s">
        <v>2214</v>
      </c>
      <c r="E84" s="1524" t="s">
        <v>3076</v>
      </c>
      <c r="F84" s="1536">
        <f>SUMIF(MA_CODE,$E84,SDNDK)</f>
        <v>0</v>
      </c>
      <c r="G84" s="1537" t="str">
        <f t="shared" si="1"/>
        <v/>
      </c>
      <c r="H84" s="1538"/>
      <c r="I84" s="1539">
        <f>SUMIF(MA_CODE,$E84,SDNCK)</f>
        <v>0</v>
      </c>
      <c r="J84" s="1540">
        <f t="shared" si="2"/>
        <v>0</v>
      </c>
      <c r="K84" s="1541"/>
      <c r="L84" s="1542">
        <f t="shared" si="5"/>
        <v>0</v>
      </c>
      <c r="M84" s="1531" t="str">
        <f t="shared" si="4"/>
        <v/>
      </c>
      <c r="N84" s="1532"/>
    </row>
    <row r="85">
      <c r="A85" s="1533">
        <v>395.0</v>
      </c>
      <c r="B85" s="1534" t="s">
        <v>3335</v>
      </c>
      <c r="C85" s="1524" t="s">
        <v>3097</v>
      </c>
      <c r="D85" s="1535" t="s">
        <v>2214</v>
      </c>
      <c r="E85" s="1524" t="s">
        <v>1382</v>
      </c>
      <c r="F85" s="1536">
        <f>SUMIF(MA_CODE,$E85,SDNDK)-SUMIF(MA_CODE,$E85,SDCDK)</f>
        <v>0</v>
      </c>
      <c r="G85" s="1537" t="str">
        <f t="shared" si="1"/>
        <v/>
      </c>
      <c r="H85" s="1538"/>
      <c r="I85" s="1539">
        <f>SUMIF(MA_CODE,$E85,SDNCK)-SUMIF(MA_CODE,$E85,SDCCK)</f>
        <v>0</v>
      </c>
      <c r="J85" s="1540">
        <f t="shared" si="2"/>
        <v>0</v>
      </c>
      <c r="K85" s="1541"/>
      <c r="L85" s="1542">
        <f t="shared" si="5"/>
        <v>0</v>
      </c>
      <c r="M85" s="1531" t="str">
        <f t="shared" si="4"/>
        <v/>
      </c>
      <c r="N85" s="1532"/>
    </row>
    <row r="86">
      <c r="A86" s="1520">
        <v>400.0</v>
      </c>
      <c r="B86" s="1521" t="s">
        <v>3345</v>
      </c>
      <c r="C86" s="1522" t="s">
        <v>3346</v>
      </c>
      <c r="D86" s="1523" t="s">
        <v>3347</v>
      </c>
      <c r="E86" s="1524" t="s">
        <v>2214</v>
      </c>
      <c r="F86" s="1536">
        <f>SUM(F87:F88)</f>
        <v>0</v>
      </c>
      <c r="G86" s="1526" t="str">
        <f t="shared" si="1"/>
        <v/>
      </c>
      <c r="H86" s="1526" t="str">
        <f>IFERROR(F86/F$58,"")</f>
        <v/>
      </c>
      <c r="I86" s="1539">
        <f>SUM(I87:I88)</f>
        <v>0</v>
      </c>
      <c r="J86" s="1528">
        <f t="shared" si="2"/>
        <v>0</v>
      </c>
      <c r="K86" s="1529">
        <f>IFERROR(I86/I$58,"")</f>
        <v>0</v>
      </c>
      <c r="L86" s="1530">
        <f t="shared" si="5"/>
        <v>0</v>
      </c>
      <c r="M86" s="1531" t="str">
        <f t="shared" si="4"/>
        <v/>
      </c>
      <c r="N86" s="1532"/>
    </row>
    <row r="87">
      <c r="A87" s="1533">
        <v>405.0</v>
      </c>
      <c r="B87" s="1534" t="s">
        <v>3334</v>
      </c>
      <c r="C87" s="1524" t="s">
        <v>3348</v>
      </c>
      <c r="D87" s="1535" t="s">
        <v>2214</v>
      </c>
      <c r="E87" s="1524" t="s">
        <v>3093</v>
      </c>
      <c r="F87" s="1536">
        <f>SUMIF(MA_CODE,$E87,SDNDK)</f>
        <v>0</v>
      </c>
      <c r="G87" s="1537" t="str">
        <f t="shared" si="1"/>
        <v/>
      </c>
      <c r="H87" s="1538"/>
      <c r="I87" s="1539">
        <f>SUMIF(MA_CODE,$E87,SDNCK)</f>
        <v>0</v>
      </c>
      <c r="J87" s="1540">
        <f t="shared" si="2"/>
        <v>0</v>
      </c>
      <c r="K87" s="1541"/>
      <c r="L87" s="1542">
        <f t="shared" si="5"/>
        <v>0</v>
      </c>
      <c r="M87" s="1531" t="str">
        <f t="shared" si="4"/>
        <v/>
      </c>
      <c r="N87" s="1532"/>
    </row>
    <row r="88">
      <c r="A88" s="1533">
        <v>410.0</v>
      </c>
      <c r="B88" s="1534" t="s">
        <v>3335</v>
      </c>
      <c r="C88" s="1524" t="s">
        <v>3349</v>
      </c>
      <c r="D88" s="1535" t="s">
        <v>2214</v>
      </c>
      <c r="E88" s="1524" t="s">
        <v>1384</v>
      </c>
      <c r="F88" s="1536">
        <f>SUMIF(MA_CODE,$E88,SDNDK)-SUMIF(MA_CODE,$E88,SDCDK)</f>
        <v>0</v>
      </c>
      <c r="G88" s="1537" t="str">
        <f t="shared" si="1"/>
        <v/>
      </c>
      <c r="H88" s="1538"/>
      <c r="I88" s="1539">
        <f>SUMIF(MA_CODE,$E88,SDNCK)-SUMIF(MA_CODE,$E88,SDCCK)</f>
        <v>0</v>
      </c>
      <c r="J88" s="1540">
        <f t="shared" si="2"/>
        <v>0</v>
      </c>
      <c r="K88" s="1541"/>
      <c r="L88" s="1542">
        <f t="shared" si="5"/>
        <v>0</v>
      </c>
      <c r="M88" s="1531" t="str">
        <f t="shared" si="4"/>
        <v/>
      </c>
      <c r="N88" s="1532"/>
    </row>
    <row r="89">
      <c r="A89" s="1520">
        <v>415.0</v>
      </c>
      <c r="B89" s="1521" t="s">
        <v>3350</v>
      </c>
      <c r="C89" s="1522" t="s">
        <v>3351</v>
      </c>
      <c r="D89" s="1523" t="s">
        <v>3352</v>
      </c>
      <c r="E89" s="1524" t="s">
        <v>2214</v>
      </c>
      <c r="F89" s="1525">
        <f>F90+F93</f>
        <v>0</v>
      </c>
      <c r="G89" s="1526" t="str">
        <f t="shared" si="1"/>
        <v/>
      </c>
      <c r="H89" s="1526" t="str">
        <f>IFERROR(F89/F$58,"")</f>
        <v/>
      </c>
      <c r="I89" s="1527">
        <f>I90+I93</f>
        <v>2313175011</v>
      </c>
      <c r="J89" s="1528">
        <f t="shared" si="2"/>
        <v>0.3299110029</v>
      </c>
      <c r="K89" s="1529">
        <f>IFERROR(I89/I$58,"")</f>
        <v>0.8222648793</v>
      </c>
      <c r="L89" s="1530">
        <f t="shared" si="5"/>
        <v>2313175011</v>
      </c>
      <c r="M89" s="1531" t="str">
        <f t="shared" si="4"/>
        <v/>
      </c>
      <c r="N89" s="1532"/>
    </row>
    <row r="90">
      <c r="A90" s="1533">
        <v>420.0</v>
      </c>
      <c r="B90" s="1534" t="s">
        <v>3353</v>
      </c>
      <c r="C90" s="1524" t="s">
        <v>3099</v>
      </c>
      <c r="D90" s="1535" t="s">
        <v>3354</v>
      </c>
      <c r="E90" s="1524" t="s">
        <v>2214</v>
      </c>
      <c r="F90" s="1536">
        <f>SUM(F91:F92)</f>
        <v>0</v>
      </c>
      <c r="G90" s="1537" t="str">
        <f t="shared" si="1"/>
        <v/>
      </c>
      <c r="H90" s="1538"/>
      <c r="I90" s="1539">
        <f>SUM(I91:I92)</f>
        <v>2313175011</v>
      </c>
      <c r="J90" s="1540">
        <f t="shared" si="2"/>
        <v>0.3299110029</v>
      </c>
      <c r="K90" s="1541"/>
      <c r="L90" s="1542">
        <f t="shared" si="5"/>
        <v>2313175011</v>
      </c>
      <c r="M90" s="1531" t="str">
        <f t="shared" si="4"/>
        <v/>
      </c>
      <c r="N90" s="1532"/>
    </row>
    <row r="91">
      <c r="A91" s="1533">
        <v>425.0</v>
      </c>
      <c r="B91" s="1534" t="s">
        <v>3355</v>
      </c>
      <c r="C91" s="1524" t="s">
        <v>2214</v>
      </c>
      <c r="D91" s="1535" t="s">
        <v>2214</v>
      </c>
      <c r="E91" s="1550" t="s">
        <v>1875</v>
      </c>
      <c r="F91" s="1536">
        <f>SUMIF(MA_CODE,$E91,SDNDK)</f>
        <v>0</v>
      </c>
      <c r="G91" s="1537" t="str">
        <f t="shared" si="1"/>
        <v/>
      </c>
      <c r="H91" s="1538"/>
      <c r="I91" s="1539">
        <f>SUMIF(MA_CODE,$E91,SDNCK)</f>
        <v>2313175011</v>
      </c>
      <c r="J91" s="1540">
        <f t="shared" si="2"/>
        <v>0.3299110029</v>
      </c>
      <c r="K91" s="1541"/>
      <c r="L91" s="1542">
        <f t="shared" si="5"/>
        <v>2313175011</v>
      </c>
      <c r="M91" s="1531" t="str">
        <f t="shared" si="4"/>
        <v/>
      </c>
      <c r="N91" s="1532"/>
    </row>
    <row r="92">
      <c r="A92" s="1533">
        <v>430.0</v>
      </c>
      <c r="B92" s="1534" t="s">
        <v>3356</v>
      </c>
      <c r="C92" s="1524" t="s">
        <v>2214</v>
      </c>
      <c r="D92" s="1535" t="s">
        <v>2214</v>
      </c>
      <c r="E92" s="1550" t="s">
        <v>1400</v>
      </c>
      <c r="F92" s="1536">
        <f>SUMIF(MA_CODE,$E92,SDNDK)</f>
        <v>0</v>
      </c>
      <c r="G92" s="1537" t="str">
        <f t="shared" si="1"/>
        <v/>
      </c>
      <c r="H92" s="1538"/>
      <c r="I92" s="1539">
        <f>SUMIF(MA_CODE,$E92,SDNCK)</f>
        <v>0</v>
      </c>
      <c r="J92" s="1540">
        <f t="shared" si="2"/>
        <v>0</v>
      </c>
      <c r="K92" s="1541"/>
      <c r="L92" s="1542">
        <f t="shared" si="5"/>
        <v>0</v>
      </c>
      <c r="M92" s="1531" t="str">
        <f t="shared" si="4"/>
        <v/>
      </c>
      <c r="N92" s="1532"/>
    </row>
    <row r="93">
      <c r="A93" s="1533">
        <v>435.0</v>
      </c>
      <c r="B93" s="1534" t="s">
        <v>3357</v>
      </c>
      <c r="C93" s="1524" t="s">
        <v>3100</v>
      </c>
      <c r="D93" s="1535" t="s">
        <v>2214</v>
      </c>
      <c r="E93" s="1524" t="s">
        <v>3099</v>
      </c>
      <c r="F93" s="1536">
        <f>SUMIF(MA_CODE,$E93,SDNDK)</f>
        <v>0</v>
      </c>
      <c r="G93" s="1537" t="str">
        <f t="shared" si="1"/>
        <v/>
      </c>
      <c r="H93" s="1538"/>
      <c r="I93" s="1539">
        <f>SUMIF(MA_CODE,$E93,SDNCK)</f>
        <v>0</v>
      </c>
      <c r="J93" s="1540">
        <f t="shared" si="2"/>
        <v>0</v>
      </c>
      <c r="K93" s="1541"/>
      <c r="L93" s="1542">
        <f t="shared" si="5"/>
        <v>0</v>
      </c>
      <c r="M93" s="1531" t="str">
        <f t="shared" si="4"/>
        <v/>
      </c>
      <c r="N93" s="1532"/>
    </row>
    <row r="94">
      <c r="A94" s="1520">
        <v>440.0</v>
      </c>
      <c r="B94" s="1521" t="s">
        <v>3358</v>
      </c>
      <c r="C94" s="1522" t="s">
        <v>3359</v>
      </c>
      <c r="D94" s="1523" t="s">
        <v>3360</v>
      </c>
      <c r="E94" s="1524" t="s">
        <v>2214</v>
      </c>
      <c r="F94" s="1525">
        <f>SUM(F95:F99)</f>
        <v>0</v>
      </c>
      <c r="G94" s="1526" t="str">
        <f t="shared" si="1"/>
        <v/>
      </c>
      <c r="H94" s="1526" t="str">
        <f>IFERROR(F94/F$58,"")</f>
        <v/>
      </c>
      <c r="I94" s="1527">
        <f>SUM(I95:I99)</f>
        <v>0</v>
      </c>
      <c r="J94" s="1528">
        <f t="shared" si="2"/>
        <v>0</v>
      </c>
      <c r="K94" s="1529">
        <f>IFERROR(I94/I$58,"")</f>
        <v>0</v>
      </c>
      <c r="L94" s="1530">
        <f t="shared" si="5"/>
        <v>0</v>
      </c>
      <c r="M94" s="1531" t="str">
        <f t="shared" si="4"/>
        <v/>
      </c>
      <c r="N94" s="1532"/>
    </row>
    <row r="95">
      <c r="A95" s="1533">
        <v>445.0</v>
      </c>
      <c r="B95" s="1534" t="s">
        <v>3361</v>
      </c>
      <c r="C95" s="1524" t="s">
        <v>3362</v>
      </c>
      <c r="D95" s="1535" t="s">
        <v>2214</v>
      </c>
      <c r="E95" s="1524" t="s">
        <v>3094</v>
      </c>
      <c r="F95" s="1536">
        <f>SUMIF(MA_CODE,$E95,SDNDK)</f>
        <v>0</v>
      </c>
      <c r="G95" s="1537" t="str">
        <f t="shared" si="1"/>
        <v/>
      </c>
      <c r="H95" s="1538"/>
      <c r="I95" s="1539">
        <f>SUMIF(MA_CODE,$E95,SDNCK)</f>
        <v>0</v>
      </c>
      <c r="J95" s="1540">
        <f t="shared" si="2"/>
        <v>0</v>
      </c>
      <c r="K95" s="1541"/>
      <c r="L95" s="1542">
        <f t="shared" si="5"/>
        <v>0</v>
      </c>
      <c r="M95" s="1531" t="str">
        <f t="shared" si="4"/>
        <v/>
      </c>
      <c r="N95" s="1532"/>
    </row>
    <row r="96">
      <c r="A96" s="1533">
        <v>450.0</v>
      </c>
      <c r="B96" s="1534" t="s">
        <v>3363</v>
      </c>
      <c r="C96" s="1524" t="s">
        <v>3364</v>
      </c>
      <c r="D96" s="1535" t="s">
        <v>2214</v>
      </c>
      <c r="E96" s="1524" t="s">
        <v>3095</v>
      </c>
      <c r="F96" s="1536">
        <f>SUMIF(MA_CODE,$E96,SDNDK)</f>
        <v>0</v>
      </c>
      <c r="G96" s="1537" t="str">
        <f t="shared" si="1"/>
        <v/>
      </c>
      <c r="H96" s="1538"/>
      <c r="I96" s="1539">
        <f>SUMIF(MA_CODE,$E96,SDNCK)</f>
        <v>0</v>
      </c>
      <c r="J96" s="1540">
        <f t="shared" si="2"/>
        <v>0</v>
      </c>
      <c r="K96" s="1541"/>
      <c r="L96" s="1542">
        <f t="shared" si="5"/>
        <v>0</v>
      </c>
      <c r="M96" s="1531" t="str">
        <f t="shared" si="4"/>
        <v/>
      </c>
      <c r="N96" s="1532"/>
    </row>
    <row r="97">
      <c r="A97" s="1533">
        <v>455.0</v>
      </c>
      <c r="B97" s="1534" t="s">
        <v>3365</v>
      </c>
      <c r="C97" s="1524" t="s">
        <v>3366</v>
      </c>
      <c r="D97" s="1535" t="s">
        <v>2214</v>
      </c>
      <c r="E97" s="1524" t="s">
        <v>1389</v>
      </c>
      <c r="F97" s="1536">
        <f>SUMIF(MA_CODE,$E97,SDNDK)</f>
        <v>0</v>
      </c>
      <c r="G97" s="1537" t="str">
        <f t="shared" si="1"/>
        <v/>
      </c>
      <c r="H97" s="1538"/>
      <c r="I97" s="1539">
        <f>SUMIF(MA_CODE,$E97,SDNCK)</f>
        <v>0</v>
      </c>
      <c r="J97" s="1540">
        <f t="shared" si="2"/>
        <v>0</v>
      </c>
      <c r="K97" s="1541"/>
      <c r="L97" s="1542">
        <f t="shared" si="5"/>
        <v>0</v>
      </c>
      <c r="M97" s="1531" t="str">
        <f t="shared" si="4"/>
        <v/>
      </c>
      <c r="N97" s="1532"/>
    </row>
    <row r="98">
      <c r="A98" s="1533">
        <v>460.0</v>
      </c>
      <c r="B98" s="1534" t="s">
        <v>3367</v>
      </c>
      <c r="C98" s="1524" t="s">
        <v>3368</v>
      </c>
      <c r="D98" s="1535" t="s">
        <v>2214</v>
      </c>
      <c r="E98" s="1524" t="s">
        <v>1396</v>
      </c>
      <c r="F98" s="1536">
        <f>SUMIF(MA_CODE,$E98,SDNDK)</f>
        <v>0</v>
      </c>
      <c r="G98" s="1537" t="str">
        <f t="shared" si="1"/>
        <v/>
      </c>
      <c r="H98" s="1538"/>
      <c r="I98" s="1539">
        <f>SUMIF(MA_CODE,$E98,SDNCK)</f>
        <v>0</v>
      </c>
      <c r="J98" s="1540">
        <f t="shared" si="2"/>
        <v>0</v>
      </c>
      <c r="K98" s="1541"/>
      <c r="L98" s="1542">
        <f t="shared" si="5"/>
        <v>0</v>
      </c>
      <c r="M98" s="1531" t="str">
        <f t="shared" si="4"/>
        <v/>
      </c>
      <c r="N98" s="1532"/>
    </row>
    <row r="99">
      <c r="A99" s="1533">
        <v>465.0</v>
      </c>
      <c r="B99" s="1534" t="s">
        <v>3369</v>
      </c>
      <c r="C99" s="1524" t="s">
        <v>3370</v>
      </c>
      <c r="D99" s="1535" t="s">
        <v>3371</v>
      </c>
      <c r="E99" s="1524" t="s">
        <v>2214</v>
      </c>
      <c r="F99" s="1536">
        <f>SUM(F100:F102)</f>
        <v>0</v>
      </c>
      <c r="G99" s="1537" t="str">
        <f t="shared" si="1"/>
        <v/>
      </c>
      <c r="H99" s="1538"/>
      <c r="I99" s="1539">
        <f>SUM(I100:I102)</f>
        <v>0</v>
      </c>
      <c r="J99" s="1540">
        <f t="shared" si="2"/>
        <v>0</v>
      </c>
      <c r="K99" s="1541"/>
      <c r="L99" s="1542">
        <f t="shared" si="5"/>
        <v>0</v>
      </c>
      <c r="M99" s="1531" t="str">
        <f t="shared" si="4"/>
        <v/>
      </c>
      <c r="N99" s="1532"/>
    </row>
    <row r="100">
      <c r="A100" s="1533">
        <v>470.0</v>
      </c>
      <c r="B100" s="1534" t="s">
        <v>3372</v>
      </c>
      <c r="C100" s="1524" t="s">
        <v>2214</v>
      </c>
      <c r="D100" s="1535" t="s">
        <v>2214</v>
      </c>
      <c r="E100" s="1524" t="s">
        <v>3373</v>
      </c>
      <c r="F100" s="1536">
        <f>SUMIF(MA_CODE,$E100,SDNDK)</f>
        <v>0</v>
      </c>
      <c r="G100" s="1537" t="str">
        <f t="shared" si="1"/>
        <v/>
      </c>
      <c r="H100" s="1538"/>
      <c r="I100" s="1539">
        <f>SUMIF(MA_CODE,$E100,SDNCK)</f>
        <v>0</v>
      </c>
      <c r="J100" s="1540">
        <f t="shared" si="2"/>
        <v>0</v>
      </c>
      <c r="K100" s="1541"/>
      <c r="L100" s="1542">
        <f t="shared" si="5"/>
        <v>0</v>
      </c>
      <c r="M100" s="1531" t="str">
        <f t="shared" si="4"/>
        <v/>
      </c>
      <c r="N100" s="1532"/>
    </row>
    <row r="101">
      <c r="A101" s="1533">
        <v>475.0</v>
      </c>
      <c r="B101" s="1534" t="s">
        <v>3374</v>
      </c>
      <c r="C101" s="1524" t="s">
        <v>2214</v>
      </c>
      <c r="D101" s="1535" t="s">
        <v>2214</v>
      </c>
      <c r="E101" s="1524" t="s">
        <v>3375</v>
      </c>
      <c r="F101" s="1536">
        <f>SUMIF(MA_CODE,$E101,SDNDK)</f>
        <v>0</v>
      </c>
      <c r="G101" s="1537" t="str">
        <f t="shared" si="1"/>
        <v/>
      </c>
      <c r="H101" s="1538"/>
      <c r="I101" s="1539">
        <f>SUMIF(MA_CODE,$E101,SDNCK)</f>
        <v>0</v>
      </c>
      <c r="J101" s="1540">
        <f t="shared" si="2"/>
        <v>0</v>
      </c>
      <c r="K101" s="1541"/>
      <c r="L101" s="1542">
        <f t="shared" si="5"/>
        <v>0</v>
      </c>
      <c r="M101" s="1531" t="str">
        <f t="shared" si="4"/>
        <v/>
      </c>
      <c r="N101" s="1532"/>
    </row>
    <row r="102">
      <c r="A102" s="1533">
        <v>480.0</v>
      </c>
      <c r="B102" s="1534" t="s">
        <v>3376</v>
      </c>
      <c r="C102" s="1524" t="s">
        <v>2214</v>
      </c>
      <c r="D102" s="1535" t="s">
        <v>2214</v>
      </c>
      <c r="E102" s="1524" t="s">
        <v>3377</v>
      </c>
      <c r="F102" s="1536">
        <f>SUMIF(MA_CODE,$E102,SDNDK)</f>
        <v>0</v>
      </c>
      <c r="G102" s="1537" t="str">
        <f t="shared" si="1"/>
        <v/>
      </c>
      <c r="H102" s="1538"/>
      <c r="I102" s="1539">
        <f>SUMIF(MA_CODE,$E102,SDNCK)</f>
        <v>0</v>
      </c>
      <c r="J102" s="1540">
        <f t="shared" si="2"/>
        <v>0</v>
      </c>
      <c r="K102" s="1541"/>
      <c r="L102" s="1542">
        <f t="shared" si="5"/>
        <v>0</v>
      </c>
      <c r="M102" s="1531" t="str">
        <f t="shared" si="4"/>
        <v/>
      </c>
      <c r="N102" s="1532"/>
    </row>
    <row r="103">
      <c r="A103" s="1520">
        <v>485.0</v>
      </c>
      <c r="B103" s="1521" t="s">
        <v>3378</v>
      </c>
      <c r="C103" s="1522" t="s">
        <v>3379</v>
      </c>
      <c r="D103" s="1523" t="s">
        <v>3380</v>
      </c>
      <c r="E103" s="1524" t="s">
        <v>2214</v>
      </c>
      <c r="F103" s="1525">
        <f>SUM(F104:F106)+F109</f>
        <v>0</v>
      </c>
      <c r="G103" s="1526" t="str">
        <f t="shared" si="1"/>
        <v/>
      </c>
      <c r="H103" s="1526" t="str">
        <f>IFERROR(F103/F$58,"")</f>
        <v/>
      </c>
      <c r="I103" s="1527">
        <f>SUM(I104:I106)+I109</f>
        <v>0</v>
      </c>
      <c r="J103" s="1528">
        <f t="shared" si="2"/>
        <v>0</v>
      </c>
      <c r="K103" s="1529">
        <f>IFERROR(I103/I$58,"")</f>
        <v>0</v>
      </c>
      <c r="L103" s="1530">
        <f t="shared" si="5"/>
        <v>0</v>
      </c>
      <c r="M103" s="1531" t="str">
        <f t="shared" si="4"/>
        <v/>
      </c>
      <c r="N103" s="1532"/>
    </row>
    <row r="104">
      <c r="A104" s="1533">
        <v>490.0</v>
      </c>
      <c r="B104" s="1534" t="s">
        <v>3381</v>
      </c>
      <c r="C104" s="1524" t="s">
        <v>3382</v>
      </c>
      <c r="D104" s="1535" t="s">
        <v>2214</v>
      </c>
      <c r="E104" s="1524" t="s">
        <v>3383</v>
      </c>
      <c r="F104" s="1536">
        <f>SUMIF(MA_CODE,$E104,SDNDK)</f>
        <v>0</v>
      </c>
      <c r="G104" s="1537" t="str">
        <f t="shared" si="1"/>
        <v/>
      </c>
      <c r="H104" s="1538"/>
      <c r="I104" s="1539">
        <f>SUMIF(MA_CODE,$E104,SDNCK)</f>
        <v>0</v>
      </c>
      <c r="J104" s="1540">
        <f t="shared" si="2"/>
        <v>0</v>
      </c>
      <c r="K104" s="1541"/>
      <c r="L104" s="1542">
        <f t="shared" si="5"/>
        <v>0</v>
      </c>
      <c r="M104" s="1531" t="str">
        <f t="shared" si="4"/>
        <v/>
      </c>
      <c r="N104" s="1532"/>
    </row>
    <row r="105">
      <c r="A105" s="1533">
        <v>495.0</v>
      </c>
      <c r="B105" s="1534" t="s">
        <v>3384</v>
      </c>
      <c r="C105" s="1524" t="s">
        <v>3385</v>
      </c>
      <c r="D105" s="1535" t="s">
        <v>2214</v>
      </c>
      <c r="E105" s="1524" t="s">
        <v>3102</v>
      </c>
      <c r="F105" s="1536">
        <f>SUMIF(MA_CODE,$E105,SDNDK)</f>
        <v>0</v>
      </c>
      <c r="G105" s="1537" t="str">
        <f t="shared" si="1"/>
        <v/>
      </c>
      <c r="H105" s="1538"/>
      <c r="I105" s="1539">
        <f>SUMIF(MA_CODE,$E105,SDNCK)</f>
        <v>0</v>
      </c>
      <c r="J105" s="1540">
        <f t="shared" si="2"/>
        <v>0</v>
      </c>
      <c r="K105" s="1541"/>
      <c r="L105" s="1542">
        <f t="shared" si="5"/>
        <v>0</v>
      </c>
      <c r="M105" s="1531" t="str">
        <f t="shared" si="4"/>
        <v/>
      </c>
      <c r="N105" s="1532"/>
    </row>
    <row r="106">
      <c r="A106" s="1533">
        <v>500.0</v>
      </c>
      <c r="B106" s="1534" t="s">
        <v>3386</v>
      </c>
      <c r="C106" s="1524" t="s">
        <v>3387</v>
      </c>
      <c r="D106" s="1535" t="s">
        <v>3388</v>
      </c>
      <c r="E106" s="1524" t="s">
        <v>2214</v>
      </c>
      <c r="F106" s="1536">
        <f>SUM(F107:F108)</f>
        <v>0</v>
      </c>
      <c r="G106" s="1537" t="str">
        <f t="shared" si="1"/>
        <v/>
      </c>
      <c r="H106" s="1538"/>
      <c r="I106" s="1539">
        <f>SUM(I107:I108)</f>
        <v>0</v>
      </c>
      <c r="J106" s="1540">
        <f t="shared" si="2"/>
        <v>0</v>
      </c>
      <c r="K106" s="1541"/>
      <c r="L106" s="1542">
        <f t="shared" si="5"/>
        <v>0</v>
      </c>
      <c r="M106" s="1531" t="str">
        <f t="shared" si="4"/>
        <v/>
      </c>
      <c r="N106" s="1532"/>
    </row>
    <row r="107">
      <c r="A107" s="1533">
        <v>505.0</v>
      </c>
      <c r="B107" s="1534" t="s">
        <v>3389</v>
      </c>
      <c r="C107" s="1524" t="s">
        <v>2214</v>
      </c>
      <c r="D107" s="1535" t="s">
        <v>2214</v>
      </c>
      <c r="E107" s="1550" t="s">
        <v>3035</v>
      </c>
      <c r="F107" s="1536">
        <f>SUMIF(MA_CODE,$E107,SDNDK)</f>
        <v>0</v>
      </c>
      <c r="G107" s="1537" t="str">
        <f t="shared" si="1"/>
        <v/>
      </c>
      <c r="H107" s="1538"/>
      <c r="I107" s="1539">
        <f>SUMIF(MA_CODE,$E107,SDNCK)</f>
        <v>0</v>
      </c>
      <c r="J107" s="1540">
        <f t="shared" si="2"/>
        <v>0</v>
      </c>
      <c r="K107" s="1541"/>
      <c r="L107" s="1542">
        <f t="shared" si="5"/>
        <v>0</v>
      </c>
      <c r="M107" s="1531" t="str">
        <f t="shared" si="4"/>
        <v/>
      </c>
      <c r="N107" s="1532"/>
    </row>
    <row r="108">
      <c r="A108" s="1533">
        <v>510.0</v>
      </c>
      <c r="B108" s="1534" t="s">
        <v>3390</v>
      </c>
      <c r="C108" s="1524" t="s">
        <v>2214</v>
      </c>
      <c r="D108" s="1535" t="s">
        <v>2214</v>
      </c>
      <c r="E108" s="1550" t="s">
        <v>1400</v>
      </c>
      <c r="F108" s="1536">
        <f>SUMIF(MA_CODE,$E108,SDNDK)</f>
        <v>0</v>
      </c>
      <c r="G108" s="1537" t="str">
        <f t="shared" si="1"/>
        <v/>
      </c>
      <c r="H108" s="1538"/>
      <c r="I108" s="1539">
        <f>SUMIF(MA_CODE,$E108,SDNCK)</f>
        <v>0</v>
      </c>
      <c r="J108" s="1540">
        <f t="shared" si="2"/>
        <v>0</v>
      </c>
      <c r="K108" s="1541"/>
      <c r="L108" s="1542">
        <f t="shared" si="5"/>
        <v>0</v>
      </c>
      <c r="M108" s="1531" t="str">
        <f t="shared" si="4"/>
        <v/>
      </c>
      <c r="N108" s="1532"/>
    </row>
    <row r="109">
      <c r="A109" s="1533">
        <v>515.0</v>
      </c>
      <c r="B109" s="1534" t="s">
        <v>3391</v>
      </c>
      <c r="C109" s="1524" t="s">
        <v>3392</v>
      </c>
      <c r="D109" s="1535" t="s">
        <v>2214</v>
      </c>
      <c r="E109" s="1550" t="s">
        <v>1391</v>
      </c>
      <c r="F109" s="1536">
        <f>SUMIF(MA_CODE,$E109,SDNDK)</f>
        <v>0</v>
      </c>
      <c r="G109" s="1537" t="str">
        <f t="shared" si="1"/>
        <v/>
      </c>
      <c r="H109" s="1538"/>
      <c r="I109" s="1539">
        <f>SUMIF(MA_CODE,$E109,SDNCK)</f>
        <v>0</v>
      </c>
      <c r="J109" s="1540">
        <f t="shared" si="2"/>
        <v>0</v>
      </c>
      <c r="K109" s="1541"/>
      <c r="L109" s="1542">
        <f t="shared" si="5"/>
        <v>0</v>
      </c>
      <c r="M109" s="1531" t="str">
        <f t="shared" si="4"/>
        <v/>
      </c>
      <c r="N109" s="1532"/>
    </row>
    <row r="110">
      <c r="A110" s="1551">
        <v>520.0</v>
      </c>
      <c r="B110" s="1552" t="s">
        <v>3393</v>
      </c>
      <c r="C110" s="1553" t="s">
        <v>3394</v>
      </c>
      <c r="D110" s="1554" t="s">
        <v>3395</v>
      </c>
      <c r="E110" s="1555" t="s">
        <v>2214</v>
      </c>
      <c r="F110" s="1556">
        <f>F58+F5</f>
        <v>0</v>
      </c>
      <c r="G110" s="1557" t="str">
        <f t="shared" si="1"/>
        <v/>
      </c>
      <c r="H110" s="1558"/>
      <c r="I110" s="1556">
        <f>I58+I5</f>
        <v>7011512167</v>
      </c>
      <c r="J110" s="1559">
        <f t="shared" si="2"/>
        <v>1</v>
      </c>
      <c r="K110" s="1558"/>
      <c r="L110" s="1560">
        <f t="shared" si="5"/>
        <v>7011512167</v>
      </c>
      <c r="M110" s="1557" t="str">
        <f t="shared" si="4"/>
        <v/>
      </c>
      <c r="N110" s="1561"/>
    </row>
    <row r="111">
      <c r="A111" s="1562">
        <v>525.0</v>
      </c>
      <c r="B111" s="1563" t="s">
        <v>1938</v>
      </c>
      <c r="C111" s="1564"/>
      <c r="D111" s="1564"/>
      <c r="E111" s="1565"/>
      <c r="F111" s="1566"/>
      <c r="G111" s="1567" t="str">
        <f t="shared" si="1"/>
        <v/>
      </c>
      <c r="H111" s="1568" t="str">
        <f>H3</f>
        <v/>
      </c>
      <c r="I111" s="1566"/>
      <c r="J111" s="1568">
        <f t="shared" si="2"/>
        <v>0</v>
      </c>
      <c r="K111" s="1568" t="str">
        <f>K3</f>
        <v/>
      </c>
      <c r="L111" s="1569" t="s">
        <v>3396</v>
      </c>
      <c r="M111" s="1570" t="str">
        <f t="shared" si="4"/>
        <v/>
      </c>
      <c r="N111" s="1571"/>
    </row>
    <row r="112">
      <c r="A112" s="1509">
        <v>530.0</v>
      </c>
      <c r="B112" s="1510" t="s">
        <v>3397</v>
      </c>
      <c r="C112" s="1511" t="s">
        <v>3398</v>
      </c>
      <c r="D112" s="1512" t="s">
        <v>3399</v>
      </c>
      <c r="E112" s="1513" t="s">
        <v>2214</v>
      </c>
      <c r="F112" s="1514">
        <f>F113+F142</f>
        <v>0</v>
      </c>
      <c r="G112" s="1515" t="str">
        <f t="shared" si="1"/>
        <v/>
      </c>
      <c r="H112" s="1515" t="str">
        <f>IFERROR(F112/F$188,"")</f>
        <v/>
      </c>
      <c r="I112" s="1514">
        <f>I113+I142</f>
        <v>12726281</v>
      </c>
      <c r="J112" s="1516">
        <f t="shared" si="2"/>
        <v>0.001815055112</v>
      </c>
      <c r="K112" s="1517">
        <f>IFERROR(I112/I$188,"")</f>
        <v>0.0068320725</v>
      </c>
      <c r="L112" s="1518">
        <f t="shared" ref="L112:L189" si="6">I112-F112</f>
        <v>12726281</v>
      </c>
      <c r="M112" s="1515" t="str">
        <f t="shared" si="4"/>
        <v/>
      </c>
      <c r="N112" s="1519"/>
    </row>
    <row r="113">
      <c r="A113" s="1520">
        <v>535.0</v>
      </c>
      <c r="B113" s="1521" t="s">
        <v>3400</v>
      </c>
      <c r="C113" s="1522" t="s">
        <v>3401</v>
      </c>
      <c r="D113" s="1523" t="s">
        <v>3402</v>
      </c>
      <c r="E113" s="1524" t="s">
        <v>2214</v>
      </c>
      <c r="F113" s="1525">
        <f>SUM(F114:F119)+F123+F124+F125+F135+SUM(F138:F141)</f>
        <v>0</v>
      </c>
      <c r="G113" s="1526" t="str">
        <f t="shared" si="1"/>
        <v/>
      </c>
      <c r="H113" s="1526" t="str">
        <f>IFERROR(F113/F$112,"")</f>
        <v/>
      </c>
      <c r="I113" s="1527">
        <f>SUM(I114:I119)+I123+I124+I125+I135+SUM(I138:I141)</f>
        <v>12726281</v>
      </c>
      <c r="J113" s="1528">
        <f t="shared" si="2"/>
        <v>0.001815055112</v>
      </c>
      <c r="K113" s="1529">
        <f>IFERROR(I113/I$112,"")</f>
        <v>1</v>
      </c>
      <c r="L113" s="1530">
        <f t="shared" si="6"/>
        <v>12726281</v>
      </c>
      <c r="M113" s="1531" t="str">
        <f t="shared" si="4"/>
        <v/>
      </c>
      <c r="N113" s="1532"/>
    </row>
    <row r="114">
      <c r="A114" s="1533">
        <v>540.0</v>
      </c>
      <c r="B114" s="1534" t="s">
        <v>3403</v>
      </c>
      <c r="C114" s="1524" t="s">
        <v>3404</v>
      </c>
      <c r="D114" s="1535" t="s">
        <v>2214</v>
      </c>
      <c r="E114" s="1524" t="s">
        <v>1810</v>
      </c>
      <c r="F114" s="1536">
        <f>SUMIF(MA_CODE,$E114,SDCDK)</f>
        <v>0</v>
      </c>
      <c r="G114" s="1537" t="str">
        <f t="shared" si="1"/>
        <v/>
      </c>
      <c r="H114" s="1538"/>
      <c r="I114" s="1539">
        <f>SUMIF(MA_CODE,$E114,SDCCK)</f>
        <v>0</v>
      </c>
      <c r="J114" s="1540">
        <f t="shared" si="2"/>
        <v>0</v>
      </c>
      <c r="K114" s="1541"/>
      <c r="L114" s="1542">
        <f t="shared" si="6"/>
        <v>0</v>
      </c>
      <c r="M114" s="1531" t="str">
        <f t="shared" si="4"/>
        <v/>
      </c>
      <c r="N114" s="1532"/>
    </row>
    <row r="115">
      <c r="A115" s="1533">
        <v>545.0</v>
      </c>
      <c r="B115" s="1534" t="s">
        <v>3405</v>
      </c>
      <c r="C115" s="1524" t="s">
        <v>3406</v>
      </c>
      <c r="D115" s="1535" t="s">
        <v>2214</v>
      </c>
      <c r="E115" s="1524" t="s">
        <v>1802</v>
      </c>
      <c r="F115" s="1536">
        <f>SUMIF(MA_CODE,$E115,SDCDK)</f>
        <v>0</v>
      </c>
      <c r="G115" s="1537" t="str">
        <f t="shared" si="1"/>
        <v/>
      </c>
      <c r="H115" s="1538"/>
      <c r="I115" s="1539">
        <f>SUMIF(MA_CODE,$E115,SDCCK)</f>
        <v>0</v>
      </c>
      <c r="J115" s="1540">
        <f t="shared" si="2"/>
        <v>0</v>
      </c>
      <c r="K115" s="1541"/>
      <c r="L115" s="1542">
        <f t="shared" si="6"/>
        <v>0</v>
      </c>
      <c r="M115" s="1531" t="str">
        <f t="shared" si="4"/>
        <v/>
      </c>
      <c r="N115" s="1532"/>
    </row>
    <row r="116">
      <c r="A116" s="1533">
        <v>550.0</v>
      </c>
      <c r="B116" s="1534" t="s">
        <v>3407</v>
      </c>
      <c r="C116" s="1524" t="s">
        <v>3408</v>
      </c>
      <c r="D116" s="1535" t="s">
        <v>2214</v>
      </c>
      <c r="E116" s="1524" t="s">
        <v>3105</v>
      </c>
      <c r="F116" s="1536">
        <f>SUMIF(MA_CODE,$E116,SDCDK)</f>
        <v>0</v>
      </c>
      <c r="G116" s="1537" t="str">
        <f t="shared" si="1"/>
        <v/>
      </c>
      <c r="H116" s="1538"/>
      <c r="I116" s="1539">
        <f>SUMIF(MA_CODE,$E116,SDCCK)</f>
        <v>0</v>
      </c>
      <c r="J116" s="1540">
        <f t="shared" si="2"/>
        <v>0</v>
      </c>
      <c r="K116" s="1541"/>
      <c r="L116" s="1542">
        <f t="shared" si="6"/>
        <v>0</v>
      </c>
      <c r="M116" s="1531" t="str">
        <f t="shared" si="4"/>
        <v/>
      </c>
      <c r="N116" s="1532"/>
    </row>
    <row r="117">
      <c r="A117" s="1533">
        <v>555.0</v>
      </c>
      <c r="B117" s="1534" t="s">
        <v>3409</v>
      </c>
      <c r="C117" s="1524" t="s">
        <v>3410</v>
      </c>
      <c r="D117" s="1535" t="s">
        <v>2214</v>
      </c>
      <c r="E117" s="1524" t="s">
        <v>3106</v>
      </c>
      <c r="F117" s="1536">
        <f>SUMIF(MA_CODE,$E117,SDCDK)</f>
        <v>0</v>
      </c>
      <c r="G117" s="1537" t="str">
        <f t="shared" si="1"/>
        <v/>
      </c>
      <c r="H117" s="1538"/>
      <c r="I117" s="1539">
        <f>SUMIF(MA_CODE,$E117,SDCCK)</f>
        <v>0</v>
      </c>
      <c r="J117" s="1540">
        <f t="shared" si="2"/>
        <v>0</v>
      </c>
      <c r="K117" s="1541"/>
      <c r="L117" s="1542">
        <f t="shared" si="6"/>
        <v>0</v>
      </c>
      <c r="M117" s="1531" t="str">
        <f t="shared" si="4"/>
        <v/>
      </c>
      <c r="N117" s="1532"/>
    </row>
    <row r="118">
      <c r="A118" s="1533">
        <v>560.0</v>
      </c>
      <c r="B118" s="1534" t="s">
        <v>3411</v>
      </c>
      <c r="C118" s="1524" t="s">
        <v>3412</v>
      </c>
      <c r="D118" s="1535" t="s">
        <v>2214</v>
      </c>
      <c r="E118" s="1524" t="s">
        <v>3118</v>
      </c>
      <c r="F118" s="1536">
        <f>SUMIF(MA_CODE,$E118,SDCDK)</f>
        <v>0</v>
      </c>
      <c r="G118" s="1537" t="str">
        <f t="shared" si="1"/>
        <v/>
      </c>
      <c r="H118" s="1538"/>
      <c r="I118" s="1539">
        <f>SUMIF(MA_CODE,$E118,SDCCK)</f>
        <v>0</v>
      </c>
      <c r="J118" s="1540">
        <f t="shared" si="2"/>
        <v>0</v>
      </c>
      <c r="K118" s="1541"/>
      <c r="L118" s="1542">
        <f t="shared" si="6"/>
        <v>0</v>
      </c>
      <c r="M118" s="1531" t="str">
        <f t="shared" si="4"/>
        <v/>
      </c>
      <c r="N118" s="1532"/>
    </row>
    <row r="119">
      <c r="A119" s="1533">
        <v>565.0</v>
      </c>
      <c r="B119" s="1534" t="s">
        <v>3413</v>
      </c>
      <c r="C119" s="1524" t="s">
        <v>3414</v>
      </c>
      <c r="D119" s="1535" t="s">
        <v>3415</v>
      </c>
      <c r="E119" s="1524" t="s">
        <v>2214</v>
      </c>
      <c r="F119" s="1536">
        <f>SUM(F120:F122)</f>
        <v>0</v>
      </c>
      <c r="G119" s="1537" t="str">
        <f t="shared" si="1"/>
        <v/>
      </c>
      <c r="H119" s="1538"/>
      <c r="I119" s="1539">
        <f>SUM(I120:I122)</f>
        <v>0</v>
      </c>
      <c r="J119" s="1540">
        <f t="shared" si="2"/>
        <v>0</v>
      </c>
      <c r="K119" s="1541"/>
      <c r="L119" s="1542">
        <f t="shared" si="6"/>
        <v>0</v>
      </c>
      <c r="M119" s="1531" t="str">
        <f t="shared" si="4"/>
        <v/>
      </c>
      <c r="N119" s="1532"/>
    </row>
    <row r="120">
      <c r="A120" s="1533">
        <v>570.0</v>
      </c>
      <c r="B120" s="1534" t="s">
        <v>3416</v>
      </c>
      <c r="C120" s="1524" t="s">
        <v>2214</v>
      </c>
      <c r="D120" s="1535" t="s">
        <v>2214</v>
      </c>
      <c r="E120" s="1524" t="s">
        <v>3120</v>
      </c>
      <c r="F120" s="1536">
        <f>SUMIF(MA_CODE,$E120,SDCDK)</f>
        <v>0</v>
      </c>
      <c r="G120" s="1537" t="str">
        <f t="shared" si="1"/>
        <v/>
      </c>
      <c r="H120" s="1538"/>
      <c r="I120" s="1539">
        <f>SUMIF(MA_CODE,$E120,SDCCK)</f>
        <v>0</v>
      </c>
      <c r="J120" s="1540">
        <f t="shared" si="2"/>
        <v>0</v>
      </c>
      <c r="K120" s="1541"/>
      <c r="L120" s="1542">
        <f t="shared" si="6"/>
        <v>0</v>
      </c>
      <c r="M120" s="1531" t="str">
        <f t="shared" si="4"/>
        <v/>
      </c>
      <c r="N120" s="1532"/>
    </row>
    <row r="121">
      <c r="A121" s="1533">
        <v>575.0</v>
      </c>
      <c r="B121" s="1534" t="s">
        <v>3417</v>
      </c>
      <c r="C121" s="1524" t="s">
        <v>2214</v>
      </c>
      <c r="D121" s="1535" t="s">
        <v>2214</v>
      </c>
      <c r="E121" s="1524" t="s">
        <v>3121</v>
      </c>
      <c r="F121" s="1536">
        <f>SUMIF(MA_CODE,$E121,SDCDK)</f>
        <v>0</v>
      </c>
      <c r="G121" s="1537" t="str">
        <f t="shared" si="1"/>
        <v/>
      </c>
      <c r="H121" s="1538"/>
      <c r="I121" s="1539">
        <f>SUMIF(MA_CODE,$E121,SDCCK)</f>
        <v>0</v>
      </c>
      <c r="J121" s="1540">
        <f t="shared" si="2"/>
        <v>0</v>
      </c>
      <c r="K121" s="1541"/>
      <c r="L121" s="1542">
        <f t="shared" si="6"/>
        <v>0</v>
      </c>
      <c r="M121" s="1531" t="str">
        <f t="shared" si="4"/>
        <v/>
      </c>
      <c r="N121" s="1532"/>
    </row>
    <row r="122">
      <c r="A122" s="1533">
        <v>580.0</v>
      </c>
      <c r="B122" s="1534" t="s">
        <v>3418</v>
      </c>
      <c r="C122" s="1524" t="s">
        <v>2214</v>
      </c>
      <c r="D122" s="1535" t="s">
        <v>2214</v>
      </c>
      <c r="E122" s="1524" t="s">
        <v>1444</v>
      </c>
      <c r="F122" s="1536">
        <f>SUMIF(MA_CODE,$E122,SDCDK)</f>
        <v>0</v>
      </c>
      <c r="G122" s="1537" t="str">
        <f t="shared" si="1"/>
        <v/>
      </c>
      <c r="H122" s="1538"/>
      <c r="I122" s="1539">
        <f>SUMIF(MA_CODE,$E122,SDCCK)</f>
        <v>0</v>
      </c>
      <c r="J122" s="1540">
        <f t="shared" si="2"/>
        <v>0</v>
      </c>
      <c r="K122" s="1541"/>
      <c r="L122" s="1542">
        <f t="shared" si="6"/>
        <v>0</v>
      </c>
      <c r="M122" s="1531" t="str">
        <f t="shared" si="4"/>
        <v/>
      </c>
      <c r="N122" s="1532"/>
    </row>
    <row r="123">
      <c r="A123" s="1533">
        <v>585.0</v>
      </c>
      <c r="B123" s="1534" t="s">
        <v>3419</v>
      </c>
      <c r="C123" s="1524" t="s">
        <v>3420</v>
      </c>
      <c r="D123" s="1535" t="s">
        <v>2214</v>
      </c>
      <c r="E123" s="1524" t="s">
        <v>3122</v>
      </c>
      <c r="F123" s="1536">
        <f>SUMIF(MA_CODE,$E123,SDCDK)</f>
        <v>0</v>
      </c>
      <c r="G123" s="1537" t="str">
        <f t="shared" si="1"/>
        <v/>
      </c>
      <c r="H123" s="1538"/>
      <c r="I123" s="1539">
        <f>SUMIF(MA_CODE,$E123,SDCCK)</f>
        <v>0</v>
      </c>
      <c r="J123" s="1540">
        <f t="shared" si="2"/>
        <v>0</v>
      </c>
      <c r="K123" s="1541"/>
      <c r="L123" s="1542">
        <f t="shared" si="6"/>
        <v>0</v>
      </c>
      <c r="M123" s="1531" t="str">
        <f t="shared" si="4"/>
        <v/>
      </c>
      <c r="N123" s="1532"/>
    </row>
    <row r="124">
      <c r="A124" s="1533">
        <v>590.0</v>
      </c>
      <c r="B124" s="1534" t="s">
        <v>3421</v>
      </c>
      <c r="C124" s="1524" t="s">
        <v>3422</v>
      </c>
      <c r="D124" s="1535" t="s">
        <v>2214</v>
      </c>
      <c r="E124" s="1524" t="s">
        <v>1459</v>
      </c>
      <c r="F124" s="1536">
        <f>SUMIF(MA_CODE,$E124,SDCDK)</f>
        <v>0</v>
      </c>
      <c r="G124" s="1537" t="str">
        <f t="shared" si="1"/>
        <v/>
      </c>
      <c r="H124" s="1538"/>
      <c r="I124" s="1539">
        <f>SUMIF(MA_CODE,$E124,SDCCK)</f>
        <v>0</v>
      </c>
      <c r="J124" s="1540">
        <f t="shared" si="2"/>
        <v>0</v>
      </c>
      <c r="K124" s="1541"/>
      <c r="L124" s="1542">
        <f t="shared" si="6"/>
        <v>0</v>
      </c>
      <c r="M124" s="1531" t="str">
        <f t="shared" si="4"/>
        <v/>
      </c>
      <c r="N124" s="1532"/>
    </row>
    <row r="125">
      <c r="A125" s="1533">
        <v>595.0</v>
      </c>
      <c r="B125" s="1534" t="s">
        <v>3423</v>
      </c>
      <c r="C125" s="1524" t="s">
        <v>3424</v>
      </c>
      <c r="D125" s="1535" t="s">
        <v>3425</v>
      </c>
      <c r="E125" s="1524" t="s">
        <v>2214</v>
      </c>
      <c r="F125" s="1536">
        <f>SUM(F126:F134)</f>
        <v>0</v>
      </c>
      <c r="G125" s="1537" t="str">
        <f t="shared" si="1"/>
        <v/>
      </c>
      <c r="H125" s="1538"/>
      <c r="I125" s="1539">
        <f>SUM(I126:I134)</f>
        <v>12726281</v>
      </c>
      <c r="J125" s="1540">
        <f t="shared" si="2"/>
        <v>0.001815055112</v>
      </c>
      <c r="K125" s="1541"/>
      <c r="L125" s="1542">
        <f t="shared" si="6"/>
        <v>12726281</v>
      </c>
      <c r="M125" s="1531" t="str">
        <f t="shared" si="4"/>
        <v/>
      </c>
      <c r="N125" s="1532"/>
    </row>
    <row r="126">
      <c r="A126" s="1533">
        <v>600.0</v>
      </c>
      <c r="B126" s="1534" t="s">
        <v>3426</v>
      </c>
      <c r="C126" s="1524" t="s">
        <v>2214</v>
      </c>
      <c r="D126" s="1535" t="s">
        <v>2214</v>
      </c>
      <c r="E126" s="1524" t="s">
        <v>1447</v>
      </c>
      <c r="F126" s="1536">
        <f>SUMIF(MA_CODE,$E126,SDCDK)</f>
        <v>0</v>
      </c>
      <c r="G126" s="1537" t="str">
        <f t="shared" si="1"/>
        <v/>
      </c>
      <c r="H126" s="1538"/>
      <c r="I126" s="1539">
        <f>SUMIF(MA_CODE,$E126,SDCCK)</f>
        <v>0</v>
      </c>
      <c r="J126" s="1540">
        <f t="shared" si="2"/>
        <v>0</v>
      </c>
      <c r="K126" s="1541"/>
      <c r="L126" s="1542">
        <f t="shared" si="6"/>
        <v>0</v>
      </c>
      <c r="M126" s="1531" t="str">
        <f t="shared" si="4"/>
        <v/>
      </c>
      <c r="N126" s="1532"/>
    </row>
    <row r="127">
      <c r="A127" s="1533">
        <v>605.0</v>
      </c>
      <c r="B127" s="1534" t="s">
        <v>3427</v>
      </c>
      <c r="C127" s="1524" t="s">
        <v>2214</v>
      </c>
      <c r="D127" s="1535" t="s">
        <v>2214</v>
      </c>
      <c r="E127" s="1524" t="s">
        <v>1449</v>
      </c>
      <c r="F127" s="1536">
        <f>SUMIF(MA_CODE,$E127,SDCDK)</f>
        <v>0</v>
      </c>
      <c r="G127" s="1537" t="str">
        <f t="shared" si="1"/>
        <v/>
      </c>
      <c r="H127" s="1538"/>
      <c r="I127" s="1539">
        <f>SUMIF(MA_CODE,$E127,SDCCK)</f>
        <v>0</v>
      </c>
      <c r="J127" s="1540">
        <f t="shared" si="2"/>
        <v>0</v>
      </c>
      <c r="K127" s="1541"/>
      <c r="L127" s="1542">
        <f t="shared" si="6"/>
        <v>0</v>
      </c>
      <c r="M127" s="1531" t="str">
        <f t="shared" si="4"/>
        <v/>
      </c>
      <c r="N127" s="1532"/>
    </row>
    <row r="128">
      <c r="A128" s="1533">
        <v>610.0</v>
      </c>
      <c r="B128" s="1534" t="s">
        <v>3428</v>
      </c>
      <c r="C128" s="1524" t="s">
        <v>2214</v>
      </c>
      <c r="D128" s="1535" t="s">
        <v>2214</v>
      </c>
      <c r="E128" s="1524" t="s">
        <v>1451</v>
      </c>
      <c r="F128" s="1536">
        <f>SUMIF(MA_CODE,$E128,SDCDK)</f>
        <v>0</v>
      </c>
      <c r="G128" s="1537" t="str">
        <f t="shared" si="1"/>
        <v/>
      </c>
      <c r="H128" s="1538"/>
      <c r="I128" s="1539">
        <f>SUMIF(MA_CODE,$E128,SDCCK)</f>
        <v>0</v>
      </c>
      <c r="J128" s="1540">
        <f t="shared" si="2"/>
        <v>0</v>
      </c>
      <c r="K128" s="1541"/>
      <c r="L128" s="1542">
        <f t="shared" si="6"/>
        <v>0</v>
      </c>
      <c r="M128" s="1531" t="str">
        <f t="shared" si="4"/>
        <v/>
      </c>
      <c r="N128" s="1532"/>
    </row>
    <row r="129">
      <c r="A129" s="1533">
        <v>615.0</v>
      </c>
      <c r="B129" s="1534" t="s">
        <v>3429</v>
      </c>
      <c r="C129" s="1524" t="s">
        <v>2214</v>
      </c>
      <c r="D129" s="1535" t="s">
        <v>2214</v>
      </c>
      <c r="E129" s="1524" t="s">
        <v>1453</v>
      </c>
      <c r="F129" s="1536">
        <f>SUMIF(MA_CODE,$E129,SDCDK)</f>
        <v>0</v>
      </c>
      <c r="G129" s="1537" t="str">
        <f t="shared" si="1"/>
        <v/>
      </c>
      <c r="H129" s="1538"/>
      <c r="I129" s="1539">
        <f>SUMIF(MA_CODE,$E129,SDCCK)</f>
        <v>0</v>
      </c>
      <c r="J129" s="1540">
        <f t="shared" si="2"/>
        <v>0</v>
      </c>
      <c r="K129" s="1541"/>
      <c r="L129" s="1542">
        <f t="shared" si="6"/>
        <v>0</v>
      </c>
      <c r="M129" s="1531" t="str">
        <f t="shared" si="4"/>
        <v/>
      </c>
      <c r="N129" s="1532"/>
    </row>
    <row r="130">
      <c r="A130" s="1533">
        <v>620.0</v>
      </c>
      <c r="B130" s="1534" t="s">
        <v>3430</v>
      </c>
      <c r="C130" s="1524" t="s">
        <v>2214</v>
      </c>
      <c r="D130" s="1535" t="s">
        <v>2214</v>
      </c>
      <c r="E130" s="1524" t="s">
        <v>1455</v>
      </c>
      <c r="F130" s="1536">
        <f>SUMIF(MA_CODE,$E130,SDCDK)</f>
        <v>0</v>
      </c>
      <c r="G130" s="1537" t="str">
        <f t="shared" si="1"/>
        <v/>
      </c>
      <c r="H130" s="1538"/>
      <c r="I130" s="1539">
        <f>SUMIF(MA_CODE,$E130,SDCCK)</f>
        <v>12726281</v>
      </c>
      <c r="J130" s="1540">
        <f t="shared" si="2"/>
        <v>0.001815055112</v>
      </c>
      <c r="K130" s="1541"/>
      <c r="L130" s="1542">
        <f t="shared" si="6"/>
        <v>12726281</v>
      </c>
      <c r="M130" s="1531" t="str">
        <f t="shared" si="4"/>
        <v/>
      </c>
      <c r="N130" s="1532"/>
    </row>
    <row r="131">
      <c r="A131" s="1533">
        <v>625.0</v>
      </c>
      <c r="B131" s="1534" t="s">
        <v>3431</v>
      </c>
      <c r="C131" s="1524" t="s">
        <v>2214</v>
      </c>
      <c r="D131" s="1535" t="s">
        <v>2214</v>
      </c>
      <c r="E131" s="1524" t="s">
        <v>1457</v>
      </c>
      <c r="F131" s="1536">
        <f>SUMIF(MA_CODE,$E131,SDCDK)</f>
        <v>0</v>
      </c>
      <c r="G131" s="1537" t="str">
        <f t="shared" si="1"/>
        <v/>
      </c>
      <c r="H131" s="1538"/>
      <c r="I131" s="1539">
        <f>SUMIF(MA_CODE,$E131,SDCCK)</f>
        <v>0</v>
      </c>
      <c r="J131" s="1540">
        <f t="shared" si="2"/>
        <v>0</v>
      </c>
      <c r="K131" s="1541"/>
      <c r="L131" s="1542">
        <f t="shared" si="6"/>
        <v>0</v>
      </c>
      <c r="M131" s="1531" t="str">
        <f t="shared" si="4"/>
        <v/>
      </c>
      <c r="N131" s="1532"/>
    </row>
    <row r="132">
      <c r="A132" s="1533">
        <v>630.0</v>
      </c>
      <c r="B132" s="1534" t="s">
        <v>3432</v>
      </c>
      <c r="C132" s="1524" t="s">
        <v>2214</v>
      </c>
      <c r="D132" s="1535" t="s">
        <v>2214</v>
      </c>
      <c r="E132" s="1524" t="s">
        <v>1461</v>
      </c>
      <c r="F132" s="1536">
        <f>SUMIF(MA_CODE,$E132,SDCDK)</f>
        <v>0</v>
      </c>
      <c r="G132" s="1537" t="str">
        <f t="shared" si="1"/>
        <v/>
      </c>
      <c r="H132" s="1538"/>
      <c r="I132" s="1539">
        <f>SUMIF(MA_CODE,$E132,SDCCK)</f>
        <v>0</v>
      </c>
      <c r="J132" s="1540">
        <f t="shared" si="2"/>
        <v>0</v>
      </c>
      <c r="K132" s="1541"/>
      <c r="L132" s="1542">
        <f t="shared" si="6"/>
        <v>0</v>
      </c>
      <c r="M132" s="1531" t="str">
        <f t="shared" si="4"/>
        <v/>
      </c>
      <c r="N132" s="1532"/>
    </row>
    <row r="133">
      <c r="A133" s="1533">
        <v>635.0</v>
      </c>
      <c r="B133" s="1534" t="s">
        <v>3433</v>
      </c>
      <c r="C133" s="1524" t="s">
        <v>2214</v>
      </c>
      <c r="D133" s="1535" t="s">
        <v>2214</v>
      </c>
      <c r="E133" s="1524" t="s">
        <v>1360</v>
      </c>
      <c r="F133" s="1536">
        <f>SUMIF(MA_CODE,$E133,SDCDK)</f>
        <v>0</v>
      </c>
      <c r="G133" s="1537" t="str">
        <f t="shared" si="1"/>
        <v/>
      </c>
      <c r="H133" s="1538"/>
      <c r="I133" s="1539">
        <f>SUMIF(MA_CODE,$E133,SDCCK)</f>
        <v>0</v>
      </c>
      <c r="J133" s="1540">
        <f t="shared" si="2"/>
        <v>0</v>
      </c>
      <c r="K133" s="1541"/>
      <c r="L133" s="1542">
        <f t="shared" si="6"/>
        <v>0</v>
      </c>
      <c r="M133" s="1531" t="str">
        <f t="shared" si="4"/>
        <v/>
      </c>
      <c r="N133" s="1532"/>
    </row>
    <row r="134">
      <c r="A134" s="1533">
        <v>640.0</v>
      </c>
      <c r="B134" s="1534" t="s">
        <v>3434</v>
      </c>
      <c r="C134" s="1524" t="s">
        <v>2214</v>
      </c>
      <c r="D134" s="1535" t="s">
        <v>2214</v>
      </c>
      <c r="E134" s="1524" t="s">
        <v>3138</v>
      </c>
      <c r="F134" s="1536">
        <f>SUMIF(MA_CODE,$E134,SDCDK)</f>
        <v>0</v>
      </c>
      <c r="G134" s="1537" t="str">
        <f t="shared" si="1"/>
        <v/>
      </c>
      <c r="H134" s="1538"/>
      <c r="I134" s="1539">
        <f>SUMIF(MA_CODE,$E134,SDCCK)</f>
        <v>0</v>
      </c>
      <c r="J134" s="1540">
        <f t="shared" si="2"/>
        <v>0</v>
      </c>
      <c r="K134" s="1541"/>
      <c r="L134" s="1542">
        <f t="shared" si="6"/>
        <v>0</v>
      </c>
      <c r="M134" s="1531" t="str">
        <f t="shared" si="4"/>
        <v/>
      </c>
      <c r="N134" s="1532"/>
    </row>
    <row r="135">
      <c r="A135" s="1533">
        <v>645.0</v>
      </c>
      <c r="B135" s="1534" t="s">
        <v>3435</v>
      </c>
      <c r="C135" s="1524" t="s">
        <v>3436</v>
      </c>
      <c r="D135" s="1535" t="s">
        <v>3437</v>
      </c>
      <c r="E135" s="1524" t="s">
        <v>2214</v>
      </c>
      <c r="F135" s="1536">
        <f>SUM(F136:F137)</f>
        <v>0</v>
      </c>
      <c r="G135" s="1537" t="str">
        <f t="shared" si="1"/>
        <v/>
      </c>
      <c r="H135" s="1538"/>
      <c r="I135" s="1539">
        <f>SUM(I136:I137)</f>
        <v>0</v>
      </c>
      <c r="J135" s="1540">
        <f t="shared" si="2"/>
        <v>0</v>
      </c>
      <c r="K135" s="1541"/>
      <c r="L135" s="1542">
        <f t="shared" si="6"/>
        <v>0</v>
      </c>
      <c r="M135" s="1531" t="str">
        <f t="shared" si="4"/>
        <v/>
      </c>
      <c r="N135" s="1532"/>
    </row>
    <row r="136">
      <c r="A136" s="1533">
        <v>650.0</v>
      </c>
      <c r="B136" s="1534" t="s">
        <v>3438</v>
      </c>
      <c r="C136" s="1524" t="s">
        <v>2214</v>
      </c>
      <c r="D136" s="1535" t="s">
        <v>2214</v>
      </c>
      <c r="E136" s="1524" t="s">
        <v>3126</v>
      </c>
      <c r="F136" s="1536">
        <f>SUMIF(MA_CODE,$E136,SDCDK)</f>
        <v>0</v>
      </c>
      <c r="G136" s="1537" t="str">
        <f t="shared" si="1"/>
        <v/>
      </c>
      <c r="H136" s="1538"/>
      <c r="I136" s="1539">
        <f>SUMIF(MA_CODE,$E136,SDCCK)</f>
        <v>0</v>
      </c>
      <c r="J136" s="1540">
        <f t="shared" si="2"/>
        <v>0</v>
      </c>
      <c r="K136" s="1541"/>
      <c r="L136" s="1542">
        <f t="shared" si="6"/>
        <v>0</v>
      </c>
      <c r="M136" s="1531" t="str">
        <f t="shared" si="4"/>
        <v/>
      </c>
      <c r="N136" s="1532"/>
    </row>
    <row r="137">
      <c r="A137" s="1533">
        <v>655.0</v>
      </c>
      <c r="B137" s="1534" t="s">
        <v>3439</v>
      </c>
      <c r="C137" s="1524" t="s">
        <v>2214</v>
      </c>
      <c r="D137" s="1535" t="s">
        <v>2214</v>
      </c>
      <c r="E137" s="1524" t="s">
        <v>3131</v>
      </c>
      <c r="F137" s="1536">
        <f>SUMIF(MA_CODE,$E137,SDCDK)</f>
        <v>0</v>
      </c>
      <c r="G137" s="1537" t="str">
        <f t="shared" si="1"/>
        <v/>
      </c>
      <c r="H137" s="1538"/>
      <c r="I137" s="1539">
        <f>SUMIF(MA_CODE,$E137,SDCCK)</f>
        <v>0</v>
      </c>
      <c r="J137" s="1540">
        <f t="shared" si="2"/>
        <v>0</v>
      </c>
      <c r="K137" s="1541"/>
      <c r="L137" s="1542">
        <f t="shared" si="6"/>
        <v>0</v>
      </c>
      <c r="M137" s="1531" t="str">
        <f t="shared" si="4"/>
        <v/>
      </c>
      <c r="N137" s="1532"/>
    </row>
    <row r="138">
      <c r="A138" s="1533">
        <v>660.0</v>
      </c>
      <c r="B138" s="1534" t="s">
        <v>3440</v>
      </c>
      <c r="C138" s="1524" t="s">
        <v>3441</v>
      </c>
      <c r="D138" s="1535" t="s">
        <v>2214</v>
      </c>
      <c r="E138" s="1524" t="s">
        <v>3140</v>
      </c>
      <c r="F138" s="1536">
        <f>SUMIF(MA_CODE,$E138,SDCDK)</f>
        <v>0</v>
      </c>
      <c r="G138" s="1537" t="str">
        <f t="shared" si="1"/>
        <v/>
      </c>
      <c r="H138" s="1538"/>
      <c r="I138" s="1539">
        <f>SUMIF(MA_CODE,$E138,SDCCK)</f>
        <v>0</v>
      </c>
      <c r="J138" s="1540">
        <f t="shared" si="2"/>
        <v>0</v>
      </c>
      <c r="K138" s="1541"/>
      <c r="L138" s="1542">
        <f t="shared" si="6"/>
        <v>0</v>
      </c>
      <c r="M138" s="1531" t="str">
        <f t="shared" si="4"/>
        <v/>
      </c>
      <c r="N138" s="1532"/>
    </row>
    <row r="139">
      <c r="A139" s="1533">
        <v>665.0</v>
      </c>
      <c r="B139" s="1534" t="s">
        <v>3442</v>
      </c>
      <c r="C139" s="1524" t="s">
        <v>3443</v>
      </c>
      <c r="D139" s="1535" t="s">
        <v>2214</v>
      </c>
      <c r="E139" s="1524" t="s">
        <v>3142</v>
      </c>
      <c r="F139" s="1536">
        <f>SUMIF(MA_CODE,$E139,SDCDK)</f>
        <v>0</v>
      </c>
      <c r="G139" s="1537" t="str">
        <f t="shared" si="1"/>
        <v/>
      </c>
      <c r="H139" s="1538"/>
      <c r="I139" s="1539">
        <f>SUMIF(MA_CODE,$E139,SDCCK)</f>
        <v>0</v>
      </c>
      <c r="J139" s="1540">
        <f t="shared" si="2"/>
        <v>0</v>
      </c>
      <c r="K139" s="1541"/>
      <c r="L139" s="1542">
        <f t="shared" si="6"/>
        <v>0</v>
      </c>
      <c r="M139" s="1531" t="str">
        <f t="shared" si="4"/>
        <v/>
      </c>
      <c r="N139" s="1532"/>
    </row>
    <row r="140">
      <c r="A140" s="1533">
        <v>670.0</v>
      </c>
      <c r="B140" s="1534" t="s">
        <v>3444</v>
      </c>
      <c r="C140" s="1524" t="s">
        <v>3445</v>
      </c>
      <c r="D140" s="1535" t="s">
        <v>2214</v>
      </c>
      <c r="E140" s="1524" t="s">
        <v>3155</v>
      </c>
      <c r="F140" s="1536">
        <f>SUMIF(MA_CODE,$E140,SDCDK)</f>
        <v>0</v>
      </c>
      <c r="G140" s="1537" t="str">
        <f t="shared" si="1"/>
        <v/>
      </c>
      <c r="H140" s="1538"/>
      <c r="I140" s="1539">
        <f>SUMIF(MA_CODE,$E140,SDCCK)</f>
        <v>0</v>
      </c>
      <c r="J140" s="1540">
        <f t="shared" si="2"/>
        <v>0</v>
      </c>
      <c r="K140" s="1541"/>
      <c r="L140" s="1542">
        <f t="shared" si="6"/>
        <v>0</v>
      </c>
      <c r="M140" s="1531" t="str">
        <f t="shared" si="4"/>
        <v/>
      </c>
      <c r="N140" s="1532"/>
    </row>
    <row r="141">
      <c r="A141" s="1533">
        <v>675.0</v>
      </c>
      <c r="B141" s="1534" t="s">
        <v>3446</v>
      </c>
      <c r="C141" s="1524" t="s">
        <v>3447</v>
      </c>
      <c r="D141" s="1535" t="s">
        <v>2214</v>
      </c>
      <c r="E141" s="1524" t="s">
        <v>3059</v>
      </c>
      <c r="F141" s="1536">
        <f>SUMIF(MA_CODE,$E141,SDCDK)</f>
        <v>0</v>
      </c>
      <c r="G141" s="1537" t="str">
        <f t="shared" si="1"/>
        <v/>
      </c>
      <c r="H141" s="1538"/>
      <c r="I141" s="1539">
        <f>SUMIF(MA_CODE,$E141,SDCCK)</f>
        <v>0</v>
      </c>
      <c r="J141" s="1540">
        <f t="shared" si="2"/>
        <v>0</v>
      </c>
      <c r="K141" s="1541"/>
      <c r="L141" s="1542">
        <f t="shared" si="6"/>
        <v>0</v>
      </c>
      <c r="M141" s="1531" t="str">
        <f t="shared" si="4"/>
        <v/>
      </c>
      <c r="N141" s="1532"/>
    </row>
    <row r="142">
      <c r="A142" s="1520">
        <v>680.0</v>
      </c>
      <c r="B142" s="1521" t="s">
        <v>3448</v>
      </c>
      <c r="C142" s="1522" t="s">
        <v>3449</v>
      </c>
      <c r="D142" s="1572" t="s">
        <v>3450</v>
      </c>
      <c r="E142" s="1524" t="s">
        <v>2214</v>
      </c>
      <c r="F142" s="1525">
        <f>SUM(F143:F147)+F151+F152+F155+SUM(F160:F164)</f>
        <v>0</v>
      </c>
      <c r="G142" s="1526" t="str">
        <f t="shared" si="1"/>
        <v/>
      </c>
      <c r="H142" s="1526" t="str">
        <f>IFERROR(F142/F$112,"")</f>
        <v/>
      </c>
      <c r="I142" s="1527">
        <f>SUM(I143:I147)+I151+I152+I155+SUM(I160:I164)</f>
        <v>0</v>
      </c>
      <c r="J142" s="1528">
        <f t="shared" si="2"/>
        <v>0</v>
      </c>
      <c r="K142" s="1529">
        <f>IFERROR(I142/I$112,"")</f>
        <v>0</v>
      </c>
      <c r="L142" s="1530">
        <f t="shared" si="6"/>
        <v>0</v>
      </c>
      <c r="M142" s="1531" t="str">
        <f t="shared" si="4"/>
        <v/>
      </c>
      <c r="N142" s="1532"/>
    </row>
    <row r="143">
      <c r="A143" s="1533">
        <v>685.0</v>
      </c>
      <c r="B143" s="1534" t="s">
        <v>3451</v>
      </c>
      <c r="C143" s="1524" t="s">
        <v>3104</v>
      </c>
      <c r="D143" s="1535" t="s">
        <v>2214</v>
      </c>
      <c r="E143" s="1524" t="s">
        <v>3314</v>
      </c>
      <c r="F143" s="1536">
        <f>SUMIF(MA_CODE,$E143,SDCDK)</f>
        <v>0</v>
      </c>
      <c r="G143" s="1537" t="str">
        <f t="shared" si="1"/>
        <v/>
      </c>
      <c r="H143" s="1538"/>
      <c r="I143" s="1539">
        <f>SUMIF(MA_CODE,$E143,SDCCK)</f>
        <v>0</v>
      </c>
      <c r="J143" s="1540">
        <f t="shared" si="2"/>
        <v>0</v>
      </c>
      <c r="K143" s="1541"/>
      <c r="L143" s="1542">
        <f t="shared" si="6"/>
        <v>0</v>
      </c>
      <c r="M143" s="1531" t="str">
        <f t="shared" si="4"/>
        <v/>
      </c>
      <c r="N143" s="1532"/>
    </row>
    <row r="144">
      <c r="A144" s="1533">
        <v>690.0</v>
      </c>
      <c r="B144" s="1534" t="s">
        <v>3452</v>
      </c>
      <c r="C144" s="1524" t="s">
        <v>3453</v>
      </c>
      <c r="D144" s="1535" t="s">
        <v>2214</v>
      </c>
      <c r="E144" s="1524" t="s">
        <v>3312</v>
      </c>
      <c r="F144" s="1536">
        <f>SUMIF(MA_CODE,$E144,SDCDK)</f>
        <v>0</v>
      </c>
      <c r="G144" s="1537" t="str">
        <f t="shared" si="1"/>
        <v/>
      </c>
      <c r="H144" s="1538"/>
      <c r="I144" s="1539">
        <f>SUMIF(MA_CODE,$E144,SDCCK)</f>
        <v>0</v>
      </c>
      <c r="J144" s="1540">
        <f t="shared" si="2"/>
        <v>0</v>
      </c>
      <c r="K144" s="1541"/>
      <c r="L144" s="1542">
        <f t="shared" si="6"/>
        <v>0</v>
      </c>
      <c r="M144" s="1531" t="str">
        <f t="shared" si="4"/>
        <v/>
      </c>
      <c r="N144" s="1532"/>
    </row>
    <row r="145">
      <c r="A145" s="1533">
        <v>695.0</v>
      </c>
      <c r="B145" s="1534" t="s">
        <v>3454</v>
      </c>
      <c r="C145" s="1524" t="s">
        <v>3105</v>
      </c>
      <c r="D145" s="1535" t="s">
        <v>2214</v>
      </c>
      <c r="E145" s="1550" t="s">
        <v>3118</v>
      </c>
      <c r="F145" s="1536">
        <f>SUMIF(MA_CODE,$E145,SDCDK)</f>
        <v>0</v>
      </c>
      <c r="G145" s="1537" t="str">
        <f t="shared" si="1"/>
        <v/>
      </c>
      <c r="H145" s="1538"/>
      <c r="I145" s="1539">
        <f>SUMIF(MA_CODE,$E145,SDCCK)</f>
        <v>0</v>
      </c>
      <c r="J145" s="1540">
        <f t="shared" si="2"/>
        <v>0</v>
      </c>
      <c r="K145" s="1541"/>
      <c r="L145" s="1542">
        <f t="shared" si="6"/>
        <v>0</v>
      </c>
      <c r="M145" s="1531" t="str">
        <f t="shared" si="4"/>
        <v/>
      </c>
      <c r="N145" s="1532"/>
    </row>
    <row r="146">
      <c r="A146" s="1533">
        <v>700.0</v>
      </c>
      <c r="B146" s="1534" t="s">
        <v>3455</v>
      </c>
      <c r="C146" s="1524" t="s">
        <v>3106</v>
      </c>
      <c r="D146" s="1535" t="s">
        <v>2214</v>
      </c>
      <c r="E146" s="1524" t="s">
        <v>1442</v>
      </c>
      <c r="F146" s="1536">
        <f>SUMIF(MA_CODE,$E146,SDCDK)</f>
        <v>0</v>
      </c>
      <c r="G146" s="1537" t="str">
        <f t="shared" si="1"/>
        <v/>
      </c>
      <c r="H146" s="1538"/>
      <c r="I146" s="1539">
        <f>SUMIF(MA_CODE,$E146,SDCCK)</f>
        <v>0</v>
      </c>
      <c r="J146" s="1540">
        <f t="shared" si="2"/>
        <v>0</v>
      </c>
      <c r="K146" s="1541"/>
      <c r="L146" s="1542">
        <f t="shared" si="6"/>
        <v>0</v>
      </c>
      <c r="M146" s="1531" t="str">
        <f t="shared" si="4"/>
        <v/>
      </c>
      <c r="N146" s="1532"/>
    </row>
    <row r="147">
      <c r="A147" s="1533">
        <v>705.0</v>
      </c>
      <c r="B147" s="1534" t="s">
        <v>3456</v>
      </c>
      <c r="C147" s="1524" t="s">
        <v>3118</v>
      </c>
      <c r="D147" s="1535" t="s">
        <v>3457</v>
      </c>
      <c r="E147" s="1524" t="s">
        <v>2214</v>
      </c>
      <c r="F147" s="1536">
        <f>SUM(F148:F150)</f>
        <v>0</v>
      </c>
      <c r="G147" s="1537" t="str">
        <f t="shared" si="1"/>
        <v/>
      </c>
      <c r="H147" s="1538"/>
      <c r="I147" s="1539">
        <f>SUM(I148:I150)</f>
        <v>0</v>
      </c>
      <c r="J147" s="1540">
        <f t="shared" si="2"/>
        <v>0</v>
      </c>
      <c r="K147" s="1541"/>
      <c r="L147" s="1542">
        <f t="shared" si="6"/>
        <v>0</v>
      </c>
      <c r="M147" s="1531" t="str">
        <f t="shared" si="4"/>
        <v/>
      </c>
      <c r="N147" s="1532"/>
    </row>
    <row r="148">
      <c r="A148" s="1533">
        <v>710.0</v>
      </c>
      <c r="B148" s="1534" t="s">
        <v>3416</v>
      </c>
      <c r="C148" s="1524" t="s">
        <v>2214</v>
      </c>
      <c r="D148" s="1535" t="s">
        <v>2214</v>
      </c>
      <c r="E148" s="1550" t="s">
        <v>3120</v>
      </c>
      <c r="F148" s="1536">
        <f>SUMIF(MA_CODE,$E148,SDCDK)</f>
        <v>0</v>
      </c>
      <c r="G148" s="1537" t="str">
        <f t="shared" si="1"/>
        <v/>
      </c>
      <c r="H148" s="1538"/>
      <c r="I148" s="1539">
        <f>SUMIF(MA_CODE,$E148,SDCCK)</f>
        <v>0</v>
      </c>
      <c r="J148" s="1540">
        <f t="shared" si="2"/>
        <v>0</v>
      </c>
      <c r="K148" s="1541"/>
      <c r="L148" s="1542">
        <f t="shared" si="6"/>
        <v>0</v>
      </c>
      <c r="M148" s="1531" t="str">
        <f t="shared" si="4"/>
        <v/>
      </c>
      <c r="N148" s="1532"/>
    </row>
    <row r="149">
      <c r="A149" s="1533">
        <v>715.0</v>
      </c>
      <c r="B149" s="1534" t="s">
        <v>3417</v>
      </c>
      <c r="C149" s="1524" t="s">
        <v>2214</v>
      </c>
      <c r="D149" s="1535" t="s">
        <v>2214</v>
      </c>
      <c r="E149" s="1550" t="s">
        <v>3121</v>
      </c>
      <c r="F149" s="1536">
        <f>SUMIF(MA_CODE,$E149,SDCDK)</f>
        <v>0</v>
      </c>
      <c r="G149" s="1537" t="str">
        <f t="shared" si="1"/>
        <v/>
      </c>
      <c r="H149" s="1538"/>
      <c r="I149" s="1539">
        <f>SUMIF(MA_CODE,$E149,SDCCK)</f>
        <v>0</v>
      </c>
      <c r="J149" s="1540">
        <f t="shared" si="2"/>
        <v>0</v>
      </c>
      <c r="K149" s="1541"/>
      <c r="L149" s="1542">
        <f t="shared" si="6"/>
        <v>0</v>
      </c>
      <c r="M149" s="1531" t="str">
        <f t="shared" si="4"/>
        <v/>
      </c>
      <c r="N149" s="1532"/>
    </row>
    <row r="150">
      <c r="A150" s="1533">
        <v>720.0</v>
      </c>
      <c r="B150" s="1534" t="s">
        <v>3418</v>
      </c>
      <c r="C150" s="1524" t="s">
        <v>2214</v>
      </c>
      <c r="D150" s="1535" t="s">
        <v>2214</v>
      </c>
      <c r="E150" s="1550" t="s">
        <v>1444</v>
      </c>
      <c r="F150" s="1536">
        <f>SUMIF(MA_CODE,$E150,SDCDK)</f>
        <v>0</v>
      </c>
      <c r="G150" s="1537" t="str">
        <f t="shared" si="1"/>
        <v/>
      </c>
      <c r="H150" s="1538"/>
      <c r="I150" s="1539">
        <f>SUMIF(MA_CODE,$E150,SDCCK)</f>
        <v>0</v>
      </c>
      <c r="J150" s="1540">
        <f t="shared" si="2"/>
        <v>0</v>
      </c>
      <c r="K150" s="1541"/>
      <c r="L150" s="1542">
        <f t="shared" si="6"/>
        <v>0</v>
      </c>
      <c r="M150" s="1531" t="str">
        <f t="shared" si="4"/>
        <v/>
      </c>
      <c r="N150" s="1532"/>
    </row>
    <row r="151">
      <c r="A151" s="1533">
        <v>725.0</v>
      </c>
      <c r="B151" s="1534" t="s">
        <v>3458</v>
      </c>
      <c r="C151" s="1524" t="s">
        <v>3119</v>
      </c>
      <c r="D151" s="1535" t="s">
        <v>2214</v>
      </c>
      <c r="E151" s="1550" t="s">
        <v>1459</v>
      </c>
      <c r="F151" s="1536">
        <f>SUMIF(MA_CODE,$E151,SDCDK)</f>
        <v>0</v>
      </c>
      <c r="G151" s="1537" t="str">
        <f t="shared" si="1"/>
        <v/>
      </c>
      <c r="H151" s="1538"/>
      <c r="I151" s="1539">
        <f>SUMIF(MA_CODE,$E151,SDCCK)</f>
        <v>0</v>
      </c>
      <c r="J151" s="1540">
        <f t="shared" si="2"/>
        <v>0</v>
      </c>
      <c r="K151" s="1541"/>
      <c r="L151" s="1542">
        <f t="shared" si="6"/>
        <v>0</v>
      </c>
      <c r="M151" s="1531" t="str">
        <f t="shared" si="4"/>
        <v/>
      </c>
      <c r="N151" s="1532"/>
    </row>
    <row r="152">
      <c r="A152" s="1533">
        <v>730.0</v>
      </c>
      <c r="B152" s="1534" t="s">
        <v>3459</v>
      </c>
      <c r="C152" s="1524" t="s">
        <v>3122</v>
      </c>
      <c r="D152" s="1535" t="s">
        <v>3460</v>
      </c>
      <c r="E152" s="1550" t="s">
        <v>2214</v>
      </c>
      <c r="F152" s="1536">
        <f>SUM(F153:F154)</f>
        <v>0</v>
      </c>
      <c r="G152" s="1537" t="str">
        <f t="shared" si="1"/>
        <v/>
      </c>
      <c r="H152" s="1538"/>
      <c r="I152" s="1539">
        <f>SUM(I153:I154)</f>
        <v>0</v>
      </c>
      <c r="J152" s="1540">
        <f t="shared" si="2"/>
        <v>0</v>
      </c>
      <c r="K152" s="1541"/>
      <c r="L152" s="1542">
        <f t="shared" si="6"/>
        <v>0</v>
      </c>
      <c r="M152" s="1531" t="str">
        <f t="shared" si="4"/>
        <v/>
      </c>
      <c r="N152" s="1532"/>
    </row>
    <row r="153">
      <c r="A153" s="1533">
        <v>735.0</v>
      </c>
      <c r="B153" s="1534" t="s">
        <v>3325</v>
      </c>
      <c r="C153" s="1524" t="s">
        <v>2214</v>
      </c>
      <c r="D153" s="1535" t="s">
        <v>2214</v>
      </c>
      <c r="E153" s="1550" t="s">
        <v>1461</v>
      </c>
      <c r="F153" s="1536">
        <f>SUMIF(MA_CODE,$E153,SDCDK)</f>
        <v>0</v>
      </c>
      <c r="G153" s="1537" t="str">
        <f t="shared" si="1"/>
        <v/>
      </c>
      <c r="H153" s="1538"/>
      <c r="I153" s="1539">
        <f>SUMIF(MA_CODE,$E153,SDCCK)</f>
        <v>0</v>
      </c>
      <c r="J153" s="1540">
        <f t="shared" si="2"/>
        <v>0</v>
      </c>
      <c r="K153" s="1541"/>
      <c r="L153" s="1542">
        <f t="shared" si="6"/>
        <v>0</v>
      </c>
      <c r="M153" s="1531" t="str">
        <f t="shared" si="4"/>
        <v/>
      </c>
      <c r="N153" s="1532"/>
    </row>
    <row r="154">
      <c r="A154" s="1533">
        <v>740.0</v>
      </c>
      <c r="B154" s="1534" t="s">
        <v>3461</v>
      </c>
      <c r="C154" s="1524" t="s">
        <v>2214</v>
      </c>
      <c r="D154" s="1535" t="s">
        <v>2214</v>
      </c>
      <c r="E154" s="1550" t="s">
        <v>3138</v>
      </c>
      <c r="F154" s="1536">
        <f>SUMIF(MA_CODE,$E154,SDCDK)</f>
        <v>0</v>
      </c>
      <c r="G154" s="1537" t="str">
        <f t="shared" si="1"/>
        <v/>
      </c>
      <c r="H154" s="1538"/>
      <c r="I154" s="1539">
        <f>SUMIF(MA_CODE,$E154,SDCCK)</f>
        <v>0</v>
      </c>
      <c r="J154" s="1540">
        <f t="shared" si="2"/>
        <v>0</v>
      </c>
      <c r="K154" s="1541"/>
      <c r="L154" s="1542">
        <f t="shared" si="6"/>
        <v>0</v>
      </c>
      <c r="M154" s="1531" t="str">
        <f t="shared" si="4"/>
        <v/>
      </c>
      <c r="N154" s="1532"/>
    </row>
    <row r="155">
      <c r="A155" s="1533">
        <v>745.0</v>
      </c>
      <c r="B155" s="1534" t="s">
        <v>3462</v>
      </c>
      <c r="C155" s="1524" t="s">
        <v>3124</v>
      </c>
      <c r="D155" s="1535" t="s">
        <v>3463</v>
      </c>
      <c r="E155" s="1524" t="s">
        <v>2214</v>
      </c>
      <c r="F155" s="1536">
        <f>SUM(F156:F159)</f>
        <v>0</v>
      </c>
      <c r="G155" s="1537" t="str">
        <f t="shared" si="1"/>
        <v/>
      </c>
      <c r="H155" s="1538"/>
      <c r="I155" s="1539">
        <f>SUM(I156:I159)</f>
        <v>0</v>
      </c>
      <c r="J155" s="1540">
        <f t="shared" si="2"/>
        <v>0</v>
      </c>
      <c r="K155" s="1541"/>
      <c r="L155" s="1542">
        <f t="shared" si="6"/>
        <v>0</v>
      </c>
      <c r="M155" s="1531" t="str">
        <f t="shared" si="4"/>
        <v/>
      </c>
      <c r="N155" s="1532"/>
    </row>
    <row r="156">
      <c r="A156" s="1533">
        <v>750.0</v>
      </c>
      <c r="B156" s="1534" t="s">
        <v>3464</v>
      </c>
      <c r="C156" s="1524" t="s">
        <v>2214</v>
      </c>
      <c r="D156" s="1535" t="s">
        <v>2214</v>
      </c>
      <c r="E156" s="1550" t="s">
        <v>3126</v>
      </c>
      <c r="F156" s="1536">
        <f>SUMIF(MA_CODE,$E156,SDCDK)</f>
        <v>0</v>
      </c>
      <c r="G156" s="1537" t="str">
        <f t="shared" si="1"/>
        <v/>
      </c>
      <c r="H156" s="1538"/>
      <c r="I156" s="1539">
        <f>SUMIF(MA_CODE,$E156,SDCCK)</f>
        <v>0</v>
      </c>
      <c r="J156" s="1540">
        <f t="shared" si="2"/>
        <v>0</v>
      </c>
      <c r="K156" s="1541"/>
      <c r="L156" s="1542">
        <f t="shared" si="6"/>
        <v>0</v>
      </c>
      <c r="M156" s="1531" t="str">
        <f t="shared" si="4"/>
        <v/>
      </c>
      <c r="N156" s="1532"/>
    </row>
    <row r="157">
      <c r="A157" s="1533">
        <v>755.0</v>
      </c>
      <c r="B157" s="1534" t="s">
        <v>3465</v>
      </c>
      <c r="C157" s="1524" t="s">
        <v>2214</v>
      </c>
      <c r="D157" s="1535" t="s">
        <v>2214</v>
      </c>
      <c r="E157" s="1550" t="s">
        <v>3131</v>
      </c>
      <c r="F157" s="1536">
        <f>SUMIF(MA_CODE,$E157,SDCDK)</f>
        <v>0</v>
      </c>
      <c r="G157" s="1537" t="str">
        <f t="shared" si="1"/>
        <v/>
      </c>
      <c r="H157" s="1538"/>
      <c r="I157" s="1539">
        <f>SUMIF(MA_CODE,$E157,SDCCK)</f>
        <v>0</v>
      </c>
      <c r="J157" s="1540">
        <f t="shared" si="2"/>
        <v>0</v>
      </c>
      <c r="K157" s="1541"/>
      <c r="L157" s="1542">
        <f t="shared" si="6"/>
        <v>0</v>
      </c>
      <c r="M157" s="1531" t="str">
        <f t="shared" si="4"/>
        <v/>
      </c>
      <c r="N157" s="1532"/>
    </row>
    <row r="158">
      <c r="A158" s="1533">
        <v>760.0</v>
      </c>
      <c r="B158" s="1534" t="s">
        <v>3466</v>
      </c>
      <c r="C158" s="1524" t="s">
        <v>2214</v>
      </c>
      <c r="D158" s="1535" t="s">
        <v>2214</v>
      </c>
      <c r="E158" s="1524" t="s">
        <v>3467</v>
      </c>
      <c r="F158" s="1536">
        <f>SUMIF(MA_CODE,$E158,SDCDK)</f>
        <v>0</v>
      </c>
      <c r="G158" s="1537" t="str">
        <f t="shared" si="1"/>
        <v/>
      </c>
      <c r="H158" s="1538"/>
      <c r="I158" s="1539">
        <f>SUMIF(MA_CODE,$E158,SDCCK)</f>
        <v>0</v>
      </c>
      <c r="J158" s="1540">
        <f t="shared" si="2"/>
        <v>0</v>
      </c>
      <c r="K158" s="1541"/>
      <c r="L158" s="1542">
        <f t="shared" si="6"/>
        <v>0</v>
      </c>
      <c r="M158" s="1531" t="str">
        <f t="shared" si="4"/>
        <v/>
      </c>
      <c r="N158" s="1532"/>
    </row>
    <row r="159">
      <c r="A159" s="1533">
        <v>765.0</v>
      </c>
      <c r="B159" s="1534" t="s">
        <v>3468</v>
      </c>
      <c r="C159" s="1524" t="s">
        <v>2214</v>
      </c>
      <c r="D159" s="1535" t="s">
        <v>2214</v>
      </c>
      <c r="E159" s="1524" t="s">
        <v>3135</v>
      </c>
      <c r="F159" s="1536">
        <f>SUMIF(MA_CODE,$E159,SDCDK)</f>
        <v>0</v>
      </c>
      <c r="G159" s="1537" t="str">
        <f t="shared" si="1"/>
        <v/>
      </c>
      <c r="H159" s="1538"/>
      <c r="I159" s="1539">
        <f>SUMIF(MA_CODE,$E159,SDCCK)</f>
        <v>0</v>
      </c>
      <c r="J159" s="1540">
        <f t="shared" si="2"/>
        <v>0</v>
      </c>
      <c r="K159" s="1541"/>
      <c r="L159" s="1542">
        <f t="shared" si="6"/>
        <v>0</v>
      </c>
      <c r="M159" s="1531" t="str">
        <f t="shared" si="4"/>
        <v/>
      </c>
      <c r="N159" s="1532"/>
    </row>
    <row r="160">
      <c r="A160" s="1533">
        <v>770.0</v>
      </c>
      <c r="B160" s="1534" t="s">
        <v>3469</v>
      </c>
      <c r="C160" s="1524" t="s">
        <v>3470</v>
      </c>
      <c r="D160" s="1535" t="s">
        <v>2214</v>
      </c>
      <c r="E160" s="1524"/>
      <c r="F160" s="1536">
        <f>SUMIF(MA_CODE,$E160,SDCDK)</f>
        <v>0</v>
      </c>
      <c r="G160" s="1537" t="str">
        <f t="shared" si="1"/>
        <v/>
      </c>
      <c r="H160" s="1538"/>
      <c r="I160" s="1539">
        <f>SUMIF(MA_CODE,$E160,SDCCK)</f>
        <v>0</v>
      </c>
      <c r="J160" s="1540">
        <f t="shared" si="2"/>
        <v>0</v>
      </c>
      <c r="K160" s="1541"/>
      <c r="L160" s="1542">
        <f t="shared" si="6"/>
        <v>0</v>
      </c>
      <c r="M160" s="1531" t="str">
        <f t="shared" si="4"/>
        <v/>
      </c>
      <c r="N160" s="1532"/>
    </row>
    <row r="161">
      <c r="A161" s="1533">
        <v>775.0</v>
      </c>
      <c r="B161" s="1534" t="s">
        <v>3471</v>
      </c>
      <c r="C161" s="1524" t="s">
        <v>3472</v>
      </c>
      <c r="D161" s="1535" t="s">
        <v>2214</v>
      </c>
      <c r="E161" s="1550" t="s">
        <v>3473</v>
      </c>
      <c r="F161" s="1536">
        <f>SUMIF(MA_CODE,$E161,SDCDK)</f>
        <v>0</v>
      </c>
      <c r="G161" s="1537" t="str">
        <f t="shared" si="1"/>
        <v/>
      </c>
      <c r="H161" s="1538"/>
      <c r="I161" s="1539">
        <f>SUMIF(MA_CODE,$E161,SDCCK)</f>
        <v>0</v>
      </c>
      <c r="J161" s="1540">
        <f t="shared" si="2"/>
        <v>0</v>
      </c>
      <c r="K161" s="1541"/>
      <c r="L161" s="1542">
        <f t="shared" si="6"/>
        <v>0</v>
      </c>
      <c r="M161" s="1531" t="str">
        <f t="shared" si="4"/>
        <v/>
      </c>
      <c r="N161" s="1532"/>
    </row>
    <row r="162">
      <c r="A162" s="1533">
        <v>780.0</v>
      </c>
      <c r="B162" s="1534" t="s">
        <v>3474</v>
      </c>
      <c r="C162" s="1524" t="s">
        <v>3126</v>
      </c>
      <c r="D162" s="1535" t="s">
        <v>2214</v>
      </c>
      <c r="E162" s="1524" t="s">
        <v>3139</v>
      </c>
      <c r="F162" s="1536">
        <f>SUMIF(MA_CODE,$E162,SDCDK)</f>
        <v>0</v>
      </c>
      <c r="G162" s="1537" t="str">
        <f t="shared" si="1"/>
        <v/>
      </c>
      <c r="H162" s="1538"/>
      <c r="I162" s="1539">
        <f>SUMIF(MA_CODE,$E162,SDCCK)</f>
        <v>0</v>
      </c>
      <c r="J162" s="1540">
        <f t="shared" si="2"/>
        <v>0</v>
      </c>
      <c r="K162" s="1541"/>
      <c r="L162" s="1542">
        <f t="shared" si="6"/>
        <v>0</v>
      </c>
      <c r="M162" s="1531" t="str">
        <f t="shared" si="4"/>
        <v/>
      </c>
      <c r="N162" s="1532"/>
    </row>
    <row r="163">
      <c r="A163" s="1533">
        <v>785.0</v>
      </c>
      <c r="B163" s="1534" t="s">
        <v>3475</v>
      </c>
      <c r="C163" s="1524" t="s">
        <v>3476</v>
      </c>
      <c r="D163" s="1535" t="s">
        <v>2214</v>
      </c>
      <c r="E163" s="1550" t="s">
        <v>3140</v>
      </c>
      <c r="F163" s="1536">
        <f>SUMIF(MA_CODE,$E163,SDCDK)</f>
        <v>0</v>
      </c>
      <c r="G163" s="1537" t="str">
        <f t="shared" si="1"/>
        <v/>
      </c>
      <c r="H163" s="1538"/>
      <c r="I163" s="1539">
        <f>SUMIF(MA_CODE,$E163,SDCCK)</f>
        <v>0</v>
      </c>
      <c r="J163" s="1540">
        <f t="shared" si="2"/>
        <v>0</v>
      </c>
      <c r="K163" s="1541"/>
      <c r="L163" s="1542">
        <f t="shared" si="6"/>
        <v>0</v>
      </c>
      <c r="M163" s="1531" t="str">
        <f t="shared" si="4"/>
        <v/>
      </c>
      <c r="N163" s="1532"/>
    </row>
    <row r="164">
      <c r="A164" s="1533">
        <v>790.0</v>
      </c>
      <c r="B164" s="1534" t="s">
        <v>3477</v>
      </c>
      <c r="C164" s="1524" t="s">
        <v>3129</v>
      </c>
      <c r="D164" s="1535" t="s">
        <v>2214</v>
      </c>
      <c r="E164" s="1524" t="s">
        <v>3152</v>
      </c>
      <c r="F164" s="1536">
        <f>SUMIF(MA_CODE,$E164,SDCDK)</f>
        <v>0</v>
      </c>
      <c r="G164" s="1537" t="str">
        <f t="shared" si="1"/>
        <v/>
      </c>
      <c r="H164" s="1538"/>
      <c r="I164" s="1539">
        <f>SUMIF(MA_CODE,$E164,SDCCK)</f>
        <v>0</v>
      </c>
      <c r="J164" s="1540">
        <f t="shared" si="2"/>
        <v>0</v>
      </c>
      <c r="K164" s="1541"/>
      <c r="L164" s="1542">
        <f t="shared" si="6"/>
        <v>0</v>
      </c>
      <c r="M164" s="1531" t="str">
        <f t="shared" si="4"/>
        <v/>
      </c>
      <c r="N164" s="1532"/>
    </row>
    <row r="165">
      <c r="A165" s="1509">
        <v>795.0</v>
      </c>
      <c r="B165" s="1510" t="s">
        <v>3478</v>
      </c>
      <c r="C165" s="1511" t="s">
        <v>3479</v>
      </c>
      <c r="D165" s="1512" t="s">
        <v>3480</v>
      </c>
      <c r="E165" s="1513"/>
      <c r="F165" s="1514">
        <f>F166+F183</f>
        <v>0</v>
      </c>
      <c r="G165" s="1515" t="str">
        <f t="shared" si="1"/>
        <v/>
      </c>
      <c r="H165" s="1515" t="str">
        <f>IFERROR(F165/F$188,"")</f>
        <v/>
      </c>
      <c r="I165" s="1514">
        <f>I166+I183</f>
        <v>1850000000</v>
      </c>
      <c r="J165" s="1516">
        <f t="shared" si="2"/>
        <v>0.2638517849</v>
      </c>
      <c r="K165" s="1517">
        <f>IFERROR(I165/I$188,"")</f>
        <v>0.9931679275</v>
      </c>
      <c r="L165" s="1518">
        <f t="shared" si="6"/>
        <v>1850000000</v>
      </c>
      <c r="M165" s="1515" t="str">
        <f t="shared" si="4"/>
        <v/>
      </c>
      <c r="N165" s="1519"/>
    </row>
    <row r="166">
      <c r="A166" s="1520">
        <v>800.0</v>
      </c>
      <c r="B166" s="1521" t="s">
        <v>3481</v>
      </c>
      <c r="C166" s="1522" t="s">
        <v>3482</v>
      </c>
      <c r="D166" s="1523" t="s">
        <v>3483</v>
      </c>
      <c r="E166" s="1524" t="s">
        <v>2214</v>
      </c>
      <c r="F166" s="1525">
        <f>F167+SUM(F170:F179)+F182</f>
        <v>0</v>
      </c>
      <c r="G166" s="1526" t="str">
        <f t="shared" si="1"/>
        <v/>
      </c>
      <c r="H166" s="1526" t="str">
        <f>IFERROR(F166/F$165,"")</f>
        <v/>
      </c>
      <c r="I166" s="1527">
        <f>I167+SUM(I170:I179)+I182</f>
        <v>1850000000</v>
      </c>
      <c r="J166" s="1528">
        <f t="shared" si="2"/>
        <v>0.2638517849</v>
      </c>
      <c r="K166" s="1529">
        <f>IFERROR(I166/I$165,"")</f>
        <v>1</v>
      </c>
      <c r="L166" s="1530">
        <f t="shared" si="6"/>
        <v>1850000000</v>
      </c>
      <c r="M166" s="1531" t="str">
        <f t="shared" si="4"/>
        <v/>
      </c>
      <c r="N166" s="1532"/>
    </row>
    <row r="167">
      <c r="A167" s="1533">
        <v>805.0</v>
      </c>
      <c r="B167" s="1534" t="s">
        <v>3484</v>
      </c>
      <c r="C167" s="1524" t="s">
        <v>3157</v>
      </c>
      <c r="D167" s="1535" t="s">
        <v>3485</v>
      </c>
      <c r="E167" s="1524"/>
      <c r="F167" s="1536">
        <f>SUM(F168:F169)</f>
        <v>0</v>
      </c>
      <c r="G167" s="1537" t="str">
        <f t="shared" si="1"/>
        <v/>
      </c>
      <c r="H167" s="1538"/>
      <c r="I167" s="1539">
        <f>SUM(I168:I169)</f>
        <v>1850000000</v>
      </c>
      <c r="J167" s="1540">
        <f t="shared" si="2"/>
        <v>0.2638517849</v>
      </c>
      <c r="K167" s="1541"/>
      <c r="L167" s="1542">
        <f t="shared" si="6"/>
        <v>1850000000</v>
      </c>
      <c r="M167" s="1531" t="str">
        <f t="shared" si="4"/>
        <v/>
      </c>
      <c r="N167" s="1532"/>
    </row>
    <row r="168">
      <c r="A168" s="1533">
        <v>810.0</v>
      </c>
      <c r="B168" s="1534" t="s">
        <v>3486</v>
      </c>
      <c r="C168" s="1524" t="s">
        <v>3487</v>
      </c>
      <c r="D168" s="1535" t="s">
        <v>2214</v>
      </c>
      <c r="E168" s="1573" t="s">
        <v>1484</v>
      </c>
      <c r="F168" s="1536">
        <f>SUMIF(MA_CODE,$E168,SDCDK)</f>
        <v>0</v>
      </c>
      <c r="G168" s="1537" t="str">
        <f t="shared" si="1"/>
        <v/>
      </c>
      <c r="H168" s="1538"/>
      <c r="I168" s="1539">
        <f>SUMIF(MA_CODE,$E168,SDCCK)</f>
        <v>1850000000</v>
      </c>
      <c r="J168" s="1540">
        <f t="shared" si="2"/>
        <v>0.2638517849</v>
      </c>
      <c r="K168" s="1541"/>
      <c r="L168" s="1542">
        <f t="shared" si="6"/>
        <v>1850000000</v>
      </c>
      <c r="M168" s="1531" t="str">
        <f t="shared" si="4"/>
        <v/>
      </c>
      <c r="N168" s="1532"/>
    </row>
    <row r="169">
      <c r="A169" s="1533">
        <v>815.0</v>
      </c>
      <c r="B169" s="1534" t="s">
        <v>3488</v>
      </c>
      <c r="C169" s="1524" t="s">
        <v>3489</v>
      </c>
      <c r="D169" s="1535" t="s">
        <v>2214</v>
      </c>
      <c r="E169" s="1524" t="s">
        <v>3473</v>
      </c>
      <c r="F169" s="1536">
        <f>SUMIF(MA_CODE,$E169,SDCDK)</f>
        <v>0</v>
      </c>
      <c r="G169" s="1537" t="str">
        <f t="shared" si="1"/>
        <v/>
      </c>
      <c r="H169" s="1538"/>
      <c r="I169" s="1539">
        <f>SUMIF(MA_CODE,$E169,SDCCK)</f>
        <v>0</v>
      </c>
      <c r="J169" s="1540">
        <f t="shared" si="2"/>
        <v>0</v>
      </c>
      <c r="K169" s="1541"/>
      <c r="L169" s="1542">
        <f t="shared" si="6"/>
        <v>0</v>
      </c>
      <c r="M169" s="1531" t="str">
        <f t="shared" si="4"/>
        <v/>
      </c>
      <c r="N169" s="1532"/>
    </row>
    <row r="170">
      <c r="A170" s="1533">
        <v>820.0</v>
      </c>
      <c r="B170" s="1534" t="s">
        <v>3490</v>
      </c>
      <c r="C170" s="1524" t="s">
        <v>3159</v>
      </c>
      <c r="D170" s="1535" t="s">
        <v>2214</v>
      </c>
      <c r="E170" s="1524" t="s">
        <v>1486</v>
      </c>
      <c r="F170" s="1536">
        <f>SUMIF(MA_CODE,$E170,SDCDK)</f>
        <v>0</v>
      </c>
      <c r="G170" s="1537" t="str">
        <f t="shared" si="1"/>
        <v/>
      </c>
      <c r="H170" s="1538"/>
      <c r="I170" s="1539">
        <f>SUMIF(MA_CODE,$E170,SDCCK)</f>
        <v>0</v>
      </c>
      <c r="J170" s="1540">
        <f t="shared" si="2"/>
        <v>0</v>
      </c>
      <c r="K170" s="1541"/>
      <c r="L170" s="1542">
        <f t="shared" si="6"/>
        <v>0</v>
      </c>
      <c r="M170" s="1531" t="str">
        <f t="shared" si="4"/>
        <v/>
      </c>
      <c r="N170" s="1532"/>
    </row>
    <row r="171">
      <c r="A171" s="1533">
        <v>825.0</v>
      </c>
      <c r="B171" s="1534" t="s">
        <v>3491</v>
      </c>
      <c r="C171" s="1524" t="s">
        <v>3160</v>
      </c>
      <c r="D171" s="1535" t="s">
        <v>2214</v>
      </c>
      <c r="E171" s="1524" t="s">
        <v>3158</v>
      </c>
      <c r="F171" s="1536">
        <f>SUMIF(MA_CODE,$E171,SDCDK)</f>
        <v>0</v>
      </c>
      <c r="G171" s="1537" t="str">
        <f t="shared" si="1"/>
        <v/>
      </c>
      <c r="H171" s="1538"/>
      <c r="I171" s="1539">
        <f>SUMIF(MA_CODE,$E171,SDCCK)</f>
        <v>0</v>
      </c>
      <c r="J171" s="1540">
        <f t="shared" si="2"/>
        <v>0</v>
      </c>
      <c r="K171" s="1541"/>
      <c r="L171" s="1542">
        <f t="shared" si="6"/>
        <v>0</v>
      </c>
      <c r="M171" s="1531" t="str">
        <f t="shared" si="4"/>
        <v/>
      </c>
      <c r="N171" s="1532"/>
    </row>
    <row r="172">
      <c r="A172" s="1533">
        <v>830.0</v>
      </c>
      <c r="B172" s="1534" t="s">
        <v>3492</v>
      </c>
      <c r="C172" s="1524" t="s">
        <v>3165</v>
      </c>
      <c r="D172" s="1535" t="s">
        <v>2214</v>
      </c>
      <c r="E172" s="1524" t="s">
        <v>1488</v>
      </c>
      <c r="F172" s="1536">
        <f>SUMIF(MA_CODE,$E172,SDCDK)</f>
        <v>0</v>
      </c>
      <c r="G172" s="1537" t="str">
        <f t="shared" si="1"/>
        <v/>
      </c>
      <c r="H172" s="1538"/>
      <c r="I172" s="1539">
        <f>SUMIF(MA_CODE,$E172,SDCCK)</f>
        <v>0</v>
      </c>
      <c r="J172" s="1540">
        <f t="shared" si="2"/>
        <v>0</v>
      </c>
      <c r="K172" s="1541"/>
      <c r="L172" s="1542">
        <f t="shared" si="6"/>
        <v>0</v>
      </c>
      <c r="M172" s="1531" t="str">
        <f t="shared" si="4"/>
        <v/>
      </c>
      <c r="N172" s="1532"/>
    </row>
    <row r="173">
      <c r="A173" s="1533">
        <v>835.0</v>
      </c>
      <c r="B173" s="1534" t="s">
        <v>3493</v>
      </c>
      <c r="C173" s="1524" t="s">
        <v>3494</v>
      </c>
      <c r="D173" s="1535" t="s">
        <v>2214</v>
      </c>
      <c r="E173" s="1524" t="s">
        <v>3170</v>
      </c>
      <c r="F173" s="1536">
        <f>SUMIF(MA_CODE,$E173,SDCDK)</f>
        <v>0</v>
      </c>
      <c r="G173" s="1537" t="str">
        <f t="shared" si="1"/>
        <v/>
      </c>
      <c r="H173" s="1538"/>
      <c r="I173" s="1539">
        <f>SUMIF(MA_CODE,$E173,SDCCK)</f>
        <v>0</v>
      </c>
      <c r="J173" s="1540">
        <f t="shared" si="2"/>
        <v>0</v>
      </c>
      <c r="K173" s="1541"/>
      <c r="L173" s="1542">
        <f t="shared" si="6"/>
        <v>0</v>
      </c>
      <c r="M173" s="1531" t="str">
        <f t="shared" si="4"/>
        <v/>
      </c>
      <c r="N173" s="1532"/>
    </row>
    <row r="174">
      <c r="A174" s="1533">
        <v>840.0</v>
      </c>
      <c r="B174" s="1534" t="s">
        <v>3495</v>
      </c>
      <c r="C174" s="1524" t="s">
        <v>3496</v>
      </c>
      <c r="D174" s="1535" t="s">
        <v>2214</v>
      </c>
      <c r="E174" s="1524" t="s">
        <v>3159</v>
      </c>
      <c r="F174" s="1536">
        <f>SUMIF(MA_CODE,$E174,SDCDK)</f>
        <v>0</v>
      </c>
      <c r="G174" s="1537" t="str">
        <f t="shared" si="1"/>
        <v/>
      </c>
      <c r="H174" s="1538"/>
      <c r="I174" s="1539">
        <f>SUMIF(MA_CODE,$E174,SDCCK)</f>
        <v>0</v>
      </c>
      <c r="J174" s="1540">
        <f t="shared" si="2"/>
        <v>0</v>
      </c>
      <c r="K174" s="1541"/>
      <c r="L174" s="1542">
        <f t="shared" si="6"/>
        <v>0</v>
      </c>
      <c r="M174" s="1531" t="str">
        <f t="shared" si="4"/>
        <v/>
      </c>
      <c r="N174" s="1532"/>
    </row>
    <row r="175">
      <c r="A175" s="1533">
        <v>845.0</v>
      </c>
      <c r="B175" s="1534" t="s">
        <v>3497</v>
      </c>
      <c r="C175" s="1524" t="s">
        <v>3167</v>
      </c>
      <c r="D175" s="1535" t="s">
        <v>2214</v>
      </c>
      <c r="E175" s="1524" t="s">
        <v>3160</v>
      </c>
      <c r="F175" s="1536">
        <f>SUMIF(MA_CODE,$E175,SDCDK)</f>
        <v>0</v>
      </c>
      <c r="G175" s="1537" t="str">
        <f t="shared" si="1"/>
        <v/>
      </c>
      <c r="H175" s="1538"/>
      <c r="I175" s="1539">
        <f>SUMIF(MA_CODE,$E175,SDCCK)</f>
        <v>0</v>
      </c>
      <c r="J175" s="1540">
        <f t="shared" si="2"/>
        <v>0</v>
      </c>
      <c r="K175" s="1541"/>
      <c r="L175" s="1542">
        <f t="shared" si="6"/>
        <v>0</v>
      </c>
      <c r="M175" s="1531" t="str">
        <f t="shared" si="4"/>
        <v/>
      </c>
      <c r="N175" s="1532"/>
    </row>
    <row r="176">
      <c r="A176" s="1533">
        <v>850.0</v>
      </c>
      <c r="B176" s="1534" t="s">
        <v>3498</v>
      </c>
      <c r="C176" s="1524" t="s">
        <v>3169</v>
      </c>
      <c r="D176" s="1535" t="s">
        <v>2214</v>
      </c>
      <c r="E176" s="1524" t="s">
        <v>3165</v>
      </c>
      <c r="F176" s="1536">
        <f>SUMIF(MA_CODE,$E176,SDCDK)</f>
        <v>0</v>
      </c>
      <c r="G176" s="1537" t="str">
        <f t="shared" si="1"/>
        <v/>
      </c>
      <c r="H176" s="1538"/>
      <c r="I176" s="1539">
        <f>SUMIF(MA_CODE,$E176,SDCCK)</f>
        <v>0</v>
      </c>
      <c r="J176" s="1540">
        <f t="shared" si="2"/>
        <v>0</v>
      </c>
      <c r="K176" s="1541"/>
      <c r="L176" s="1542">
        <f t="shared" si="6"/>
        <v>0</v>
      </c>
      <c r="M176" s="1531" t="str">
        <f t="shared" si="4"/>
        <v/>
      </c>
      <c r="N176" s="1532"/>
    </row>
    <row r="177">
      <c r="A177" s="1533">
        <v>855.0</v>
      </c>
      <c r="B177" s="1534" t="s">
        <v>3499</v>
      </c>
      <c r="C177" s="1524" t="s">
        <v>3170</v>
      </c>
      <c r="D177" s="1535" t="s">
        <v>2214</v>
      </c>
      <c r="E177" s="1524" t="s">
        <v>3167</v>
      </c>
      <c r="F177" s="1536">
        <f>SUMIF(MA_CODE,$E177,SDCDK)</f>
        <v>0</v>
      </c>
      <c r="G177" s="1537" t="str">
        <f t="shared" si="1"/>
        <v/>
      </c>
      <c r="H177" s="1538"/>
      <c r="I177" s="1539">
        <f>SUMIF(MA_CODE,$E177,SDCCK)</f>
        <v>0</v>
      </c>
      <c r="J177" s="1540">
        <f t="shared" si="2"/>
        <v>0</v>
      </c>
      <c r="K177" s="1541"/>
      <c r="L177" s="1542">
        <f t="shared" si="6"/>
        <v>0</v>
      </c>
      <c r="M177" s="1531" t="str">
        <f t="shared" si="4"/>
        <v/>
      </c>
      <c r="N177" s="1532"/>
    </row>
    <row r="178">
      <c r="A178" s="1533">
        <v>860.0</v>
      </c>
      <c r="B178" s="1534" t="s">
        <v>3500</v>
      </c>
      <c r="C178" s="1524" t="s">
        <v>3501</v>
      </c>
      <c r="D178" s="1535" t="s">
        <v>2214</v>
      </c>
      <c r="E178" s="1524" t="s">
        <v>3169</v>
      </c>
      <c r="F178" s="1536">
        <f>SUMIF(MA_CODE,$E178,SDCDK)</f>
        <v>0</v>
      </c>
      <c r="G178" s="1537" t="str">
        <f t="shared" si="1"/>
        <v/>
      </c>
      <c r="H178" s="1538"/>
      <c r="I178" s="1539">
        <f>SUMIF(MA_CODE,$E178,SDCCK)</f>
        <v>0</v>
      </c>
      <c r="J178" s="1540">
        <f t="shared" si="2"/>
        <v>0</v>
      </c>
      <c r="K178" s="1541"/>
      <c r="L178" s="1542">
        <f t="shared" si="6"/>
        <v>0</v>
      </c>
      <c r="M178" s="1531" t="str">
        <f t="shared" si="4"/>
        <v/>
      </c>
      <c r="N178" s="1532"/>
    </row>
    <row r="179">
      <c r="A179" s="1533">
        <v>865.0</v>
      </c>
      <c r="B179" s="1534" t="s">
        <v>3502</v>
      </c>
      <c r="C179" s="1524" t="s">
        <v>3172</v>
      </c>
      <c r="D179" s="1535" t="s">
        <v>3503</v>
      </c>
      <c r="E179" s="1524" t="s">
        <v>2214</v>
      </c>
      <c r="F179" s="1536">
        <f>SUM(F180:F181)</f>
        <v>0</v>
      </c>
      <c r="G179" s="1537" t="str">
        <f t="shared" si="1"/>
        <v/>
      </c>
      <c r="H179" s="1538"/>
      <c r="I179" s="1539">
        <f>SUM(I180:I181)</f>
        <v>0</v>
      </c>
      <c r="J179" s="1540">
        <f t="shared" si="2"/>
        <v>0</v>
      </c>
      <c r="K179" s="1541"/>
      <c r="L179" s="1542">
        <f t="shared" si="6"/>
        <v>0</v>
      </c>
      <c r="M179" s="1531" t="str">
        <f t="shared" si="4"/>
        <v/>
      </c>
      <c r="N179" s="1532"/>
    </row>
    <row r="180">
      <c r="A180" s="1533">
        <v>870.0</v>
      </c>
      <c r="B180" s="1534" t="s">
        <v>3504</v>
      </c>
      <c r="C180" s="1524" t="s">
        <v>3505</v>
      </c>
      <c r="D180" s="1535" t="s">
        <v>2214</v>
      </c>
      <c r="E180" s="1573" t="s">
        <v>3173</v>
      </c>
      <c r="F180" s="1536">
        <f>SUMIF(MA_CODE,$E180,SDCDK)</f>
        <v>0</v>
      </c>
      <c r="G180" s="1537" t="str">
        <f t="shared" si="1"/>
        <v/>
      </c>
      <c r="H180" s="1538"/>
      <c r="I180" s="1539">
        <f>SUMIF(MA_CODE,$E180,SDCCK)</f>
        <v>0</v>
      </c>
      <c r="J180" s="1540">
        <f t="shared" si="2"/>
        <v>0</v>
      </c>
      <c r="K180" s="1541"/>
      <c r="L180" s="1542">
        <f t="shared" si="6"/>
        <v>0</v>
      </c>
      <c r="M180" s="1531" t="str">
        <f t="shared" si="4"/>
        <v/>
      </c>
      <c r="N180" s="1532"/>
    </row>
    <row r="181">
      <c r="A181" s="1533">
        <v>875.0</v>
      </c>
      <c r="B181" s="1534" t="s">
        <v>3506</v>
      </c>
      <c r="C181" s="1524" t="s">
        <v>3507</v>
      </c>
      <c r="D181" s="1535" t="s">
        <v>2214</v>
      </c>
      <c r="E181" s="1524" t="s">
        <v>3175</v>
      </c>
      <c r="F181" s="1536">
        <f>SUMIF(MA_CODE,$E181,SDCDK)</f>
        <v>0</v>
      </c>
      <c r="G181" s="1537" t="str">
        <f t="shared" si="1"/>
        <v/>
      </c>
      <c r="H181" s="1538"/>
      <c r="I181" s="1539">
        <f>SUMIF(MA_CODE,$E181,SDCCK)</f>
        <v>0</v>
      </c>
      <c r="J181" s="1540">
        <f t="shared" si="2"/>
        <v>0</v>
      </c>
      <c r="K181" s="1541"/>
      <c r="L181" s="1542">
        <f t="shared" si="6"/>
        <v>0</v>
      </c>
      <c r="M181" s="1531" t="str">
        <f t="shared" si="4"/>
        <v/>
      </c>
      <c r="N181" s="1532"/>
    </row>
    <row r="182">
      <c r="A182" s="1533">
        <v>880.0</v>
      </c>
      <c r="B182" s="1534" t="s">
        <v>3508</v>
      </c>
      <c r="C182" s="1524" t="s">
        <v>3509</v>
      </c>
      <c r="D182" s="1535" t="s">
        <v>2214</v>
      </c>
      <c r="E182" s="1524" t="s">
        <v>3176</v>
      </c>
      <c r="F182" s="1536">
        <f>SUMIF(MA_CODE,$E182,SDCDK)</f>
        <v>0</v>
      </c>
      <c r="G182" s="1537" t="str">
        <f t="shared" si="1"/>
        <v/>
      </c>
      <c r="H182" s="1538"/>
      <c r="I182" s="1539">
        <f>SUMIF(MA_CODE,$E182,SDCCK)</f>
        <v>0</v>
      </c>
      <c r="J182" s="1540">
        <f t="shared" si="2"/>
        <v>0</v>
      </c>
      <c r="K182" s="1541"/>
      <c r="L182" s="1542">
        <f t="shared" si="6"/>
        <v>0</v>
      </c>
      <c r="M182" s="1531" t="str">
        <f t="shared" si="4"/>
        <v/>
      </c>
      <c r="N182" s="1532"/>
    </row>
    <row r="183">
      <c r="A183" s="1520">
        <v>885.0</v>
      </c>
      <c r="B183" s="1521" t="s">
        <v>3510</v>
      </c>
      <c r="C183" s="1522" t="s">
        <v>3511</v>
      </c>
      <c r="D183" s="1523" t="s">
        <v>3512</v>
      </c>
      <c r="E183" s="1524" t="s">
        <v>2214</v>
      </c>
      <c r="F183" s="1525">
        <f>F184+F187</f>
        <v>0</v>
      </c>
      <c r="G183" s="1526" t="str">
        <f t="shared" si="1"/>
        <v/>
      </c>
      <c r="H183" s="1526" t="str">
        <f>IFERROR(F183/F$165,"")</f>
        <v/>
      </c>
      <c r="I183" s="1527">
        <f>I184+I187</f>
        <v>0</v>
      </c>
      <c r="J183" s="1528">
        <f t="shared" si="2"/>
        <v>0</v>
      </c>
      <c r="K183" s="1529">
        <f>IFERROR(I183/I$165,"")</f>
        <v>0</v>
      </c>
      <c r="L183" s="1530">
        <f t="shared" si="6"/>
        <v>0</v>
      </c>
      <c r="M183" s="1531" t="str">
        <f t="shared" si="4"/>
        <v/>
      </c>
      <c r="N183" s="1532"/>
    </row>
    <row r="184">
      <c r="A184" s="1533">
        <v>890.0</v>
      </c>
      <c r="B184" s="1534" t="s">
        <v>3513</v>
      </c>
      <c r="C184" s="1524" t="s">
        <v>3514</v>
      </c>
      <c r="D184" s="1535" t="s">
        <v>3515</v>
      </c>
      <c r="E184" s="1524" t="s">
        <v>2214</v>
      </c>
      <c r="F184" s="1536">
        <f>SUM(F185:F186)</f>
        <v>0</v>
      </c>
      <c r="G184" s="1537" t="str">
        <f t="shared" si="1"/>
        <v/>
      </c>
      <c r="H184" s="1538"/>
      <c r="I184" s="1539">
        <f>SUM(I185:I186)</f>
        <v>0</v>
      </c>
      <c r="J184" s="1540">
        <f t="shared" si="2"/>
        <v>0</v>
      </c>
      <c r="K184" s="1541"/>
      <c r="L184" s="1542">
        <f t="shared" si="6"/>
        <v>0</v>
      </c>
      <c r="M184" s="1531" t="str">
        <f t="shared" si="4"/>
        <v/>
      </c>
      <c r="N184" s="1532"/>
    </row>
    <row r="185">
      <c r="A185" s="1533">
        <v>895.0</v>
      </c>
      <c r="B185" s="1534" t="s">
        <v>3516</v>
      </c>
      <c r="C185" s="1524" t="s">
        <v>2214</v>
      </c>
      <c r="D185" s="1535" t="s">
        <v>2214</v>
      </c>
      <c r="E185" s="1524" t="s">
        <v>3178</v>
      </c>
      <c r="F185" s="1536">
        <f>SUMIF(MA_CODE,$E185,SDCDK)</f>
        <v>0</v>
      </c>
      <c r="G185" s="1537" t="str">
        <f t="shared" si="1"/>
        <v/>
      </c>
      <c r="H185" s="1538"/>
      <c r="I185" s="1539">
        <f>SUMIF(MA_CODE,$E185,SDCCK)</f>
        <v>0</v>
      </c>
      <c r="J185" s="1540">
        <f t="shared" si="2"/>
        <v>0</v>
      </c>
      <c r="K185" s="1541"/>
      <c r="L185" s="1542">
        <f t="shared" si="6"/>
        <v>0</v>
      </c>
      <c r="M185" s="1531" t="str">
        <f t="shared" si="4"/>
        <v/>
      </c>
      <c r="N185" s="1532"/>
    </row>
    <row r="186">
      <c r="A186" s="1533">
        <v>900.0</v>
      </c>
      <c r="B186" s="1534" t="s">
        <v>3517</v>
      </c>
      <c r="C186" s="1524" t="s">
        <v>2214</v>
      </c>
      <c r="D186" s="1535" t="s">
        <v>2214</v>
      </c>
      <c r="E186" s="1524" t="s">
        <v>3053</v>
      </c>
      <c r="F186" s="1536">
        <f>SUMIF(MA_CODE,$E186,SDCDK)</f>
        <v>0</v>
      </c>
      <c r="G186" s="1537" t="str">
        <f t="shared" si="1"/>
        <v/>
      </c>
      <c r="H186" s="1538"/>
      <c r="I186" s="1539">
        <f>SUMIF(MA_CODE,$E186,SDCCK)</f>
        <v>0</v>
      </c>
      <c r="J186" s="1540">
        <f t="shared" si="2"/>
        <v>0</v>
      </c>
      <c r="K186" s="1541"/>
      <c r="L186" s="1542">
        <f t="shared" si="6"/>
        <v>0</v>
      </c>
      <c r="M186" s="1531" t="str">
        <f t="shared" si="4"/>
        <v/>
      </c>
      <c r="N186" s="1532"/>
    </row>
    <row r="187">
      <c r="A187" s="1533">
        <v>905.0</v>
      </c>
      <c r="B187" s="1534" t="s">
        <v>3518</v>
      </c>
      <c r="C187" s="1524" t="s">
        <v>3519</v>
      </c>
      <c r="D187" s="1535" t="s">
        <v>2214</v>
      </c>
      <c r="E187" s="1524" t="s">
        <v>3184</v>
      </c>
      <c r="F187" s="1536">
        <f>SUMIF(MA_CODE,$E187,SDCDK)</f>
        <v>0</v>
      </c>
      <c r="G187" s="1537" t="str">
        <f t="shared" si="1"/>
        <v/>
      </c>
      <c r="H187" s="1538"/>
      <c r="I187" s="1539">
        <f>SUMIF(MA_CODE,$E187,SDCCK)</f>
        <v>0</v>
      </c>
      <c r="J187" s="1540">
        <f t="shared" si="2"/>
        <v>0</v>
      </c>
      <c r="K187" s="1541"/>
      <c r="L187" s="1542">
        <f t="shared" si="6"/>
        <v>0</v>
      </c>
      <c r="M187" s="1531" t="str">
        <f t="shared" si="4"/>
        <v/>
      </c>
      <c r="N187" s="1532"/>
    </row>
    <row r="188">
      <c r="A188" s="1574">
        <v>910.0</v>
      </c>
      <c r="B188" s="1575" t="s">
        <v>3520</v>
      </c>
      <c r="C188" s="1576" t="s">
        <v>3521</v>
      </c>
      <c r="D188" s="1577" t="s">
        <v>3522</v>
      </c>
      <c r="E188" s="1555" t="s">
        <v>2214</v>
      </c>
      <c r="F188" s="1578">
        <f>F165+F112</f>
        <v>0</v>
      </c>
      <c r="G188" s="1537" t="str">
        <f t="shared" si="1"/>
        <v/>
      </c>
      <c r="H188" s="1537" t="str">
        <f>G188</f>
        <v/>
      </c>
      <c r="I188" s="1579">
        <f>I165+I112</f>
        <v>1862726281</v>
      </c>
      <c r="J188" s="1540">
        <f t="shared" si="2"/>
        <v>0.26566684</v>
      </c>
      <c r="K188" s="1549">
        <f>J188</f>
        <v>0.26566684</v>
      </c>
      <c r="L188" s="1542">
        <f t="shared" si="6"/>
        <v>1862726281</v>
      </c>
      <c r="M188" s="1531" t="str">
        <f t="shared" si="4"/>
        <v/>
      </c>
      <c r="N188" s="1532"/>
    </row>
    <row r="189">
      <c r="A189" s="1580"/>
      <c r="B189" s="1581" t="s">
        <v>3523</v>
      </c>
      <c r="C189" s="1582"/>
      <c r="D189" s="1580"/>
      <c r="E189" s="1582"/>
      <c r="F189" s="1583">
        <f>F23+F59</f>
        <v>0</v>
      </c>
      <c r="G189" s="1584" t="str">
        <f t="shared" si="1"/>
        <v/>
      </c>
      <c r="H189" s="1584"/>
      <c r="I189" s="1583">
        <f>I23+I59</f>
        <v>1212073435</v>
      </c>
      <c r="J189" s="1584">
        <f t="shared" si="2"/>
        <v>0.1728690482</v>
      </c>
      <c r="K189" s="1585"/>
      <c r="L189" s="1583">
        <f t="shared" si="6"/>
        <v>1212073435</v>
      </c>
      <c r="M189" s="1584" t="str">
        <f t="shared" si="4"/>
        <v/>
      </c>
      <c r="N189" s="1586"/>
    </row>
  </sheetData>
  <autoFilter ref="$A$4:$N$187"/>
  <dataValidations>
    <dataValidation type="list" allowBlank="1" showErrorMessage="1" sqref="E8:E187">
      <formula1>MA_CODE</formula1>
    </dataValidation>
  </dataValidation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8.57"/>
    <col customWidth="1" min="2" max="2" width="8.43"/>
    <col customWidth="1" min="3" max="3" width="4.71"/>
    <col customWidth="1" min="4" max="4" width="15.57"/>
    <col customWidth="1" min="5" max="7" width="9.29"/>
    <col customWidth="1" min="8" max="8" width="17.14"/>
    <col customWidth="1" min="9" max="9" width="37.57"/>
    <col customWidth="1" min="10" max="10" width="16.57"/>
    <col customWidth="1" min="11" max="11" width="33.14"/>
    <col customWidth="1" min="12" max="12" width="10.71"/>
    <col customWidth="1" min="13" max="13" width="27.29"/>
    <col customWidth="1" min="14" max="15" width="6.43"/>
    <col customWidth="1" min="16" max="16" width="13.86"/>
    <col customWidth="1" min="17" max="17" width="26.14"/>
    <col customWidth="1" min="18" max="18" width="7.86"/>
    <col customWidth="1" min="20" max="20" width="5.43"/>
    <col customWidth="1" min="21" max="21" width="10.14"/>
    <col customWidth="1" min="22" max="22" width="21.14"/>
    <col customWidth="1" min="23" max="23" width="5.57"/>
    <col customWidth="1" min="24" max="24" width="16.29"/>
    <col customWidth="1" min="25" max="25" width="17.14"/>
    <col customWidth="1" min="27" max="27" width="18.43"/>
    <col customWidth="1" min="28" max="28" width="15.86"/>
    <col customWidth="1" min="29" max="29" width="17.0"/>
    <col customWidth="1" min="30" max="30" width="3.57"/>
    <col customWidth="1" min="31" max="31" width="21.57"/>
    <col customWidth="1" min="32" max="32" width="29.71"/>
    <col customWidth="1" min="33" max="33" width="20.86"/>
    <col customWidth="1" min="34" max="34" width="15.57"/>
    <col customWidth="1" min="35" max="35" width="28.0"/>
    <col customWidth="1" min="36" max="36" width="4.29"/>
    <col customWidth="1" min="37" max="37" width="20.0"/>
    <col customWidth="1" min="38" max="38" width="64.43"/>
    <col customWidth="1" min="39" max="39" width="50.29"/>
  </cols>
  <sheetData>
    <row r="1">
      <c r="A1" s="1587"/>
      <c r="B1" s="1588"/>
      <c r="C1" s="1588"/>
      <c r="D1" s="1588"/>
      <c r="E1" s="1589"/>
      <c r="F1" s="1589"/>
      <c r="G1" s="1589"/>
      <c r="H1" s="661"/>
      <c r="I1" s="661"/>
      <c r="J1" s="661"/>
      <c r="K1" s="661"/>
      <c r="L1" s="661"/>
      <c r="M1" s="661"/>
      <c r="N1" s="1590"/>
      <c r="O1" s="1590"/>
      <c r="P1" s="1590"/>
      <c r="Q1" s="1590" t="s">
        <v>3524</v>
      </c>
      <c r="R1" s="1590"/>
      <c r="S1" s="1590"/>
      <c r="T1" s="661"/>
      <c r="U1" s="661"/>
      <c r="V1" s="661"/>
      <c r="W1" s="661"/>
      <c r="X1" s="661"/>
      <c r="Y1" s="661"/>
      <c r="Z1" s="661"/>
      <c r="AA1" s="661"/>
      <c r="AB1" s="661"/>
      <c r="AC1" s="661"/>
      <c r="AD1" s="661"/>
      <c r="AE1" s="661"/>
      <c r="AF1" s="661"/>
      <c r="AG1" s="661"/>
      <c r="AH1" s="661"/>
      <c r="AI1" s="661"/>
      <c r="AJ1" s="661"/>
      <c r="AK1" s="661"/>
      <c r="AL1" s="661"/>
      <c r="AM1" s="661"/>
    </row>
    <row r="2">
      <c r="A2" s="1591" t="s">
        <v>2266</v>
      </c>
      <c r="B2" s="1592" t="s">
        <v>2208</v>
      </c>
      <c r="C2" s="1593"/>
      <c r="D2" s="1593" t="s">
        <v>119</v>
      </c>
      <c r="E2" s="1592"/>
      <c r="F2" s="1592"/>
      <c r="G2" s="1592"/>
      <c r="H2" s="1594" t="s">
        <v>133</v>
      </c>
      <c r="I2" s="1594" t="s">
        <v>3525</v>
      </c>
      <c r="J2" s="1595" t="s">
        <v>131</v>
      </c>
      <c r="K2" s="1595" t="s">
        <v>3526</v>
      </c>
      <c r="L2" s="1595" t="s">
        <v>132</v>
      </c>
      <c r="M2" s="1595" t="s">
        <v>3527</v>
      </c>
      <c r="N2" s="1596"/>
      <c r="O2" s="1597" t="s">
        <v>34</v>
      </c>
      <c r="P2" s="1598" t="s">
        <v>145</v>
      </c>
      <c r="Q2" s="1598" t="s">
        <v>3528</v>
      </c>
      <c r="R2" s="1598" t="s">
        <v>143</v>
      </c>
      <c r="S2" s="1598" t="s">
        <v>3529</v>
      </c>
      <c r="T2" s="1599"/>
      <c r="U2" s="1600" t="s">
        <v>3530</v>
      </c>
      <c r="V2" s="1600" t="s">
        <v>142</v>
      </c>
      <c r="W2" s="1599"/>
      <c r="X2" s="1601" t="s">
        <v>3531</v>
      </c>
      <c r="Y2" s="1601" t="s">
        <v>3532</v>
      </c>
      <c r="Z2" s="1600" t="s">
        <v>2930</v>
      </c>
      <c r="AA2" s="1600" t="s">
        <v>3533</v>
      </c>
      <c r="AB2" s="1602" t="s">
        <v>2929</v>
      </c>
      <c r="AC2" s="1602" t="s">
        <v>136</v>
      </c>
      <c r="AD2" s="1599"/>
      <c r="AE2" s="1603" t="s">
        <v>122</v>
      </c>
      <c r="AF2" s="1603" t="s">
        <v>53</v>
      </c>
      <c r="AG2" s="1603" t="s">
        <v>55</v>
      </c>
      <c r="AH2" s="1603" t="s">
        <v>3534</v>
      </c>
      <c r="AI2" s="1603" t="s">
        <v>3535</v>
      </c>
      <c r="AJ2" s="1599"/>
      <c r="AK2" s="1603" t="s">
        <v>1965</v>
      </c>
      <c r="AL2" s="1603" t="s">
        <v>1966</v>
      </c>
      <c r="AM2" s="1603"/>
    </row>
    <row r="3">
      <c r="A3" s="1604">
        <v>46023.0</v>
      </c>
      <c r="B3" s="1605" t="s">
        <v>2806</v>
      </c>
      <c r="C3" s="1606"/>
      <c r="D3" s="1607" t="s">
        <v>3536</v>
      </c>
      <c r="E3" s="1606">
        <v>46023.0</v>
      </c>
      <c r="F3" s="1606">
        <v>46053.0</v>
      </c>
      <c r="G3" s="1606"/>
      <c r="H3" s="1608" t="s">
        <v>187</v>
      </c>
      <c r="I3" s="1608" t="s">
        <v>3537</v>
      </c>
      <c r="J3" s="1608" t="s">
        <v>3538</v>
      </c>
      <c r="K3" s="1609" t="s">
        <v>3539</v>
      </c>
      <c r="L3" s="1608">
        <v>511.0</v>
      </c>
      <c r="M3" s="1609" t="s">
        <v>3539</v>
      </c>
      <c r="N3" s="1610"/>
      <c r="O3" s="1611">
        <v>1.0</v>
      </c>
      <c r="P3" s="1612" t="s">
        <v>3540</v>
      </c>
      <c r="Q3" s="1612" t="s">
        <v>3541</v>
      </c>
      <c r="R3" s="1613"/>
      <c r="S3" s="1612" t="s">
        <v>3542</v>
      </c>
      <c r="T3" s="661"/>
      <c r="U3" s="1614" t="s">
        <v>523</v>
      </c>
      <c r="V3" s="1614" t="s">
        <v>1913</v>
      </c>
      <c r="W3" s="1615" t="s">
        <v>3543</v>
      </c>
      <c r="X3" s="1616" t="s">
        <v>516</v>
      </c>
      <c r="Y3" s="1617"/>
      <c r="Z3" s="1614" t="s">
        <v>175</v>
      </c>
      <c r="AA3" s="1614" t="s">
        <v>3544</v>
      </c>
      <c r="AB3" s="1618" t="s">
        <v>2066</v>
      </c>
      <c r="AC3" s="1618" t="s">
        <v>2919</v>
      </c>
      <c r="AD3" s="661"/>
      <c r="AE3" s="1615" t="s">
        <v>3545</v>
      </c>
      <c r="AF3" s="1619" t="s">
        <v>3546</v>
      </c>
      <c r="AG3" s="1619" t="s">
        <v>1765</v>
      </c>
      <c r="AH3" s="1615" t="s">
        <v>3547</v>
      </c>
      <c r="AI3" s="661"/>
      <c r="AJ3" s="661"/>
      <c r="AK3" s="1620" t="s">
        <v>3548</v>
      </c>
      <c r="AL3" s="1621" t="s">
        <v>3549</v>
      </c>
      <c r="AM3" s="1621"/>
    </row>
    <row r="4">
      <c r="A4" s="1604">
        <v>46024.0</v>
      </c>
      <c r="B4" s="1605" t="s">
        <v>2806</v>
      </c>
      <c r="C4" s="1606"/>
      <c r="D4" s="1607" t="s">
        <v>3550</v>
      </c>
      <c r="E4" s="1606">
        <v>46054.0</v>
      </c>
      <c r="F4" s="1606">
        <v>46081.0</v>
      </c>
      <c r="G4" s="1606"/>
      <c r="H4" s="1608" t="s">
        <v>2076</v>
      </c>
      <c r="I4" s="1608" t="s">
        <v>3551</v>
      </c>
      <c r="J4" s="1608" t="s">
        <v>3552</v>
      </c>
      <c r="K4" s="1609" t="s">
        <v>3553</v>
      </c>
      <c r="L4" s="1608">
        <v>515.0</v>
      </c>
      <c r="M4" s="1609" t="s">
        <v>3553</v>
      </c>
      <c r="N4" s="1610"/>
      <c r="O4" s="1611">
        <v>2.0</v>
      </c>
      <c r="P4" s="1612" t="s">
        <v>3554</v>
      </c>
      <c r="Q4" s="1612" t="s">
        <v>3555</v>
      </c>
      <c r="R4" s="1622"/>
      <c r="S4" s="1612" t="s">
        <v>3556</v>
      </c>
      <c r="T4" s="661"/>
      <c r="U4" s="1614" t="s">
        <v>304</v>
      </c>
      <c r="V4" s="1614" t="s">
        <v>3557</v>
      </c>
      <c r="W4" s="1615" t="s">
        <v>3543</v>
      </c>
      <c r="X4" s="1616" t="s">
        <v>3558</v>
      </c>
      <c r="Y4" s="1617"/>
      <c r="Z4" s="1614" t="s">
        <v>175</v>
      </c>
      <c r="AA4" s="1614" t="s">
        <v>3544</v>
      </c>
      <c r="AB4" s="1618" t="s">
        <v>2066</v>
      </c>
      <c r="AC4" s="1618" t="s">
        <v>2919</v>
      </c>
      <c r="AD4" s="661"/>
      <c r="AE4" s="1615" t="s">
        <v>3559</v>
      </c>
      <c r="AF4" s="1619" t="s">
        <v>3560</v>
      </c>
      <c r="AG4" s="1619" t="s">
        <v>1766</v>
      </c>
      <c r="AH4" s="1615" t="s">
        <v>3561</v>
      </c>
      <c r="AI4" s="661"/>
      <c r="AJ4" s="661"/>
      <c r="AK4" s="1620" t="s">
        <v>3562</v>
      </c>
      <c r="AL4" s="87" t="s">
        <v>3563</v>
      </c>
      <c r="AM4" s="87"/>
    </row>
    <row r="5">
      <c r="A5" s="1604">
        <v>46025.0</v>
      </c>
      <c r="B5" s="1605" t="s">
        <v>2806</v>
      </c>
      <c r="C5" s="1606"/>
      <c r="D5" s="1607" t="s">
        <v>3564</v>
      </c>
      <c r="E5" s="1606">
        <v>46082.0</v>
      </c>
      <c r="F5" s="1606">
        <v>46112.0</v>
      </c>
      <c r="G5" s="1606"/>
      <c r="H5" s="1623" t="s">
        <v>3565</v>
      </c>
      <c r="I5" s="1623" t="s">
        <v>3566</v>
      </c>
      <c r="J5" s="1623" t="s">
        <v>3567</v>
      </c>
      <c r="K5" s="1623" t="s">
        <v>1911</v>
      </c>
      <c r="L5" s="1623">
        <v>632.0</v>
      </c>
      <c r="M5" s="1623" t="s">
        <v>3568</v>
      </c>
      <c r="N5" s="1610"/>
      <c r="O5" s="1611">
        <v>3.0</v>
      </c>
      <c r="P5" s="1624" t="s">
        <v>217</v>
      </c>
      <c r="Q5" s="1624" t="s">
        <v>3569</v>
      </c>
      <c r="R5" s="1625" t="s">
        <v>208</v>
      </c>
      <c r="S5" s="1624" t="s">
        <v>3570</v>
      </c>
      <c r="T5" s="661"/>
      <c r="U5" s="1614" t="s">
        <v>176</v>
      </c>
      <c r="V5" s="1614" t="s">
        <v>1912</v>
      </c>
      <c r="W5" s="1615" t="s">
        <v>3543</v>
      </c>
      <c r="X5" s="1616" t="s">
        <v>3571</v>
      </c>
      <c r="Y5" s="1617"/>
      <c r="Z5" s="1614" t="s">
        <v>175</v>
      </c>
      <c r="AA5" s="1614" t="s">
        <v>3544</v>
      </c>
      <c r="AB5" s="1618" t="s">
        <v>2066</v>
      </c>
      <c r="AC5" s="1618" t="s">
        <v>2919</v>
      </c>
      <c r="AD5" s="661"/>
      <c r="AE5" s="1615" t="s">
        <v>3572</v>
      </c>
      <c r="AF5" s="1619" t="s">
        <v>3573</v>
      </c>
      <c r="AG5" s="1619" t="s">
        <v>3574</v>
      </c>
      <c r="AH5" s="1615" t="s">
        <v>3575</v>
      </c>
      <c r="AI5" s="661"/>
      <c r="AJ5" s="661"/>
      <c r="AK5" s="1626" t="s">
        <v>3576</v>
      </c>
      <c r="AL5" s="87" t="s">
        <v>3577</v>
      </c>
      <c r="AM5" s="87"/>
    </row>
    <row r="6">
      <c r="A6" s="1604">
        <v>46026.0</v>
      </c>
      <c r="B6" s="1605" t="s">
        <v>2806</v>
      </c>
      <c r="C6" s="1606"/>
      <c r="D6" s="1607" t="s">
        <v>3578</v>
      </c>
      <c r="E6" s="1606">
        <v>46113.0</v>
      </c>
      <c r="F6" s="1606">
        <v>46142.0</v>
      </c>
      <c r="G6" s="1606"/>
      <c r="H6" s="1623" t="s">
        <v>3579</v>
      </c>
      <c r="I6" s="1623" t="s">
        <v>3580</v>
      </c>
      <c r="J6" s="1623" t="s">
        <v>3567</v>
      </c>
      <c r="K6" s="1623" t="s">
        <v>1911</v>
      </c>
      <c r="L6" s="1623">
        <v>632.0</v>
      </c>
      <c r="M6" s="1623" t="s">
        <v>3568</v>
      </c>
      <c r="N6" s="1610"/>
      <c r="O6" s="1611">
        <v>4.0</v>
      </c>
      <c r="P6" s="1624" t="s">
        <v>3581</v>
      </c>
      <c r="Q6" s="1624" t="s">
        <v>3582</v>
      </c>
      <c r="R6" s="1627" t="s">
        <v>208</v>
      </c>
      <c r="S6" s="1628" t="s">
        <v>3556</v>
      </c>
      <c r="T6" s="661"/>
      <c r="U6" s="1614" t="s">
        <v>3583</v>
      </c>
      <c r="V6" s="1614" t="s">
        <v>3584</v>
      </c>
      <c r="W6" s="1615" t="s">
        <v>3543</v>
      </c>
      <c r="X6" s="1616" t="s">
        <v>3585</v>
      </c>
      <c r="Y6" s="1617"/>
      <c r="Z6" s="1614" t="s">
        <v>175</v>
      </c>
      <c r="AA6" s="1614" t="s">
        <v>3544</v>
      </c>
      <c r="AB6" s="1618" t="s">
        <v>2066</v>
      </c>
      <c r="AC6" s="1618" t="s">
        <v>2919</v>
      </c>
      <c r="AD6" s="661"/>
      <c r="AE6" s="1615" t="s">
        <v>3586</v>
      </c>
      <c r="AF6" s="1619" t="s">
        <v>3587</v>
      </c>
      <c r="AG6" s="1619" t="s">
        <v>1498</v>
      </c>
      <c r="AH6" s="1615" t="s">
        <v>3588</v>
      </c>
      <c r="AI6" s="661"/>
      <c r="AJ6" s="661"/>
      <c r="AK6" s="1629" t="s">
        <v>3589</v>
      </c>
      <c r="AL6" s="87" t="s">
        <v>3590</v>
      </c>
      <c r="AM6" s="87"/>
    </row>
    <row r="7">
      <c r="A7" s="1604">
        <v>46027.0</v>
      </c>
      <c r="B7" s="1605" t="s">
        <v>2806</v>
      </c>
      <c r="C7" s="1606"/>
      <c r="D7" s="1607" t="s">
        <v>3591</v>
      </c>
      <c r="E7" s="1606">
        <v>46143.0</v>
      </c>
      <c r="F7" s="1606">
        <v>46173.0</v>
      </c>
      <c r="G7" s="1606"/>
      <c r="H7" s="1623" t="s">
        <v>3592</v>
      </c>
      <c r="I7" s="1623" t="s">
        <v>3593</v>
      </c>
      <c r="J7" s="1623" t="s">
        <v>3567</v>
      </c>
      <c r="K7" s="1623" t="s">
        <v>1911</v>
      </c>
      <c r="L7" s="1623">
        <v>632.0</v>
      </c>
      <c r="M7" s="1623" t="s">
        <v>3568</v>
      </c>
      <c r="N7" s="1610"/>
      <c r="O7" s="1611">
        <v>5.0</v>
      </c>
      <c r="P7" s="1630" t="s">
        <v>3594</v>
      </c>
      <c r="Q7" s="1630" t="s">
        <v>3595</v>
      </c>
      <c r="R7" s="1627" t="s">
        <v>208</v>
      </c>
      <c r="S7" s="1628" t="s">
        <v>3596</v>
      </c>
      <c r="T7" s="661"/>
      <c r="U7" s="1614" t="s">
        <v>207</v>
      </c>
      <c r="V7" s="1614" t="s">
        <v>3597</v>
      </c>
      <c r="W7" s="1615" t="s">
        <v>3543</v>
      </c>
      <c r="X7" s="1616" t="s">
        <v>3598</v>
      </c>
      <c r="Y7" s="1617"/>
      <c r="Z7" s="1614" t="s">
        <v>175</v>
      </c>
      <c r="AA7" s="1614" t="s">
        <v>3544</v>
      </c>
      <c r="AB7" s="1618" t="s">
        <v>2066</v>
      </c>
      <c r="AC7" s="1618" t="s">
        <v>2919</v>
      </c>
      <c r="AD7" s="661"/>
      <c r="AE7" s="1615" t="s">
        <v>3599</v>
      </c>
      <c r="AF7" s="1619" t="s">
        <v>3600</v>
      </c>
      <c r="AG7" s="1619"/>
      <c r="AH7" s="1615" t="s">
        <v>3601</v>
      </c>
      <c r="AI7" s="661"/>
      <c r="AJ7" s="661"/>
      <c r="AK7" s="1629" t="s">
        <v>3602</v>
      </c>
      <c r="AL7" s="87" t="s">
        <v>3603</v>
      </c>
      <c r="AM7" s="87"/>
    </row>
    <row r="8">
      <c r="A8" s="1604">
        <v>46028.0</v>
      </c>
      <c r="B8" s="1605" t="s">
        <v>2806</v>
      </c>
      <c r="C8" s="1606"/>
      <c r="D8" s="1607" t="s">
        <v>3604</v>
      </c>
      <c r="E8" s="1606">
        <v>46174.0</v>
      </c>
      <c r="F8" s="1606">
        <v>46203.0</v>
      </c>
      <c r="G8" s="1606"/>
      <c r="H8" s="1623" t="s">
        <v>3605</v>
      </c>
      <c r="I8" s="1623" t="s">
        <v>1452</v>
      </c>
      <c r="J8" s="1623" t="s">
        <v>3567</v>
      </c>
      <c r="K8" s="1623" t="s">
        <v>1911</v>
      </c>
      <c r="L8" s="1623">
        <v>632.0</v>
      </c>
      <c r="M8" s="1623" t="s">
        <v>3568</v>
      </c>
      <c r="N8" s="1610"/>
      <c r="O8" s="1611">
        <v>6.0</v>
      </c>
      <c r="P8" s="1631" t="s">
        <v>3606</v>
      </c>
      <c r="Q8" s="1631" t="s">
        <v>3607</v>
      </c>
      <c r="R8" s="1627" t="s">
        <v>208</v>
      </c>
      <c r="S8" s="1628" t="s">
        <v>3596</v>
      </c>
      <c r="T8" s="661"/>
      <c r="U8" s="1632" t="s">
        <v>3608</v>
      </c>
      <c r="V8" s="1614" t="s">
        <v>3609</v>
      </c>
      <c r="W8" s="1615" t="s">
        <v>3543</v>
      </c>
      <c r="X8" s="1616" t="s">
        <v>3610</v>
      </c>
      <c r="Y8" s="1617"/>
      <c r="Z8" s="1614" t="s">
        <v>175</v>
      </c>
      <c r="AA8" s="1614" t="s">
        <v>3544</v>
      </c>
      <c r="AB8" s="1618" t="s">
        <v>2066</v>
      </c>
      <c r="AC8" s="1618" t="s">
        <v>2919</v>
      </c>
      <c r="AD8" s="661"/>
      <c r="AE8" s="1615" t="s">
        <v>3611</v>
      </c>
      <c r="AF8" s="1619" t="s">
        <v>1517</v>
      </c>
      <c r="AG8" s="1619"/>
      <c r="AH8" s="1615" t="s">
        <v>3612</v>
      </c>
      <c r="AI8" s="661"/>
      <c r="AJ8" s="661"/>
      <c r="AK8" s="1629" t="s">
        <v>3613</v>
      </c>
      <c r="AL8" s="87" t="s">
        <v>3614</v>
      </c>
      <c r="AM8" s="87"/>
    </row>
    <row r="9">
      <c r="A9" s="1604">
        <v>46029.0</v>
      </c>
      <c r="B9" s="1605" t="s">
        <v>2806</v>
      </c>
      <c r="C9" s="1606"/>
      <c r="D9" s="1607" t="s">
        <v>3615</v>
      </c>
      <c r="E9" s="1606">
        <v>46204.0</v>
      </c>
      <c r="F9" s="1606">
        <v>46234.0</v>
      </c>
      <c r="G9" s="1606"/>
      <c r="H9" s="1623" t="s">
        <v>3616</v>
      </c>
      <c r="I9" s="1623" t="s">
        <v>3617</v>
      </c>
      <c r="J9" s="1623" t="s">
        <v>3618</v>
      </c>
      <c r="K9" s="1623" t="s">
        <v>3619</v>
      </c>
      <c r="L9" s="1623">
        <v>632.0</v>
      </c>
      <c r="M9" s="1623" t="s">
        <v>3568</v>
      </c>
      <c r="N9" s="1610"/>
      <c r="O9" s="1611">
        <v>7.0</v>
      </c>
      <c r="P9" s="1633" t="s">
        <v>436</v>
      </c>
      <c r="Q9" s="1633" t="s">
        <v>1821</v>
      </c>
      <c r="R9" s="1634" t="s">
        <v>210</v>
      </c>
      <c r="S9" s="1635" t="s">
        <v>3570</v>
      </c>
      <c r="T9" s="661"/>
      <c r="U9" s="1636"/>
      <c r="V9" s="1636"/>
      <c r="W9" s="1615" t="s">
        <v>3543</v>
      </c>
      <c r="X9" s="1616" t="s">
        <v>3620</v>
      </c>
      <c r="Y9" s="1617"/>
      <c r="Z9" s="1614" t="s">
        <v>175</v>
      </c>
      <c r="AA9" s="1614" t="s">
        <v>3544</v>
      </c>
      <c r="AB9" s="1618" t="s">
        <v>2066</v>
      </c>
      <c r="AC9" s="1618" t="s">
        <v>2919</v>
      </c>
      <c r="AD9" s="661"/>
      <c r="AE9" s="1615" t="s">
        <v>3621</v>
      </c>
      <c r="AF9" s="1619" t="s">
        <v>1519</v>
      </c>
      <c r="AG9" s="1619"/>
      <c r="AH9" s="1615" t="s">
        <v>3622</v>
      </c>
      <c r="AI9" s="661"/>
      <c r="AJ9" s="661"/>
      <c r="AK9" s="1629" t="s">
        <v>3623</v>
      </c>
      <c r="AL9" s="97" t="s">
        <v>3624</v>
      </c>
      <c r="AM9" s="87"/>
    </row>
    <row r="10">
      <c r="A10" s="1604">
        <v>46030.0</v>
      </c>
      <c r="B10" s="1605" t="s">
        <v>2806</v>
      </c>
      <c r="C10" s="1606"/>
      <c r="D10" s="1607" t="s">
        <v>3625</v>
      </c>
      <c r="E10" s="1606">
        <v>46235.0</v>
      </c>
      <c r="F10" s="1606">
        <v>46265.0</v>
      </c>
      <c r="G10" s="1606"/>
      <c r="H10" s="1623" t="s">
        <v>3626</v>
      </c>
      <c r="I10" s="1623" t="s">
        <v>3627</v>
      </c>
      <c r="J10" s="1623" t="s">
        <v>3618</v>
      </c>
      <c r="K10" s="1623" t="s">
        <v>3619</v>
      </c>
      <c r="L10" s="1623">
        <v>632.0</v>
      </c>
      <c r="M10" s="1623" t="s">
        <v>3568</v>
      </c>
      <c r="N10" s="1610"/>
      <c r="O10" s="1611">
        <v>8.0</v>
      </c>
      <c r="P10" s="1633" t="s">
        <v>434</v>
      </c>
      <c r="Q10" s="1633" t="s">
        <v>3628</v>
      </c>
      <c r="R10" s="1634" t="s">
        <v>210</v>
      </c>
      <c r="S10" s="1635" t="s">
        <v>3556</v>
      </c>
      <c r="T10" s="661"/>
      <c r="U10" s="1636"/>
      <c r="V10" s="1636"/>
      <c r="W10" s="1615" t="s">
        <v>3543</v>
      </c>
      <c r="X10" s="1616" t="s">
        <v>235</v>
      </c>
      <c r="Y10" s="1617"/>
      <c r="Z10" s="1614" t="s">
        <v>175</v>
      </c>
      <c r="AA10" s="1614" t="s">
        <v>3544</v>
      </c>
      <c r="AB10" s="1618" t="s">
        <v>2066</v>
      </c>
      <c r="AC10" s="1618" t="s">
        <v>2919</v>
      </c>
      <c r="AD10" s="661"/>
      <c r="AE10" s="1615" t="s">
        <v>2044</v>
      </c>
      <c r="AF10" s="1619" t="s">
        <v>1522</v>
      </c>
      <c r="AG10" s="1619"/>
      <c r="AH10" s="1615" t="s">
        <v>3629</v>
      </c>
      <c r="AI10" s="661"/>
      <c r="AJ10" s="661"/>
      <c r="AK10" s="661"/>
      <c r="AL10" s="661"/>
      <c r="AM10" s="661"/>
    </row>
    <row r="11">
      <c r="A11" s="1604">
        <v>46031.0</v>
      </c>
      <c r="B11" s="1605" t="s">
        <v>2806</v>
      </c>
      <c r="C11" s="1606"/>
      <c r="D11" s="1607" t="s">
        <v>3630</v>
      </c>
      <c r="E11" s="1606">
        <v>46266.0</v>
      </c>
      <c r="F11" s="1606">
        <v>46295.0</v>
      </c>
      <c r="G11" s="1606"/>
      <c r="H11" s="1623"/>
      <c r="I11" s="1623" t="s">
        <v>3631</v>
      </c>
      <c r="J11" s="1623" t="s">
        <v>3632</v>
      </c>
      <c r="K11" s="1623" t="s">
        <v>3633</v>
      </c>
      <c r="L11" s="1623">
        <v>632.0</v>
      </c>
      <c r="M11" s="1623" t="s">
        <v>3568</v>
      </c>
      <c r="N11" s="1610"/>
      <c r="O11" s="1611">
        <v>9.0</v>
      </c>
      <c r="P11" s="1637" t="s">
        <v>3634</v>
      </c>
      <c r="Q11" s="1637" t="s">
        <v>3635</v>
      </c>
      <c r="R11" s="1634" t="s">
        <v>210</v>
      </c>
      <c r="S11" s="1635" t="s">
        <v>3596</v>
      </c>
      <c r="T11" s="661"/>
      <c r="U11" s="661"/>
      <c r="V11" s="661"/>
      <c r="W11" s="1615" t="s">
        <v>3543</v>
      </c>
      <c r="X11" s="1616" t="s">
        <v>3636</v>
      </c>
      <c r="Y11" s="1617"/>
      <c r="Z11" s="1614" t="s">
        <v>175</v>
      </c>
      <c r="AA11" s="1614" t="s">
        <v>3544</v>
      </c>
      <c r="AB11" s="1618" t="s">
        <v>2066</v>
      </c>
      <c r="AC11" s="1618" t="s">
        <v>2919</v>
      </c>
      <c r="AD11" s="661"/>
      <c r="AE11" s="1615"/>
      <c r="AF11" s="1615"/>
      <c r="AG11" s="1615"/>
      <c r="AH11" s="1615" t="s">
        <v>3637</v>
      </c>
      <c r="AI11" s="661"/>
      <c r="AJ11" s="661"/>
      <c r="AK11" s="661"/>
      <c r="AL11" s="661"/>
      <c r="AM11" s="661"/>
    </row>
    <row r="12">
      <c r="A12" s="1604">
        <v>46032.0</v>
      </c>
      <c r="B12" s="1605" t="s">
        <v>2806</v>
      </c>
      <c r="C12" s="1606"/>
      <c r="D12" s="1607" t="s">
        <v>3638</v>
      </c>
      <c r="E12" s="1606">
        <v>46296.0</v>
      </c>
      <c r="F12" s="1606">
        <v>46326.0</v>
      </c>
      <c r="G12" s="1606"/>
      <c r="H12" s="1623"/>
      <c r="I12" s="1623" t="s">
        <v>3639</v>
      </c>
      <c r="J12" s="1623" t="s">
        <v>3632</v>
      </c>
      <c r="K12" s="1623" t="s">
        <v>3633</v>
      </c>
      <c r="L12" s="1623">
        <v>632.0</v>
      </c>
      <c r="M12" s="1623" t="s">
        <v>3568</v>
      </c>
      <c r="N12" s="1610"/>
      <c r="O12" s="1611">
        <v>10.0</v>
      </c>
      <c r="P12" s="1637" t="s">
        <v>3640</v>
      </c>
      <c r="Q12" s="1637" t="s">
        <v>3641</v>
      </c>
      <c r="R12" s="1634" t="s">
        <v>210</v>
      </c>
      <c r="S12" s="1635" t="s">
        <v>3596</v>
      </c>
      <c r="T12" s="661"/>
      <c r="U12" s="661"/>
      <c r="V12" s="661"/>
      <c r="W12" s="1615" t="s">
        <v>3543</v>
      </c>
      <c r="X12" s="1616" t="s">
        <v>182</v>
      </c>
      <c r="Y12" s="1617"/>
      <c r="Z12" s="1614" t="s">
        <v>175</v>
      </c>
      <c r="AA12" s="1614" t="s">
        <v>3544</v>
      </c>
      <c r="AB12" s="1618" t="s">
        <v>2066</v>
      </c>
      <c r="AC12" s="1618" t="s">
        <v>2919</v>
      </c>
      <c r="AD12" s="661"/>
      <c r="AE12" s="1615"/>
      <c r="AF12" s="1615"/>
      <c r="AG12" s="1615"/>
      <c r="AH12" s="1615" t="s">
        <v>3642</v>
      </c>
      <c r="AI12" s="661"/>
      <c r="AJ12" s="661"/>
      <c r="AK12" s="661"/>
      <c r="AL12" s="661"/>
      <c r="AM12" s="661"/>
    </row>
    <row r="13">
      <c r="A13" s="1604">
        <v>46033.0</v>
      </c>
      <c r="B13" s="1605" t="s">
        <v>2806</v>
      </c>
      <c r="C13" s="1606"/>
      <c r="D13" s="1607" t="s">
        <v>3643</v>
      </c>
      <c r="E13" s="1606">
        <v>46327.0</v>
      </c>
      <c r="F13" s="1606">
        <v>46356.0</v>
      </c>
      <c r="G13" s="1606"/>
      <c r="H13" s="1623"/>
      <c r="I13" s="1623"/>
      <c r="J13" s="1623"/>
      <c r="K13" s="1623"/>
      <c r="L13" s="1623">
        <v>632.0</v>
      </c>
      <c r="M13" s="1623" t="s">
        <v>3568</v>
      </c>
      <c r="N13" s="1610"/>
      <c r="O13" s="1611">
        <v>11.0</v>
      </c>
      <c r="P13" s="1637" t="s">
        <v>3644</v>
      </c>
      <c r="Q13" s="1637" t="s">
        <v>3645</v>
      </c>
      <c r="R13" s="1634" t="s">
        <v>210</v>
      </c>
      <c r="S13" s="1635" t="s">
        <v>3596</v>
      </c>
      <c r="T13" s="661"/>
      <c r="U13" s="661"/>
      <c r="V13" s="661"/>
      <c r="W13" s="1615" t="s">
        <v>3543</v>
      </c>
      <c r="X13" s="1616" t="s">
        <v>433</v>
      </c>
      <c r="Y13" s="1617"/>
      <c r="Z13" s="1614" t="s">
        <v>175</v>
      </c>
      <c r="AA13" s="1614" t="s">
        <v>3544</v>
      </c>
      <c r="AB13" s="1618" t="s">
        <v>2066</v>
      </c>
      <c r="AC13" s="1618" t="s">
        <v>2919</v>
      </c>
      <c r="AD13" s="661"/>
      <c r="AE13" s="1615"/>
      <c r="AF13" s="1615"/>
      <c r="AG13" s="1615"/>
      <c r="AH13" s="1615" t="s">
        <v>3646</v>
      </c>
      <c r="AI13" s="661"/>
      <c r="AJ13" s="661"/>
      <c r="AK13" s="661"/>
      <c r="AL13" s="661"/>
      <c r="AM13" s="661"/>
    </row>
    <row r="14">
      <c r="A14" s="1604">
        <v>46034.0</v>
      </c>
      <c r="B14" s="1605" t="s">
        <v>2806</v>
      </c>
      <c r="C14" s="1606"/>
      <c r="D14" s="1607" t="s">
        <v>3647</v>
      </c>
      <c r="E14" s="1606">
        <v>46357.0</v>
      </c>
      <c r="F14" s="1606">
        <v>46387.0</v>
      </c>
      <c r="G14" s="1606"/>
      <c r="H14" s="1623"/>
      <c r="I14" s="1623" t="s">
        <v>3648</v>
      </c>
      <c r="J14" s="1623" t="s">
        <v>3649</v>
      </c>
      <c r="K14" s="1623" t="s">
        <v>3650</v>
      </c>
      <c r="L14" s="1623">
        <v>632.0</v>
      </c>
      <c r="M14" s="1623" t="s">
        <v>3568</v>
      </c>
      <c r="N14" s="1610"/>
      <c r="O14" s="1611">
        <v>12.0</v>
      </c>
      <c r="P14" s="1637" t="s">
        <v>3651</v>
      </c>
      <c r="Q14" s="1637" t="s">
        <v>3652</v>
      </c>
      <c r="R14" s="1634" t="s">
        <v>210</v>
      </c>
      <c r="S14" s="1635" t="s">
        <v>3596</v>
      </c>
      <c r="T14" s="661"/>
      <c r="U14" s="661"/>
      <c r="V14" s="661"/>
      <c r="W14" s="661"/>
      <c r="X14" s="1638" t="s">
        <v>3653</v>
      </c>
      <c r="Y14" s="1617"/>
      <c r="Z14" s="1614" t="s">
        <v>2067</v>
      </c>
      <c r="AA14" s="1614" t="s">
        <v>2920</v>
      </c>
      <c r="AB14" s="1618" t="s">
        <v>2067</v>
      </c>
      <c r="AC14" s="1618" t="s">
        <v>2920</v>
      </c>
      <c r="AD14" s="661"/>
      <c r="AE14" s="1615"/>
      <c r="AF14" s="1615"/>
      <c r="AG14" s="1615"/>
      <c r="AH14" s="1615" t="s">
        <v>3654</v>
      </c>
      <c r="AI14" s="661"/>
      <c r="AJ14" s="661"/>
      <c r="AK14" s="661"/>
      <c r="AL14" s="661"/>
      <c r="AM14" s="661"/>
    </row>
    <row r="15">
      <c r="A15" s="1604">
        <v>46035.0</v>
      </c>
      <c r="B15" s="1605" t="s">
        <v>2806</v>
      </c>
      <c r="C15" s="1605"/>
      <c r="D15" s="1605" t="s">
        <v>1914</v>
      </c>
      <c r="E15" s="1605"/>
      <c r="F15" s="1605"/>
      <c r="G15" s="1605"/>
      <c r="H15" s="1623"/>
      <c r="I15" s="1623" t="s">
        <v>3655</v>
      </c>
      <c r="J15" s="1623" t="s">
        <v>3649</v>
      </c>
      <c r="K15" s="1623" t="s">
        <v>3650</v>
      </c>
      <c r="L15" s="1623">
        <v>632.0</v>
      </c>
      <c r="M15" s="1623" t="s">
        <v>3568</v>
      </c>
      <c r="N15" s="1610"/>
      <c r="O15" s="1611">
        <v>13.0</v>
      </c>
      <c r="P15" s="1637" t="s">
        <v>3656</v>
      </c>
      <c r="Q15" s="1637" t="s">
        <v>3657</v>
      </c>
      <c r="R15" s="1634" t="s">
        <v>210</v>
      </c>
      <c r="S15" s="1635" t="s">
        <v>3596</v>
      </c>
      <c r="T15" s="661"/>
      <c r="U15" s="661"/>
      <c r="V15" s="661"/>
      <c r="W15" s="661"/>
      <c r="X15" s="1638" t="s">
        <v>3658</v>
      </c>
      <c r="Y15" s="1617"/>
      <c r="Z15" s="1614" t="s">
        <v>215</v>
      </c>
      <c r="AA15" s="1614" t="s">
        <v>3659</v>
      </c>
      <c r="AB15" s="1618" t="s">
        <v>2068</v>
      </c>
      <c r="AC15" s="1618" t="s">
        <v>2921</v>
      </c>
      <c r="AD15" s="661"/>
      <c r="AE15" s="1615"/>
      <c r="AF15" s="1615"/>
      <c r="AG15" s="1615"/>
      <c r="AH15" s="1615" t="s">
        <v>3660</v>
      </c>
      <c r="AI15" s="661"/>
      <c r="AJ15" s="661"/>
      <c r="AK15" s="661"/>
      <c r="AL15" s="661"/>
      <c r="AM15" s="661"/>
    </row>
    <row r="16">
      <c r="A16" s="1604">
        <v>46036.0</v>
      </c>
      <c r="B16" s="1605" t="s">
        <v>2806</v>
      </c>
      <c r="C16" s="1605"/>
      <c r="D16" s="1605" t="s">
        <v>2896</v>
      </c>
      <c r="E16" s="1605"/>
      <c r="F16" s="1605"/>
      <c r="G16" s="1605"/>
      <c r="H16" s="1623"/>
      <c r="I16" s="1623" t="s">
        <v>3661</v>
      </c>
      <c r="J16" s="1623" t="s">
        <v>3649</v>
      </c>
      <c r="K16" s="1623" t="s">
        <v>3650</v>
      </c>
      <c r="L16" s="1623">
        <v>632.0</v>
      </c>
      <c r="M16" s="1623" t="s">
        <v>3568</v>
      </c>
      <c r="N16" s="1610"/>
      <c r="O16" s="1611">
        <v>14.0</v>
      </c>
      <c r="P16" s="1639" t="s">
        <v>191</v>
      </c>
      <c r="Q16" s="1639" t="s">
        <v>1822</v>
      </c>
      <c r="R16" s="1640" t="s">
        <v>183</v>
      </c>
      <c r="S16" s="1641" t="s">
        <v>3570</v>
      </c>
      <c r="T16" s="661"/>
      <c r="U16" s="661"/>
      <c r="V16" s="661"/>
      <c r="W16" s="1615" t="s">
        <v>3662</v>
      </c>
      <c r="X16" s="1616" t="s">
        <v>3663</v>
      </c>
      <c r="Y16" s="1617"/>
      <c r="Z16" s="1614" t="s">
        <v>956</v>
      </c>
      <c r="AA16" s="1614" t="s">
        <v>3664</v>
      </c>
      <c r="AB16" s="1618" t="s">
        <v>2821</v>
      </c>
      <c r="AC16" s="1618" t="s">
        <v>2927</v>
      </c>
      <c r="AD16" s="661"/>
      <c r="AE16" s="1615"/>
      <c r="AF16" s="1615"/>
      <c r="AG16" s="1615"/>
      <c r="AH16" s="1615" t="s">
        <v>3665</v>
      </c>
      <c r="AI16" s="661"/>
      <c r="AJ16" s="661"/>
      <c r="AK16" s="661"/>
      <c r="AL16" s="661"/>
      <c r="AM16" s="661"/>
    </row>
    <row r="17">
      <c r="A17" s="1604">
        <v>46037.0</v>
      </c>
      <c r="B17" s="1605" t="s">
        <v>2806</v>
      </c>
      <c r="C17" s="1605"/>
      <c r="D17" s="1605" t="s">
        <v>2806</v>
      </c>
      <c r="E17" s="1606">
        <v>46023.0</v>
      </c>
      <c r="F17" s="1606">
        <v>46112.0</v>
      </c>
      <c r="G17" s="1606"/>
      <c r="H17" s="1623"/>
      <c r="I17" s="1623" t="s">
        <v>3666</v>
      </c>
      <c r="J17" s="1623" t="s">
        <v>3649</v>
      </c>
      <c r="K17" s="1623" t="s">
        <v>3650</v>
      </c>
      <c r="L17" s="1623">
        <v>632.0</v>
      </c>
      <c r="M17" s="1623" t="s">
        <v>3568</v>
      </c>
      <c r="N17" s="1610"/>
      <c r="O17" s="1611">
        <v>15.0</v>
      </c>
      <c r="P17" s="1641" t="s">
        <v>3667</v>
      </c>
      <c r="Q17" s="1641" t="s">
        <v>3668</v>
      </c>
      <c r="R17" s="1640" t="s">
        <v>183</v>
      </c>
      <c r="S17" s="1641" t="s">
        <v>3669</v>
      </c>
      <c r="T17" s="661"/>
      <c r="U17" s="661"/>
      <c r="V17" s="661"/>
      <c r="W17" s="1615" t="s">
        <v>3662</v>
      </c>
      <c r="X17" s="1616" t="s">
        <v>3670</v>
      </c>
      <c r="Y17" s="1617"/>
      <c r="Z17" s="1614" t="s">
        <v>956</v>
      </c>
      <c r="AA17" s="1614" t="s">
        <v>3664</v>
      </c>
      <c r="AB17" s="1618" t="s">
        <v>2821</v>
      </c>
      <c r="AC17" s="1618" t="s">
        <v>2927</v>
      </c>
      <c r="AD17" s="661"/>
      <c r="AE17" s="1615"/>
      <c r="AF17" s="1615"/>
      <c r="AG17" s="1615"/>
      <c r="AH17" s="1615" t="s">
        <v>3671</v>
      </c>
      <c r="AI17" s="661"/>
      <c r="AJ17" s="661"/>
      <c r="AK17" s="661"/>
      <c r="AL17" s="661"/>
      <c r="AM17" s="661"/>
    </row>
    <row r="18">
      <c r="A18" s="1604">
        <v>46038.0</v>
      </c>
      <c r="B18" s="1605" t="s">
        <v>2806</v>
      </c>
      <c r="C18" s="1605"/>
      <c r="D18" s="1605" t="s">
        <v>2807</v>
      </c>
      <c r="E18" s="1606">
        <v>46113.0</v>
      </c>
      <c r="F18" s="1606">
        <v>46203.0</v>
      </c>
      <c r="G18" s="1606"/>
      <c r="H18" s="1623"/>
      <c r="I18" s="1623" t="s">
        <v>3672</v>
      </c>
      <c r="J18" s="1623" t="s">
        <v>3649</v>
      </c>
      <c r="K18" s="1623" t="s">
        <v>3650</v>
      </c>
      <c r="L18" s="1623">
        <v>632.0</v>
      </c>
      <c r="M18" s="1623" t="s">
        <v>3568</v>
      </c>
      <c r="N18" s="1610"/>
      <c r="O18" s="1611">
        <v>16.0</v>
      </c>
      <c r="P18" s="1641" t="s">
        <v>195</v>
      </c>
      <c r="Q18" s="1641" t="s">
        <v>3673</v>
      </c>
      <c r="R18" s="1640" t="s">
        <v>183</v>
      </c>
      <c r="S18" s="1641" t="s">
        <v>3556</v>
      </c>
      <c r="T18" s="661"/>
      <c r="U18" s="661"/>
      <c r="V18" s="661"/>
      <c r="W18" s="1615" t="s">
        <v>3662</v>
      </c>
      <c r="X18" s="1616" t="s">
        <v>3674</v>
      </c>
      <c r="Y18" s="1617"/>
      <c r="Z18" s="1614" t="s">
        <v>956</v>
      </c>
      <c r="AA18" s="1614" t="s">
        <v>3664</v>
      </c>
      <c r="AB18" s="1618" t="s">
        <v>2821</v>
      </c>
      <c r="AC18" s="1618" t="s">
        <v>2927</v>
      </c>
      <c r="AD18" s="661"/>
      <c r="AE18" s="1615"/>
      <c r="AF18" s="1615"/>
      <c r="AG18" s="1615"/>
      <c r="AH18" s="1615" t="s">
        <v>3675</v>
      </c>
      <c r="AI18" s="661"/>
      <c r="AJ18" s="661"/>
      <c r="AK18" s="661"/>
      <c r="AL18" s="661"/>
      <c r="AM18" s="661"/>
    </row>
    <row r="19">
      <c r="A19" s="1604">
        <v>46039.0</v>
      </c>
      <c r="B19" s="1605" t="s">
        <v>2806</v>
      </c>
      <c r="C19" s="1605"/>
      <c r="D19" s="1605" t="s">
        <v>2809</v>
      </c>
      <c r="E19" s="1606">
        <v>46204.0</v>
      </c>
      <c r="F19" s="1606">
        <v>46295.0</v>
      </c>
      <c r="G19" s="1606"/>
      <c r="H19" s="1623"/>
      <c r="I19" s="1623" t="s">
        <v>3676</v>
      </c>
      <c r="J19" s="1623" t="s">
        <v>3649</v>
      </c>
      <c r="K19" s="1623" t="s">
        <v>3650</v>
      </c>
      <c r="L19" s="1623">
        <v>632.0</v>
      </c>
      <c r="M19" s="1623" t="s">
        <v>3568</v>
      </c>
      <c r="N19" s="1610"/>
      <c r="O19" s="1611">
        <v>17.0</v>
      </c>
      <c r="P19" s="1641" t="s">
        <v>388</v>
      </c>
      <c r="Q19" s="1641" t="s">
        <v>3677</v>
      </c>
      <c r="R19" s="1640" t="s">
        <v>183</v>
      </c>
      <c r="S19" s="1641" t="s">
        <v>3678</v>
      </c>
      <c r="T19" s="661"/>
      <c r="U19" s="661"/>
      <c r="V19" s="661"/>
      <c r="W19" s="1615" t="s">
        <v>3662</v>
      </c>
      <c r="X19" s="1616" t="s">
        <v>3679</v>
      </c>
      <c r="Y19" s="1617"/>
      <c r="Z19" s="1614" t="s">
        <v>956</v>
      </c>
      <c r="AA19" s="1614" t="s">
        <v>3664</v>
      </c>
      <c r="AB19" s="1618" t="s">
        <v>2821</v>
      </c>
      <c r="AC19" s="1618" t="s">
        <v>2927</v>
      </c>
      <c r="AD19" s="661"/>
      <c r="AE19" s="661"/>
      <c r="AF19" s="661"/>
      <c r="AG19" s="661"/>
      <c r="AH19" s="661"/>
      <c r="AI19" s="661"/>
      <c r="AJ19" s="661"/>
      <c r="AK19" s="661"/>
      <c r="AL19" s="661"/>
      <c r="AM19" s="661"/>
    </row>
    <row r="20">
      <c r="A20" s="1604">
        <v>46040.0</v>
      </c>
      <c r="B20" s="1605" t="s">
        <v>2806</v>
      </c>
      <c r="C20" s="1605"/>
      <c r="D20" s="1605" t="s">
        <v>2810</v>
      </c>
      <c r="E20" s="1606">
        <v>46296.0</v>
      </c>
      <c r="F20" s="1606">
        <v>46387.0</v>
      </c>
      <c r="G20" s="1606"/>
      <c r="H20" s="1623"/>
      <c r="I20" s="1623" t="s">
        <v>3680</v>
      </c>
      <c r="J20" s="1623" t="s">
        <v>3649</v>
      </c>
      <c r="K20" s="1623" t="s">
        <v>3650</v>
      </c>
      <c r="L20" s="1623">
        <v>632.0</v>
      </c>
      <c r="M20" s="1623" t="s">
        <v>3568</v>
      </c>
      <c r="N20" s="1610"/>
      <c r="O20" s="1611">
        <v>18.0</v>
      </c>
      <c r="P20" s="1642" t="s">
        <v>3681</v>
      </c>
      <c r="Q20" s="1642" t="s">
        <v>3682</v>
      </c>
      <c r="R20" s="1640" t="s">
        <v>183</v>
      </c>
      <c r="S20" s="1641" t="s">
        <v>3596</v>
      </c>
      <c r="T20" s="661"/>
      <c r="U20" s="661"/>
      <c r="V20" s="661"/>
      <c r="W20" s="1615" t="s">
        <v>3662</v>
      </c>
      <c r="X20" s="1616" t="s">
        <v>1114</v>
      </c>
      <c r="Y20" s="1617"/>
      <c r="Z20" s="1614" t="s">
        <v>956</v>
      </c>
      <c r="AA20" s="1614" t="s">
        <v>3664</v>
      </c>
      <c r="AB20" s="1618" t="s">
        <v>2821</v>
      </c>
      <c r="AC20" s="1618" t="s">
        <v>2927</v>
      </c>
      <c r="AD20" s="661"/>
      <c r="AE20" s="661"/>
      <c r="AF20" s="661"/>
      <c r="AG20" s="661"/>
      <c r="AH20" s="661"/>
      <c r="AI20" s="661"/>
      <c r="AJ20" s="661"/>
      <c r="AK20" s="661"/>
      <c r="AL20" s="661"/>
      <c r="AM20" s="661"/>
    </row>
    <row r="21">
      <c r="A21" s="1604">
        <v>46041.0</v>
      </c>
      <c r="B21" s="1605" t="s">
        <v>2806</v>
      </c>
      <c r="C21" s="1606"/>
      <c r="D21" s="1606"/>
      <c r="E21" s="1605"/>
      <c r="F21" s="1605"/>
      <c r="G21" s="1605"/>
      <c r="H21" s="1623"/>
      <c r="I21" s="1623" t="s">
        <v>3683</v>
      </c>
      <c r="J21" s="1623" t="s">
        <v>3649</v>
      </c>
      <c r="K21" s="1623" t="s">
        <v>3650</v>
      </c>
      <c r="L21" s="1623">
        <v>632.0</v>
      </c>
      <c r="M21" s="1623" t="s">
        <v>3568</v>
      </c>
      <c r="N21" s="1610"/>
      <c r="O21" s="1611">
        <v>19.0</v>
      </c>
      <c r="P21" s="1642" t="s">
        <v>406</v>
      </c>
      <c r="Q21" s="1642" t="s">
        <v>3684</v>
      </c>
      <c r="R21" s="1640" t="s">
        <v>183</v>
      </c>
      <c r="S21" s="1641" t="s">
        <v>3596</v>
      </c>
      <c r="T21" s="661"/>
      <c r="U21" s="661"/>
      <c r="V21" s="661"/>
      <c r="W21" s="1615" t="s">
        <v>3662</v>
      </c>
      <c r="X21" s="1616" t="s">
        <v>1132</v>
      </c>
      <c r="Y21" s="1617"/>
      <c r="Z21" s="1614" t="s">
        <v>956</v>
      </c>
      <c r="AA21" s="1614" t="s">
        <v>3664</v>
      </c>
      <c r="AB21" s="1618" t="s">
        <v>2821</v>
      </c>
      <c r="AC21" s="1618" t="s">
        <v>2927</v>
      </c>
      <c r="AD21" s="661"/>
      <c r="AE21" s="661"/>
      <c r="AF21" s="661"/>
      <c r="AG21" s="661"/>
      <c r="AH21" s="661"/>
      <c r="AI21" s="661"/>
      <c r="AJ21" s="661"/>
      <c r="AK21" s="661"/>
      <c r="AL21" s="661"/>
      <c r="AM21" s="661"/>
    </row>
    <row r="22">
      <c r="A22" s="1604">
        <v>46042.0</v>
      </c>
      <c r="B22" s="1605" t="s">
        <v>2806</v>
      </c>
      <c r="C22" s="1606"/>
      <c r="D22" s="1606"/>
      <c r="E22" s="1605"/>
      <c r="F22" s="1605"/>
      <c r="G22" s="1605"/>
      <c r="H22" s="1623"/>
      <c r="I22" s="1623"/>
      <c r="J22" s="1623"/>
      <c r="K22" s="1623"/>
      <c r="L22" s="1623">
        <v>632.0</v>
      </c>
      <c r="M22" s="1623" t="s">
        <v>3568</v>
      </c>
      <c r="N22" s="1610"/>
      <c r="O22" s="1611">
        <v>20.0</v>
      </c>
      <c r="P22" s="1642" t="s">
        <v>385</v>
      </c>
      <c r="Q22" s="1642" t="s">
        <v>3685</v>
      </c>
      <c r="R22" s="1640" t="s">
        <v>183</v>
      </c>
      <c r="S22" s="1641" t="s">
        <v>3596</v>
      </c>
      <c r="T22" s="661"/>
      <c r="U22" s="661"/>
      <c r="V22" s="661"/>
      <c r="W22" s="1615" t="s">
        <v>3662</v>
      </c>
      <c r="X22" s="1616" t="s">
        <v>3686</v>
      </c>
      <c r="Y22" s="1617"/>
      <c r="Z22" s="1614" t="s">
        <v>956</v>
      </c>
      <c r="AA22" s="1614" t="s">
        <v>3664</v>
      </c>
      <c r="AB22" s="1618" t="s">
        <v>2821</v>
      </c>
      <c r="AC22" s="1618" t="s">
        <v>2927</v>
      </c>
      <c r="AD22" s="661"/>
      <c r="AE22" s="661"/>
      <c r="AF22" s="661"/>
      <c r="AG22" s="661"/>
      <c r="AH22" s="661"/>
      <c r="AI22" s="661"/>
      <c r="AJ22" s="661"/>
      <c r="AK22" s="661"/>
      <c r="AL22" s="661"/>
      <c r="AM22" s="661"/>
    </row>
    <row r="23">
      <c r="A23" s="1604">
        <v>46043.0</v>
      </c>
      <c r="B23" s="1605" t="s">
        <v>2806</v>
      </c>
      <c r="C23" s="1606"/>
      <c r="D23" s="1606"/>
      <c r="E23" s="1605"/>
      <c r="F23" s="1605"/>
      <c r="G23" s="1605"/>
      <c r="H23" s="1623"/>
      <c r="I23" s="1623"/>
      <c r="J23" s="1623" t="s">
        <v>2872</v>
      </c>
      <c r="K23" s="1623" t="s">
        <v>3687</v>
      </c>
      <c r="L23" s="1623">
        <v>632.0</v>
      </c>
      <c r="M23" s="1623" t="s">
        <v>3568</v>
      </c>
      <c r="N23" s="1610"/>
      <c r="O23" s="1611">
        <v>21.0</v>
      </c>
      <c r="P23" s="1641" t="s">
        <v>232</v>
      </c>
      <c r="Q23" s="1641" t="s">
        <v>3688</v>
      </c>
      <c r="R23" s="1640" t="s">
        <v>183</v>
      </c>
      <c r="S23" s="1641" t="s">
        <v>3556</v>
      </c>
      <c r="T23" s="661"/>
      <c r="U23" s="661"/>
      <c r="V23" s="661"/>
      <c r="W23" s="1615" t="s">
        <v>3662</v>
      </c>
      <c r="X23" s="1616" t="s">
        <v>1123</v>
      </c>
      <c r="Y23" s="1617"/>
      <c r="Z23" s="1614" t="s">
        <v>956</v>
      </c>
      <c r="AA23" s="1614" t="s">
        <v>3664</v>
      </c>
      <c r="AB23" s="1618" t="s">
        <v>2821</v>
      </c>
      <c r="AC23" s="1618" t="s">
        <v>2927</v>
      </c>
      <c r="AD23" s="661"/>
      <c r="AE23" s="661"/>
      <c r="AF23" s="661"/>
      <c r="AG23" s="661"/>
      <c r="AH23" s="661"/>
      <c r="AI23" s="661"/>
      <c r="AJ23" s="661"/>
      <c r="AK23" s="661"/>
      <c r="AL23" s="661"/>
      <c r="AM23" s="661"/>
    </row>
    <row r="24">
      <c r="A24" s="1604">
        <v>46044.0</v>
      </c>
      <c r="B24" s="1605" t="s">
        <v>2806</v>
      </c>
      <c r="C24" s="1606"/>
      <c r="D24" s="1606"/>
      <c r="E24" s="1605"/>
      <c r="F24" s="1605"/>
      <c r="G24" s="1605"/>
      <c r="H24" s="1623"/>
      <c r="I24" s="1623" t="s">
        <v>3689</v>
      </c>
      <c r="J24" s="1623" t="s">
        <v>3690</v>
      </c>
      <c r="K24" s="1623" t="s">
        <v>3691</v>
      </c>
      <c r="L24" s="1623">
        <v>632.0</v>
      </c>
      <c r="M24" s="1623" t="s">
        <v>3568</v>
      </c>
      <c r="N24" s="1610"/>
      <c r="O24" s="1611">
        <v>22.0</v>
      </c>
      <c r="P24" s="1642" t="s">
        <v>966</v>
      </c>
      <c r="Q24" s="1642" t="s">
        <v>3692</v>
      </c>
      <c r="R24" s="1640" t="s">
        <v>183</v>
      </c>
      <c r="S24" s="1641" t="s">
        <v>3596</v>
      </c>
      <c r="T24" s="661"/>
      <c r="U24" s="661"/>
      <c r="V24" s="661"/>
      <c r="W24" s="1615" t="s">
        <v>3662</v>
      </c>
      <c r="X24" s="1616" t="s">
        <v>3693</v>
      </c>
      <c r="Y24" s="1617"/>
      <c r="Z24" s="1614" t="s">
        <v>956</v>
      </c>
      <c r="AA24" s="1614" t="s">
        <v>3664</v>
      </c>
      <c r="AB24" s="1618" t="s">
        <v>2821</v>
      </c>
      <c r="AC24" s="1618" t="s">
        <v>2927</v>
      </c>
      <c r="AD24" s="661"/>
      <c r="AE24" s="661"/>
      <c r="AF24" s="661"/>
      <c r="AG24" s="661"/>
      <c r="AH24" s="661"/>
      <c r="AI24" s="661"/>
      <c r="AJ24" s="661"/>
      <c r="AK24" s="661"/>
      <c r="AL24" s="661"/>
      <c r="AM24" s="661"/>
    </row>
    <row r="25">
      <c r="A25" s="1604">
        <v>46045.0</v>
      </c>
      <c r="B25" s="1605" t="s">
        <v>2806</v>
      </c>
      <c r="C25" s="1606"/>
      <c r="D25" s="1606"/>
      <c r="E25" s="1605"/>
      <c r="F25" s="1605"/>
      <c r="G25" s="1605"/>
      <c r="H25" s="1623"/>
      <c r="I25" s="1623" t="s">
        <v>3694</v>
      </c>
      <c r="J25" s="1623" t="s">
        <v>3690</v>
      </c>
      <c r="K25" s="1623" t="s">
        <v>3691</v>
      </c>
      <c r="L25" s="1623">
        <v>632.0</v>
      </c>
      <c r="M25" s="1623" t="s">
        <v>3568</v>
      </c>
      <c r="N25" s="1610"/>
      <c r="O25" s="1611">
        <v>23.0</v>
      </c>
      <c r="P25" s="1642" t="s">
        <v>3695</v>
      </c>
      <c r="Q25" s="1642" t="s">
        <v>3696</v>
      </c>
      <c r="R25" s="1640" t="s">
        <v>183</v>
      </c>
      <c r="S25" s="1641" t="s">
        <v>169</v>
      </c>
      <c r="T25" s="661"/>
      <c r="U25" s="661"/>
      <c r="V25" s="661"/>
      <c r="W25" s="1615" t="s">
        <v>3662</v>
      </c>
      <c r="X25" s="1638" t="s">
        <v>1161</v>
      </c>
      <c r="Y25" s="1617"/>
      <c r="Z25" s="1614" t="s">
        <v>956</v>
      </c>
      <c r="AA25" s="1614" t="s">
        <v>3664</v>
      </c>
      <c r="AB25" s="1618" t="s">
        <v>2821</v>
      </c>
      <c r="AC25" s="1618" t="s">
        <v>2927</v>
      </c>
      <c r="AD25" s="661"/>
      <c r="AE25" s="661"/>
      <c r="AF25" s="661"/>
      <c r="AG25" s="661"/>
      <c r="AH25" s="661"/>
      <c r="AI25" s="661"/>
      <c r="AJ25" s="661"/>
      <c r="AK25" s="661"/>
      <c r="AL25" s="661"/>
      <c r="AM25" s="661"/>
    </row>
    <row r="26">
      <c r="A26" s="1604">
        <v>46046.0</v>
      </c>
      <c r="B26" s="1605" t="s">
        <v>2806</v>
      </c>
      <c r="C26" s="1606"/>
      <c r="D26" s="1606"/>
      <c r="E26" s="1605"/>
      <c r="F26" s="1605"/>
      <c r="G26" s="1605"/>
      <c r="H26" s="1623"/>
      <c r="I26" s="1623" t="s">
        <v>3697</v>
      </c>
      <c r="J26" s="1623" t="s">
        <v>3698</v>
      </c>
      <c r="K26" s="1623" t="s">
        <v>3699</v>
      </c>
      <c r="L26" s="1623">
        <v>632.0</v>
      </c>
      <c r="M26" s="1623" t="s">
        <v>3568</v>
      </c>
      <c r="N26" s="1610"/>
      <c r="O26" s="1611">
        <v>24.0</v>
      </c>
      <c r="P26" s="1642" t="s">
        <v>3700</v>
      </c>
      <c r="Q26" s="1642" t="s">
        <v>3701</v>
      </c>
      <c r="R26" s="1640" t="s">
        <v>183</v>
      </c>
      <c r="S26" s="1641" t="s">
        <v>3596</v>
      </c>
      <c r="T26" s="661"/>
      <c r="U26" s="661"/>
      <c r="V26" s="661"/>
      <c r="W26" s="1615" t="s">
        <v>3662</v>
      </c>
      <c r="X26" s="1616"/>
      <c r="Y26" s="1617"/>
      <c r="Z26" s="1614" t="s">
        <v>956</v>
      </c>
      <c r="AA26" s="1614" t="s">
        <v>3664</v>
      </c>
      <c r="AB26" s="1618" t="s">
        <v>2821</v>
      </c>
      <c r="AC26" s="1618" t="s">
        <v>2927</v>
      </c>
      <c r="AD26" s="661"/>
      <c r="AE26" s="661"/>
      <c r="AF26" s="661"/>
      <c r="AG26" s="661"/>
      <c r="AH26" s="661"/>
      <c r="AI26" s="661"/>
      <c r="AJ26" s="661"/>
      <c r="AK26" s="661"/>
      <c r="AL26" s="661"/>
      <c r="AM26" s="661"/>
    </row>
    <row r="27">
      <c r="A27" s="1604">
        <v>46047.0</v>
      </c>
      <c r="B27" s="1605" t="s">
        <v>2806</v>
      </c>
      <c r="C27" s="1606"/>
      <c r="D27" s="1606"/>
      <c r="E27" s="1605"/>
      <c r="F27" s="1605"/>
      <c r="G27" s="1605"/>
      <c r="H27" s="1623"/>
      <c r="I27" s="1623" t="s">
        <v>3702</v>
      </c>
      <c r="J27" s="1623" t="s">
        <v>3703</v>
      </c>
      <c r="K27" s="1623" t="s">
        <v>3704</v>
      </c>
      <c r="L27" s="1623">
        <v>632.0</v>
      </c>
      <c r="M27" s="1623" t="s">
        <v>3568</v>
      </c>
      <c r="N27" s="1610"/>
      <c r="O27" s="1611">
        <v>25.0</v>
      </c>
      <c r="P27" s="1643" t="s">
        <v>178</v>
      </c>
      <c r="Q27" s="1643" t="s">
        <v>441</v>
      </c>
      <c r="R27" s="1644" t="s">
        <v>177</v>
      </c>
      <c r="S27" s="1645" t="s">
        <v>3570</v>
      </c>
      <c r="T27" s="661"/>
      <c r="U27" s="661"/>
      <c r="V27" s="661"/>
      <c r="W27" s="1615" t="s">
        <v>3662</v>
      </c>
      <c r="X27" s="1616"/>
      <c r="Y27" s="1617"/>
      <c r="Z27" s="1614" t="s">
        <v>956</v>
      </c>
      <c r="AA27" s="1614" t="s">
        <v>3664</v>
      </c>
      <c r="AB27" s="1618" t="s">
        <v>2821</v>
      </c>
      <c r="AC27" s="1618" t="s">
        <v>2927</v>
      </c>
      <c r="AD27" s="661"/>
      <c r="AE27" s="661"/>
      <c r="AF27" s="661"/>
      <c r="AG27" s="661"/>
      <c r="AH27" s="661"/>
      <c r="AI27" s="661"/>
      <c r="AJ27" s="661"/>
      <c r="AK27" s="661"/>
      <c r="AL27" s="661"/>
      <c r="AM27" s="661"/>
    </row>
    <row r="28">
      <c r="A28" s="1604">
        <v>46048.0</v>
      </c>
      <c r="B28" s="1605" t="s">
        <v>2806</v>
      </c>
      <c r="C28" s="1606"/>
      <c r="D28" s="1606"/>
      <c r="E28" s="1605"/>
      <c r="F28" s="1605"/>
      <c r="G28" s="1605"/>
      <c r="H28" s="1623"/>
      <c r="I28" s="1623" t="s">
        <v>3705</v>
      </c>
      <c r="J28" s="1623" t="s">
        <v>3567</v>
      </c>
      <c r="K28" s="1623" t="s">
        <v>1911</v>
      </c>
      <c r="L28" s="1623">
        <v>632.0</v>
      </c>
      <c r="M28" s="1623" t="s">
        <v>3568</v>
      </c>
      <c r="N28" s="1610"/>
      <c r="O28" s="1611">
        <v>26.0</v>
      </c>
      <c r="P28" s="1646" t="s">
        <v>229</v>
      </c>
      <c r="Q28" s="1646" t="s">
        <v>3706</v>
      </c>
      <c r="R28" s="1644" t="s">
        <v>177</v>
      </c>
      <c r="S28" s="1647" t="s">
        <v>3596</v>
      </c>
      <c r="T28" s="661"/>
      <c r="U28" s="661"/>
      <c r="V28" s="661"/>
      <c r="W28" s="1615" t="s">
        <v>3662</v>
      </c>
      <c r="X28" s="1616"/>
      <c r="Y28" s="1617"/>
      <c r="Z28" s="1614" t="s">
        <v>956</v>
      </c>
      <c r="AA28" s="1614" t="s">
        <v>3664</v>
      </c>
      <c r="AB28" s="1618" t="s">
        <v>2821</v>
      </c>
      <c r="AC28" s="1618" t="s">
        <v>2927</v>
      </c>
      <c r="AD28" s="661"/>
      <c r="AE28" s="661"/>
      <c r="AF28" s="661"/>
      <c r="AG28" s="661"/>
      <c r="AH28" s="661"/>
      <c r="AI28" s="661"/>
      <c r="AJ28" s="661"/>
      <c r="AK28" s="661"/>
      <c r="AL28" s="661"/>
      <c r="AM28" s="661"/>
    </row>
    <row r="29">
      <c r="A29" s="1604">
        <v>46049.0</v>
      </c>
      <c r="B29" s="1605" t="s">
        <v>2806</v>
      </c>
      <c r="C29" s="1606"/>
      <c r="D29" s="1606"/>
      <c r="E29" s="1605"/>
      <c r="F29" s="1605"/>
      <c r="G29" s="1605"/>
      <c r="H29" s="1623"/>
      <c r="I29" s="1623" t="s">
        <v>3707</v>
      </c>
      <c r="J29" s="1623" t="s">
        <v>413</v>
      </c>
      <c r="K29" s="1623" t="s">
        <v>3708</v>
      </c>
      <c r="L29" s="1623">
        <v>632.0</v>
      </c>
      <c r="M29" s="1623" t="s">
        <v>3568</v>
      </c>
      <c r="N29" s="1610"/>
      <c r="O29" s="1611">
        <v>27.0</v>
      </c>
      <c r="P29" s="1646" t="s">
        <v>3709</v>
      </c>
      <c r="Q29" s="1646" t="s">
        <v>3710</v>
      </c>
      <c r="R29" s="1644" t="s">
        <v>177</v>
      </c>
      <c r="S29" s="1647" t="s">
        <v>3596</v>
      </c>
      <c r="T29" s="661"/>
      <c r="U29" s="661"/>
      <c r="V29" s="661"/>
      <c r="W29" s="1615" t="s">
        <v>3711</v>
      </c>
      <c r="X29" s="1616" t="s">
        <v>3712</v>
      </c>
      <c r="Y29" s="1617"/>
      <c r="Z29" s="1614" t="s">
        <v>1304</v>
      </c>
      <c r="AA29" s="1614" t="s">
        <v>3713</v>
      </c>
      <c r="AB29" s="1648" t="s">
        <v>2069</v>
      </c>
      <c r="AC29" s="1648" t="s">
        <v>2069</v>
      </c>
      <c r="AD29" s="661"/>
      <c r="AE29" s="661"/>
      <c r="AF29" s="661"/>
      <c r="AG29" s="661"/>
      <c r="AH29" s="661"/>
      <c r="AI29" s="661"/>
      <c r="AJ29" s="661"/>
      <c r="AK29" s="661"/>
      <c r="AL29" s="661"/>
      <c r="AM29" s="661"/>
    </row>
    <row r="30">
      <c r="A30" s="1604">
        <v>46050.0</v>
      </c>
      <c r="B30" s="1605" t="s">
        <v>2806</v>
      </c>
      <c r="C30" s="1606"/>
      <c r="D30" s="1606"/>
      <c r="E30" s="1605"/>
      <c r="F30" s="1605"/>
      <c r="G30" s="1605"/>
      <c r="H30" s="1623"/>
      <c r="I30" s="1623" t="s">
        <v>3714</v>
      </c>
      <c r="J30" s="1623" t="s">
        <v>3567</v>
      </c>
      <c r="K30" s="1623" t="s">
        <v>1911</v>
      </c>
      <c r="L30" s="1623">
        <v>632.0</v>
      </c>
      <c r="M30" s="1623" t="s">
        <v>3568</v>
      </c>
      <c r="N30" s="1610"/>
      <c r="O30" s="1611">
        <v>28.0</v>
      </c>
      <c r="P30" s="1646" t="s">
        <v>3715</v>
      </c>
      <c r="Q30" s="1646" t="s">
        <v>3716</v>
      </c>
      <c r="R30" s="1644" t="s">
        <v>177</v>
      </c>
      <c r="S30" s="1647" t="s">
        <v>3596</v>
      </c>
      <c r="T30" s="661"/>
      <c r="U30" s="661"/>
      <c r="V30" s="661"/>
      <c r="W30" s="661"/>
      <c r="X30" s="1638"/>
      <c r="Y30" s="1617"/>
      <c r="Z30" s="1649"/>
      <c r="AA30" s="1649"/>
      <c r="AB30" s="1648"/>
      <c r="AC30" s="1648"/>
      <c r="AD30" s="661"/>
      <c r="AE30" s="661"/>
      <c r="AF30" s="661"/>
      <c r="AG30" s="661"/>
      <c r="AH30" s="661"/>
      <c r="AI30" s="661"/>
      <c r="AJ30" s="661"/>
      <c r="AK30" s="661"/>
      <c r="AL30" s="661"/>
      <c r="AM30" s="661"/>
    </row>
    <row r="31">
      <c r="A31" s="1604">
        <v>46051.0</v>
      </c>
      <c r="B31" s="1605" t="s">
        <v>2806</v>
      </c>
      <c r="C31" s="1606"/>
      <c r="D31" s="1606"/>
      <c r="E31" s="1605"/>
      <c r="F31" s="1605"/>
      <c r="G31" s="1605"/>
      <c r="H31" s="1650" t="s">
        <v>2083</v>
      </c>
      <c r="I31" s="1650" t="s">
        <v>2084</v>
      </c>
      <c r="J31" s="1650" t="s">
        <v>3717</v>
      </c>
      <c r="K31" s="1650" t="s">
        <v>1910</v>
      </c>
      <c r="L31" s="1650">
        <v>635.0</v>
      </c>
      <c r="M31" s="1650" t="s">
        <v>2084</v>
      </c>
      <c r="N31" s="1610"/>
      <c r="O31" s="1611">
        <v>29.0</v>
      </c>
      <c r="P31" s="1646" t="s">
        <v>606</v>
      </c>
      <c r="Q31" s="1646" t="s">
        <v>3718</v>
      </c>
      <c r="R31" s="1644" t="s">
        <v>177</v>
      </c>
      <c r="S31" s="1647" t="s">
        <v>3596</v>
      </c>
      <c r="T31" s="661"/>
      <c r="U31" s="661"/>
      <c r="V31" s="661"/>
      <c r="W31" s="661"/>
      <c r="X31" s="1638"/>
      <c r="Y31" s="1617"/>
      <c r="Z31" s="1614"/>
      <c r="AA31" s="1614"/>
      <c r="AB31" s="1618"/>
      <c r="AC31" s="1618"/>
      <c r="AD31" s="661"/>
      <c r="AE31" s="661"/>
      <c r="AF31" s="661"/>
      <c r="AG31" s="661"/>
      <c r="AH31" s="661"/>
      <c r="AI31" s="661"/>
      <c r="AJ31" s="661"/>
      <c r="AK31" s="661"/>
      <c r="AL31" s="661"/>
      <c r="AM31" s="661"/>
    </row>
    <row r="32">
      <c r="A32" s="1604">
        <v>46052.0</v>
      </c>
      <c r="B32" s="1605" t="s">
        <v>2806</v>
      </c>
      <c r="C32" s="1606"/>
      <c r="D32" s="1606"/>
      <c r="E32" s="1605"/>
      <c r="F32" s="1605"/>
      <c r="G32" s="1605"/>
      <c r="H32" s="1650" t="s">
        <v>368</v>
      </c>
      <c r="I32" s="1650" t="s">
        <v>3719</v>
      </c>
      <c r="J32" s="1650" t="s">
        <v>3717</v>
      </c>
      <c r="K32" s="1650" t="s">
        <v>1910</v>
      </c>
      <c r="L32" s="1650">
        <v>635.0</v>
      </c>
      <c r="M32" s="1650" t="s">
        <v>2084</v>
      </c>
      <c r="N32" s="1610"/>
      <c r="O32" s="1611">
        <v>30.0</v>
      </c>
      <c r="P32" s="1651" t="s">
        <v>3720</v>
      </c>
      <c r="Q32" s="1651" t="s">
        <v>3721</v>
      </c>
      <c r="R32" s="1652" t="s">
        <v>3722</v>
      </c>
      <c r="S32" s="1653" t="s">
        <v>3723</v>
      </c>
      <c r="T32" s="661"/>
      <c r="U32" s="661"/>
      <c r="V32" s="661"/>
      <c r="W32" s="661"/>
      <c r="X32" s="1638"/>
      <c r="Y32" s="1617"/>
      <c r="Z32" s="1614"/>
      <c r="AA32" s="1614"/>
      <c r="AB32" s="1618"/>
      <c r="AC32" s="1618"/>
      <c r="AD32" s="661"/>
      <c r="AE32" s="661"/>
      <c r="AF32" s="661"/>
      <c r="AG32" s="661"/>
      <c r="AH32" s="661"/>
      <c r="AI32" s="661"/>
      <c r="AJ32" s="661"/>
      <c r="AK32" s="661"/>
      <c r="AL32" s="661"/>
      <c r="AM32" s="661"/>
    </row>
    <row r="33">
      <c r="A33" s="1604">
        <v>46053.0</v>
      </c>
      <c r="B33" s="1605" t="s">
        <v>2806</v>
      </c>
      <c r="C33" s="1606"/>
      <c r="D33" s="1606"/>
      <c r="E33" s="1605"/>
      <c r="F33" s="1605"/>
      <c r="G33" s="1605"/>
      <c r="H33" s="1654"/>
      <c r="I33" s="1654" t="s">
        <v>3724</v>
      </c>
      <c r="J33" s="1654" t="s">
        <v>3725</v>
      </c>
      <c r="K33" s="1654" t="s">
        <v>3726</v>
      </c>
      <c r="L33" s="1654">
        <v>641.0</v>
      </c>
      <c r="M33" s="1654" t="s">
        <v>2086</v>
      </c>
      <c r="N33" s="1610"/>
      <c r="O33" s="1611">
        <v>31.0</v>
      </c>
      <c r="P33" s="1651" t="s">
        <v>3727</v>
      </c>
      <c r="Q33" s="1651" t="s">
        <v>3728</v>
      </c>
      <c r="R33" s="1652" t="s">
        <v>3722</v>
      </c>
      <c r="S33" s="1653" t="s">
        <v>3729</v>
      </c>
      <c r="T33" s="661"/>
      <c r="U33" s="661"/>
      <c r="V33" s="661"/>
      <c r="W33" s="661"/>
      <c r="X33" s="1638"/>
      <c r="Y33" s="1617"/>
      <c r="Z33" s="1614"/>
      <c r="AA33" s="1614"/>
      <c r="AB33" s="1618"/>
      <c r="AC33" s="1618"/>
      <c r="AD33" s="661"/>
      <c r="AE33" s="661"/>
      <c r="AF33" s="661"/>
      <c r="AG33" s="661"/>
      <c r="AH33" s="661"/>
      <c r="AI33" s="661"/>
      <c r="AJ33" s="661"/>
      <c r="AK33" s="661"/>
      <c r="AL33" s="661"/>
      <c r="AM33" s="661"/>
    </row>
    <row r="34">
      <c r="A34" s="1604">
        <v>46054.0</v>
      </c>
      <c r="B34" s="1605" t="s">
        <v>2806</v>
      </c>
      <c r="C34" s="1606"/>
      <c r="D34" s="1606"/>
      <c r="E34" s="1605"/>
      <c r="F34" s="1605"/>
      <c r="G34" s="1605"/>
      <c r="H34" s="1654"/>
      <c r="I34" s="1654" t="s">
        <v>3730</v>
      </c>
      <c r="J34" s="1654" t="s">
        <v>3725</v>
      </c>
      <c r="K34" s="1654" t="s">
        <v>3726</v>
      </c>
      <c r="L34" s="1654">
        <v>641.0</v>
      </c>
      <c r="M34" s="1654" t="s">
        <v>2086</v>
      </c>
      <c r="N34" s="1610"/>
      <c r="O34" s="1611">
        <v>32.0</v>
      </c>
      <c r="P34" s="1630" t="s">
        <v>3731</v>
      </c>
      <c r="Q34" s="1630" t="s">
        <v>444</v>
      </c>
      <c r="R34" s="1652" t="s">
        <v>3722</v>
      </c>
      <c r="S34" s="1624" t="s">
        <v>3732</v>
      </c>
      <c r="T34" s="661"/>
      <c r="U34" s="661"/>
      <c r="V34" s="661"/>
      <c r="W34" s="661"/>
      <c r="X34" s="1638"/>
      <c r="Y34" s="1617"/>
      <c r="Z34" s="1614"/>
      <c r="AA34" s="1614"/>
      <c r="AB34" s="1618"/>
      <c r="AC34" s="1618"/>
      <c r="AD34" s="661"/>
      <c r="AE34" s="661"/>
      <c r="AF34" s="661"/>
      <c r="AG34" s="661"/>
      <c r="AH34" s="661"/>
      <c r="AI34" s="661"/>
      <c r="AJ34" s="661"/>
      <c r="AK34" s="661"/>
      <c r="AL34" s="661"/>
      <c r="AM34" s="661"/>
    </row>
    <row r="35">
      <c r="A35" s="1604">
        <v>46055.0</v>
      </c>
      <c r="B35" s="1605" t="s">
        <v>2806</v>
      </c>
      <c r="C35" s="1606"/>
      <c r="D35" s="1606"/>
      <c r="E35" s="1605"/>
      <c r="F35" s="1605"/>
      <c r="G35" s="1605"/>
      <c r="H35" s="1654"/>
      <c r="I35" s="1654" t="s">
        <v>3733</v>
      </c>
      <c r="J35" s="1654" t="s">
        <v>3725</v>
      </c>
      <c r="K35" s="1654" t="s">
        <v>3726</v>
      </c>
      <c r="L35" s="1654">
        <v>641.0</v>
      </c>
      <c r="M35" s="1654" t="s">
        <v>2086</v>
      </c>
      <c r="N35" s="1610"/>
      <c r="O35" s="1611">
        <v>33.0</v>
      </c>
      <c r="P35" s="1630" t="s">
        <v>3734</v>
      </c>
      <c r="Q35" s="1630" t="s">
        <v>2799</v>
      </c>
      <c r="R35" s="1652" t="s">
        <v>3722</v>
      </c>
      <c r="S35" s="1624" t="s">
        <v>3735</v>
      </c>
      <c r="T35" s="661"/>
      <c r="U35" s="661"/>
      <c r="V35" s="661"/>
      <c r="W35" s="661"/>
      <c r="X35" s="1638"/>
      <c r="Y35" s="1617"/>
      <c r="Z35" s="1614"/>
      <c r="AA35" s="1614"/>
      <c r="AB35" s="1618"/>
      <c r="AC35" s="1618"/>
      <c r="AD35" s="661"/>
      <c r="AE35" s="661"/>
      <c r="AF35" s="661"/>
      <c r="AG35" s="661"/>
      <c r="AH35" s="661"/>
      <c r="AI35" s="661"/>
      <c r="AJ35" s="661"/>
      <c r="AK35" s="661"/>
      <c r="AL35" s="661"/>
      <c r="AM35" s="661"/>
    </row>
    <row r="36">
      <c r="A36" s="1604">
        <v>46056.0</v>
      </c>
      <c r="B36" s="1605" t="s">
        <v>2806</v>
      </c>
      <c r="C36" s="1606"/>
      <c r="D36" s="1606"/>
      <c r="E36" s="1605"/>
      <c r="F36" s="1605"/>
      <c r="G36" s="1605"/>
      <c r="H36" s="1654"/>
      <c r="I36" s="1654" t="s">
        <v>3736</v>
      </c>
      <c r="J36" s="1654" t="s">
        <v>3725</v>
      </c>
      <c r="K36" s="1654" t="s">
        <v>3726</v>
      </c>
      <c r="L36" s="1654">
        <v>641.0</v>
      </c>
      <c r="M36" s="1654" t="s">
        <v>2086</v>
      </c>
      <c r="N36" s="661"/>
      <c r="O36" s="1611">
        <v>34.0</v>
      </c>
      <c r="P36" s="1630" t="s">
        <v>3737</v>
      </c>
      <c r="Q36" s="1630" t="s">
        <v>3738</v>
      </c>
      <c r="R36" s="1652" t="s">
        <v>3722</v>
      </c>
      <c r="S36" s="1624" t="s">
        <v>3723</v>
      </c>
      <c r="T36" s="661"/>
      <c r="U36" s="661"/>
      <c r="V36" s="661"/>
      <c r="W36" s="661"/>
      <c r="X36" s="1638"/>
      <c r="Y36" s="1617"/>
      <c r="Z36" s="1614"/>
      <c r="AA36" s="1614"/>
      <c r="AB36" s="1618"/>
      <c r="AC36" s="1618"/>
      <c r="AD36" s="661"/>
      <c r="AE36" s="661"/>
      <c r="AF36" s="661"/>
      <c r="AG36" s="661"/>
      <c r="AH36" s="661"/>
      <c r="AI36" s="661"/>
      <c r="AJ36" s="661"/>
      <c r="AK36" s="661"/>
      <c r="AL36" s="661"/>
      <c r="AM36" s="661"/>
    </row>
    <row r="37">
      <c r="A37" s="1604">
        <v>46057.0</v>
      </c>
      <c r="B37" s="1605" t="s">
        <v>2806</v>
      </c>
      <c r="C37" s="1606"/>
      <c r="D37" s="1606"/>
      <c r="E37" s="1605"/>
      <c r="F37" s="1605"/>
      <c r="G37" s="1605"/>
      <c r="H37" s="1654"/>
      <c r="I37" s="1654" t="s">
        <v>3739</v>
      </c>
      <c r="J37" s="1654" t="s">
        <v>3725</v>
      </c>
      <c r="K37" s="1654" t="s">
        <v>3726</v>
      </c>
      <c r="L37" s="1654">
        <v>641.0</v>
      </c>
      <c r="M37" s="1654" t="s">
        <v>2086</v>
      </c>
      <c r="N37" s="661"/>
      <c r="O37" s="1611">
        <v>35.0</v>
      </c>
      <c r="P37" s="1630" t="s">
        <v>800</v>
      </c>
      <c r="Q37" s="1630" t="s">
        <v>3740</v>
      </c>
      <c r="R37" s="1655" t="s">
        <v>183</v>
      </c>
      <c r="S37" s="1624" t="s">
        <v>3596</v>
      </c>
      <c r="T37" s="661"/>
      <c r="U37" s="661"/>
      <c r="V37" s="661"/>
      <c r="W37" s="661"/>
      <c r="X37" s="1638"/>
      <c r="Y37" s="1617"/>
      <c r="Z37" s="1614"/>
      <c r="AA37" s="1614"/>
      <c r="AB37" s="1618"/>
      <c r="AC37" s="1618"/>
      <c r="AD37" s="661"/>
      <c r="AE37" s="661"/>
      <c r="AF37" s="661"/>
      <c r="AG37" s="661"/>
      <c r="AH37" s="661"/>
      <c r="AI37" s="661"/>
      <c r="AJ37" s="661"/>
      <c r="AK37" s="661"/>
      <c r="AL37" s="661"/>
      <c r="AM37" s="661"/>
    </row>
    <row r="38">
      <c r="A38" s="1604">
        <v>46058.0</v>
      </c>
      <c r="B38" s="1605" t="s">
        <v>2806</v>
      </c>
      <c r="C38" s="1606"/>
      <c r="D38" s="1606"/>
      <c r="E38" s="1605"/>
      <c r="F38" s="1605"/>
      <c r="G38" s="1605"/>
      <c r="H38" s="1654"/>
      <c r="I38" s="1654" t="s">
        <v>3741</v>
      </c>
      <c r="J38" s="1654" t="s">
        <v>2240</v>
      </c>
      <c r="K38" s="1654" t="s">
        <v>2240</v>
      </c>
      <c r="L38" s="1654">
        <v>641.0</v>
      </c>
      <c r="M38" s="1654" t="s">
        <v>2086</v>
      </c>
      <c r="N38" s="661"/>
      <c r="O38" s="1611">
        <v>36.0</v>
      </c>
      <c r="P38" s="1630" t="s">
        <v>758</v>
      </c>
      <c r="Q38" s="1630" t="s">
        <v>3742</v>
      </c>
      <c r="R38" s="1655" t="s">
        <v>183</v>
      </c>
      <c r="S38" s="1624" t="s">
        <v>3596</v>
      </c>
      <c r="T38" s="661"/>
      <c r="U38" s="661"/>
      <c r="V38" s="661"/>
      <c r="W38" s="661"/>
      <c r="X38" s="1638"/>
      <c r="Y38" s="1617"/>
      <c r="Z38" s="1614"/>
      <c r="AA38" s="1614"/>
      <c r="AB38" s="1618"/>
      <c r="AC38" s="1618"/>
      <c r="AD38" s="661"/>
      <c r="AE38" s="661"/>
      <c r="AF38" s="661"/>
      <c r="AG38" s="661"/>
      <c r="AH38" s="661"/>
      <c r="AI38" s="661"/>
      <c r="AJ38" s="661"/>
      <c r="AK38" s="661"/>
      <c r="AL38" s="661"/>
      <c r="AM38" s="661"/>
    </row>
    <row r="39">
      <c r="A39" s="1604">
        <v>46059.0</v>
      </c>
      <c r="B39" s="1605" t="s">
        <v>2806</v>
      </c>
      <c r="C39" s="1606"/>
      <c r="D39" s="1606"/>
      <c r="E39" s="1605"/>
      <c r="F39" s="1605"/>
      <c r="G39" s="1605"/>
      <c r="H39" s="1654"/>
      <c r="I39" s="1654" t="s">
        <v>3743</v>
      </c>
      <c r="J39" s="1654" t="s">
        <v>2240</v>
      </c>
      <c r="K39" s="1654" t="s">
        <v>2240</v>
      </c>
      <c r="L39" s="1654">
        <v>641.0</v>
      </c>
      <c r="M39" s="1654" t="s">
        <v>2086</v>
      </c>
      <c r="N39" s="661"/>
      <c r="O39" s="1611">
        <v>37.0</v>
      </c>
      <c r="P39" s="1630" t="s">
        <v>3744</v>
      </c>
      <c r="Q39" s="1630" t="s">
        <v>3745</v>
      </c>
      <c r="R39" s="1655" t="s">
        <v>183</v>
      </c>
      <c r="S39" s="1624" t="s">
        <v>3596</v>
      </c>
      <c r="T39" s="661"/>
      <c r="U39" s="661"/>
      <c r="V39" s="661"/>
      <c r="W39" s="661"/>
      <c r="X39" s="1638"/>
      <c r="Y39" s="1617"/>
      <c r="Z39" s="1614"/>
      <c r="AA39" s="1614"/>
      <c r="AB39" s="1618"/>
      <c r="AC39" s="1618"/>
      <c r="AD39" s="661"/>
      <c r="AE39" s="661"/>
      <c r="AF39" s="661"/>
      <c r="AG39" s="661"/>
      <c r="AH39" s="661"/>
      <c r="AI39" s="661"/>
      <c r="AJ39" s="661"/>
      <c r="AK39" s="661"/>
      <c r="AL39" s="661"/>
      <c r="AM39" s="661"/>
    </row>
    <row r="40">
      <c r="A40" s="1604">
        <v>46060.0</v>
      </c>
      <c r="B40" s="1605" t="s">
        <v>2806</v>
      </c>
      <c r="C40" s="1606"/>
      <c r="D40" s="1606"/>
      <c r="E40" s="1605"/>
      <c r="F40" s="1605"/>
      <c r="G40" s="1605"/>
      <c r="H40" s="1654"/>
      <c r="I40" s="1654" t="s">
        <v>3746</v>
      </c>
      <c r="J40" s="1654" t="s">
        <v>2240</v>
      </c>
      <c r="K40" s="1654" t="s">
        <v>2240</v>
      </c>
      <c r="L40" s="1654">
        <v>641.0</v>
      </c>
      <c r="M40" s="1654" t="s">
        <v>2086</v>
      </c>
      <c r="N40" s="661"/>
      <c r="O40" s="1611">
        <v>38.0</v>
      </c>
      <c r="P40" s="1630" t="s">
        <v>3747</v>
      </c>
      <c r="Q40" s="1630" t="s">
        <v>3748</v>
      </c>
      <c r="R40" s="1655" t="s">
        <v>183</v>
      </c>
      <c r="S40" s="1624" t="s">
        <v>3596</v>
      </c>
      <c r="T40" s="661"/>
      <c r="U40" s="661"/>
      <c r="V40" s="661"/>
      <c r="W40" s="661"/>
      <c r="X40" s="1638"/>
      <c r="Y40" s="1617"/>
      <c r="Z40" s="1614"/>
      <c r="AA40" s="1614"/>
      <c r="AB40" s="1618"/>
      <c r="AC40" s="1618"/>
      <c r="AD40" s="661"/>
      <c r="AE40" s="661"/>
      <c r="AF40" s="661"/>
      <c r="AG40" s="661"/>
      <c r="AH40" s="661"/>
      <c r="AI40" s="661"/>
      <c r="AJ40" s="661"/>
      <c r="AK40" s="661"/>
      <c r="AL40" s="661"/>
      <c r="AM40" s="661"/>
    </row>
    <row r="41">
      <c r="A41" s="1604">
        <v>46061.0</v>
      </c>
      <c r="B41" s="1605" t="s">
        <v>2806</v>
      </c>
      <c r="C41" s="1606"/>
      <c r="D41" s="1606"/>
      <c r="E41" s="1605"/>
      <c r="F41" s="1605"/>
      <c r="G41" s="1605"/>
      <c r="H41" s="1654"/>
      <c r="I41" s="1654" t="s">
        <v>3749</v>
      </c>
      <c r="J41" s="1654" t="s">
        <v>2240</v>
      </c>
      <c r="K41" s="1654" t="s">
        <v>2240</v>
      </c>
      <c r="L41" s="1654">
        <v>641.0</v>
      </c>
      <c r="M41" s="1654" t="s">
        <v>2086</v>
      </c>
      <c r="N41" s="661"/>
      <c r="O41" s="1611">
        <v>39.0</v>
      </c>
      <c r="P41" s="1630" t="s">
        <v>791</v>
      </c>
      <c r="Q41" s="1630" t="s">
        <v>3750</v>
      </c>
      <c r="R41" s="1655" t="s">
        <v>177</v>
      </c>
      <c r="S41" s="1624" t="s">
        <v>3596</v>
      </c>
      <c r="T41" s="661"/>
      <c r="U41" s="661"/>
      <c r="V41" s="661"/>
      <c r="W41" s="661"/>
      <c r="X41" s="1638"/>
      <c r="Y41" s="1617"/>
      <c r="Z41" s="1614"/>
      <c r="AA41" s="1614"/>
      <c r="AB41" s="1618"/>
      <c r="AC41" s="1618"/>
      <c r="AD41" s="661"/>
      <c r="AE41" s="661"/>
      <c r="AF41" s="661"/>
      <c r="AG41" s="661"/>
      <c r="AH41" s="661"/>
      <c r="AI41" s="661"/>
      <c r="AJ41" s="661"/>
      <c r="AK41" s="661"/>
      <c r="AL41" s="661"/>
      <c r="AM41" s="661"/>
    </row>
    <row r="42">
      <c r="A42" s="1604">
        <v>46062.0</v>
      </c>
      <c r="B42" s="1605" t="s">
        <v>2806</v>
      </c>
      <c r="C42" s="1606"/>
      <c r="D42" s="1606"/>
      <c r="E42" s="1605"/>
      <c r="F42" s="1605"/>
      <c r="G42" s="1605"/>
      <c r="H42" s="1654"/>
      <c r="I42" s="1654" t="s">
        <v>3751</v>
      </c>
      <c r="J42" s="1654" t="s">
        <v>3752</v>
      </c>
      <c r="K42" s="1654" t="s">
        <v>3753</v>
      </c>
      <c r="L42" s="1654">
        <v>641.0</v>
      </c>
      <c r="M42" s="1654" t="s">
        <v>2086</v>
      </c>
      <c r="N42" s="661"/>
      <c r="O42" s="1611">
        <v>40.0</v>
      </c>
      <c r="P42" s="1630" t="s">
        <v>3754</v>
      </c>
      <c r="Q42" s="1630" t="s">
        <v>3755</v>
      </c>
      <c r="R42" s="1655" t="s">
        <v>177</v>
      </c>
      <c r="S42" s="1624" t="s">
        <v>3596</v>
      </c>
      <c r="T42" s="661"/>
      <c r="U42" s="661"/>
      <c r="V42" s="661"/>
      <c r="W42" s="661"/>
      <c r="X42" s="1638"/>
      <c r="Y42" s="1617"/>
      <c r="Z42" s="1614"/>
      <c r="AA42" s="1614"/>
      <c r="AB42" s="1618"/>
      <c r="AC42" s="1618"/>
      <c r="AD42" s="661"/>
      <c r="AE42" s="661"/>
      <c r="AF42" s="661"/>
      <c r="AG42" s="661"/>
      <c r="AH42" s="661"/>
      <c r="AI42" s="661"/>
      <c r="AJ42" s="661"/>
      <c r="AK42" s="661"/>
      <c r="AL42" s="661"/>
      <c r="AM42" s="661"/>
    </row>
    <row r="43">
      <c r="A43" s="1604">
        <v>46063.0</v>
      </c>
      <c r="B43" s="1605" t="s">
        <v>2806</v>
      </c>
      <c r="C43" s="1606"/>
      <c r="D43" s="1606"/>
      <c r="E43" s="1605"/>
      <c r="F43" s="1605"/>
      <c r="G43" s="1605"/>
      <c r="H43" s="1654"/>
      <c r="I43" s="1654" t="s">
        <v>3680</v>
      </c>
      <c r="J43" s="1654" t="s">
        <v>3752</v>
      </c>
      <c r="K43" s="1654" t="s">
        <v>3753</v>
      </c>
      <c r="L43" s="1654">
        <v>641.0</v>
      </c>
      <c r="M43" s="1654" t="s">
        <v>2086</v>
      </c>
      <c r="N43" s="661"/>
      <c r="O43" s="1611">
        <v>41.0</v>
      </c>
      <c r="P43" s="1630" t="s">
        <v>795</v>
      </c>
      <c r="Q43" s="1630" t="s">
        <v>3756</v>
      </c>
      <c r="R43" s="1655" t="s">
        <v>177</v>
      </c>
      <c r="S43" s="1624" t="s">
        <v>3596</v>
      </c>
      <c r="T43" s="661"/>
      <c r="U43" s="661"/>
      <c r="V43" s="661"/>
      <c r="W43" s="661"/>
      <c r="X43" s="1638"/>
      <c r="Y43" s="1617"/>
      <c r="Z43" s="1614"/>
      <c r="AA43" s="1614"/>
      <c r="AB43" s="1618"/>
      <c r="AC43" s="1618"/>
      <c r="AD43" s="661"/>
      <c r="AE43" s="661"/>
      <c r="AF43" s="661"/>
      <c r="AG43" s="661"/>
      <c r="AH43" s="661"/>
      <c r="AI43" s="661"/>
      <c r="AJ43" s="661"/>
      <c r="AK43" s="661"/>
      <c r="AL43" s="661"/>
      <c r="AM43" s="661"/>
    </row>
    <row r="44">
      <c r="A44" s="1604">
        <v>46064.0</v>
      </c>
      <c r="B44" s="1605" t="s">
        <v>2806</v>
      </c>
      <c r="C44" s="1606"/>
      <c r="D44" s="1606"/>
      <c r="E44" s="1605"/>
      <c r="F44" s="1605"/>
      <c r="G44" s="1605"/>
      <c r="H44" s="1654"/>
      <c r="I44" s="1654" t="s">
        <v>3757</v>
      </c>
      <c r="J44" s="1654" t="s">
        <v>3752</v>
      </c>
      <c r="K44" s="1654" t="s">
        <v>3753</v>
      </c>
      <c r="L44" s="1654">
        <v>641.0</v>
      </c>
      <c r="M44" s="1654" t="s">
        <v>2086</v>
      </c>
      <c r="N44" s="661"/>
      <c r="O44" s="1611">
        <v>42.0</v>
      </c>
      <c r="P44" s="1630" t="s">
        <v>603</v>
      </c>
      <c r="Q44" s="1630" t="s">
        <v>3555</v>
      </c>
      <c r="R44" s="1655" t="s">
        <v>177</v>
      </c>
      <c r="S44" s="1624" t="s">
        <v>3556</v>
      </c>
      <c r="T44" s="661"/>
      <c r="U44" s="661"/>
      <c r="V44" s="661"/>
      <c r="W44" s="661"/>
      <c r="X44" s="1638" t="s">
        <v>3758</v>
      </c>
      <c r="Y44" s="1617"/>
      <c r="Z44" s="1614" t="s">
        <v>2070</v>
      </c>
      <c r="AA44" s="1614" t="s">
        <v>2923</v>
      </c>
      <c r="AB44" s="1618" t="s">
        <v>2070</v>
      </c>
      <c r="AC44" s="1618" t="s">
        <v>2923</v>
      </c>
      <c r="AD44" s="661"/>
      <c r="AE44" s="661"/>
      <c r="AF44" s="661"/>
      <c r="AG44" s="661"/>
      <c r="AH44" s="661"/>
      <c r="AI44" s="661"/>
      <c r="AJ44" s="661"/>
      <c r="AK44" s="661"/>
      <c r="AL44" s="661"/>
      <c r="AM44" s="661"/>
    </row>
    <row r="45">
      <c r="A45" s="1604">
        <v>46065.0</v>
      </c>
      <c r="B45" s="1605" t="s">
        <v>2806</v>
      </c>
      <c r="C45" s="1606"/>
      <c r="D45" s="1606"/>
      <c r="E45" s="1605"/>
      <c r="F45" s="1605"/>
      <c r="G45" s="1605"/>
      <c r="H45" s="1654"/>
      <c r="I45" s="1654" t="s">
        <v>3759</v>
      </c>
      <c r="J45" s="1654" t="s">
        <v>3760</v>
      </c>
      <c r="K45" s="1654" t="s">
        <v>3708</v>
      </c>
      <c r="L45" s="1654">
        <v>641.0</v>
      </c>
      <c r="M45" s="1654" t="s">
        <v>2086</v>
      </c>
      <c r="N45" s="661"/>
      <c r="O45" s="1611">
        <v>43.0</v>
      </c>
      <c r="P45" s="1630" t="s">
        <v>600</v>
      </c>
      <c r="Q45" s="1630" t="s">
        <v>3761</v>
      </c>
      <c r="R45" s="1655" t="s">
        <v>177</v>
      </c>
      <c r="S45" s="1624" t="s">
        <v>3596</v>
      </c>
      <c r="T45" s="661"/>
      <c r="U45" s="661"/>
      <c r="V45" s="661"/>
      <c r="W45" s="661"/>
      <c r="X45" s="1638" t="s">
        <v>3762</v>
      </c>
      <c r="Y45" s="1617"/>
      <c r="Z45" s="1614" t="s">
        <v>404</v>
      </c>
      <c r="AA45" s="1614" t="s">
        <v>3763</v>
      </c>
      <c r="AB45" s="1618" t="s">
        <v>2071</v>
      </c>
      <c r="AC45" s="1618" t="s">
        <v>2924</v>
      </c>
      <c r="AD45" s="661"/>
      <c r="AE45" s="661"/>
      <c r="AF45" s="661"/>
      <c r="AG45" s="661"/>
      <c r="AH45" s="661"/>
      <c r="AI45" s="661"/>
      <c r="AJ45" s="661"/>
      <c r="AK45" s="661"/>
      <c r="AL45" s="661"/>
      <c r="AM45" s="661"/>
    </row>
    <row r="46">
      <c r="A46" s="1604">
        <v>46066.0</v>
      </c>
      <c r="B46" s="1605" t="s">
        <v>2806</v>
      </c>
      <c r="C46" s="1606"/>
      <c r="D46" s="1606"/>
      <c r="E46" s="1605"/>
      <c r="F46" s="1605"/>
      <c r="G46" s="1605"/>
      <c r="H46" s="1654"/>
      <c r="I46" s="1654" t="s">
        <v>3764</v>
      </c>
      <c r="J46" s="1654" t="s">
        <v>3760</v>
      </c>
      <c r="K46" s="1654" t="s">
        <v>3708</v>
      </c>
      <c r="L46" s="1654">
        <v>641.0</v>
      </c>
      <c r="M46" s="1654" t="s">
        <v>2086</v>
      </c>
      <c r="N46" s="661"/>
      <c r="O46" s="1611">
        <v>44.0</v>
      </c>
      <c r="P46" s="1630" t="s">
        <v>3765</v>
      </c>
      <c r="Q46" s="1630" t="s">
        <v>3766</v>
      </c>
      <c r="R46" s="1655" t="s">
        <v>210</v>
      </c>
      <c r="S46" s="1624" t="s">
        <v>3596</v>
      </c>
      <c r="T46" s="661"/>
      <c r="U46" s="661"/>
      <c r="V46" s="661"/>
      <c r="W46" s="661"/>
      <c r="X46" s="1638" t="s">
        <v>3767</v>
      </c>
      <c r="Y46" s="1617"/>
      <c r="Z46" s="1614" t="s">
        <v>2072</v>
      </c>
      <c r="AA46" s="1614" t="s">
        <v>2925</v>
      </c>
      <c r="AB46" s="1618" t="s">
        <v>2072</v>
      </c>
      <c r="AC46" s="1618" t="s">
        <v>2925</v>
      </c>
      <c r="AD46" s="661"/>
      <c r="AE46" s="661"/>
      <c r="AF46" s="661"/>
      <c r="AG46" s="661"/>
      <c r="AH46" s="661"/>
      <c r="AI46" s="661"/>
      <c r="AJ46" s="661"/>
      <c r="AK46" s="661"/>
      <c r="AL46" s="661"/>
      <c r="AM46" s="661"/>
    </row>
    <row r="47">
      <c r="A47" s="1604">
        <v>46067.0</v>
      </c>
      <c r="B47" s="1605" t="s">
        <v>2806</v>
      </c>
      <c r="C47" s="1606"/>
      <c r="D47" s="1606"/>
      <c r="E47" s="1605"/>
      <c r="F47" s="1605"/>
      <c r="G47" s="1605"/>
      <c r="H47" s="1654"/>
      <c r="I47" s="1654" t="s">
        <v>3768</v>
      </c>
      <c r="J47" s="1654" t="s">
        <v>3760</v>
      </c>
      <c r="K47" s="1654" t="s">
        <v>3708</v>
      </c>
      <c r="L47" s="1654">
        <v>641.0</v>
      </c>
      <c r="M47" s="1654" t="s">
        <v>2086</v>
      </c>
      <c r="N47" s="661"/>
      <c r="O47" s="1611">
        <v>45.0</v>
      </c>
      <c r="P47" s="1630" t="s">
        <v>3769</v>
      </c>
      <c r="Q47" s="1630" t="s">
        <v>3770</v>
      </c>
      <c r="R47" s="1655" t="s">
        <v>210</v>
      </c>
      <c r="S47" s="1624" t="s">
        <v>3596</v>
      </c>
      <c r="T47" s="661"/>
      <c r="U47" s="661"/>
      <c r="V47" s="661"/>
      <c r="W47" s="661"/>
      <c r="X47" s="1638" t="s">
        <v>3771</v>
      </c>
      <c r="Y47" s="1617"/>
      <c r="Z47" s="1614" t="s">
        <v>2073</v>
      </c>
      <c r="AA47" s="1614" t="s">
        <v>2926</v>
      </c>
      <c r="AB47" s="1618" t="s">
        <v>2073</v>
      </c>
      <c r="AC47" s="1618" t="s">
        <v>2926</v>
      </c>
      <c r="AD47" s="661"/>
      <c r="AE47" s="661"/>
      <c r="AF47" s="661"/>
      <c r="AG47" s="661"/>
      <c r="AH47" s="661"/>
      <c r="AI47" s="661"/>
      <c r="AJ47" s="661"/>
      <c r="AK47" s="661"/>
      <c r="AL47" s="661"/>
      <c r="AM47" s="661"/>
    </row>
    <row r="48">
      <c r="A48" s="1604">
        <v>46068.0</v>
      </c>
      <c r="B48" s="1605" t="s">
        <v>2806</v>
      </c>
      <c r="C48" s="1606"/>
      <c r="D48" s="1606"/>
      <c r="E48" s="1605"/>
      <c r="F48" s="1605"/>
      <c r="G48" s="1605"/>
      <c r="H48" s="1654"/>
      <c r="I48" s="1654" t="s">
        <v>3772</v>
      </c>
      <c r="J48" s="1654" t="s">
        <v>3760</v>
      </c>
      <c r="K48" s="1654" t="s">
        <v>3708</v>
      </c>
      <c r="L48" s="1654">
        <v>641.0</v>
      </c>
      <c r="M48" s="1654" t="s">
        <v>2086</v>
      </c>
      <c r="N48" s="661"/>
      <c r="O48" s="1611">
        <v>46.0</v>
      </c>
      <c r="P48" s="1630" t="s">
        <v>3773</v>
      </c>
      <c r="Q48" s="1630" t="s">
        <v>3774</v>
      </c>
      <c r="R48" s="1655" t="s">
        <v>210</v>
      </c>
      <c r="S48" s="1624" t="s">
        <v>3596</v>
      </c>
      <c r="T48" s="661"/>
      <c r="U48" s="661"/>
      <c r="V48" s="661"/>
      <c r="W48" s="661"/>
      <c r="X48" s="1638" t="s">
        <v>3775</v>
      </c>
      <c r="Y48" s="1617"/>
      <c r="Z48" s="1614" t="s">
        <v>2074</v>
      </c>
      <c r="AA48" s="1614" t="s">
        <v>2928</v>
      </c>
      <c r="AB48" s="1618" t="s">
        <v>2074</v>
      </c>
      <c r="AC48" s="1618" t="s">
        <v>2928</v>
      </c>
      <c r="AD48" s="661"/>
      <c r="AE48" s="661"/>
      <c r="AF48" s="661"/>
      <c r="AG48" s="661"/>
      <c r="AH48" s="661"/>
      <c r="AI48" s="661"/>
      <c r="AJ48" s="661"/>
      <c r="AK48" s="661"/>
      <c r="AL48" s="661"/>
      <c r="AM48" s="661"/>
    </row>
    <row r="49">
      <c r="A49" s="1604">
        <v>46069.0</v>
      </c>
      <c r="B49" s="1605" t="s">
        <v>2806</v>
      </c>
      <c r="C49" s="1606"/>
      <c r="D49" s="1606"/>
      <c r="E49" s="1605"/>
      <c r="F49" s="1605"/>
      <c r="G49" s="1605"/>
      <c r="H49" s="1656"/>
      <c r="I49" s="1656"/>
      <c r="J49" s="1656" t="s">
        <v>413</v>
      </c>
      <c r="K49" s="1656" t="s">
        <v>3708</v>
      </c>
      <c r="L49" s="1656">
        <v>642.0</v>
      </c>
      <c r="M49" s="1656" t="s">
        <v>3776</v>
      </c>
      <c r="N49" s="661"/>
      <c r="O49" s="1611">
        <v>47.0</v>
      </c>
      <c r="P49" s="1630" t="s">
        <v>3777</v>
      </c>
      <c r="Q49" s="1630" t="s">
        <v>3778</v>
      </c>
      <c r="R49" s="1655" t="s">
        <v>210</v>
      </c>
      <c r="S49" s="1624" t="s">
        <v>3596</v>
      </c>
      <c r="T49" s="661"/>
      <c r="U49" s="661"/>
      <c r="V49" s="661"/>
      <c r="W49" s="1615" t="s">
        <v>3779</v>
      </c>
      <c r="X49" s="1616" t="s">
        <v>964</v>
      </c>
      <c r="Y49" s="1617"/>
      <c r="Z49" s="1614" t="s">
        <v>530</v>
      </c>
      <c r="AA49" s="1614" t="s">
        <v>3780</v>
      </c>
      <c r="AB49" s="1618" t="s">
        <v>2066</v>
      </c>
      <c r="AC49" s="1618" t="s">
        <v>2919</v>
      </c>
      <c r="AD49" s="661"/>
      <c r="AE49" s="661"/>
      <c r="AF49" s="661"/>
      <c r="AG49" s="661"/>
      <c r="AH49" s="661"/>
      <c r="AI49" s="661"/>
      <c r="AJ49" s="661"/>
      <c r="AK49" s="661"/>
      <c r="AL49" s="661"/>
      <c r="AM49" s="661"/>
    </row>
    <row r="50">
      <c r="A50" s="1604">
        <v>46070.0</v>
      </c>
      <c r="B50" s="1605" t="s">
        <v>2806</v>
      </c>
      <c r="C50" s="1606"/>
      <c r="D50" s="1606"/>
      <c r="E50" s="1605"/>
      <c r="F50" s="1605"/>
      <c r="G50" s="1605"/>
      <c r="H50" s="1656" t="s">
        <v>2872</v>
      </c>
      <c r="I50" s="1656" t="s">
        <v>3781</v>
      </c>
      <c r="J50" s="1656" t="s">
        <v>2872</v>
      </c>
      <c r="K50" s="1656" t="s">
        <v>3782</v>
      </c>
      <c r="L50" s="1656">
        <v>642.0</v>
      </c>
      <c r="M50" s="1656" t="s">
        <v>3776</v>
      </c>
      <c r="N50" s="661"/>
      <c r="O50" s="1611">
        <v>48.0</v>
      </c>
      <c r="P50" s="1657" t="s">
        <v>772</v>
      </c>
      <c r="Q50" s="1652" t="s">
        <v>2278</v>
      </c>
      <c r="R50" s="1652" t="s">
        <v>705</v>
      </c>
      <c r="S50" s="1658" t="s">
        <v>3556</v>
      </c>
      <c r="T50" s="661"/>
      <c r="U50" s="661"/>
      <c r="V50" s="661"/>
      <c r="W50" s="1615" t="s">
        <v>3779</v>
      </c>
      <c r="X50" s="1616" t="s">
        <v>718</v>
      </c>
      <c r="Y50" s="1617"/>
      <c r="Z50" s="1614" t="s">
        <v>530</v>
      </c>
      <c r="AA50" s="1614" t="s">
        <v>3780</v>
      </c>
      <c r="AB50" s="1618" t="s">
        <v>2066</v>
      </c>
      <c r="AC50" s="1618" t="s">
        <v>2919</v>
      </c>
      <c r="AD50" s="661"/>
      <c r="AE50" s="661"/>
      <c r="AF50" s="661"/>
      <c r="AG50" s="661"/>
      <c r="AH50" s="661"/>
      <c r="AI50" s="661"/>
      <c r="AJ50" s="661"/>
      <c r="AK50" s="661"/>
      <c r="AL50" s="661"/>
      <c r="AM50" s="661"/>
    </row>
    <row r="51">
      <c r="A51" s="1604">
        <v>46071.0</v>
      </c>
      <c r="B51" s="1605" t="s">
        <v>2806</v>
      </c>
      <c r="C51" s="1606"/>
      <c r="D51" s="1606"/>
      <c r="E51" s="1605"/>
      <c r="F51" s="1605"/>
      <c r="G51" s="1605"/>
      <c r="H51" s="1656" t="s">
        <v>270</v>
      </c>
      <c r="I51" s="1656" t="s">
        <v>3783</v>
      </c>
      <c r="J51" s="1656" t="s">
        <v>270</v>
      </c>
      <c r="K51" s="1656" t="s">
        <v>2231</v>
      </c>
      <c r="L51" s="1656">
        <v>642.0</v>
      </c>
      <c r="M51" s="1656" t="s">
        <v>3776</v>
      </c>
      <c r="N51" s="661"/>
      <c r="O51" s="1611">
        <v>49.0</v>
      </c>
      <c r="P51" s="1657" t="s">
        <v>3784</v>
      </c>
      <c r="Q51" s="1652" t="s">
        <v>3785</v>
      </c>
      <c r="R51" s="1652" t="s">
        <v>705</v>
      </c>
      <c r="S51" s="1658" t="s">
        <v>3596</v>
      </c>
      <c r="T51" s="661"/>
      <c r="U51" s="661"/>
      <c r="V51" s="661"/>
      <c r="W51" s="1615" t="s">
        <v>3779</v>
      </c>
      <c r="X51" s="1616" t="s">
        <v>757</v>
      </c>
      <c r="Y51" s="1617"/>
      <c r="Z51" s="1614" t="s">
        <v>530</v>
      </c>
      <c r="AA51" s="1614" t="s">
        <v>3780</v>
      </c>
      <c r="AB51" s="1618" t="s">
        <v>2066</v>
      </c>
      <c r="AC51" s="1618" t="s">
        <v>2919</v>
      </c>
      <c r="AD51" s="661"/>
      <c r="AE51" s="661"/>
      <c r="AF51" s="661"/>
      <c r="AG51" s="661"/>
      <c r="AH51" s="661"/>
      <c r="AI51" s="661"/>
      <c r="AJ51" s="661"/>
      <c r="AK51" s="661"/>
      <c r="AL51" s="661"/>
      <c r="AM51" s="661"/>
    </row>
    <row r="52">
      <c r="A52" s="1604">
        <v>46072.0</v>
      </c>
      <c r="B52" s="1605" t="s">
        <v>2806</v>
      </c>
      <c r="C52" s="1606"/>
      <c r="D52" s="1606"/>
      <c r="E52" s="1605"/>
      <c r="F52" s="1605"/>
      <c r="G52" s="1605"/>
      <c r="H52" s="1656"/>
      <c r="I52" s="1656"/>
      <c r="J52" s="1656"/>
      <c r="K52" s="1656"/>
      <c r="L52" s="1656"/>
      <c r="M52" s="1656"/>
      <c r="N52" s="661"/>
      <c r="O52" s="1611">
        <v>50.0</v>
      </c>
      <c r="P52" s="1657" t="s">
        <v>1003</v>
      </c>
      <c r="Q52" s="1652" t="s">
        <v>3786</v>
      </c>
      <c r="R52" s="1652" t="s">
        <v>705</v>
      </c>
      <c r="S52" s="1658" t="s">
        <v>3596</v>
      </c>
      <c r="T52" s="661"/>
      <c r="U52" s="661"/>
      <c r="V52" s="661"/>
      <c r="W52" s="1615" t="s">
        <v>3779</v>
      </c>
      <c r="X52" s="1616" t="s">
        <v>575</v>
      </c>
      <c r="Y52" s="1617"/>
      <c r="Z52" s="1614" t="s">
        <v>530</v>
      </c>
      <c r="AA52" s="1614" t="s">
        <v>3780</v>
      </c>
      <c r="AB52" s="1618" t="s">
        <v>2066</v>
      </c>
      <c r="AC52" s="1618" t="s">
        <v>2919</v>
      </c>
      <c r="AD52" s="661"/>
      <c r="AE52" s="661"/>
      <c r="AF52" s="661"/>
      <c r="AG52" s="661"/>
      <c r="AH52" s="661"/>
      <c r="AI52" s="661"/>
      <c r="AJ52" s="661"/>
      <c r="AK52" s="661"/>
      <c r="AL52" s="661"/>
      <c r="AM52" s="661"/>
    </row>
    <row r="53">
      <c r="A53" s="1604">
        <v>46073.0</v>
      </c>
      <c r="B53" s="1605" t="s">
        <v>2806</v>
      </c>
      <c r="C53" s="1606"/>
      <c r="D53" s="1606"/>
      <c r="E53" s="1605"/>
      <c r="F53" s="1605"/>
      <c r="G53" s="1605"/>
      <c r="H53" s="1656"/>
      <c r="I53" s="1656"/>
      <c r="J53" s="1656"/>
      <c r="K53" s="1656"/>
      <c r="L53" s="1656"/>
      <c r="M53" s="1656"/>
      <c r="N53" s="661"/>
      <c r="O53" s="1611">
        <v>51.0</v>
      </c>
      <c r="P53" s="1657" t="s">
        <v>3787</v>
      </c>
      <c r="Q53" s="1652" t="s">
        <v>3788</v>
      </c>
      <c r="R53" s="1652" t="s">
        <v>705</v>
      </c>
      <c r="S53" s="1658" t="s">
        <v>3732</v>
      </c>
      <c r="T53" s="661"/>
      <c r="U53" s="661"/>
      <c r="V53" s="661"/>
      <c r="W53" s="1615" t="s">
        <v>3779</v>
      </c>
      <c r="X53" s="1616" t="s">
        <v>585</v>
      </c>
      <c r="Y53" s="1617"/>
      <c r="Z53" s="1614" t="s">
        <v>530</v>
      </c>
      <c r="AA53" s="1614" t="s">
        <v>3780</v>
      </c>
      <c r="AB53" s="1618" t="s">
        <v>2066</v>
      </c>
      <c r="AC53" s="1618" t="s">
        <v>2919</v>
      </c>
      <c r="AD53" s="661"/>
      <c r="AE53" s="661"/>
      <c r="AF53" s="661"/>
      <c r="AG53" s="661"/>
      <c r="AH53" s="661"/>
      <c r="AI53" s="661"/>
      <c r="AJ53" s="661"/>
      <c r="AK53" s="661"/>
      <c r="AL53" s="661"/>
      <c r="AM53" s="661"/>
    </row>
    <row r="54">
      <c r="A54" s="1604">
        <v>46074.0</v>
      </c>
      <c r="B54" s="1605" t="s">
        <v>2806</v>
      </c>
      <c r="C54" s="1606"/>
      <c r="D54" s="1606"/>
      <c r="E54" s="1605"/>
      <c r="F54" s="1605"/>
      <c r="G54" s="1605"/>
      <c r="H54" s="1656" t="s">
        <v>293</v>
      </c>
      <c r="I54" s="1656" t="s">
        <v>3789</v>
      </c>
      <c r="J54" s="1656" t="s">
        <v>3567</v>
      </c>
      <c r="K54" s="1656" t="s">
        <v>1911</v>
      </c>
      <c r="L54" s="1656">
        <v>642.0</v>
      </c>
      <c r="M54" s="1656" t="s">
        <v>3776</v>
      </c>
      <c r="N54" s="661"/>
      <c r="O54" s="1611">
        <v>52.0</v>
      </c>
      <c r="P54" s="1657" t="s">
        <v>3790</v>
      </c>
      <c r="Q54" s="1652" t="s">
        <v>3791</v>
      </c>
      <c r="R54" s="1652" t="s">
        <v>705</v>
      </c>
      <c r="S54" s="1658" t="s">
        <v>3596</v>
      </c>
      <c r="T54" s="661"/>
      <c r="U54" s="661"/>
      <c r="V54" s="661"/>
      <c r="W54" s="1615" t="s">
        <v>3779</v>
      </c>
      <c r="X54" s="1616" t="s">
        <v>799</v>
      </c>
      <c r="Y54" s="1617"/>
      <c r="Z54" s="1614" t="s">
        <v>530</v>
      </c>
      <c r="AA54" s="1614" t="s">
        <v>3780</v>
      </c>
      <c r="AB54" s="1618" t="s">
        <v>2066</v>
      </c>
      <c r="AC54" s="1618" t="s">
        <v>2919</v>
      </c>
      <c r="AD54" s="661"/>
      <c r="AE54" s="661"/>
      <c r="AF54" s="661"/>
      <c r="AG54" s="661"/>
      <c r="AH54" s="661"/>
      <c r="AI54" s="661"/>
      <c r="AJ54" s="661"/>
      <c r="AK54" s="661"/>
      <c r="AL54" s="661"/>
      <c r="AM54" s="661"/>
    </row>
    <row r="55">
      <c r="A55" s="1604">
        <v>46075.0</v>
      </c>
      <c r="B55" s="1605" t="s">
        <v>2806</v>
      </c>
      <c r="C55" s="1606"/>
      <c r="D55" s="1606"/>
      <c r="E55" s="1605"/>
      <c r="F55" s="1605"/>
      <c r="G55" s="1605"/>
      <c r="H55" s="1656" t="s">
        <v>3792</v>
      </c>
      <c r="I55" s="1656" t="s">
        <v>3793</v>
      </c>
      <c r="J55" s="1656" t="s">
        <v>3567</v>
      </c>
      <c r="K55" s="1656" t="s">
        <v>1911</v>
      </c>
      <c r="L55" s="1656">
        <v>642.0</v>
      </c>
      <c r="M55" s="1656" t="s">
        <v>3776</v>
      </c>
      <c r="N55" s="661"/>
      <c r="O55" s="1611">
        <v>53.0</v>
      </c>
      <c r="P55" s="1657" t="s">
        <v>3794</v>
      </c>
      <c r="Q55" s="1652" t="s">
        <v>3795</v>
      </c>
      <c r="R55" s="1652" t="s">
        <v>705</v>
      </c>
      <c r="S55" s="1658" t="s">
        <v>3596</v>
      </c>
      <c r="T55" s="661"/>
      <c r="U55" s="661"/>
      <c r="V55" s="661"/>
      <c r="W55" s="1615" t="s">
        <v>3779</v>
      </c>
      <c r="X55" s="1616" t="s">
        <v>599</v>
      </c>
      <c r="Y55" s="1617"/>
      <c r="Z55" s="1614" t="s">
        <v>530</v>
      </c>
      <c r="AA55" s="1614" t="s">
        <v>3780</v>
      </c>
      <c r="AB55" s="1618" t="s">
        <v>2066</v>
      </c>
      <c r="AC55" s="1618" t="s">
        <v>2919</v>
      </c>
      <c r="AD55" s="661"/>
      <c r="AE55" s="661"/>
      <c r="AF55" s="661"/>
      <c r="AG55" s="661"/>
      <c r="AH55" s="661"/>
      <c r="AI55" s="661"/>
      <c r="AJ55" s="661"/>
      <c r="AK55" s="661"/>
      <c r="AL55" s="661"/>
      <c r="AM55" s="661"/>
    </row>
    <row r="56">
      <c r="A56" s="1604">
        <v>46076.0</v>
      </c>
      <c r="B56" s="1605" t="s">
        <v>2806</v>
      </c>
      <c r="C56" s="1588"/>
      <c r="D56" s="1588"/>
      <c r="E56" s="1589"/>
      <c r="F56" s="1589"/>
      <c r="G56" s="1659"/>
      <c r="H56" s="1656"/>
      <c r="I56" s="1656"/>
      <c r="J56" s="1656"/>
      <c r="K56" s="1656"/>
      <c r="L56" s="1656"/>
      <c r="M56" s="1656"/>
      <c r="N56" s="661"/>
      <c r="O56" s="1611">
        <v>54.0</v>
      </c>
      <c r="P56" s="1657" t="s">
        <v>3796</v>
      </c>
      <c r="Q56" s="1652" t="s">
        <v>3797</v>
      </c>
      <c r="R56" s="1652" t="s">
        <v>810</v>
      </c>
      <c r="S56" s="1652" t="s">
        <v>3798</v>
      </c>
      <c r="T56" s="661"/>
      <c r="U56" s="661"/>
      <c r="V56" s="661"/>
      <c r="W56" s="661"/>
      <c r="X56" s="1638" t="s">
        <v>3799</v>
      </c>
      <c r="Y56" s="1617"/>
      <c r="Z56" s="1614" t="s">
        <v>533</v>
      </c>
      <c r="AA56" s="1614" t="s">
        <v>3800</v>
      </c>
      <c r="AB56" s="1618" t="s">
        <v>2932</v>
      </c>
      <c r="AC56" s="1618" t="s">
        <v>3801</v>
      </c>
      <c r="AD56" s="661"/>
      <c r="AE56" s="661"/>
      <c r="AF56" s="661"/>
      <c r="AG56" s="661"/>
      <c r="AH56" s="661"/>
      <c r="AI56" s="661"/>
      <c r="AJ56" s="661"/>
      <c r="AK56" s="661"/>
      <c r="AL56" s="661"/>
      <c r="AM56" s="661"/>
    </row>
    <row r="57">
      <c r="A57" s="1604">
        <v>46077.0</v>
      </c>
      <c r="B57" s="1605" t="s">
        <v>2806</v>
      </c>
      <c r="C57" s="1588"/>
      <c r="D57" s="1588"/>
      <c r="E57" s="1589"/>
      <c r="F57" s="1589"/>
      <c r="G57" s="1589"/>
      <c r="H57" s="1656" t="s">
        <v>1211</v>
      </c>
      <c r="I57" s="1656" t="s">
        <v>3802</v>
      </c>
      <c r="J57" s="1656" t="s">
        <v>3567</v>
      </c>
      <c r="K57" s="1656" t="s">
        <v>1911</v>
      </c>
      <c r="L57" s="1656">
        <v>642.0</v>
      </c>
      <c r="M57" s="1656" t="s">
        <v>3776</v>
      </c>
      <c r="N57" s="661"/>
      <c r="O57" s="1611">
        <v>55.0</v>
      </c>
      <c r="P57" s="1657" t="s">
        <v>3803</v>
      </c>
      <c r="Q57" s="1652" t="s">
        <v>3804</v>
      </c>
      <c r="R57" s="1652" t="s">
        <v>3722</v>
      </c>
      <c r="S57" s="1652" t="s">
        <v>3805</v>
      </c>
      <c r="T57" s="661"/>
      <c r="U57" s="661"/>
      <c r="V57" s="661"/>
      <c r="W57" s="1615" t="s">
        <v>3806</v>
      </c>
      <c r="X57" s="1616" t="s">
        <v>771</v>
      </c>
      <c r="Y57" s="1617"/>
      <c r="Z57" s="1614" t="s">
        <v>638</v>
      </c>
      <c r="AA57" s="1614" t="s">
        <v>3807</v>
      </c>
      <c r="AB57" s="1660" t="s">
        <v>2069</v>
      </c>
      <c r="AC57" s="1660" t="s">
        <v>2922</v>
      </c>
      <c r="AD57" s="661"/>
      <c r="AE57" s="661"/>
      <c r="AF57" s="661"/>
      <c r="AG57" s="661"/>
      <c r="AH57" s="661"/>
      <c r="AI57" s="661"/>
      <c r="AJ57" s="661"/>
      <c r="AK57" s="661"/>
      <c r="AL57" s="661"/>
      <c r="AM57" s="661"/>
    </row>
    <row r="58">
      <c r="A58" s="1604">
        <v>46078.0</v>
      </c>
      <c r="B58" s="1605" t="s">
        <v>2806</v>
      </c>
      <c r="C58" s="1588"/>
      <c r="D58" s="1588"/>
      <c r="E58" s="1589"/>
      <c r="F58" s="1589"/>
      <c r="G58" s="1589"/>
      <c r="H58" s="1656" t="s">
        <v>2850</v>
      </c>
      <c r="I58" s="1656" t="s">
        <v>3808</v>
      </c>
      <c r="J58" s="1656" t="s">
        <v>3567</v>
      </c>
      <c r="K58" s="1656" t="s">
        <v>1911</v>
      </c>
      <c r="L58" s="1656">
        <v>642.0</v>
      </c>
      <c r="M58" s="1656" t="s">
        <v>3776</v>
      </c>
      <c r="N58" s="661"/>
      <c r="O58" s="1611">
        <v>56.0</v>
      </c>
      <c r="P58" s="1657" t="s">
        <v>3809</v>
      </c>
      <c r="Q58" s="1652" t="s">
        <v>3810</v>
      </c>
      <c r="R58" s="1652" t="s">
        <v>705</v>
      </c>
      <c r="S58" s="1658" t="s">
        <v>3596</v>
      </c>
      <c r="T58" s="661"/>
      <c r="U58" s="661"/>
      <c r="V58" s="661"/>
      <c r="W58" s="1615" t="s">
        <v>3806</v>
      </c>
      <c r="X58" s="1616" t="s">
        <v>778</v>
      </c>
      <c r="Y58" s="1617"/>
      <c r="Z58" s="1614" t="s">
        <v>638</v>
      </c>
      <c r="AA58" s="1614" t="s">
        <v>3807</v>
      </c>
      <c r="AB58" s="1660" t="s">
        <v>2069</v>
      </c>
      <c r="AC58" s="1660" t="s">
        <v>2922</v>
      </c>
      <c r="AD58" s="661"/>
      <c r="AE58" s="661"/>
      <c r="AF58" s="661"/>
      <c r="AG58" s="661"/>
      <c r="AH58" s="661"/>
      <c r="AI58" s="661"/>
      <c r="AJ58" s="661"/>
      <c r="AK58" s="661"/>
      <c r="AL58" s="661"/>
      <c r="AM58" s="661"/>
    </row>
    <row r="59">
      <c r="A59" s="1604">
        <v>46079.0</v>
      </c>
      <c r="B59" s="1605" t="s">
        <v>2806</v>
      </c>
      <c r="C59" s="1588"/>
      <c r="D59" s="1588"/>
      <c r="E59" s="1589"/>
      <c r="F59" s="1589"/>
      <c r="G59" s="1589"/>
      <c r="H59" s="1656" t="s">
        <v>382</v>
      </c>
      <c r="I59" s="1656" t="s">
        <v>3811</v>
      </c>
      <c r="J59" s="1656" t="s">
        <v>3812</v>
      </c>
      <c r="K59" s="1656" t="s">
        <v>3813</v>
      </c>
      <c r="L59" s="1656">
        <v>642.0</v>
      </c>
      <c r="M59" s="1656" t="s">
        <v>3776</v>
      </c>
      <c r="N59" s="661"/>
      <c r="O59" s="1611">
        <v>57.0</v>
      </c>
      <c r="P59" s="1657" t="s">
        <v>3814</v>
      </c>
      <c r="Q59" s="1652" t="s">
        <v>3815</v>
      </c>
      <c r="R59" s="1655" t="s">
        <v>177</v>
      </c>
      <c r="S59" s="1658" t="s">
        <v>3596</v>
      </c>
      <c r="T59" s="661"/>
      <c r="U59" s="661"/>
      <c r="V59" s="661"/>
      <c r="W59" s="1615" t="s">
        <v>3806</v>
      </c>
      <c r="X59" s="1616" t="s">
        <v>784</v>
      </c>
      <c r="Y59" s="1617"/>
      <c r="Z59" s="1614" t="s">
        <v>638</v>
      </c>
      <c r="AA59" s="1614" t="s">
        <v>3807</v>
      </c>
      <c r="AB59" s="1660" t="s">
        <v>2069</v>
      </c>
      <c r="AC59" s="1660" t="s">
        <v>2922</v>
      </c>
      <c r="AD59" s="661"/>
      <c r="AE59" s="661"/>
      <c r="AF59" s="661"/>
      <c r="AG59" s="661"/>
      <c r="AH59" s="661"/>
      <c r="AI59" s="661"/>
      <c r="AJ59" s="661"/>
      <c r="AK59" s="661"/>
      <c r="AL59" s="661"/>
      <c r="AM59" s="661"/>
    </row>
    <row r="60">
      <c r="A60" s="1604">
        <v>46080.0</v>
      </c>
      <c r="B60" s="1605" t="s">
        <v>2806</v>
      </c>
      <c r="C60" s="1588"/>
      <c r="D60" s="1588"/>
      <c r="E60" s="1589"/>
      <c r="F60" s="1589"/>
      <c r="G60" s="1589"/>
      <c r="H60" s="1656" t="s">
        <v>1153</v>
      </c>
      <c r="I60" s="1656" t="s">
        <v>3816</v>
      </c>
      <c r="J60" s="1656" t="s">
        <v>3812</v>
      </c>
      <c r="K60" s="1656" t="s">
        <v>3813</v>
      </c>
      <c r="L60" s="1656">
        <v>642.0</v>
      </c>
      <c r="M60" s="1656" t="s">
        <v>3776</v>
      </c>
      <c r="N60" s="661"/>
      <c r="O60" s="1611">
        <v>58.0</v>
      </c>
      <c r="P60" s="1657" t="s">
        <v>3817</v>
      </c>
      <c r="Q60" s="1652" t="s">
        <v>3818</v>
      </c>
      <c r="R60" s="1652" t="s">
        <v>210</v>
      </c>
      <c r="S60" s="1658" t="s">
        <v>3596</v>
      </c>
      <c r="T60" s="661"/>
      <c r="U60" s="661"/>
      <c r="V60" s="661"/>
      <c r="W60" s="1615" t="s">
        <v>3806</v>
      </c>
      <c r="X60" s="1616" t="s">
        <v>894</v>
      </c>
      <c r="Y60" s="1617"/>
      <c r="Z60" s="1614" t="s">
        <v>638</v>
      </c>
      <c r="AA60" s="1614" t="s">
        <v>3807</v>
      </c>
      <c r="AB60" s="1660" t="s">
        <v>2069</v>
      </c>
      <c r="AC60" s="1660" t="s">
        <v>2922</v>
      </c>
      <c r="AD60" s="661"/>
      <c r="AE60" s="661"/>
      <c r="AF60" s="661"/>
      <c r="AG60" s="661"/>
      <c r="AH60" s="661"/>
      <c r="AI60" s="661"/>
      <c r="AJ60" s="661"/>
      <c r="AK60" s="661"/>
      <c r="AL60" s="661"/>
      <c r="AM60" s="661"/>
    </row>
    <row r="61">
      <c r="A61" s="1604">
        <v>46081.0</v>
      </c>
      <c r="B61" s="1605" t="s">
        <v>2806</v>
      </c>
      <c r="C61" s="1588"/>
      <c r="D61" s="1588"/>
      <c r="E61" s="1589"/>
      <c r="F61" s="1589"/>
      <c r="G61" s="1589"/>
      <c r="H61" s="1656" t="s">
        <v>272</v>
      </c>
      <c r="I61" s="1656" t="s">
        <v>3819</v>
      </c>
      <c r="J61" s="1656" t="s">
        <v>3812</v>
      </c>
      <c r="K61" s="1656" t="s">
        <v>3813</v>
      </c>
      <c r="L61" s="1656">
        <v>642.0</v>
      </c>
      <c r="M61" s="1656" t="s">
        <v>3776</v>
      </c>
      <c r="N61" s="661"/>
      <c r="O61" s="1611">
        <v>59.0</v>
      </c>
      <c r="P61" s="1657" t="s">
        <v>3820</v>
      </c>
      <c r="Q61" s="1652" t="s">
        <v>3821</v>
      </c>
      <c r="R61" s="1652" t="s">
        <v>3722</v>
      </c>
      <c r="S61" s="1652" t="s">
        <v>3822</v>
      </c>
      <c r="T61" s="661"/>
      <c r="U61" s="661"/>
      <c r="V61" s="661"/>
      <c r="W61" s="1615" t="s">
        <v>3806</v>
      </c>
      <c r="X61" s="1616" t="s">
        <v>790</v>
      </c>
      <c r="Y61" s="1617"/>
      <c r="Z61" s="1614" t="s">
        <v>638</v>
      </c>
      <c r="AA61" s="1614" t="s">
        <v>3807</v>
      </c>
      <c r="AB61" s="1660" t="s">
        <v>2069</v>
      </c>
      <c r="AC61" s="1660" t="s">
        <v>2922</v>
      </c>
      <c r="AD61" s="661"/>
      <c r="AE61" s="661"/>
      <c r="AF61" s="661"/>
      <c r="AG61" s="661"/>
      <c r="AH61" s="661"/>
      <c r="AI61" s="661"/>
      <c r="AJ61" s="661"/>
      <c r="AK61" s="661"/>
      <c r="AL61" s="661"/>
      <c r="AM61" s="661"/>
    </row>
    <row r="62">
      <c r="A62" s="1604">
        <v>46082.0</v>
      </c>
      <c r="B62" s="1605" t="s">
        <v>2806</v>
      </c>
      <c r="C62" s="1588"/>
      <c r="D62" s="1588"/>
      <c r="E62" s="1589"/>
      <c r="F62" s="1589"/>
      <c r="G62" s="1589"/>
      <c r="H62" s="1656" t="s">
        <v>377</v>
      </c>
      <c r="I62" s="1656" t="s">
        <v>2869</v>
      </c>
      <c r="J62" s="1656" t="s">
        <v>3812</v>
      </c>
      <c r="K62" s="1656" t="s">
        <v>3813</v>
      </c>
      <c r="L62" s="1656">
        <v>642.0</v>
      </c>
      <c r="M62" s="1656" t="s">
        <v>3776</v>
      </c>
      <c r="N62" s="661"/>
      <c r="O62" s="1611">
        <v>60.0</v>
      </c>
      <c r="P62" s="1657" t="s">
        <v>3823</v>
      </c>
      <c r="Q62" s="1652" t="s">
        <v>3824</v>
      </c>
      <c r="R62" s="1652" t="s">
        <v>1266</v>
      </c>
      <c r="S62" s="1658" t="s">
        <v>3556</v>
      </c>
      <c r="T62" s="661"/>
      <c r="U62" s="661"/>
      <c r="V62" s="661"/>
      <c r="W62" s="1615" t="s">
        <v>3806</v>
      </c>
      <c r="X62" s="1616" t="s">
        <v>728</v>
      </c>
      <c r="Y62" s="1617"/>
      <c r="Z62" s="1614" t="s">
        <v>638</v>
      </c>
      <c r="AA62" s="1614" t="s">
        <v>3807</v>
      </c>
      <c r="AB62" s="1660" t="s">
        <v>2069</v>
      </c>
      <c r="AC62" s="1660" t="s">
        <v>2922</v>
      </c>
      <c r="AD62" s="661"/>
      <c r="AE62" s="661"/>
      <c r="AF62" s="661"/>
      <c r="AG62" s="661"/>
      <c r="AH62" s="661"/>
      <c r="AI62" s="661"/>
      <c r="AJ62" s="661"/>
      <c r="AK62" s="661"/>
      <c r="AL62" s="661"/>
      <c r="AM62" s="661"/>
    </row>
    <row r="63">
      <c r="A63" s="1604">
        <v>46083.0</v>
      </c>
      <c r="B63" s="1605" t="s">
        <v>2806</v>
      </c>
      <c r="C63" s="1588"/>
      <c r="D63" s="1588"/>
      <c r="E63" s="1589"/>
      <c r="F63" s="1589"/>
      <c r="G63" s="1589"/>
      <c r="H63" s="1656" t="s">
        <v>262</v>
      </c>
      <c r="I63" s="1656" t="s">
        <v>3825</v>
      </c>
      <c r="J63" s="1656" t="s">
        <v>3812</v>
      </c>
      <c r="K63" s="1656" t="s">
        <v>3813</v>
      </c>
      <c r="L63" s="1656">
        <v>642.0</v>
      </c>
      <c r="M63" s="1656" t="s">
        <v>3776</v>
      </c>
      <c r="N63" s="661"/>
      <c r="O63" s="1611">
        <v>61.0</v>
      </c>
      <c r="P63" s="1657" t="s">
        <v>1133</v>
      </c>
      <c r="Q63" s="1661" t="s">
        <v>3826</v>
      </c>
      <c r="R63" s="1652" t="s">
        <v>183</v>
      </c>
      <c r="S63" s="1658" t="s">
        <v>3596</v>
      </c>
      <c r="T63" s="661"/>
      <c r="U63" s="661"/>
      <c r="V63" s="661"/>
      <c r="W63" s="1615" t="s">
        <v>3806</v>
      </c>
      <c r="X63" s="1616" t="s">
        <v>737</v>
      </c>
      <c r="Y63" s="1617"/>
      <c r="Z63" s="1614" t="s">
        <v>638</v>
      </c>
      <c r="AA63" s="1614" t="s">
        <v>3807</v>
      </c>
      <c r="AB63" s="1660" t="s">
        <v>2069</v>
      </c>
      <c r="AC63" s="1660" t="s">
        <v>2922</v>
      </c>
      <c r="AD63" s="661"/>
      <c r="AE63" s="661"/>
      <c r="AF63" s="661"/>
      <c r="AG63" s="661"/>
      <c r="AH63" s="661"/>
      <c r="AI63" s="661"/>
      <c r="AJ63" s="661"/>
      <c r="AK63" s="661"/>
      <c r="AL63" s="661"/>
      <c r="AM63" s="661"/>
    </row>
    <row r="64">
      <c r="A64" s="1604">
        <v>46084.0</v>
      </c>
      <c r="B64" s="1605" t="s">
        <v>2806</v>
      </c>
      <c r="C64" s="1588"/>
      <c r="D64" s="1588"/>
      <c r="E64" s="1589"/>
      <c r="F64" s="1589"/>
      <c r="G64" s="1589"/>
      <c r="H64" s="1656" t="s">
        <v>206</v>
      </c>
      <c r="I64" s="1656" t="s">
        <v>3827</v>
      </c>
      <c r="J64" s="1656" t="s">
        <v>3812</v>
      </c>
      <c r="K64" s="1656" t="s">
        <v>3813</v>
      </c>
      <c r="L64" s="1656">
        <v>642.0</v>
      </c>
      <c r="M64" s="1656" t="s">
        <v>3776</v>
      </c>
      <c r="N64" s="661"/>
      <c r="O64" s="1662"/>
      <c r="P64" s="1652" t="s">
        <v>335</v>
      </c>
      <c r="Q64" s="1652" t="s">
        <v>1820</v>
      </c>
      <c r="R64" s="1652" t="s">
        <v>664</v>
      </c>
      <c r="S64" s="1663"/>
      <c r="T64" s="661"/>
      <c r="U64" s="661"/>
      <c r="V64" s="661"/>
      <c r="W64" s="1615" t="s">
        <v>3806</v>
      </c>
      <c r="X64" s="1616" t="s">
        <v>744</v>
      </c>
      <c r="Y64" s="1617"/>
      <c r="Z64" s="1614" t="s">
        <v>638</v>
      </c>
      <c r="AA64" s="1614" t="s">
        <v>3807</v>
      </c>
      <c r="AB64" s="1660" t="s">
        <v>2069</v>
      </c>
      <c r="AC64" s="1660" t="s">
        <v>2922</v>
      </c>
      <c r="AD64" s="661"/>
      <c r="AE64" s="661"/>
      <c r="AF64" s="661"/>
      <c r="AG64" s="661"/>
      <c r="AH64" s="661"/>
      <c r="AI64" s="661"/>
      <c r="AJ64" s="661"/>
      <c r="AK64" s="661"/>
      <c r="AL64" s="661"/>
      <c r="AM64" s="661"/>
    </row>
    <row r="65">
      <c r="A65" s="1604">
        <v>46085.0</v>
      </c>
      <c r="B65" s="1605" t="s">
        <v>2806</v>
      </c>
      <c r="C65" s="1588"/>
      <c r="D65" s="1588"/>
      <c r="E65" s="1589"/>
      <c r="F65" s="1589"/>
      <c r="G65" s="1589"/>
      <c r="H65" s="1656" t="s">
        <v>307</v>
      </c>
      <c r="I65" s="1656" t="s">
        <v>2238</v>
      </c>
      <c r="J65" s="1656" t="s">
        <v>3812</v>
      </c>
      <c r="K65" s="1656" t="s">
        <v>3813</v>
      </c>
      <c r="L65" s="1656">
        <v>642.0</v>
      </c>
      <c r="M65" s="1656" t="s">
        <v>3776</v>
      </c>
      <c r="N65" s="661"/>
      <c r="O65" s="1662"/>
      <c r="P65" s="1663"/>
      <c r="Q65" s="1663"/>
      <c r="R65" s="1652"/>
      <c r="S65" s="1663"/>
      <c r="T65" s="661"/>
      <c r="U65" s="661"/>
      <c r="V65" s="661"/>
      <c r="W65" s="1615" t="s">
        <v>3806</v>
      </c>
      <c r="X65" s="1616" t="s">
        <v>844</v>
      </c>
      <c r="Y65" s="1617"/>
      <c r="Z65" s="1614" t="s">
        <v>638</v>
      </c>
      <c r="AA65" s="1614" t="s">
        <v>3807</v>
      </c>
      <c r="AB65" s="1660" t="s">
        <v>2069</v>
      </c>
      <c r="AC65" s="1660" t="s">
        <v>2922</v>
      </c>
      <c r="AD65" s="661"/>
      <c r="AE65" s="661"/>
      <c r="AF65" s="661"/>
      <c r="AG65" s="661"/>
      <c r="AH65" s="661"/>
      <c r="AI65" s="661"/>
      <c r="AJ65" s="661"/>
      <c r="AK65" s="661"/>
      <c r="AL65" s="661"/>
      <c r="AM65" s="661"/>
    </row>
    <row r="66">
      <c r="A66" s="1604">
        <v>46086.0</v>
      </c>
      <c r="B66" s="1605" t="s">
        <v>2806</v>
      </c>
      <c r="C66" s="1588"/>
      <c r="D66" s="1588"/>
      <c r="E66" s="1589"/>
      <c r="F66" s="1589"/>
      <c r="G66" s="1589"/>
      <c r="H66" s="1656" t="s">
        <v>2215</v>
      </c>
      <c r="I66" s="1656" t="s">
        <v>3828</v>
      </c>
      <c r="J66" s="1656" t="s">
        <v>3812</v>
      </c>
      <c r="K66" s="1656" t="s">
        <v>3813</v>
      </c>
      <c r="L66" s="1656">
        <v>642.0</v>
      </c>
      <c r="M66" s="1656" t="s">
        <v>3776</v>
      </c>
      <c r="N66" s="661"/>
      <c r="O66" s="1662"/>
      <c r="P66" s="1663"/>
      <c r="Q66" s="1663"/>
      <c r="R66" s="1663"/>
      <c r="S66" s="1663"/>
      <c r="T66" s="661"/>
      <c r="U66" s="661"/>
      <c r="V66" s="661"/>
      <c r="W66" s="1615" t="s">
        <v>3806</v>
      </c>
      <c r="X66" s="1616" t="s">
        <v>926</v>
      </c>
      <c r="Y66" s="1617"/>
      <c r="Z66" s="1614" t="s">
        <v>638</v>
      </c>
      <c r="AA66" s="1614" t="s">
        <v>3807</v>
      </c>
      <c r="AB66" s="1660" t="s">
        <v>2069</v>
      </c>
      <c r="AC66" s="1660" t="s">
        <v>2922</v>
      </c>
      <c r="AD66" s="661"/>
      <c r="AE66" s="661"/>
      <c r="AF66" s="661"/>
      <c r="AG66" s="661"/>
      <c r="AH66" s="661"/>
      <c r="AI66" s="661"/>
      <c r="AJ66" s="661"/>
      <c r="AK66" s="661"/>
      <c r="AL66" s="661"/>
      <c r="AM66" s="661"/>
    </row>
    <row r="67">
      <c r="A67" s="1604">
        <v>46087.0</v>
      </c>
      <c r="B67" s="1605" t="s">
        <v>2806</v>
      </c>
      <c r="C67" s="1588"/>
      <c r="D67" s="1588"/>
      <c r="E67" s="1589"/>
      <c r="F67" s="1589"/>
      <c r="G67" s="1589"/>
      <c r="H67" s="1656" t="s">
        <v>252</v>
      </c>
      <c r="I67" s="1656" t="s">
        <v>3829</v>
      </c>
      <c r="J67" s="1656" t="s">
        <v>3812</v>
      </c>
      <c r="K67" s="1656" t="s">
        <v>3813</v>
      </c>
      <c r="L67" s="1656">
        <v>642.0</v>
      </c>
      <c r="M67" s="1656" t="s">
        <v>3776</v>
      </c>
      <c r="N67" s="661"/>
      <c r="O67" s="1662"/>
      <c r="P67" s="1663"/>
      <c r="Q67" s="1663"/>
      <c r="R67" s="1663"/>
      <c r="S67" s="1663"/>
      <c r="T67" s="661"/>
      <c r="U67" s="661"/>
      <c r="V67" s="661"/>
      <c r="W67" s="1615" t="s">
        <v>3806</v>
      </c>
      <c r="X67" s="1616" t="s">
        <v>933</v>
      </c>
      <c r="Y67" s="1617"/>
      <c r="Z67" s="1614" t="s">
        <v>638</v>
      </c>
      <c r="AA67" s="1614" t="s">
        <v>3807</v>
      </c>
      <c r="AB67" s="1660" t="s">
        <v>2069</v>
      </c>
      <c r="AC67" s="1660" t="s">
        <v>2922</v>
      </c>
      <c r="AD67" s="661"/>
      <c r="AE67" s="661"/>
      <c r="AF67" s="661"/>
      <c r="AG67" s="661"/>
      <c r="AH67" s="661"/>
      <c r="AI67" s="661"/>
      <c r="AJ67" s="661"/>
      <c r="AK67" s="661"/>
      <c r="AL67" s="661"/>
      <c r="AM67" s="661"/>
    </row>
    <row r="68">
      <c r="A68" s="1604">
        <v>46088.0</v>
      </c>
      <c r="B68" s="1605" t="s">
        <v>2806</v>
      </c>
      <c r="C68" s="1588"/>
      <c r="D68" s="1588"/>
      <c r="E68" s="1589"/>
      <c r="F68" s="1589"/>
      <c r="G68" s="1589"/>
      <c r="H68" s="1664" t="s">
        <v>573</v>
      </c>
      <c r="I68" s="1656" t="s">
        <v>3830</v>
      </c>
      <c r="J68" s="1656" t="s">
        <v>3812</v>
      </c>
      <c r="K68" s="1656" t="s">
        <v>3813</v>
      </c>
      <c r="L68" s="1656">
        <v>642.0</v>
      </c>
      <c r="M68" s="1656" t="s">
        <v>3776</v>
      </c>
      <c r="N68" s="661"/>
      <c r="O68" s="1662"/>
      <c r="P68" s="1663"/>
      <c r="Q68" s="1663"/>
      <c r="R68" s="1663"/>
      <c r="S68" s="1663"/>
      <c r="T68" s="661"/>
      <c r="U68" s="661"/>
      <c r="V68" s="661"/>
      <c r="W68" s="1615" t="s">
        <v>3806</v>
      </c>
      <c r="X68" s="1616" t="s">
        <v>940</v>
      </c>
      <c r="Y68" s="1617"/>
      <c r="Z68" s="1614" t="s">
        <v>638</v>
      </c>
      <c r="AA68" s="1614" t="s">
        <v>3807</v>
      </c>
      <c r="AB68" s="1660" t="s">
        <v>2069</v>
      </c>
      <c r="AC68" s="1660" t="s">
        <v>2922</v>
      </c>
      <c r="AD68" s="661"/>
      <c r="AE68" s="661"/>
      <c r="AF68" s="661"/>
      <c r="AG68" s="661"/>
      <c r="AH68" s="661"/>
      <c r="AI68" s="661"/>
      <c r="AJ68" s="661"/>
      <c r="AK68" s="661"/>
      <c r="AL68" s="661"/>
      <c r="AM68" s="661"/>
    </row>
    <row r="69">
      <c r="A69" s="1604">
        <v>46089.0</v>
      </c>
      <c r="B69" s="1605" t="s">
        <v>2806</v>
      </c>
      <c r="C69" s="1588"/>
      <c r="D69" s="1588"/>
      <c r="E69" s="1589"/>
      <c r="F69" s="1589"/>
      <c r="G69" s="1589"/>
      <c r="H69" s="1656" t="s">
        <v>226</v>
      </c>
      <c r="I69" s="1656" t="s">
        <v>3831</v>
      </c>
      <c r="J69" s="1656" t="s">
        <v>3812</v>
      </c>
      <c r="K69" s="1656" t="s">
        <v>3813</v>
      </c>
      <c r="L69" s="1656">
        <v>642.0</v>
      </c>
      <c r="M69" s="1656" t="s">
        <v>3776</v>
      </c>
      <c r="N69" s="661"/>
      <c r="O69" s="1662"/>
      <c r="P69" s="1663"/>
      <c r="Q69" s="1663"/>
      <c r="R69" s="1663"/>
      <c r="S69" s="1663"/>
      <c r="T69" s="661"/>
      <c r="U69" s="661"/>
      <c r="V69" s="661"/>
      <c r="W69" s="1615" t="s">
        <v>3806</v>
      </c>
      <c r="X69" s="1616" t="s">
        <v>850</v>
      </c>
      <c r="Y69" s="1617"/>
      <c r="Z69" s="1614" t="s">
        <v>638</v>
      </c>
      <c r="AA69" s="1614" t="s">
        <v>3807</v>
      </c>
      <c r="AB69" s="1660" t="s">
        <v>2069</v>
      </c>
      <c r="AC69" s="1660" t="s">
        <v>2922</v>
      </c>
      <c r="AD69" s="661"/>
      <c r="AE69" s="661"/>
      <c r="AF69" s="661"/>
      <c r="AG69" s="661"/>
      <c r="AH69" s="661"/>
      <c r="AI69" s="661"/>
      <c r="AJ69" s="661"/>
      <c r="AK69" s="661"/>
      <c r="AL69" s="661"/>
      <c r="AM69" s="661"/>
    </row>
    <row r="70">
      <c r="A70" s="1604">
        <v>46090.0</v>
      </c>
      <c r="B70" s="1605" t="s">
        <v>2806</v>
      </c>
      <c r="C70" s="1588"/>
      <c r="D70" s="1588"/>
      <c r="E70" s="1589"/>
      <c r="F70" s="1589"/>
      <c r="G70" s="1589"/>
      <c r="H70" s="1656" t="s">
        <v>219</v>
      </c>
      <c r="I70" s="1656" t="s">
        <v>3832</v>
      </c>
      <c r="J70" s="1656" t="s">
        <v>3812</v>
      </c>
      <c r="K70" s="1656" t="s">
        <v>3813</v>
      </c>
      <c r="L70" s="1656">
        <v>642.0</v>
      </c>
      <c r="M70" s="1656" t="s">
        <v>3776</v>
      </c>
      <c r="N70" s="661"/>
      <c r="O70" s="1663"/>
      <c r="P70" s="1663"/>
      <c r="Q70" s="1663"/>
      <c r="R70" s="1663"/>
      <c r="S70" s="1663"/>
      <c r="T70" s="661"/>
      <c r="U70" s="661"/>
      <c r="V70" s="661"/>
      <c r="W70" s="1615" t="s">
        <v>3806</v>
      </c>
      <c r="X70" s="1616" t="s">
        <v>857</v>
      </c>
      <c r="Y70" s="1617"/>
      <c r="Z70" s="1614" t="s">
        <v>638</v>
      </c>
      <c r="AA70" s="1614" t="s">
        <v>3807</v>
      </c>
      <c r="AB70" s="1660" t="s">
        <v>2069</v>
      </c>
      <c r="AC70" s="1660" t="s">
        <v>2922</v>
      </c>
      <c r="AD70" s="661"/>
      <c r="AE70" s="661"/>
      <c r="AF70" s="661"/>
      <c r="AG70" s="661"/>
      <c r="AH70" s="661"/>
      <c r="AI70" s="661"/>
      <c r="AJ70" s="661"/>
      <c r="AK70" s="661"/>
      <c r="AL70" s="661"/>
      <c r="AM70" s="661"/>
    </row>
    <row r="71">
      <c r="A71" s="1604">
        <v>46091.0</v>
      </c>
      <c r="B71" s="1605" t="s">
        <v>2806</v>
      </c>
      <c r="C71" s="1588"/>
      <c r="D71" s="1588"/>
      <c r="E71" s="1589"/>
      <c r="F71" s="1589"/>
      <c r="G71" s="1589"/>
      <c r="H71" s="1656" t="s">
        <v>222</v>
      </c>
      <c r="I71" s="1656" t="s">
        <v>3833</v>
      </c>
      <c r="J71" s="1656" t="s">
        <v>3812</v>
      </c>
      <c r="K71" s="1656" t="s">
        <v>3813</v>
      </c>
      <c r="L71" s="1656">
        <v>642.0</v>
      </c>
      <c r="M71" s="1656" t="s">
        <v>3776</v>
      </c>
      <c r="N71" s="661"/>
      <c r="O71" s="661"/>
      <c r="P71" s="661"/>
      <c r="Q71" s="661"/>
      <c r="R71" s="661"/>
      <c r="S71" s="661"/>
      <c r="T71" s="661"/>
      <c r="U71" s="661"/>
      <c r="V71" s="661"/>
      <c r="W71" s="1615" t="s">
        <v>3806</v>
      </c>
      <c r="X71" s="1616" t="s">
        <v>750</v>
      </c>
      <c r="Y71" s="1617"/>
      <c r="Z71" s="1614" t="s">
        <v>638</v>
      </c>
      <c r="AA71" s="1614" t="s">
        <v>3807</v>
      </c>
      <c r="AB71" s="1660" t="s">
        <v>2069</v>
      </c>
      <c r="AC71" s="1660" t="s">
        <v>2922</v>
      </c>
      <c r="AD71" s="661"/>
      <c r="AE71" s="661"/>
      <c r="AF71" s="661"/>
      <c r="AG71" s="661"/>
      <c r="AH71" s="661"/>
      <c r="AI71" s="661"/>
      <c r="AJ71" s="661"/>
      <c r="AK71" s="661"/>
      <c r="AL71" s="661"/>
      <c r="AM71" s="661"/>
    </row>
    <row r="72">
      <c r="A72" s="1604">
        <v>46092.0</v>
      </c>
      <c r="B72" s="1605" t="s">
        <v>2806</v>
      </c>
      <c r="C72" s="1588"/>
      <c r="D72" s="1588"/>
      <c r="E72" s="1589"/>
      <c r="F72" s="1589"/>
      <c r="G72" s="1589"/>
      <c r="H72" s="1656" t="s">
        <v>410</v>
      </c>
      <c r="I72" s="1656" t="s">
        <v>3834</v>
      </c>
      <c r="J72" s="1656" t="s">
        <v>3812</v>
      </c>
      <c r="K72" s="1656" t="s">
        <v>3813</v>
      </c>
      <c r="L72" s="1656">
        <v>642.0</v>
      </c>
      <c r="M72" s="1656" t="s">
        <v>3776</v>
      </c>
      <c r="N72" s="661"/>
      <c r="O72" s="661"/>
      <c r="P72" s="661"/>
      <c r="Q72" s="661"/>
      <c r="R72" s="661"/>
      <c r="S72" s="661"/>
      <c r="T72" s="661"/>
      <c r="U72" s="661"/>
      <c r="V72" s="661"/>
      <c r="W72" s="1615" t="s">
        <v>3806</v>
      </c>
      <c r="X72" s="1616" t="s">
        <v>992</v>
      </c>
      <c r="Y72" s="1617"/>
      <c r="Z72" s="1614" t="s">
        <v>638</v>
      </c>
      <c r="AA72" s="1614" t="s">
        <v>3807</v>
      </c>
      <c r="AB72" s="1660" t="s">
        <v>2069</v>
      </c>
      <c r="AC72" s="1660" t="s">
        <v>2922</v>
      </c>
      <c r="AD72" s="661"/>
      <c r="AE72" s="661"/>
      <c r="AF72" s="661"/>
      <c r="AG72" s="661"/>
      <c r="AH72" s="661"/>
      <c r="AI72" s="661"/>
      <c r="AJ72" s="661"/>
      <c r="AK72" s="661"/>
      <c r="AL72" s="661"/>
      <c r="AM72" s="661"/>
    </row>
    <row r="73">
      <c r="A73" s="1604">
        <v>46093.0</v>
      </c>
      <c r="B73" s="1605" t="s">
        <v>2806</v>
      </c>
      <c r="C73" s="1588"/>
      <c r="D73" s="1588"/>
      <c r="E73" s="1589"/>
      <c r="F73" s="1589"/>
      <c r="G73" s="1589"/>
      <c r="H73" s="1608" t="s">
        <v>2488</v>
      </c>
      <c r="I73" s="1608" t="s">
        <v>2079</v>
      </c>
      <c r="J73" s="1608" t="s">
        <v>3835</v>
      </c>
      <c r="K73" s="1609" t="s">
        <v>3836</v>
      </c>
      <c r="L73" s="1608">
        <v>711.0</v>
      </c>
      <c r="M73" s="1609" t="s">
        <v>2079</v>
      </c>
      <c r="N73" s="661"/>
      <c r="O73" s="661"/>
      <c r="P73" s="661"/>
      <c r="Q73" s="661"/>
      <c r="R73" s="661"/>
      <c r="S73" s="661"/>
      <c r="T73" s="661"/>
      <c r="U73" s="661"/>
      <c r="V73" s="661"/>
      <c r="W73" s="661"/>
      <c r="X73" s="1638" t="s">
        <v>3837</v>
      </c>
      <c r="Y73" s="1617"/>
      <c r="Z73" s="1614" t="s">
        <v>597</v>
      </c>
      <c r="AA73" s="1614" t="s">
        <v>3838</v>
      </c>
      <c r="AB73" s="1618" t="s">
        <v>2066</v>
      </c>
      <c r="AC73" s="1618" t="s">
        <v>2919</v>
      </c>
      <c r="AD73" s="661"/>
      <c r="AE73" s="661"/>
      <c r="AF73" s="661"/>
      <c r="AG73" s="661"/>
      <c r="AH73" s="661"/>
      <c r="AI73" s="661"/>
      <c r="AJ73" s="661"/>
      <c r="AK73" s="661"/>
      <c r="AL73" s="661"/>
      <c r="AM73" s="661"/>
    </row>
    <row r="74">
      <c r="A74" s="1604">
        <v>46094.0</v>
      </c>
      <c r="B74" s="1605" t="s">
        <v>2806</v>
      </c>
      <c r="C74" s="1588"/>
      <c r="D74" s="1588"/>
      <c r="E74" s="1589"/>
      <c r="F74" s="1589"/>
      <c r="G74" s="1589"/>
      <c r="H74" s="1608" t="s">
        <v>2881</v>
      </c>
      <c r="I74" s="1608" t="s">
        <v>3839</v>
      </c>
      <c r="J74" s="1608" t="s">
        <v>308</v>
      </c>
      <c r="K74" s="1609" t="s">
        <v>3840</v>
      </c>
      <c r="L74" s="1608">
        <v>811.0</v>
      </c>
      <c r="M74" s="1609" t="s">
        <v>2090</v>
      </c>
      <c r="N74" s="661"/>
      <c r="O74" s="661"/>
      <c r="P74" s="661"/>
      <c r="Q74" s="661"/>
      <c r="R74" s="661"/>
      <c r="S74" s="661"/>
      <c r="T74" s="661"/>
      <c r="U74" s="661"/>
      <c r="V74" s="661"/>
      <c r="W74" s="661"/>
      <c r="X74" s="1638" t="s">
        <v>3841</v>
      </c>
      <c r="Y74" s="1617"/>
      <c r="Z74" s="1614"/>
      <c r="AA74" s="1614"/>
      <c r="AB74" s="1618"/>
      <c r="AC74" s="1618"/>
      <c r="AD74" s="661"/>
      <c r="AE74" s="661"/>
      <c r="AF74" s="661"/>
      <c r="AG74" s="661"/>
      <c r="AH74" s="661"/>
      <c r="AI74" s="661"/>
      <c r="AJ74" s="661"/>
      <c r="AK74" s="661"/>
      <c r="AL74" s="661"/>
      <c r="AM74" s="661"/>
    </row>
    <row r="75">
      <c r="A75" s="1604">
        <v>46095.0</v>
      </c>
      <c r="B75" s="1605" t="s">
        <v>2806</v>
      </c>
      <c r="C75" s="1588"/>
      <c r="D75" s="1588"/>
      <c r="E75" s="1589"/>
      <c r="F75" s="1589"/>
      <c r="G75" s="1589"/>
      <c r="H75" s="1608" t="s">
        <v>3842</v>
      </c>
      <c r="I75" s="1608" t="s">
        <v>1953</v>
      </c>
      <c r="J75" s="1608" t="s">
        <v>308</v>
      </c>
      <c r="K75" s="1609" t="s">
        <v>3840</v>
      </c>
      <c r="L75" s="1608">
        <v>821.0</v>
      </c>
      <c r="M75" s="1609" t="s">
        <v>3843</v>
      </c>
      <c r="N75" s="661"/>
      <c r="O75" s="661"/>
      <c r="P75" s="661"/>
      <c r="Q75" s="661"/>
      <c r="R75" s="661"/>
      <c r="S75" s="661"/>
      <c r="T75" s="661"/>
      <c r="U75" s="661"/>
      <c r="V75" s="661"/>
      <c r="W75" s="1615" t="s">
        <v>3844</v>
      </c>
      <c r="X75" s="1638" t="s">
        <v>3845</v>
      </c>
      <c r="Y75" s="1617"/>
      <c r="Z75" s="1614" t="s">
        <v>875</v>
      </c>
      <c r="AA75" s="1614" t="s">
        <v>3846</v>
      </c>
      <c r="AB75" s="1618" t="s">
        <v>2069</v>
      </c>
      <c r="AC75" s="1618" t="s">
        <v>2922</v>
      </c>
      <c r="AD75" s="661"/>
      <c r="AE75" s="661"/>
      <c r="AF75" s="661"/>
      <c r="AG75" s="661"/>
      <c r="AH75" s="661"/>
      <c r="AI75" s="661"/>
      <c r="AJ75" s="661"/>
      <c r="AK75" s="661"/>
      <c r="AL75" s="661"/>
      <c r="AM75" s="661"/>
    </row>
    <row r="76">
      <c r="A76" s="1604">
        <v>46096.0</v>
      </c>
      <c r="B76" s="1605" t="s">
        <v>2806</v>
      </c>
      <c r="C76" s="1588"/>
      <c r="D76" s="1588"/>
      <c r="E76" s="1589"/>
      <c r="F76" s="1589"/>
      <c r="G76" s="1589"/>
      <c r="H76" s="1665"/>
      <c r="I76" s="1666"/>
      <c r="J76" s="1666"/>
      <c r="K76" s="1666"/>
      <c r="L76" s="1666"/>
      <c r="M76" s="1666"/>
      <c r="N76" s="661"/>
      <c r="O76" s="661"/>
      <c r="P76" s="661"/>
      <c r="Q76" s="661"/>
      <c r="R76" s="661"/>
      <c r="S76" s="661"/>
      <c r="T76" s="661"/>
      <c r="U76" s="661"/>
      <c r="V76" s="661"/>
      <c r="W76" s="1615" t="s">
        <v>3847</v>
      </c>
      <c r="X76" s="1616" t="s">
        <v>1002</v>
      </c>
      <c r="Y76" s="1617"/>
      <c r="Z76" s="1614" t="s">
        <v>636</v>
      </c>
      <c r="AA76" s="1614" t="s">
        <v>3848</v>
      </c>
      <c r="AB76" s="1660" t="s">
        <v>2069</v>
      </c>
      <c r="AC76" s="1660" t="s">
        <v>2922</v>
      </c>
      <c r="AD76" s="661"/>
      <c r="AE76" s="661"/>
      <c r="AF76" s="661"/>
      <c r="AG76" s="661"/>
      <c r="AH76" s="661"/>
      <c r="AI76" s="661"/>
      <c r="AJ76" s="661"/>
      <c r="AK76" s="661"/>
      <c r="AL76" s="661"/>
      <c r="AM76" s="661"/>
    </row>
    <row r="77">
      <c r="A77" s="1604">
        <v>46097.0</v>
      </c>
      <c r="B77" s="1605" t="s">
        <v>2806</v>
      </c>
      <c r="C77" s="1588"/>
      <c r="D77" s="1588"/>
      <c r="E77" s="1589"/>
      <c r="F77" s="1589"/>
      <c r="G77" s="1589"/>
      <c r="H77" s="1665"/>
      <c r="I77" s="1666"/>
      <c r="J77" s="1666"/>
      <c r="K77" s="1666"/>
      <c r="L77" s="1666"/>
      <c r="M77" s="1666"/>
      <c r="N77" s="661"/>
      <c r="O77" s="661"/>
      <c r="P77" s="661"/>
      <c r="Q77" s="661"/>
      <c r="R77" s="661"/>
      <c r="S77" s="661"/>
      <c r="T77" s="661"/>
      <c r="U77" s="661"/>
      <c r="V77" s="661"/>
      <c r="W77" s="1615" t="s">
        <v>3847</v>
      </c>
      <c r="X77" s="1616" t="s">
        <v>949</v>
      </c>
      <c r="Y77" s="1617"/>
      <c r="Z77" s="1614" t="s">
        <v>636</v>
      </c>
      <c r="AA77" s="1614" t="s">
        <v>3848</v>
      </c>
      <c r="AB77" s="1660" t="s">
        <v>2069</v>
      </c>
      <c r="AC77" s="1660" t="s">
        <v>2922</v>
      </c>
      <c r="AD77" s="661"/>
      <c r="AE77" s="661"/>
      <c r="AF77" s="661"/>
      <c r="AG77" s="661"/>
      <c r="AH77" s="661"/>
      <c r="AI77" s="661"/>
      <c r="AJ77" s="661"/>
      <c r="AK77" s="661"/>
      <c r="AL77" s="661"/>
      <c r="AM77" s="661"/>
    </row>
    <row r="78">
      <c r="A78" s="1604">
        <v>46098.0</v>
      </c>
      <c r="B78" s="1605" t="s">
        <v>2806</v>
      </c>
      <c r="C78" s="1588"/>
      <c r="D78" s="1588"/>
      <c r="E78" s="1589"/>
      <c r="F78" s="1589"/>
      <c r="G78" s="1589"/>
      <c r="H78" s="661"/>
      <c r="I78" s="661"/>
      <c r="J78" s="661"/>
      <c r="K78" s="661"/>
      <c r="L78" s="661"/>
      <c r="M78" s="661"/>
      <c r="N78" s="661"/>
      <c r="O78" s="661"/>
      <c r="P78" s="661"/>
      <c r="Q78" s="661"/>
      <c r="R78" s="661"/>
      <c r="S78" s="661"/>
      <c r="T78" s="661"/>
      <c r="U78" s="661"/>
      <c r="V78" s="661"/>
      <c r="W78" s="1615" t="s">
        <v>3847</v>
      </c>
      <c r="X78" s="1616" t="s">
        <v>913</v>
      </c>
      <c r="Y78" s="1617"/>
      <c r="Z78" s="1614" t="s">
        <v>636</v>
      </c>
      <c r="AA78" s="1614" t="s">
        <v>3848</v>
      </c>
      <c r="AB78" s="1660" t="s">
        <v>2069</v>
      </c>
      <c r="AC78" s="1660" t="s">
        <v>2922</v>
      </c>
      <c r="AD78" s="661"/>
      <c r="AE78" s="661"/>
      <c r="AF78" s="661"/>
      <c r="AG78" s="661"/>
      <c r="AH78" s="661"/>
      <c r="AI78" s="661"/>
      <c r="AJ78" s="661"/>
      <c r="AK78" s="661"/>
      <c r="AL78" s="661"/>
      <c r="AM78" s="661"/>
    </row>
    <row r="79">
      <c r="A79" s="1604">
        <v>46099.0</v>
      </c>
      <c r="B79" s="1605" t="s">
        <v>2806</v>
      </c>
      <c r="C79" s="1588"/>
      <c r="D79" s="1588"/>
      <c r="E79" s="1589"/>
      <c r="F79" s="1589"/>
      <c r="G79" s="1589"/>
      <c r="H79" s="661"/>
      <c r="I79" s="661"/>
      <c r="J79" s="661"/>
      <c r="K79" s="661"/>
      <c r="L79" s="661"/>
      <c r="M79" s="661"/>
      <c r="N79" s="661"/>
      <c r="O79" s="661"/>
      <c r="P79" s="661"/>
      <c r="Q79" s="661"/>
      <c r="R79" s="661"/>
      <c r="S79" s="661"/>
      <c r="T79" s="661"/>
      <c r="U79" s="661"/>
      <c r="V79" s="661"/>
      <c r="W79" s="661"/>
      <c r="X79" s="1638"/>
      <c r="Y79" s="1617"/>
      <c r="Z79" s="1614"/>
      <c r="AA79" s="1614"/>
      <c r="AB79" s="1660"/>
      <c r="AC79" s="1660"/>
      <c r="AD79" s="661"/>
      <c r="AE79" s="661"/>
      <c r="AF79" s="661"/>
      <c r="AG79" s="661"/>
      <c r="AH79" s="661"/>
      <c r="AI79" s="661"/>
      <c r="AJ79" s="661"/>
      <c r="AK79" s="661"/>
      <c r="AL79" s="661"/>
      <c r="AM79" s="661"/>
    </row>
    <row r="80">
      <c r="A80" s="1604">
        <v>46100.0</v>
      </c>
      <c r="B80" s="1605" t="s">
        <v>2806</v>
      </c>
      <c r="C80" s="1588"/>
      <c r="D80" s="1588"/>
      <c r="E80" s="1589"/>
      <c r="F80" s="1589"/>
      <c r="G80" s="1589"/>
      <c r="H80" s="661"/>
      <c r="I80" s="661"/>
      <c r="J80" s="661"/>
      <c r="K80" s="661"/>
      <c r="L80" s="661"/>
      <c r="M80" s="661"/>
      <c r="N80" s="661"/>
      <c r="O80" s="661"/>
      <c r="P80" s="661"/>
      <c r="Q80" s="661"/>
      <c r="R80" s="661"/>
      <c r="S80" s="661"/>
      <c r="T80" s="661"/>
      <c r="U80" s="661"/>
      <c r="V80" s="661"/>
      <c r="W80" s="661"/>
      <c r="X80" s="1638"/>
      <c r="Y80" s="1617"/>
      <c r="Z80" s="1614"/>
      <c r="AA80" s="1614"/>
      <c r="AB80" s="1660"/>
      <c r="AC80" s="1660"/>
      <c r="AD80" s="661"/>
      <c r="AE80" s="661"/>
      <c r="AF80" s="661"/>
      <c r="AG80" s="661"/>
      <c r="AH80" s="661"/>
      <c r="AI80" s="661"/>
      <c r="AJ80" s="661"/>
      <c r="AK80" s="661"/>
      <c r="AL80" s="661"/>
      <c r="AM80" s="661"/>
    </row>
    <row r="81">
      <c r="A81" s="1604">
        <v>46101.0</v>
      </c>
      <c r="B81" s="1605" t="s">
        <v>2806</v>
      </c>
      <c r="C81" s="1588"/>
      <c r="D81" s="1588"/>
      <c r="E81" s="1589"/>
      <c r="F81" s="1589"/>
      <c r="G81" s="1589"/>
      <c r="H81" s="661"/>
      <c r="I81" s="661"/>
      <c r="J81" s="661"/>
      <c r="K81" s="661"/>
      <c r="L81" s="661"/>
      <c r="M81" s="661"/>
      <c r="N81" s="661"/>
      <c r="O81" s="661"/>
      <c r="P81" s="661"/>
      <c r="Q81" s="661"/>
      <c r="R81" s="661"/>
      <c r="S81" s="661"/>
      <c r="T81" s="661"/>
      <c r="U81" s="661"/>
      <c r="V81" s="661"/>
      <c r="W81" s="661"/>
      <c r="X81" s="1638"/>
      <c r="Y81" s="1617"/>
      <c r="Z81" s="1614"/>
      <c r="AA81" s="1614"/>
      <c r="AB81" s="1660"/>
      <c r="AC81" s="1660"/>
      <c r="AD81" s="661"/>
      <c r="AE81" s="661"/>
      <c r="AF81" s="661"/>
      <c r="AG81" s="661"/>
      <c r="AH81" s="661"/>
      <c r="AI81" s="661"/>
      <c r="AJ81" s="661"/>
      <c r="AK81" s="661"/>
      <c r="AL81" s="661"/>
      <c r="AM81" s="661"/>
    </row>
    <row r="82">
      <c r="A82" s="1604">
        <v>46102.0</v>
      </c>
      <c r="B82" s="1605" t="s">
        <v>2806</v>
      </c>
      <c r="C82" s="1588"/>
      <c r="D82" s="1588"/>
      <c r="E82" s="1589"/>
      <c r="F82" s="1589"/>
      <c r="G82" s="1589"/>
      <c r="H82" s="661"/>
      <c r="I82" s="661"/>
      <c r="J82" s="661"/>
      <c r="K82" s="661"/>
      <c r="L82" s="661"/>
      <c r="M82" s="661"/>
      <c r="N82" s="661"/>
      <c r="O82" s="661"/>
      <c r="P82" s="661"/>
      <c r="Q82" s="661"/>
      <c r="R82" s="661"/>
      <c r="S82" s="661"/>
      <c r="T82" s="661"/>
      <c r="U82" s="661"/>
      <c r="V82" s="661"/>
      <c r="W82" s="661"/>
      <c r="X82" s="1638" t="s">
        <v>3849</v>
      </c>
      <c r="Y82" s="1617"/>
      <c r="Z82" s="1614"/>
      <c r="AA82" s="1614"/>
      <c r="AB82" s="1660"/>
      <c r="AC82" s="1660"/>
      <c r="AD82" s="661"/>
      <c r="AE82" s="661"/>
      <c r="AF82" s="661"/>
      <c r="AG82" s="661"/>
      <c r="AH82" s="661"/>
      <c r="AI82" s="661"/>
      <c r="AJ82" s="661"/>
      <c r="AK82" s="661"/>
      <c r="AL82" s="661"/>
      <c r="AM82" s="661"/>
    </row>
    <row r="83">
      <c r="A83" s="1604">
        <v>46103.0</v>
      </c>
      <c r="B83" s="1605" t="s">
        <v>2806</v>
      </c>
      <c r="C83" s="1588"/>
      <c r="D83" s="1588"/>
      <c r="E83" s="1589"/>
      <c r="F83" s="1589"/>
      <c r="G83" s="1589"/>
      <c r="H83" s="661"/>
      <c r="I83" s="661"/>
      <c r="J83" s="661"/>
      <c r="K83" s="661"/>
      <c r="L83" s="661"/>
      <c r="M83" s="661"/>
      <c r="N83" s="661"/>
      <c r="O83" s="661"/>
      <c r="P83" s="661"/>
      <c r="Q83" s="661"/>
      <c r="R83" s="661"/>
      <c r="S83" s="661"/>
      <c r="T83" s="661"/>
      <c r="U83" s="661"/>
      <c r="V83" s="661"/>
      <c r="W83" s="661"/>
      <c r="X83" s="1638" t="s">
        <v>3850</v>
      </c>
      <c r="Y83" s="1617"/>
      <c r="Z83" s="1615"/>
      <c r="AA83" s="1615"/>
      <c r="AB83" s="661"/>
      <c r="AC83" s="661"/>
      <c r="AD83" s="661"/>
      <c r="AE83" s="661"/>
      <c r="AF83" s="661"/>
      <c r="AG83" s="661"/>
      <c r="AH83" s="661"/>
      <c r="AI83" s="661"/>
      <c r="AJ83" s="661"/>
      <c r="AK83" s="661"/>
      <c r="AL83" s="661"/>
      <c r="AM83" s="661"/>
    </row>
    <row r="84">
      <c r="A84" s="1604">
        <v>46104.0</v>
      </c>
      <c r="B84" s="1605" t="s">
        <v>2806</v>
      </c>
      <c r="C84" s="1588"/>
      <c r="D84" s="1588"/>
      <c r="E84" s="1589"/>
      <c r="F84" s="1589"/>
      <c r="G84" s="1589"/>
      <c r="H84" s="661"/>
      <c r="I84" s="661"/>
      <c r="J84" s="661"/>
      <c r="K84" s="661"/>
      <c r="L84" s="661"/>
      <c r="M84" s="661"/>
      <c r="N84" s="661"/>
      <c r="O84" s="661"/>
      <c r="P84" s="661"/>
      <c r="Q84" s="661"/>
      <c r="R84" s="661"/>
      <c r="S84" s="661"/>
      <c r="T84" s="661"/>
      <c r="U84" s="661"/>
      <c r="V84" s="661"/>
      <c r="W84" s="661"/>
      <c r="X84" s="1638" t="s">
        <v>3851</v>
      </c>
      <c r="Y84" s="1617"/>
      <c r="Z84" s="661"/>
      <c r="AA84" s="661"/>
      <c r="AB84" s="661"/>
      <c r="AC84" s="661"/>
      <c r="AD84" s="661"/>
      <c r="AE84" s="661"/>
      <c r="AF84" s="661"/>
      <c r="AG84" s="661"/>
      <c r="AH84" s="661"/>
      <c r="AI84" s="661"/>
      <c r="AJ84" s="661"/>
      <c r="AK84" s="661"/>
      <c r="AL84" s="661"/>
      <c r="AM84" s="661"/>
    </row>
    <row r="85">
      <c r="A85" s="1604">
        <v>46105.0</v>
      </c>
      <c r="B85" s="1605" t="s">
        <v>2806</v>
      </c>
      <c r="C85" s="1588"/>
      <c r="D85" s="1588"/>
      <c r="E85" s="1589"/>
      <c r="F85" s="1589"/>
      <c r="G85" s="1589"/>
      <c r="H85" s="661"/>
      <c r="I85" s="661"/>
      <c r="J85" s="661"/>
      <c r="K85" s="661"/>
      <c r="L85" s="661"/>
      <c r="M85" s="661"/>
      <c r="N85" s="661"/>
      <c r="O85" s="661"/>
      <c r="P85" s="661"/>
      <c r="Q85" s="661"/>
      <c r="R85" s="661"/>
      <c r="S85" s="661"/>
      <c r="T85" s="661"/>
      <c r="U85" s="661"/>
      <c r="V85" s="661"/>
      <c r="W85" s="661"/>
      <c r="X85" s="1667"/>
      <c r="Y85" s="1617"/>
      <c r="Z85" s="661"/>
      <c r="AA85" s="661"/>
      <c r="AB85" s="661"/>
      <c r="AC85" s="661"/>
      <c r="AD85" s="661"/>
      <c r="AE85" s="661"/>
      <c r="AF85" s="661"/>
      <c r="AG85" s="661"/>
      <c r="AH85" s="661"/>
      <c r="AI85" s="661"/>
      <c r="AJ85" s="661"/>
      <c r="AK85" s="661"/>
      <c r="AL85" s="661"/>
      <c r="AM85" s="661"/>
    </row>
    <row r="86">
      <c r="A86" s="1604">
        <v>46106.0</v>
      </c>
      <c r="B86" s="1605" t="s">
        <v>2806</v>
      </c>
      <c r="C86" s="1588"/>
      <c r="D86" s="1588"/>
      <c r="E86" s="1589"/>
      <c r="F86" s="1589"/>
      <c r="G86" s="1589"/>
      <c r="H86" s="661"/>
      <c r="I86" s="661"/>
      <c r="J86" s="661"/>
      <c r="K86" s="661"/>
      <c r="L86" s="661"/>
      <c r="M86" s="661"/>
      <c r="N86" s="661"/>
      <c r="O86" s="661"/>
      <c r="P86" s="661"/>
      <c r="Q86" s="661"/>
      <c r="R86" s="661"/>
      <c r="S86" s="661"/>
      <c r="T86" s="661"/>
      <c r="U86" s="661"/>
      <c r="V86" s="661"/>
      <c r="W86" s="661"/>
      <c r="X86" s="661"/>
      <c r="Y86" s="661"/>
      <c r="Z86" s="661"/>
      <c r="AA86" s="661"/>
      <c r="AB86" s="661"/>
      <c r="AC86" s="661"/>
      <c r="AD86" s="661"/>
      <c r="AE86" s="661"/>
      <c r="AF86" s="661"/>
      <c r="AG86" s="661"/>
      <c r="AH86" s="661"/>
      <c r="AI86" s="661"/>
      <c r="AJ86" s="661"/>
      <c r="AK86" s="661"/>
      <c r="AL86" s="661"/>
      <c r="AM86" s="661"/>
    </row>
    <row r="87">
      <c r="A87" s="1604">
        <v>46107.0</v>
      </c>
      <c r="B87" s="1605" t="s">
        <v>2806</v>
      </c>
      <c r="C87" s="1588"/>
      <c r="D87" s="1588"/>
      <c r="E87" s="1589"/>
      <c r="F87" s="1589"/>
      <c r="G87" s="1589"/>
      <c r="H87" s="661"/>
      <c r="I87" s="661"/>
      <c r="J87" s="661"/>
      <c r="K87" s="661"/>
      <c r="L87" s="661"/>
      <c r="M87" s="661"/>
      <c r="N87" s="661"/>
      <c r="O87" s="661"/>
      <c r="P87" s="661"/>
      <c r="Q87" s="661"/>
      <c r="R87" s="661"/>
      <c r="S87" s="661"/>
      <c r="T87" s="661"/>
      <c r="U87" s="661"/>
      <c r="V87" s="661"/>
      <c r="W87" s="661"/>
      <c r="X87" s="661"/>
      <c r="Y87" s="661"/>
      <c r="Z87" s="661"/>
      <c r="AA87" s="661"/>
      <c r="AB87" s="661"/>
      <c r="AC87" s="661"/>
      <c r="AD87" s="661"/>
      <c r="AE87" s="661"/>
      <c r="AF87" s="661"/>
      <c r="AG87" s="661"/>
      <c r="AH87" s="661"/>
      <c r="AI87" s="661"/>
      <c r="AJ87" s="661"/>
      <c r="AK87" s="661"/>
      <c r="AL87" s="661"/>
      <c r="AM87" s="661"/>
    </row>
    <row r="88">
      <c r="A88" s="1604">
        <v>46108.0</v>
      </c>
      <c r="B88" s="1605" t="s">
        <v>2806</v>
      </c>
      <c r="C88" s="1588"/>
      <c r="D88" s="1588"/>
      <c r="E88" s="1589"/>
      <c r="F88" s="1589"/>
      <c r="G88" s="1589"/>
      <c r="H88" s="661"/>
      <c r="I88" s="661"/>
      <c r="J88" s="661"/>
      <c r="K88" s="661"/>
      <c r="L88" s="661"/>
      <c r="M88" s="661"/>
      <c r="N88" s="661"/>
      <c r="O88" s="661"/>
      <c r="P88" s="661"/>
      <c r="Q88" s="661"/>
      <c r="R88" s="661"/>
      <c r="S88" s="661"/>
      <c r="T88" s="661"/>
      <c r="U88" s="661"/>
      <c r="V88" s="661"/>
      <c r="W88" s="661"/>
      <c r="X88" s="661"/>
      <c r="Y88" s="661"/>
      <c r="Z88" s="661"/>
      <c r="AA88" s="661"/>
      <c r="AB88" s="661"/>
      <c r="AC88" s="661"/>
      <c r="AD88" s="661"/>
      <c r="AE88" s="661"/>
      <c r="AF88" s="661"/>
      <c r="AG88" s="661"/>
      <c r="AH88" s="661"/>
      <c r="AI88" s="661"/>
      <c r="AJ88" s="661"/>
      <c r="AK88" s="661"/>
      <c r="AL88" s="661"/>
      <c r="AM88" s="661"/>
    </row>
    <row r="89">
      <c r="A89" s="1604">
        <v>46109.0</v>
      </c>
      <c r="B89" s="1605" t="s">
        <v>2806</v>
      </c>
      <c r="C89" s="1588"/>
      <c r="D89" s="1588"/>
      <c r="E89" s="1589"/>
      <c r="F89" s="1589"/>
      <c r="G89" s="1589"/>
      <c r="H89" s="661"/>
      <c r="I89" s="661"/>
      <c r="J89" s="661"/>
      <c r="K89" s="661"/>
      <c r="L89" s="661"/>
      <c r="M89" s="661"/>
      <c r="N89" s="661"/>
      <c r="O89" s="661"/>
      <c r="P89" s="661"/>
      <c r="Q89" s="661"/>
      <c r="R89" s="661"/>
      <c r="S89" s="661"/>
      <c r="T89" s="661"/>
      <c r="U89" s="661"/>
      <c r="V89" s="661"/>
      <c r="W89" s="661"/>
      <c r="X89" s="661"/>
      <c r="Y89" s="661"/>
      <c r="Z89" s="661"/>
      <c r="AA89" s="661"/>
      <c r="AB89" s="661"/>
      <c r="AC89" s="661"/>
      <c r="AD89" s="661"/>
      <c r="AE89" s="661"/>
      <c r="AF89" s="661"/>
      <c r="AG89" s="661"/>
      <c r="AH89" s="661"/>
      <c r="AI89" s="661"/>
      <c r="AJ89" s="661"/>
      <c r="AK89" s="661"/>
      <c r="AL89" s="661"/>
      <c r="AM89" s="661"/>
    </row>
    <row r="90">
      <c r="A90" s="1604">
        <v>46110.0</v>
      </c>
      <c r="B90" s="1605" t="s">
        <v>2806</v>
      </c>
      <c r="C90" s="1588"/>
      <c r="D90" s="1588"/>
      <c r="E90" s="1589"/>
      <c r="F90" s="1589"/>
      <c r="G90" s="1589"/>
      <c r="H90" s="661"/>
      <c r="I90" s="661"/>
      <c r="J90" s="661"/>
      <c r="K90" s="661"/>
      <c r="L90" s="661"/>
      <c r="M90" s="661"/>
      <c r="N90" s="661"/>
      <c r="O90" s="661"/>
      <c r="P90" s="661"/>
      <c r="Q90" s="661"/>
      <c r="R90" s="661"/>
      <c r="S90" s="661"/>
      <c r="T90" s="661"/>
      <c r="U90" s="661"/>
      <c r="V90" s="661"/>
      <c r="W90" s="661"/>
      <c r="X90" s="661"/>
      <c r="Y90" s="661"/>
      <c r="Z90" s="661"/>
      <c r="AA90" s="661"/>
      <c r="AB90" s="661"/>
      <c r="AC90" s="661"/>
      <c r="AD90" s="661"/>
      <c r="AE90" s="661"/>
      <c r="AF90" s="661"/>
      <c r="AG90" s="661"/>
      <c r="AH90" s="661"/>
      <c r="AI90" s="661"/>
      <c r="AJ90" s="661"/>
      <c r="AK90" s="661"/>
      <c r="AL90" s="661"/>
      <c r="AM90" s="661"/>
    </row>
    <row r="91">
      <c r="A91" s="1604">
        <v>46111.0</v>
      </c>
      <c r="B91" s="1605" t="s">
        <v>2806</v>
      </c>
      <c r="C91" s="1588"/>
      <c r="D91" s="1588"/>
      <c r="E91" s="1589"/>
      <c r="F91" s="1589"/>
      <c r="G91" s="1589"/>
      <c r="H91" s="661"/>
      <c r="I91" s="661"/>
      <c r="J91" s="661"/>
      <c r="K91" s="661"/>
      <c r="L91" s="661"/>
      <c r="M91" s="661"/>
      <c r="N91" s="661"/>
      <c r="O91" s="661"/>
      <c r="P91" s="661"/>
      <c r="Q91" s="661"/>
      <c r="R91" s="661"/>
      <c r="S91" s="661"/>
      <c r="T91" s="661"/>
      <c r="U91" s="661"/>
      <c r="V91" s="661"/>
      <c r="W91" s="661"/>
      <c r="X91" s="661"/>
      <c r="Y91" s="661"/>
      <c r="Z91" s="661"/>
      <c r="AA91" s="661"/>
      <c r="AB91" s="661"/>
      <c r="AC91" s="661"/>
      <c r="AD91" s="661"/>
      <c r="AE91" s="661"/>
      <c r="AF91" s="661"/>
      <c r="AG91" s="661"/>
      <c r="AH91" s="661"/>
      <c r="AI91" s="661"/>
      <c r="AJ91" s="661"/>
      <c r="AK91" s="661"/>
      <c r="AL91" s="661"/>
      <c r="AM91" s="661"/>
    </row>
    <row r="92">
      <c r="A92" s="1604">
        <v>46112.0</v>
      </c>
      <c r="B92" s="1605" t="s">
        <v>2806</v>
      </c>
      <c r="C92" s="1588"/>
      <c r="D92" s="1588"/>
      <c r="E92" s="1589"/>
      <c r="F92" s="1589"/>
      <c r="G92" s="1589"/>
      <c r="H92" s="661"/>
      <c r="I92" s="661"/>
      <c r="J92" s="661"/>
      <c r="K92" s="661"/>
      <c r="L92" s="661"/>
      <c r="M92" s="661"/>
      <c r="N92" s="661"/>
      <c r="O92" s="661"/>
      <c r="P92" s="661"/>
      <c r="Q92" s="661"/>
      <c r="R92" s="661"/>
      <c r="S92" s="661"/>
      <c r="T92" s="661"/>
      <c r="U92" s="661"/>
      <c r="V92" s="661"/>
      <c r="W92" s="661"/>
      <c r="X92" s="661"/>
      <c r="Y92" s="661"/>
      <c r="Z92" s="661"/>
      <c r="AA92" s="661"/>
      <c r="AB92" s="661"/>
      <c r="AC92" s="661"/>
      <c r="AD92" s="661"/>
      <c r="AE92" s="661"/>
      <c r="AF92" s="661"/>
      <c r="AG92" s="661"/>
      <c r="AH92" s="661"/>
      <c r="AI92" s="661"/>
      <c r="AJ92" s="661"/>
      <c r="AK92" s="661"/>
      <c r="AL92" s="661"/>
      <c r="AM92" s="661"/>
    </row>
    <row r="93">
      <c r="A93" s="1604">
        <v>46113.0</v>
      </c>
      <c r="B93" s="1605" t="s">
        <v>2807</v>
      </c>
      <c r="C93" s="1588"/>
      <c r="D93" s="1588"/>
      <c r="E93" s="1589"/>
      <c r="F93" s="1589"/>
      <c r="G93" s="1589"/>
      <c r="H93" s="661"/>
      <c r="I93" s="661"/>
      <c r="J93" s="661"/>
      <c r="K93" s="661"/>
      <c r="L93" s="661"/>
      <c r="M93" s="661"/>
      <c r="N93" s="661"/>
      <c r="O93" s="661"/>
      <c r="P93" s="661"/>
      <c r="Q93" s="661"/>
      <c r="R93" s="661"/>
      <c r="S93" s="661"/>
      <c r="T93" s="661"/>
      <c r="U93" s="661"/>
      <c r="V93" s="661"/>
      <c r="W93" s="661"/>
      <c r="X93" s="661"/>
      <c r="Y93" s="661"/>
      <c r="Z93" s="661"/>
      <c r="AA93" s="661"/>
      <c r="AB93" s="661"/>
      <c r="AC93" s="661"/>
      <c r="AD93" s="661"/>
      <c r="AE93" s="661"/>
      <c r="AF93" s="661"/>
      <c r="AG93" s="661"/>
      <c r="AH93" s="661"/>
      <c r="AI93" s="661"/>
      <c r="AJ93" s="661"/>
      <c r="AK93" s="661"/>
      <c r="AL93" s="661"/>
      <c r="AM93" s="661"/>
    </row>
    <row r="94">
      <c r="A94" s="1604">
        <v>46114.0</v>
      </c>
      <c r="B94" s="1605" t="s">
        <v>2807</v>
      </c>
      <c r="C94" s="1588"/>
      <c r="D94" s="1588"/>
      <c r="E94" s="1589"/>
      <c r="F94" s="1589"/>
      <c r="G94" s="1589"/>
      <c r="H94" s="661"/>
      <c r="I94" s="661"/>
      <c r="J94" s="661"/>
      <c r="K94" s="661"/>
      <c r="L94" s="661"/>
      <c r="M94" s="661"/>
      <c r="N94" s="661"/>
      <c r="O94" s="661"/>
      <c r="P94" s="661"/>
      <c r="Q94" s="661"/>
      <c r="R94" s="661"/>
      <c r="S94" s="661"/>
      <c r="T94" s="661"/>
      <c r="U94" s="661"/>
      <c r="V94" s="661"/>
      <c r="W94" s="661"/>
      <c r="X94" s="661"/>
      <c r="Y94" s="661"/>
      <c r="Z94" s="661"/>
      <c r="AA94" s="661"/>
      <c r="AB94" s="661"/>
      <c r="AC94" s="661"/>
      <c r="AD94" s="661"/>
      <c r="AE94" s="661"/>
      <c r="AF94" s="661"/>
      <c r="AG94" s="661"/>
      <c r="AH94" s="661"/>
      <c r="AI94" s="661"/>
      <c r="AJ94" s="661"/>
      <c r="AK94" s="661"/>
      <c r="AL94" s="661"/>
      <c r="AM94" s="661"/>
    </row>
    <row r="95">
      <c r="A95" s="1604">
        <v>46115.0</v>
      </c>
      <c r="B95" s="1605" t="s">
        <v>2807</v>
      </c>
      <c r="C95" s="1588"/>
      <c r="D95" s="1588"/>
      <c r="E95" s="1589"/>
      <c r="F95" s="1589"/>
      <c r="G95" s="1589"/>
      <c r="H95" s="661"/>
      <c r="I95" s="661"/>
      <c r="J95" s="661"/>
      <c r="K95" s="661"/>
      <c r="L95" s="661"/>
      <c r="M95" s="661"/>
      <c r="N95" s="661"/>
      <c r="O95" s="661"/>
      <c r="P95" s="661"/>
      <c r="Q95" s="661"/>
      <c r="R95" s="661"/>
      <c r="S95" s="661"/>
      <c r="T95" s="661"/>
      <c r="U95" s="661"/>
      <c r="V95" s="661"/>
      <c r="W95" s="661"/>
      <c r="X95" s="661"/>
      <c r="Y95" s="661"/>
      <c r="Z95" s="661"/>
      <c r="AA95" s="661"/>
      <c r="AB95" s="661"/>
      <c r="AC95" s="661"/>
      <c r="AD95" s="661"/>
      <c r="AE95" s="661"/>
      <c r="AF95" s="661"/>
      <c r="AG95" s="661"/>
      <c r="AH95" s="661"/>
      <c r="AI95" s="661"/>
      <c r="AJ95" s="661"/>
      <c r="AK95" s="661"/>
      <c r="AL95" s="661"/>
      <c r="AM95" s="661"/>
    </row>
    <row r="96">
      <c r="A96" s="1604">
        <v>46116.0</v>
      </c>
      <c r="B96" s="1605" t="s">
        <v>2807</v>
      </c>
      <c r="C96" s="1588"/>
      <c r="D96" s="1588"/>
      <c r="E96" s="1589"/>
      <c r="F96" s="1589"/>
      <c r="G96" s="1589"/>
      <c r="H96" s="661"/>
      <c r="I96" s="661"/>
      <c r="J96" s="661"/>
      <c r="K96" s="661"/>
      <c r="L96" s="661"/>
      <c r="M96" s="661"/>
      <c r="N96" s="661"/>
      <c r="O96" s="661"/>
      <c r="P96" s="661"/>
      <c r="Q96" s="661"/>
      <c r="R96" s="661"/>
      <c r="S96" s="661"/>
      <c r="T96" s="661"/>
      <c r="U96" s="661"/>
      <c r="V96" s="661"/>
      <c r="W96" s="661"/>
      <c r="X96" s="661"/>
      <c r="Y96" s="661"/>
      <c r="Z96" s="661"/>
      <c r="AA96" s="661"/>
      <c r="AB96" s="661"/>
      <c r="AC96" s="661"/>
      <c r="AD96" s="661"/>
      <c r="AE96" s="661"/>
      <c r="AF96" s="661"/>
      <c r="AG96" s="661"/>
      <c r="AH96" s="661"/>
      <c r="AI96" s="661"/>
      <c r="AJ96" s="661"/>
      <c r="AK96" s="661"/>
      <c r="AL96" s="661"/>
      <c r="AM96" s="661"/>
    </row>
    <row r="97">
      <c r="A97" s="1604">
        <v>46117.0</v>
      </c>
      <c r="B97" s="1605" t="s">
        <v>2807</v>
      </c>
      <c r="C97" s="1588"/>
      <c r="D97" s="1588"/>
      <c r="E97" s="1589"/>
      <c r="F97" s="1589"/>
      <c r="G97" s="1589"/>
      <c r="H97" s="661"/>
      <c r="I97" s="661"/>
      <c r="J97" s="661"/>
      <c r="K97" s="661"/>
      <c r="L97" s="661"/>
      <c r="M97" s="661"/>
      <c r="N97" s="661"/>
      <c r="O97" s="661"/>
      <c r="P97" s="661"/>
      <c r="Q97" s="661"/>
      <c r="R97" s="661"/>
      <c r="S97" s="661"/>
      <c r="T97" s="661"/>
      <c r="U97" s="661"/>
      <c r="V97" s="661"/>
      <c r="W97" s="661"/>
      <c r="X97" s="661"/>
      <c r="Y97" s="661"/>
      <c r="Z97" s="661"/>
      <c r="AA97" s="661"/>
      <c r="AB97" s="661"/>
      <c r="AC97" s="661"/>
      <c r="AD97" s="661"/>
      <c r="AE97" s="661"/>
      <c r="AF97" s="661"/>
      <c r="AG97" s="661"/>
      <c r="AH97" s="661"/>
      <c r="AI97" s="661"/>
      <c r="AJ97" s="661"/>
      <c r="AK97" s="661"/>
      <c r="AL97" s="661"/>
      <c r="AM97" s="661"/>
    </row>
    <row r="98">
      <c r="A98" s="1604">
        <v>46118.0</v>
      </c>
      <c r="B98" s="1605" t="s">
        <v>2807</v>
      </c>
      <c r="C98" s="1588"/>
      <c r="D98" s="1588"/>
      <c r="E98" s="1589"/>
      <c r="F98" s="1589"/>
      <c r="G98" s="1589"/>
      <c r="H98" s="661"/>
      <c r="I98" s="661"/>
      <c r="J98" s="661"/>
      <c r="K98" s="661"/>
      <c r="L98" s="661"/>
      <c r="M98" s="661"/>
      <c r="N98" s="661"/>
      <c r="O98" s="661"/>
      <c r="P98" s="661"/>
      <c r="Q98" s="661"/>
      <c r="R98" s="661"/>
      <c r="S98" s="661"/>
      <c r="T98" s="661"/>
      <c r="U98" s="661"/>
      <c r="V98" s="661"/>
      <c r="W98" s="661"/>
      <c r="X98" s="661"/>
      <c r="Y98" s="661"/>
      <c r="Z98" s="661"/>
      <c r="AA98" s="661"/>
      <c r="AB98" s="661"/>
      <c r="AC98" s="661"/>
      <c r="AD98" s="661"/>
      <c r="AE98" s="661"/>
      <c r="AF98" s="661"/>
      <c r="AG98" s="661"/>
      <c r="AH98" s="661"/>
      <c r="AI98" s="661"/>
      <c r="AJ98" s="661"/>
      <c r="AK98" s="661"/>
      <c r="AL98" s="661"/>
      <c r="AM98" s="661"/>
    </row>
    <row r="99">
      <c r="A99" s="1604">
        <v>46119.0</v>
      </c>
      <c r="B99" s="1605" t="s">
        <v>2807</v>
      </c>
      <c r="C99" s="1588"/>
      <c r="D99" s="1588"/>
      <c r="E99" s="1589"/>
      <c r="F99" s="1589"/>
      <c r="G99" s="1589"/>
      <c r="H99" s="661"/>
      <c r="I99" s="661"/>
      <c r="J99" s="661"/>
      <c r="K99" s="661"/>
      <c r="L99" s="661"/>
      <c r="M99" s="661"/>
      <c r="N99" s="661"/>
      <c r="O99" s="661"/>
      <c r="P99" s="661"/>
      <c r="Q99" s="661"/>
      <c r="R99" s="661"/>
      <c r="S99" s="661"/>
      <c r="T99" s="661"/>
      <c r="U99" s="661"/>
      <c r="V99" s="661"/>
      <c r="W99" s="661"/>
      <c r="X99" s="661"/>
      <c r="Y99" s="661"/>
      <c r="Z99" s="661"/>
      <c r="AA99" s="661"/>
      <c r="AB99" s="661"/>
      <c r="AC99" s="661"/>
      <c r="AD99" s="661"/>
      <c r="AE99" s="661"/>
      <c r="AF99" s="661"/>
      <c r="AG99" s="661"/>
      <c r="AH99" s="661"/>
      <c r="AI99" s="661"/>
      <c r="AJ99" s="661"/>
      <c r="AK99" s="661"/>
      <c r="AL99" s="661"/>
      <c r="AM99" s="661"/>
    </row>
    <row r="100">
      <c r="A100" s="1604">
        <v>46120.0</v>
      </c>
      <c r="B100" s="1605" t="s">
        <v>2807</v>
      </c>
      <c r="C100" s="1588"/>
      <c r="D100" s="1588"/>
      <c r="E100" s="1589"/>
      <c r="F100" s="1589"/>
      <c r="G100" s="1589"/>
      <c r="H100" s="661"/>
      <c r="I100" s="661"/>
      <c r="J100" s="661"/>
      <c r="K100" s="661"/>
      <c r="L100" s="661"/>
      <c r="M100" s="661"/>
      <c r="N100" s="661"/>
      <c r="O100" s="661"/>
      <c r="P100" s="661"/>
      <c r="Q100" s="661"/>
      <c r="R100" s="661"/>
      <c r="S100" s="661"/>
      <c r="T100" s="661"/>
      <c r="U100" s="661"/>
      <c r="V100" s="661"/>
      <c r="W100" s="661"/>
      <c r="X100" s="661"/>
      <c r="Y100" s="661"/>
      <c r="Z100" s="661"/>
      <c r="AA100" s="661"/>
      <c r="AB100" s="661"/>
      <c r="AC100" s="661"/>
      <c r="AD100" s="661"/>
      <c r="AE100" s="661"/>
      <c r="AF100" s="661"/>
      <c r="AG100" s="661"/>
      <c r="AH100" s="661"/>
      <c r="AI100" s="661"/>
      <c r="AJ100" s="661"/>
      <c r="AK100" s="661"/>
      <c r="AL100" s="661"/>
      <c r="AM100" s="661"/>
    </row>
    <row r="101">
      <c r="A101" s="1604">
        <v>46121.0</v>
      </c>
      <c r="B101" s="1605" t="s">
        <v>2807</v>
      </c>
      <c r="C101" s="1588"/>
      <c r="D101" s="1588"/>
      <c r="E101" s="1589"/>
      <c r="F101" s="1589"/>
      <c r="G101" s="1589"/>
      <c r="H101" s="661"/>
      <c r="I101" s="661"/>
      <c r="J101" s="661"/>
      <c r="K101" s="661"/>
      <c r="L101" s="661"/>
      <c r="M101" s="661"/>
      <c r="N101" s="661"/>
      <c r="O101" s="661"/>
      <c r="P101" s="661"/>
      <c r="Q101" s="661"/>
      <c r="R101" s="661"/>
      <c r="S101" s="661"/>
      <c r="T101" s="661"/>
      <c r="U101" s="661"/>
      <c r="V101" s="661"/>
      <c r="W101" s="661"/>
      <c r="X101" s="661"/>
      <c r="Y101" s="661"/>
      <c r="Z101" s="661"/>
      <c r="AA101" s="661"/>
      <c r="AB101" s="661"/>
      <c r="AC101" s="661"/>
      <c r="AD101" s="661"/>
      <c r="AE101" s="661"/>
      <c r="AF101" s="661"/>
      <c r="AG101" s="661"/>
      <c r="AH101" s="661"/>
      <c r="AI101" s="661"/>
      <c r="AJ101" s="661"/>
      <c r="AK101" s="661"/>
      <c r="AL101" s="661"/>
      <c r="AM101" s="661"/>
    </row>
    <row r="102">
      <c r="A102" s="1604">
        <v>46122.0</v>
      </c>
      <c r="B102" s="1605" t="s">
        <v>2807</v>
      </c>
      <c r="C102" s="1588"/>
      <c r="D102" s="1588"/>
      <c r="E102" s="1589"/>
      <c r="F102" s="1589"/>
      <c r="G102" s="1589"/>
      <c r="H102" s="661"/>
      <c r="I102" s="661"/>
      <c r="J102" s="661"/>
      <c r="K102" s="661"/>
      <c r="L102" s="661"/>
      <c r="M102" s="661"/>
      <c r="N102" s="661"/>
      <c r="O102" s="661"/>
      <c r="P102" s="661"/>
      <c r="Q102" s="661"/>
      <c r="R102" s="661"/>
      <c r="S102" s="661"/>
      <c r="T102" s="661"/>
      <c r="U102" s="661"/>
      <c r="V102" s="661"/>
      <c r="W102" s="661"/>
      <c r="X102" s="661"/>
      <c r="Y102" s="661"/>
      <c r="Z102" s="661"/>
      <c r="AA102" s="661"/>
      <c r="AB102" s="661"/>
      <c r="AC102" s="661"/>
      <c r="AD102" s="661"/>
      <c r="AE102" s="661"/>
      <c r="AF102" s="661"/>
      <c r="AG102" s="661"/>
      <c r="AH102" s="661"/>
      <c r="AI102" s="661"/>
      <c r="AJ102" s="661"/>
      <c r="AK102" s="661"/>
      <c r="AL102" s="661"/>
      <c r="AM102" s="661"/>
    </row>
    <row r="103">
      <c r="A103" s="1604">
        <v>46123.0</v>
      </c>
      <c r="B103" s="1605" t="s">
        <v>2807</v>
      </c>
      <c r="C103" s="1588"/>
      <c r="D103" s="1588"/>
      <c r="E103" s="1589"/>
      <c r="F103" s="1589"/>
      <c r="G103" s="1589"/>
      <c r="H103" s="661"/>
      <c r="I103" s="661"/>
      <c r="J103" s="661"/>
      <c r="K103" s="661"/>
      <c r="L103" s="661"/>
      <c r="M103" s="661"/>
      <c r="N103" s="661"/>
      <c r="O103" s="661"/>
      <c r="P103" s="661"/>
      <c r="Q103" s="661"/>
      <c r="R103" s="661"/>
      <c r="S103" s="661"/>
      <c r="T103" s="661"/>
      <c r="U103" s="661"/>
      <c r="V103" s="661"/>
      <c r="W103" s="661"/>
      <c r="X103" s="661"/>
      <c r="Y103" s="661"/>
      <c r="Z103" s="661"/>
      <c r="AA103" s="661"/>
      <c r="AB103" s="661"/>
      <c r="AC103" s="661"/>
      <c r="AD103" s="661"/>
      <c r="AE103" s="661"/>
      <c r="AF103" s="661"/>
      <c r="AG103" s="661"/>
      <c r="AH103" s="661"/>
      <c r="AI103" s="661"/>
      <c r="AJ103" s="661"/>
      <c r="AK103" s="661"/>
      <c r="AL103" s="661"/>
      <c r="AM103" s="661"/>
    </row>
    <row r="104">
      <c r="A104" s="1604">
        <v>46124.0</v>
      </c>
      <c r="B104" s="1605" t="s">
        <v>2807</v>
      </c>
      <c r="C104" s="1588"/>
      <c r="D104" s="1588"/>
      <c r="E104" s="1589"/>
      <c r="F104" s="1589"/>
      <c r="G104" s="1589"/>
      <c r="H104" s="661"/>
      <c r="I104" s="661"/>
      <c r="J104" s="661"/>
      <c r="K104" s="661"/>
      <c r="L104" s="661"/>
      <c r="M104" s="661"/>
      <c r="N104" s="661"/>
      <c r="O104" s="661"/>
      <c r="P104" s="661"/>
      <c r="Q104" s="661"/>
      <c r="R104" s="661"/>
      <c r="S104" s="661"/>
      <c r="T104" s="661"/>
      <c r="U104" s="661"/>
      <c r="V104" s="661"/>
      <c r="W104" s="661"/>
      <c r="X104" s="661"/>
      <c r="Y104" s="661"/>
      <c r="Z104" s="661"/>
      <c r="AA104" s="661"/>
      <c r="AB104" s="661"/>
      <c r="AC104" s="661"/>
      <c r="AD104" s="661"/>
      <c r="AE104" s="661"/>
      <c r="AF104" s="661"/>
      <c r="AG104" s="661"/>
      <c r="AH104" s="661"/>
      <c r="AI104" s="661"/>
      <c r="AJ104" s="661"/>
      <c r="AK104" s="661"/>
      <c r="AL104" s="661"/>
      <c r="AM104" s="661"/>
    </row>
    <row r="105">
      <c r="A105" s="1604">
        <v>46125.0</v>
      </c>
      <c r="B105" s="1605" t="s">
        <v>2807</v>
      </c>
      <c r="C105" s="1588"/>
      <c r="D105" s="1588"/>
      <c r="E105" s="1589"/>
      <c r="F105" s="1589"/>
      <c r="G105" s="1589"/>
      <c r="H105" s="661"/>
      <c r="I105" s="661"/>
      <c r="J105" s="661"/>
      <c r="K105" s="661"/>
      <c r="L105" s="661"/>
      <c r="M105" s="661"/>
      <c r="N105" s="661"/>
      <c r="O105" s="661"/>
      <c r="P105" s="661"/>
      <c r="Q105" s="661"/>
      <c r="R105" s="661"/>
      <c r="S105" s="661"/>
      <c r="T105" s="661"/>
      <c r="U105" s="661"/>
      <c r="V105" s="661"/>
      <c r="W105" s="661"/>
      <c r="X105" s="661"/>
      <c r="Y105" s="661"/>
      <c r="Z105" s="661"/>
      <c r="AA105" s="661"/>
      <c r="AB105" s="661"/>
      <c r="AC105" s="661"/>
      <c r="AD105" s="661"/>
      <c r="AE105" s="661"/>
      <c r="AF105" s="661"/>
      <c r="AG105" s="661"/>
      <c r="AH105" s="661"/>
      <c r="AI105" s="661"/>
      <c r="AJ105" s="661"/>
      <c r="AK105" s="661"/>
      <c r="AL105" s="661"/>
      <c r="AM105" s="661"/>
    </row>
    <row r="106">
      <c r="A106" s="1604">
        <v>46126.0</v>
      </c>
      <c r="B106" s="1605" t="s">
        <v>2807</v>
      </c>
      <c r="C106" s="1588"/>
      <c r="D106" s="1588"/>
      <c r="E106" s="1589"/>
      <c r="F106" s="1589"/>
      <c r="G106" s="1589"/>
      <c r="H106" s="661"/>
      <c r="I106" s="661"/>
      <c r="J106" s="661"/>
      <c r="K106" s="661"/>
      <c r="L106" s="661"/>
      <c r="M106" s="661"/>
      <c r="N106" s="661"/>
      <c r="O106" s="661"/>
      <c r="P106" s="661"/>
      <c r="Q106" s="661"/>
      <c r="R106" s="661"/>
      <c r="S106" s="661"/>
      <c r="T106" s="661"/>
      <c r="U106" s="661"/>
      <c r="V106" s="661"/>
      <c r="W106" s="661"/>
      <c r="X106" s="661"/>
      <c r="Y106" s="661"/>
      <c r="Z106" s="661"/>
      <c r="AA106" s="661"/>
      <c r="AB106" s="661"/>
      <c r="AC106" s="661"/>
      <c r="AD106" s="661"/>
      <c r="AE106" s="661"/>
      <c r="AF106" s="661"/>
      <c r="AG106" s="661"/>
      <c r="AH106" s="661"/>
      <c r="AI106" s="661"/>
      <c r="AJ106" s="661"/>
      <c r="AK106" s="661"/>
      <c r="AL106" s="661"/>
      <c r="AM106" s="661"/>
    </row>
    <row r="107">
      <c r="A107" s="1604">
        <v>46127.0</v>
      </c>
      <c r="B107" s="1605" t="s">
        <v>2807</v>
      </c>
      <c r="C107" s="1588"/>
      <c r="D107" s="1588"/>
      <c r="E107" s="1589"/>
      <c r="F107" s="1589"/>
      <c r="G107" s="1589"/>
      <c r="H107" s="661"/>
      <c r="I107" s="661"/>
      <c r="J107" s="661"/>
      <c r="K107" s="661"/>
      <c r="L107" s="661"/>
      <c r="M107" s="661"/>
      <c r="N107" s="661"/>
      <c r="O107" s="661"/>
      <c r="P107" s="661"/>
      <c r="Q107" s="661"/>
      <c r="R107" s="661"/>
      <c r="S107" s="661"/>
      <c r="T107" s="661"/>
      <c r="U107" s="661"/>
      <c r="V107" s="661"/>
      <c r="W107" s="661"/>
      <c r="X107" s="661"/>
      <c r="Y107" s="661"/>
      <c r="Z107" s="661"/>
      <c r="AA107" s="661"/>
      <c r="AB107" s="661"/>
      <c r="AC107" s="661"/>
      <c r="AD107" s="661"/>
      <c r="AE107" s="661"/>
      <c r="AF107" s="661"/>
      <c r="AG107" s="661"/>
      <c r="AH107" s="661"/>
      <c r="AI107" s="661"/>
      <c r="AJ107" s="661"/>
      <c r="AK107" s="661"/>
      <c r="AL107" s="661"/>
      <c r="AM107" s="661"/>
    </row>
    <row r="108">
      <c r="A108" s="1604">
        <v>46128.0</v>
      </c>
      <c r="B108" s="1605" t="s">
        <v>2807</v>
      </c>
      <c r="C108" s="1588"/>
      <c r="D108" s="1588"/>
      <c r="E108" s="1589"/>
      <c r="F108" s="1589"/>
      <c r="G108" s="1589"/>
      <c r="H108" s="661"/>
      <c r="I108" s="661"/>
      <c r="J108" s="661"/>
      <c r="K108" s="661"/>
      <c r="L108" s="661"/>
      <c r="M108" s="661"/>
      <c r="N108" s="661"/>
      <c r="O108" s="661"/>
      <c r="P108" s="661"/>
      <c r="Q108" s="661"/>
      <c r="R108" s="661"/>
      <c r="S108" s="661"/>
      <c r="T108" s="661"/>
      <c r="U108" s="661"/>
      <c r="V108" s="661"/>
      <c r="W108" s="661"/>
      <c r="X108" s="661"/>
      <c r="Y108" s="661"/>
      <c r="Z108" s="661"/>
      <c r="AA108" s="661"/>
      <c r="AB108" s="661"/>
      <c r="AC108" s="661"/>
      <c r="AD108" s="661"/>
      <c r="AE108" s="661"/>
      <c r="AF108" s="661"/>
      <c r="AG108" s="661"/>
      <c r="AH108" s="661"/>
      <c r="AI108" s="661"/>
      <c r="AJ108" s="661"/>
      <c r="AK108" s="661"/>
      <c r="AL108" s="661"/>
      <c r="AM108" s="661"/>
    </row>
    <row r="109">
      <c r="A109" s="1604">
        <v>46129.0</v>
      </c>
      <c r="B109" s="1605" t="s">
        <v>2807</v>
      </c>
      <c r="C109" s="1588"/>
      <c r="D109" s="1588"/>
      <c r="E109" s="1589"/>
      <c r="F109" s="1589"/>
      <c r="G109" s="1589"/>
      <c r="H109" s="661"/>
      <c r="I109" s="661"/>
      <c r="J109" s="661"/>
      <c r="K109" s="661"/>
      <c r="L109" s="661"/>
      <c r="M109" s="661"/>
      <c r="N109" s="661"/>
      <c r="O109" s="661"/>
      <c r="P109" s="661"/>
      <c r="Q109" s="661"/>
      <c r="R109" s="661"/>
      <c r="S109" s="661"/>
      <c r="T109" s="661"/>
      <c r="U109" s="661"/>
      <c r="V109" s="661"/>
      <c r="W109" s="661"/>
      <c r="X109" s="661"/>
      <c r="Y109" s="661"/>
      <c r="Z109" s="661"/>
      <c r="AA109" s="661"/>
      <c r="AB109" s="661"/>
      <c r="AC109" s="661"/>
      <c r="AD109" s="661"/>
      <c r="AE109" s="661"/>
      <c r="AF109" s="661"/>
      <c r="AG109" s="661"/>
      <c r="AH109" s="661"/>
      <c r="AI109" s="661"/>
      <c r="AJ109" s="661"/>
      <c r="AK109" s="661"/>
      <c r="AL109" s="661"/>
      <c r="AM109" s="661"/>
    </row>
    <row r="110">
      <c r="A110" s="1604">
        <v>46130.0</v>
      </c>
      <c r="B110" s="1605" t="s">
        <v>2807</v>
      </c>
      <c r="C110" s="1588"/>
      <c r="D110" s="1588"/>
      <c r="E110" s="1589"/>
      <c r="F110" s="1589"/>
      <c r="G110" s="1589"/>
      <c r="H110" s="661"/>
      <c r="I110" s="661"/>
      <c r="J110" s="661"/>
      <c r="K110" s="661"/>
      <c r="L110" s="661"/>
      <c r="M110" s="661"/>
      <c r="N110" s="661"/>
      <c r="O110" s="661"/>
      <c r="P110" s="661"/>
      <c r="Q110" s="661"/>
      <c r="R110" s="661"/>
      <c r="S110" s="661"/>
      <c r="T110" s="661"/>
      <c r="U110" s="661"/>
      <c r="V110" s="661"/>
      <c r="W110" s="661"/>
      <c r="X110" s="661"/>
      <c r="Y110" s="661"/>
      <c r="Z110" s="661"/>
      <c r="AA110" s="661"/>
      <c r="AB110" s="661"/>
      <c r="AC110" s="661"/>
      <c r="AD110" s="661"/>
      <c r="AE110" s="661"/>
      <c r="AF110" s="661"/>
      <c r="AG110" s="661"/>
      <c r="AH110" s="661"/>
      <c r="AI110" s="661"/>
      <c r="AJ110" s="661"/>
      <c r="AK110" s="661"/>
      <c r="AL110" s="661"/>
      <c r="AM110" s="661"/>
    </row>
    <row r="111">
      <c r="A111" s="1604">
        <v>46131.0</v>
      </c>
      <c r="B111" s="1605" t="s">
        <v>2807</v>
      </c>
      <c r="C111" s="1588"/>
      <c r="D111" s="1588"/>
      <c r="E111" s="1589"/>
      <c r="F111" s="1589"/>
      <c r="G111" s="1589"/>
      <c r="H111" s="661"/>
      <c r="I111" s="661"/>
      <c r="J111" s="661"/>
      <c r="K111" s="661"/>
      <c r="L111" s="661"/>
      <c r="M111" s="661"/>
      <c r="N111" s="661"/>
      <c r="O111" s="661"/>
      <c r="P111" s="661"/>
      <c r="Q111" s="661"/>
      <c r="R111" s="661"/>
      <c r="S111" s="661"/>
      <c r="T111" s="661"/>
      <c r="U111" s="661"/>
      <c r="V111" s="661"/>
      <c r="W111" s="661"/>
      <c r="X111" s="661"/>
      <c r="Y111" s="661"/>
      <c r="Z111" s="661"/>
      <c r="AA111" s="661"/>
      <c r="AB111" s="661"/>
      <c r="AC111" s="661"/>
      <c r="AD111" s="661"/>
      <c r="AE111" s="661"/>
      <c r="AF111" s="661"/>
      <c r="AG111" s="661"/>
      <c r="AH111" s="661"/>
      <c r="AI111" s="661"/>
      <c r="AJ111" s="661"/>
      <c r="AK111" s="661"/>
      <c r="AL111" s="661"/>
      <c r="AM111" s="661"/>
    </row>
    <row r="112">
      <c r="A112" s="1604">
        <v>46132.0</v>
      </c>
      <c r="B112" s="1605" t="s">
        <v>2807</v>
      </c>
      <c r="C112" s="1588"/>
      <c r="D112" s="1588"/>
      <c r="E112" s="1589"/>
      <c r="F112" s="1589"/>
      <c r="G112" s="1589"/>
      <c r="H112" s="661"/>
      <c r="I112" s="661"/>
      <c r="J112" s="661"/>
      <c r="K112" s="661"/>
      <c r="L112" s="661"/>
      <c r="M112" s="661"/>
      <c r="N112" s="661"/>
      <c r="O112" s="661"/>
      <c r="P112" s="661"/>
      <c r="Q112" s="661"/>
      <c r="R112" s="661"/>
      <c r="S112" s="661"/>
      <c r="T112" s="661"/>
      <c r="U112" s="661"/>
      <c r="V112" s="661"/>
      <c r="W112" s="661"/>
      <c r="X112" s="661"/>
      <c r="Y112" s="661"/>
      <c r="Z112" s="661"/>
      <c r="AA112" s="661"/>
      <c r="AB112" s="661"/>
      <c r="AC112" s="661"/>
      <c r="AD112" s="661"/>
      <c r="AE112" s="661"/>
      <c r="AF112" s="661"/>
      <c r="AG112" s="661"/>
      <c r="AH112" s="661"/>
      <c r="AI112" s="661"/>
      <c r="AJ112" s="661"/>
      <c r="AK112" s="661"/>
      <c r="AL112" s="661"/>
      <c r="AM112" s="661"/>
    </row>
    <row r="113">
      <c r="A113" s="1604">
        <v>46133.0</v>
      </c>
      <c r="B113" s="1605" t="s">
        <v>2807</v>
      </c>
      <c r="C113" s="1588"/>
      <c r="D113" s="1588"/>
      <c r="E113" s="1589"/>
      <c r="F113" s="1589"/>
      <c r="G113" s="1589"/>
      <c r="H113" s="661"/>
      <c r="I113" s="661"/>
      <c r="J113" s="661"/>
      <c r="K113" s="661"/>
      <c r="L113" s="661"/>
      <c r="M113" s="661"/>
      <c r="N113" s="661"/>
      <c r="O113" s="661"/>
      <c r="P113" s="661"/>
      <c r="Q113" s="661"/>
      <c r="R113" s="661"/>
      <c r="S113" s="661"/>
      <c r="T113" s="661"/>
      <c r="U113" s="661"/>
      <c r="V113" s="661"/>
      <c r="W113" s="661"/>
      <c r="X113" s="661"/>
      <c r="Y113" s="661"/>
      <c r="Z113" s="661"/>
      <c r="AA113" s="661"/>
      <c r="AB113" s="661"/>
      <c r="AC113" s="661"/>
      <c r="AD113" s="661"/>
      <c r="AE113" s="661"/>
      <c r="AF113" s="661"/>
      <c r="AG113" s="661"/>
      <c r="AH113" s="661"/>
      <c r="AI113" s="661"/>
      <c r="AJ113" s="661"/>
      <c r="AK113" s="661"/>
      <c r="AL113" s="661"/>
      <c r="AM113" s="661"/>
    </row>
    <row r="114">
      <c r="A114" s="1604">
        <v>46134.0</v>
      </c>
      <c r="B114" s="1605" t="s">
        <v>2807</v>
      </c>
      <c r="C114" s="1588"/>
      <c r="D114" s="1588"/>
      <c r="E114" s="1589"/>
      <c r="F114" s="1589"/>
      <c r="G114" s="1589"/>
      <c r="H114" s="661"/>
      <c r="I114" s="661"/>
      <c r="J114" s="661"/>
      <c r="K114" s="661"/>
      <c r="L114" s="661"/>
      <c r="M114" s="661"/>
      <c r="N114" s="661"/>
      <c r="O114" s="661"/>
      <c r="P114" s="661"/>
      <c r="Q114" s="661"/>
      <c r="R114" s="661"/>
      <c r="S114" s="661"/>
      <c r="T114" s="661"/>
      <c r="U114" s="661"/>
      <c r="V114" s="661"/>
      <c r="W114" s="661"/>
      <c r="X114" s="661"/>
      <c r="Y114" s="661"/>
      <c r="Z114" s="661"/>
      <c r="AA114" s="661"/>
      <c r="AB114" s="661"/>
      <c r="AC114" s="661"/>
      <c r="AD114" s="661"/>
      <c r="AE114" s="661"/>
      <c r="AF114" s="661"/>
      <c r="AG114" s="661"/>
      <c r="AH114" s="661"/>
      <c r="AI114" s="661"/>
      <c r="AJ114" s="661"/>
      <c r="AK114" s="661"/>
      <c r="AL114" s="661"/>
      <c r="AM114" s="661"/>
    </row>
    <row r="115">
      <c r="A115" s="1604">
        <v>46135.0</v>
      </c>
      <c r="B115" s="1605" t="s">
        <v>2807</v>
      </c>
      <c r="C115" s="1588"/>
      <c r="D115" s="1588"/>
      <c r="E115" s="1589"/>
      <c r="F115" s="1589"/>
      <c r="G115" s="1589"/>
      <c r="H115" s="661"/>
      <c r="I115" s="661"/>
      <c r="J115" s="661"/>
      <c r="K115" s="661"/>
      <c r="L115" s="661"/>
      <c r="M115" s="661"/>
      <c r="N115" s="661"/>
      <c r="O115" s="661"/>
      <c r="P115" s="661"/>
      <c r="Q115" s="661"/>
      <c r="R115" s="661"/>
      <c r="S115" s="661"/>
      <c r="T115" s="661"/>
      <c r="U115" s="661"/>
      <c r="V115" s="661"/>
      <c r="W115" s="661"/>
      <c r="X115" s="661"/>
      <c r="Y115" s="661"/>
      <c r="Z115" s="661"/>
      <c r="AA115" s="661"/>
      <c r="AB115" s="661"/>
      <c r="AC115" s="661"/>
      <c r="AD115" s="661"/>
      <c r="AE115" s="661"/>
      <c r="AF115" s="661"/>
      <c r="AG115" s="661"/>
      <c r="AH115" s="661"/>
      <c r="AI115" s="661"/>
      <c r="AJ115" s="661"/>
      <c r="AK115" s="661"/>
      <c r="AL115" s="661"/>
      <c r="AM115" s="661"/>
    </row>
    <row r="116">
      <c r="A116" s="1604">
        <v>46136.0</v>
      </c>
      <c r="B116" s="1605" t="s">
        <v>2807</v>
      </c>
      <c r="C116" s="1588"/>
      <c r="D116" s="1588"/>
      <c r="E116" s="1589"/>
      <c r="F116" s="1589"/>
      <c r="G116" s="1589"/>
      <c r="H116" s="661"/>
      <c r="I116" s="661"/>
      <c r="J116" s="661"/>
      <c r="K116" s="661"/>
      <c r="L116" s="661"/>
      <c r="M116" s="661"/>
      <c r="N116" s="661"/>
      <c r="O116" s="661"/>
      <c r="P116" s="661"/>
      <c r="Q116" s="661"/>
      <c r="R116" s="661"/>
      <c r="S116" s="661"/>
      <c r="T116" s="661"/>
      <c r="U116" s="661"/>
      <c r="V116" s="661"/>
      <c r="W116" s="661"/>
      <c r="X116" s="661"/>
      <c r="Y116" s="661"/>
      <c r="Z116" s="661"/>
      <c r="AA116" s="661"/>
      <c r="AB116" s="661"/>
      <c r="AC116" s="661"/>
      <c r="AD116" s="661"/>
      <c r="AE116" s="661"/>
      <c r="AF116" s="661"/>
      <c r="AG116" s="661"/>
      <c r="AH116" s="661"/>
      <c r="AI116" s="661"/>
      <c r="AJ116" s="661"/>
      <c r="AK116" s="661"/>
      <c r="AL116" s="661"/>
      <c r="AM116" s="661"/>
    </row>
    <row r="117">
      <c r="A117" s="1604">
        <v>46137.0</v>
      </c>
      <c r="B117" s="1605" t="s">
        <v>2807</v>
      </c>
      <c r="C117" s="1588"/>
      <c r="D117" s="1588"/>
      <c r="E117" s="1589"/>
      <c r="F117" s="1589"/>
      <c r="G117" s="1589"/>
      <c r="H117" s="661"/>
      <c r="I117" s="661"/>
      <c r="J117" s="661"/>
      <c r="K117" s="661"/>
      <c r="L117" s="661"/>
      <c r="M117" s="661"/>
      <c r="N117" s="661"/>
      <c r="O117" s="661"/>
      <c r="P117" s="661"/>
      <c r="Q117" s="661"/>
      <c r="R117" s="661"/>
      <c r="S117" s="661"/>
      <c r="T117" s="661"/>
      <c r="U117" s="661"/>
      <c r="V117" s="661"/>
      <c r="W117" s="661"/>
      <c r="X117" s="661"/>
      <c r="Y117" s="661"/>
      <c r="Z117" s="661"/>
      <c r="AA117" s="661"/>
      <c r="AB117" s="661"/>
      <c r="AC117" s="661"/>
      <c r="AD117" s="661"/>
      <c r="AE117" s="661"/>
      <c r="AF117" s="661"/>
      <c r="AG117" s="661"/>
      <c r="AH117" s="661"/>
      <c r="AI117" s="661"/>
      <c r="AJ117" s="661"/>
      <c r="AK117" s="661"/>
      <c r="AL117" s="661"/>
      <c r="AM117" s="661"/>
    </row>
    <row r="118">
      <c r="A118" s="1604">
        <v>46138.0</v>
      </c>
      <c r="B118" s="1605" t="s">
        <v>2807</v>
      </c>
      <c r="C118" s="1588"/>
      <c r="D118" s="1588"/>
      <c r="E118" s="1589"/>
      <c r="F118" s="1589"/>
      <c r="G118" s="1589"/>
      <c r="H118" s="661"/>
      <c r="I118" s="661"/>
      <c r="J118" s="661"/>
      <c r="K118" s="661"/>
      <c r="L118" s="661"/>
      <c r="M118" s="661"/>
      <c r="N118" s="661"/>
      <c r="O118" s="661"/>
      <c r="P118" s="661"/>
      <c r="Q118" s="661"/>
      <c r="R118" s="661"/>
      <c r="S118" s="661"/>
      <c r="T118" s="661"/>
      <c r="U118" s="661"/>
      <c r="V118" s="661"/>
      <c r="W118" s="661"/>
      <c r="X118" s="661"/>
      <c r="Y118" s="661"/>
      <c r="Z118" s="661"/>
      <c r="AA118" s="661"/>
      <c r="AB118" s="661"/>
      <c r="AC118" s="661"/>
      <c r="AD118" s="661"/>
      <c r="AE118" s="661"/>
      <c r="AF118" s="661"/>
      <c r="AG118" s="661"/>
      <c r="AH118" s="661"/>
      <c r="AI118" s="661"/>
      <c r="AJ118" s="661"/>
      <c r="AK118" s="661"/>
      <c r="AL118" s="661"/>
      <c r="AM118" s="661"/>
    </row>
    <row r="119">
      <c r="A119" s="1604">
        <v>46139.0</v>
      </c>
      <c r="B119" s="1605" t="s">
        <v>2807</v>
      </c>
      <c r="C119" s="1588"/>
      <c r="D119" s="1588"/>
      <c r="E119" s="1589"/>
      <c r="F119" s="1589"/>
      <c r="G119" s="1589"/>
      <c r="H119" s="661"/>
      <c r="I119" s="661"/>
      <c r="J119" s="661"/>
      <c r="K119" s="661"/>
      <c r="L119" s="661"/>
      <c r="M119" s="661"/>
      <c r="N119" s="661"/>
      <c r="O119" s="661"/>
      <c r="P119" s="661"/>
      <c r="Q119" s="661"/>
      <c r="R119" s="661"/>
      <c r="S119" s="661"/>
      <c r="T119" s="661"/>
      <c r="U119" s="661"/>
      <c r="V119" s="661"/>
      <c r="W119" s="661"/>
      <c r="X119" s="661"/>
      <c r="Y119" s="661"/>
      <c r="Z119" s="661"/>
      <c r="AA119" s="661"/>
      <c r="AB119" s="661"/>
      <c r="AC119" s="661"/>
      <c r="AD119" s="661"/>
      <c r="AE119" s="661"/>
      <c r="AF119" s="661"/>
      <c r="AG119" s="661"/>
      <c r="AH119" s="661"/>
      <c r="AI119" s="661"/>
      <c r="AJ119" s="661"/>
      <c r="AK119" s="661"/>
      <c r="AL119" s="661"/>
      <c r="AM119" s="661"/>
    </row>
    <row r="120">
      <c r="A120" s="1604">
        <v>46140.0</v>
      </c>
      <c r="B120" s="1605" t="s">
        <v>2807</v>
      </c>
      <c r="C120" s="1588"/>
      <c r="D120" s="1588"/>
      <c r="E120" s="1589"/>
      <c r="F120" s="1589"/>
      <c r="G120" s="1589"/>
      <c r="H120" s="661"/>
      <c r="I120" s="661"/>
      <c r="J120" s="661"/>
      <c r="K120" s="661"/>
      <c r="L120" s="661"/>
      <c r="M120" s="661"/>
      <c r="N120" s="661"/>
      <c r="O120" s="661"/>
      <c r="P120" s="661"/>
      <c r="Q120" s="661"/>
      <c r="R120" s="661"/>
      <c r="S120" s="661"/>
      <c r="T120" s="661"/>
      <c r="U120" s="661"/>
      <c r="V120" s="661"/>
      <c r="W120" s="661"/>
      <c r="X120" s="661"/>
      <c r="Y120" s="661"/>
      <c r="Z120" s="661"/>
      <c r="AA120" s="661"/>
      <c r="AB120" s="661"/>
      <c r="AC120" s="661"/>
      <c r="AD120" s="661"/>
      <c r="AE120" s="661"/>
      <c r="AF120" s="661"/>
      <c r="AG120" s="661"/>
      <c r="AH120" s="661"/>
      <c r="AI120" s="661"/>
      <c r="AJ120" s="661"/>
      <c r="AK120" s="661"/>
      <c r="AL120" s="661"/>
      <c r="AM120" s="661"/>
    </row>
    <row r="121">
      <c r="A121" s="1604">
        <v>46141.0</v>
      </c>
      <c r="B121" s="1605" t="s">
        <v>2807</v>
      </c>
      <c r="C121" s="1588"/>
      <c r="D121" s="1588"/>
      <c r="E121" s="1589"/>
      <c r="F121" s="1589"/>
      <c r="G121" s="1589"/>
      <c r="H121" s="661"/>
      <c r="I121" s="661"/>
      <c r="J121" s="661"/>
      <c r="K121" s="661"/>
      <c r="L121" s="661"/>
      <c r="M121" s="661"/>
      <c r="N121" s="661"/>
      <c r="O121" s="661"/>
      <c r="P121" s="661"/>
      <c r="Q121" s="661"/>
      <c r="R121" s="661"/>
      <c r="S121" s="661"/>
      <c r="T121" s="661"/>
      <c r="U121" s="661"/>
      <c r="V121" s="661"/>
      <c r="W121" s="661"/>
      <c r="X121" s="661"/>
      <c r="Y121" s="661"/>
      <c r="Z121" s="661"/>
      <c r="AA121" s="661"/>
      <c r="AB121" s="661"/>
      <c r="AC121" s="661"/>
      <c r="AD121" s="661"/>
      <c r="AE121" s="661"/>
      <c r="AF121" s="661"/>
      <c r="AG121" s="661"/>
      <c r="AH121" s="661"/>
      <c r="AI121" s="661"/>
      <c r="AJ121" s="661"/>
      <c r="AK121" s="661"/>
      <c r="AL121" s="661"/>
      <c r="AM121" s="661"/>
    </row>
    <row r="122">
      <c r="A122" s="1604">
        <v>46142.0</v>
      </c>
      <c r="B122" s="1605" t="s">
        <v>2807</v>
      </c>
      <c r="C122" s="1588"/>
      <c r="D122" s="1588"/>
      <c r="E122" s="1589"/>
      <c r="F122" s="1589"/>
      <c r="G122" s="1589"/>
      <c r="H122" s="661"/>
      <c r="I122" s="661"/>
      <c r="J122" s="661"/>
      <c r="K122" s="661"/>
      <c r="L122" s="661"/>
      <c r="M122" s="661"/>
      <c r="N122" s="661"/>
      <c r="O122" s="661"/>
      <c r="P122" s="661"/>
      <c r="Q122" s="661"/>
      <c r="R122" s="661"/>
      <c r="S122" s="661"/>
      <c r="T122" s="661"/>
      <c r="U122" s="661"/>
      <c r="V122" s="661"/>
      <c r="W122" s="661"/>
      <c r="X122" s="661"/>
      <c r="Y122" s="661"/>
      <c r="Z122" s="661"/>
      <c r="AA122" s="661"/>
      <c r="AB122" s="661"/>
      <c r="AC122" s="661"/>
      <c r="AD122" s="661"/>
      <c r="AE122" s="661"/>
      <c r="AF122" s="661"/>
      <c r="AG122" s="661"/>
      <c r="AH122" s="661"/>
      <c r="AI122" s="661"/>
      <c r="AJ122" s="661"/>
      <c r="AK122" s="661"/>
      <c r="AL122" s="661"/>
      <c r="AM122" s="661"/>
    </row>
    <row r="123">
      <c r="A123" s="1604">
        <v>46143.0</v>
      </c>
      <c r="B123" s="1605" t="s">
        <v>2807</v>
      </c>
      <c r="C123" s="1588"/>
      <c r="D123" s="1588"/>
      <c r="E123" s="1589"/>
      <c r="F123" s="1589"/>
      <c r="G123" s="1589"/>
      <c r="H123" s="661"/>
      <c r="I123" s="661"/>
      <c r="J123" s="661"/>
      <c r="K123" s="661"/>
      <c r="L123" s="661"/>
      <c r="M123" s="661"/>
      <c r="N123" s="661"/>
      <c r="O123" s="661"/>
      <c r="P123" s="661"/>
      <c r="Q123" s="661"/>
      <c r="R123" s="661"/>
      <c r="S123" s="661"/>
      <c r="T123" s="661"/>
      <c r="U123" s="661"/>
      <c r="V123" s="661"/>
      <c r="W123" s="661"/>
      <c r="X123" s="661"/>
      <c r="Y123" s="661"/>
      <c r="Z123" s="661"/>
      <c r="AA123" s="661"/>
      <c r="AB123" s="661"/>
      <c r="AC123" s="661"/>
      <c r="AD123" s="661"/>
      <c r="AE123" s="661"/>
      <c r="AF123" s="661"/>
      <c r="AG123" s="661"/>
      <c r="AH123" s="661"/>
      <c r="AI123" s="661"/>
      <c r="AJ123" s="661"/>
      <c r="AK123" s="661"/>
      <c r="AL123" s="661"/>
      <c r="AM123" s="661"/>
    </row>
    <row r="124">
      <c r="A124" s="1604">
        <v>46144.0</v>
      </c>
      <c r="B124" s="1605" t="s">
        <v>2807</v>
      </c>
      <c r="C124" s="1588"/>
      <c r="D124" s="1588"/>
      <c r="E124" s="1589"/>
      <c r="F124" s="1589"/>
      <c r="G124" s="1589"/>
      <c r="H124" s="661"/>
      <c r="I124" s="661"/>
      <c r="J124" s="661"/>
      <c r="K124" s="661"/>
      <c r="L124" s="661"/>
      <c r="M124" s="661"/>
      <c r="N124" s="661"/>
      <c r="O124" s="661"/>
      <c r="P124" s="661"/>
      <c r="Q124" s="661"/>
      <c r="R124" s="661"/>
      <c r="S124" s="661"/>
      <c r="T124" s="661"/>
      <c r="U124" s="661"/>
      <c r="V124" s="661"/>
      <c r="W124" s="661"/>
      <c r="X124" s="661"/>
      <c r="Y124" s="661"/>
      <c r="Z124" s="661"/>
      <c r="AA124" s="661"/>
      <c r="AB124" s="661"/>
      <c r="AC124" s="661"/>
      <c r="AD124" s="661"/>
      <c r="AE124" s="661"/>
      <c r="AF124" s="661"/>
      <c r="AG124" s="661"/>
      <c r="AH124" s="661"/>
      <c r="AI124" s="661"/>
      <c r="AJ124" s="661"/>
      <c r="AK124" s="661"/>
      <c r="AL124" s="661"/>
      <c r="AM124" s="661"/>
    </row>
    <row r="125">
      <c r="A125" s="1604">
        <v>46145.0</v>
      </c>
      <c r="B125" s="1605" t="s">
        <v>2807</v>
      </c>
      <c r="C125" s="1588"/>
      <c r="D125" s="1588"/>
      <c r="E125" s="1589"/>
      <c r="F125" s="1589"/>
      <c r="G125" s="1589"/>
      <c r="H125" s="661"/>
      <c r="I125" s="661"/>
      <c r="J125" s="661"/>
      <c r="K125" s="661"/>
      <c r="L125" s="661"/>
      <c r="M125" s="661"/>
      <c r="N125" s="661"/>
      <c r="O125" s="661"/>
      <c r="P125" s="661"/>
      <c r="Q125" s="661"/>
      <c r="R125" s="661"/>
      <c r="S125" s="661"/>
      <c r="T125" s="661"/>
      <c r="U125" s="661"/>
      <c r="V125" s="661"/>
      <c r="W125" s="661"/>
      <c r="X125" s="661"/>
      <c r="Y125" s="661"/>
      <c r="Z125" s="661"/>
      <c r="AA125" s="661"/>
      <c r="AB125" s="661"/>
      <c r="AC125" s="661"/>
      <c r="AD125" s="661"/>
      <c r="AE125" s="661"/>
      <c r="AF125" s="661"/>
      <c r="AG125" s="661"/>
      <c r="AH125" s="661"/>
      <c r="AI125" s="661"/>
      <c r="AJ125" s="661"/>
      <c r="AK125" s="661"/>
      <c r="AL125" s="661"/>
      <c r="AM125" s="661"/>
    </row>
    <row r="126">
      <c r="A126" s="1604">
        <v>46146.0</v>
      </c>
      <c r="B126" s="1605" t="s">
        <v>2807</v>
      </c>
      <c r="C126" s="1588"/>
      <c r="D126" s="1588"/>
      <c r="E126" s="1589"/>
      <c r="F126" s="1589"/>
      <c r="G126" s="1589"/>
      <c r="H126" s="661"/>
      <c r="I126" s="661"/>
      <c r="J126" s="661"/>
      <c r="K126" s="661"/>
      <c r="L126" s="661"/>
      <c r="M126" s="661"/>
      <c r="N126" s="661"/>
      <c r="O126" s="661"/>
      <c r="P126" s="661"/>
      <c r="Q126" s="661"/>
      <c r="R126" s="661"/>
      <c r="S126" s="661"/>
      <c r="T126" s="661"/>
      <c r="U126" s="661"/>
      <c r="V126" s="661"/>
      <c r="W126" s="661"/>
      <c r="X126" s="661"/>
      <c r="Y126" s="661"/>
      <c r="Z126" s="661"/>
      <c r="AA126" s="661"/>
      <c r="AB126" s="661"/>
      <c r="AC126" s="661"/>
      <c r="AD126" s="661"/>
      <c r="AE126" s="661"/>
      <c r="AF126" s="661"/>
      <c r="AG126" s="661"/>
      <c r="AH126" s="661"/>
      <c r="AI126" s="661"/>
      <c r="AJ126" s="661"/>
      <c r="AK126" s="661"/>
      <c r="AL126" s="661"/>
      <c r="AM126" s="661"/>
    </row>
    <row r="127">
      <c r="A127" s="1604">
        <v>46147.0</v>
      </c>
      <c r="B127" s="1605" t="s">
        <v>2807</v>
      </c>
      <c r="C127" s="1588"/>
      <c r="D127" s="1588"/>
      <c r="E127" s="1589"/>
      <c r="F127" s="1589"/>
      <c r="G127" s="1589"/>
      <c r="H127" s="661"/>
      <c r="I127" s="661"/>
      <c r="J127" s="661"/>
      <c r="K127" s="661"/>
      <c r="L127" s="661"/>
      <c r="M127" s="661"/>
      <c r="N127" s="661"/>
      <c r="O127" s="661"/>
      <c r="P127" s="661"/>
      <c r="Q127" s="661"/>
      <c r="R127" s="661"/>
      <c r="S127" s="661"/>
      <c r="T127" s="661"/>
      <c r="U127" s="661"/>
      <c r="V127" s="661"/>
      <c r="W127" s="661"/>
      <c r="X127" s="661"/>
      <c r="Y127" s="661"/>
      <c r="Z127" s="661"/>
      <c r="AA127" s="661"/>
      <c r="AB127" s="661"/>
      <c r="AC127" s="661"/>
      <c r="AD127" s="661"/>
      <c r="AE127" s="661"/>
      <c r="AF127" s="661"/>
      <c r="AG127" s="661"/>
      <c r="AH127" s="661"/>
      <c r="AI127" s="661"/>
      <c r="AJ127" s="661"/>
      <c r="AK127" s="661"/>
      <c r="AL127" s="661"/>
      <c r="AM127" s="661"/>
    </row>
    <row r="128">
      <c r="A128" s="1604">
        <v>46148.0</v>
      </c>
      <c r="B128" s="1605" t="s">
        <v>2807</v>
      </c>
      <c r="C128" s="1588"/>
      <c r="D128" s="1588"/>
      <c r="E128" s="1589"/>
      <c r="F128" s="1589"/>
      <c r="G128" s="1589"/>
      <c r="H128" s="661"/>
      <c r="I128" s="661"/>
      <c r="J128" s="661"/>
      <c r="K128" s="661"/>
      <c r="L128" s="661"/>
      <c r="M128" s="661"/>
      <c r="N128" s="661"/>
      <c r="O128" s="661"/>
      <c r="P128" s="661"/>
      <c r="Q128" s="661"/>
      <c r="R128" s="661"/>
      <c r="S128" s="661"/>
      <c r="T128" s="661"/>
      <c r="U128" s="661"/>
      <c r="V128" s="661"/>
      <c r="W128" s="661"/>
      <c r="X128" s="661"/>
      <c r="Y128" s="661"/>
      <c r="Z128" s="661"/>
      <c r="AA128" s="661"/>
      <c r="AB128" s="661"/>
      <c r="AC128" s="661"/>
      <c r="AD128" s="661"/>
      <c r="AE128" s="661"/>
      <c r="AF128" s="661"/>
      <c r="AG128" s="661"/>
      <c r="AH128" s="661"/>
      <c r="AI128" s="661"/>
      <c r="AJ128" s="661"/>
      <c r="AK128" s="661"/>
      <c r="AL128" s="661"/>
      <c r="AM128" s="661"/>
    </row>
    <row r="129">
      <c r="A129" s="1604">
        <v>46149.0</v>
      </c>
      <c r="B129" s="1605" t="s">
        <v>2807</v>
      </c>
      <c r="C129" s="1588"/>
      <c r="D129" s="1588"/>
      <c r="E129" s="1589"/>
      <c r="F129" s="1589"/>
      <c r="G129" s="1589"/>
      <c r="H129" s="661"/>
      <c r="I129" s="661"/>
      <c r="J129" s="661"/>
      <c r="K129" s="661"/>
      <c r="L129" s="661"/>
      <c r="M129" s="661"/>
      <c r="N129" s="661"/>
      <c r="O129" s="661"/>
      <c r="P129" s="661"/>
      <c r="Q129" s="661"/>
      <c r="R129" s="661"/>
      <c r="S129" s="661"/>
      <c r="T129" s="661"/>
      <c r="U129" s="661"/>
      <c r="V129" s="661"/>
      <c r="W129" s="661"/>
      <c r="X129" s="661"/>
      <c r="Y129" s="661"/>
      <c r="Z129" s="661"/>
      <c r="AA129" s="661"/>
      <c r="AB129" s="661"/>
      <c r="AC129" s="661"/>
      <c r="AD129" s="661"/>
      <c r="AE129" s="661"/>
      <c r="AF129" s="661"/>
      <c r="AG129" s="661"/>
      <c r="AH129" s="661"/>
      <c r="AI129" s="661"/>
      <c r="AJ129" s="661"/>
      <c r="AK129" s="661"/>
      <c r="AL129" s="661"/>
      <c r="AM129" s="661"/>
    </row>
    <row r="130">
      <c r="A130" s="1604">
        <v>46150.0</v>
      </c>
      <c r="B130" s="1605" t="s">
        <v>2807</v>
      </c>
      <c r="C130" s="1588"/>
      <c r="D130" s="1588"/>
      <c r="E130" s="1589"/>
      <c r="F130" s="1589"/>
      <c r="G130" s="1589"/>
      <c r="H130" s="661"/>
      <c r="I130" s="661"/>
      <c r="J130" s="661"/>
      <c r="K130" s="661"/>
      <c r="L130" s="661"/>
      <c r="M130" s="661"/>
      <c r="N130" s="661"/>
      <c r="O130" s="661"/>
      <c r="P130" s="661"/>
      <c r="Q130" s="661"/>
      <c r="R130" s="661"/>
      <c r="S130" s="661"/>
      <c r="T130" s="661"/>
      <c r="U130" s="661"/>
      <c r="V130" s="661"/>
      <c r="W130" s="661"/>
      <c r="X130" s="661"/>
      <c r="Y130" s="661"/>
      <c r="Z130" s="661"/>
      <c r="AA130" s="661"/>
      <c r="AB130" s="661"/>
      <c r="AC130" s="661"/>
      <c r="AD130" s="661"/>
      <c r="AE130" s="661"/>
      <c r="AF130" s="661"/>
      <c r="AG130" s="661"/>
      <c r="AH130" s="661"/>
      <c r="AI130" s="661"/>
      <c r="AJ130" s="661"/>
      <c r="AK130" s="661"/>
      <c r="AL130" s="661"/>
      <c r="AM130" s="661"/>
    </row>
    <row r="131">
      <c r="A131" s="1604">
        <v>46151.0</v>
      </c>
      <c r="B131" s="1605" t="s">
        <v>2807</v>
      </c>
      <c r="C131" s="1588"/>
      <c r="D131" s="1588"/>
      <c r="E131" s="1589"/>
      <c r="F131" s="1589"/>
      <c r="G131" s="1589"/>
      <c r="H131" s="661"/>
      <c r="I131" s="661"/>
      <c r="J131" s="661"/>
      <c r="K131" s="661"/>
      <c r="L131" s="661"/>
      <c r="M131" s="661"/>
      <c r="N131" s="661"/>
      <c r="O131" s="661"/>
      <c r="P131" s="661"/>
      <c r="Q131" s="661"/>
      <c r="R131" s="661"/>
      <c r="S131" s="661"/>
      <c r="T131" s="661"/>
      <c r="U131" s="661"/>
      <c r="V131" s="661"/>
      <c r="W131" s="661"/>
      <c r="X131" s="661"/>
      <c r="Y131" s="661"/>
      <c r="Z131" s="661"/>
      <c r="AA131" s="661"/>
      <c r="AB131" s="661"/>
      <c r="AC131" s="661"/>
      <c r="AD131" s="661"/>
      <c r="AE131" s="661"/>
      <c r="AF131" s="661"/>
      <c r="AG131" s="661"/>
      <c r="AH131" s="661"/>
      <c r="AI131" s="661"/>
      <c r="AJ131" s="661"/>
      <c r="AK131" s="661"/>
      <c r="AL131" s="661"/>
      <c r="AM131" s="661"/>
    </row>
    <row r="132">
      <c r="A132" s="1604">
        <v>46152.0</v>
      </c>
      <c r="B132" s="1605" t="s">
        <v>2807</v>
      </c>
      <c r="C132" s="1588"/>
      <c r="D132" s="1588"/>
      <c r="E132" s="1589"/>
      <c r="F132" s="1589"/>
      <c r="G132" s="1589"/>
      <c r="H132" s="661"/>
      <c r="I132" s="661"/>
      <c r="J132" s="661"/>
      <c r="K132" s="661"/>
      <c r="L132" s="661"/>
      <c r="M132" s="661"/>
      <c r="N132" s="661"/>
      <c r="O132" s="661"/>
      <c r="P132" s="661"/>
      <c r="Q132" s="661"/>
      <c r="R132" s="661"/>
      <c r="S132" s="661"/>
      <c r="T132" s="661"/>
      <c r="U132" s="661"/>
      <c r="V132" s="661"/>
      <c r="W132" s="661"/>
      <c r="X132" s="661"/>
      <c r="Y132" s="661"/>
      <c r="Z132" s="661"/>
      <c r="AA132" s="661"/>
      <c r="AB132" s="661"/>
      <c r="AC132" s="661"/>
      <c r="AD132" s="661"/>
      <c r="AE132" s="661"/>
      <c r="AF132" s="661"/>
      <c r="AG132" s="661"/>
      <c r="AH132" s="661"/>
      <c r="AI132" s="661"/>
      <c r="AJ132" s="661"/>
      <c r="AK132" s="661"/>
      <c r="AL132" s="661"/>
      <c r="AM132" s="661"/>
    </row>
    <row r="133">
      <c r="A133" s="1604">
        <v>46153.0</v>
      </c>
      <c r="B133" s="1605" t="s">
        <v>2807</v>
      </c>
      <c r="C133" s="1588"/>
      <c r="D133" s="1588"/>
      <c r="E133" s="1589"/>
      <c r="F133" s="1589"/>
      <c r="G133" s="1589"/>
      <c r="H133" s="661"/>
      <c r="I133" s="661"/>
      <c r="J133" s="661"/>
      <c r="K133" s="661"/>
      <c r="L133" s="661"/>
      <c r="M133" s="661"/>
      <c r="N133" s="661"/>
      <c r="O133" s="661"/>
      <c r="P133" s="661"/>
      <c r="Q133" s="661"/>
      <c r="R133" s="661"/>
      <c r="S133" s="661"/>
      <c r="T133" s="661"/>
      <c r="U133" s="661"/>
      <c r="V133" s="661"/>
      <c r="W133" s="661"/>
      <c r="X133" s="661"/>
      <c r="Y133" s="661"/>
      <c r="Z133" s="661"/>
      <c r="AA133" s="661"/>
      <c r="AB133" s="661"/>
      <c r="AC133" s="661"/>
      <c r="AD133" s="661"/>
      <c r="AE133" s="661"/>
      <c r="AF133" s="661"/>
      <c r="AG133" s="661"/>
      <c r="AH133" s="661"/>
      <c r="AI133" s="661"/>
      <c r="AJ133" s="661"/>
      <c r="AK133" s="661"/>
      <c r="AL133" s="661"/>
      <c r="AM133" s="661"/>
    </row>
    <row r="134">
      <c r="A134" s="1604">
        <v>46154.0</v>
      </c>
      <c r="B134" s="1605" t="s">
        <v>2807</v>
      </c>
      <c r="C134" s="1588"/>
      <c r="D134" s="1588"/>
      <c r="E134" s="1589"/>
      <c r="F134" s="1589"/>
      <c r="G134" s="1589"/>
      <c r="H134" s="661"/>
      <c r="I134" s="661"/>
      <c r="J134" s="661"/>
      <c r="K134" s="661"/>
      <c r="L134" s="661"/>
      <c r="M134" s="661"/>
      <c r="N134" s="661"/>
      <c r="O134" s="661"/>
      <c r="P134" s="661"/>
      <c r="Q134" s="661"/>
      <c r="R134" s="661"/>
      <c r="S134" s="661"/>
      <c r="T134" s="661"/>
      <c r="U134" s="661"/>
      <c r="V134" s="661"/>
      <c r="W134" s="661"/>
      <c r="X134" s="661"/>
      <c r="Y134" s="661"/>
      <c r="Z134" s="661"/>
      <c r="AA134" s="661"/>
      <c r="AB134" s="661"/>
      <c r="AC134" s="661"/>
      <c r="AD134" s="661"/>
      <c r="AE134" s="661"/>
      <c r="AF134" s="661"/>
      <c r="AG134" s="661"/>
      <c r="AH134" s="661"/>
      <c r="AI134" s="661"/>
      <c r="AJ134" s="661"/>
      <c r="AK134" s="661"/>
      <c r="AL134" s="661"/>
      <c r="AM134" s="661"/>
    </row>
    <row r="135">
      <c r="A135" s="1604">
        <v>46155.0</v>
      </c>
      <c r="B135" s="1605" t="s">
        <v>2807</v>
      </c>
      <c r="C135" s="1588"/>
      <c r="D135" s="1588"/>
      <c r="E135" s="1589"/>
      <c r="F135" s="1589"/>
      <c r="G135" s="1589"/>
      <c r="H135" s="661"/>
      <c r="I135" s="661"/>
      <c r="J135" s="661"/>
      <c r="K135" s="661"/>
      <c r="L135" s="661"/>
      <c r="M135" s="661"/>
      <c r="N135" s="661"/>
      <c r="O135" s="661"/>
      <c r="P135" s="661"/>
      <c r="Q135" s="661"/>
      <c r="R135" s="661"/>
      <c r="S135" s="661"/>
      <c r="T135" s="661"/>
      <c r="U135" s="661"/>
      <c r="V135" s="661"/>
      <c r="W135" s="661"/>
      <c r="X135" s="661"/>
      <c r="Y135" s="661"/>
      <c r="Z135" s="661"/>
      <c r="AA135" s="661"/>
      <c r="AB135" s="661"/>
      <c r="AC135" s="661"/>
      <c r="AD135" s="661"/>
      <c r="AE135" s="661"/>
      <c r="AF135" s="661"/>
      <c r="AG135" s="661"/>
      <c r="AH135" s="661"/>
      <c r="AI135" s="661"/>
      <c r="AJ135" s="661"/>
      <c r="AK135" s="661"/>
      <c r="AL135" s="661"/>
      <c r="AM135" s="661"/>
    </row>
    <row r="136">
      <c r="A136" s="1604">
        <v>46156.0</v>
      </c>
      <c r="B136" s="1605" t="s">
        <v>2807</v>
      </c>
      <c r="C136" s="1588"/>
      <c r="D136" s="1588"/>
      <c r="E136" s="1589"/>
      <c r="F136" s="1589"/>
      <c r="G136" s="1589"/>
      <c r="H136" s="661"/>
      <c r="I136" s="661"/>
      <c r="J136" s="661"/>
      <c r="K136" s="661"/>
      <c r="L136" s="661"/>
      <c r="M136" s="661"/>
      <c r="N136" s="661"/>
      <c r="O136" s="661"/>
      <c r="P136" s="661"/>
      <c r="Q136" s="661"/>
      <c r="R136" s="661"/>
      <c r="S136" s="661"/>
      <c r="T136" s="661"/>
      <c r="U136" s="661"/>
      <c r="V136" s="661"/>
      <c r="W136" s="661"/>
      <c r="X136" s="661"/>
      <c r="Y136" s="661"/>
      <c r="Z136" s="661"/>
      <c r="AA136" s="661"/>
      <c r="AB136" s="661"/>
      <c r="AC136" s="661"/>
      <c r="AD136" s="661"/>
      <c r="AE136" s="661"/>
      <c r="AF136" s="661"/>
      <c r="AG136" s="661"/>
      <c r="AH136" s="661"/>
      <c r="AI136" s="661"/>
      <c r="AJ136" s="661"/>
      <c r="AK136" s="661"/>
      <c r="AL136" s="661"/>
      <c r="AM136" s="661"/>
    </row>
    <row r="137">
      <c r="A137" s="1604">
        <v>46157.0</v>
      </c>
      <c r="B137" s="1605" t="s">
        <v>2807</v>
      </c>
      <c r="C137" s="1588"/>
      <c r="D137" s="1588"/>
      <c r="E137" s="1589"/>
      <c r="F137" s="1589"/>
      <c r="G137" s="1589"/>
      <c r="H137" s="661"/>
      <c r="I137" s="661"/>
      <c r="J137" s="661"/>
      <c r="K137" s="661"/>
      <c r="L137" s="661"/>
      <c r="M137" s="661"/>
      <c r="N137" s="661"/>
      <c r="O137" s="661"/>
      <c r="P137" s="661"/>
      <c r="Q137" s="661"/>
      <c r="R137" s="661"/>
      <c r="S137" s="661"/>
      <c r="T137" s="661"/>
      <c r="U137" s="661"/>
      <c r="V137" s="661"/>
      <c r="W137" s="661"/>
      <c r="X137" s="661"/>
      <c r="Y137" s="661"/>
      <c r="Z137" s="661"/>
      <c r="AA137" s="661"/>
      <c r="AB137" s="661"/>
      <c r="AC137" s="661"/>
      <c r="AD137" s="661"/>
      <c r="AE137" s="661"/>
      <c r="AF137" s="661"/>
      <c r="AG137" s="661"/>
      <c r="AH137" s="661"/>
      <c r="AI137" s="661"/>
      <c r="AJ137" s="661"/>
      <c r="AK137" s="661"/>
      <c r="AL137" s="661"/>
      <c r="AM137" s="661"/>
    </row>
    <row r="138">
      <c r="A138" s="1604">
        <v>46158.0</v>
      </c>
      <c r="B138" s="1605" t="s">
        <v>2807</v>
      </c>
      <c r="C138" s="1588"/>
      <c r="D138" s="1588"/>
      <c r="E138" s="1589"/>
      <c r="F138" s="1589"/>
      <c r="G138" s="1589"/>
      <c r="H138" s="661"/>
      <c r="I138" s="661"/>
      <c r="J138" s="661"/>
      <c r="K138" s="661"/>
      <c r="L138" s="661"/>
      <c r="M138" s="661"/>
      <c r="N138" s="661"/>
      <c r="O138" s="661"/>
      <c r="P138" s="661"/>
      <c r="Q138" s="661"/>
      <c r="R138" s="661"/>
      <c r="S138" s="661"/>
      <c r="T138" s="661"/>
      <c r="U138" s="661"/>
      <c r="V138" s="661"/>
      <c r="W138" s="661"/>
      <c r="X138" s="661"/>
      <c r="Y138" s="661"/>
      <c r="Z138" s="661"/>
      <c r="AA138" s="661"/>
      <c r="AB138" s="661"/>
      <c r="AC138" s="661"/>
      <c r="AD138" s="661"/>
      <c r="AE138" s="661"/>
      <c r="AF138" s="661"/>
      <c r="AG138" s="661"/>
      <c r="AH138" s="661"/>
      <c r="AI138" s="661"/>
      <c r="AJ138" s="661"/>
      <c r="AK138" s="661"/>
      <c r="AL138" s="661"/>
      <c r="AM138" s="661"/>
    </row>
    <row r="139">
      <c r="A139" s="1604">
        <v>46159.0</v>
      </c>
      <c r="B139" s="1605" t="s">
        <v>2807</v>
      </c>
      <c r="C139" s="1588"/>
      <c r="D139" s="1588"/>
      <c r="E139" s="1589"/>
      <c r="F139" s="1589"/>
      <c r="G139" s="1589"/>
      <c r="H139" s="661"/>
      <c r="I139" s="661"/>
      <c r="J139" s="661"/>
      <c r="K139" s="661"/>
      <c r="L139" s="661"/>
      <c r="M139" s="661"/>
      <c r="N139" s="661"/>
      <c r="O139" s="661"/>
      <c r="P139" s="661"/>
      <c r="Q139" s="661"/>
      <c r="R139" s="661"/>
      <c r="S139" s="661"/>
      <c r="T139" s="661"/>
      <c r="U139" s="661"/>
      <c r="V139" s="661"/>
      <c r="W139" s="661"/>
      <c r="X139" s="661"/>
      <c r="Y139" s="661"/>
      <c r="Z139" s="661"/>
      <c r="AA139" s="661"/>
      <c r="AB139" s="661"/>
      <c r="AC139" s="661"/>
      <c r="AD139" s="661"/>
      <c r="AE139" s="661"/>
      <c r="AF139" s="661"/>
      <c r="AG139" s="661"/>
      <c r="AH139" s="661"/>
      <c r="AI139" s="661"/>
      <c r="AJ139" s="661"/>
      <c r="AK139" s="661"/>
      <c r="AL139" s="661"/>
      <c r="AM139" s="661"/>
    </row>
    <row r="140">
      <c r="A140" s="1604">
        <v>46160.0</v>
      </c>
      <c r="B140" s="1605" t="s">
        <v>2807</v>
      </c>
      <c r="C140" s="1588"/>
      <c r="D140" s="1588"/>
      <c r="E140" s="1589"/>
      <c r="F140" s="1589"/>
      <c r="G140" s="1589"/>
      <c r="H140" s="661"/>
      <c r="I140" s="661"/>
      <c r="J140" s="661"/>
      <c r="K140" s="661"/>
      <c r="L140" s="661"/>
      <c r="M140" s="661"/>
      <c r="N140" s="661"/>
      <c r="O140" s="661"/>
      <c r="P140" s="661"/>
      <c r="Q140" s="661"/>
      <c r="R140" s="661"/>
      <c r="S140" s="661"/>
      <c r="T140" s="661"/>
      <c r="U140" s="661"/>
      <c r="V140" s="661"/>
      <c r="W140" s="661"/>
      <c r="X140" s="661"/>
      <c r="Y140" s="661"/>
      <c r="Z140" s="661"/>
      <c r="AA140" s="661"/>
      <c r="AB140" s="661"/>
      <c r="AC140" s="661"/>
      <c r="AD140" s="661"/>
      <c r="AE140" s="661"/>
      <c r="AF140" s="661"/>
      <c r="AG140" s="661"/>
      <c r="AH140" s="661"/>
      <c r="AI140" s="661"/>
      <c r="AJ140" s="661"/>
      <c r="AK140" s="661"/>
      <c r="AL140" s="661"/>
      <c r="AM140" s="661"/>
    </row>
    <row r="141">
      <c r="A141" s="1604">
        <v>46161.0</v>
      </c>
      <c r="B141" s="1605" t="s">
        <v>2807</v>
      </c>
      <c r="C141" s="1588"/>
      <c r="D141" s="1588"/>
      <c r="E141" s="1589"/>
      <c r="F141" s="1589"/>
      <c r="G141" s="1589"/>
      <c r="H141" s="661"/>
      <c r="I141" s="661"/>
      <c r="J141" s="661"/>
      <c r="K141" s="661"/>
      <c r="L141" s="661"/>
      <c r="M141" s="661"/>
      <c r="N141" s="661"/>
      <c r="O141" s="661"/>
      <c r="P141" s="661"/>
      <c r="Q141" s="661"/>
      <c r="R141" s="661"/>
      <c r="S141" s="661"/>
      <c r="T141" s="661"/>
      <c r="U141" s="661"/>
      <c r="V141" s="661"/>
      <c r="W141" s="661"/>
      <c r="X141" s="661"/>
      <c r="Y141" s="661"/>
      <c r="Z141" s="661"/>
      <c r="AA141" s="661"/>
      <c r="AB141" s="661"/>
      <c r="AC141" s="661"/>
      <c r="AD141" s="661"/>
      <c r="AE141" s="661"/>
      <c r="AF141" s="661"/>
      <c r="AG141" s="661"/>
      <c r="AH141" s="661"/>
      <c r="AI141" s="661"/>
      <c r="AJ141" s="661"/>
      <c r="AK141" s="661"/>
      <c r="AL141" s="661"/>
      <c r="AM141" s="661"/>
    </row>
    <row r="142">
      <c r="A142" s="1604">
        <v>46162.0</v>
      </c>
      <c r="B142" s="1605" t="s">
        <v>2807</v>
      </c>
      <c r="C142" s="1588"/>
      <c r="D142" s="1588"/>
      <c r="E142" s="1589"/>
      <c r="F142" s="1589"/>
      <c r="G142" s="1589"/>
      <c r="H142" s="661"/>
      <c r="I142" s="661"/>
      <c r="J142" s="661"/>
      <c r="K142" s="661"/>
      <c r="L142" s="661"/>
      <c r="M142" s="661"/>
      <c r="N142" s="661"/>
      <c r="O142" s="661"/>
      <c r="P142" s="661"/>
      <c r="Q142" s="661"/>
      <c r="R142" s="661"/>
      <c r="S142" s="661"/>
      <c r="T142" s="661"/>
      <c r="U142" s="661"/>
      <c r="V142" s="661"/>
      <c r="W142" s="661"/>
      <c r="X142" s="661"/>
      <c r="Y142" s="661"/>
      <c r="Z142" s="661"/>
      <c r="AA142" s="661"/>
      <c r="AB142" s="661"/>
      <c r="AC142" s="661"/>
      <c r="AD142" s="661"/>
      <c r="AE142" s="661"/>
      <c r="AF142" s="661"/>
      <c r="AG142" s="661"/>
      <c r="AH142" s="661"/>
      <c r="AI142" s="661"/>
      <c r="AJ142" s="661"/>
      <c r="AK142" s="661"/>
      <c r="AL142" s="661"/>
      <c r="AM142" s="661"/>
    </row>
    <row r="143">
      <c r="A143" s="1604">
        <v>46163.0</v>
      </c>
      <c r="B143" s="1605" t="s">
        <v>2807</v>
      </c>
      <c r="C143" s="1588"/>
      <c r="D143" s="1588"/>
      <c r="E143" s="1589"/>
      <c r="F143" s="1589"/>
      <c r="G143" s="1589"/>
      <c r="H143" s="661"/>
      <c r="I143" s="661"/>
      <c r="J143" s="661"/>
      <c r="K143" s="661"/>
      <c r="L143" s="661"/>
      <c r="M143" s="661"/>
      <c r="N143" s="661"/>
      <c r="O143" s="661"/>
      <c r="P143" s="661"/>
      <c r="Q143" s="661"/>
      <c r="R143" s="661"/>
      <c r="S143" s="661"/>
      <c r="T143" s="661"/>
      <c r="U143" s="661"/>
      <c r="V143" s="661"/>
      <c r="W143" s="661"/>
      <c r="X143" s="661"/>
      <c r="Y143" s="661"/>
      <c r="Z143" s="661"/>
      <c r="AA143" s="661"/>
      <c r="AB143" s="661"/>
      <c r="AC143" s="661"/>
      <c r="AD143" s="661"/>
      <c r="AE143" s="661"/>
      <c r="AF143" s="661"/>
      <c r="AG143" s="661"/>
      <c r="AH143" s="661"/>
      <c r="AI143" s="661"/>
      <c r="AJ143" s="661"/>
      <c r="AK143" s="661"/>
      <c r="AL143" s="661"/>
      <c r="AM143" s="661"/>
    </row>
    <row r="144">
      <c r="A144" s="1604">
        <v>46164.0</v>
      </c>
      <c r="B144" s="1605" t="s">
        <v>2807</v>
      </c>
      <c r="C144" s="1588"/>
      <c r="D144" s="1588"/>
      <c r="E144" s="1589"/>
      <c r="F144" s="1589"/>
      <c r="G144" s="1589"/>
      <c r="H144" s="661"/>
      <c r="I144" s="661"/>
      <c r="J144" s="661"/>
      <c r="K144" s="661"/>
      <c r="L144" s="661"/>
      <c r="M144" s="661"/>
      <c r="N144" s="661"/>
      <c r="O144" s="661"/>
      <c r="P144" s="661"/>
      <c r="Q144" s="661"/>
      <c r="R144" s="661"/>
      <c r="S144" s="661"/>
      <c r="T144" s="661"/>
      <c r="U144" s="661"/>
      <c r="V144" s="661"/>
      <c r="W144" s="661"/>
      <c r="X144" s="661"/>
      <c r="Y144" s="661"/>
      <c r="Z144" s="661"/>
      <c r="AA144" s="661"/>
      <c r="AB144" s="661"/>
      <c r="AC144" s="661"/>
      <c r="AD144" s="661"/>
      <c r="AE144" s="661"/>
      <c r="AF144" s="661"/>
      <c r="AG144" s="661"/>
      <c r="AH144" s="661"/>
      <c r="AI144" s="661"/>
      <c r="AJ144" s="661"/>
      <c r="AK144" s="661"/>
      <c r="AL144" s="661"/>
      <c r="AM144" s="661"/>
    </row>
    <row r="145">
      <c r="A145" s="1604">
        <v>46165.0</v>
      </c>
      <c r="B145" s="1605" t="s">
        <v>2807</v>
      </c>
      <c r="C145" s="1588"/>
      <c r="D145" s="1588"/>
      <c r="E145" s="1589"/>
      <c r="F145" s="1589"/>
      <c r="G145" s="1589"/>
      <c r="H145" s="661"/>
      <c r="I145" s="661"/>
      <c r="J145" s="661"/>
      <c r="K145" s="661"/>
      <c r="L145" s="661"/>
      <c r="M145" s="661"/>
      <c r="N145" s="661"/>
      <c r="O145" s="661"/>
      <c r="P145" s="661"/>
      <c r="Q145" s="661"/>
      <c r="R145" s="661"/>
      <c r="S145" s="661"/>
      <c r="T145" s="661"/>
      <c r="U145" s="661"/>
      <c r="V145" s="661"/>
      <c r="W145" s="661"/>
      <c r="X145" s="661"/>
      <c r="Y145" s="661"/>
      <c r="Z145" s="661"/>
      <c r="AA145" s="661"/>
      <c r="AB145" s="661"/>
      <c r="AC145" s="661"/>
      <c r="AD145" s="661"/>
      <c r="AE145" s="661"/>
      <c r="AF145" s="661"/>
      <c r="AG145" s="661"/>
      <c r="AH145" s="661"/>
      <c r="AI145" s="661"/>
      <c r="AJ145" s="661"/>
      <c r="AK145" s="661"/>
      <c r="AL145" s="661"/>
      <c r="AM145" s="661"/>
    </row>
    <row r="146">
      <c r="A146" s="1604">
        <v>46166.0</v>
      </c>
      <c r="B146" s="1605" t="s">
        <v>2807</v>
      </c>
      <c r="C146" s="1588"/>
      <c r="D146" s="1588"/>
      <c r="E146" s="1589"/>
      <c r="F146" s="1589"/>
      <c r="G146" s="1589"/>
      <c r="H146" s="661"/>
      <c r="I146" s="661"/>
      <c r="J146" s="661"/>
      <c r="K146" s="661"/>
      <c r="L146" s="661"/>
      <c r="M146" s="661"/>
      <c r="N146" s="661"/>
      <c r="O146" s="661"/>
      <c r="P146" s="661"/>
      <c r="Q146" s="661"/>
      <c r="R146" s="661"/>
      <c r="S146" s="661"/>
      <c r="T146" s="661"/>
      <c r="U146" s="661"/>
      <c r="V146" s="661"/>
      <c r="W146" s="661"/>
      <c r="X146" s="661"/>
      <c r="Y146" s="661"/>
      <c r="Z146" s="661"/>
      <c r="AA146" s="661"/>
      <c r="AB146" s="661"/>
      <c r="AC146" s="661"/>
      <c r="AD146" s="661"/>
      <c r="AE146" s="661"/>
      <c r="AF146" s="661"/>
      <c r="AG146" s="661"/>
      <c r="AH146" s="661"/>
      <c r="AI146" s="661"/>
      <c r="AJ146" s="661"/>
      <c r="AK146" s="661"/>
      <c r="AL146" s="661"/>
      <c r="AM146" s="661"/>
    </row>
    <row r="147">
      <c r="A147" s="1604">
        <v>46167.0</v>
      </c>
      <c r="B147" s="1605" t="s">
        <v>2807</v>
      </c>
      <c r="C147" s="1588"/>
      <c r="D147" s="1588"/>
      <c r="E147" s="1589"/>
      <c r="F147" s="1589"/>
      <c r="G147" s="1589"/>
      <c r="H147" s="661"/>
      <c r="I147" s="661"/>
      <c r="J147" s="661"/>
      <c r="K147" s="661"/>
      <c r="L147" s="661"/>
      <c r="M147" s="661"/>
      <c r="N147" s="661"/>
      <c r="O147" s="661"/>
      <c r="P147" s="661"/>
      <c r="Q147" s="661"/>
      <c r="R147" s="661"/>
      <c r="S147" s="661"/>
      <c r="T147" s="661"/>
      <c r="U147" s="661"/>
      <c r="V147" s="661"/>
      <c r="W147" s="661"/>
      <c r="X147" s="661"/>
      <c r="Y147" s="661"/>
      <c r="Z147" s="661"/>
      <c r="AA147" s="661"/>
      <c r="AB147" s="661"/>
      <c r="AC147" s="661"/>
      <c r="AD147" s="661"/>
      <c r="AE147" s="661"/>
      <c r="AF147" s="661"/>
      <c r="AG147" s="661"/>
      <c r="AH147" s="661"/>
      <c r="AI147" s="661"/>
      <c r="AJ147" s="661"/>
      <c r="AK147" s="661"/>
      <c r="AL147" s="661"/>
      <c r="AM147" s="661"/>
    </row>
    <row r="148">
      <c r="A148" s="1604">
        <v>46168.0</v>
      </c>
      <c r="B148" s="1605" t="s">
        <v>2807</v>
      </c>
      <c r="C148" s="1588"/>
      <c r="D148" s="1588"/>
      <c r="E148" s="1589"/>
      <c r="F148" s="1589"/>
      <c r="G148" s="1589"/>
      <c r="H148" s="661"/>
      <c r="I148" s="661"/>
      <c r="J148" s="661"/>
      <c r="K148" s="661"/>
      <c r="L148" s="661"/>
      <c r="M148" s="661"/>
      <c r="N148" s="661"/>
      <c r="O148" s="661"/>
      <c r="P148" s="661"/>
      <c r="Q148" s="661"/>
      <c r="R148" s="661"/>
      <c r="S148" s="661"/>
      <c r="T148" s="661"/>
      <c r="U148" s="661"/>
      <c r="V148" s="661"/>
      <c r="W148" s="661"/>
      <c r="X148" s="661"/>
      <c r="Y148" s="661"/>
      <c r="Z148" s="661"/>
      <c r="AA148" s="661"/>
      <c r="AB148" s="661"/>
      <c r="AC148" s="661"/>
      <c r="AD148" s="661"/>
      <c r="AE148" s="661"/>
      <c r="AF148" s="661"/>
      <c r="AG148" s="661"/>
      <c r="AH148" s="661"/>
      <c r="AI148" s="661"/>
      <c r="AJ148" s="661"/>
      <c r="AK148" s="661"/>
      <c r="AL148" s="661"/>
      <c r="AM148" s="661"/>
    </row>
    <row r="149">
      <c r="A149" s="1604">
        <v>46169.0</v>
      </c>
      <c r="B149" s="1605" t="s">
        <v>2807</v>
      </c>
      <c r="C149" s="1588"/>
      <c r="D149" s="1588"/>
      <c r="E149" s="1589"/>
      <c r="F149" s="1589"/>
      <c r="G149" s="1589"/>
      <c r="H149" s="661"/>
      <c r="I149" s="661"/>
      <c r="J149" s="661"/>
      <c r="K149" s="661"/>
      <c r="L149" s="661"/>
      <c r="M149" s="661"/>
      <c r="N149" s="661"/>
      <c r="O149" s="661"/>
      <c r="P149" s="661"/>
      <c r="Q149" s="661"/>
      <c r="R149" s="661"/>
      <c r="S149" s="661"/>
      <c r="T149" s="661"/>
      <c r="U149" s="661"/>
      <c r="V149" s="661"/>
      <c r="W149" s="661"/>
      <c r="X149" s="661"/>
      <c r="Y149" s="661"/>
      <c r="Z149" s="661"/>
      <c r="AA149" s="661"/>
      <c r="AB149" s="661"/>
      <c r="AC149" s="661"/>
      <c r="AD149" s="661"/>
      <c r="AE149" s="661"/>
      <c r="AF149" s="661"/>
      <c r="AG149" s="661"/>
      <c r="AH149" s="661"/>
      <c r="AI149" s="661"/>
      <c r="AJ149" s="661"/>
      <c r="AK149" s="661"/>
      <c r="AL149" s="661"/>
      <c r="AM149" s="661"/>
    </row>
    <row r="150">
      <c r="A150" s="1604">
        <v>46170.0</v>
      </c>
      <c r="B150" s="1605" t="s">
        <v>2807</v>
      </c>
      <c r="C150" s="1588"/>
      <c r="D150" s="1588"/>
      <c r="E150" s="1589"/>
      <c r="F150" s="1589"/>
      <c r="G150" s="1589"/>
      <c r="H150" s="661"/>
      <c r="I150" s="661"/>
      <c r="J150" s="661"/>
      <c r="K150" s="661"/>
      <c r="L150" s="661"/>
      <c r="M150" s="661"/>
      <c r="N150" s="661"/>
      <c r="O150" s="661"/>
      <c r="P150" s="661"/>
      <c r="Q150" s="661"/>
      <c r="R150" s="661"/>
      <c r="S150" s="661"/>
      <c r="T150" s="661"/>
      <c r="U150" s="661"/>
      <c r="V150" s="661"/>
      <c r="W150" s="661"/>
      <c r="X150" s="661"/>
      <c r="Y150" s="661"/>
      <c r="Z150" s="661"/>
      <c r="AA150" s="661"/>
      <c r="AB150" s="661"/>
      <c r="AC150" s="661"/>
      <c r="AD150" s="661"/>
      <c r="AE150" s="661"/>
      <c r="AF150" s="661"/>
      <c r="AG150" s="661"/>
      <c r="AH150" s="661"/>
      <c r="AI150" s="661"/>
      <c r="AJ150" s="661"/>
      <c r="AK150" s="661"/>
      <c r="AL150" s="661"/>
      <c r="AM150" s="661"/>
    </row>
    <row r="151">
      <c r="A151" s="1604">
        <v>46171.0</v>
      </c>
      <c r="B151" s="1605" t="s">
        <v>2807</v>
      </c>
      <c r="C151" s="1588"/>
      <c r="D151" s="1588"/>
      <c r="E151" s="1589"/>
      <c r="F151" s="1589"/>
      <c r="G151" s="1589"/>
      <c r="H151" s="661"/>
      <c r="I151" s="661"/>
      <c r="J151" s="661"/>
      <c r="K151" s="661"/>
      <c r="L151" s="661"/>
      <c r="M151" s="661"/>
      <c r="N151" s="661"/>
      <c r="O151" s="661"/>
      <c r="P151" s="661"/>
      <c r="Q151" s="661"/>
      <c r="R151" s="661"/>
      <c r="S151" s="661"/>
      <c r="T151" s="661"/>
      <c r="U151" s="661"/>
      <c r="V151" s="661"/>
      <c r="W151" s="661"/>
      <c r="X151" s="661"/>
      <c r="Y151" s="661"/>
      <c r="Z151" s="661"/>
      <c r="AA151" s="661"/>
      <c r="AB151" s="661"/>
      <c r="AC151" s="661"/>
      <c r="AD151" s="661"/>
      <c r="AE151" s="661"/>
      <c r="AF151" s="661"/>
      <c r="AG151" s="661"/>
      <c r="AH151" s="661"/>
      <c r="AI151" s="661"/>
      <c r="AJ151" s="661"/>
      <c r="AK151" s="661"/>
      <c r="AL151" s="661"/>
      <c r="AM151" s="661"/>
    </row>
    <row r="152">
      <c r="A152" s="1604">
        <v>46172.0</v>
      </c>
      <c r="B152" s="1605" t="s">
        <v>2807</v>
      </c>
      <c r="C152" s="1588"/>
      <c r="D152" s="1588"/>
      <c r="E152" s="1589"/>
      <c r="F152" s="1589"/>
      <c r="G152" s="1589"/>
      <c r="H152" s="661"/>
      <c r="I152" s="661"/>
      <c r="J152" s="661"/>
      <c r="K152" s="661"/>
      <c r="L152" s="661"/>
      <c r="M152" s="661"/>
      <c r="N152" s="661"/>
      <c r="O152" s="661"/>
      <c r="P152" s="661"/>
      <c r="Q152" s="661"/>
      <c r="R152" s="661"/>
      <c r="S152" s="661"/>
      <c r="T152" s="661"/>
      <c r="U152" s="661"/>
      <c r="V152" s="661"/>
      <c r="W152" s="661"/>
      <c r="X152" s="661"/>
      <c r="Y152" s="661"/>
      <c r="Z152" s="661"/>
      <c r="AA152" s="661"/>
      <c r="AB152" s="661"/>
      <c r="AC152" s="661"/>
      <c r="AD152" s="661"/>
      <c r="AE152" s="661"/>
      <c r="AF152" s="661"/>
      <c r="AG152" s="661"/>
      <c r="AH152" s="661"/>
      <c r="AI152" s="661"/>
      <c r="AJ152" s="661"/>
      <c r="AK152" s="661"/>
      <c r="AL152" s="661"/>
      <c r="AM152" s="661"/>
    </row>
    <row r="153">
      <c r="A153" s="1604">
        <v>46173.0</v>
      </c>
      <c r="B153" s="1605" t="s">
        <v>2807</v>
      </c>
      <c r="C153" s="1588"/>
      <c r="D153" s="1588"/>
      <c r="E153" s="1589"/>
      <c r="F153" s="1589"/>
      <c r="G153" s="1589"/>
      <c r="H153" s="661"/>
      <c r="I153" s="661"/>
      <c r="J153" s="661"/>
      <c r="K153" s="661"/>
      <c r="L153" s="661"/>
      <c r="M153" s="661"/>
      <c r="N153" s="661"/>
      <c r="O153" s="661"/>
      <c r="P153" s="661"/>
      <c r="Q153" s="661"/>
      <c r="R153" s="661"/>
      <c r="S153" s="661"/>
      <c r="T153" s="661"/>
      <c r="U153" s="661"/>
      <c r="V153" s="661"/>
      <c r="W153" s="661"/>
      <c r="X153" s="661"/>
      <c r="Y153" s="661"/>
      <c r="Z153" s="661"/>
      <c r="AA153" s="661"/>
      <c r="AB153" s="661"/>
      <c r="AC153" s="661"/>
      <c r="AD153" s="661"/>
      <c r="AE153" s="661"/>
      <c r="AF153" s="661"/>
      <c r="AG153" s="661"/>
      <c r="AH153" s="661"/>
      <c r="AI153" s="661"/>
      <c r="AJ153" s="661"/>
      <c r="AK153" s="661"/>
      <c r="AL153" s="661"/>
      <c r="AM153" s="661"/>
    </row>
    <row r="154">
      <c r="A154" s="1604">
        <v>46174.0</v>
      </c>
      <c r="B154" s="1605" t="s">
        <v>2807</v>
      </c>
      <c r="C154" s="1588"/>
      <c r="D154" s="1588"/>
      <c r="E154" s="1589"/>
      <c r="F154" s="1589"/>
      <c r="G154" s="1589"/>
      <c r="H154" s="661"/>
      <c r="I154" s="661"/>
      <c r="J154" s="661"/>
      <c r="K154" s="661"/>
      <c r="L154" s="661"/>
      <c r="M154" s="661"/>
      <c r="N154" s="661"/>
      <c r="O154" s="661"/>
      <c r="P154" s="661"/>
      <c r="Q154" s="661"/>
      <c r="R154" s="661"/>
      <c r="S154" s="661"/>
      <c r="T154" s="661"/>
      <c r="U154" s="661"/>
      <c r="V154" s="661"/>
      <c r="W154" s="661"/>
      <c r="X154" s="661"/>
      <c r="Y154" s="661"/>
      <c r="Z154" s="661"/>
      <c r="AA154" s="661"/>
      <c r="AB154" s="661"/>
      <c r="AC154" s="661"/>
      <c r="AD154" s="661"/>
      <c r="AE154" s="661"/>
      <c r="AF154" s="661"/>
      <c r="AG154" s="661"/>
      <c r="AH154" s="661"/>
      <c r="AI154" s="661"/>
      <c r="AJ154" s="661"/>
      <c r="AK154" s="661"/>
      <c r="AL154" s="661"/>
      <c r="AM154" s="661"/>
    </row>
    <row r="155">
      <c r="A155" s="1604">
        <v>46175.0</v>
      </c>
      <c r="B155" s="1605" t="s">
        <v>2807</v>
      </c>
      <c r="C155" s="1588"/>
      <c r="D155" s="1588"/>
      <c r="E155" s="1589"/>
      <c r="F155" s="1589"/>
      <c r="G155" s="1589"/>
      <c r="H155" s="661"/>
      <c r="I155" s="661"/>
      <c r="J155" s="661"/>
      <c r="K155" s="661"/>
      <c r="L155" s="661"/>
      <c r="M155" s="661"/>
      <c r="N155" s="661"/>
      <c r="O155" s="661"/>
      <c r="P155" s="661"/>
      <c r="Q155" s="661"/>
      <c r="R155" s="661"/>
      <c r="S155" s="661"/>
      <c r="T155" s="661"/>
      <c r="U155" s="661"/>
      <c r="V155" s="661"/>
      <c r="W155" s="661"/>
      <c r="X155" s="661"/>
      <c r="Y155" s="661"/>
      <c r="Z155" s="661"/>
      <c r="AA155" s="661"/>
      <c r="AB155" s="661"/>
      <c r="AC155" s="661"/>
      <c r="AD155" s="661"/>
      <c r="AE155" s="661"/>
      <c r="AF155" s="661"/>
      <c r="AG155" s="661"/>
      <c r="AH155" s="661"/>
      <c r="AI155" s="661"/>
      <c r="AJ155" s="661"/>
      <c r="AK155" s="661"/>
      <c r="AL155" s="661"/>
      <c r="AM155" s="661"/>
    </row>
    <row r="156">
      <c r="A156" s="1604">
        <v>46176.0</v>
      </c>
      <c r="B156" s="1605" t="s">
        <v>2807</v>
      </c>
      <c r="C156" s="1588"/>
      <c r="D156" s="1588"/>
      <c r="E156" s="1589"/>
      <c r="F156" s="1589"/>
      <c r="G156" s="1589"/>
      <c r="H156" s="661"/>
      <c r="I156" s="661"/>
      <c r="J156" s="661"/>
      <c r="K156" s="661"/>
      <c r="L156" s="661"/>
      <c r="M156" s="661"/>
      <c r="N156" s="661"/>
      <c r="O156" s="661"/>
      <c r="P156" s="661"/>
      <c r="Q156" s="661"/>
      <c r="R156" s="661"/>
      <c r="S156" s="661"/>
      <c r="T156" s="661"/>
      <c r="U156" s="661"/>
      <c r="V156" s="661"/>
      <c r="W156" s="661"/>
      <c r="X156" s="661"/>
      <c r="Y156" s="661"/>
      <c r="Z156" s="661"/>
      <c r="AA156" s="661"/>
      <c r="AB156" s="661"/>
      <c r="AC156" s="661"/>
      <c r="AD156" s="661"/>
      <c r="AE156" s="661"/>
      <c r="AF156" s="661"/>
      <c r="AG156" s="661"/>
      <c r="AH156" s="661"/>
      <c r="AI156" s="661"/>
      <c r="AJ156" s="661"/>
      <c r="AK156" s="661"/>
      <c r="AL156" s="661"/>
      <c r="AM156" s="661"/>
    </row>
    <row r="157">
      <c r="A157" s="1604">
        <v>46177.0</v>
      </c>
      <c r="B157" s="1605" t="s">
        <v>2807</v>
      </c>
      <c r="C157" s="1588"/>
      <c r="D157" s="1588"/>
      <c r="E157" s="1589"/>
      <c r="F157" s="1589"/>
      <c r="G157" s="1589"/>
      <c r="H157" s="661"/>
      <c r="I157" s="661"/>
      <c r="J157" s="661"/>
      <c r="K157" s="661"/>
      <c r="L157" s="661"/>
      <c r="M157" s="661"/>
      <c r="N157" s="661"/>
      <c r="O157" s="661"/>
      <c r="P157" s="661"/>
      <c r="Q157" s="661"/>
      <c r="R157" s="661"/>
      <c r="S157" s="661"/>
      <c r="T157" s="661"/>
      <c r="U157" s="661"/>
      <c r="V157" s="661"/>
      <c r="W157" s="661"/>
      <c r="X157" s="661"/>
      <c r="Y157" s="661"/>
      <c r="Z157" s="661"/>
      <c r="AA157" s="661"/>
      <c r="AB157" s="661"/>
      <c r="AC157" s="661"/>
      <c r="AD157" s="661"/>
      <c r="AE157" s="661"/>
      <c r="AF157" s="661"/>
      <c r="AG157" s="661"/>
      <c r="AH157" s="661"/>
      <c r="AI157" s="661"/>
      <c r="AJ157" s="661"/>
      <c r="AK157" s="661"/>
      <c r="AL157" s="661"/>
      <c r="AM157" s="661"/>
    </row>
    <row r="158">
      <c r="A158" s="1604">
        <v>46178.0</v>
      </c>
      <c r="B158" s="1605" t="s">
        <v>2807</v>
      </c>
      <c r="C158" s="1588"/>
      <c r="D158" s="1588"/>
      <c r="E158" s="1589"/>
      <c r="F158" s="1589"/>
      <c r="G158" s="1589"/>
      <c r="H158" s="661"/>
      <c r="I158" s="661"/>
      <c r="J158" s="661"/>
      <c r="K158" s="661"/>
      <c r="L158" s="661"/>
      <c r="M158" s="661"/>
      <c r="N158" s="661"/>
      <c r="O158" s="661"/>
      <c r="P158" s="661"/>
      <c r="Q158" s="661"/>
      <c r="R158" s="661"/>
      <c r="S158" s="661"/>
      <c r="T158" s="661"/>
      <c r="U158" s="661"/>
      <c r="V158" s="661"/>
      <c r="W158" s="661"/>
      <c r="X158" s="661"/>
      <c r="Y158" s="661"/>
      <c r="Z158" s="661"/>
      <c r="AA158" s="661"/>
      <c r="AB158" s="661"/>
      <c r="AC158" s="661"/>
      <c r="AD158" s="661"/>
      <c r="AE158" s="661"/>
      <c r="AF158" s="661"/>
      <c r="AG158" s="661"/>
      <c r="AH158" s="661"/>
      <c r="AI158" s="661"/>
      <c r="AJ158" s="661"/>
      <c r="AK158" s="661"/>
      <c r="AL158" s="661"/>
      <c r="AM158" s="661"/>
    </row>
    <row r="159">
      <c r="A159" s="1604">
        <v>46179.0</v>
      </c>
      <c r="B159" s="1605" t="s">
        <v>2807</v>
      </c>
      <c r="C159" s="1588"/>
      <c r="D159" s="1588"/>
      <c r="E159" s="1589"/>
      <c r="F159" s="1589"/>
      <c r="G159" s="1589"/>
      <c r="H159" s="661"/>
      <c r="I159" s="661"/>
      <c r="J159" s="661"/>
      <c r="K159" s="661"/>
      <c r="L159" s="661"/>
      <c r="M159" s="661"/>
      <c r="N159" s="661"/>
      <c r="O159" s="661"/>
      <c r="P159" s="661"/>
      <c r="Q159" s="661"/>
      <c r="R159" s="661"/>
      <c r="S159" s="661"/>
      <c r="T159" s="661"/>
      <c r="U159" s="661"/>
      <c r="V159" s="661"/>
      <c r="W159" s="661"/>
      <c r="X159" s="661"/>
      <c r="Y159" s="661"/>
      <c r="Z159" s="661"/>
      <c r="AA159" s="661"/>
      <c r="AB159" s="661"/>
      <c r="AC159" s="661"/>
      <c r="AD159" s="661"/>
      <c r="AE159" s="661"/>
      <c r="AF159" s="661"/>
      <c r="AG159" s="661"/>
      <c r="AH159" s="661"/>
      <c r="AI159" s="661"/>
      <c r="AJ159" s="661"/>
      <c r="AK159" s="661"/>
      <c r="AL159" s="661"/>
      <c r="AM159" s="661"/>
    </row>
    <row r="160">
      <c r="A160" s="1604">
        <v>46180.0</v>
      </c>
      <c r="B160" s="1605" t="s">
        <v>2807</v>
      </c>
      <c r="C160" s="1588"/>
      <c r="D160" s="1588"/>
      <c r="E160" s="1589"/>
      <c r="F160" s="1589"/>
      <c r="G160" s="1589"/>
      <c r="H160" s="661"/>
      <c r="I160" s="661"/>
      <c r="J160" s="661"/>
      <c r="K160" s="661"/>
      <c r="L160" s="661"/>
      <c r="M160" s="661"/>
      <c r="N160" s="661"/>
      <c r="O160" s="661"/>
      <c r="P160" s="661"/>
      <c r="Q160" s="661"/>
      <c r="R160" s="661"/>
      <c r="S160" s="661"/>
      <c r="T160" s="661"/>
      <c r="U160" s="661"/>
      <c r="V160" s="661"/>
      <c r="W160" s="661"/>
      <c r="X160" s="661"/>
      <c r="Y160" s="661"/>
      <c r="Z160" s="661"/>
      <c r="AA160" s="661"/>
      <c r="AB160" s="661"/>
      <c r="AC160" s="661"/>
      <c r="AD160" s="661"/>
      <c r="AE160" s="661"/>
      <c r="AF160" s="661"/>
      <c r="AG160" s="661"/>
      <c r="AH160" s="661"/>
      <c r="AI160" s="661"/>
      <c r="AJ160" s="661"/>
      <c r="AK160" s="661"/>
      <c r="AL160" s="661"/>
      <c r="AM160" s="661"/>
    </row>
    <row r="161">
      <c r="A161" s="1604">
        <v>46181.0</v>
      </c>
      <c r="B161" s="1605" t="s">
        <v>2807</v>
      </c>
      <c r="C161" s="1588"/>
      <c r="D161" s="1588"/>
      <c r="E161" s="1589"/>
      <c r="F161" s="1589"/>
      <c r="G161" s="1589"/>
      <c r="H161" s="661"/>
      <c r="I161" s="661"/>
      <c r="J161" s="661"/>
      <c r="K161" s="661"/>
      <c r="L161" s="661"/>
      <c r="M161" s="661"/>
      <c r="N161" s="661"/>
      <c r="O161" s="661"/>
      <c r="P161" s="661"/>
      <c r="Q161" s="661"/>
      <c r="R161" s="661"/>
      <c r="S161" s="661"/>
      <c r="T161" s="661"/>
      <c r="U161" s="661"/>
      <c r="V161" s="661"/>
      <c r="W161" s="661"/>
      <c r="X161" s="661"/>
      <c r="Y161" s="661"/>
      <c r="Z161" s="661"/>
      <c r="AA161" s="661"/>
      <c r="AB161" s="661"/>
      <c r="AC161" s="661"/>
      <c r="AD161" s="661"/>
      <c r="AE161" s="661"/>
      <c r="AF161" s="661"/>
      <c r="AG161" s="661"/>
      <c r="AH161" s="661"/>
      <c r="AI161" s="661"/>
      <c r="AJ161" s="661"/>
      <c r="AK161" s="661"/>
      <c r="AL161" s="661"/>
      <c r="AM161" s="661"/>
    </row>
    <row r="162">
      <c r="A162" s="1604">
        <v>46182.0</v>
      </c>
      <c r="B162" s="1605" t="s">
        <v>2807</v>
      </c>
      <c r="C162" s="1588"/>
      <c r="D162" s="1588"/>
      <c r="E162" s="1589"/>
      <c r="F162" s="1589"/>
      <c r="G162" s="1589"/>
      <c r="H162" s="661"/>
      <c r="I162" s="661"/>
      <c r="J162" s="661"/>
      <c r="K162" s="661"/>
      <c r="L162" s="661"/>
      <c r="M162" s="661"/>
      <c r="N162" s="661"/>
      <c r="O162" s="661"/>
      <c r="P162" s="661"/>
      <c r="Q162" s="661"/>
      <c r="R162" s="661"/>
      <c r="S162" s="661"/>
      <c r="T162" s="661"/>
      <c r="U162" s="661"/>
      <c r="V162" s="661"/>
      <c r="W162" s="661"/>
      <c r="X162" s="661"/>
      <c r="Y162" s="661"/>
      <c r="Z162" s="661"/>
      <c r="AA162" s="661"/>
      <c r="AB162" s="661"/>
      <c r="AC162" s="661"/>
      <c r="AD162" s="661"/>
      <c r="AE162" s="661"/>
      <c r="AF162" s="661"/>
      <c r="AG162" s="661"/>
      <c r="AH162" s="661"/>
      <c r="AI162" s="661"/>
      <c r="AJ162" s="661"/>
      <c r="AK162" s="661"/>
      <c r="AL162" s="661"/>
      <c r="AM162" s="661"/>
    </row>
    <row r="163">
      <c r="A163" s="1604">
        <v>46183.0</v>
      </c>
      <c r="B163" s="1605" t="s">
        <v>2807</v>
      </c>
      <c r="C163" s="1588"/>
      <c r="D163" s="1588"/>
      <c r="E163" s="1589"/>
      <c r="F163" s="1589"/>
      <c r="G163" s="1589"/>
      <c r="H163" s="661"/>
      <c r="I163" s="661"/>
      <c r="J163" s="661"/>
      <c r="K163" s="661"/>
      <c r="L163" s="661"/>
      <c r="M163" s="661"/>
      <c r="N163" s="661"/>
      <c r="O163" s="661"/>
      <c r="P163" s="661"/>
      <c r="Q163" s="661"/>
      <c r="R163" s="661"/>
      <c r="S163" s="661"/>
      <c r="T163" s="661"/>
      <c r="U163" s="661"/>
      <c r="V163" s="661"/>
      <c r="W163" s="661"/>
      <c r="X163" s="661"/>
      <c r="Y163" s="661"/>
      <c r="Z163" s="661"/>
      <c r="AA163" s="661"/>
      <c r="AB163" s="661"/>
      <c r="AC163" s="661"/>
      <c r="AD163" s="661"/>
      <c r="AE163" s="661"/>
      <c r="AF163" s="661"/>
      <c r="AG163" s="661"/>
      <c r="AH163" s="661"/>
      <c r="AI163" s="661"/>
      <c r="AJ163" s="661"/>
      <c r="AK163" s="661"/>
      <c r="AL163" s="661"/>
      <c r="AM163" s="661"/>
    </row>
    <row r="164">
      <c r="A164" s="1604">
        <v>46184.0</v>
      </c>
      <c r="B164" s="1605" t="s">
        <v>2807</v>
      </c>
      <c r="C164" s="1588"/>
      <c r="D164" s="1588"/>
      <c r="E164" s="1589"/>
      <c r="F164" s="1589"/>
      <c r="G164" s="1589"/>
      <c r="H164" s="661"/>
      <c r="I164" s="661"/>
      <c r="J164" s="661"/>
      <c r="K164" s="661"/>
      <c r="L164" s="661"/>
      <c r="M164" s="661"/>
      <c r="N164" s="661"/>
      <c r="O164" s="661"/>
      <c r="P164" s="661"/>
      <c r="Q164" s="661"/>
      <c r="R164" s="661"/>
      <c r="S164" s="661"/>
      <c r="T164" s="661"/>
      <c r="U164" s="661"/>
      <c r="V164" s="661"/>
      <c r="W164" s="661"/>
      <c r="X164" s="661"/>
      <c r="Y164" s="661"/>
      <c r="Z164" s="661"/>
      <c r="AA164" s="661"/>
      <c r="AB164" s="661"/>
      <c r="AC164" s="661"/>
      <c r="AD164" s="661"/>
      <c r="AE164" s="661"/>
      <c r="AF164" s="661"/>
      <c r="AG164" s="661"/>
      <c r="AH164" s="661"/>
      <c r="AI164" s="661"/>
      <c r="AJ164" s="661"/>
      <c r="AK164" s="661"/>
      <c r="AL164" s="661"/>
      <c r="AM164" s="661"/>
    </row>
    <row r="165">
      <c r="A165" s="1604">
        <v>46185.0</v>
      </c>
      <c r="B165" s="1605" t="s">
        <v>2807</v>
      </c>
      <c r="C165" s="1588"/>
      <c r="D165" s="1588"/>
      <c r="E165" s="1589"/>
      <c r="F165" s="1589"/>
      <c r="G165" s="1589"/>
      <c r="H165" s="661"/>
      <c r="I165" s="661"/>
      <c r="J165" s="661"/>
      <c r="K165" s="661"/>
      <c r="L165" s="661"/>
      <c r="M165" s="661"/>
      <c r="N165" s="661"/>
      <c r="O165" s="661"/>
      <c r="P165" s="661"/>
      <c r="Q165" s="661"/>
      <c r="R165" s="661"/>
      <c r="S165" s="661"/>
      <c r="T165" s="661"/>
      <c r="U165" s="661"/>
      <c r="V165" s="661"/>
      <c r="W165" s="661"/>
      <c r="X165" s="661"/>
      <c r="Y165" s="661"/>
      <c r="Z165" s="661"/>
      <c r="AA165" s="661"/>
      <c r="AB165" s="661"/>
      <c r="AC165" s="661"/>
      <c r="AD165" s="661"/>
      <c r="AE165" s="661"/>
      <c r="AF165" s="661"/>
      <c r="AG165" s="661"/>
      <c r="AH165" s="661"/>
      <c r="AI165" s="661"/>
      <c r="AJ165" s="661"/>
      <c r="AK165" s="661"/>
      <c r="AL165" s="661"/>
      <c r="AM165" s="661"/>
    </row>
    <row r="166">
      <c r="A166" s="1604">
        <v>46186.0</v>
      </c>
      <c r="B166" s="1605" t="s">
        <v>2807</v>
      </c>
      <c r="C166" s="1588"/>
      <c r="D166" s="1588"/>
      <c r="E166" s="1589"/>
      <c r="F166" s="1589"/>
      <c r="G166" s="1589"/>
      <c r="H166" s="661"/>
      <c r="I166" s="661"/>
      <c r="J166" s="661"/>
      <c r="K166" s="661"/>
      <c r="L166" s="661"/>
      <c r="M166" s="661"/>
      <c r="N166" s="661"/>
      <c r="O166" s="661"/>
      <c r="P166" s="661"/>
      <c r="Q166" s="661"/>
      <c r="R166" s="661"/>
      <c r="S166" s="661"/>
      <c r="T166" s="661"/>
      <c r="U166" s="661"/>
      <c r="V166" s="661"/>
      <c r="W166" s="661"/>
      <c r="X166" s="661"/>
      <c r="Y166" s="661"/>
      <c r="Z166" s="661"/>
      <c r="AA166" s="661"/>
      <c r="AB166" s="661"/>
      <c r="AC166" s="661"/>
      <c r="AD166" s="661"/>
      <c r="AE166" s="661"/>
      <c r="AF166" s="661"/>
      <c r="AG166" s="661"/>
      <c r="AH166" s="661"/>
      <c r="AI166" s="661"/>
      <c r="AJ166" s="661"/>
      <c r="AK166" s="661"/>
      <c r="AL166" s="661"/>
      <c r="AM166" s="661"/>
    </row>
    <row r="167">
      <c r="A167" s="1604">
        <v>46187.0</v>
      </c>
      <c r="B167" s="1605" t="s">
        <v>2807</v>
      </c>
      <c r="C167" s="1588"/>
      <c r="D167" s="1588"/>
      <c r="E167" s="1589"/>
      <c r="F167" s="1589"/>
      <c r="G167" s="1589"/>
      <c r="H167" s="661"/>
      <c r="I167" s="661"/>
      <c r="J167" s="661"/>
      <c r="K167" s="661"/>
      <c r="L167" s="661"/>
      <c r="M167" s="661"/>
      <c r="N167" s="661"/>
      <c r="O167" s="661"/>
      <c r="P167" s="661"/>
      <c r="Q167" s="661"/>
      <c r="R167" s="661"/>
      <c r="S167" s="661"/>
      <c r="T167" s="661"/>
      <c r="U167" s="661"/>
      <c r="V167" s="661"/>
      <c r="W167" s="661"/>
      <c r="X167" s="661"/>
      <c r="Y167" s="661"/>
      <c r="Z167" s="661"/>
      <c r="AA167" s="661"/>
      <c r="AB167" s="661"/>
      <c r="AC167" s="661"/>
      <c r="AD167" s="661"/>
      <c r="AE167" s="661"/>
      <c r="AF167" s="661"/>
      <c r="AG167" s="661"/>
      <c r="AH167" s="661"/>
      <c r="AI167" s="661"/>
      <c r="AJ167" s="661"/>
      <c r="AK167" s="661"/>
      <c r="AL167" s="661"/>
      <c r="AM167" s="661"/>
    </row>
    <row r="168">
      <c r="A168" s="1604">
        <v>46188.0</v>
      </c>
      <c r="B168" s="1605" t="s">
        <v>2807</v>
      </c>
      <c r="C168" s="1588"/>
      <c r="D168" s="1588"/>
      <c r="E168" s="1589"/>
      <c r="F168" s="1589"/>
      <c r="G168" s="1589"/>
      <c r="H168" s="661"/>
      <c r="I168" s="661"/>
      <c r="J168" s="661"/>
      <c r="K168" s="661"/>
      <c r="L168" s="661"/>
      <c r="M168" s="661"/>
      <c r="N168" s="661"/>
      <c r="O168" s="661"/>
      <c r="P168" s="661"/>
      <c r="Q168" s="661"/>
      <c r="R168" s="661"/>
      <c r="S168" s="661"/>
      <c r="T168" s="661"/>
      <c r="U168" s="661"/>
      <c r="V168" s="661"/>
      <c r="W168" s="661"/>
      <c r="X168" s="661"/>
      <c r="Y168" s="661"/>
      <c r="Z168" s="661"/>
      <c r="AA168" s="661"/>
      <c r="AB168" s="661"/>
      <c r="AC168" s="661"/>
      <c r="AD168" s="661"/>
      <c r="AE168" s="661"/>
      <c r="AF168" s="661"/>
      <c r="AG168" s="661"/>
      <c r="AH168" s="661"/>
      <c r="AI168" s="661"/>
      <c r="AJ168" s="661"/>
      <c r="AK168" s="661"/>
      <c r="AL168" s="661"/>
      <c r="AM168" s="661"/>
    </row>
    <row r="169">
      <c r="A169" s="1604">
        <v>46189.0</v>
      </c>
      <c r="B169" s="1605" t="s">
        <v>2807</v>
      </c>
      <c r="C169" s="1588"/>
      <c r="D169" s="1588"/>
      <c r="E169" s="1589"/>
      <c r="F169" s="1589"/>
      <c r="G169" s="1589"/>
      <c r="H169" s="661"/>
      <c r="I169" s="661"/>
      <c r="J169" s="661"/>
      <c r="K169" s="661"/>
      <c r="L169" s="661"/>
      <c r="M169" s="661"/>
      <c r="N169" s="661"/>
      <c r="O169" s="661"/>
      <c r="P169" s="661"/>
      <c r="Q169" s="661"/>
      <c r="R169" s="661"/>
      <c r="S169" s="661"/>
      <c r="T169" s="661"/>
      <c r="U169" s="661"/>
      <c r="V169" s="661"/>
      <c r="W169" s="661"/>
      <c r="X169" s="661"/>
      <c r="Y169" s="661"/>
      <c r="Z169" s="661"/>
      <c r="AA169" s="661"/>
      <c r="AB169" s="661"/>
      <c r="AC169" s="661"/>
      <c r="AD169" s="661"/>
      <c r="AE169" s="661"/>
      <c r="AF169" s="661"/>
      <c r="AG169" s="661"/>
      <c r="AH169" s="661"/>
      <c r="AI169" s="661"/>
      <c r="AJ169" s="661"/>
      <c r="AK169" s="661"/>
      <c r="AL169" s="661"/>
      <c r="AM169" s="661"/>
    </row>
    <row r="170">
      <c r="A170" s="1604">
        <v>46190.0</v>
      </c>
      <c r="B170" s="1605" t="s">
        <v>2807</v>
      </c>
      <c r="C170" s="1588"/>
      <c r="D170" s="1588"/>
      <c r="E170" s="1589"/>
      <c r="F170" s="1589"/>
      <c r="G170" s="1589"/>
      <c r="H170" s="661"/>
      <c r="I170" s="661"/>
      <c r="J170" s="661"/>
      <c r="K170" s="661"/>
      <c r="L170" s="661"/>
      <c r="M170" s="661"/>
      <c r="N170" s="661"/>
      <c r="O170" s="661"/>
      <c r="P170" s="661"/>
      <c r="Q170" s="661"/>
      <c r="R170" s="661"/>
      <c r="S170" s="661"/>
      <c r="T170" s="661"/>
      <c r="U170" s="661"/>
      <c r="V170" s="661"/>
      <c r="W170" s="661"/>
      <c r="X170" s="661"/>
      <c r="Y170" s="661"/>
      <c r="Z170" s="661"/>
      <c r="AA170" s="661"/>
      <c r="AB170" s="661"/>
      <c r="AC170" s="661"/>
      <c r="AD170" s="661"/>
      <c r="AE170" s="661"/>
      <c r="AF170" s="661"/>
      <c r="AG170" s="661"/>
      <c r="AH170" s="661"/>
      <c r="AI170" s="661"/>
      <c r="AJ170" s="661"/>
      <c r="AK170" s="661"/>
      <c r="AL170" s="661"/>
      <c r="AM170" s="661"/>
    </row>
    <row r="171">
      <c r="A171" s="1604">
        <v>46191.0</v>
      </c>
      <c r="B171" s="1605" t="s">
        <v>2807</v>
      </c>
      <c r="C171" s="1588"/>
      <c r="D171" s="1588"/>
      <c r="E171" s="1589"/>
      <c r="F171" s="1589"/>
      <c r="G171" s="1589"/>
      <c r="H171" s="661"/>
      <c r="I171" s="661"/>
      <c r="J171" s="661"/>
      <c r="K171" s="661"/>
      <c r="L171" s="661"/>
      <c r="M171" s="661"/>
      <c r="N171" s="661"/>
      <c r="O171" s="661"/>
      <c r="P171" s="661"/>
      <c r="Q171" s="661"/>
      <c r="R171" s="661"/>
      <c r="S171" s="661"/>
      <c r="T171" s="661"/>
      <c r="U171" s="661"/>
      <c r="V171" s="661"/>
      <c r="W171" s="661"/>
      <c r="X171" s="661"/>
      <c r="Y171" s="661"/>
      <c r="Z171" s="661"/>
      <c r="AA171" s="661"/>
      <c r="AB171" s="661"/>
      <c r="AC171" s="661"/>
      <c r="AD171" s="661"/>
      <c r="AE171" s="661"/>
      <c r="AF171" s="661"/>
      <c r="AG171" s="661"/>
      <c r="AH171" s="661"/>
      <c r="AI171" s="661"/>
      <c r="AJ171" s="661"/>
      <c r="AK171" s="661"/>
      <c r="AL171" s="661"/>
      <c r="AM171" s="661"/>
    </row>
    <row r="172">
      <c r="A172" s="1604">
        <v>46192.0</v>
      </c>
      <c r="B172" s="1605" t="s">
        <v>2807</v>
      </c>
      <c r="C172" s="1588"/>
      <c r="D172" s="1588"/>
      <c r="E172" s="1589"/>
      <c r="F172" s="1589"/>
      <c r="G172" s="1589"/>
      <c r="H172" s="661"/>
      <c r="I172" s="661"/>
      <c r="J172" s="661"/>
      <c r="K172" s="661"/>
      <c r="L172" s="661"/>
      <c r="M172" s="661"/>
      <c r="N172" s="661"/>
      <c r="O172" s="661"/>
      <c r="P172" s="661"/>
      <c r="Q172" s="661"/>
      <c r="R172" s="661"/>
      <c r="S172" s="661"/>
      <c r="T172" s="661"/>
      <c r="U172" s="661"/>
      <c r="V172" s="661"/>
      <c r="W172" s="661"/>
      <c r="X172" s="661"/>
      <c r="Y172" s="661"/>
      <c r="Z172" s="661"/>
      <c r="AA172" s="661"/>
      <c r="AB172" s="661"/>
      <c r="AC172" s="661"/>
      <c r="AD172" s="661"/>
      <c r="AE172" s="661"/>
      <c r="AF172" s="661"/>
      <c r="AG172" s="661"/>
      <c r="AH172" s="661"/>
      <c r="AI172" s="661"/>
      <c r="AJ172" s="661"/>
      <c r="AK172" s="661"/>
      <c r="AL172" s="661"/>
      <c r="AM172" s="661"/>
    </row>
    <row r="173">
      <c r="A173" s="1604">
        <v>46193.0</v>
      </c>
      <c r="B173" s="1605" t="s">
        <v>2807</v>
      </c>
      <c r="C173" s="1588"/>
      <c r="D173" s="1588"/>
      <c r="E173" s="1589"/>
      <c r="F173" s="1589"/>
      <c r="G173" s="1589"/>
      <c r="H173" s="661"/>
      <c r="I173" s="661"/>
      <c r="J173" s="661"/>
      <c r="K173" s="661"/>
      <c r="L173" s="661"/>
      <c r="M173" s="661"/>
      <c r="N173" s="661"/>
      <c r="O173" s="661"/>
      <c r="P173" s="661"/>
      <c r="Q173" s="661"/>
      <c r="R173" s="661"/>
      <c r="S173" s="661"/>
      <c r="T173" s="661"/>
      <c r="U173" s="661"/>
      <c r="V173" s="661"/>
      <c r="W173" s="661"/>
      <c r="X173" s="661"/>
      <c r="Y173" s="661"/>
      <c r="Z173" s="661"/>
      <c r="AA173" s="661"/>
      <c r="AB173" s="661"/>
      <c r="AC173" s="661"/>
      <c r="AD173" s="661"/>
      <c r="AE173" s="661"/>
      <c r="AF173" s="661"/>
      <c r="AG173" s="661"/>
      <c r="AH173" s="661"/>
      <c r="AI173" s="661"/>
      <c r="AJ173" s="661"/>
      <c r="AK173" s="661"/>
      <c r="AL173" s="661"/>
      <c r="AM173" s="661"/>
    </row>
    <row r="174">
      <c r="A174" s="1604">
        <v>46194.0</v>
      </c>
      <c r="B174" s="1605" t="s">
        <v>2807</v>
      </c>
      <c r="C174" s="1588"/>
      <c r="D174" s="1588"/>
      <c r="E174" s="1589"/>
      <c r="F174" s="1589"/>
      <c r="G174" s="1589"/>
      <c r="H174" s="661"/>
      <c r="I174" s="661"/>
      <c r="J174" s="661"/>
      <c r="K174" s="661"/>
      <c r="L174" s="661"/>
      <c r="M174" s="661"/>
      <c r="N174" s="661"/>
      <c r="O174" s="661"/>
      <c r="P174" s="661"/>
      <c r="Q174" s="661"/>
      <c r="R174" s="661"/>
      <c r="S174" s="661"/>
      <c r="T174" s="661"/>
      <c r="U174" s="661"/>
      <c r="V174" s="661"/>
      <c r="W174" s="661"/>
      <c r="X174" s="661"/>
      <c r="Y174" s="661"/>
      <c r="Z174" s="661"/>
      <c r="AA174" s="661"/>
      <c r="AB174" s="661"/>
      <c r="AC174" s="661"/>
      <c r="AD174" s="661"/>
      <c r="AE174" s="661"/>
      <c r="AF174" s="661"/>
      <c r="AG174" s="661"/>
      <c r="AH174" s="661"/>
      <c r="AI174" s="661"/>
      <c r="AJ174" s="661"/>
      <c r="AK174" s="661"/>
      <c r="AL174" s="661"/>
      <c r="AM174" s="661"/>
    </row>
    <row r="175">
      <c r="A175" s="1604">
        <v>46195.0</v>
      </c>
      <c r="B175" s="1605" t="s">
        <v>2807</v>
      </c>
      <c r="C175" s="1588"/>
      <c r="D175" s="1588"/>
      <c r="E175" s="1589"/>
      <c r="F175" s="1589"/>
      <c r="G175" s="1589"/>
      <c r="H175" s="661"/>
      <c r="I175" s="661"/>
      <c r="J175" s="661"/>
      <c r="K175" s="661"/>
      <c r="L175" s="661"/>
      <c r="M175" s="661"/>
      <c r="N175" s="661"/>
      <c r="O175" s="661"/>
      <c r="P175" s="661"/>
      <c r="Q175" s="661"/>
      <c r="R175" s="661"/>
      <c r="S175" s="661"/>
      <c r="T175" s="661"/>
      <c r="U175" s="661"/>
      <c r="V175" s="661"/>
      <c r="W175" s="661"/>
      <c r="X175" s="661"/>
      <c r="Y175" s="661"/>
      <c r="Z175" s="661"/>
      <c r="AA175" s="661"/>
      <c r="AB175" s="661"/>
      <c r="AC175" s="661"/>
      <c r="AD175" s="661"/>
      <c r="AE175" s="661"/>
      <c r="AF175" s="661"/>
      <c r="AG175" s="661"/>
      <c r="AH175" s="661"/>
      <c r="AI175" s="661"/>
      <c r="AJ175" s="661"/>
      <c r="AK175" s="661"/>
      <c r="AL175" s="661"/>
      <c r="AM175" s="661"/>
    </row>
    <row r="176">
      <c r="A176" s="1604">
        <v>46196.0</v>
      </c>
      <c r="B176" s="1605" t="s">
        <v>2807</v>
      </c>
      <c r="C176" s="1588"/>
      <c r="D176" s="1588"/>
      <c r="E176" s="1589"/>
      <c r="F176" s="1589"/>
      <c r="G176" s="1589"/>
      <c r="H176" s="661"/>
      <c r="I176" s="661"/>
      <c r="J176" s="661"/>
      <c r="K176" s="661"/>
      <c r="L176" s="661"/>
      <c r="M176" s="661"/>
      <c r="N176" s="661"/>
      <c r="O176" s="661"/>
      <c r="P176" s="661"/>
      <c r="Q176" s="661"/>
      <c r="R176" s="661"/>
      <c r="S176" s="661"/>
      <c r="T176" s="661"/>
      <c r="U176" s="661"/>
      <c r="V176" s="661"/>
      <c r="W176" s="661"/>
      <c r="X176" s="661"/>
      <c r="Y176" s="661"/>
      <c r="Z176" s="661"/>
      <c r="AA176" s="661"/>
      <c r="AB176" s="661"/>
      <c r="AC176" s="661"/>
      <c r="AD176" s="661"/>
      <c r="AE176" s="661"/>
      <c r="AF176" s="661"/>
      <c r="AG176" s="661"/>
      <c r="AH176" s="661"/>
      <c r="AI176" s="661"/>
      <c r="AJ176" s="661"/>
      <c r="AK176" s="661"/>
      <c r="AL176" s="661"/>
      <c r="AM176" s="661"/>
    </row>
    <row r="177">
      <c r="A177" s="1604">
        <v>46197.0</v>
      </c>
      <c r="B177" s="1605" t="s">
        <v>2807</v>
      </c>
      <c r="C177" s="1588"/>
      <c r="D177" s="1588"/>
      <c r="E177" s="1589"/>
      <c r="F177" s="1589"/>
      <c r="G177" s="1589"/>
      <c r="H177" s="661"/>
      <c r="I177" s="661"/>
      <c r="J177" s="661"/>
      <c r="K177" s="661"/>
      <c r="L177" s="661"/>
      <c r="M177" s="661"/>
      <c r="N177" s="661"/>
      <c r="O177" s="661"/>
      <c r="P177" s="661"/>
      <c r="Q177" s="661"/>
      <c r="R177" s="661"/>
      <c r="S177" s="661"/>
      <c r="T177" s="661"/>
      <c r="U177" s="661"/>
      <c r="V177" s="661"/>
      <c r="W177" s="661"/>
      <c r="X177" s="661"/>
      <c r="Y177" s="661"/>
      <c r="Z177" s="661"/>
      <c r="AA177" s="661"/>
      <c r="AB177" s="661"/>
      <c r="AC177" s="661"/>
      <c r="AD177" s="661"/>
      <c r="AE177" s="661"/>
      <c r="AF177" s="661"/>
      <c r="AG177" s="661"/>
      <c r="AH177" s="661"/>
      <c r="AI177" s="661"/>
      <c r="AJ177" s="661"/>
      <c r="AK177" s="661"/>
      <c r="AL177" s="661"/>
      <c r="AM177" s="661"/>
    </row>
    <row r="178">
      <c r="A178" s="1604">
        <v>46198.0</v>
      </c>
      <c r="B178" s="1605" t="s">
        <v>2807</v>
      </c>
      <c r="C178" s="1588"/>
      <c r="D178" s="1588"/>
      <c r="E178" s="1589"/>
      <c r="F178" s="1589"/>
      <c r="G178" s="1589"/>
      <c r="H178" s="661"/>
      <c r="I178" s="661"/>
      <c r="J178" s="661"/>
      <c r="K178" s="661"/>
      <c r="L178" s="661"/>
      <c r="M178" s="661"/>
      <c r="N178" s="661"/>
      <c r="O178" s="661"/>
      <c r="P178" s="661"/>
      <c r="Q178" s="661"/>
      <c r="R178" s="661"/>
      <c r="S178" s="661"/>
      <c r="T178" s="661"/>
      <c r="U178" s="661"/>
      <c r="V178" s="661"/>
      <c r="W178" s="661"/>
      <c r="X178" s="661"/>
      <c r="Y178" s="661"/>
      <c r="Z178" s="661"/>
      <c r="AA178" s="661"/>
      <c r="AB178" s="661"/>
      <c r="AC178" s="661"/>
      <c r="AD178" s="661"/>
      <c r="AE178" s="661"/>
      <c r="AF178" s="661"/>
      <c r="AG178" s="661"/>
      <c r="AH178" s="661"/>
      <c r="AI178" s="661"/>
      <c r="AJ178" s="661"/>
      <c r="AK178" s="661"/>
      <c r="AL178" s="661"/>
      <c r="AM178" s="661"/>
    </row>
    <row r="179">
      <c r="A179" s="1604">
        <v>46199.0</v>
      </c>
      <c r="B179" s="1605" t="s">
        <v>2807</v>
      </c>
      <c r="C179" s="1588"/>
      <c r="D179" s="1588"/>
      <c r="E179" s="1589"/>
      <c r="F179" s="1589"/>
      <c r="G179" s="1589"/>
      <c r="H179" s="661"/>
      <c r="I179" s="661"/>
      <c r="J179" s="661"/>
      <c r="K179" s="661"/>
      <c r="L179" s="661"/>
      <c r="M179" s="661"/>
      <c r="N179" s="661"/>
      <c r="O179" s="661"/>
      <c r="P179" s="661"/>
      <c r="Q179" s="661"/>
      <c r="R179" s="661"/>
      <c r="S179" s="661"/>
      <c r="T179" s="661"/>
      <c r="U179" s="661"/>
      <c r="V179" s="661"/>
      <c r="W179" s="661"/>
      <c r="X179" s="661"/>
      <c r="Y179" s="661"/>
      <c r="Z179" s="661"/>
      <c r="AA179" s="661"/>
      <c r="AB179" s="661"/>
      <c r="AC179" s="661"/>
      <c r="AD179" s="661"/>
      <c r="AE179" s="661"/>
      <c r="AF179" s="661"/>
      <c r="AG179" s="661"/>
      <c r="AH179" s="661"/>
      <c r="AI179" s="661"/>
      <c r="AJ179" s="661"/>
      <c r="AK179" s="661"/>
      <c r="AL179" s="661"/>
      <c r="AM179" s="661"/>
    </row>
    <row r="180">
      <c r="A180" s="1604">
        <v>46200.0</v>
      </c>
      <c r="B180" s="1605" t="s">
        <v>2807</v>
      </c>
      <c r="C180" s="1588"/>
      <c r="D180" s="1588"/>
      <c r="E180" s="1589"/>
      <c r="F180" s="1589"/>
      <c r="G180" s="1589"/>
      <c r="H180" s="661"/>
      <c r="I180" s="661"/>
      <c r="J180" s="661"/>
      <c r="K180" s="661"/>
      <c r="L180" s="661"/>
      <c r="M180" s="661"/>
      <c r="N180" s="661"/>
      <c r="O180" s="661"/>
      <c r="P180" s="661"/>
      <c r="Q180" s="661"/>
      <c r="R180" s="661"/>
      <c r="S180" s="661"/>
      <c r="T180" s="661"/>
      <c r="U180" s="661"/>
      <c r="V180" s="661"/>
      <c r="W180" s="661"/>
      <c r="X180" s="661"/>
      <c r="Y180" s="661"/>
      <c r="Z180" s="661"/>
      <c r="AA180" s="661"/>
      <c r="AB180" s="661"/>
      <c r="AC180" s="661"/>
      <c r="AD180" s="661"/>
      <c r="AE180" s="661"/>
      <c r="AF180" s="661"/>
      <c r="AG180" s="661"/>
      <c r="AH180" s="661"/>
      <c r="AI180" s="661"/>
      <c r="AJ180" s="661"/>
      <c r="AK180" s="661"/>
      <c r="AL180" s="661"/>
      <c r="AM180" s="661"/>
    </row>
    <row r="181">
      <c r="A181" s="1604">
        <v>46201.0</v>
      </c>
      <c r="B181" s="1605" t="s">
        <v>2807</v>
      </c>
      <c r="C181" s="1588"/>
      <c r="D181" s="1588"/>
      <c r="E181" s="1589"/>
      <c r="F181" s="1589"/>
      <c r="G181" s="1589"/>
      <c r="H181" s="661"/>
      <c r="I181" s="661"/>
      <c r="J181" s="661"/>
      <c r="K181" s="661"/>
      <c r="L181" s="661"/>
      <c r="M181" s="661"/>
      <c r="N181" s="661"/>
      <c r="O181" s="661"/>
      <c r="P181" s="661"/>
      <c r="Q181" s="661"/>
      <c r="R181" s="661"/>
      <c r="S181" s="661"/>
      <c r="T181" s="661"/>
      <c r="U181" s="661"/>
      <c r="V181" s="661"/>
      <c r="W181" s="661"/>
      <c r="X181" s="661"/>
      <c r="Y181" s="661"/>
      <c r="Z181" s="661"/>
      <c r="AA181" s="661"/>
      <c r="AB181" s="661"/>
      <c r="AC181" s="661"/>
      <c r="AD181" s="661"/>
      <c r="AE181" s="661"/>
      <c r="AF181" s="661"/>
      <c r="AG181" s="661"/>
      <c r="AH181" s="661"/>
      <c r="AI181" s="661"/>
      <c r="AJ181" s="661"/>
      <c r="AK181" s="661"/>
      <c r="AL181" s="661"/>
      <c r="AM181" s="661"/>
    </row>
    <row r="182">
      <c r="A182" s="1604">
        <v>46202.0</v>
      </c>
      <c r="B182" s="1605" t="s">
        <v>2807</v>
      </c>
      <c r="C182" s="1588"/>
      <c r="D182" s="1588"/>
      <c r="E182" s="1589"/>
      <c r="F182" s="1589"/>
      <c r="G182" s="1589"/>
      <c r="H182" s="661"/>
      <c r="I182" s="661"/>
      <c r="J182" s="661"/>
      <c r="K182" s="661"/>
      <c r="L182" s="661"/>
      <c r="M182" s="661"/>
      <c r="N182" s="661"/>
      <c r="O182" s="661"/>
      <c r="P182" s="661"/>
      <c r="Q182" s="661"/>
      <c r="R182" s="661"/>
      <c r="S182" s="661"/>
      <c r="T182" s="661"/>
      <c r="U182" s="661"/>
      <c r="V182" s="661"/>
      <c r="W182" s="661"/>
      <c r="X182" s="661"/>
      <c r="Y182" s="661"/>
      <c r="Z182" s="661"/>
      <c r="AA182" s="661"/>
      <c r="AB182" s="661"/>
      <c r="AC182" s="661"/>
      <c r="AD182" s="661"/>
      <c r="AE182" s="661"/>
      <c r="AF182" s="661"/>
      <c r="AG182" s="661"/>
      <c r="AH182" s="661"/>
      <c r="AI182" s="661"/>
      <c r="AJ182" s="661"/>
      <c r="AK182" s="661"/>
      <c r="AL182" s="661"/>
      <c r="AM182" s="661"/>
    </row>
    <row r="183">
      <c r="A183" s="1604">
        <v>46203.0</v>
      </c>
      <c r="B183" s="1605" t="s">
        <v>2807</v>
      </c>
      <c r="C183" s="1588"/>
      <c r="D183" s="1588"/>
      <c r="E183" s="1589"/>
      <c r="F183" s="1589"/>
      <c r="G183" s="1589"/>
      <c r="H183" s="661"/>
      <c r="I183" s="661"/>
      <c r="J183" s="661"/>
      <c r="K183" s="661"/>
      <c r="L183" s="661"/>
      <c r="M183" s="661"/>
      <c r="N183" s="661"/>
      <c r="O183" s="661"/>
      <c r="P183" s="661"/>
      <c r="Q183" s="661"/>
      <c r="R183" s="661"/>
      <c r="S183" s="661"/>
      <c r="T183" s="661"/>
      <c r="U183" s="661"/>
      <c r="V183" s="661"/>
      <c r="W183" s="661"/>
      <c r="X183" s="661"/>
      <c r="Y183" s="661"/>
      <c r="Z183" s="661"/>
      <c r="AA183" s="661"/>
      <c r="AB183" s="661"/>
      <c r="AC183" s="661"/>
      <c r="AD183" s="661"/>
      <c r="AE183" s="661"/>
      <c r="AF183" s="661"/>
      <c r="AG183" s="661"/>
      <c r="AH183" s="661"/>
      <c r="AI183" s="661"/>
      <c r="AJ183" s="661"/>
      <c r="AK183" s="661"/>
      <c r="AL183" s="661"/>
      <c r="AM183" s="661"/>
    </row>
    <row r="184">
      <c r="A184" s="1604">
        <v>46204.0</v>
      </c>
      <c r="B184" s="1605" t="s">
        <v>2809</v>
      </c>
      <c r="C184" s="1588"/>
      <c r="D184" s="1588"/>
      <c r="E184" s="1589"/>
      <c r="F184" s="1589"/>
      <c r="G184" s="1589"/>
      <c r="H184" s="661"/>
      <c r="I184" s="661"/>
      <c r="J184" s="661"/>
      <c r="K184" s="661"/>
      <c r="L184" s="661"/>
      <c r="M184" s="661"/>
      <c r="N184" s="661"/>
      <c r="O184" s="661"/>
      <c r="P184" s="661"/>
      <c r="Q184" s="661"/>
      <c r="R184" s="661"/>
      <c r="S184" s="661"/>
      <c r="T184" s="661"/>
      <c r="U184" s="661"/>
      <c r="V184" s="661"/>
      <c r="W184" s="661"/>
      <c r="X184" s="661"/>
      <c r="Y184" s="661"/>
      <c r="Z184" s="661"/>
      <c r="AA184" s="661"/>
      <c r="AB184" s="661"/>
      <c r="AC184" s="661"/>
      <c r="AD184" s="661"/>
      <c r="AE184" s="661"/>
      <c r="AF184" s="661"/>
      <c r="AG184" s="661"/>
      <c r="AH184" s="661"/>
      <c r="AI184" s="661"/>
      <c r="AJ184" s="661"/>
      <c r="AK184" s="661"/>
      <c r="AL184" s="661"/>
      <c r="AM184" s="661"/>
    </row>
    <row r="185">
      <c r="A185" s="1604">
        <v>46205.0</v>
      </c>
      <c r="B185" s="1605" t="s">
        <v>2809</v>
      </c>
      <c r="C185" s="1588"/>
      <c r="D185" s="1588"/>
      <c r="E185" s="1589"/>
      <c r="F185" s="1589"/>
      <c r="G185" s="1589"/>
      <c r="H185" s="661"/>
      <c r="I185" s="661"/>
      <c r="J185" s="661"/>
      <c r="K185" s="661"/>
      <c r="L185" s="661"/>
      <c r="M185" s="661"/>
      <c r="N185" s="661"/>
      <c r="O185" s="661"/>
      <c r="P185" s="661"/>
      <c r="Q185" s="661"/>
      <c r="R185" s="661"/>
      <c r="S185" s="661"/>
      <c r="T185" s="661"/>
      <c r="U185" s="661"/>
      <c r="V185" s="661"/>
      <c r="W185" s="661"/>
      <c r="X185" s="661"/>
      <c r="Y185" s="661"/>
      <c r="Z185" s="661"/>
      <c r="AA185" s="661"/>
      <c r="AB185" s="661"/>
      <c r="AC185" s="661"/>
      <c r="AD185" s="661"/>
      <c r="AE185" s="661"/>
      <c r="AF185" s="661"/>
      <c r="AG185" s="661"/>
      <c r="AH185" s="661"/>
      <c r="AI185" s="661"/>
      <c r="AJ185" s="661"/>
      <c r="AK185" s="661"/>
      <c r="AL185" s="661"/>
      <c r="AM185" s="661"/>
    </row>
    <row r="186">
      <c r="A186" s="1604">
        <v>46206.0</v>
      </c>
      <c r="B186" s="1605" t="s">
        <v>2809</v>
      </c>
      <c r="C186" s="1588"/>
      <c r="D186" s="1588"/>
      <c r="E186" s="1589"/>
      <c r="F186" s="1589"/>
      <c r="G186" s="1589"/>
      <c r="H186" s="661"/>
      <c r="I186" s="661"/>
      <c r="J186" s="661"/>
      <c r="K186" s="661"/>
      <c r="L186" s="661"/>
      <c r="M186" s="661"/>
      <c r="N186" s="661"/>
      <c r="O186" s="661"/>
      <c r="P186" s="661"/>
      <c r="Q186" s="661"/>
      <c r="R186" s="661"/>
      <c r="S186" s="661"/>
      <c r="T186" s="661"/>
      <c r="U186" s="661"/>
      <c r="V186" s="661"/>
      <c r="W186" s="661"/>
      <c r="X186" s="661"/>
      <c r="Y186" s="661"/>
      <c r="Z186" s="661"/>
      <c r="AA186" s="661"/>
      <c r="AB186" s="661"/>
      <c r="AC186" s="661"/>
      <c r="AD186" s="661"/>
      <c r="AE186" s="661"/>
      <c r="AF186" s="661"/>
      <c r="AG186" s="661"/>
      <c r="AH186" s="661"/>
      <c r="AI186" s="661"/>
      <c r="AJ186" s="661"/>
      <c r="AK186" s="661"/>
      <c r="AL186" s="661"/>
      <c r="AM186" s="661"/>
    </row>
    <row r="187">
      <c r="A187" s="1604">
        <v>46207.0</v>
      </c>
      <c r="B187" s="1605" t="s">
        <v>2809</v>
      </c>
      <c r="C187" s="1588"/>
      <c r="D187" s="1588"/>
      <c r="E187" s="1589"/>
      <c r="F187" s="1589"/>
      <c r="G187" s="1589"/>
      <c r="H187" s="661"/>
      <c r="I187" s="661"/>
      <c r="J187" s="661"/>
      <c r="K187" s="661"/>
      <c r="L187" s="661"/>
      <c r="M187" s="661"/>
      <c r="N187" s="661"/>
      <c r="O187" s="661"/>
      <c r="P187" s="661"/>
      <c r="Q187" s="661"/>
      <c r="R187" s="661"/>
      <c r="S187" s="661"/>
      <c r="T187" s="661"/>
      <c r="U187" s="661"/>
      <c r="V187" s="661"/>
      <c r="W187" s="661"/>
      <c r="X187" s="661"/>
      <c r="Y187" s="661"/>
      <c r="Z187" s="661"/>
      <c r="AA187" s="661"/>
      <c r="AB187" s="661"/>
      <c r="AC187" s="661"/>
      <c r="AD187" s="661"/>
      <c r="AE187" s="661"/>
      <c r="AF187" s="661"/>
      <c r="AG187" s="661"/>
      <c r="AH187" s="661"/>
      <c r="AI187" s="661"/>
      <c r="AJ187" s="661"/>
      <c r="AK187" s="661"/>
      <c r="AL187" s="661"/>
      <c r="AM187" s="661"/>
    </row>
    <row r="188">
      <c r="A188" s="1604">
        <v>46208.0</v>
      </c>
      <c r="B188" s="1605" t="s">
        <v>2809</v>
      </c>
      <c r="C188" s="1588"/>
      <c r="D188" s="1588"/>
      <c r="E188" s="1589"/>
      <c r="F188" s="1589"/>
      <c r="G188" s="1589"/>
      <c r="H188" s="661"/>
      <c r="I188" s="661"/>
      <c r="J188" s="661"/>
      <c r="K188" s="661"/>
      <c r="L188" s="661"/>
      <c r="M188" s="661"/>
      <c r="N188" s="661"/>
      <c r="O188" s="661"/>
      <c r="P188" s="661"/>
      <c r="Q188" s="661"/>
      <c r="R188" s="661"/>
      <c r="S188" s="661"/>
      <c r="T188" s="661"/>
      <c r="U188" s="661"/>
      <c r="V188" s="661"/>
      <c r="W188" s="661"/>
      <c r="X188" s="661"/>
      <c r="Y188" s="661"/>
      <c r="Z188" s="661"/>
      <c r="AA188" s="661"/>
      <c r="AB188" s="661"/>
      <c r="AC188" s="661"/>
      <c r="AD188" s="661"/>
      <c r="AE188" s="661"/>
      <c r="AF188" s="661"/>
      <c r="AG188" s="661"/>
      <c r="AH188" s="661"/>
      <c r="AI188" s="661"/>
      <c r="AJ188" s="661"/>
      <c r="AK188" s="661"/>
      <c r="AL188" s="661"/>
      <c r="AM188" s="661"/>
    </row>
    <row r="189">
      <c r="A189" s="1604">
        <v>46209.0</v>
      </c>
      <c r="B189" s="1605" t="s">
        <v>2809</v>
      </c>
      <c r="C189" s="1588"/>
      <c r="D189" s="1588"/>
      <c r="E189" s="1589"/>
      <c r="F189" s="1589"/>
      <c r="G189" s="1589"/>
      <c r="H189" s="661"/>
      <c r="I189" s="661"/>
      <c r="J189" s="661"/>
      <c r="K189" s="661"/>
      <c r="L189" s="661"/>
      <c r="M189" s="661"/>
      <c r="N189" s="661"/>
      <c r="O189" s="661"/>
      <c r="P189" s="661"/>
      <c r="Q189" s="661"/>
      <c r="R189" s="661"/>
      <c r="S189" s="661"/>
      <c r="T189" s="661"/>
      <c r="U189" s="661"/>
      <c r="V189" s="661"/>
      <c r="W189" s="661"/>
      <c r="X189" s="661"/>
      <c r="Y189" s="661"/>
      <c r="Z189" s="661"/>
      <c r="AA189" s="661"/>
      <c r="AB189" s="661"/>
      <c r="AC189" s="661"/>
      <c r="AD189" s="661"/>
      <c r="AE189" s="661"/>
      <c r="AF189" s="661"/>
      <c r="AG189" s="661"/>
      <c r="AH189" s="661"/>
      <c r="AI189" s="661"/>
      <c r="AJ189" s="661"/>
      <c r="AK189" s="661"/>
      <c r="AL189" s="661"/>
      <c r="AM189" s="661"/>
    </row>
    <row r="190">
      <c r="A190" s="1604">
        <v>46210.0</v>
      </c>
      <c r="B190" s="1605" t="s">
        <v>2809</v>
      </c>
      <c r="C190" s="1588"/>
      <c r="D190" s="1588"/>
      <c r="E190" s="1589"/>
      <c r="F190" s="1589"/>
      <c r="G190" s="1589"/>
      <c r="H190" s="661"/>
      <c r="I190" s="661"/>
      <c r="J190" s="661"/>
      <c r="K190" s="661"/>
      <c r="L190" s="661"/>
      <c r="M190" s="661"/>
      <c r="N190" s="661"/>
      <c r="O190" s="661"/>
      <c r="P190" s="661"/>
      <c r="Q190" s="661"/>
      <c r="R190" s="661"/>
      <c r="S190" s="661"/>
      <c r="T190" s="661"/>
      <c r="U190" s="661"/>
      <c r="V190" s="661"/>
      <c r="W190" s="661"/>
      <c r="X190" s="661"/>
      <c r="Y190" s="661"/>
      <c r="Z190" s="661"/>
      <c r="AA190" s="661"/>
      <c r="AB190" s="661"/>
      <c r="AC190" s="661"/>
      <c r="AD190" s="661"/>
      <c r="AE190" s="661"/>
      <c r="AF190" s="661"/>
      <c r="AG190" s="661"/>
      <c r="AH190" s="661"/>
      <c r="AI190" s="661"/>
      <c r="AJ190" s="661"/>
      <c r="AK190" s="661"/>
      <c r="AL190" s="661"/>
      <c r="AM190" s="661"/>
    </row>
    <row r="191">
      <c r="A191" s="1604">
        <v>46211.0</v>
      </c>
      <c r="B191" s="1605" t="s">
        <v>2809</v>
      </c>
      <c r="C191" s="1588"/>
      <c r="D191" s="1588"/>
      <c r="E191" s="1589"/>
      <c r="F191" s="1589"/>
      <c r="G191" s="1589"/>
      <c r="H191" s="661"/>
      <c r="I191" s="661"/>
      <c r="J191" s="661"/>
      <c r="K191" s="661"/>
      <c r="L191" s="661"/>
      <c r="M191" s="661"/>
      <c r="N191" s="661"/>
      <c r="O191" s="661"/>
      <c r="P191" s="661"/>
      <c r="Q191" s="661"/>
      <c r="R191" s="661"/>
      <c r="S191" s="661"/>
      <c r="T191" s="661"/>
      <c r="U191" s="661"/>
      <c r="V191" s="661"/>
      <c r="W191" s="661"/>
      <c r="X191" s="661"/>
      <c r="Y191" s="661"/>
      <c r="Z191" s="661"/>
      <c r="AA191" s="661"/>
      <c r="AB191" s="661"/>
      <c r="AC191" s="661"/>
      <c r="AD191" s="661"/>
      <c r="AE191" s="661"/>
      <c r="AF191" s="661"/>
      <c r="AG191" s="661"/>
      <c r="AH191" s="661"/>
      <c r="AI191" s="661"/>
      <c r="AJ191" s="661"/>
      <c r="AK191" s="661"/>
      <c r="AL191" s="661"/>
      <c r="AM191" s="661"/>
    </row>
    <row r="192">
      <c r="A192" s="1604">
        <v>46212.0</v>
      </c>
      <c r="B192" s="1605" t="s">
        <v>2809</v>
      </c>
      <c r="C192" s="1588"/>
      <c r="D192" s="1588"/>
      <c r="E192" s="1589"/>
      <c r="F192" s="1589"/>
      <c r="G192" s="1589"/>
      <c r="H192" s="661"/>
      <c r="I192" s="661"/>
      <c r="J192" s="661"/>
      <c r="K192" s="661"/>
      <c r="L192" s="661"/>
      <c r="M192" s="661"/>
      <c r="N192" s="661"/>
      <c r="O192" s="661"/>
      <c r="P192" s="661"/>
      <c r="Q192" s="661"/>
      <c r="R192" s="661"/>
      <c r="S192" s="661"/>
      <c r="T192" s="661"/>
      <c r="U192" s="661"/>
      <c r="V192" s="661"/>
      <c r="W192" s="661"/>
      <c r="X192" s="661"/>
      <c r="Y192" s="661"/>
      <c r="Z192" s="661"/>
      <c r="AA192" s="661"/>
      <c r="AB192" s="661"/>
      <c r="AC192" s="661"/>
      <c r="AD192" s="661"/>
      <c r="AE192" s="661"/>
      <c r="AF192" s="661"/>
      <c r="AG192" s="661"/>
      <c r="AH192" s="661"/>
      <c r="AI192" s="661"/>
      <c r="AJ192" s="661"/>
      <c r="AK192" s="661"/>
      <c r="AL192" s="661"/>
      <c r="AM192" s="661"/>
    </row>
    <row r="193">
      <c r="A193" s="1604">
        <v>46213.0</v>
      </c>
      <c r="B193" s="1605" t="s">
        <v>2809</v>
      </c>
      <c r="C193" s="1588"/>
      <c r="D193" s="1588"/>
      <c r="E193" s="1589"/>
      <c r="F193" s="1589"/>
      <c r="G193" s="1589"/>
      <c r="H193" s="661"/>
      <c r="I193" s="661"/>
      <c r="J193" s="661"/>
      <c r="K193" s="661"/>
      <c r="L193" s="661"/>
      <c r="M193" s="661"/>
      <c r="N193" s="661"/>
      <c r="O193" s="661"/>
      <c r="P193" s="661"/>
      <c r="Q193" s="661"/>
      <c r="R193" s="661"/>
      <c r="S193" s="661"/>
      <c r="T193" s="661"/>
      <c r="U193" s="661"/>
      <c r="V193" s="661"/>
      <c r="W193" s="661"/>
      <c r="X193" s="661"/>
      <c r="Y193" s="661"/>
      <c r="Z193" s="661"/>
      <c r="AA193" s="661"/>
      <c r="AB193" s="661"/>
      <c r="AC193" s="661"/>
      <c r="AD193" s="661"/>
      <c r="AE193" s="661"/>
      <c r="AF193" s="661"/>
      <c r="AG193" s="661"/>
      <c r="AH193" s="661"/>
      <c r="AI193" s="661"/>
      <c r="AJ193" s="661"/>
      <c r="AK193" s="661"/>
      <c r="AL193" s="661"/>
      <c r="AM193" s="661"/>
    </row>
    <row r="194">
      <c r="A194" s="1604">
        <v>46214.0</v>
      </c>
      <c r="B194" s="1605" t="s">
        <v>2809</v>
      </c>
      <c r="C194" s="1588"/>
      <c r="D194" s="1588"/>
      <c r="E194" s="1589"/>
      <c r="F194" s="1589"/>
      <c r="G194" s="1589"/>
      <c r="H194" s="661"/>
      <c r="I194" s="661"/>
      <c r="J194" s="661"/>
      <c r="K194" s="661"/>
      <c r="L194" s="661"/>
      <c r="M194" s="661"/>
      <c r="N194" s="661"/>
      <c r="O194" s="661"/>
      <c r="P194" s="661"/>
      <c r="Q194" s="661"/>
      <c r="R194" s="661"/>
      <c r="S194" s="661"/>
      <c r="T194" s="661"/>
      <c r="U194" s="661"/>
      <c r="V194" s="661"/>
      <c r="W194" s="661"/>
      <c r="X194" s="661"/>
      <c r="Y194" s="661"/>
      <c r="Z194" s="661"/>
      <c r="AA194" s="661"/>
      <c r="AB194" s="661"/>
      <c r="AC194" s="661"/>
      <c r="AD194" s="661"/>
      <c r="AE194" s="661"/>
      <c r="AF194" s="661"/>
      <c r="AG194" s="661"/>
      <c r="AH194" s="661"/>
      <c r="AI194" s="661"/>
      <c r="AJ194" s="661"/>
      <c r="AK194" s="661"/>
      <c r="AL194" s="661"/>
      <c r="AM194" s="661"/>
    </row>
    <row r="195">
      <c r="A195" s="1604">
        <v>46215.0</v>
      </c>
      <c r="B195" s="1605" t="s">
        <v>2809</v>
      </c>
      <c r="C195" s="1588"/>
      <c r="D195" s="1588"/>
      <c r="E195" s="1589"/>
      <c r="F195" s="1589"/>
      <c r="G195" s="1589"/>
      <c r="H195" s="661"/>
      <c r="I195" s="661"/>
      <c r="J195" s="661"/>
      <c r="K195" s="661"/>
      <c r="L195" s="661"/>
      <c r="M195" s="661"/>
      <c r="N195" s="661"/>
      <c r="O195" s="661"/>
      <c r="P195" s="661"/>
      <c r="Q195" s="661"/>
      <c r="R195" s="661"/>
      <c r="S195" s="661"/>
      <c r="T195" s="661"/>
      <c r="U195" s="661"/>
      <c r="V195" s="661"/>
      <c r="W195" s="661"/>
      <c r="X195" s="661"/>
      <c r="Y195" s="661"/>
      <c r="Z195" s="661"/>
      <c r="AA195" s="661"/>
      <c r="AB195" s="661"/>
      <c r="AC195" s="661"/>
      <c r="AD195" s="661"/>
      <c r="AE195" s="661"/>
      <c r="AF195" s="661"/>
      <c r="AG195" s="661"/>
      <c r="AH195" s="661"/>
      <c r="AI195" s="661"/>
      <c r="AJ195" s="661"/>
      <c r="AK195" s="661"/>
      <c r="AL195" s="661"/>
      <c r="AM195" s="661"/>
    </row>
    <row r="196">
      <c r="A196" s="1604">
        <v>46216.0</v>
      </c>
      <c r="B196" s="1605" t="s">
        <v>2809</v>
      </c>
      <c r="C196" s="1588"/>
      <c r="D196" s="1588"/>
      <c r="E196" s="1589"/>
      <c r="F196" s="1589"/>
      <c r="G196" s="1589"/>
      <c r="H196" s="661"/>
      <c r="I196" s="661"/>
      <c r="J196" s="661"/>
      <c r="K196" s="661"/>
      <c r="L196" s="661"/>
      <c r="M196" s="661"/>
      <c r="N196" s="661"/>
      <c r="O196" s="661"/>
      <c r="P196" s="661"/>
      <c r="Q196" s="661"/>
      <c r="R196" s="661"/>
      <c r="S196" s="661"/>
      <c r="T196" s="661"/>
      <c r="U196" s="661"/>
      <c r="V196" s="661"/>
      <c r="W196" s="661"/>
      <c r="X196" s="661"/>
      <c r="Y196" s="661"/>
      <c r="Z196" s="661"/>
      <c r="AA196" s="661"/>
      <c r="AB196" s="661"/>
      <c r="AC196" s="661"/>
      <c r="AD196" s="661"/>
      <c r="AE196" s="661"/>
      <c r="AF196" s="661"/>
      <c r="AG196" s="661"/>
      <c r="AH196" s="661"/>
      <c r="AI196" s="661"/>
      <c r="AJ196" s="661"/>
      <c r="AK196" s="661"/>
      <c r="AL196" s="661"/>
      <c r="AM196" s="661"/>
    </row>
    <row r="197">
      <c r="A197" s="1604">
        <v>46217.0</v>
      </c>
      <c r="B197" s="1605" t="s">
        <v>2809</v>
      </c>
      <c r="C197" s="1588"/>
      <c r="D197" s="1588"/>
      <c r="E197" s="1589"/>
      <c r="F197" s="1589"/>
      <c r="G197" s="1589"/>
      <c r="H197" s="661"/>
      <c r="I197" s="661"/>
      <c r="J197" s="661"/>
      <c r="K197" s="661"/>
      <c r="L197" s="661"/>
      <c r="M197" s="661"/>
      <c r="N197" s="661"/>
      <c r="O197" s="661"/>
      <c r="P197" s="661"/>
      <c r="Q197" s="661"/>
      <c r="R197" s="661"/>
      <c r="S197" s="661"/>
      <c r="T197" s="661"/>
      <c r="U197" s="661"/>
      <c r="V197" s="661"/>
      <c r="W197" s="661"/>
      <c r="X197" s="661"/>
      <c r="Y197" s="661"/>
      <c r="Z197" s="661"/>
      <c r="AA197" s="661"/>
      <c r="AB197" s="661"/>
      <c r="AC197" s="661"/>
      <c r="AD197" s="661"/>
      <c r="AE197" s="661"/>
      <c r="AF197" s="661"/>
      <c r="AG197" s="661"/>
      <c r="AH197" s="661"/>
      <c r="AI197" s="661"/>
      <c r="AJ197" s="661"/>
      <c r="AK197" s="661"/>
      <c r="AL197" s="661"/>
      <c r="AM197" s="661"/>
    </row>
    <row r="198">
      <c r="A198" s="1604">
        <v>46218.0</v>
      </c>
      <c r="B198" s="1605" t="s">
        <v>2809</v>
      </c>
      <c r="C198" s="1588"/>
      <c r="D198" s="1588"/>
      <c r="E198" s="1589"/>
      <c r="F198" s="1589"/>
      <c r="G198" s="1589"/>
      <c r="H198" s="661"/>
      <c r="I198" s="661"/>
      <c r="J198" s="661"/>
      <c r="K198" s="661"/>
      <c r="L198" s="661"/>
      <c r="M198" s="661"/>
      <c r="N198" s="661"/>
      <c r="O198" s="661"/>
      <c r="P198" s="661"/>
      <c r="Q198" s="661"/>
      <c r="R198" s="661"/>
      <c r="S198" s="661"/>
      <c r="T198" s="661"/>
      <c r="U198" s="661"/>
      <c r="V198" s="661"/>
      <c r="W198" s="661"/>
      <c r="X198" s="661"/>
      <c r="Y198" s="661"/>
      <c r="Z198" s="661"/>
      <c r="AA198" s="661"/>
      <c r="AB198" s="661"/>
      <c r="AC198" s="661"/>
      <c r="AD198" s="661"/>
      <c r="AE198" s="661"/>
      <c r="AF198" s="661"/>
      <c r="AG198" s="661"/>
      <c r="AH198" s="661"/>
      <c r="AI198" s="661"/>
      <c r="AJ198" s="661"/>
      <c r="AK198" s="661"/>
      <c r="AL198" s="661"/>
      <c r="AM198" s="661"/>
    </row>
    <row r="199">
      <c r="A199" s="1604">
        <v>46219.0</v>
      </c>
      <c r="B199" s="1605" t="s">
        <v>2809</v>
      </c>
      <c r="C199" s="1588"/>
      <c r="D199" s="1588"/>
      <c r="E199" s="1589"/>
      <c r="F199" s="1589"/>
      <c r="G199" s="1589"/>
      <c r="H199" s="661"/>
      <c r="I199" s="661"/>
      <c r="J199" s="661"/>
      <c r="K199" s="661"/>
      <c r="L199" s="661"/>
      <c r="M199" s="661"/>
      <c r="N199" s="661"/>
      <c r="O199" s="661"/>
      <c r="P199" s="661"/>
      <c r="Q199" s="661"/>
      <c r="R199" s="661"/>
      <c r="S199" s="661"/>
      <c r="T199" s="661"/>
      <c r="U199" s="661"/>
      <c r="V199" s="661"/>
      <c r="W199" s="661"/>
      <c r="X199" s="661"/>
      <c r="Y199" s="661"/>
      <c r="Z199" s="661"/>
      <c r="AA199" s="661"/>
      <c r="AB199" s="661"/>
      <c r="AC199" s="661"/>
      <c r="AD199" s="661"/>
      <c r="AE199" s="661"/>
      <c r="AF199" s="661"/>
      <c r="AG199" s="661"/>
      <c r="AH199" s="661"/>
      <c r="AI199" s="661"/>
      <c r="AJ199" s="661"/>
      <c r="AK199" s="661"/>
      <c r="AL199" s="661"/>
      <c r="AM199" s="661"/>
    </row>
    <row r="200">
      <c r="A200" s="1604">
        <v>46220.0</v>
      </c>
      <c r="B200" s="1605" t="s">
        <v>2809</v>
      </c>
      <c r="C200" s="1588"/>
      <c r="D200" s="1588"/>
      <c r="E200" s="1589"/>
      <c r="F200" s="1589"/>
      <c r="G200" s="1589"/>
      <c r="H200" s="661"/>
      <c r="I200" s="661"/>
      <c r="J200" s="661"/>
      <c r="K200" s="661"/>
      <c r="L200" s="661"/>
      <c r="M200" s="661"/>
      <c r="N200" s="661"/>
      <c r="O200" s="661"/>
      <c r="P200" s="661"/>
      <c r="Q200" s="661"/>
      <c r="R200" s="661"/>
      <c r="S200" s="661"/>
      <c r="T200" s="661"/>
      <c r="U200" s="661"/>
      <c r="V200" s="661"/>
      <c r="W200" s="661"/>
      <c r="X200" s="661"/>
      <c r="Y200" s="661"/>
      <c r="Z200" s="661"/>
      <c r="AA200" s="661"/>
      <c r="AB200" s="661"/>
      <c r="AC200" s="661"/>
      <c r="AD200" s="661"/>
      <c r="AE200" s="661"/>
      <c r="AF200" s="661"/>
      <c r="AG200" s="661"/>
      <c r="AH200" s="661"/>
      <c r="AI200" s="661"/>
      <c r="AJ200" s="661"/>
      <c r="AK200" s="661"/>
      <c r="AL200" s="661"/>
      <c r="AM200" s="661"/>
    </row>
    <row r="201">
      <c r="A201" s="1604">
        <v>46221.0</v>
      </c>
      <c r="B201" s="1605" t="s">
        <v>2809</v>
      </c>
      <c r="C201" s="1588"/>
      <c r="D201" s="1588"/>
      <c r="E201" s="1589"/>
      <c r="F201" s="1589"/>
      <c r="G201" s="1589"/>
      <c r="H201" s="661"/>
      <c r="I201" s="661"/>
      <c r="J201" s="661"/>
      <c r="K201" s="661"/>
      <c r="L201" s="661"/>
      <c r="M201" s="661"/>
      <c r="N201" s="661"/>
      <c r="O201" s="661"/>
      <c r="P201" s="661"/>
      <c r="Q201" s="661"/>
      <c r="R201" s="661"/>
      <c r="S201" s="661"/>
      <c r="T201" s="661"/>
      <c r="U201" s="661"/>
      <c r="V201" s="661"/>
      <c r="W201" s="661"/>
      <c r="X201" s="661"/>
      <c r="Y201" s="661"/>
      <c r="Z201" s="661"/>
      <c r="AA201" s="661"/>
      <c r="AB201" s="661"/>
      <c r="AC201" s="661"/>
      <c r="AD201" s="661"/>
      <c r="AE201" s="661"/>
      <c r="AF201" s="661"/>
      <c r="AG201" s="661"/>
      <c r="AH201" s="661"/>
      <c r="AI201" s="661"/>
      <c r="AJ201" s="661"/>
      <c r="AK201" s="661"/>
      <c r="AL201" s="661"/>
      <c r="AM201" s="661"/>
    </row>
    <row r="202">
      <c r="A202" s="1604">
        <v>46222.0</v>
      </c>
      <c r="B202" s="1605" t="s">
        <v>2809</v>
      </c>
      <c r="C202" s="1588"/>
      <c r="D202" s="1588"/>
      <c r="E202" s="1589"/>
      <c r="F202" s="1589"/>
      <c r="G202" s="1589"/>
      <c r="H202" s="661"/>
      <c r="I202" s="661"/>
      <c r="J202" s="661"/>
      <c r="K202" s="661"/>
      <c r="L202" s="661"/>
      <c r="M202" s="661"/>
      <c r="N202" s="661"/>
      <c r="O202" s="661"/>
      <c r="P202" s="661"/>
      <c r="Q202" s="661"/>
      <c r="R202" s="661"/>
      <c r="S202" s="661"/>
      <c r="T202" s="661"/>
      <c r="U202" s="661"/>
      <c r="V202" s="661"/>
      <c r="W202" s="661"/>
      <c r="X202" s="661"/>
      <c r="Y202" s="661"/>
      <c r="Z202" s="661"/>
      <c r="AA202" s="661"/>
      <c r="AB202" s="661"/>
      <c r="AC202" s="661"/>
      <c r="AD202" s="661"/>
      <c r="AE202" s="661"/>
      <c r="AF202" s="661"/>
      <c r="AG202" s="661"/>
      <c r="AH202" s="661"/>
      <c r="AI202" s="661"/>
      <c r="AJ202" s="661"/>
      <c r="AK202" s="661"/>
      <c r="AL202" s="661"/>
      <c r="AM202" s="661"/>
    </row>
    <row r="203">
      <c r="A203" s="1604">
        <v>46223.0</v>
      </c>
      <c r="B203" s="1605" t="s">
        <v>2809</v>
      </c>
      <c r="C203" s="1588"/>
      <c r="D203" s="1588"/>
      <c r="E203" s="1589"/>
      <c r="F203" s="1589"/>
      <c r="G203" s="1589"/>
      <c r="H203" s="661"/>
      <c r="I203" s="661"/>
      <c r="J203" s="661"/>
      <c r="K203" s="661"/>
      <c r="L203" s="661"/>
      <c r="M203" s="661"/>
      <c r="N203" s="661"/>
      <c r="O203" s="661"/>
      <c r="P203" s="661"/>
      <c r="Q203" s="661"/>
      <c r="R203" s="661"/>
      <c r="S203" s="661"/>
      <c r="T203" s="661"/>
      <c r="U203" s="661"/>
      <c r="V203" s="661"/>
      <c r="W203" s="661"/>
      <c r="X203" s="661"/>
      <c r="Y203" s="661"/>
      <c r="Z203" s="661"/>
      <c r="AA203" s="661"/>
      <c r="AB203" s="661"/>
      <c r="AC203" s="661"/>
      <c r="AD203" s="661"/>
      <c r="AE203" s="661"/>
      <c r="AF203" s="661"/>
      <c r="AG203" s="661"/>
      <c r="AH203" s="661"/>
      <c r="AI203" s="661"/>
      <c r="AJ203" s="661"/>
      <c r="AK203" s="661"/>
      <c r="AL203" s="661"/>
      <c r="AM203" s="661"/>
    </row>
    <row r="204">
      <c r="A204" s="1604">
        <v>46224.0</v>
      </c>
      <c r="B204" s="1605" t="s">
        <v>2809</v>
      </c>
      <c r="C204" s="1588"/>
      <c r="D204" s="1588"/>
      <c r="E204" s="1589"/>
      <c r="F204" s="1589"/>
      <c r="G204" s="1589"/>
      <c r="H204" s="661"/>
      <c r="I204" s="661"/>
      <c r="J204" s="661"/>
      <c r="K204" s="661"/>
      <c r="L204" s="661"/>
      <c r="M204" s="661"/>
      <c r="N204" s="661"/>
      <c r="O204" s="661"/>
      <c r="P204" s="661"/>
      <c r="Q204" s="661"/>
      <c r="R204" s="661"/>
      <c r="S204" s="661"/>
      <c r="T204" s="661"/>
      <c r="U204" s="661"/>
      <c r="V204" s="661"/>
      <c r="W204" s="661"/>
      <c r="X204" s="661"/>
      <c r="Y204" s="661"/>
      <c r="Z204" s="661"/>
      <c r="AA204" s="661"/>
      <c r="AB204" s="661"/>
      <c r="AC204" s="661"/>
      <c r="AD204" s="661"/>
      <c r="AE204" s="661"/>
      <c r="AF204" s="661"/>
      <c r="AG204" s="661"/>
      <c r="AH204" s="661"/>
      <c r="AI204" s="661"/>
      <c r="AJ204" s="661"/>
      <c r="AK204" s="661"/>
      <c r="AL204" s="661"/>
      <c r="AM204" s="661"/>
    </row>
    <row r="205">
      <c r="A205" s="1604">
        <v>46225.0</v>
      </c>
      <c r="B205" s="1605" t="s">
        <v>2809</v>
      </c>
      <c r="C205" s="1588"/>
      <c r="D205" s="1588"/>
      <c r="E205" s="1589"/>
      <c r="F205" s="1589"/>
      <c r="G205" s="1589"/>
      <c r="H205" s="661"/>
      <c r="I205" s="661"/>
      <c r="J205" s="661"/>
      <c r="K205" s="661"/>
      <c r="L205" s="661"/>
      <c r="M205" s="661"/>
      <c r="N205" s="661"/>
      <c r="O205" s="661"/>
      <c r="P205" s="661"/>
      <c r="Q205" s="661"/>
      <c r="R205" s="661"/>
      <c r="S205" s="661"/>
      <c r="T205" s="661"/>
      <c r="U205" s="661"/>
      <c r="V205" s="661"/>
      <c r="W205" s="661"/>
      <c r="X205" s="661"/>
      <c r="Y205" s="661"/>
      <c r="Z205" s="661"/>
      <c r="AA205" s="661"/>
      <c r="AB205" s="661"/>
      <c r="AC205" s="661"/>
      <c r="AD205" s="661"/>
      <c r="AE205" s="661"/>
      <c r="AF205" s="661"/>
      <c r="AG205" s="661"/>
      <c r="AH205" s="661"/>
      <c r="AI205" s="661"/>
      <c r="AJ205" s="661"/>
      <c r="AK205" s="661"/>
      <c r="AL205" s="661"/>
      <c r="AM205" s="661"/>
    </row>
    <row r="206">
      <c r="A206" s="1604">
        <v>46226.0</v>
      </c>
      <c r="B206" s="1605" t="s">
        <v>2809</v>
      </c>
      <c r="C206" s="1588"/>
      <c r="D206" s="1588"/>
      <c r="E206" s="1589"/>
      <c r="F206" s="1589"/>
      <c r="G206" s="1589"/>
      <c r="H206" s="661"/>
      <c r="I206" s="661"/>
      <c r="J206" s="661"/>
      <c r="K206" s="661"/>
      <c r="L206" s="661"/>
      <c r="M206" s="661"/>
      <c r="N206" s="661"/>
      <c r="O206" s="661"/>
      <c r="P206" s="661"/>
      <c r="Q206" s="661"/>
      <c r="R206" s="661"/>
      <c r="S206" s="661"/>
      <c r="T206" s="661"/>
      <c r="U206" s="661"/>
      <c r="V206" s="661"/>
      <c r="W206" s="661"/>
      <c r="X206" s="661"/>
      <c r="Y206" s="661"/>
      <c r="Z206" s="661"/>
      <c r="AA206" s="661"/>
      <c r="AB206" s="661"/>
      <c r="AC206" s="661"/>
      <c r="AD206" s="661"/>
      <c r="AE206" s="661"/>
      <c r="AF206" s="661"/>
      <c r="AG206" s="661"/>
      <c r="AH206" s="661"/>
      <c r="AI206" s="661"/>
      <c r="AJ206" s="661"/>
      <c r="AK206" s="661"/>
      <c r="AL206" s="661"/>
      <c r="AM206" s="661"/>
    </row>
    <row r="207">
      <c r="A207" s="1604">
        <v>46227.0</v>
      </c>
      <c r="B207" s="1605" t="s">
        <v>2809</v>
      </c>
      <c r="C207" s="1588"/>
      <c r="D207" s="1588"/>
      <c r="E207" s="1589"/>
      <c r="F207" s="1589"/>
      <c r="G207" s="1589"/>
      <c r="H207" s="661"/>
      <c r="I207" s="661"/>
      <c r="J207" s="661"/>
      <c r="K207" s="661"/>
      <c r="L207" s="661"/>
      <c r="M207" s="661"/>
      <c r="N207" s="661"/>
      <c r="O207" s="661"/>
      <c r="P207" s="661"/>
      <c r="Q207" s="661"/>
      <c r="R207" s="661"/>
      <c r="S207" s="661"/>
      <c r="T207" s="661"/>
      <c r="U207" s="661"/>
      <c r="V207" s="661"/>
      <c r="W207" s="661"/>
      <c r="X207" s="661"/>
      <c r="Y207" s="661"/>
      <c r="Z207" s="661"/>
      <c r="AA207" s="661"/>
      <c r="AB207" s="661"/>
      <c r="AC207" s="661"/>
      <c r="AD207" s="661"/>
      <c r="AE207" s="661"/>
      <c r="AF207" s="661"/>
      <c r="AG207" s="661"/>
      <c r="AH207" s="661"/>
      <c r="AI207" s="661"/>
      <c r="AJ207" s="661"/>
      <c r="AK207" s="661"/>
      <c r="AL207" s="661"/>
      <c r="AM207" s="661"/>
    </row>
    <row r="208">
      <c r="A208" s="1604">
        <v>46228.0</v>
      </c>
      <c r="B208" s="1605" t="s">
        <v>2809</v>
      </c>
      <c r="C208" s="1588"/>
      <c r="D208" s="1588"/>
      <c r="E208" s="1589"/>
      <c r="F208" s="1589"/>
      <c r="G208" s="1589"/>
      <c r="H208" s="661"/>
      <c r="I208" s="661"/>
      <c r="J208" s="661"/>
      <c r="K208" s="661"/>
      <c r="L208" s="661"/>
      <c r="M208" s="661"/>
      <c r="N208" s="661"/>
      <c r="O208" s="661"/>
      <c r="P208" s="661"/>
      <c r="Q208" s="661"/>
      <c r="R208" s="661"/>
      <c r="S208" s="661"/>
      <c r="T208" s="661"/>
      <c r="U208" s="661"/>
      <c r="V208" s="661"/>
      <c r="W208" s="661"/>
      <c r="X208" s="661"/>
      <c r="Y208" s="661"/>
      <c r="Z208" s="661"/>
      <c r="AA208" s="661"/>
      <c r="AB208" s="661"/>
      <c r="AC208" s="661"/>
      <c r="AD208" s="661"/>
      <c r="AE208" s="661"/>
      <c r="AF208" s="661"/>
      <c r="AG208" s="661"/>
      <c r="AH208" s="661"/>
      <c r="AI208" s="661"/>
      <c r="AJ208" s="661"/>
      <c r="AK208" s="661"/>
      <c r="AL208" s="661"/>
      <c r="AM208" s="661"/>
    </row>
    <row r="209">
      <c r="A209" s="1604">
        <v>46229.0</v>
      </c>
      <c r="B209" s="1605" t="s">
        <v>2809</v>
      </c>
      <c r="C209" s="1588"/>
      <c r="D209" s="1588"/>
      <c r="E209" s="1589"/>
      <c r="F209" s="1589"/>
      <c r="G209" s="1589"/>
      <c r="H209" s="661"/>
      <c r="I209" s="661"/>
      <c r="J209" s="661"/>
      <c r="K209" s="661"/>
      <c r="L209" s="661"/>
      <c r="M209" s="661"/>
      <c r="N209" s="661"/>
      <c r="O209" s="661"/>
      <c r="P209" s="661"/>
      <c r="Q209" s="661"/>
      <c r="R209" s="661"/>
      <c r="S209" s="661"/>
      <c r="T209" s="661"/>
      <c r="U209" s="661"/>
      <c r="V209" s="661"/>
      <c r="W209" s="661"/>
      <c r="X209" s="661"/>
      <c r="Y209" s="661"/>
      <c r="Z209" s="661"/>
      <c r="AA209" s="661"/>
      <c r="AB209" s="661"/>
      <c r="AC209" s="661"/>
      <c r="AD209" s="661"/>
      <c r="AE209" s="661"/>
      <c r="AF209" s="661"/>
      <c r="AG209" s="661"/>
      <c r="AH209" s="661"/>
      <c r="AI209" s="661"/>
      <c r="AJ209" s="661"/>
      <c r="AK209" s="661"/>
      <c r="AL209" s="661"/>
      <c r="AM209" s="661"/>
    </row>
    <row r="210">
      <c r="A210" s="1604">
        <v>46230.0</v>
      </c>
      <c r="B210" s="1605" t="s">
        <v>2809</v>
      </c>
      <c r="C210" s="1588"/>
      <c r="D210" s="1588"/>
      <c r="E210" s="1589"/>
      <c r="F210" s="1589"/>
      <c r="G210" s="1589"/>
      <c r="H210" s="661"/>
      <c r="I210" s="661"/>
      <c r="J210" s="661"/>
      <c r="K210" s="661"/>
      <c r="L210" s="661"/>
      <c r="M210" s="661"/>
      <c r="N210" s="661"/>
      <c r="O210" s="661"/>
      <c r="P210" s="661"/>
      <c r="Q210" s="661"/>
      <c r="R210" s="661"/>
      <c r="S210" s="661"/>
      <c r="T210" s="661"/>
      <c r="U210" s="661"/>
      <c r="V210" s="661"/>
      <c r="W210" s="661"/>
      <c r="X210" s="661"/>
      <c r="Y210" s="661"/>
      <c r="Z210" s="661"/>
      <c r="AA210" s="661"/>
      <c r="AB210" s="661"/>
      <c r="AC210" s="661"/>
      <c r="AD210" s="661"/>
      <c r="AE210" s="661"/>
      <c r="AF210" s="661"/>
      <c r="AG210" s="661"/>
      <c r="AH210" s="661"/>
      <c r="AI210" s="661"/>
      <c r="AJ210" s="661"/>
      <c r="AK210" s="661"/>
      <c r="AL210" s="661"/>
      <c r="AM210" s="661"/>
    </row>
    <row r="211">
      <c r="A211" s="1604">
        <v>46231.0</v>
      </c>
      <c r="B211" s="1605" t="s">
        <v>2809</v>
      </c>
      <c r="C211" s="1588"/>
      <c r="D211" s="1588"/>
      <c r="E211" s="1589"/>
      <c r="F211" s="1589"/>
      <c r="G211" s="1589"/>
      <c r="H211" s="661"/>
      <c r="I211" s="661"/>
      <c r="J211" s="661"/>
      <c r="K211" s="661"/>
      <c r="L211" s="661"/>
      <c r="M211" s="661"/>
      <c r="N211" s="661"/>
      <c r="O211" s="661"/>
      <c r="P211" s="661"/>
      <c r="Q211" s="661"/>
      <c r="R211" s="661"/>
      <c r="S211" s="661"/>
      <c r="T211" s="661"/>
      <c r="U211" s="661"/>
      <c r="V211" s="661"/>
      <c r="W211" s="661"/>
      <c r="X211" s="661"/>
      <c r="Y211" s="661"/>
      <c r="Z211" s="661"/>
      <c r="AA211" s="661"/>
      <c r="AB211" s="661"/>
      <c r="AC211" s="661"/>
      <c r="AD211" s="661"/>
      <c r="AE211" s="661"/>
      <c r="AF211" s="661"/>
      <c r="AG211" s="661"/>
      <c r="AH211" s="661"/>
      <c r="AI211" s="661"/>
      <c r="AJ211" s="661"/>
      <c r="AK211" s="661"/>
      <c r="AL211" s="661"/>
      <c r="AM211" s="661"/>
    </row>
    <row r="212">
      <c r="A212" s="1604">
        <v>46232.0</v>
      </c>
      <c r="B212" s="1605" t="s">
        <v>2809</v>
      </c>
      <c r="C212" s="1588"/>
      <c r="D212" s="1588"/>
      <c r="E212" s="1589"/>
      <c r="F212" s="1589"/>
      <c r="G212" s="1589"/>
      <c r="H212" s="661"/>
      <c r="I212" s="661"/>
      <c r="J212" s="661"/>
      <c r="K212" s="661"/>
      <c r="L212" s="661"/>
      <c r="M212" s="661"/>
      <c r="N212" s="661"/>
      <c r="O212" s="661"/>
      <c r="P212" s="661"/>
      <c r="Q212" s="661"/>
      <c r="R212" s="661"/>
      <c r="S212" s="661"/>
      <c r="T212" s="661"/>
      <c r="U212" s="661"/>
      <c r="V212" s="661"/>
      <c r="W212" s="661"/>
      <c r="X212" s="661"/>
      <c r="Y212" s="661"/>
      <c r="Z212" s="661"/>
      <c r="AA212" s="661"/>
      <c r="AB212" s="661"/>
      <c r="AC212" s="661"/>
      <c r="AD212" s="661"/>
      <c r="AE212" s="661"/>
      <c r="AF212" s="661"/>
      <c r="AG212" s="661"/>
      <c r="AH212" s="661"/>
      <c r="AI212" s="661"/>
      <c r="AJ212" s="661"/>
      <c r="AK212" s="661"/>
      <c r="AL212" s="661"/>
      <c r="AM212" s="661"/>
    </row>
    <row r="213">
      <c r="A213" s="1604">
        <v>46233.0</v>
      </c>
      <c r="B213" s="1605" t="s">
        <v>2809</v>
      </c>
      <c r="C213" s="1588"/>
      <c r="D213" s="1588"/>
      <c r="E213" s="1589"/>
      <c r="F213" s="1589"/>
      <c r="G213" s="1589"/>
      <c r="H213" s="661"/>
      <c r="I213" s="661"/>
      <c r="J213" s="661"/>
      <c r="K213" s="661"/>
      <c r="L213" s="661"/>
      <c r="M213" s="661"/>
      <c r="N213" s="661"/>
      <c r="O213" s="661"/>
      <c r="P213" s="661"/>
      <c r="Q213" s="661"/>
      <c r="R213" s="661"/>
      <c r="S213" s="661"/>
      <c r="T213" s="661"/>
      <c r="U213" s="661"/>
      <c r="V213" s="661"/>
      <c r="W213" s="661"/>
      <c r="X213" s="661"/>
      <c r="Y213" s="661"/>
      <c r="Z213" s="661"/>
      <c r="AA213" s="661"/>
      <c r="AB213" s="661"/>
      <c r="AC213" s="661"/>
      <c r="AD213" s="661"/>
      <c r="AE213" s="661"/>
      <c r="AF213" s="661"/>
      <c r="AG213" s="661"/>
      <c r="AH213" s="661"/>
      <c r="AI213" s="661"/>
      <c r="AJ213" s="661"/>
      <c r="AK213" s="661"/>
      <c r="AL213" s="661"/>
      <c r="AM213" s="661"/>
    </row>
    <row r="214">
      <c r="A214" s="1604">
        <v>46234.0</v>
      </c>
      <c r="B214" s="1605" t="s">
        <v>2809</v>
      </c>
      <c r="C214" s="1588"/>
      <c r="D214" s="1588"/>
      <c r="E214" s="1589"/>
      <c r="F214" s="1589"/>
      <c r="G214" s="1589"/>
      <c r="H214" s="661"/>
      <c r="I214" s="661"/>
      <c r="J214" s="661"/>
      <c r="K214" s="661"/>
      <c r="L214" s="661"/>
      <c r="M214" s="661"/>
      <c r="N214" s="661"/>
      <c r="O214" s="661"/>
      <c r="P214" s="661"/>
      <c r="Q214" s="661"/>
      <c r="R214" s="661"/>
      <c r="S214" s="661"/>
      <c r="T214" s="661"/>
      <c r="U214" s="661"/>
      <c r="V214" s="661"/>
      <c r="W214" s="661"/>
      <c r="X214" s="661"/>
      <c r="Y214" s="661"/>
      <c r="Z214" s="661"/>
      <c r="AA214" s="661"/>
      <c r="AB214" s="661"/>
      <c r="AC214" s="661"/>
      <c r="AD214" s="661"/>
      <c r="AE214" s="661"/>
      <c r="AF214" s="661"/>
      <c r="AG214" s="661"/>
      <c r="AH214" s="661"/>
      <c r="AI214" s="661"/>
      <c r="AJ214" s="661"/>
      <c r="AK214" s="661"/>
      <c r="AL214" s="661"/>
      <c r="AM214" s="661"/>
    </row>
    <row r="215">
      <c r="A215" s="1604">
        <v>46235.0</v>
      </c>
      <c r="B215" s="1605" t="s">
        <v>2809</v>
      </c>
      <c r="C215" s="1588"/>
      <c r="D215" s="1588"/>
      <c r="E215" s="1589"/>
      <c r="F215" s="1589"/>
      <c r="G215" s="1589"/>
      <c r="H215" s="661"/>
      <c r="I215" s="661"/>
      <c r="J215" s="661"/>
      <c r="K215" s="661"/>
      <c r="L215" s="661"/>
      <c r="M215" s="661"/>
      <c r="N215" s="661"/>
      <c r="O215" s="661"/>
      <c r="P215" s="661"/>
      <c r="Q215" s="661"/>
      <c r="R215" s="661"/>
      <c r="S215" s="661"/>
      <c r="T215" s="661"/>
      <c r="U215" s="661"/>
      <c r="V215" s="661"/>
      <c r="W215" s="661"/>
      <c r="X215" s="661"/>
      <c r="Y215" s="661"/>
      <c r="Z215" s="661"/>
      <c r="AA215" s="661"/>
      <c r="AB215" s="661"/>
      <c r="AC215" s="661"/>
      <c r="AD215" s="661"/>
      <c r="AE215" s="661"/>
      <c r="AF215" s="661"/>
      <c r="AG215" s="661"/>
      <c r="AH215" s="661"/>
      <c r="AI215" s="661"/>
      <c r="AJ215" s="661"/>
      <c r="AK215" s="661"/>
      <c r="AL215" s="661"/>
      <c r="AM215" s="661"/>
    </row>
    <row r="216">
      <c r="A216" s="1604">
        <v>46236.0</v>
      </c>
      <c r="B216" s="1605" t="s">
        <v>2809</v>
      </c>
      <c r="C216" s="1588"/>
      <c r="D216" s="1588"/>
      <c r="E216" s="1589"/>
      <c r="F216" s="1589"/>
      <c r="G216" s="1589"/>
      <c r="H216" s="661"/>
      <c r="I216" s="661"/>
      <c r="J216" s="661"/>
      <c r="K216" s="661"/>
      <c r="L216" s="661"/>
      <c r="M216" s="661"/>
      <c r="N216" s="661"/>
      <c r="O216" s="661"/>
      <c r="P216" s="661"/>
      <c r="Q216" s="661"/>
      <c r="R216" s="661"/>
      <c r="S216" s="661"/>
      <c r="T216" s="661"/>
      <c r="U216" s="661"/>
      <c r="V216" s="661"/>
      <c r="W216" s="661"/>
      <c r="X216" s="661"/>
      <c r="Y216" s="661"/>
      <c r="Z216" s="661"/>
      <c r="AA216" s="661"/>
      <c r="AB216" s="661"/>
      <c r="AC216" s="661"/>
      <c r="AD216" s="661"/>
      <c r="AE216" s="661"/>
      <c r="AF216" s="661"/>
      <c r="AG216" s="661"/>
      <c r="AH216" s="661"/>
      <c r="AI216" s="661"/>
      <c r="AJ216" s="661"/>
      <c r="AK216" s="661"/>
      <c r="AL216" s="661"/>
      <c r="AM216" s="661"/>
    </row>
    <row r="217">
      <c r="A217" s="1604">
        <v>46237.0</v>
      </c>
      <c r="B217" s="1605" t="s">
        <v>2809</v>
      </c>
      <c r="C217" s="1588"/>
      <c r="D217" s="1588"/>
      <c r="E217" s="1589"/>
      <c r="F217" s="1589"/>
      <c r="G217" s="1589"/>
      <c r="H217" s="661"/>
      <c r="I217" s="661"/>
      <c r="J217" s="661"/>
      <c r="K217" s="661"/>
      <c r="L217" s="661"/>
      <c r="M217" s="661"/>
      <c r="N217" s="661"/>
      <c r="O217" s="661"/>
      <c r="P217" s="661"/>
      <c r="Q217" s="661"/>
      <c r="R217" s="661"/>
      <c r="S217" s="661"/>
      <c r="T217" s="661"/>
      <c r="U217" s="661"/>
      <c r="V217" s="661"/>
      <c r="W217" s="661"/>
      <c r="X217" s="661"/>
      <c r="Y217" s="661"/>
      <c r="Z217" s="661"/>
      <c r="AA217" s="661"/>
      <c r="AB217" s="661"/>
      <c r="AC217" s="661"/>
      <c r="AD217" s="661"/>
      <c r="AE217" s="661"/>
      <c r="AF217" s="661"/>
      <c r="AG217" s="661"/>
      <c r="AH217" s="661"/>
      <c r="AI217" s="661"/>
      <c r="AJ217" s="661"/>
      <c r="AK217" s="661"/>
      <c r="AL217" s="661"/>
      <c r="AM217" s="661"/>
    </row>
    <row r="218">
      <c r="A218" s="1604">
        <v>46238.0</v>
      </c>
      <c r="B218" s="1605" t="s">
        <v>2809</v>
      </c>
      <c r="C218" s="1588"/>
      <c r="D218" s="1588"/>
      <c r="E218" s="1589"/>
      <c r="F218" s="1589"/>
      <c r="G218" s="1589"/>
      <c r="H218" s="661"/>
      <c r="I218" s="661"/>
      <c r="J218" s="661"/>
      <c r="K218" s="661"/>
      <c r="L218" s="661"/>
      <c r="M218" s="661"/>
      <c r="N218" s="661"/>
      <c r="O218" s="661"/>
      <c r="P218" s="661"/>
      <c r="Q218" s="661"/>
      <c r="R218" s="661"/>
      <c r="S218" s="661"/>
      <c r="T218" s="661"/>
      <c r="U218" s="661"/>
      <c r="V218" s="661"/>
      <c r="W218" s="661"/>
      <c r="X218" s="661"/>
      <c r="Y218" s="661"/>
      <c r="Z218" s="661"/>
      <c r="AA218" s="661"/>
      <c r="AB218" s="661"/>
      <c r="AC218" s="661"/>
      <c r="AD218" s="661"/>
      <c r="AE218" s="661"/>
      <c r="AF218" s="661"/>
      <c r="AG218" s="661"/>
      <c r="AH218" s="661"/>
      <c r="AI218" s="661"/>
      <c r="AJ218" s="661"/>
      <c r="AK218" s="661"/>
      <c r="AL218" s="661"/>
      <c r="AM218" s="661"/>
    </row>
    <row r="219">
      <c r="A219" s="1604">
        <v>46239.0</v>
      </c>
      <c r="B219" s="1605" t="s">
        <v>2809</v>
      </c>
      <c r="C219" s="1588"/>
      <c r="D219" s="1588"/>
      <c r="E219" s="1589"/>
      <c r="F219" s="1589"/>
      <c r="G219" s="1589"/>
      <c r="H219" s="661"/>
      <c r="I219" s="661"/>
      <c r="J219" s="661"/>
      <c r="K219" s="661"/>
      <c r="L219" s="661"/>
      <c r="M219" s="661"/>
      <c r="N219" s="661"/>
      <c r="O219" s="661"/>
      <c r="P219" s="661"/>
      <c r="Q219" s="661"/>
      <c r="R219" s="661"/>
      <c r="S219" s="661"/>
      <c r="T219" s="661"/>
      <c r="U219" s="661"/>
      <c r="V219" s="661"/>
      <c r="W219" s="661"/>
      <c r="X219" s="661"/>
      <c r="Y219" s="661"/>
      <c r="Z219" s="661"/>
      <c r="AA219" s="661"/>
      <c r="AB219" s="661"/>
      <c r="AC219" s="661"/>
      <c r="AD219" s="661"/>
      <c r="AE219" s="661"/>
      <c r="AF219" s="661"/>
      <c r="AG219" s="661"/>
      <c r="AH219" s="661"/>
      <c r="AI219" s="661"/>
      <c r="AJ219" s="661"/>
      <c r="AK219" s="661"/>
      <c r="AL219" s="661"/>
      <c r="AM219" s="661"/>
    </row>
    <row r="220">
      <c r="A220" s="1604">
        <v>46240.0</v>
      </c>
      <c r="B220" s="1605" t="s">
        <v>2809</v>
      </c>
      <c r="C220" s="1588"/>
      <c r="D220" s="1588"/>
      <c r="E220" s="1589"/>
      <c r="F220" s="1589"/>
      <c r="G220" s="1589"/>
      <c r="H220" s="661"/>
      <c r="I220" s="661"/>
      <c r="J220" s="661"/>
      <c r="K220" s="661"/>
      <c r="L220" s="661"/>
      <c r="M220" s="661"/>
      <c r="N220" s="661"/>
      <c r="O220" s="661"/>
      <c r="P220" s="661"/>
      <c r="Q220" s="661"/>
      <c r="R220" s="661"/>
      <c r="S220" s="661"/>
      <c r="T220" s="661"/>
      <c r="U220" s="661"/>
      <c r="V220" s="661"/>
      <c r="W220" s="661"/>
      <c r="X220" s="661"/>
      <c r="Y220" s="661"/>
      <c r="Z220" s="661"/>
      <c r="AA220" s="661"/>
      <c r="AB220" s="661"/>
      <c r="AC220" s="661"/>
      <c r="AD220" s="661"/>
      <c r="AE220" s="661"/>
      <c r="AF220" s="661"/>
      <c r="AG220" s="661"/>
      <c r="AH220" s="661"/>
      <c r="AI220" s="661"/>
      <c r="AJ220" s="661"/>
      <c r="AK220" s="661"/>
      <c r="AL220" s="661"/>
      <c r="AM220" s="661"/>
    </row>
    <row r="221">
      <c r="A221" s="1604">
        <v>46241.0</v>
      </c>
      <c r="B221" s="1605" t="s">
        <v>2809</v>
      </c>
      <c r="C221" s="1588"/>
      <c r="D221" s="1588"/>
      <c r="E221" s="1589"/>
      <c r="F221" s="1589"/>
      <c r="G221" s="1589"/>
      <c r="H221" s="661"/>
      <c r="I221" s="661"/>
      <c r="J221" s="661"/>
      <c r="K221" s="661"/>
      <c r="L221" s="661"/>
      <c r="M221" s="661"/>
      <c r="N221" s="661"/>
      <c r="O221" s="661"/>
      <c r="P221" s="661"/>
      <c r="Q221" s="661"/>
      <c r="R221" s="661"/>
      <c r="S221" s="661"/>
      <c r="T221" s="661"/>
      <c r="U221" s="661"/>
      <c r="V221" s="661"/>
      <c r="W221" s="661"/>
      <c r="X221" s="661"/>
      <c r="Y221" s="661"/>
      <c r="Z221" s="661"/>
      <c r="AA221" s="661"/>
      <c r="AB221" s="661"/>
      <c r="AC221" s="661"/>
      <c r="AD221" s="661"/>
      <c r="AE221" s="661"/>
      <c r="AF221" s="661"/>
      <c r="AG221" s="661"/>
      <c r="AH221" s="661"/>
      <c r="AI221" s="661"/>
      <c r="AJ221" s="661"/>
      <c r="AK221" s="661"/>
      <c r="AL221" s="661"/>
      <c r="AM221" s="661"/>
    </row>
    <row r="222">
      <c r="A222" s="1604">
        <v>46242.0</v>
      </c>
      <c r="B222" s="1605" t="s">
        <v>2809</v>
      </c>
      <c r="C222" s="1588"/>
      <c r="D222" s="1588"/>
      <c r="E222" s="1589"/>
      <c r="F222" s="1589"/>
      <c r="G222" s="1589"/>
      <c r="H222" s="661"/>
      <c r="I222" s="661"/>
      <c r="J222" s="661"/>
      <c r="K222" s="661"/>
      <c r="L222" s="661"/>
      <c r="M222" s="661"/>
      <c r="N222" s="661"/>
      <c r="O222" s="661"/>
      <c r="P222" s="661"/>
      <c r="Q222" s="661"/>
      <c r="R222" s="661"/>
      <c r="S222" s="661"/>
      <c r="T222" s="661"/>
      <c r="U222" s="661"/>
      <c r="V222" s="661"/>
      <c r="W222" s="661"/>
      <c r="X222" s="661"/>
      <c r="Y222" s="661"/>
      <c r="Z222" s="661"/>
      <c r="AA222" s="661"/>
      <c r="AB222" s="661"/>
      <c r="AC222" s="661"/>
      <c r="AD222" s="661"/>
      <c r="AE222" s="661"/>
      <c r="AF222" s="661"/>
      <c r="AG222" s="661"/>
      <c r="AH222" s="661"/>
      <c r="AI222" s="661"/>
      <c r="AJ222" s="661"/>
      <c r="AK222" s="661"/>
      <c r="AL222" s="661"/>
      <c r="AM222" s="661"/>
    </row>
    <row r="223">
      <c r="A223" s="1604">
        <v>46243.0</v>
      </c>
      <c r="B223" s="1605" t="s">
        <v>2809</v>
      </c>
      <c r="C223" s="1588"/>
      <c r="D223" s="1588"/>
      <c r="E223" s="1589"/>
      <c r="F223" s="1589"/>
      <c r="G223" s="1589"/>
      <c r="H223" s="661"/>
      <c r="I223" s="661"/>
      <c r="J223" s="661"/>
      <c r="K223" s="661"/>
      <c r="L223" s="661"/>
      <c r="M223" s="661"/>
      <c r="N223" s="661"/>
      <c r="O223" s="661"/>
      <c r="P223" s="661"/>
      <c r="Q223" s="661"/>
      <c r="R223" s="661"/>
      <c r="S223" s="661"/>
      <c r="T223" s="661"/>
      <c r="U223" s="661"/>
      <c r="V223" s="661"/>
      <c r="W223" s="661"/>
      <c r="X223" s="661"/>
      <c r="Y223" s="661"/>
      <c r="Z223" s="661"/>
      <c r="AA223" s="661"/>
      <c r="AB223" s="661"/>
      <c r="AC223" s="661"/>
      <c r="AD223" s="661"/>
      <c r="AE223" s="661"/>
      <c r="AF223" s="661"/>
      <c r="AG223" s="661"/>
      <c r="AH223" s="661"/>
      <c r="AI223" s="661"/>
      <c r="AJ223" s="661"/>
      <c r="AK223" s="661"/>
      <c r="AL223" s="661"/>
      <c r="AM223" s="661"/>
    </row>
    <row r="224">
      <c r="A224" s="1604">
        <v>46244.0</v>
      </c>
      <c r="B224" s="1605" t="s">
        <v>2809</v>
      </c>
      <c r="C224" s="1588"/>
      <c r="D224" s="1588"/>
      <c r="E224" s="1589"/>
      <c r="F224" s="1589"/>
      <c r="G224" s="1589"/>
      <c r="H224" s="661"/>
      <c r="I224" s="661"/>
      <c r="J224" s="661"/>
      <c r="K224" s="661"/>
      <c r="L224" s="661"/>
      <c r="M224" s="661"/>
      <c r="N224" s="661"/>
      <c r="O224" s="661"/>
      <c r="P224" s="661"/>
      <c r="Q224" s="661"/>
      <c r="R224" s="661"/>
      <c r="S224" s="661"/>
      <c r="T224" s="661"/>
      <c r="U224" s="661"/>
      <c r="V224" s="661"/>
      <c r="W224" s="661"/>
      <c r="X224" s="661"/>
      <c r="Y224" s="661"/>
      <c r="Z224" s="661"/>
      <c r="AA224" s="661"/>
      <c r="AB224" s="661"/>
      <c r="AC224" s="661"/>
      <c r="AD224" s="661"/>
      <c r="AE224" s="661"/>
      <c r="AF224" s="661"/>
      <c r="AG224" s="661"/>
      <c r="AH224" s="661"/>
      <c r="AI224" s="661"/>
      <c r="AJ224" s="661"/>
      <c r="AK224" s="661"/>
      <c r="AL224" s="661"/>
      <c r="AM224" s="661"/>
    </row>
    <row r="225">
      <c r="A225" s="1604">
        <v>46245.0</v>
      </c>
      <c r="B225" s="1605" t="s">
        <v>2809</v>
      </c>
      <c r="C225" s="1588"/>
      <c r="D225" s="1588"/>
      <c r="E225" s="1589"/>
      <c r="F225" s="1589"/>
      <c r="G225" s="1589"/>
      <c r="H225" s="661"/>
      <c r="I225" s="661"/>
      <c r="J225" s="661"/>
      <c r="K225" s="661"/>
      <c r="L225" s="661"/>
      <c r="M225" s="661"/>
      <c r="N225" s="661"/>
      <c r="O225" s="661"/>
      <c r="P225" s="661"/>
      <c r="Q225" s="661"/>
      <c r="R225" s="661"/>
      <c r="S225" s="661"/>
      <c r="T225" s="661"/>
      <c r="U225" s="661"/>
      <c r="V225" s="661"/>
      <c r="W225" s="661"/>
      <c r="X225" s="661"/>
      <c r="Y225" s="661"/>
      <c r="Z225" s="661"/>
      <c r="AA225" s="661"/>
      <c r="AB225" s="661"/>
      <c r="AC225" s="661"/>
      <c r="AD225" s="661"/>
      <c r="AE225" s="661"/>
      <c r="AF225" s="661"/>
      <c r="AG225" s="661"/>
      <c r="AH225" s="661"/>
      <c r="AI225" s="661"/>
      <c r="AJ225" s="661"/>
      <c r="AK225" s="661"/>
      <c r="AL225" s="661"/>
      <c r="AM225" s="661"/>
    </row>
    <row r="226">
      <c r="A226" s="1604">
        <v>46246.0</v>
      </c>
      <c r="B226" s="1605" t="s">
        <v>2809</v>
      </c>
      <c r="C226" s="1588"/>
      <c r="D226" s="1588"/>
      <c r="E226" s="1589"/>
      <c r="F226" s="1589"/>
      <c r="G226" s="1589"/>
      <c r="H226" s="661"/>
      <c r="I226" s="661"/>
      <c r="J226" s="661"/>
      <c r="K226" s="661"/>
      <c r="L226" s="661"/>
      <c r="M226" s="661"/>
      <c r="N226" s="661"/>
      <c r="O226" s="661"/>
      <c r="P226" s="661"/>
      <c r="Q226" s="661"/>
      <c r="R226" s="661"/>
      <c r="S226" s="661"/>
      <c r="T226" s="661"/>
      <c r="U226" s="661"/>
      <c r="V226" s="661"/>
      <c r="W226" s="661"/>
      <c r="X226" s="661"/>
      <c r="Y226" s="661"/>
      <c r="Z226" s="661"/>
      <c r="AA226" s="661"/>
      <c r="AB226" s="661"/>
      <c r="AC226" s="661"/>
      <c r="AD226" s="661"/>
      <c r="AE226" s="661"/>
      <c r="AF226" s="661"/>
      <c r="AG226" s="661"/>
      <c r="AH226" s="661"/>
      <c r="AI226" s="661"/>
      <c r="AJ226" s="661"/>
      <c r="AK226" s="661"/>
      <c r="AL226" s="661"/>
      <c r="AM226" s="661"/>
    </row>
    <row r="227">
      <c r="A227" s="1604">
        <v>46247.0</v>
      </c>
      <c r="B227" s="1605" t="s">
        <v>2809</v>
      </c>
      <c r="C227" s="1588"/>
      <c r="D227" s="1588"/>
      <c r="E227" s="1589"/>
      <c r="F227" s="1589"/>
      <c r="G227" s="1589"/>
      <c r="H227" s="661"/>
      <c r="I227" s="661"/>
      <c r="J227" s="661"/>
      <c r="K227" s="661"/>
      <c r="L227" s="661"/>
      <c r="M227" s="661"/>
      <c r="N227" s="661"/>
      <c r="O227" s="661"/>
      <c r="P227" s="661"/>
      <c r="Q227" s="661"/>
      <c r="R227" s="661"/>
      <c r="S227" s="661"/>
      <c r="T227" s="661"/>
      <c r="U227" s="661"/>
      <c r="V227" s="661"/>
      <c r="W227" s="661"/>
      <c r="X227" s="661"/>
      <c r="Y227" s="661"/>
      <c r="Z227" s="661"/>
      <c r="AA227" s="661"/>
      <c r="AB227" s="661"/>
      <c r="AC227" s="661"/>
      <c r="AD227" s="661"/>
      <c r="AE227" s="661"/>
      <c r="AF227" s="661"/>
      <c r="AG227" s="661"/>
      <c r="AH227" s="661"/>
      <c r="AI227" s="661"/>
      <c r="AJ227" s="661"/>
      <c r="AK227" s="661"/>
      <c r="AL227" s="661"/>
      <c r="AM227" s="661"/>
    </row>
    <row r="228">
      <c r="A228" s="1604">
        <v>46248.0</v>
      </c>
      <c r="B228" s="1605" t="s">
        <v>2809</v>
      </c>
      <c r="C228" s="1588"/>
      <c r="D228" s="1588"/>
      <c r="E228" s="1589"/>
      <c r="F228" s="1589"/>
      <c r="G228" s="1589"/>
      <c r="H228" s="661"/>
      <c r="I228" s="661"/>
      <c r="J228" s="661"/>
      <c r="K228" s="661"/>
      <c r="L228" s="661"/>
      <c r="M228" s="661"/>
      <c r="N228" s="661"/>
      <c r="O228" s="661"/>
      <c r="P228" s="661"/>
      <c r="Q228" s="661"/>
      <c r="R228" s="661"/>
      <c r="S228" s="661"/>
      <c r="T228" s="661"/>
      <c r="U228" s="661"/>
      <c r="V228" s="661"/>
      <c r="W228" s="661"/>
      <c r="X228" s="661"/>
      <c r="Y228" s="661"/>
      <c r="Z228" s="661"/>
      <c r="AA228" s="661"/>
      <c r="AB228" s="661"/>
      <c r="AC228" s="661"/>
      <c r="AD228" s="661"/>
      <c r="AE228" s="661"/>
      <c r="AF228" s="661"/>
      <c r="AG228" s="661"/>
      <c r="AH228" s="661"/>
      <c r="AI228" s="661"/>
      <c r="AJ228" s="661"/>
      <c r="AK228" s="661"/>
      <c r="AL228" s="661"/>
      <c r="AM228" s="661"/>
    </row>
    <row r="229">
      <c r="A229" s="1604">
        <v>46249.0</v>
      </c>
      <c r="B229" s="1605" t="s">
        <v>2809</v>
      </c>
      <c r="C229" s="1588"/>
      <c r="D229" s="1588"/>
      <c r="E229" s="1589"/>
      <c r="F229" s="1589"/>
      <c r="G229" s="1589"/>
      <c r="H229" s="661"/>
      <c r="I229" s="661"/>
      <c r="J229" s="661"/>
      <c r="K229" s="661"/>
      <c r="L229" s="661"/>
      <c r="M229" s="661"/>
      <c r="N229" s="661"/>
      <c r="O229" s="661"/>
      <c r="P229" s="661"/>
      <c r="Q229" s="661"/>
      <c r="R229" s="661"/>
      <c r="S229" s="661"/>
      <c r="T229" s="661"/>
      <c r="U229" s="661"/>
      <c r="V229" s="661"/>
      <c r="W229" s="661"/>
      <c r="X229" s="661"/>
      <c r="Y229" s="661"/>
      <c r="Z229" s="661"/>
      <c r="AA229" s="661"/>
      <c r="AB229" s="661"/>
      <c r="AC229" s="661"/>
      <c r="AD229" s="661"/>
      <c r="AE229" s="661"/>
      <c r="AF229" s="661"/>
      <c r="AG229" s="661"/>
      <c r="AH229" s="661"/>
      <c r="AI229" s="661"/>
      <c r="AJ229" s="661"/>
      <c r="AK229" s="661"/>
      <c r="AL229" s="661"/>
      <c r="AM229" s="661"/>
    </row>
    <row r="230">
      <c r="A230" s="1604">
        <v>46250.0</v>
      </c>
      <c r="B230" s="1605" t="s">
        <v>2809</v>
      </c>
      <c r="C230" s="1588"/>
      <c r="D230" s="1588"/>
      <c r="E230" s="1589"/>
      <c r="F230" s="1589"/>
      <c r="G230" s="1589"/>
      <c r="H230" s="661"/>
      <c r="I230" s="661"/>
      <c r="J230" s="661"/>
      <c r="K230" s="661"/>
      <c r="L230" s="661"/>
      <c r="M230" s="661"/>
      <c r="N230" s="661"/>
      <c r="O230" s="661"/>
      <c r="P230" s="661"/>
      <c r="Q230" s="661"/>
      <c r="R230" s="661"/>
      <c r="S230" s="661"/>
      <c r="T230" s="661"/>
      <c r="U230" s="661"/>
      <c r="V230" s="661"/>
      <c r="W230" s="661"/>
      <c r="X230" s="661"/>
      <c r="Y230" s="661"/>
      <c r="Z230" s="661"/>
      <c r="AA230" s="661"/>
      <c r="AB230" s="661"/>
      <c r="AC230" s="661"/>
      <c r="AD230" s="661"/>
      <c r="AE230" s="661"/>
      <c r="AF230" s="661"/>
      <c r="AG230" s="661"/>
      <c r="AH230" s="661"/>
      <c r="AI230" s="661"/>
      <c r="AJ230" s="661"/>
      <c r="AK230" s="661"/>
      <c r="AL230" s="661"/>
      <c r="AM230" s="661"/>
    </row>
    <row r="231">
      <c r="A231" s="1604">
        <v>46251.0</v>
      </c>
      <c r="B231" s="1605" t="s">
        <v>2809</v>
      </c>
      <c r="C231" s="1588"/>
      <c r="D231" s="1588"/>
      <c r="E231" s="1589"/>
      <c r="F231" s="1589"/>
      <c r="G231" s="1589"/>
      <c r="H231" s="661"/>
      <c r="I231" s="661"/>
      <c r="J231" s="661"/>
      <c r="K231" s="661"/>
      <c r="L231" s="661"/>
      <c r="M231" s="661"/>
      <c r="N231" s="661"/>
      <c r="O231" s="661"/>
      <c r="P231" s="661"/>
      <c r="Q231" s="661"/>
      <c r="R231" s="661"/>
      <c r="S231" s="661"/>
      <c r="T231" s="661"/>
      <c r="U231" s="661"/>
      <c r="V231" s="661"/>
      <c r="W231" s="661"/>
      <c r="X231" s="661"/>
      <c r="Y231" s="661"/>
      <c r="Z231" s="661"/>
      <c r="AA231" s="661"/>
      <c r="AB231" s="661"/>
      <c r="AC231" s="661"/>
      <c r="AD231" s="661"/>
      <c r="AE231" s="661"/>
      <c r="AF231" s="661"/>
      <c r="AG231" s="661"/>
      <c r="AH231" s="661"/>
      <c r="AI231" s="661"/>
      <c r="AJ231" s="661"/>
      <c r="AK231" s="661"/>
      <c r="AL231" s="661"/>
      <c r="AM231" s="661"/>
    </row>
    <row r="232">
      <c r="A232" s="1604">
        <v>46252.0</v>
      </c>
      <c r="B232" s="1605" t="s">
        <v>2809</v>
      </c>
      <c r="C232" s="1588"/>
      <c r="D232" s="1588"/>
      <c r="E232" s="1589"/>
      <c r="F232" s="1589"/>
      <c r="G232" s="1589"/>
      <c r="H232" s="661"/>
      <c r="I232" s="661"/>
      <c r="J232" s="661"/>
      <c r="K232" s="661"/>
      <c r="L232" s="661"/>
      <c r="M232" s="661"/>
      <c r="N232" s="661"/>
      <c r="O232" s="661"/>
      <c r="P232" s="661"/>
      <c r="Q232" s="661"/>
      <c r="R232" s="661"/>
      <c r="S232" s="661"/>
      <c r="T232" s="661"/>
      <c r="U232" s="661"/>
      <c r="V232" s="661"/>
      <c r="W232" s="661"/>
      <c r="X232" s="661"/>
      <c r="Y232" s="661"/>
      <c r="Z232" s="661"/>
      <c r="AA232" s="661"/>
      <c r="AB232" s="661"/>
      <c r="AC232" s="661"/>
      <c r="AD232" s="661"/>
      <c r="AE232" s="661"/>
      <c r="AF232" s="661"/>
      <c r="AG232" s="661"/>
      <c r="AH232" s="661"/>
      <c r="AI232" s="661"/>
      <c r="AJ232" s="661"/>
      <c r="AK232" s="661"/>
      <c r="AL232" s="661"/>
      <c r="AM232" s="661"/>
    </row>
    <row r="233">
      <c r="A233" s="1604">
        <v>46253.0</v>
      </c>
      <c r="B233" s="1605" t="s">
        <v>2809</v>
      </c>
      <c r="C233" s="1588"/>
      <c r="D233" s="1588"/>
      <c r="E233" s="1589"/>
      <c r="F233" s="1589"/>
      <c r="G233" s="1589"/>
      <c r="H233" s="661"/>
      <c r="I233" s="661"/>
      <c r="J233" s="661"/>
      <c r="K233" s="661"/>
      <c r="L233" s="661"/>
      <c r="M233" s="661"/>
      <c r="N233" s="661"/>
      <c r="O233" s="661"/>
      <c r="P233" s="661"/>
      <c r="Q233" s="661"/>
      <c r="R233" s="661"/>
      <c r="S233" s="661"/>
      <c r="T233" s="661"/>
      <c r="U233" s="661"/>
      <c r="V233" s="661"/>
      <c r="W233" s="661"/>
      <c r="X233" s="661"/>
      <c r="Y233" s="661"/>
      <c r="Z233" s="661"/>
      <c r="AA233" s="661"/>
      <c r="AB233" s="661"/>
      <c r="AC233" s="661"/>
      <c r="AD233" s="661"/>
      <c r="AE233" s="661"/>
      <c r="AF233" s="661"/>
      <c r="AG233" s="661"/>
      <c r="AH233" s="661"/>
      <c r="AI233" s="661"/>
      <c r="AJ233" s="661"/>
      <c r="AK233" s="661"/>
      <c r="AL233" s="661"/>
      <c r="AM233" s="661"/>
    </row>
    <row r="234">
      <c r="A234" s="1604">
        <v>46254.0</v>
      </c>
      <c r="B234" s="1605" t="s">
        <v>2809</v>
      </c>
      <c r="C234" s="1588"/>
      <c r="D234" s="1588"/>
      <c r="E234" s="1589"/>
      <c r="F234" s="1589"/>
      <c r="G234" s="1589"/>
      <c r="H234" s="661"/>
      <c r="I234" s="661"/>
      <c r="J234" s="661"/>
      <c r="K234" s="661"/>
      <c r="L234" s="661"/>
      <c r="M234" s="661"/>
      <c r="N234" s="661"/>
      <c r="O234" s="661"/>
      <c r="P234" s="661"/>
      <c r="Q234" s="661"/>
      <c r="R234" s="661"/>
      <c r="S234" s="661"/>
      <c r="T234" s="661"/>
      <c r="U234" s="661"/>
      <c r="V234" s="661"/>
      <c r="W234" s="661"/>
      <c r="X234" s="661"/>
      <c r="Y234" s="661"/>
      <c r="Z234" s="661"/>
      <c r="AA234" s="661"/>
      <c r="AB234" s="661"/>
      <c r="AC234" s="661"/>
      <c r="AD234" s="661"/>
      <c r="AE234" s="661"/>
      <c r="AF234" s="661"/>
      <c r="AG234" s="661"/>
      <c r="AH234" s="661"/>
      <c r="AI234" s="661"/>
      <c r="AJ234" s="661"/>
      <c r="AK234" s="661"/>
      <c r="AL234" s="661"/>
      <c r="AM234" s="661"/>
    </row>
    <row r="235">
      <c r="A235" s="1604">
        <v>46255.0</v>
      </c>
      <c r="B235" s="1605" t="s">
        <v>2809</v>
      </c>
      <c r="C235" s="1588"/>
      <c r="D235" s="1588"/>
      <c r="E235" s="1589"/>
      <c r="F235" s="1589"/>
      <c r="G235" s="1589"/>
      <c r="H235" s="661"/>
      <c r="I235" s="661"/>
      <c r="J235" s="661"/>
      <c r="K235" s="661"/>
      <c r="L235" s="661"/>
      <c r="M235" s="661"/>
      <c r="N235" s="661"/>
      <c r="O235" s="661"/>
      <c r="P235" s="661"/>
      <c r="Q235" s="661"/>
      <c r="R235" s="661"/>
      <c r="S235" s="661"/>
      <c r="T235" s="661"/>
      <c r="U235" s="661"/>
      <c r="V235" s="661"/>
      <c r="W235" s="661"/>
      <c r="X235" s="661"/>
      <c r="Y235" s="661"/>
      <c r="Z235" s="661"/>
      <c r="AA235" s="661"/>
      <c r="AB235" s="661"/>
      <c r="AC235" s="661"/>
      <c r="AD235" s="661"/>
      <c r="AE235" s="661"/>
      <c r="AF235" s="661"/>
      <c r="AG235" s="661"/>
      <c r="AH235" s="661"/>
      <c r="AI235" s="661"/>
      <c r="AJ235" s="661"/>
      <c r="AK235" s="661"/>
      <c r="AL235" s="661"/>
      <c r="AM235" s="661"/>
    </row>
    <row r="236">
      <c r="A236" s="1604">
        <v>46256.0</v>
      </c>
      <c r="B236" s="1605" t="s">
        <v>2809</v>
      </c>
      <c r="C236" s="1588"/>
      <c r="D236" s="1588"/>
      <c r="E236" s="1589"/>
      <c r="F236" s="1589"/>
      <c r="G236" s="1589"/>
      <c r="H236" s="661"/>
      <c r="I236" s="661"/>
      <c r="J236" s="661"/>
      <c r="K236" s="661"/>
      <c r="L236" s="661"/>
      <c r="M236" s="661"/>
      <c r="N236" s="661"/>
      <c r="O236" s="661"/>
      <c r="P236" s="661"/>
      <c r="Q236" s="661"/>
      <c r="R236" s="661"/>
      <c r="S236" s="661"/>
      <c r="T236" s="661"/>
      <c r="U236" s="661"/>
      <c r="V236" s="661"/>
      <c r="W236" s="661"/>
      <c r="X236" s="661"/>
      <c r="Y236" s="661"/>
      <c r="Z236" s="661"/>
      <c r="AA236" s="661"/>
      <c r="AB236" s="661"/>
      <c r="AC236" s="661"/>
      <c r="AD236" s="661"/>
      <c r="AE236" s="661"/>
      <c r="AF236" s="661"/>
      <c r="AG236" s="661"/>
      <c r="AH236" s="661"/>
      <c r="AI236" s="661"/>
      <c r="AJ236" s="661"/>
      <c r="AK236" s="661"/>
      <c r="AL236" s="661"/>
      <c r="AM236" s="661"/>
    </row>
    <row r="237">
      <c r="A237" s="1604">
        <v>46257.0</v>
      </c>
      <c r="B237" s="1605" t="s">
        <v>2809</v>
      </c>
      <c r="C237" s="1588"/>
      <c r="D237" s="1588"/>
      <c r="E237" s="1589"/>
      <c r="F237" s="1589"/>
      <c r="G237" s="1589"/>
      <c r="H237" s="661"/>
      <c r="I237" s="661"/>
      <c r="J237" s="661"/>
      <c r="K237" s="661"/>
      <c r="L237" s="661"/>
      <c r="M237" s="661"/>
      <c r="N237" s="661"/>
      <c r="O237" s="661"/>
      <c r="P237" s="661"/>
      <c r="Q237" s="661"/>
      <c r="R237" s="661"/>
      <c r="S237" s="661"/>
      <c r="T237" s="661"/>
      <c r="U237" s="661"/>
      <c r="V237" s="661"/>
      <c r="W237" s="661"/>
      <c r="X237" s="661"/>
      <c r="Y237" s="661"/>
      <c r="Z237" s="661"/>
      <c r="AA237" s="661"/>
      <c r="AB237" s="661"/>
      <c r="AC237" s="661"/>
      <c r="AD237" s="661"/>
      <c r="AE237" s="661"/>
      <c r="AF237" s="661"/>
      <c r="AG237" s="661"/>
      <c r="AH237" s="661"/>
      <c r="AI237" s="661"/>
      <c r="AJ237" s="661"/>
      <c r="AK237" s="661"/>
      <c r="AL237" s="661"/>
      <c r="AM237" s="661"/>
    </row>
    <row r="238">
      <c r="A238" s="1604">
        <v>46258.0</v>
      </c>
      <c r="B238" s="1605" t="s">
        <v>2809</v>
      </c>
      <c r="C238" s="1588"/>
      <c r="D238" s="1588"/>
      <c r="E238" s="1589"/>
      <c r="F238" s="1589"/>
      <c r="G238" s="1589"/>
      <c r="H238" s="661"/>
      <c r="I238" s="661"/>
      <c r="J238" s="661"/>
      <c r="K238" s="661"/>
      <c r="L238" s="661"/>
      <c r="M238" s="661"/>
      <c r="N238" s="661"/>
      <c r="O238" s="661"/>
      <c r="P238" s="661"/>
      <c r="Q238" s="661"/>
      <c r="R238" s="661"/>
      <c r="S238" s="661"/>
      <c r="T238" s="661"/>
      <c r="U238" s="661"/>
      <c r="V238" s="661"/>
      <c r="W238" s="661"/>
      <c r="X238" s="661"/>
      <c r="Y238" s="661"/>
      <c r="Z238" s="661"/>
      <c r="AA238" s="661"/>
      <c r="AB238" s="661"/>
      <c r="AC238" s="661"/>
      <c r="AD238" s="661"/>
      <c r="AE238" s="661"/>
      <c r="AF238" s="661"/>
      <c r="AG238" s="661"/>
      <c r="AH238" s="661"/>
      <c r="AI238" s="661"/>
      <c r="AJ238" s="661"/>
      <c r="AK238" s="661"/>
      <c r="AL238" s="661"/>
      <c r="AM238" s="661"/>
    </row>
    <row r="239">
      <c r="A239" s="1604">
        <v>46259.0</v>
      </c>
      <c r="B239" s="1605" t="s">
        <v>2809</v>
      </c>
      <c r="C239" s="1588"/>
      <c r="D239" s="1588"/>
      <c r="E239" s="1589"/>
      <c r="F239" s="1589"/>
      <c r="G239" s="1589"/>
      <c r="H239" s="661"/>
      <c r="I239" s="661"/>
      <c r="J239" s="661"/>
      <c r="K239" s="661"/>
      <c r="L239" s="661"/>
      <c r="M239" s="661"/>
      <c r="N239" s="661"/>
      <c r="O239" s="661"/>
      <c r="P239" s="661"/>
      <c r="Q239" s="661"/>
      <c r="R239" s="661"/>
      <c r="S239" s="661"/>
      <c r="T239" s="661"/>
      <c r="U239" s="661"/>
      <c r="V239" s="661"/>
      <c r="W239" s="661"/>
      <c r="X239" s="661"/>
      <c r="Y239" s="661"/>
      <c r="Z239" s="661"/>
      <c r="AA239" s="661"/>
      <c r="AB239" s="661"/>
      <c r="AC239" s="661"/>
      <c r="AD239" s="661"/>
      <c r="AE239" s="661"/>
      <c r="AF239" s="661"/>
      <c r="AG239" s="661"/>
      <c r="AH239" s="661"/>
      <c r="AI239" s="661"/>
      <c r="AJ239" s="661"/>
      <c r="AK239" s="661"/>
      <c r="AL239" s="661"/>
      <c r="AM239" s="661"/>
    </row>
    <row r="240">
      <c r="A240" s="1604">
        <v>46260.0</v>
      </c>
      <c r="B240" s="1605" t="s">
        <v>2809</v>
      </c>
      <c r="C240" s="1588"/>
      <c r="D240" s="1588"/>
      <c r="E240" s="1589"/>
      <c r="F240" s="1589"/>
      <c r="G240" s="1589"/>
      <c r="H240" s="661"/>
      <c r="I240" s="661"/>
      <c r="J240" s="661"/>
      <c r="K240" s="661"/>
      <c r="L240" s="661"/>
      <c r="M240" s="661"/>
      <c r="N240" s="661"/>
      <c r="O240" s="661"/>
      <c r="P240" s="661"/>
      <c r="Q240" s="661"/>
      <c r="R240" s="661"/>
      <c r="S240" s="661"/>
      <c r="T240" s="661"/>
      <c r="U240" s="661"/>
      <c r="V240" s="661"/>
      <c r="W240" s="661"/>
      <c r="X240" s="661"/>
      <c r="Y240" s="661"/>
      <c r="Z240" s="661"/>
      <c r="AA240" s="661"/>
      <c r="AB240" s="661"/>
      <c r="AC240" s="661"/>
      <c r="AD240" s="661"/>
      <c r="AE240" s="661"/>
      <c r="AF240" s="661"/>
      <c r="AG240" s="661"/>
      <c r="AH240" s="661"/>
      <c r="AI240" s="661"/>
      <c r="AJ240" s="661"/>
      <c r="AK240" s="661"/>
      <c r="AL240" s="661"/>
      <c r="AM240" s="661"/>
    </row>
    <row r="241">
      <c r="A241" s="1604">
        <v>46261.0</v>
      </c>
      <c r="B241" s="1605" t="s">
        <v>2809</v>
      </c>
      <c r="C241" s="1588"/>
      <c r="D241" s="1588"/>
      <c r="E241" s="1589"/>
      <c r="F241" s="1589"/>
      <c r="G241" s="1589"/>
      <c r="H241" s="661"/>
      <c r="I241" s="661"/>
      <c r="J241" s="661"/>
      <c r="K241" s="661"/>
      <c r="L241" s="661"/>
      <c r="M241" s="661"/>
      <c r="N241" s="661"/>
      <c r="O241" s="661"/>
      <c r="P241" s="661"/>
      <c r="Q241" s="661"/>
      <c r="R241" s="661"/>
      <c r="S241" s="661"/>
      <c r="T241" s="661"/>
      <c r="U241" s="661"/>
      <c r="V241" s="661"/>
      <c r="W241" s="661"/>
      <c r="X241" s="661"/>
      <c r="Y241" s="661"/>
      <c r="Z241" s="661"/>
      <c r="AA241" s="661"/>
      <c r="AB241" s="661"/>
      <c r="AC241" s="661"/>
      <c r="AD241" s="661"/>
      <c r="AE241" s="661"/>
      <c r="AF241" s="661"/>
      <c r="AG241" s="661"/>
      <c r="AH241" s="661"/>
      <c r="AI241" s="661"/>
      <c r="AJ241" s="661"/>
      <c r="AK241" s="661"/>
      <c r="AL241" s="661"/>
      <c r="AM241" s="661"/>
    </row>
    <row r="242">
      <c r="A242" s="1604">
        <v>46262.0</v>
      </c>
      <c r="B242" s="1605" t="s">
        <v>2809</v>
      </c>
      <c r="C242" s="1588"/>
      <c r="D242" s="1588"/>
      <c r="E242" s="1589"/>
      <c r="F242" s="1589"/>
      <c r="G242" s="1589"/>
      <c r="H242" s="661"/>
      <c r="I242" s="661"/>
      <c r="J242" s="661"/>
      <c r="K242" s="661"/>
      <c r="L242" s="661"/>
      <c r="M242" s="661"/>
      <c r="N242" s="661"/>
      <c r="O242" s="661"/>
      <c r="P242" s="661"/>
      <c r="Q242" s="661"/>
      <c r="R242" s="661"/>
      <c r="S242" s="661"/>
      <c r="T242" s="661"/>
      <c r="U242" s="661"/>
      <c r="V242" s="661"/>
      <c r="W242" s="661"/>
      <c r="X242" s="661"/>
      <c r="Y242" s="661"/>
      <c r="Z242" s="661"/>
      <c r="AA242" s="661"/>
      <c r="AB242" s="661"/>
      <c r="AC242" s="661"/>
      <c r="AD242" s="661"/>
      <c r="AE242" s="661"/>
      <c r="AF242" s="661"/>
      <c r="AG242" s="661"/>
      <c r="AH242" s="661"/>
      <c r="AI242" s="661"/>
      <c r="AJ242" s="661"/>
      <c r="AK242" s="661"/>
      <c r="AL242" s="661"/>
      <c r="AM242" s="661"/>
    </row>
    <row r="243">
      <c r="A243" s="1604">
        <v>46263.0</v>
      </c>
      <c r="B243" s="1605" t="s">
        <v>2809</v>
      </c>
      <c r="C243" s="1588"/>
      <c r="D243" s="1588"/>
      <c r="E243" s="1589"/>
      <c r="F243" s="1589"/>
      <c r="G243" s="1589"/>
      <c r="H243" s="661"/>
      <c r="I243" s="661"/>
      <c r="J243" s="661"/>
      <c r="K243" s="661"/>
      <c r="L243" s="661"/>
      <c r="M243" s="661"/>
      <c r="N243" s="661"/>
      <c r="O243" s="661"/>
      <c r="P243" s="661"/>
      <c r="Q243" s="661"/>
      <c r="R243" s="661"/>
      <c r="S243" s="661"/>
      <c r="T243" s="661"/>
      <c r="U243" s="661"/>
      <c r="V243" s="661"/>
      <c r="W243" s="661"/>
      <c r="X243" s="661"/>
      <c r="Y243" s="661"/>
      <c r="Z243" s="661"/>
      <c r="AA243" s="661"/>
      <c r="AB243" s="661"/>
      <c r="AC243" s="661"/>
      <c r="AD243" s="661"/>
      <c r="AE243" s="661"/>
      <c r="AF243" s="661"/>
      <c r="AG243" s="661"/>
      <c r="AH243" s="661"/>
      <c r="AI243" s="661"/>
      <c r="AJ243" s="661"/>
      <c r="AK243" s="661"/>
      <c r="AL243" s="661"/>
      <c r="AM243" s="661"/>
    </row>
    <row r="244">
      <c r="A244" s="1604">
        <v>46264.0</v>
      </c>
      <c r="B244" s="1605" t="s">
        <v>2809</v>
      </c>
      <c r="C244" s="1588"/>
      <c r="D244" s="1588"/>
      <c r="E244" s="1589"/>
      <c r="F244" s="1589"/>
      <c r="G244" s="1589"/>
      <c r="H244" s="661"/>
      <c r="I244" s="661"/>
      <c r="J244" s="661"/>
      <c r="K244" s="661"/>
      <c r="L244" s="661"/>
      <c r="M244" s="661"/>
      <c r="N244" s="661"/>
      <c r="O244" s="661"/>
      <c r="P244" s="661"/>
      <c r="Q244" s="661"/>
      <c r="R244" s="661"/>
      <c r="S244" s="661"/>
      <c r="T244" s="661"/>
      <c r="U244" s="661"/>
      <c r="V244" s="661"/>
      <c r="W244" s="661"/>
      <c r="X244" s="661"/>
      <c r="Y244" s="661"/>
      <c r="Z244" s="661"/>
      <c r="AA244" s="661"/>
      <c r="AB244" s="661"/>
      <c r="AC244" s="661"/>
      <c r="AD244" s="661"/>
      <c r="AE244" s="661"/>
      <c r="AF244" s="661"/>
      <c r="AG244" s="661"/>
      <c r="AH244" s="661"/>
      <c r="AI244" s="661"/>
      <c r="AJ244" s="661"/>
      <c r="AK244" s="661"/>
      <c r="AL244" s="661"/>
      <c r="AM244" s="661"/>
    </row>
    <row r="245">
      <c r="A245" s="1604">
        <v>46265.0</v>
      </c>
      <c r="B245" s="1605" t="s">
        <v>2809</v>
      </c>
      <c r="C245" s="1588"/>
      <c r="D245" s="1588"/>
      <c r="E245" s="1589"/>
      <c r="F245" s="1589"/>
      <c r="G245" s="1589"/>
      <c r="H245" s="661"/>
      <c r="I245" s="661"/>
      <c r="J245" s="661"/>
      <c r="K245" s="661"/>
      <c r="L245" s="661"/>
      <c r="M245" s="661"/>
      <c r="N245" s="661"/>
      <c r="O245" s="661"/>
      <c r="P245" s="661"/>
      <c r="Q245" s="661"/>
      <c r="R245" s="661"/>
      <c r="S245" s="661"/>
      <c r="T245" s="661"/>
      <c r="U245" s="661"/>
      <c r="V245" s="661"/>
      <c r="W245" s="661"/>
      <c r="X245" s="661"/>
      <c r="Y245" s="661"/>
      <c r="Z245" s="661"/>
      <c r="AA245" s="661"/>
      <c r="AB245" s="661"/>
      <c r="AC245" s="661"/>
      <c r="AD245" s="661"/>
      <c r="AE245" s="661"/>
      <c r="AF245" s="661"/>
      <c r="AG245" s="661"/>
      <c r="AH245" s="661"/>
      <c r="AI245" s="661"/>
      <c r="AJ245" s="661"/>
      <c r="AK245" s="661"/>
      <c r="AL245" s="661"/>
      <c r="AM245" s="661"/>
    </row>
    <row r="246">
      <c r="A246" s="1604">
        <v>46266.0</v>
      </c>
      <c r="B246" s="1605" t="s">
        <v>2809</v>
      </c>
      <c r="C246" s="1588"/>
      <c r="D246" s="1588"/>
      <c r="E246" s="1589"/>
      <c r="F246" s="1589"/>
      <c r="G246" s="1589"/>
      <c r="H246" s="661"/>
      <c r="I246" s="661"/>
      <c r="J246" s="661"/>
      <c r="K246" s="661"/>
      <c r="L246" s="661"/>
      <c r="M246" s="661"/>
      <c r="N246" s="661"/>
      <c r="O246" s="661"/>
      <c r="P246" s="661"/>
      <c r="Q246" s="661"/>
      <c r="R246" s="661"/>
      <c r="S246" s="661"/>
      <c r="T246" s="661"/>
      <c r="U246" s="661"/>
      <c r="V246" s="661"/>
      <c r="W246" s="661"/>
      <c r="X246" s="661"/>
      <c r="Y246" s="661"/>
      <c r="Z246" s="661"/>
      <c r="AA246" s="661"/>
      <c r="AB246" s="661"/>
      <c r="AC246" s="661"/>
      <c r="AD246" s="661"/>
      <c r="AE246" s="661"/>
      <c r="AF246" s="661"/>
      <c r="AG246" s="661"/>
      <c r="AH246" s="661"/>
      <c r="AI246" s="661"/>
      <c r="AJ246" s="661"/>
      <c r="AK246" s="661"/>
      <c r="AL246" s="661"/>
      <c r="AM246" s="661"/>
    </row>
    <row r="247">
      <c r="A247" s="1604">
        <v>46267.0</v>
      </c>
      <c r="B247" s="1605" t="s">
        <v>2809</v>
      </c>
      <c r="C247" s="1588"/>
      <c r="D247" s="1588"/>
      <c r="E247" s="1589"/>
      <c r="F247" s="1589"/>
      <c r="G247" s="1589"/>
      <c r="H247" s="661"/>
      <c r="I247" s="661"/>
      <c r="J247" s="661"/>
      <c r="K247" s="661"/>
      <c r="L247" s="661"/>
      <c r="M247" s="661"/>
      <c r="N247" s="661"/>
      <c r="O247" s="661"/>
      <c r="P247" s="661"/>
      <c r="Q247" s="661"/>
      <c r="R247" s="661"/>
      <c r="S247" s="661"/>
      <c r="T247" s="661"/>
      <c r="U247" s="661"/>
      <c r="V247" s="661"/>
      <c r="W247" s="661"/>
      <c r="X247" s="661"/>
      <c r="Y247" s="661"/>
      <c r="Z247" s="661"/>
      <c r="AA247" s="661"/>
      <c r="AB247" s="661"/>
      <c r="AC247" s="661"/>
      <c r="AD247" s="661"/>
      <c r="AE247" s="661"/>
      <c r="AF247" s="661"/>
      <c r="AG247" s="661"/>
      <c r="AH247" s="661"/>
      <c r="AI247" s="661"/>
      <c r="AJ247" s="661"/>
      <c r="AK247" s="661"/>
      <c r="AL247" s="661"/>
      <c r="AM247" s="661"/>
    </row>
    <row r="248">
      <c r="A248" s="1604">
        <v>46268.0</v>
      </c>
      <c r="B248" s="1605" t="s">
        <v>2809</v>
      </c>
      <c r="C248" s="1588"/>
      <c r="D248" s="1588"/>
      <c r="E248" s="1589"/>
      <c r="F248" s="1589"/>
      <c r="G248" s="1589"/>
      <c r="H248" s="661"/>
      <c r="I248" s="661"/>
      <c r="J248" s="661"/>
      <c r="K248" s="661"/>
      <c r="L248" s="661"/>
      <c r="M248" s="661"/>
      <c r="N248" s="661"/>
      <c r="O248" s="661"/>
      <c r="P248" s="661"/>
      <c r="Q248" s="661"/>
      <c r="R248" s="661"/>
      <c r="S248" s="661"/>
      <c r="T248" s="661"/>
      <c r="U248" s="661"/>
      <c r="V248" s="661"/>
      <c r="W248" s="661"/>
      <c r="X248" s="661"/>
      <c r="Y248" s="661"/>
      <c r="Z248" s="661"/>
      <c r="AA248" s="661"/>
      <c r="AB248" s="661"/>
      <c r="AC248" s="661"/>
      <c r="AD248" s="661"/>
      <c r="AE248" s="661"/>
      <c r="AF248" s="661"/>
      <c r="AG248" s="661"/>
      <c r="AH248" s="661"/>
      <c r="AI248" s="661"/>
      <c r="AJ248" s="661"/>
      <c r="AK248" s="661"/>
      <c r="AL248" s="661"/>
      <c r="AM248" s="661"/>
    </row>
    <row r="249">
      <c r="A249" s="1604">
        <v>46269.0</v>
      </c>
      <c r="B249" s="1605" t="s">
        <v>2809</v>
      </c>
      <c r="C249" s="1588"/>
      <c r="D249" s="1588"/>
      <c r="E249" s="1589"/>
      <c r="F249" s="1589"/>
      <c r="G249" s="1589"/>
      <c r="H249" s="661"/>
      <c r="I249" s="661"/>
      <c r="J249" s="661"/>
      <c r="K249" s="661"/>
      <c r="L249" s="661"/>
      <c r="M249" s="661"/>
      <c r="N249" s="661"/>
      <c r="O249" s="661"/>
      <c r="P249" s="661"/>
      <c r="Q249" s="661"/>
      <c r="R249" s="661"/>
      <c r="S249" s="661"/>
      <c r="T249" s="661"/>
      <c r="U249" s="661"/>
      <c r="V249" s="661"/>
      <c r="W249" s="661"/>
      <c r="X249" s="661"/>
      <c r="Y249" s="661"/>
      <c r="Z249" s="661"/>
      <c r="AA249" s="661"/>
      <c r="AB249" s="661"/>
      <c r="AC249" s="661"/>
      <c r="AD249" s="661"/>
      <c r="AE249" s="661"/>
      <c r="AF249" s="661"/>
      <c r="AG249" s="661"/>
      <c r="AH249" s="661"/>
      <c r="AI249" s="661"/>
      <c r="AJ249" s="661"/>
      <c r="AK249" s="661"/>
      <c r="AL249" s="661"/>
      <c r="AM249" s="661"/>
    </row>
    <row r="250">
      <c r="A250" s="1604">
        <v>46270.0</v>
      </c>
      <c r="B250" s="1605" t="s">
        <v>2809</v>
      </c>
      <c r="C250" s="1588"/>
      <c r="D250" s="1588"/>
      <c r="E250" s="1589"/>
      <c r="F250" s="1589"/>
      <c r="G250" s="1589"/>
      <c r="H250" s="661"/>
      <c r="I250" s="661"/>
      <c r="J250" s="661"/>
      <c r="K250" s="661"/>
      <c r="L250" s="661"/>
      <c r="M250" s="661"/>
      <c r="N250" s="661"/>
      <c r="O250" s="661"/>
      <c r="P250" s="661"/>
      <c r="Q250" s="661"/>
      <c r="R250" s="661"/>
      <c r="S250" s="661"/>
      <c r="T250" s="661"/>
      <c r="U250" s="661"/>
      <c r="V250" s="661"/>
      <c r="W250" s="661"/>
      <c r="X250" s="661"/>
      <c r="Y250" s="661"/>
      <c r="Z250" s="661"/>
      <c r="AA250" s="661"/>
      <c r="AB250" s="661"/>
      <c r="AC250" s="661"/>
      <c r="AD250" s="661"/>
      <c r="AE250" s="661"/>
      <c r="AF250" s="661"/>
      <c r="AG250" s="661"/>
      <c r="AH250" s="661"/>
      <c r="AI250" s="661"/>
      <c r="AJ250" s="661"/>
      <c r="AK250" s="661"/>
      <c r="AL250" s="661"/>
      <c r="AM250" s="661"/>
    </row>
    <row r="251">
      <c r="A251" s="1604">
        <v>46271.0</v>
      </c>
      <c r="B251" s="1605" t="s">
        <v>2809</v>
      </c>
      <c r="C251" s="1588"/>
      <c r="D251" s="1588"/>
      <c r="E251" s="1589"/>
      <c r="F251" s="1589"/>
      <c r="G251" s="1589"/>
      <c r="H251" s="661"/>
      <c r="I251" s="661"/>
      <c r="J251" s="661"/>
      <c r="K251" s="661"/>
      <c r="L251" s="661"/>
      <c r="M251" s="661"/>
      <c r="N251" s="661"/>
      <c r="O251" s="661"/>
      <c r="P251" s="661"/>
      <c r="Q251" s="661"/>
      <c r="R251" s="661"/>
      <c r="S251" s="661"/>
      <c r="T251" s="661"/>
      <c r="U251" s="661"/>
      <c r="V251" s="661"/>
      <c r="W251" s="661"/>
      <c r="X251" s="661"/>
      <c r="Y251" s="661"/>
      <c r="Z251" s="661"/>
      <c r="AA251" s="661"/>
      <c r="AB251" s="661"/>
      <c r="AC251" s="661"/>
      <c r="AD251" s="661"/>
      <c r="AE251" s="661"/>
      <c r="AF251" s="661"/>
      <c r="AG251" s="661"/>
      <c r="AH251" s="661"/>
      <c r="AI251" s="661"/>
      <c r="AJ251" s="661"/>
      <c r="AK251" s="661"/>
      <c r="AL251" s="661"/>
      <c r="AM251" s="661"/>
    </row>
    <row r="252">
      <c r="A252" s="1604">
        <v>46272.0</v>
      </c>
      <c r="B252" s="1605" t="s">
        <v>2809</v>
      </c>
      <c r="C252" s="1588"/>
      <c r="D252" s="1588"/>
      <c r="E252" s="1589"/>
      <c r="F252" s="1589"/>
      <c r="G252" s="1589"/>
      <c r="H252" s="661"/>
      <c r="I252" s="661"/>
      <c r="J252" s="661"/>
      <c r="K252" s="661"/>
      <c r="L252" s="661"/>
      <c r="M252" s="661"/>
      <c r="N252" s="661"/>
      <c r="O252" s="661"/>
      <c r="P252" s="661"/>
      <c r="Q252" s="661"/>
      <c r="R252" s="661"/>
      <c r="S252" s="661"/>
      <c r="T252" s="661"/>
      <c r="U252" s="661"/>
      <c r="V252" s="661"/>
      <c r="W252" s="661"/>
      <c r="X252" s="661"/>
      <c r="Y252" s="661"/>
      <c r="Z252" s="661"/>
      <c r="AA252" s="661"/>
      <c r="AB252" s="661"/>
      <c r="AC252" s="661"/>
      <c r="AD252" s="661"/>
      <c r="AE252" s="661"/>
      <c r="AF252" s="661"/>
      <c r="AG252" s="661"/>
      <c r="AH252" s="661"/>
      <c r="AI252" s="661"/>
      <c r="AJ252" s="661"/>
      <c r="AK252" s="661"/>
      <c r="AL252" s="661"/>
      <c r="AM252" s="661"/>
    </row>
    <row r="253">
      <c r="A253" s="1604">
        <v>46273.0</v>
      </c>
      <c r="B253" s="1605" t="s">
        <v>2809</v>
      </c>
      <c r="C253" s="1588"/>
      <c r="D253" s="1588"/>
      <c r="E253" s="1589"/>
      <c r="F253" s="1589"/>
      <c r="G253" s="1589"/>
      <c r="H253" s="661"/>
      <c r="I253" s="661"/>
      <c r="J253" s="661"/>
      <c r="K253" s="661"/>
      <c r="L253" s="661"/>
      <c r="M253" s="661"/>
      <c r="N253" s="661"/>
      <c r="O253" s="661"/>
      <c r="P253" s="661"/>
      <c r="Q253" s="661"/>
      <c r="R253" s="661"/>
      <c r="S253" s="661"/>
      <c r="T253" s="661"/>
      <c r="U253" s="661"/>
      <c r="V253" s="661"/>
      <c r="W253" s="661"/>
      <c r="X253" s="661"/>
      <c r="Y253" s="661"/>
      <c r="Z253" s="661"/>
      <c r="AA253" s="661"/>
      <c r="AB253" s="661"/>
      <c r="AC253" s="661"/>
      <c r="AD253" s="661"/>
      <c r="AE253" s="661"/>
      <c r="AF253" s="661"/>
      <c r="AG253" s="661"/>
      <c r="AH253" s="661"/>
      <c r="AI253" s="661"/>
      <c r="AJ253" s="661"/>
      <c r="AK253" s="661"/>
      <c r="AL253" s="661"/>
      <c r="AM253" s="661"/>
    </row>
    <row r="254">
      <c r="A254" s="1604">
        <v>46274.0</v>
      </c>
      <c r="B254" s="1605" t="s">
        <v>2809</v>
      </c>
      <c r="C254" s="1588"/>
      <c r="D254" s="1588"/>
      <c r="E254" s="1589"/>
      <c r="F254" s="1589"/>
      <c r="G254" s="1589"/>
      <c r="H254" s="661"/>
      <c r="I254" s="661"/>
      <c r="J254" s="661"/>
      <c r="K254" s="661"/>
      <c r="L254" s="661"/>
      <c r="M254" s="661"/>
      <c r="N254" s="661"/>
      <c r="O254" s="661"/>
      <c r="P254" s="661"/>
      <c r="Q254" s="661"/>
      <c r="R254" s="661"/>
      <c r="S254" s="661"/>
      <c r="T254" s="661"/>
      <c r="U254" s="661"/>
      <c r="V254" s="661"/>
      <c r="W254" s="661"/>
      <c r="X254" s="661"/>
      <c r="Y254" s="661"/>
      <c r="Z254" s="661"/>
      <c r="AA254" s="661"/>
      <c r="AB254" s="661"/>
      <c r="AC254" s="661"/>
      <c r="AD254" s="661"/>
      <c r="AE254" s="661"/>
      <c r="AF254" s="661"/>
      <c r="AG254" s="661"/>
      <c r="AH254" s="661"/>
      <c r="AI254" s="661"/>
      <c r="AJ254" s="661"/>
      <c r="AK254" s="661"/>
      <c r="AL254" s="661"/>
      <c r="AM254" s="661"/>
    </row>
    <row r="255">
      <c r="A255" s="1604">
        <v>46275.0</v>
      </c>
      <c r="B255" s="1605" t="s">
        <v>2809</v>
      </c>
      <c r="C255" s="1588"/>
      <c r="D255" s="1588"/>
      <c r="E255" s="1589"/>
      <c r="F255" s="1589"/>
      <c r="G255" s="1589"/>
      <c r="H255" s="661"/>
      <c r="I255" s="661"/>
      <c r="J255" s="661"/>
      <c r="K255" s="661"/>
      <c r="L255" s="661"/>
      <c r="M255" s="661"/>
      <c r="N255" s="661"/>
      <c r="O255" s="661"/>
      <c r="P255" s="661"/>
      <c r="Q255" s="661"/>
      <c r="R255" s="661"/>
      <c r="S255" s="661"/>
      <c r="T255" s="661"/>
      <c r="U255" s="661"/>
      <c r="V255" s="661"/>
      <c r="W255" s="661"/>
      <c r="X255" s="661"/>
      <c r="Y255" s="661"/>
      <c r="Z255" s="661"/>
      <c r="AA255" s="661"/>
      <c r="AB255" s="661"/>
      <c r="AC255" s="661"/>
      <c r="AD255" s="661"/>
      <c r="AE255" s="661"/>
      <c r="AF255" s="661"/>
      <c r="AG255" s="661"/>
      <c r="AH255" s="661"/>
      <c r="AI255" s="661"/>
      <c r="AJ255" s="661"/>
      <c r="AK255" s="661"/>
      <c r="AL255" s="661"/>
      <c r="AM255" s="661"/>
    </row>
    <row r="256">
      <c r="A256" s="1604">
        <v>46276.0</v>
      </c>
      <c r="B256" s="1605" t="s">
        <v>2809</v>
      </c>
      <c r="C256" s="1588"/>
      <c r="D256" s="1588"/>
      <c r="E256" s="1589"/>
      <c r="F256" s="1589"/>
      <c r="G256" s="1589"/>
      <c r="H256" s="661"/>
      <c r="I256" s="661"/>
      <c r="J256" s="661"/>
      <c r="K256" s="661"/>
      <c r="L256" s="661"/>
      <c r="M256" s="661"/>
      <c r="N256" s="661"/>
      <c r="O256" s="661"/>
      <c r="P256" s="661"/>
      <c r="Q256" s="661"/>
      <c r="R256" s="661"/>
      <c r="S256" s="661"/>
      <c r="T256" s="661"/>
      <c r="U256" s="661"/>
      <c r="V256" s="661"/>
      <c r="W256" s="661"/>
      <c r="X256" s="661"/>
      <c r="Y256" s="661"/>
      <c r="Z256" s="661"/>
      <c r="AA256" s="661"/>
      <c r="AB256" s="661"/>
      <c r="AC256" s="661"/>
      <c r="AD256" s="661"/>
      <c r="AE256" s="661"/>
      <c r="AF256" s="661"/>
      <c r="AG256" s="661"/>
      <c r="AH256" s="661"/>
      <c r="AI256" s="661"/>
      <c r="AJ256" s="661"/>
      <c r="AK256" s="661"/>
      <c r="AL256" s="661"/>
      <c r="AM256" s="661"/>
    </row>
    <row r="257">
      <c r="A257" s="1604">
        <v>46277.0</v>
      </c>
      <c r="B257" s="1605" t="s">
        <v>2809</v>
      </c>
      <c r="C257" s="1588"/>
      <c r="D257" s="1588"/>
      <c r="E257" s="1589"/>
      <c r="F257" s="1589"/>
      <c r="G257" s="1589"/>
      <c r="H257" s="661"/>
      <c r="I257" s="661"/>
      <c r="J257" s="661"/>
      <c r="K257" s="661"/>
      <c r="L257" s="661"/>
      <c r="M257" s="661"/>
      <c r="N257" s="661"/>
      <c r="O257" s="661"/>
      <c r="P257" s="661"/>
      <c r="Q257" s="661"/>
      <c r="R257" s="661"/>
      <c r="S257" s="661"/>
      <c r="T257" s="661"/>
      <c r="U257" s="661"/>
      <c r="V257" s="661"/>
      <c r="W257" s="661"/>
      <c r="X257" s="661"/>
      <c r="Y257" s="661"/>
      <c r="Z257" s="661"/>
      <c r="AA257" s="661"/>
      <c r="AB257" s="661"/>
      <c r="AC257" s="661"/>
      <c r="AD257" s="661"/>
      <c r="AE257" s="661"/>
      <c r="AF257" s="661"/>
      <c r="AG257" s="661"/>
      <c r="AH257" s="661"/>
      <c r="AI257" s="661"/>
      <c r="AJ257" s="661"/>
      <c r="AK257" s="661"/>
      <c r="AL257" s="661"/>
      <c r="AM257" s="661"/>
    </row>
    <row r="258">
      <c r="A258" s="1604">
        <v>46278.0</v>
      </c>
      <c r="B258" s="1605" t="s">
        <v>2809</v>
      </c>
      <c r="C258" s="1588"/>
      <c r="D258" s="1588"/>
      <c r="E258" s="1589"/>
      <c r="F258" s="1589"/>
      <c r="G258" s="1589"/>
      <c r="H258" s="661"/>
      <c r="I258" s="661"/>
      <c r="J258" s="661"/>
      <c r="K258" s="661"/>
      <c r="L258" s="661"/>
      <c r="M258" s="661"/>
      <c r="N258" s="661"/>
      <c r="O258" s="661"/>
      <c r="P258" s="661"/>
      <c r="Q258" s="661"/>
      <c r="R258" s="661"/>
      <c r="S258" s="661"/>
      <c r="T258" s="661"/>
      <c r="U258" s="661"/>
      <c r="V258" s="661"/>
      <c r="W258" s="661"/>
      <c r="X258" s="661"/>
      <c r="Y258" s="661"/>
      <c r="Z258" s="661"/>
      <c r="AA258" s="661"/>
      <c r="AB258" s="661"/>
      <c r="AC258" s="661"/>
      <c r="AD258" s="661"/>
      <c r="AE258" s="661"/>
      <c r="AF258" s="661"/>
      <c r="AG258" s="661"/>
      <c r="AH258" s="661"/>
      <c r="AI258" s="661"/>
      <c r="AJ258" s="661"/>
      <c r="AK258" s="661"/>
      <c r="AL258" s="661"/>
      <c r="AM258" s="661"/>
    </row>
    <row r="259">
      <c r="A259" s="1604">
        <v>46279.0</v>
      </c>
      <c r="B259" s="1605" t="s">
        <v>2809</v>
      </c>
      <c r="C259" s="1588"/>
      <c r="D259" s="1588"/>
      <c r="E259" s="1589"/>
      <c r="F259" s="1589"/>
      <c r="G259" s="1589"/>
      <c r="H259" s="661"/>
      <c r="I259" s="661"/>
      <c r="J259" s="661"/>
      <c r="K259" s="661"/>
      <c r="L259" s="661"/>
      <c r="M259" s="661"/>
      <c r="N259" s="661"/>
      <c r="O259" s="661"/>
      <c r="P259" s="661"/>
      <c r="Q259" s="661"/>
      <c r="R259" s="661"/>
      <c r="S259" s="661"/>
      <c r="T259" s="661"/>
      <c r="U259" s="661"/>
      <c r="V259" s="661"/>
      <c r="W259" s="661"/>
      <c r="X259" s="661"/>
      <c r="Y259" s="661"/>
      <c r="Z259" s="661"/>
      <c r="AA259" s="661"/>
      <c r="AB259" s="661"/>
      <c r="AC259" s="661"/>
      <c r="AD259" s="661"/>
      <c r="AE259" s="661"/>
      <c r="AF259" s="661"/>
      <c r="AG259" s="661"/>
      <c r="AH259" s="661"/>
      <c r="AI259" s="661"/>
      <c r="AJ259" s="661"/>
      <c r="AK259" s="661"/>
      <c r="AL259" s="661"/>
      <c r="AM259" s="661"/>
    </row>
    <row r="260">
      <c r="A260" s="1604">
        <v>46280.0</v>
      </c>
      <c r="B260" s="1605" t="s">
        <v>2809</v>
      </c>
      <c r="C260" s="1588"/>
      <c r="D260" s="1588"/>
      <c r="E260" s="1589"/>
      <c r="F260" s="1589"/>
      <c r="G260" s="1589"/>
      <c r="H260" s="661"/>
      <c r="I260" s="661"/>
      <c r="J260" s="661"/>
      <c r="K260" s="661"/>
      <c r="L260" s="661"/>
      <c r="M260" s="661"/>
      <c r="N260" s="661"/>
      <c r="O260" s="661"/>
      <c r="P260" s="661"/>
      <c r="Q260" s="661"/>
      <c r="R260" s="661"/>
      <c r="S260" s="661"/>
      <c r="T260" s="661"/>
      <c r="U260" s="661"/>
      <c r="V260" s="661"/>
      <c r="W260" s="661"/>
      <c r="X260" s="661"/>
      <c r="Y260" s="661"/>
      <c r="Z260" s="661"/>
      <c r="AA260" s="661"/>
      <c r="AB260" s="661"/>
      <c r="AC260" s="661"/>
      <c r="AD260" s="661"/>
      <c r="AE260" s="661"/>
      <c r="AF260" s="661"/>
      <c r="AG260" s="661"/>
      <c r="AH260" s="661"/>
      <c r="AI260" s="661"/>
      <c r="AJ260" s="661"/>
      <c r="AK260" s="661"/>
      <c r="AL260" s="661"/>
      <c r="AM260" s="661"/>
    </row>
    <row r="261">
      <c r="A261" s="1604">
        <v>46281.0</v>
      </c>
      <c r="B261" s="1605" t="s">
        <v>2809</v>
      </c>
      <c r="C261" s="1588"/>
      <c r="D261" s="1588"/>
      <c r="E261" s="1589"/>
      <c r="F261" s="1589"/>
      <c r="G261" s="1589"/>
      <c r="H261" s="661"/>
      <c r="I261" s="661"/>
      <c r="J261" s="661"/>
      <c r="K261" s="661"/>
      <c r="L261" s="661"/>
      <c r="M261" s="661"/>
      <c r="N261" s="661"/>
      <c r="O261" s="661"/>
      <c r="P261" s="661"/>
      <c r="Q261" s="661"/>
      <c r="R261" s="661"/>
      <c r="S261" s="661"/>
      <c r="T261" s="661"/>
      <c r="U261" s="661"/>
      <c r="V261" s="661"/>
      <c r="W261" s="661"/>
      <c r="X261" s="661"/>
      <c r="Y261" s="661"/>
      <c r="Z261" s="661"/>
      <c r="AA261" s="661"/>
      <c r="AB261" s="661"/>
      <c r="AC261" s="661"/>
      <c r="AD261" s="661"/>
      <c r="AE261" s="661"/>
      <c r="AF261" s="661"/>
      <c r="AG261" s="661"/>
      <c r="AH261" s="661"/>
      <c r="AI261" s="661"/>
      <c r="AJ261" s="661"/>
      <c r="AK261" s="661"/>
      <c r="AL261" s="661"/>
      <c r="AM261" s="661"/>
    </row>
    <row r="262">
      <c r="A262" s="1604">
        <v>46282.0</v>
      </c>
      <c r="B262" s="1605" t="s">
        <v>2809</v>
      </c>
      <c r="C262" s="1588"/>
      <c r="D262" s="1588"/>
      <c r="E262" s="1589"/>
      <c r="F262" s="1589"/>
      <c r="G262" s="1589"/>
      <c r="H262" s="661"/>
      <c r="I262" s="661"/>
      <c r="J262" s="661"/>
      <c r="K262" s="661"/>
      <c r="L262" s="661"/>
      <c r="M262" s="661"/>
      <c r="N262" s="661"/>
      <c r="O262" s="661"/>
      <c r="P262" s="661"/>
      <c r="Q262" s="661"/>
      <c r="R262" s="661"/>
      <c r="S262" s="661"/>
      <c r="T262" s="661"/>
      <c r="U262" s="661"/>
      <c r="V262" s="661"/>
      <c r="W262" s="661"/>
      <c r="X262" s="661"/>
      <c r="Y262" s="661"/>
      <c r="Z262" s="661"/>
      <c r="AA262" s="661"/>
      <c r="AB262" s="661"/>
      <c r="AC262" s="661"/>
      <c r="AD262" s="661"/>
      <c r="AE262" s="661"/>
      <c r="AF262" s="661"/>
      <c r="AG262" s="661"/>
      <c r="AH262" s="661"/>
      <c r="AI262" s="661"/>
      <c r="AJ262" s="661"/>
      <c r="AK262" s="661"/>
      <c r="AL262" s="661"/>
      <c r="AM262" s="661"/>
    </row>
    <row r="263">
      <c r="A263" s="1604">
        <v>46283.0</v>
      </c>
      <c r="B263" s="1605" t="s">
        <v>2809</v>
      </c>
      <c r="C263" s="1588"/>
      <c r="D263" s="1588"/>
      <c r="E263" s="1589"/>
      <c r="F263" s="1589"/>
      <c r="G263" s="1589"/>
      <c r="H263" s="661"/>
      <c r="I263" s="661"/>
      <c r="J263" s="661"/>
      <c r="K263" s="661"/>
      <c r="L263" s="661"/>
      <c r="M263" s="661"/>
      <c r="N263" s="661"/>
      <c r="O263" s="661"/>
      <c r="P263" s="661"/>
      <c r="Q263" s="661"/>
      <c r="R263" s="661"/>
      <c r="S263" s="661"/>
      <c r="T263" s="661"/>
      <c r="U263" s="661"/>
      <c r="V263" s="661"/>
      <c r="W263" s="661"/>
      <c r="X263" s="661"/>
      <c r="Y263" s="661"/>
      <c r="Z263" s="661"/>
      <c r="AA263" s="661"/>
      <c r="AB263" s="661"/>
      <c r="AC263" s="661"/>
      <c r="AD263" s="661"/>
      <c r="AE263" s="661"/>
      <c r="AF263" s="661"/>
      <c r="AG263" s="661"/>
      <c r="AH263" s="661"/>
      <c r="AI263" s="661"/>
      <c r="AJ263" s="661"/>
      <c r="AK263" s="661"/>
      <c r="AL263" s="661"/>
      <c r="AM263" s="661"/>
    </row>
    <row r="264">
      <c r="A264" s="1604">
        <v>46284.0</v>
      </c>
      <c r="B264" s="1605" t="s">
        <v>2809</v>
      </c>
      <c r="C264" s="1588"/>
      <c r="D264" s="1588"/>
      <c r="E264" s="1589"/>
      <c r="F264" s="1589"/>
      <c r="G264" s="1589"/>
      <c r="H264" s="661"/>
      <c r="I264" s="661"/>
      <c r="J264" s="661"/>
      <c r="K264" s="661"/>
      <c r="L264" s="661"/>
      <c r="M264" s="661"/>
      <c r="N264" s="661"/>
      <c r="O264" s="661"/>
      <c r="P264" s="661"/>
      <c r="Q264" s="661"/>
      <c r="R264" s="661"/>
      <c r="S264" s="661"/>
      <c r="T264" s="661"/>
      <c r="U264" s="661"/>
      <c r="V264" s="661"/>
      <c r="W264" s="661"/>
      <c r="X264" s="661"/>
      <c r="Y264" s="661"/>
      <c r="Z264" s="661"/>
      <c r="AA264" s="661"/>
      <c r="AB264" s="661"/>
      <c r="AC264" s="661"/>
      <c r="AD264" s="661"/>
      <c r="AE264" s="661"/>
      <c r="AF264" s="661"/>
      <c r="AG264" s="661"/>
      <c r="AH264" s="661"/>
      <c r="AI264" s="661"/>
      <c r="AJ264" s="661"/>
      <c r="AK264" s="661"/>
      <c r="AL264" s="661"/>
      <c r="AM264" s="661"/>
    </row>
    <row r="265">
      <c r="A265" s="1604">
        <v>46285.0</v>
      </c>
      <c r="B265" s="1605" t="s">
        <v>2809</v>
      </c>
      <c r="C265" s="1588"/>
      <c r="D265" s="1588"/>
      <c r="E265" s="1589"/>
      <c r="F265" s="1589"/>
      <c r="G265" s="1589"/>
      <c r="H265" s="661"/>
      <c r="I265" s="661"/>
      <c r="J265" s="661"/>
      <c r="K265" s="661"/>
      <c r="L265" s="661"/>
      <c r="M265" s="661"/>
      <c r="N265" s="661"/>
      <c r="O265" s="661"/>
      <c r="P265" s="661"/>
      <c r="Q265" s="661"/>
      <c r="R265" s="661"/>
      <c r="S265" s="661"/>
      <c r="T265" s="661"/>
      <c r="U265" s="661"/>
      <c r="V265" s="661"/>
      <c r="W265" s="661"/>
      <c r="X265" s="661"/>
      <c r="Y265" s="661"/>
      <c r="Z265" s="661"/>
      <c r="AA265" s="661"/>
      <c r="AB265" s="661"/>
      <c r="AC265" s="661"/>
      <c r="AD265" s="661"/>
      <c r="AE265" s="661"/>
      <c r="AF265" s="661"/>
      <c r="AG265" s="661"/>
      <c r="AH265" s="661"/>
      <c r="AI265" s="661"/>
      <c r="AJ265" s="661"/>
      <c r="AK265" s="661"/>
      <c r="AL265" s="661"/>
      <c r="AM265" s="661"/>
    </row>
    <row r="266">
      <c r="A266" s="1604">
        <v>46286.0</v>
      </c>
      <c r="B266" s="1605" t="s">
        <v>2809</v>
      </c>
      <c r="C266" s="1588"/>
      <c r="D266" s="1588"/>
      <c r="E266" s="1589"/>
      <c r="F266" s="1589"/>
      <c r="G266" s="1589"/>
      <c r="H266" s="661"/>
      <c r="I266" s="661"/>
      <c r="J266" s="661"/>
      <c r="K266" s="661"/>
      <c r="L266" s="661"/>
      <c r="M266" s="661"/>
      <c r="N266" s="661"/>
      <c r="O266" s="661"/>
      <c r="P266" s="661"/>
      <c r="Q266" s="661"/>
      <c r="R266" s="661"/>
      <c r="S266" s="661"/>
      <c r="T266" s="661"/>
      <c r="U266" s="661"/>
      <c r="V266" s="661"/>
      <c r="W266" s="661"/>
      <c r="X266" s="661"/>
      <c r="Y266" s="661"/>
      <c r="Z266" s="661"/>
      <c r="AA266" s="661"/>
      <c r="AB266" s="661"/>
      <c r="AC266" s="661"/>
      <c r="AD266" s="661"/>
      <c r="AE266" s="661"/>
      <c r="AF266" s="661"/>
      <c r="AG266" s="661"/>
      <c r="AH266" s="661"/>
      <c r="AI266" s="661"/>
      <c r="AJ266" s="661"/>
      <c r="AK266" s="661"/>
      <c r="AL266" s="661"/>
      <c r="AM266" s="661"/>
    </row>
    <row r="267">
      <c r="A267" s="1604">
        <v>46287.0</v>
      </c>
      <c r="B267" s="1605" t="s">
        <v>2809</v>
      </c>
      <c r="C267" s="1588"/>
      <c r="D267" s="1588"/>
      <c r="E267" s="1589"/>
      <c r="F267" s="1589"/>
      <c r="G267" s="1589"/>
      <c r="H267" s="661"/>
      <c r="I267" s="661"/>
      <c r="J267" s="661"/>
      <c r="K267" s="661"/>
      <c r="L267" s="661"/>
      <c r="M267" s="661"/>
      <c r="N267" s="661"/>
      <c r="O267" s="661"/>
      <c r="P267" s="661"/>
      <c r="Q267" s="661"/>
      <c r="R267" s="661"/>
      <c r="S267" s="661"/>
      <c r="T267" s="661"/>
      <c r="U267" s="661"/>
      <c r="V267" s="661"/>
      <c r="W267" s="661"/>
      <c r="X267" s="661"/>
      <c r="Y267" s="661"/>
      <c r="Z267" s="661"/>
      <c r="AA267" s="661"/>
      <c r="AB267" s="661"/>
      <c r="AC267" s="661"/>
      <c r="AD267" s="661"/>
      <c r="AE267" s="661"/>
      <c r="AF267" s="661"/>
      <c r="AG267" s="661"/>
      <c r="AH267" s="661"/>
      <c r="AI267" s="661"/>
      <c r="AJ267" s="661"/>
      <c r="AK267" s="661"/>
      <c r="AL267" s="661"/>
      <c r="AM267" s="661"/>
    </row>
    <row r="268">
      <c r="A268" s="1604">
        <v>46288.0</v>
      </c>
      <c r="B268" s="1605" t="s">
        <v>2809</v>
      </c>
      <c r="C268" s="1588"/>
      <c r="D268" s="1588"/>
      <c r="E268" s="1589"/>
      <c r="F268" s="1589"/>
      <c r="G268" s="1589"/>
      <c r="H268" s="661"/>
      <c r="I268" s="661"/>
      <c r="J268" s="661"/>
      <c r="K268" s="661"/>
      <c r="L268" s="661"/>
      <c r="M268" s="661"/>
      <c r="N268" s="661"/>
      <c r="O268" s="661"/>
      <c r="P268" s="661"/>
      <c r="Q268" s="661"/>
      <c r="R268" s="661"/>
      <c r="S268" s="661"/>
      <c r="T268" s="661"/>
      <c r="U268" s="661"/>
      <c r="V268" s="661"/>
      <c r="W268" s="661"/>
      <c r="X268" s="661"/>
      <c r="Y268" s="661"/>
      <c r="Z268" s="661"/>
      <c r="AA268" s="661"/>
      <c r="AB268" s="661"/>
      <c r="AC268" s="661"/>
      <c r="AD268" s="661"/>
      <c r="AE268" s="661"/>
      <c r="AF268" s="661"/>
      <c r="AG268" s="661"/>
      <c r="AH268" s="661"/>
      <c r="AI268" s="661"/>
      <c r="AJ268" s="661"/>
      <c r="AK268" s="661"/>
      <c r="AL268" s="661"/>
      <c r="AM268" s="661"/>
    </row>
    <row r="269">
      <c r="A269" s="1604">
        <v>46289.0</v>
      </c>
      <c r="B269" s="1605" t="s">
        <v>2809</v>
      </c>
      <c r="C269" s="1588"/>
      <c r="D269" s="1588"/>
      <c r="E269" s="1589"/>
      <c r="F269" s="1589"/>
      <c r="G269" s="1589"/>
      <c r="H269" s="661"/>
      <c r="I269" s="661"/>
      <c r="J269" s="661"/>
      <c r="K269" s="661"/>
      <c r="L269" s="661"/>
      <c r="M269" s="661"/>
      <c r="N269" s="661"/>
      <c r="O269" s="661"/>
      <c r="P269" s="661"/>
      <c r="Q269" s="661"/>
      <c r="R269" s="661"/>
      <c r="S269" s="661"/>
      <c r="T269" s="661"/>
      <c r="U269" s="661"/>
      <c r="V269" s="661"/>
      <c r="W269" s="661"/>
      <c r="X269" s="661"/>
      <c r="Y269" s="661"/>
      <c r="Z269" s="661"/>
      <c r="AA269" s="661"/>
      <c r="AB269" s="661"/>
      <c r="AC269" s="661"/>
      <c r="AD269" s="661"/>
      <c r="AE269" s="661"/>
      <c r="AF269" s="661"/>
      <c r="AG269" s="661"/>
      <c r="AH269" s="661"/>
      <c r="AI269" s="661"/>
      <c r="AJ269" s="661"/>
      <c r="AK269" s="661"/>
      <c r="AL269" s="661"/>
      <c r="AM269" s="661"/>
    </row>
    <row r="270">
      <c r="A270" s="1604">
        <v>46290.0</v>
      </c>
      <c r="B270" s="1605" t="s">
        <v>2809</v>
      </c>
      <c r="C270" s="1588"/>
      <c r="D270" s="1588"/>
      <c r="E270" s="1589"/>
      <c r="F270" s="1589"/>
      <c r="G270" s="1589"/>
      <c r="H270" s="661"/>
      <c r="I270" s="661"/>
      <c r="J270" s="661"/>
      <c r="K270" s="661"/>
      <c r="L270" s="661"/>
      <c r="M270" s="661"/>
      <c r="N270" s="661"/>
      <c r="O270" s="661"/>
      <c r="P270" s="661"/>
      <c r="Q270" s="661"/>
      <c r="R270" s="661"/>
      <c r="S270" s="661"/>
      <c r="T270" s="661"/>
      <c r="U270" s="661"/>
      <c r="V270" s="661"/>
      <c r="W270" s="661"/>
      <c r="X270" s="661"/>
      <c r="Y270" s="661"/>
      <c r="Z270" s="661"/>
      <c r="AA270" s="661"/>
      <c r="AB270" s="661"/>
      <c r="AC270" s="661"/>
      <c r="AD270" s="661"/>
      <c r="AE270" s="661"/>
      <c r="AF270" s="661"/>
      <c r="AG270" s="661"/>
      <c r="AH270" s="661"/>
      <c r="AI270" s="661"/>
      <c r="AJ270" s="661"/>
      <c r="AK270" s="661"/>
      <c r="AL270" s="661"/>
      <c r="AM270" s="661"/>
    </row>
    <row r="271">
      <c r="A271" s="1604">
        <v>46291.0</v>
      </c>
      <c r="B271" s="1605" t="s">
        <v>2809</v>
      </c>
      <c r="C271" s="1588"/>
      <c r="D271" s="1588"/>
      <c r="E271" s="1589"/>
      <c r="F271" s="1589"/>
      <c r="G271" s="1589"/>
      <c r="H271" s="661"/>
      <c r="I271" s="661"/>
      <c r="J271" s="661"/>
      <c r="K271" s="661"/>
      <c r="L271" s="661"/>
      <c r="M271" s="661"/>
      <c r="N271" s="661"/>
      <c r="O271" s="661"/>
      <c r="P271" s="661"/>
      <c r="Q271" s="661"/>
      <c r="R271" s="661"/>
      <c r="S271" s="661"/>
      <c r="T271" s="661"/>
      <c r="U271" s="661"/>
      <c r="V271" s="661"/>
      <c r="W271" s="661"/>
      <c r="X271" s="661"/>
      <c r="Y271" s="661"/>
      <c r="Z271" s="661"/>
      <c r="AA271" s="661"/>
      <c r="AB271" s="661"/>
      <c r="AC271" s="661"/>
      <c r="AD271" s="661"/>
      <c r="AE271" s="661"/>
      <c r="AF271" s="661"/>
      <c r="AG271" s="661"/>
      <c r="AH271" s="661"/>
      <c r="AI271" s="661"/>
      <c r="AJ271" s="661"/>
      <c r="AK271" s="661"/>
      <c r="AL271" s="661"/>
      <c r="AM271" s="661"/>
    </row>
    <row r="272">
      <c r="A272" s="1604">
        <v>46292.0</v>
      </c>
      <c r="B272" s="1605" t="s">
        <v>2809</v>
      </c>
      <c r="C272" s="1588"/>
      <c r="D272" s="1588"/>
      <c r="E272" s="1589"/>
      <c r="F272" s="1589"/>
      <c r="G272" s="1589"/>
      <c r="H272" s="661"/>
      <c r="I272" s="661"/>
      <c r="J272" s="661"/>
      <c r="K272" s="661"/>
      <c r="L272" s="661"/>
      <c r="M272" s="661"/>
      <c r="N272" s="661"/>
      <c r="O272" s="661"/>
      <c r="P272" s="661"/>
      <c r="Q272" s="661"/>
      <c r="R272" s="661"/>
      <c r="S272" s="661"/>
      <c r="T272" s="661"/>
      <c r="U272" s="661"/>
      <c r="V272" s="661"/>
      <c r="W272" s="661"/>
      <c r="X272" s="661"/>
      <c r="Y272" s="661"/>
      <c r="Z272" s="661"/>
      <c r="AA272" s="661"/>
      <c r="AB272" s="661"/>
      <c r="AC272" s="661"/>
      <c r="AD272" s="661"/>
      <c r="AE272" s="661"/>
      <c r="AF272" s="661"/>
      <c r="AG272" s="661"/>
      <c r="AH272" s="661"/>
      <c r="AI272" s="661"/>
      <c r="AJ272" s="661"/>
      <c r="AK272" s="661"/>
      <c r="AL272" s="661"/>
      <c r="AM272" s="661"/>
    </row>
    <row r="273">
      <c r="A273" s="1604">
        <v>46293.0</v>
      </c>
      <c r="B273" s="1605" t="s">
        <v>2809</v>
      </c>
      <c r="C273" s="1588"/>
      <c r="D273" s="1588"/>
      <c r="E273" s="1589"/>
      <c r="F273" s="1589"/>
      <c r="G273" s="1589"/>
      <c r="H273" s="661"/>
      <c r="I273" s="661"/>
      <c r="J273" s="661"/>
      <c r="K273" s="661"/>
      <c r="L273" s="661"/>
      <c r="M273" s="661"/>
      <c r="N273" s="661"/>
      <c r="O273" s="661"/>
      <c r="P273" s="661"/>
      <c r="Q273" s="661"/>
      <c r="R273" s="661"/>
      <c r="S273" s="661"/>
      <c r="T273" s="661"/>
      <c r="U273" s="661"/>
      <c r="V273" s="661"/>
      <c r="W273" s="661"/>
      <c r="X273" s="661"/>
      <c r="Y273" s="661"/>
      <c r="Z273" s="661"/>
      <c r="AA273" s="661"/>
      <c r="AB273" s="661"/>
      <c r="AC273" s="661"/>
      <c r="AD273" s="661"/>
      <c r="AE273" s="661"/>
      <c r="AF273" s="661"/>
      <c r="AG273" s="661"/>
      <c r="AH273" s="661"/>
      <c r="AI273" s="661"/>
      <c r="AJ273" s="661"/>
      <c r="AK273" s="661"/>
      <c r="AL273" s="661"/>
      <c r="AM273" s="661"/>
    </row>
    <row r="274">
      <c r="A274" s="1604">
        <v>46294.0</v>
      </c>
      <c r="B274" s="1605" t="s">
        <v>2809</v>
      </c>
      <c r="C274" s="1588"/>
      <c r="D274" s="1588"/>
      <c r="E274" s="1589"/>
      <c r="F274" s="1589"/>
      <c r="G274" s="1589"/>
      <c r="H274" s="661"/>
      <c r="I274" s="661"/>
      <c r="J274" s="661"/>
      <c r="K274" s="661"/>
      <c r="L274" s="661"/>
      <c r="M274" s="661"/>
      <c r="N274" s="661"/>
      <c r="O274" s="661"/>
      <c r="P274" s="661"/>
      <c r="Q274" s="661"/>
      <c r="R274" s="661"/>
      <c r="S274" s="661"/>
      <c r="T274" s="661"/>
      <c r="U274" s="661"/>
      <c r="V274" s="661"/>
      <c r="W274" s="661"/>
      <c r="X274" s="661"/>
      <c r="Y274" s="661"/>
      <c r="Z274" s="661"/>
      <c r="AA274" s="661"/>
      <c r="AB274" s="661"/>
      <c r="AC274" s="661"/>
      <c r="AD274" s="661"/>
      <c r="AE274" s="661"/>
      <c r="AF274" s="661"/>
      <c r="AG274" s="661"/>
      <c r="AH274" s="661"/>
      <c r="AI274" s="661"/>
      <c r="AJ274" s="661"/>
      <c r="AK274" s="661"/>
      <c r="AL274" s="661"/>
      <c r="AM274" s="661"/>
    </row>
    <row r="275">
      <c r="A275" s="1604">
        <v>46295.0</v>
      </c>
      <c r="B275" s="1605" t="s">
        <v>2809</v>
      </c>
      <c r="C275" s="1588"/>
      <c r="D275" s="1588"/>
      <c r="E275" s="1589"/>
      <c r="F275" s="1589"/>
      <c r="G275" s="1589"/>
      <c r="H275" s="661"/>
      <c r="I275" s="661"/>
      <c r="J275" s="661"/>
      <c r="K275" s="661"/>
      <c r="L275" s="661"/>
      <c r="M275" s="661"/>
      <c r="N275" s="661"/>
      <c r="O275" s="661"/>
      <c r="P275" s="661"/>
      <c r="Q275" s="661"/>
      <c r="R275" s="661"/>
      <c r="S275" s="661"/>
      <c r="T275" s="661"/>
      <c r="U275" s="661"/>
      <c r="V275" s="661"/>
      <c r="W275" s="661"/>
      <c r="X275" s="661"/>
      <c r="Y275" s="661"/>
      <c r="Z275" s="661"/>
      <c r="AA275" s="661"/>
      <c r="AB275" s="661"/>
      <c r="AC275" s="661"/>
      <c r="AD275" s="661"/>
      <c r="AE275" s="661"/>
      <c r="AF275" s="661"/>
      <c r="AG275" s="661"/>
      <c r="AH275" s="661"/>
      <c r="AI275" s="661"/>
      <c r="AJ275" s="661"/>
      <c r="AK275" s="661"/>
      <c r="AL275" s="661"/>
      <c r="AM275" s="661"/>
    </row>
    <row r="276">
      <c r="A276" s="1604">
        <v>46296.0</v>
      </c>
      <c r="B276" s="1605" t="s">
        <v>2810</v>
      </c>
      <c r="C276" s="1588"/>
      <c r="D276" s="1588"/>
      <c r="E276" s="1589"/>
      <c r="F276" s="1589"/>
      <c r="G276" s="1589"/>
      <c r="H276" s="661"/>
      <c r="I276" s="661"/>
      <c r="J276" s="661"/>
      <c r="K276" s="661"/>
      <c r="L276" s="661"/>
      <c r="M276" s="661"/>
      <c r="N276" s="661"/>
      <c r="O276" s="661"/>
      <c r="P276" s="661"/>
      <c r="Q276" s="661"/>
      <c r="R276" s="661"/>
      <c r="S276" s="661"/>
      <c r="T276" s="661"/>
      <c r="U276" s="661"/>
      <c r="V276" s="661"/>
      <c r="W276" s="661"/>
      <c r="X276" s="661"/>
      <c r="Y276" s="661"/>
      <c r="Z276" s="661"/>
      <c r="AA276" s="661"/>
      <c r="AB276" s="661"/>
      <c r="AC276" s="661"/>
      <c r="AD276" s="661"/>
      <c r="AE276" s="661"/>
      <c r="AF276" s="661"/>
      <c r="AG276" s="661"/>
      <c r="AH276" s="661"/>
      <c r="AI276" s="661"/>
      <c r="AJ276" s="661"/>
      <c r="AK276" s="661"/>
      <c r="AL276" s="661"/>
      <c r="AM276" s="661"/>
    </row>
    <row r="277">
      <c r="A277" s="1604">
        <v>46297.0</v>
      </c>
      <c r="B277" s="1605" t="s">
        <v>2810</v>
      </c>
      <c r="C277" s="1588"/>
      <c r="D277" s="1588"/>
      <c r="E277" s="1589"/>
      <c r="F277" s="1589"/>
      <c r="G277" s="1589"/>
      <c r="H277" s="661"/>
      <c r="I277" s="661"/>
      <c r="J277" s="661"/>
      <c r="K277" s="661"/>
      <c r="L277" s="661"/>
      <c r="M277" s="661"/>
      <c r="N277" s="661"/>
      <c r="O277" s="661"/>
      <c r="P277" s="661"/>
      <c r="Q277" s="661"/>
      <c r="R277" s="661"/>
      <c r="S277" s="661"/>
      <c r="T277" s="661"/>
      <c r="U277" s="661"/>
      <c r="V277" s="661"/>
      <c r="W277" s="661"/>
      <c r="X277" s="661"/>
      <c r="Y277" s="661"/>
      <c r="Z277" s="661"/>
      <c r="AA277" s="661"/>
      <c r="AB277" s="661"/>
      <c r="AC277" s="661"/>
      <c r="AD277" s="661"/>
      <c r="AE277" s="661"/>
      <c r="AF277" s="661"/>
      <c r="AG277" s="661"/>
      <c r="AH277" s="661"/>
      <c r="AI277" s="661"/>
      <c r="AJ277" s="661"/>
      <c r="AK277" s="661"/>
      <c r="AL277" s="661"/>
      <c r="AM277" s="661"/>
    </row>
    <row r="278">
      <c r="A278" s="1604">
        <v>46298.0</v>
      </c>
      <c r="B278" s="1605" t="s">
        <v>2810</v>
      </c>
      <c r="C278" s="1588"/>
      <c r="D278" s="1588"/>
      <c r="E278" s="1589"/>
      <c r="F278" s="1589"/>
      <c r="G278" s="1589"/>
      <c r="H278" s="661"/>
      <c r="I278" s="661"/>
      <c r="J278" s="661"/>
      <c r="K278" s="661"/>
      <c r="L278" s="661"/>
      <c r="M278" s="661"/>
      <c r="N278" s="661"/>
      <c r="O278" s="661"/>
      <c r="P278" s="661"/>
      <c r="Q278" s="661"/>
      <c r="R278" s="661"/>
      <c r="S278" s="661"/>
      <c r="T278" s="661"/>
      <c r="U278" s="661"/>
      <c r="V278" s="661"/>
      <c r="W278" s="661"/>
      <c r="X278" s="661"/>
      <c r="Y278" s="661"/>
      <c r="Z278" s="661"/>
      <c r="AA278" s="661"/>
      <c r="AB278" s="661"/>
      <c r="AC278" s="661"/>
      <c r="AD278" s="661"/>
      <c r="AE278" s="661"/>
      <c r="AF278" s="661"/>
      <c r="AG278" s="661"/>
      <c r="AH278" s="661"/>
      <c r="AI278" s="661"/>
      <c r="AJ278" s="661"/>
      <c r="AK278" s="661"/>
      <c r="AL278" s="661"/>
      <c r="AM278" s="661"/>
    </row>
    <row r="279">
      <c r="A279" s="1604">
        <v>46299.0</v>
      </c>
      <c r="B279" s="1605" t="s">
        <v>2810</v>
      </c>
      <c r="C279" s="1588"/>
      <c r="D279" s="1588"/>
      <c r="E279" s="1589"/>
      <c r="F279" s="1589"/>
      <c r="G279" s="1589"/>
      <c r="H279" s="661"/>
      <c r="I279" s="661"/>
      <c r="J279" s="661"/>
      <c r="K279" s="661"/>
      <c r="L279" s="661"/>
      <c r="M279" s="661"/>
      <c r="N279" s="661"/>
      <c r="O279" s="661"/>
      <c r="P279" s="661"/>
      <c r="Q279" s="661"/>
      <c r="R279" s="661"/>
      <c r="S279" s="661"/>
      <c r="T279" s="661"/>
      <c r="U279" s="661"/>
      <c r="V279" s="661"/>
      <c r="W279" s="661"/>
      <c r="X279" s="661"/>
      <c r="Y279" s="661"/>
      <c r="Z279" s="661"/>
      <c r="AA279" s="661"/>
      <c r="AB279" s="661"/>
      <c r="AC279" s="661"/>
      <c r="AD279" s="661"/>
      <c r="AE279" s="661"/>
      <c r="AF279" s="661"/>
      <c r="AG279" s="661"/>
      <c r="AH279" s="661"/>
      <c r="AI279" s="661"/>
      <c r="AJ279" s="661"/>
      <c r="AK279" s="661"/>
      <c r="AL279" s="661"/>
      <c r="AM279" s="661"/>
    </row>
    <row r="280">
      <c r="A280" s="1604">
        <v>46300.0</v>
      </c>
      <c r="B280" s="1605" t="s">
        <v>2810</v>
      </c>
      <c r="C280" s="1588"/>
      <c r="D280" s="1588"/>
      <c r="E280" s="1589"/>
      <c r="F280" s="1589"/>
      <c r="G280" s="1589"/>
      <c r="H280" s="661"/>
      <c r="I280" s="661"/>
      <c r="J280" s="661"/>
      <c r="K280" s="661"/>
      <c r="L280" s="661"/>
      <c r="M280" s="661"/>
      <c r="N280" s="661"/>
      <c r="O280" s="661"/>
      <c r="P280" s="661"/>
      <c r="Q280" s="661"/>
      <c r="R280" s="661"/>
      <c r="S280" s="661"/>
      <c r="T280" s="661"/>
      <c r="U280" s="661"/>
      <c r="V280" s="661"/>
      <c r="W280" s="661"/>
      <c r="X280" s="661"/>
      <c r="Y280" s="661"/>
      <c r="Z280" s="661"/>
      <c r="AA280" s="661"/>
      <c r="AB280" s="661"/>
      <c r="AC280" s="661"/>
      <c r="AD280" s="661"/>
      <c r="AE280" s="661"/>
      <c r="AF280" s="661"/>
      <c r="AG280" s="661"/>
      <c r="AH280" s="661"/>
      <c r="AI280" s="661"/>
      <c r="AJ280" s="661"/>
      <c r="AK280" s="661"/>
      <c r="AL280" s="661"/>
      <c r="AM280" s="661"/>
    </row>
    <row r="281">
      <c r="A281" s="1604">
        <v>46301.0</v>
      </c>
      <c r="B281" s="1605" t="s">
        <v>2810</v>
      </c>
      <c r="C281" s="1588"/>
      <c r="D281" s="1588"/>
      <c r="E281" s="1589"/>
      <c r="F281" s="1589"/>
      <c r="G281" s="1589"/>
      <c r="H281" s="661"/>
      <c r="I281" s="661"/>
      <c r="J281" s="661"/>
      <c r="K281" s="661"/>
      <c r="L281" s="661"/>
      <c r="M281" s="661"/>
      <c r="N281" s="661"/>
      <c r="O281" s="661"/>
      <c r="P281" s="661"/>
      <c r="Q281" s="661"/>
      <c r="R281" s="661"/>
      <c r="S281" s="661"/>
      <c r="T281" s="661"/>
      <c r="U281" s="661"/>
      <c r="V281" s="661"/>
      <c r="W281" s="661"/>
      <c r="X281" s="661"/>
      <c r="Y281" s="661"/>
      <c r="Z281" s="661"/>
      <c r="AA281" s="661"/>
      <c r="AB281" s="661"/>
      <c r="AC281" s="661"/>
      <c r="AD281" s="661"/>
      <c r="AE281" s="661"/>
      <c r="AF281" s="661"/>
      <c r="AG281" s="661"/>
      <c r="AH281" s="661"/>
      <c r="AI281" s="661"/>
      <c r="AJ281" s="661"/>
      <c r="AK281" s="661"/>
      <c r="AL281" s="661"/>
      <c r="AM281" s="661"/>
    </row>
    <row r="282">
      <c r="A282" s="1604">
        <v>46302.0</v>
      </c>
      <c r="B282" s="1605" t="s">
        <v>2810</v>
      </c>
      <c r="C282" s="1588"/>
      <c r="D282" s="1588"/>
      <c r="E282" s="1589"/>
      <c r="F282" s="1589"/>
      <c r="G282" s="1589"/>
      <c r="H282" s="661"/>
      <c r="I282" s="661"/>
      <c r="J282" s="661"/>
      <c r="K282" s="661"/>
      <c r="L282" s="661"/>
      <c r="M282" s="661"/>
      <c r="N282" s="661"/>
      <c r="O282" s="661"/>
      <c r="P282" s="661"/>
      <c r="Q282" s="661"/>
      <c r="R282" s="661"/>
      <c r="S282" s="661"/>
      <c r="T282" s="661"/>
      <c r="U282" s="661"/>
      <c r="V282" s="661"/>
      <c r="W282" s="661"/>
      <c r="X282" s="661"/>
      <c r="Y282" s="661"/>
      <c r="Z282" s="661"/>
      <c r="AA282" s="661"/>
      <c r="AB282" s="661"/>
      <c r="AC282" s="661"/>
      <c r="AD282" s="661"/>
      <c r="AE282" s="661"/>
      <c r="AF282" s="661"/>
      <c r="AG282" s="661"/>
      <c r="AH282" s="661"/>
      <c r="AI282" s="661"/>
      <c r="AJ282" s="661"/>
      <c r="AK282" s="661"/>
      <c r="AL282" s="661"/>
      <c r="AM282" s="661"/>
    </row>
    <row r="283">
      <c r="A283" s="1604">
        <v>46303.0</v>
      </c>
      <c r="B283" s="1605" t="s">
        <v>2810</v>
      </c>
      <c r="C283" s="1588"/>
      <c r="D283" s="1588"/>
      <c r="E283" s="1589"/>
      <c r="F283" s="1589"/>
      <c r="G283" s="1589"/>
      <c r="H283" s="661"/>
      <c r="I283" s="661"/>
      <c r="J283" s="661"/>
      <c r="K283" s="661"/>
      <c r="L283" s="661"/>
      <c r="M283" s="661"/>
      <c r="N283" s="661"/>
      <c r="O283" s="661"/>
      <c r="P283" s="661"/>
      <c r="Q283" s="661"/>
      <c r="R283" s="661"/>
      <c r="S283" s="661"/>
      <c r="T283" s="661"/>
      <c r="U283" s="661"/>
      <c r="V283" s="661"/>
      <c r="W283" s="661"/>
      <c r="X283" s="661"/>
      <c r="Y283" s="661"/>
      <c r="Z283" s="661"/>
      <c r="AA283" s="661"/>
      <c r="AB283" s="661"/>
      <c r="AC283" s="661"/>
      <c r="AD283" s="661"/>
      <c r="AE283" s="661"/>
      <c r="AF283" s="661"/>
      <c r="AG283" s="661"/>
      <c r="AH283" s="661"/>
      <c r="AI283" s="661"/>
      <c r="AJ283" s="661"/>
      <c r="AK283" s="661"/>
      <c r="AL283" s="661"/>
      <c r="AM283" s="661"/>
    </row>
    <row r="284">
      <c r="A284" s="1604">
        <v>46304.0</v>
      </c>
      <c r="B284" s="1605" t="s">
        <v>2810</v>
      </c>
      <c r="C284" s="1588"/>
      <c r="D284" s="1588"/>
      <c r="E284" s="1589"/>
      <c r="F284" s="1589"/>
      <c r="G284" s="1589"/>
      <c r="H284" s="661"/>
      <c r="I284" s="661"/>
      <c r="J284" s="661"/>
      <c r="K284" s="661"/>
      <c r="L284" s="661"/>
      <c r="M284" s="661"/>
      <c r="N284" s="661"/>
      <c r="O284" s="661"/>
      <c r="P284" s="661"/>
      <c r="Q284" s="661"/>
      <c r="R284" s="661"/>
      <c r="S284" s="661"/>
      <c r="T284" s="661"/>
      <c r="U284" s="661"/>
      <c r="V284" s="661"/>
      <c r="W284" s="661"/>
      <c r="X284" s="661"/>
      <c r="Y284" s="661"/>
      <c r="Z284" s="661"/>
      <c r="AA284" s="661"/>
      <c r="AB284" s="661"/>
      <c r="AC284" s="661"/>
      <c r="AD284" s="661"/>
      <c r="AE284" s="661"/>
      <c r="AF284" s="661"/>
      <c r="AG284" s="661"/>
      <c r="AH284" s="661"/>
      <c r="AI284" s="661"/>
      <c r="AJ284" s="661"/>
      <c r="AK284" s="661"/>
      <c r="AL284" s="661"/>
      <c r="AM284" s="661"/>
    </row>
    <row r="285">
      <c r="A285" s="1604">
        <v>46305.0</v>
      </c>
      <c r="B285" s="1605" t="s">
        <v>2810</v>
      </c>
      <c r="C285" s="1588"/>
      <c r="D285" s="1588"/>
      <c r="E285" s="1589"/>
      <c r="F285" s="1589"/>
      <c r="G285" s="1589"/>
      <c r="H285" s="661"/>
      <c r="I285" s="661"/>
      <c r="J285" s="661"/>
      <c r="K285" s="661"/>
      <c r="L285" s="661"/>
      <c r="M285" s="661"/>
      <c r="N285" s="661"/>
      <c r="O285" s="661"/>
      <c r="P285" s="661"/>
      <c r="Q285" s="661"/>
      <c r="R285" s="661"/>
      <c r="S285" s="661"/>
      <c r="T285" s="661"/>
      <c r="U285" s="661"/>
      <c r="V285" s="661"/>
      <c r="W285" s="661"/>
      <c r="X285" s="661"/>
      <c r="Y285" s="661"/>
      <c r="Z285" s="661"/>
      <c r="AA285" s="661"/>
      <c r="AB285" s="661"/>
      <c r="AC285" s="661"/>
      <c r="AD285" s="661"/>
      <c r="AE285" s="661"/>
      <c r="AF285" s="661"/>
      <c r="AG285" s="661"/>
      <c r="AH285" s="661"/>
      <c r="AI285" s="661"/>
      <c r="AJ285" s="661"/>
      <c r="AK285" s="661"/>
      <c r="AL285" s="661"/>
      <c r="AM285" s="661"/>
    </row>
    <row r="286">
      <c r="A286" s="1604">
        <v>46306.0</v>
      </c>
      <c r="B286" s="1605" t="s">
        <v>2810</v>
      </c>
      <c r="C286" s="1588"/>
      <c r="D286" s="1588"/>
      <c r="E286" s="1589"/>
      <c r="F286" s="1589"/>
      <c r="G286" s="1589"/>
      <c r="H286" s="661"/>
      <c r="I286" s="661"/>
      <c r="J286" s="661"/>
      <c r="K286" s="661"/>
      <c r="L286" s="661"/>
      <c r="M286" s="661"/>
      <c r="N286" s="661"/>
      <c r="O286" s="661"/>
      <c r="P286" s="661"/>
      <c r="Q286" s="661"/>
      <c r="R286" s="661"/>
      <c r="S286" s="661"/>
      <c r="T286" s="661"/>
      <c r="U286" s="661"/>
      <c r="V286" s="661"/>
      <c r="W286" s="661"/>
      <c r="X286" s="661"/>
      <c r="Y286" s="661"/>
      <c r="Z286" s="661"/>
      <c r="AA286" s="661"/>
      <c r="AB286" s="661"/>
      <c r="AC286" s="661"/>
      <c r="AD286" s="661"/>
      <c r="AE286" s="661"/>
      <c r="AF286" s="661"/>
      <c r="AG286" s="661"/>
      <c r="AH286" s="661"/>
      <c r="AI286" s="661"/>
      <c r="AJ286" s="661"/>
      <c r="AK286" s="661"/>
      <c r="AL286" s="661"/>
      <c r="AM286" s="661"/>
    </row>
    <row r="287">
      <c r="A287" s="1604">
        <v>46307.0</v>
      </c>
      <c r="B287" s="1605" t="s">
        <v>2810</v>
      </c>
      <c r="C287" s="1588"/>
      <c r="D287" s="1588"/>
      <c r="E287" s="1589"/>
      <c r="F287" s="1589"/>
      <c r="G287" s="1589"/>
      <c r="H287" s="661"/>
      <c r="I287" s="661"/>
      <c r="J287" s="661"/>
      <c r="K287" s="661"/>
      <c r="L287" s="661"/>
      <c r="M287" s="661"/>
      <c r="N287" s="661"/>
      <c r="O287" s="661"/>
      <c r="P287" s="661"/>
      <c r="Q287" s="661"/>
      <c r="R287" s="661"/>
      <c r="S287" s="661"/>
      <c r="T287" s="661"/>
      <c r="U287" s="661"/>
      <c r="V287" s="661"/>
      <c r="W287" s="661"/>
      <c r="X287" s="661"/>
      <c r="Y287" s="661"/>
      <c r="Z287" s="661"/>
      <c r="AA287" s="661"/>
      <c r="AB287" s="661"/>
      <c r="AC287" s="661"/>
      <c r="AD287" s="661"/>
      <c r="AE287" s="661"/>
      <c r="AF287" s="661"/>
      <c r="AG287" s="661"/>
      <c r="AH287" s="661"/>
      <c r="AI287" s="661"/>
      <c r="AJ287" s="661"/>
      <c r="AK287" s="661"/>
      <c r="AL287" s="661"/>
      <c r="AM287" s="661"/>
    </row>
    <row r="288">
      <c r="A288" s="1604">
        <v>46308.0</v>
      </c>
      <c r="B288" s="1605" t="s">
        <v>2810</v>
      </c>
      <c r="C288" s="1588"/>
      <c r="D288" s="1588"/>
      <c r="E288" s="1589"/>
      <c r="F288" s="1589"/>
      <c r="G288" s="1589"/>
      <c r="H288" s="661"/>
      <c r="I288" s="661"/>
      <c r="J288" s="661"/>
      <c r="K288" s="661"/>
      <c r="L288" s="661"/>
      <c r="M288" s="661"/>
      <c r="N288" s="661"/>
      <c r="O288" s="661"/>
      <c r="P288" s="661"/>
      <c r="Q288" s="661"/>
      <c r="R288" s="661"/>
      <c r="S288" s="661"/>
      <c r="T288" s="661"/>
      <c r="U288" s="661"/>
      <c r="V288" s="661"/>
      <c r="W288" s="661"/>
      <c r="X288" s="661"/>
      <c r="Y288" s="661"/>
      <c r="Z288" s="661"/>
      <c r="AA288" s="661"/>
      <c r="AB288" s="661"/>
      <c r="AC288" s="661"/>
      <c r="AD288" s="661"/>
      <c r="AE288" s="661"/>
      <c r="AF288" s="661"/>
      <c r="AG288" s="661"/>
      <c r="AH288" s="661"/>
      <c r="AI288" s="661"/>
      <c r="AJ288" s="661"/>
      <c r="AK288" s="661"/>
      <c r="AL288" s="661"/>
      <c r="AM288" s="661"/>
    </row>
    <row r="289">
      <c r="A289" s="1604">
        <v>46309.0</v>
      </c>
      <c r="B289" s="1605" t="s">
        <v>2810</v>
      </c>
      <c r="C289" s="1588"/>
      <c r="D289" s="1588"/>
      <c r="E289" s="1589"/>
      <c r="F289" s="1589"/>
      <c r="G289" s="1589"/>
      <c r="H289" s="661"/>
      <c r="I289" s="661"/>
      <c r="J289" s="661"/>
      <c r="K289" s="661"/>
      <c r="L289" s="661"/>
      <c r="M289" s="661"/>
      <c r="N289" s="661"/>
      <c r="O289" s="661"/>
      <c r="P289" s="661"/>
      <c r="Q289" s="661"/>
      <c r="R289" s="661"/>
      <c r="S289" s="661"/>
      <c r="T289" s="661"/>
      <c r="U289" s="661"/>
      <c r="V289" s="661"/>
      <c r="W289" s="661"/>
      <c r="X289" s="661"/>
      <c r="Y289" s="661"/>
      <c r="Z289" s="661"/>
      <c r="AA289" s="661"/>
      <c r="AB289" s="661"/>
      <c r="AC289" s="661"/>
      <c r="AD289" s="661"/>
      <c r="AE289" s="661"/>
      <c r="AF289" s="661"/>
      <c r="AG289" s="661"/>
      <c r="AH289" s="661"/>
      <c r="AI289" s="661"/>
      <c r="AJ289" s="661"/>
      <c r="AK289" s="661"/>
      <c r="AL289" s="661"/>
      <c r="AM289" s="661"/>
    </row>
    <row r="290">
      <c r="A290" s="1604">
        <v>46310.0</v>
      </c>
      <c r="B290" s="1605" t="s">
        <v>2810</v>
      </c>
      <c r="C290" s="1588"/>
      <c r="D290" s="1588"/>
      <c r="E290" s="1589"/>
      <c r="F290" s="1589"/>
      <c r="G290" s="1589"/>
      <c r="H290" s="661"/>
      <c r="I290" s="661"/>
      <c r="J290" s="661"/>
      <c r="K290" s="661"/>
      <c r="L290" s="661"/>
      <c r="M290" s="661"/>
      <c r="N290" s="661"/>
      <c r="O290" s="661"/>
      <c r="P290" s="661"/>
      <c r="Q290" s="661"/>
      <c r="R290" s="661"/>
      <c r="S290" s="661"/>
      <c r="T290" s="661"/>
      <c r="U290" s="661"/>
      <c r="V290" s="661"/>
      <c r="W290" s="661"/>
      <c r="X290" s="661"/>
      <c r="Y290" s="661"/>
      <c r="Z290" s="661"/>
      <c r="AA290" s="661"/>
      <c r="AB290" s="661"/>
      <c r="AC290" s="661"/>
      <c r="AD290" s="661"/>
      <c r="AE290" s="661"/>
      <c r="AF290" s="661"/>
      <c r="AG290" s="661"/>
      <c r="AH290" s="661"/>
      <c r="AI290" s="661"/>
      <c r="AJ290" s="661"/>
      <c r="AK290" s="661"/>
      <c r="AL290" s="661"/>
      <c r="AM290" s="661"/>
    </row>
    <row r="291">
      <c r="A291" s="1604">
        <v>46311.0</v>
      </c>
      <c r="B291" s="1605" t="s">
        <v>2810</v>
      </c>
      <c r="C291" s="1588"/>
      <c r="D291" s="1588"/>
      <c r="E291" s="1589"/>
      <c r="F291" s="1589"/>
      <c r="G291" s="1589"/>
      <c r="H291" s="661"/>
      <c r="I291" s="661"/>
      <c r="J291" s="661"/>
      <c r="K291" s="661"/>
      <c r="L291" s="661"/>
      <c r="M291" s="661"/>
      <c r="N291" s="661"/>
      <c r="O291" s="661"/>
      <c r="P291" s="661"/>
      <c r="Q291" s="661"/>
      <c r="R291" s="661"/>
      <c r="S291" s="661"/>
      <c r="T291" s="661"/>
      <c r="U291" s="661"/>
      <c r="V291" s="661"/>
      <c r="W291" s="661"/>
      <c r="X291" s="661"/>
      <c r="Y291" s="661"/>
      <c r="Z291" s="661"/>
      <c r="AA291" s="661"/>
      <c r="AB291" s="661"/>
      <c r="AC291" s="661"/>
      <c r="AD291" s="661"/>
      <c r="AE291" s="661"/>
      <c r="AF291" s="661"/>
      <c r="AG291" s="661"/>
      <c r="AH291" s="661"/>
      <c r="AI291" s="661"/>
      <c r="AJ291" s="661"/>
      <c r="AK291" s="661"/>
      <c r="AL291" s="661"/>
      <c r="AM291" s="661"/>
    </row>
    <row r="292">
      <c r="A292" s="1604">
        <v>46312.0</v>
      </c>
      <c r="B292" s="1605" t="s">
        <v>2810</v>
      </c>
      <c r="C292" s="1588"/>
      <c r="D292" s="1588"/>
      <c r="E292" s="1589"/>
      <c r="F292" s="1589"/>
      <c r="G292" s="1589"/>
      <c r="H292" s="661"/>
      <c r="I292" s="661"/>
      <c r="J292" s="661"/>
      <c r="K292" s="661"/>
      <c r="L292" s="661"/>
      <c r="M292" s="661"/>
      <c r="N292" s="661"/>
      <c r="O292" s="661"/>
      <c r="P292" s="661"/>
      <c r="Q292" s="661"/>
      <c r="R292" s="661"/>
      <c r="S292" s="661"/>
      <c r="T292" s="661"/>
      <c r="U292" s="661"/>
      <c r="V292" s="661"/>
      <c r="W292" s="661"/>
      <c r="X292" s="661"/>
      <c r="Y292" s="661"/>
      <c r="Z292" s="661"/>
      <c r="AA292" s="661"/>
      <c r="AB292" s="661"/>
      <c r="AC292" s="661"/>
      <c r="AD292" s="661"/>
      <c r="AE292" s="661"/>
      <c r="AF292" s="661"/>
      <c r="AG292" s="661"/>
      <c r="AH292" s="661"/>
      <c r="AI292" s="661"/>
      <c r="AJ292" s="661"/>
      <c r="AK292" s="661"/>
      <c r="AL292" s="661"/>
      <c r="AM292" s="661"/>
    </row>
    <row r="293">
      <c r="A293" s="1604">
        <v>46313.0</v>
      </c>
      <c r="B293" s="1605" t="s">
        <v>2810</v>
      </c>
      <c r="C293" s="1588"/>
      <c r="D293" s="1588"/>
      <c r="E293" s="1589"/>
      <c r="F293" s="1589"/>
      <c r="G293" s="1589"/>
      <c r="H293" s="661"/>
      <c r="I293" s="661"/>
      <c r="J293" s="661"/>
      <c r="K293" s="661"/>
      <c r="L293" s="661"/>
      <c r="M293" s="661"/>
      <c r="N293" s="661"/>
      <c r="O293" s="661"/>
      <c r="P293" s="661"/>
      <c r="Q293" s="661"/>
      <c r="R293" s="661"/>
      <c r="S293" s="661"/>
      <c r="T293" s="661"/>
      <c r="U293" s="661"/>
      <c r="V293" s="661"/>
      <c r="W293" s="661"/>
      <c r="X293" s="661"/>
      <c r="Y293" s="661"/>
      <c r="Z293" s="661"/>
      <c r="AA293" s="661"/>
      <c r="AB293" s="661"/>
      <c r="AC293" s="661"/>
      <c r="AD293" s="661"/>
      <c r="AE293" s="661"/>
      <c r="AF293" s="661"/>
      <c r="AG293" s="661"/>
      <c r="AH293" s="661"/>
      <c r="AI293" s="661"/>
      <c r="AJ293" s="661"/>
      <c r="AK293" s="661"/>
      <c r="AL293" s="661"/>
      <c r="AM293" s="661"/>
    </row>
    <row r="294">
      <c r="A294" s="1604">
        <v>46314.0</v>
      </c>
      <c r="B294" s="1605" t="s">
        <v>2810</v>
      </c>
      <c r="C294" s="1588"/>
      <c r="D294" s="1588"/>
      <c r="E294" s="1589"/>
      <c r="F294" s="1589"/>
      <c r="G294" s="1589"/>
      <c r="H294" s="661"/>
      <c r="I294" s="661"/>
      <c r="J294" s="661"/>
      <c r="K294" s="661"/>
      <c r="L294" s="661"/>
      <c r="M294" s="661"/>
      <c r="N294" s="661"/>
      <c r="O294" s="661"/>
      <c r="P294" s="661"/>
      <c r="Q294" s="661"/>
      <c r="R294" s="661"/>
      <c r="S294" s="661"/>
      <c r="T294" s="661"/>
      <c r="U294" s="661"/>
      <c r="V294" s="661"/>
      <c r="W294" s="661"/>
      <c r="X294" s="661"/>
      <c r="Y294" s="661"/>
      <c r="Z294" s="661"/>
      <c r="AA294" s="661"/>
      <c r="AB294" s="661"/>
      <c r="AC294" s="661"/>
      <c r="AD294" s="661"/>
      <c r="AE294" s="661"/>
      <c r="AF294" s="661"/>
      <c r="AG294" s="661"/>
      <c r="AH294" s="661"/>
      <c r="AI294" s="661"/>
      <c r="AJ294" s="661"/>
      <c r="AK294" s="661"/>
      <c r="AL294" s="661"/>
      <c r="AM294" s="661"/>
    </row>
    <row r="295">
      <c r="A295" s="1604">
        <v>46315.0</v>
      </c>
      <c r="B295" s="1605" t="s">
        <v>2810</v>
      </c>
      <c r="C295" s="1588"/>
      <c r="D295" s="1588"/>
      <c r="E295" s="1589"/>
      <c r="F295" s="1589"/>
      <c r="G295" s="1589"/>
      <c r="H295" s="661"/>
      <c r="I295" s="661"/>
      <c r="J295" s="661"/>
      <c r="K295" s="661"/>
      <c r="L295" s="661"/>
      <c r="M295" s="661"/>
      <c r="N295" s="661"/>
      <c r="O295" s="661"/>
      <c r="P295" s="661"/>
      <c r="Q295" s="661"/>
      <c r="R295" s="661"/>
      <c r="S295" s="661"/>
      <c r="T295" s="661"/>
      <c r="U295" s="661"/>
      <c r="V295" s="661"/>
      <c r="W295" s="661"/>
      <c r="X295" s="661"/>
      <c r="Y295" s="661"/>
      <c r="Z295" s="661"/>
      <c r="AA295" s="661"/>
      <c r="AB295" s="661"/>
      <c r="AC295" s="661"/>
      <c r="AD295" s="661"/>
      <c r="AE295" s="661"/>
      <c r="AF295" s="661"/>
      <c r="AG295" s="661"/>
      <c r="AH295" s="661"/>
      <c r="AI295" s="661"/>
      <c r="AJ295" s="661"/>
      <c r="AK295" s="661"/>
      <c r="AL295" s="661"/>
      <c r="AM295" s="661"/>
    </row>
    <row r="296">
      <c r="A296" s="1604">
        <v>46316.0</v>
      </c>
      <c r="B296" s="1605" t="s">
        <v>2810</v>
      </c>
      <c r="C296" s="1588"/>
      <c r="D296" s="1588"/>
      <c r="E296" s="1589"/>
      <c r="F296" s="1589"/>
      <c r="G296" s="1589"/>
      <c r="H296" s="661"/>
      <c r="I296" s="661"/>
      <c r="J296" s="661"/>
      <c r="K296" s="661"/>
      <c r="L296" s="661"/>
      <c r="M296" s="661"/>
      <c r="N296" s="661"/>
      <c r="O296" s="661"/>
      <c r="P296" s="661"/>
      <c r="Q296" s="661"/>
      <c r="R296" s="661"/>
      <c r="S296" s="661"/>
      <c r="T296" s="661"/>
      <c r="U296" s="661"/>
      <c r="V296" s="661"/>
      <c r="W296" s="661"/>
      <c r="X296" s="661"/>
      <c r="Y296" s="661"/>
      <c r="Z296" s="661"/>
      <c r="AA296" s="661"/>
      <c r="AB296" s="661"/>
      <c r="AC296" s="661"/>
      <c r="AD296" s="661"/>
      <c r="AE296" s="661"/>
      <c r="AF296" s="661"/>
      <c r="AG296" s="661"/>
      <c r="AH296" s="661"/>
      <c r="AI296" s="661"/>
      <c r="AJ296" s="661"/>
      <c r="AK296" s="661"/>
      <c r="AL296" s="661"/>
      <c r="AM296" s="661"/>
    </row>
    <row r="297">
      <c r="A297" s="1604">
        <v>46317.0</v>
      </c>
      <c r="B297" s="1605" t="s">
        <v>2810</v>
      </c>
      <c r="C297" s="1588"/>
      <c r="D297" s="1588"/>
      <c r="E297" s="1589"/>
      <c r="F297" s="1589"/>
      <c r="G297" s="1589"/>
      <c r="H297" s="661"/>
      <c r="I297" s="661"/>
      <c r="J297" s="661"/>
      <c r="K297" s="661"/>
      <c r="L297" s="661"/>
      <c r="M297" s="661"/>
      <c r="N297" s="661"/>
      <c r="O297" s="661"/>
      <c r="P297" s="661"/>
      <c r="Q297" s="661"/>
      <c r="R297" s="661"/>
      <c r="S297" s="661"/>
      <c r="T297" s="661"/>
      <c r="U297" s="661"/>
      <c r="V297" s="661"/>
      <c r="W297" s="661"/>
      <c r="X297" s="661"/>
      <c r="Y297" s="661"/>
      <c r="Z297" s="661"/>
      <c r="AA297" s="661"/>
      <c r="AB297" s="661"/>
      <c r="AC297" s="661"/>
      <c r="AD297" s="661"/>
      <c r="AE297" s="661"/>
      <c r="AF297" s="661"/>
      <c r="AG297" s="661"/>
      <c r="AH297" s="661"/>
      <c r="AI297" s="661"/>
      <c r="AJ297" s="661"/>
      <c r="AK297" s="661"/>
      <c r="AL297" s="661"/>
      <c r="AM297" s="661"/>
    </row>
    <row r="298">
      <c r="A298" s="1604">
        <v>46318.0</v>
      </c>
      <c r="B298" s="1605" t="s">
        <v>2810</v>
      </c>
      <c r="C298" s="1588"/>
      <c r="D298" s="1588"/>
      <c r="E298" s="1589"/>
      <c r="F298" s="1589"/>
      <c r="G298" s="1589"/>
      <c r="H298" s="661"/>
      <c r="I298" s="661"/>
      <c r="J298" s="661"/>
      <c r="K298" s="661"/>
      <c r="L298" s="661"/>
      <c r="M298" s="661"/>
      <c r="N298" s="661"/>
      <c r="O298" s="661"/>
      <c r="P298" s="661"/>
      <c r="Q298" s="661"/>
      <c r="R298" s="661"/>
      <c r="S298" s="661"/>
      <c r="T298" s="661"/>
      <c r="U298" s="661"/>
      <c r="V298" s="661"/>
      <c r="W298" s="661"/>
      <c r="X298" s="661"/>
      <c r="Y298" s="661"/>
      <c r="Z298" s="661"/>
      <c r="AA298" s="661"/>
      <c r="AB298" s="661"/>
      <c r="AC298" s="661"/>
      <c r="AD298" s="661"/>
      <c r="AE298" s="661"/>
      <c r="AF298" s="661"/>
      <c r="AG298" s="661"/>
      <c r="AH298" s="661"/>
      <c r="AI298" s="661"/>
      <c r="AJ298" s="661"/>
      <c r="AK298" s="661"/>
      <c r="AL298" s="661"/>
      <c r="AM298" s="661"/>
    </row>
    <row r="299">
      <c r="A299" s="1604">
        <v>46319.0</v>
      </c>
      <c r="B299" s="1605" t="s">
        <v>2810</v>
      </c>
      <c r="C299" s="1588"/>
      <c r="D299" s="1588"/>
      <c r="E299" s="1589"/>
      <c r="F299" s="1589"/>
      <c r="G299" s="1589"/>
      <c r="H299" s="661"/>
      <c r="I299" s="661"/>
      <c r="J299" s="661"/>
      <c r="K299" s="661"/>
      <c r="L299" s="661"/>
      <c r="M299" s="661"/>
      <c r="N299" s="661"/>
      <c r="O299" s="661"/>
      <c r="P299" s="661"/>
      <c r="Q299" s="661"/>
      <c r="R299" s="661"/>
      <c r="S299" s="661"/>
      <c r="T299" s="661"/>
      <c r="U299" s="661"/>
      <c r="V299" s="661"/>
      <c r="W299" s="661"/>
      <c r="X299" s="661"/>
      <c r="Y299" s="661"/>
      <c r="Z299" s="661"/>
      <c r="AA299" s="661"/>
      <c r="AB299" s="661"/>
      <c r="AC299" s="661"/>
      <c r="AD299" s="661"/>
      <c r="AE299" s="661"/>
      <c r="AF299" s="661"/>
      <c r="AG299" s="661"/>
      <c r="AH299" s="661"/>
      <c r="AI299" s="661"/>
      <c r="AJ299" s="661"/>
      <c r="AK299" s="661"/>
      <c r="AL299" s="661"/>
      <c r="AM299" s="661"/>
    </row>
    <row r="300">
      <c r="A300" s="1604">
        <v>46320.0</v>
      </c>
      <c r="B300" s="1605" t="s">
        <v>2810</v>
      </c>
      <c r="C300" s="1588"/>
      <c r="D300" s="1588"/>
      <c r="E300" s="1589"/>
      <c r="F300" s="1589"/>
      <c r="G300" s="1589"/>
      <c r="H300" s="661"/>
      <c r="I300" s="661"/>
      <c r="J300" s="661"/>
      <c r="K300" s="661"/>
      <c r="L300" s="661"/>
      <c r="M300" s="661"/>
      <c r="N300" s="661"/>
      <c r="O300" s="661"/>
      <c r="P300" s="661"/>
      <c r="Q300" s="661"/>
      <c r="R300" s="661"/>
      <c r="S300" s="661"/>
      <c r="T300" s="661"/>
      <c r="U300" s="661"/>
      <c r="V300" s="661"/>
      <c r="W300" s="661"/>
      <c r="X300" s="661"/>
      <c r="Y300" s="661"/>
      <c r="Z300" s="661"/>
      <c r="AA300" s="661"/>
      <c r="AB300" s="661"/>
      <c r="AC300" s="661"/>
      <c r="AD300" s="661"/>
      <c r="AE300" s="661"/>
      <c r="AF300" s="661"/>
      <c r="AG300" s="661"/>
      <c r="AH300" s="661"/>
      <c r="AI300" s="661"/>
      <c r="AJ300" s="661"/>
      <c r="AK300" s="661"/>
      <c r="AL300" s="661"/>
      <c r="AM300" s="661"/>
    </row>
    <row r="301">
      <c r="A301" s="1604">
        <v>46321.0</v>
      </c>
      <c r="B301" s="1605" t="s">
        <v>2810</v>
      </c>
      <c r="C301" s="1588"/>
      <c r="D301" s="1588"/>
      <c r="E301" s="1589"/>
      <c r="F301" s="1589"/>
      <c r="G301" s="1589"/>
      <c r="H301" s="661"/>
      <c r="I301" s="661"/>
      <c r="J301" s="661"/>
      <c r="K301" s="661"/>
      <c r="L301" s="661"/>
      <c r="M301" s="661"/>
      <c r="N301" s="661"/>
      <c r="O301" s="661"/>
      <c r="P301" s="661"/>
      <c r="Q301" s="661"/>
      <c r="R301" s="661"/>
      <c r="S301" s="661"/>
      <c r="T301" s="661"/>
      <c r="U301" s="661"/>
      <c r="V301" s="661"/>
      <c r="W301" s="661"/>
      <c r="X301" s="661"/>
      <c r="Y301" s="661"/>
      <c r="Z301" s="661"/>
      <c r="AA301" s="661"/>
      <c r="AB301" s="661"/>
      <c r="AC301" s="661"/>
      <c r="AD301" s="661"/>
      <c r="AE301" s="661"/>
      <c r="AF301" s="661"/>
      <c r="AG301" s="661"/>
      <c r="AH301" s="661"/>
      <c r="AI301" s="661"/>
      <c r="AJ301" s="661"/>
      <c r="AK301" s="661"/>
      <c r="AL301" s="661"/>
      <c r="AM301" s="661"/>
    </row>
    <row r="302">
      <c r="A302" s="1604">
        <v>46322.0</v>
      </c>
      <c r="B302" s="1605" t="s">
        <v>2810</v>
      </c>
      <c r="C302" s="1588"/>
      <c r="D302" s="1588"/>
      <c r="E302" s="1589"/>
      <c r="F302" s="1589"/>
      <c r="G302" s="1589"/>
      <c r="H302" s="661"/>
      <c r="I302" s="661"/>
      <c r="J302" s="661"/>
      <c r="K302" s="661"/>
      <c r="L302" s="661"/>
      <c r="M302" s="661"/>
      <c r="N302" s="661"/>
      <c r="O302" s="661"/>
      <c r="P302" s="661"/>
      <c r="Q302" s="661"/>
      <c r="R302" s="661"/>
      <c r="S302" s="661"/>
      <c r="T302" s="661"/>
      <c r="U302" s="661"/>
      <c r="V302" s="661"/>
      <c r="W302" s="661"/>
      <c r="X302" s="661"/>
      <c r="Y302" s="661"/>
      <c r="Z302" s="661"/>
      <c r="AA302" s="661"/>
      <c r="AB302" s="661"/>
      <c r="AC302" s="661"/>
      <c r="AD302" s="661"/>
      <c r="AE302" s="661"/>
      <c r="AF302" s="661"/>
      <c r="AG302" s="661"/>
      <c r="AH302" s="661"/>
      <c r="AI302" s="661"/>
      <c r="AJ302" s="661"/>
      <c r="AK302" s="661"/>
      <c r="AL302" s="661"/>
      <c r="AM302" s="661"/>
    </row>
    <row r="303">
      <c r="A303" s="1604">
        <v>46323.0</v>
      </c>
      <c r="B303" s="1605" t="s">
        <v>2810</v>
      </c>
      <c r="C303" s="1588"/>
      <c r="D303" s="1588"/>
      <c r="E303" s="1589"/>
      <c r="F303" s="1589"/>
      <c r="G303" s="1589"/>
      <c r="H303" s="661"/>
      <c r="I303" s="661"/>
      <c r="J303" s="661"/>
      <c r="K303" s="661"/>
      <c r="L303" s="661"/>
      <c r="M303" s="661"/>
      <c r="N303" s="661"/>
      <c r="O303" s="661"/>
      <c r="P303" s="661"/>
      <c r="Q303" s="661"/>
      <c r="R303" s="661"/>
      <c r="S303" s="661"/>
      <c r="T303" s="661"/>
      <c r="U303" s="661"/>
      <c r="V303" s="661"/>
      <c r="W303" s="661"/>
      <c r="X303" s="661"/>
      <c r="Y303" s="661"/>
      <c r="Z303" s="661"/>
      <c r="AA303" s="661"/>
      <c r="AB303" s="661"/>
      <c r="AC303" s="661"/>
      <c r="AD303" s="661"/>
      <c r="AE303" s="661"/>
      <c r="AF303" s="661"/>
      <c r="AG303" s="661"/>
      <c r="AH303" s="661"/>
      <c r="AI303" s="661"/>
      <c r="AJ303" s="661"/>
      <c r="AK303" s="661"/>
      <c r="AL303" s="661"/>
      <c r="AM303" s="661"/>
    </row>
    <row r="304">
      <c r="A304" s="1604">
        <v>46324.0</v>
      </c>
      <c r="B304" s="1605" t="s">
        <v>2810</v>
      </c>
      <c r="C304" s="1588"/>
      <c r="D304" s="1588"/>
      <c r="E304" s="1589"/>
      <c r="F304" s="1589"/>
      <c r="G304" s="1589"/>
      <c r="H304" s="661"/>
      <c r="I304" s="661"/>
      <c r="J304" s="661"/>
      <c r="K304" s="661"/>
      <c r="L304" s="661"/>
      <c r="M304" s="661"/>
      <c r="N304" s="661"/>
      <c r="O304" s="661"/>
      <c r="P304" s="661"/>
      <c r="Q304" s="661"/>
      <c r="R304" s="661"/>
      <c r="S304" s="661"/>
      <c r="T304" s="661"/>
      <c r="U304" s="661"/>
      <c r="V304" s="661"/>
      <c r="W304" s="661"/>
      <c r="X304" s="661"/>
      <c r="Y304" s="661"/>
      <c r="Z304" s="661"/>
      <c r="AA304" s="661"/>
      <c r="AB304" s="661"/>
      <c r="AC304" s="661"/>
      <c r="AD304" s="661"/>
      <c r="AE304" s="661"/>
      <c r="AF304" s="661"/>
      <c r="AG304" s="661"/>
      <c r="AH304" s="661"/>
      <c r="AI304" s="661"/>
      <c r="AJ304" s="661"/>
      <c r="AK304" s="661"/>
      <c r="AL304" s="661"/>
      <c r="AM304" s="661"/>
    </row>
    <row r="305">
      <c r="A305" s="1604">
        <v>46325.0</v>
      </c>
      <c r="B305" s="1605" t="s">
        <v>2810</v>
      </c>
      <c r="C305" s="1588"/>
      <c r="D305" s="1588"/>
      <c r="E305" s="1589"/>
      <c r="F305" s="1589"/>
      <c r="G305" s="1589"/>
      <c r="H305" s="661"/>
      <c r="I305" s="661"/>
      <c r="J305" s="661"/>
      <c r="K305" s="661"/>
      <c r="L305" s="661"/>
      <c r="M305" s="661"/>
      <c r="N305" s="661"/>
      <c r="O305" s="661"/>
      <c r="P305" s="661"/>
      <c r="Q305" s="661"/>
      <c r="R305" s="661"/>
      <c r="S305" s="661"/>
      <c r="T305" s="661"/>
      <c r="U305" s="661"/>
      <c r="V305" s="661"/>
      <c r="W305" s="661"/>
      <c r="X305" s="661"/>
      <c r="Y305" s="661"/>
      <c r="Z305" s="661"/>
      <c r="AA305" s="661"/>
      <c r="AB305" s="661"/>
      <c r="AC305" s="661"/>
      <c r="AD305" s="661"/>
      <c r="AE305" s="661"/>
      <c r="AF305" s="661"/>
      <c r="AG305" s="661"/>
      <c r="AH305" s="661"/>
      <c r="AI305" s="661"/>
      <c r="AJ305" s="661"/>
      <c r="AK305" s="661"/>
      <c r="AL305" s="661"/>
      <c r="AM305" s="661"/>
    </row>
    <row r="306">
      <c r="A306" s="1604">
        <v>46326.0</v>
      </c>
      <c r="B306" s="1605" t="s">
        <v>2810</v>
      </c>
      <c r="C306" s="1588"/>
      <c r="D306" s="1588"/>
      <c r="E306" s="1589"/>
      <c r="F306" s="1589"/>
      <c r="G306" s="1589"/>
      <c r="H306" s="661"/>
      <c r="I306" s="661"/>
      <c r="J306" s="661"/>
      <c r="K306" s="661"/>
      <c r="L306" s="661"/>
      <c r="M306" s="661"/>
      <c r="N306" s="661"/>
      <c r="O306" s="661"/>
      <c r="P306" s="661"/>
      <c r="Q306" s="661"/>
      <c r="R306" s="661"/>
      <c r="S306" s="661"/>
      <c r="T306" s="661"/>
      <c r="U306" s="661"/>
      <c r="V306" s="661"/>
      <c r="W306" s="661"/>
      <c r="X306" s="661"/>
      <c r="Y306" s="661"/>
      <c r="Z306" s="661"/>
      <c r="AA306" s="661"/>
      <c r="AB306" s="661"/>
      <c r="AC306" s="661"/>
      <c r="AD306" s="661"/>
      <c r="AE306" s="661"/>
      <c r="AF306" s="661"/>
      <c r="AG306" s="661"/>
      <c r="AH306" s="661"/>
      <c r="AI306" s="661"/>
      <c r="AJ306" s="661"/>
      <c r="AK306" s="661"/>
      <c r="AL306" s="661"/>
      <c r="AM306" s="661"/>
    </row>
    <row r="307">
      <c r="A307" s="1604">
        <v>46327.0</v>
      </c>
      <c r="B307" s="1605" t="s">
        <v>2810</v>
      </c>
      <c r="C307" s="1588"/>
      <c r="D307" s="1588"/>
      <c r="E307" s="1589"/>
      <c r="F307" s="1589"/>
      <c r="G307" s="1589"/>
      <c r="H307" s="661"/>
      <c r="I307" s="661"/>
      <c r="J307" s="661"/>
      <c r="K307" s="661"/>
      <c r="L307" s="661"/>
      <c r="M307" s="661"/>
      <c r="N307" s="661"/>
      <c r="O307" s="661"/>
      <c r="P307" s="661"/>
      <c r="Q307" s="661"/>
      <c r="R307" s="661"/>
      <c r="S307" s="661"/>
      <c r="T307" s="661"/>
      <c r="U307" s="661"/>
      <c r="V307" s="661"/>
      <c r="W307" s="661"/>
      <c r="X307" s="661"/>
      <c r="Y307" s="661"/>
      <c r="Z307" s="661"/>
      <c r="AA307" s="661"/>
      <c r="AB307" s="661"/>
      <c r="AC307" s="661"/>
      <c r="AD307" s="661"/>
      <c r="AE307" s="661"/>
      <c r="AF307" s="661"/>
      <c r="AG307" s="661"/>
      <c r="AH307" s="661"/>
      <c r="AI307" s="661"/>
      <c r="AJ307" s="661"/>
      <c r="AK307" s="661"/>
      <c r="AL307" s="661"/>
      <c r="AM307" s="661"/>
    </row>
    <row r="308">
      <c r="A308" s="1604">
        <v>46328.0</v>
      </c>
      <c r="B308" s="1605" t="s">
        <v>2810</v>
      </c>
      <c r="C308" s="1588"/>
      <c r="D308" s="1588"/>
      <c r="E308" s="1589"/>
      <c r="F308" s="1589"/>
      <c r="G308" s="1589"/>
      <c r="H308" s="661"/>
      <c r="I308" s="661"/>
      <c r="J308" s="661"/>
      <c r="K308" s="661"/>
      <c r="L308" s="661"/>
      <c r="M308" s="661"/>
      <c r="N308" s="661"/>
      <c r="O308" s="661"/>
      <c r="P308" s="661"/>
      <c r="Q308" s="661"/>
      <c r="R308" s="661"/>
      <c r="S308" s="661"/>
      <c r="T308" s="661"/>
      <c r="U308" s="661"/>
      <c r="V308" s="661"/>
      <c r="W308" s="661"/>
      <c r="X308" s="661"/>
      <c r="Y308" s="661"/>
      <c r="Z308" s="661"/>
      <c r="AA308" s="661"/>
      <c r="AB308" s="661"/>
      <c r="AC308" s="661"/>
      <c r="AD308" s="661"/>
      <c r="AE308" s="661"/>
      <c r="AF308" s="661"/>
      <c r="AG308" s="661"/>
      <c r="AH308" s="661"/>
      <c r="AI308" s="661"/>
      <c r="AJ308" s="661"/>
      <c r="AK308" s="661"/>
      <c r="AL308" s="661"/>
      <c r="AM308" s="661"/>
    </row>
    <row r="309">
      <c r="A309" s="1604">
        <v>46329.0</v>
      </c>
      <c r="B309" s="1605" t="s">
        <v>2810</v>
      </c>
      <c r="C309" s="1588"/>
      <c r="D309" s="1588"/>
      <c r="E309" s="1589"/>
      <c r="F309" s="1589"/>
      <c r="G309" s="1589"/>
      <c r="H309" s="661"/>
      <c r="I309" s="661"/>
      <c r="J309" s="661"/>
      <c r="K309" s="661"/>
      <c r="L309" s="661"/>
      <c r="M309" s="661"/>
      <c r="N309" s="661"/>
      <c r="O309" s="661"/>
      <c r="P309" s="661"/>
      <c r="Q309" s="661"/>
      <c r="R309" s="661"/>
      <c r="S309" s="661"/>
      <c r="T309" s="661"/>
      <c r="U309" s="661"/>
      <c r="V309" s="661"/>
      <c r="W309" s="661"/>
      <c r="X309" s="661"/>
      <c r="Y309" s="661"/>
      <c r="Z309" s="661"/>
      <c r="AA309" s="661"/>
      <c r="AB309" s="661"/>
      <c r="AC309" s="661"/>
      <c r="AD309" s="661"/>
      <c r="AE309" s="661"/>
      <c r="AF309" s="661"/>
      <c r="AG309" s="661"/>
      <c r="AH309" s="661"/>
      <c r="AI309" s="661"/>
      <c r="AJ309" s="661"/>
      <c r="AK309" s="661"/>
      <c r="AL309" s="661"/>
      <c r="AM309" s="661"/>
    </row>
    <row r="310">
      <c r="A310" s="1604">
        <v>46330.0</v>
      </c>
      <c r="B310" s="1605" t="s">
        <v>2810</v>
      </c>
      <c r="C310" s="1588"/>
      <c r="D310" s="1588"/>
      <c r="E310" s="1589"/>
      <c r="F310" s="1589"/>
      <c r="G310" s="1589"/>
      <c r="H310" s="661"/>
      <c r="I310" s="661"/>
      <c r="J310" s="661"/>
      <c r="K310" s="661"/>
      <c r="L310" s="661"/>
      <c r="M310" s="661"/>
      <c r="N310" s="661"/>
      <c r="O310" s="661"/>
      <c r="P310" s="661"/>
      <c r="Q310" s="661"/>
      <c r="R310" s="661"/>
      <c r="S310" s="661"/>
      <c r="T310" s="661"/>
      <c r="U310" s="661"/>
      <c r="V310" s="661"/>
      <c r="W310" s="661"/>
      <c r="X310" s="661"/>
      <c r="Y310" s="661"/>
      <c r="Z310" s="661"/>
      <c r="AA310" s="661"/>
      <c r="AB310" s="661"/>
      <c r="AC310" s="661"/>
      <c r="AD310" s="661"/>
      <c r="AE310" s="661"/>
      <c r="AF310" s="661"/>
      <c r="AG310" s="661"/>
      <c r="AH310" s="661"/>
      <c r="AI310" s="661"/>
      <c r="AJ310" s="661"/>
      <c r="AK310" s="661"/>
      <c r="AL310" s="661"/>
      <c r="AM310" s="661"/>
    </row>
    <row r="311">
      <c r="A311" s="1604">
        <v>46331.0</v>
      </c>
      <c r="B311" s="1605" t="s">
        <v>2810</v>
      </c>
      <c r="C311" s="1588"/>
      <c r="D311" s="1588"/>
      <c r="E311" s="1589"/>
      <c r="F311" s="1589"/>
      <c r="G311" s="1589"/>
      <c r="H311" s="661"/>
      <c r="I311" s="661"/>
      <c r="J311" s="661"/>
      <c r="K311" s="661"/>
      <c r="L311" s="661"/>
      <c r="M311" s="661"/>
      <c r="N311" s="661"/>
      <c r="O311" s="661"/>
      <c r="P311" s="661"/>
      <c r="Q311" s="661"/>
      <c r="R311" s="661"/>
      <c r="S311" s="661"/>
      <c r="T311" s="661"/>
      <c r="U311" s="661"/>
      <c r="V311" s="661"/>
      <c r="W311" s="661"/>
      <c r="X311" s="661"/>
      <c r="Y311" s="661"/>
      <c r="Z311" s="661"/>
      <c r="AA311" s="661"/>
      <c r="AB311" s="661"/>
      <c r="AC311" s="661"/>
      <c r="AD311" s="661"/>
      <c r="AE311" s="661"/>
      <c r="AF311" s="661"/>
      <c r="AG311" s="661"/>
      <c r="AH311" s="661"/>
      <c r="AI311" s="661"/>
      <c r="AJ311" s="661"/>
      <c r="AK311" s="661"/>
      <c r="AL311" s="661"/>
      <c r="AM311" s="661"/>
    </row>
    <row r="312">
      <c r="A312" s="1604">
        <v>46332.0</v>
      </c>
      <c r="B312" s="1605" t="s">
        <v>2810</v>
      </c>
      <c r="C312" s="1588"/>
      <c r="D312" s="1588"/>
      <c r="E312" s="1589"/>
      <c r="F312" s="1589"/>
      <c r="G312" s="1589"/>
      <c r="H312" s="661"/>
      <c r="I312" s="661"/>
      <c r="J312" s="661"/>
      <c r="K312" s="661"/>
      <c r="L312" s="661"/>
      <c r="M312" s="661"/>
      <c r="N312" s="661"/>
      <c r="O312" s="661"/>
      <c r="P312" s="661"/>
      <c r="Q312" s="661"/>
      <c r="R312" s="661"/>
      <c r="S312" s="661"/>
      <c r="T312" s="661"/>
      <c r="U312" s="661"/>
      <c r="V312" s="661"/>
      <c r="W312" s="661"/>
      <c r="X312" s="661"/>
      <c r="Y312" s="661"/>
      <c r="Z312" s="661"/>
      <c r="AA312" s="661"/>
      <c r="AB312" s="661"/>
      <c r="AC312" s="661"/>
      <c r="AD312" s="661"/>
      <c r="AE312" s="661"/>
      <c r="AF312" s="661"/>
      <c r="AG312" s="661"/>
      <c r="AH312" s="661"/>
      <c r="AI312" s="661"/>
      <c r="AJ312" s="661"/>
      <c r="AK312" s="661"/>
      <c r="AL312" s="661"/>
      <c r="AM312" s="661"/>
    </row>
    <row r="313">
      <c r="A313" s="1604">
        <v>46333.0</v>
      </c>
      <c r="B313" s="1605" t="s">
        <v>2810</v>
      </c>
      <c r="C313" s="1588"/>
      <c r="D313" s="1588"/>
      <c r="E313" s="1589"/>
      <c r="F313" s="1589"/>
      <c r="G313" s="1589"/>
      <c r="H313" s="661"/>
      <c r="I313" s="661"/>
      <c r="J313" s="661"/>
      <c r="K313" s="661"/>
      <c r="L313" s="661"/>
      <c r="M313" s="661"/>
      <c r="N313" s="661"/>
      <c r="O313" s="661"/>
      <c r="P313" s="661"/>
      <c r="Q313" s="661"/>
      <c r="R313" s="661"/>
      <c r="S313" s="661"/>
      <c r="T313" s="661"/>
      <c r="U313" s="661"/>
      <c r="V313" s="661"/>
      <c r="W313" s="661"/>
      <c r="X313" s="661"/>
      <c r="Y313" s="661"/>
      <c r="Z313" s="661"/>
      <c r="AA313" s="661"/>
      <c r="AB313" s="661"/>
      <c r="AC313" s="661"/>
      <c r="AD313" s="661"/>
      <c r="AE313" s="661"/>
      <c r="AF313" s="661"/>
      <c r="AG313" s="661"/>
      <c r="AH313" s="661"/>
      <c r="AI313" s="661"/>
      <c r="AJ313" s="661"/>
      <c r="AK313" s="661"/>
      <c r="AL313" s="661"/>
      <c r="AM313" s="661"/>
    </row>
    <row r="314">
      <c r="A314" s="1604">
        <v>46334.0</v>
      </c>
      <c r="B314" s="1605" t="s">
        <v>2810</v>
      </c>
      <c r="C314" s="1588"/>
      <c r="D314" s="1588"/>
      <c r="E314" s="1589"/>
      <c r="F314" s="1589"/>
      <c r="G314" s="1589"/>
      <c r="H314" s="661"/>
      <c r="I314" s="661"/>
      <c r="J314" s="661"/>
      <c r="K314" s="661"/>
      <c r="L314" s="661"/>
      <c r="M314" s="661"/>
      <c r="N314" s="661"/>
      <c r="O314" s="661"/>
      <c r="P314" s="661"/>
      <c r="Q314" s="661"/>
      <c r="R314" s="661"/>
      <c r="S314" s="661"/>
      <c r="T314" s="661"/>
      <c r="U314" s="661"/>
      <c r="V314" s="661"/>
      <c r="W314" s="661"/>
      <c r="X314" s="661"/>
      <c r="Y314" s="661"/>
      <c r="Z314" s="661"/>
      <c r="AA314" s="661"/>
      <c r="AB314" s="661"/>
      <c r="AC314" s="661"/>
      <c r="AD314" s="661"/>
      <c r="AE314" s="661"/>
      <c r="AF314" s="661"/>
      <c r="AG314" s="661"/>
      <c r="AH314" s="661"/>
      <c r="AI314" s="661"/>
      <c r="AJ314" s="661"/>
      <c r="AK314" s="661"/>
      <c r="AL314" s="661"/>
      <c r="AM314" s="661"/>
    </row>
    <row r="315">
      <c r="A315" s="1604">
        <v>46335.0</v>
      </c>
      <c r="B315" s="1605" t="s">
        <v>2810</v>
      </c>
      <c r="C315" s="1588"/>
      <c r="D315" s="1588"/>
      <c r="E315" s="1589"/>
      <c r="F315" s="1589"/>
      <c r="G315" s="1589"/>
      <c r="H315" s="661"/>
      <c r="I315" s="661"/>
      <c r="J315" s="661"/>
      <c r="K315" s="661"/>
      <c r="L315" s="661"/>
      <c r="M315" s="661"/>
      <c r="N315" s="661"/>
      <c r="O315" s="661"/>
      <c r="P315" s="661"/>
      <c r="Q315" s="661"/>
      <c r="R315" s="661"/>
      <c r="S315" s="661"/>
      <c r="T315" s="661"/>
      <c r="U315" s="661"/>
      <c r="V315" s="661"/>
      <c r="W315" s="661"/>
      <c r="X315" s="661"/>
      <c r="Y315" s="661"/>
      <c r="Z315" s="661"/>
      <c r="AA315" s="661"/>
      <c r="AB315" s="661"/>
      <c r="AC315" s="661"/>
      <c r="AD315" s="661"/>
      <c r="AE315" s="661"/>
      <c r="AF315" s="661"/>
      <c r="AG315" s="661"/>
      <c r="AH315" s="661"/>
      <c r="AI315" s="661"/>
      <c r="AJ315" s="661"/>
      <c r="AK315" s="661"/>
      <c r="AL315" s="661"/>
      <c r="AM315" s="661"/>
    </row>
    <row r="316">
      <c r="A316" s="1604">
        <v>46336.0</v>
      </c>
      <c r="B316" s="1605" t="s">
        <v>2810</v>
      </c>
      <c r="C316" s="1588"/>
      <c r="D316" s="1588"/>
      <c r="E316" s="1589"/>
      <c r="F316" s="1589"/>
      <c r="G316" s="1589"/>
      <c r="H316" s="661"/>
      <c r="I316" s="661"/>
      <c r="J316" s="661"/>
      <c r="K316" s="661"/>
      <c r="L316" s="661"/>
      <c r="M316" s="661"/>
      <c r="N316" s="661"/>
      <c r="O316" s="661"/>
      <c r="P316" s="661"/>
      <c r="Q316" s="661"/>
      <c r="R316" s="661"/>
      <c r="S316" s="661"/>
      <c r="T316" s="661"/>
      <c r="U316" s="661"/>
      <c r="V316" s="661"/>
      <c r="W316" s="661"/>
      <c r="X316" s="661"/>
      <c r="Y316" s="661"/>
      <c r="Z316" s="661"/>
      <c r="AA316" s="661"/>
      <c r="AB316" s="661"/>
      <c r="AC316" s="661"/>
      <c r="AD316" s="661"/>
      <c r="AE316" s="661"/>
      <c r="AF316" s="661"/>
      <c r="AG316" s="661"/>
      <c r="AH316" s="661"/>
      <c r="AI316" s="661"/>
      <c r="AJ316" s="661"/>
      <c r="AK316" s="661"/>
      <c r="AL316" s="661"/>
      <c r="AM316" s="661"/>
    </row>
    <row r="317">
      <c r="A317" s="1604">
        <v>46337.0</v>
      </c>
      <c r="B317" s="1605" t="s">
        <v>2810</v>
      </c>
      <c r="C317" s="1588"/>
      <c r="D317" s="1588"/>
      <c r="E317" s="1589"/>
      <c r="F317" s="1589"/>
      <c r="G317" s="1589"/>
      <c r="H317" s="661"/>
      <c r="I317" s="661"/>
      <c r="J317" s="661"/>
      <c r="K317" s="661"/>
      <c r="L317" s="661"/>
      <c r="M317" s="661"/>
      <c r="N317" s="661"/>
      <c r="O317" s="661"/>
      <c r="P317" s="661"/>
      <c r="Q317" s="661"/>
      <c r="R317" s="661"/>
      <c r="S317" s="661"/>
      <c r="T317" s="661"/>
      <c r="U317" s="661"/>
      <c r="V317" s="661"/>
      <c r="W317" s="661"/>
      <c r="X317" s="661"/>
      <c r="Y317" s="661"/>
      <c r="Z317" s="661"/>
      <c r="AA317" s="661"/>
      <c r="AB317" s="661"/>
      <c r="AC317" s="661"/>
      <c r="AD317" s="661"/>
      <c r="AE317" s="661"/>
      <c r="AF317" s="661"/>
      <c r="AG317" s="661"/>
      <c r="AH317" s="661"/>
      <c r="AI317" s="661"/>
      <c r="AJ317" s="661"/>
      <c r="AK317" s="661"/>
      <c r="AL317" s="661"/>
      <c r="AM317" s="661"/>
    </row>
    <row r="318">
      <c r="A318" s="1604">
        <v>46338.0</v>
      </c>
      <c r="B318" s="1605" t="s">
        <v>2810</v>
      </c>
      <c r="C318" s="1588"/>
      <c r="D318" s="1588"/>
      <c r="E318" s="1589"/>
      <c r="F318" s="1589"/>
      <c r="G318" s="1589"/>
      <c r="H318" s="661"/>
      <c r="I318" s="661"/>
      <c r="J318" s="661"/>
      <c r="K318" s="661"/>
      <c r="L318" s="661"/>
      <c r="M318" s="661"/>
      <c r="N318" s="661"/>
      <c r="O318" s="661"/>
      <c r="P318" s="661"/>
      <c r="Q318" s="661"/>
      <c r="R318" s="661"/>
      <c r="S318" s="661"/>
      <c r="T318" s="661"/>
      <c r="U318" s="661"/>
      <c r="V318" s="661"/>
      <c r="W318" s="661"/>
      <c r="X318" s="661"/>
      <c r="Y318" s="661"/>
      <c r="Z318" s="661"/>
      <c r="AA318" s="661"/>
      <c r="AB318" s="661"/>
      <c r="AC318" s="661"/>
      <c r="AD318" s="661"/>
      <c r="AE318" s="661"/>
      <c r="AF318" s="661"/>
      <c r="AG318" s="661"/>
      <c r="AH318" s="661"/>
      <c r="AI318" s="661"/>
      <c r="AJ318" s="661"/>
      <c r="AK318" s="661"/>
      <c r="AL318" s="661"/>
      <c r="AM318" s="661"/>
    </row>
    <row r="319">
      <c r="A319" s="1604">
        <v>46339.0</v>
      </c>
      <c r="B319" s="1605" t="s">
        <v>2810</v>
      </c>
      <c r="C319" s="1588"/>
      <c r="D319" s="1588"/>
      <c r="E319" s="1589"/>
      <c r="F319" s="1589"/>
      <c r="G319" s="1589"/>
      <c r="H319" s="661"/>
      <c r="I319" s="661"/>
      <c r="J319" s="661"/>
      <c r="K319" s="661"/>
      <c r="L319" s="661"/>
      <c r="M319" s="661"/>
      <c r="N319" s="661"/>
      <c r="O319" s="661"/>
      <c r="P319" s="661"/>
      <c r="Q319" s="661"/>
      <c r="R319" s="661"/>
      <c r="S319" s="661"/>
      <c r="T319" s="661"/>
      <c r="U319" s="661"/>
      <c r="V319" s="661"/>
      <c r="W319" s="661"/>
      <c r="X319" s="661"/>
      <c r="Y319" s="661"/>
      <c r="Z319" s="661"/>
      <c r="AA319" s="661"/>
      <c r="AB319" s="661"/>
      <c r="AC319" s="661"/>
      <c r="AD319" s="661"/>
      <c r="AE319" s="661"/>
      <c r="AF319" s="661"/>
      <c r="AG319" s="661"/>
      <c r="AH319" s="661"/>
      <c r="AI319" s="661"/>
      <c r="AJ319" s="661"/>
      <c r="AK319" s="661"/>
      <c r="AL319" s="661"/>
      <c r="AM319" s="661"/>
    </row>
    <row r="320">
      <c r="A320" s="1604">
        <v>46340.0</v>
      </c>
      <c r="B320" s="1605" t="s">
        <v>2810</v>
      </c>
      <c r="C320" s="1588"/>
      <c r="D320" s="1588"/>
      <c r="E320" s="1589"/>
      <c r="F320" s="1589"/>
      <c r="G320" s="1589"/>
      <c r="H320" s="661"/>
      <c r="I320" s="661"/>
      <c r="J320" s="661"/>
      <c r="K320" s="661"/>
      <c r="L320" s="661"/>
      <c r="M320" s="661"/>
      <c r="N320" s="661"/>
      <c r="O320" s="661"/>
      <c r="P320" s="661"/>
      <c r="Q320" s="661"/>
      <c r="R320" s="661"/>
      <c r="S320" s="661"/>
      <c r="T320" s="661"/>
      <c r="U320" s="661"/>
      <c r="V320" s="661"/>
      <c r="W320" s="661"/>
      <c r="X320" s="661"/>
      <c r="Y320" s="661"/>
      <c r="Z320" s="661"/>
      <c r="AA320" s="661"/>
      <c r="AB320" s="661"/>
      <c r="AC320" s="661"/>
      <c r="AD320" s="661"/>
      <c r="AE320" s="661"/>
      <c r="AF320" s="661"/>
      <c r="AG320" s="661"/>
      <c r="AH320" s="661"/>
      <c r="AI320" s="661"/>
      <c r="AJ320" s="661"/>
      <c r="AK320" s="661"/>
      <c r="AL320" s="661"/>
      <c r="AM320" s="661"/>
    </row>
    <row r="321">
      <c r="A321" s="1604">
        <v>46341.0</v>
      </c>
      <c r="B321" s="1605" t="s">
        <v>2810</v>
      </c>
      <c r="C321" s="1588"/>
      <c r="D321" s="1588"/>
      <c r="E321" s="1589"/>
      <c r="F321" s="1589"/>
      <c r="G321" s="1589"/>
      <c r="H321" s="661"/>
      <c r="I321" s="661"/>
      <c r="J321" s="661"/>
      <c r="K321" s="661"/>
      <c r="L321" s="661"/>
      <c r="M321" s="661"/>
      <c r="N321" s="661"/>
      <c r="O321" s="661"/>
      <c r="P321" s="661"/>
      <c r="Q321" s="661"/>
      <c r="R321" s="661"/>
      <c r="S321" s="661"/>
      <c r="T321" s="661"/>
      <c r="U321" s="661"/>
      <c r="V321" s="661"/>
      <c r="W321" s="661"/>
      <c r="X321" s="661"/>
      <c r="Y321" s="661"/>
      <c r="Z321" s="661"/>
      <c r="AA321" s="661"/>
      <c r="AB321" s="661"/>
      <c r="AC321" s="661"/>
      <c r="AD321" s="661"/>
      <c r="AE321" s="661"/>
      <c r="AF321" s="661"/>
      <c r="AG321" s="661"/>
      <c r="AH321" s="661"/>
      <c r="AI321" s="661"/>
      <c r="AJ321" s="661"/>
      <c r="AK321" s="661"/>
      <c r="AL321" s="661"/>
      <c r="AM321" s="661"/>
    </row>
    <row r="322">
      <c r="A322" s="1604">
        <v>46342.0</v>
      </c>
      <c r="B322" s="1605" t="s">
        <v>2810</v>
      </c>
      <c r="C322" s="1588"/>
      <c r="D322" s="1588"/>
      <c r="E322" s="1589"/>
      <c r="F322" s="1589"/>
      <c r="G322" s="1589"/>
      <c r="H322" s="661"/>
      <c r="I322" s="661"/>
      <c r="J322" s="661"/>
      <c r="K322" s="661"/>
      <c r="L322" s="661"/>
      <c r="M322" s="661"/>
      <c r="N322" s="661"/>
      <c r="O322" s="661"/>
      <c r="P322" s="661"/>
      <c r="Q322" s="661"/>
      <c r="R322" s="661"/>
      <c r="S322" s="661"/>
      <c r="T322" s="661"/>
      <c r="U322" s="661"/>
      <c r="V322" s="661"/>
      <c r="W322" s="661"/>
      <c r="X322" s="661"/>
      <c r="Y322" s="661"/>
      <c r="Z322" s="661"/>
      <c r="AA322" s="661"/>
      <c r="AB322" s="661"/>
      <c r="AC322" s="661"/>
      <c r="AD322" s="661"/>
      <c r="AE322" s="661"/>
      <c r="AF322" s="661"/>
      <c r="AG322" s="661"/>
      <c r="AH322" s="661"/>
      <c r="AI322" s="661"/>
      <c r="AJ322" s="661"/>
      <c r="AK322" s="661"/>
      <c r="AL322" s="661"/>
      <c r="AM322" s="661"/>
    </row>
    <row r="323">
      <c r="A323" s="1604">
        <v>46343.0</v>
      </c>
      <c r="B323" s="1605" t="s">
        <v>2810</v>
      </c>
      <c r="C323" s="1588"/>
      <c r="D323" s="1588"/>
      <c r="E323" s="1589"/>
      <c r="F323" s="1589"/>
      <c r="G323" s="1589"/>
      <c r="H323" s="661"/>
      <c r="I323" s="661"/>
      <c r="J323" s="661"/>
      <c r="K323" s="661"/>
      <c r="L323" s="661"/>
      <c r="M323" s="661"/>
      <c r="N323" s="661"/>
      <c r="O323" s="661"/>
      <c r="P323" s="661"/>
      <c r="Q323" s="661"/>
      <c r="R323" s="661"/>
      <c r="S323" s="661"/>
      <c r="T323" s="661"/>
      <c r="U323" s="661"/>
      <c r="V323" s="661"/>
      <c r="W323" s="661"/>
      <c r="X323" s="661"/>
      <c r="Y323" s="661"/>
      <c r="Z323" s="661"/>
      <c r="AA323" s="661"/>
      <c r="AB323" s="661"/>
      <c r="AC323" s="661"/>
      <c r="AD323" s="661"/>
      <c r="AE323" s="661"/>
      <c r="AF323" s="661"/>
      <c r="AG323" s="661"/>
      <c r="AH323" s="661"/>
      <c r="AI323" s="661"/>
      <c r="AJ323" s="661"/>
      <c r="AK323" s="661"/>
      <c r="AL323" s="661"/>
      <c r="AM323" s="661"/>
    </row>
    <row r="324">
      <c r="A324" s="1604">
        <v>46344.0</v>
      </c>
      <c r="B324" s="1605" t="s">
        <v>2810</v>
      </c>
      <c r="C324" s="1588"/>
      <c r="D324" s="1588"/>
      <c r="E324" s="1589"/>
      <c r="F324" s="1589"/>
      <c r="G324" s="1589"/>
      <c r="H324" s="661"/>
      <c r="I324" s="661"/>
      <c r="J324" s="661"/>
      <c r="K324" s="661"/>
      <c r="L324" s="661"/>
      <c r="M324" s="661"/>
      <c r="N324" s="661"/>
      <c r="O324" s="661"/>
      <c r="P324" s="661"/>
      <c r="Q324" s="661"/>
      <c r="R324" s="661"/>
      <c r="S324" s="661"/>
      <c r="T324" s="661"/>
      <c r="U324" s="661"/>
      <c r="V324" s="661"/>
      <c r="W324" s="661"/>
      <c r="X324" s="661"/>
      <c r="Y324" s="661"/>
      <c r="Z324" s="661"/>
      <c r="AA324" s="661"/>
      <c r="AB324" s="661"/>
      <c r="AC324" s="661"/>
      <c r="AD324" s="661"/>
      <c r="AE324" s="661"/>
      <c r="AF324" s="661"/>
      <c r="AG324" s="661"/>
      <c r="AH324" s="661"/>
      <c r="AI324" s="661"/>
      <c r="AJ324" s="661"/>
      <c r="AK324" s="661"/>
      <c r="AL324" s="661"/>
      <c r="AM324" s="661"/>
    </row>
    <row r="325">
      <c r="A325" s="1604">
        <v>46345.0</v>
      </c>
      <c r="B325" s="1605" t="s">
        <v>2810</v>
      </c>
      <c r="C325" s="1588"/>
      <c r="D325" s="1588"/>
      <c r="E325" s="1589"/>
      <c r="F325" s="1589"/>
      <c r="G325" s="1589"/>
      <c r="H325" s="661"/>
      <c r="I325" s="661"/>
      <c r="J325" s="661"/>
      <c r="K325" s="661"/>
      <c r="L325" s="661"/>
      <c r="M325" s="661"/>
      <c r="N325" s="661"/>
      <c r="O325" s="661"/>
      <c r="P325" s="661"/>
      <c r="Q325" s="661"/>
      <c r="R325" s="661"/>
      <c r="S325" s="661"/>
      <c r="T325" s="661"/>
      <c r="U325" s="661"/>
      <c r="V325" s="661"/>
      <c r="W325" s="661"/>
      <c r="X325" s="661"/>
      <c r="Y325" s="661"/>
      <c r="Z325" s="661"/>
      <c r="AA325" s="661"/>
      <c r="AB325" s="661"/>
      <c r="AC325" s="661"/>
      <c r="AD325" s="661"/>
      <c r="AE325" s="661"/>
      <c r="AF325" s="661"/>
      <c r="AG325" s="661"/>
      <c r="AH325" s="661"/>
      <c r="AI325" s="661"/>
      <c r="AJ325" s="661"/>
      <c r="AK325" s="661"/>
      <c r="AL325" s="661"/>
      <c r="AM325" s="661"/>
    </row>
    <row r="326">
      <c r="A326" s="1604">
        <v>46346.0</v>
      </c>
      <c r="B326" s="1605" t="s">
        <v>2810</v>
      </c>
      <c r="C326" s="1588"/>
      <c r="D326" s="1588"/>
      <c r="E326" s="1589"/>
      <c r="F326" s="1589"/>
      <c r="G326" s="1589"/>
      <c r="H326" s="661"/>
      <c r="I326" s="661"/>
      <c r="J326" s="661"/>
      <c r="K326" s="661"/>
      <c r="L326" s="661"/>
      <c r="M326" s="661"/>
      <c r="N326" s="661"/>
      <c r="O326" s="661"/>
      <c r="P326" s="661"/>
      <c r="Q326" s="661"/>
      <c r="R326" s="661"/>
      <c r="S326" s="661"/>
      <c r="T326" s="661"/>
      <c r="U326" s="661"/>
      <c r="V326" s="661"/>
      <c r="W326" s="661"/>
      <c r="X326" s="661"/>
      <c r="Y326" s="661"/>
      <c r="Z326" s="661"/>
      <c r="AA326" s="661"/>
      <c r="AB326" s="661"/>
      <c r="AC326" s="661"/>
      <c r="AD326" s="661"/>
      <c r="AE326" s="661"/>
      <c r="AF326" s="661"/>
      <c r="AG326" s="661"/>
      <c r="AH326" s="661"/>
      <c r="AI326" s="661"/>
      <c r="AJ326" s="661"/>
      <c r="AK326" s="661"/>
      <c r="AL326" s="661"/>
      <c r="AM326" s="661"/>
    </row>
    <row r="327">
      <c r="A327" s="1604">
        <v>46347.0</v>
      </c>
      <c r="B327" s="1605" t="s">
        <v>2810</v>
      </c>
      <c r="C327" s="1588"/>
      <c r="D327" s="1588"/>
      <c r="E327" s="1589"/>
      <c r="F327" s="1589"/>
      <c r="G327" s="1589"/>
      <c r="H327" s="661"/>
      <c r="I327" s="661"/>
      <c r="J327" s="661"/>
      <c r="K327" s="661"/>
      <c r="L327" s="661"/>
      <c r="M327" s="661"/>
      <c r="N327" s="661"/>
      <c r="O327" s="661"/>
      <c r="P327" s="661"/>
      <c r="Q327" s="661"/>
      <c r="R327" s="661"/>
      <c r="S327" s="661"/>
      <c r="T327" s="661"/>
      <c r="U327" s="661"/>
      <c r="V327" s="661"/>
      <c r="W327" s="661"/>
      <c r="X327" s="661"/>
      <c r="Y327" s="661"/>
      <c r="Z327" s="661"/>
      <c r="AA327" s="661"/>
      <c r="AB327" s="661"/>
      <c r="AC327" s="661"/>
      <c r="AD327" s="661"/>
      <c r="AE327" s="661"/>
      <c r="AF327" s="661"/>
      <c r="AG327" s="661"/>
      <c r="AH327" s="661"/>
      <c r="AI327" s="661"/>
      <c r="AJ327" s="661"/>
      <c r="AK327" s="661"/>
      <c r="AL327" s="661"/>
      <c r="AM327" s="661"/>
    </row>
    <row r="328">
      <c r="A328" s="1604">
        <v>46348.0</v>
      </c>
      <c r="B328" s="1605" t="s">
        <v>2810</v>
      </c>
      <c r="C328" s="1588"/>
      <c r="D328" s="1588"/>
      <c r="E328" s="1589"/>
      <c r="F328" s="1589"/>
      <c r="G328" s="1589"/>
      <c r="H328" s="661"/>
      <c r="I328" s="661"/>
      <c r="J328" s="661"/>
      <c r="K328" s="661"/>
      <c r="L328" s="661"/>
      <c r="M328" s="661"/>
      <c r="N328" s="661"/>
      <c r="O328" s="661"/>
      <c r="P328" s="661"/>
      <c r="Q328" s="661"/>
      <c r="R328" s="661"/>
      <c r="S328" s="661"/>
      <c r="T328" s="661"/>
      <c r="U328" s="661"/>
      <c r="V328" s="661"/>
      <c r="W328" s="661"/>
      <c r="X328" s="661"/>
      <c r="Y328" s="661"/>
      <c r="Z328" s="661"/>
      <c r="AA328" s="661"/>
      <c r="AB328" s="661"/>
      <c r="AC328" s="661"/>
      <c r="AD328" s="661"/>
      <c r="AE328" s="661"/>
      <c r="AF328" s="661"/>
      <c r="AG328" s="661"/>
      <c r="AH328" s="661"/>
      <c r="AI328" s="661"/>
      <c r="AJ328" s="661"/>
      <c r="AK328" s="661"/>
      <c r="AL328" s="661"/>
      <c r="AM328" s="661"/>
    </row>
    <row r="329">
      <c r="A329" s="1604">
        <v>46349.0</v>
      </c>
      <c r="B329" s="1605" t="s">
        <v>2810</v>
      </c>
      <c r="C329" s="1588"/>
      <c r="D329" s="1588"/>
      <c r="E329" s="1589"/>
      <c r="F329" s="1589"/>
      <c r="G329" s="1589"/>
      <c r="H329" s="661"/>
      <c r="I329" s="661"/>
      <c r="J329" s="661"/>
      <c r="K329" s="661"/>
      <c r="L329" s="661"/>
      <c r="M329" s="661"/>
      <c r="N329" s="661"/>
      <c r="O329" s="661"/>
      <c r="P329" s="661"/>
      <c r="Q329" s="661"/>
      <c r="R329" s="661"/>
      <c r="S329" s="661"/>
      <c r="T329" s="661"/>
      <c r="U329" s="661"/>
      <c r="V329" s="661"/>
      <c r="W329" s="661"/>
      <c r="X329" s="661"/>
      <c r="Y329" s="661"/>
      <c r="Z329" s="661"/>
      <c r="AA329" s="661"/>
      <c r="AB329" s="661"/>
      <c r="AC329" s="661"/>
      <c r="AD329" s="661"/>
      <c r="AE329" s="661"/>
      <c r="AF329" s="661"/>
      <c r="AG329" s="661"/>
      <c r="AH329" s="661"/>
      <c r="AI329" s="661"/>
      <c r="AJ329" s="661"/>
      <c r="AK329" s="661"/>
      <c r="AL329" s="661"/>
      <c r="AM329" s="661"/>
    </row>
    <row r="330">
      <c r="A330" s="1604">
        <v>46350.0</v>
      </c>
      <c r="B330" s="1605" t="s">
        <v>2810</v>
      </c>
      <c r="C330" s="1588"/>
      <c r="D330" s="1588"/>
      <c r="E330" s="1589"/>
      <c r="F330" s="1589"/>
      <c r="G330" s="1589"/>
      <c r="H330" s="661"/>
      <c r="I330" s="661"/>
      <c r="J330" s="661"/>
      <c r="K330" s="661"/>
      <c r="L330" s="661"/>
      <c r="M330" s="661"/>
      <c r="N330" s="661"/>
      <c r="O330" s="661"/>
      <c r="P330" s="661"/>
      <c r="Q330" s="661"/>
      <c r="R330" s="661"/>
      <c r="S330" s="661"/>
      <c r="T330" s="661"/>
      <c r="U330" s="661"/>
      <c r="V330" s="661"/>
      <c r="W330" s="661"/>
      <c r="X330" s="661"/>
      <c r="Y330" s="661"/>
      <c r="Z330" s="661"/>
      <c r="AA330" s="661"/>
      <c r="AB330" s="661"/>
      <c r="AC330" s="661"/>
      <c r="AD330" s="661"/>
      <c r="AE330" s="661"/>
      <c r="AF330" s="661"/>
      <c r="AG330" s="661"/>
      <c r="AH330" s="661"/>
      <c r="AI330" s="661"/>
      <c r="AJ330" s="661"/>
      <c r="AK330" s="661"/>
      <c r="AL330" s="661"/>
      <c r="AM330" s="661"/>
    </row>
    <row r="331">
      <c r="A331" s="1604">
        <v>46351.0</v>
      </c>
      <c r="B331" s="1605" t="s">
        <v>2810</v>
      </c>
      <c r="C331" s="1588"/>
      <c r="D331" s="1588"/>
      <c r="E331" s="1589"/>
      <c r="F331" s="1589"/>
      <c r="G331" s="1589"/>
      <c r="H331" s="661"/>
      <c r="I331" s="661"/>
      <c r="J331" s="661"/>
      <c r="K331" s="661"/>
      <c r="L331" s="661"/>
      <c r="M331" s="661"/>
      <c r="N331" s="661"/>
      <c r="O331" s="661"/>
      <c r="P331" s="661"/>
      <c r="Q331" s="661"/>
      <c r="R331" s="661"/>
      <c r="S331" s="661"/>
      <c r="T331" s="661"/>
      <c r="U331" s="661"/>
      <c r="V331" s="661"/>
      <c r="W331" s="661"/>
      <c r="X331" s="661"/>
      <c r="Y331" s="661"/>
      <c r="Z331" s="661"/>
      <c r="AA331" s="661"/>
      <c r="AB331" s="661"/>
      <c r="AC331" s="661"/>
      <c r="AD331" s="661"/>
      <c r="AE331" s="661"/>
      <c r="AF331" s="661"/>
      <c r="AG331" s="661"/>
      <c r="AH331" s="661"/>
      <c r="AI331" s="661"/>
      <c r="AJ331" s="661"/>
      <c r="AK331" s="661"/>
      <c r="AL331" s="661"/>
      <c r="AM331" s="661"/>
    </row>
    <row r="332">
      <c r="A332" s="1604">
        <v>46352.0</v>
      </c>
      <c r="B332" s="1605" t="s">
        <v>2810</v>
      </c>
      <c r="C332" s="1588"/>
      <c r="D332" s="1588"/>
      <c r="E332" s="1589"/>
      <c r="F332" s="1589"/>
      <c r="G332" s="1589"/>
      <c r="H332" s="661"/>
      <c r="I332" s="661"/>
      <c r="J332" s="661"/>
      <c r="K332" s="661"/>
      <c r="L332" s="661"/>
      <c r="M332" s="661"/>
      <c r="N332" s="661"/>
      <c r="O332" s="661"/>
      <c r="P332" s="661"/>
      <c r="Q332" s="661"/>
      <c r="R332" s="661"/>
      <c r="S332" s="661"/>
      <c r="T332" s="661"/>
      <c r="U332" s="661"/>
      <c r="V332" s="661"/>
      <c r="W332" s="661"/>
      <c r="X332" s="661"/>
      <c r="Y332" s="661"/>
      <c r="Z332" s="661"/>
      <c r="AA332" s="661"/>
      <c r="AB332" s="661"/>
      <c r="AC332" s="661"/>
      <c r="AD332" s="661"/>
      <c r="AE332" s="661"/>
      <c r="AF332" s="661"/>
      <c r="AG332" s="661"/>
      <c r="AH332" s="661"/>
      <c r="AI332" s="661"/>
      <c r="AJ332" s="661"/>
      <c r="AK332" s="661"/>
      <c r="AL332" s="661"/>
      <c r="AM332" s="661"/>
    </row>
    <row r="333">
      <c r="A333" s="1604">
        <v>46353.0</v>
      </c>
      <c r="B333" s="1605" t="s">
        <v>2810</v>
      </c>
      <c r="C333" s="1588"/>
      <c r="D333" s="1588"/>
      <c r="E333" s="1589"/>
      <c r="F333" s="1589"/>
      <c r="G333" s="1589"/>
      <c r="H333" s="661"/>
      <c r="I333" s="661"/>
      <c r="J333" s="661"/>
      <c r="K333" s="661"/>
      <c r="L333" s="661"/>
      <c r="M333" s="661"/>
      <c r="N333" s="661"/>
      <c r="O333" s="661"/>
      <c r="P333" s="661"/>
      <c r="Q333" s="661"/>
      <c r="R333" s="661"/>
      <c r="S333" s="661"/>
      <c r="T333" s="661"/>
      <c r="U333" s="661"/>
      <c r="V333" s="661"/>
      <c r="W333" s="661"/>
      <c r="X333" s="661"/>
      <c r="Y333" s="661"/>
      <c r="Z333" s="661"/>
      <c r="AA333" s="661"/>
      <c r="AB333" s="661"/>
      <c r="AC333" s="661"/>
      <c r="AD333" s="661"/>
      <c r="AE333" s="661"/>
      <c r="AF333" s="661"/>
      <c r="AG333" s="661"/>
      <c r="AH333" s="661"/>
      <c r="AI333" s="661"/>
      <c r="AJ333" s="661"/>
      <c r="AK333" s="661"/>
      <c r="AL333" s="661"/>
      <c r="AM333" s="661"/>
    </row>
    <row r="334">
      <c r="A334" s="1604">
        <v>46354.0</v>
      </c>
      <c r="B334" s="1605" t="s">
        <v>2810</v>
      </c>
      <c r="C334" s="1588"/>
      <c r="D334" s="1588"/>
      <c r="E334" s="1589"/>
      <c r="F334" s="1589"/>
      <c r="G334" s="1589"/>
      <c r="H334" s="661"/>
      <c r="I334" s="661"/>
      <c r="J334" s="661"/>
      <c r="K334" s="661"/>
      <c r="L334" s="661"/>
      <c r="M334" s="661"/>
      <c r="N334" s="661"/>
      <c r="O334" s="661"/>
      <c r="P334" s="661"/>
      <c r="Q334" s="661"/>
      <c r="R334" s="661"/>
      <c r="S334" s="661"/>
      <c r="T334" s="661"/>
      <c r="U334" s="661"/>
      <c r="V334" s="661"/>
      <c r="W334" s="661"/>
      <c r="X334" s="661"/>
      <c r="Y334" s="661"/>
      <c r="Z334" s="661"/>
      <c r="AA334" s="661"/>
      <c r="AB334" s="661"/>
      <c r="AC334" s="661"/>
      <c r="AD334" s="661"/>
      <c r="AE334" s="661"/>
      <c r="AF334" s="661"/>
      <c r="AG334" s="661"/>
      <c r="AH334" s="661"/>
      <c r="AI334" s="661"/>
      <c r="AJ334" s="661"/>
      <c r="AK334" s="661"/>
      <c r="AL334" s="661"/>
      <c r="AM334" s="661"/>
    </row>
    <row r="335">
      <c r="A335" s="1604">
        <v>46355.0</v>
      </c>
      <c r="B335" s="1605" t="s">
        <v>2810</v>
      </c>
      <c r="C335" s="1588"/>
      <c r="D335" s="1588"/>
      <c r="E335" s="1589"/>
      <c r="F335" s="1589"/>
      <c r="G335" s="1589"/>
      <c r="H335" s="661"/>
      <c r="I335" s="661"/>
      <c r="J335" s="661"/>
      <c r="K335" s="661"/>
      <c r="L335" s="661"/>
      <c r="M335" s="661"/>
      <c r="N335" s="661"/>
      <c r="O335" s="661"/>
      <c r="P335" s="661"/>
      <c r="Q335" s="661"/>
      <c r="R335" s="661"/>
      <c r="S335" s="661"/>
      <c r="T335" s="661"/>
      <c r="U335" s="661"/>
      <c r="V335" s="661"/>
      <c r="W335" s="661"/>
      <c r="X335" s="661"/>
      <c r="Y335" s="661"/>
      <c r="Z335" s="661"/>
      <c r="AA335" s="661"/>
      <c r="AB335" s="661"/>
      <c r="AC335" s="661"/>
      <c r="AD335" s="661"/>
      <c r="AE335" s="661"/>
      <c r="AF335" s="661"/>
      <c r="AG335" s="661"/>
      <c r="AH335" s="661"/>
      <c r="AI335" s="661"/>
      <c r="AJ335" s="661"/>
      <c r="AK335" s="661"/>
      <c r="AL335" s="661"/>
      <c r="AM335" s="661"/>
    </row>
    <row r="336">
      <c r="A336" s="1604">
        <v>46356.0</v>
      </c>
      <c r="B336" s="1605" t="s">
        <v>2810</v>
      </c>
      <c r="C336" s="1588"/>
      <c r="D336" s="1588"/>
      <c r="E336" s="1589"/>
      <c r="F336" s="1589"/>
      <c r="G336" s="1589"/>
      <c r="H336" s="661"/>
      <c r="I336" s="661"/>
      <c r="J336" s="661"/>
      <c r="K336" s="661"/>
      <c r="L336" s="661"/>
      <c r="M336" s="661"/>
      <c r="N336" s="661"/>
      <c r="O336" s="661"/>
      <c r="P336" s="661"/>
      <c r="Q336" s="661"/>
      <c r="R336" s="661"/>
      <c r="S336" s="661"/>
      <c r="T336" s="661"/>
      <c r="U336" s="661"/>
      <c r="V336" s="661"/>
      <c r="W336" s="661"/>
      <c r="X336" s="661"/>
      <c r="Y336" s="661"/>
      <c r="Z336" s="661"/>
      <c r="AA336" s="661"/>
      <c r="AB336" s="661"/>
      <c r="AC336" s="661"/>
      <c r="AD336" s="661"/>
      <c r="AE336" s="661"/>
      <c r="AF336" s="661"/>
      <c r="AG336" s="661"/>
      <c r="AH336" s="661"/>
      <c r="AI336" s="661"/>
      <c r="AJ336" s="661"/>
      <c r="AK336" s="661"/>
      <c r="AL336" s="661"/>
      <c r="AM336" s="661"/>
    </row>
    <row r="337">
      <c r="A337" s="1604">
        <v>46357.0</v>
      </c>
      <c r="B337" s="1605" t="s">
        <v>2810</v>
      </c>
      <c r="C337" s="1588"/>
      <c r="D337" s="1588"/>
      <c r="E337" s="1589"/>
      <c r="F337" s="1589"/>
      <c r="G337" s="1589"/>
      <c r="H337" s="661"/>
      <c r="I337" s="661"/>
      <c r="J337" s="661"/>
      <c r="K337" s="661"/>
      <c r="L337" s="661"/>
      <c r="M337" s="661"/>
      <c r="N337" s="661"/>
      <c r="O337" s="661"/>
      <c r="P337" s="661"/>
      <c r="Q337" s="661"/>
      <c r="R337" s="661"/>
      <c r="S337" s="661"/>
      <c r="T337" s="661"/>
      <c r="U337" s="661"/>
      <c r="V337" s="661"/>
      <c r="W337" s="661"/>
      <c r="X337" s="661"/>
      <c r="Y337" s="661"/>
      <c r="Z337" s="661"/>
      <c r="AA337" s="661"/>
      <c r="AB337" s="661"/>
      <c r="AC337" s="661"/>
      <c r="AD337" s="661"/>
      <c r="AE337" s="661"/>
      <c r="AF337" s="661"/>
      <c r="AG337" s="661"/>
      <c r="AH337" s="661"/>
      <c r="AI337" s="661"/>
      <c r="AJ337" s="661"/>
      <c r="AK337" s="661"/>
      <c r="AL337" s="661"/>
      <c r="AM337" s="661"/>
    </row>
    <row r="338">
      <c r="A338" s="1604">
        <v>46358.0</v>
      </c>
      <c r="B338" s="1605" t="s">
        <v>2810</v>
      </c>
      <c r="C338" s="1588"/>
      <c r="D338" s="1588"/>
      <c r="E338" s="1589"/>
      <c r="F338" s="1589"/>
      <c r="G338" s="1589"/>
      <c r="H338" s="661"/>
      <c r="I338" s="661"/>
      <c r="J338" s="661"/>
      <c r="K338" s="661"/>
      <c r="L338" s="661"/>
      <c r="M338" s="661"/>
      <c r="N338" s="661"/>
      <c r="O338" s="661"/>
      <c r="P338" s="661"/>
      <c r="Q338" s="661"/>
      <c r="R338" s="661"/>
      <c r="S338" s="661"/>
      <c r="T338" s="661"/>
      <c r="U338" s="661"/>
      <c r="V338" s="661"/>
      <c r="W338" s="661"/>
      <c r="X338" s="661"/>
      <c r="Y338" s="661"/>
      <c r="Z338" s="661"/>
      <c r="AA338" s="661"/>
      <c r="AB338" s="661"/>
      <c r="AC338" s="661"/>
      <c r="AD338" s="661"/>
      <c r="AE338" s="661"/>
      <c r="AF338" s="661"/>
      <c r="AG338" s="661"/>
      <c r="AH338" s="661"/>
      <c r="AI338" s="661"/>
      <c r="AJ338" s="661"/>
      <c r="AK338" s="661"/>
      <c r="AL338" s="661"/>
      <c r="AM338" s="661"/>
    </row>
    <row r="339">
      <c r="A339" s="1604">
        <v>46359.0</v>
      </c>
      <c r="B339" s="1605" t="s">
        <v>2810</v>
      </c>
      <c r="C339" s="1588"/>
      <c r="D339" s="1588"/>
      <c r="E339" s="1589"/>
      <c r="F339" s="1589"/>
      <c r="G339" s="1589"/>
      <c r="H339" s="661"/>
      <c r="I339" s="661"/>
      <c r="J339" s="661"/>
      <c r="K339" s="661"/>
      <c r="L339" s="661"/>
      <c r="M339" s="661"/>
      <c r="N339" s="661"/>
      <c r="O339" s="661"/>
      <c r="P339" s="661"/>
      <c r="Q339" s="661"/>
      <c r="R339" s="661"/>
      <c r="S339" s="661"/>
      <c r="T339" s="661"/>
      <c r="U339" s="661"/>
      <c r="V339" s="661"/>
      <c r="W339" s="661"/>
      <c r="X339" s="661"/>
      <c r="Y339" s="661"/>
      <c r="Z339" s="661"/>
      <c r="AA339" s="661"/>
      <c r="AB339" s="661"/>
      <c r="AC339" s="661"/>
      <c r="AD339" s="661"/>
      <c r="AE339" s="661"/>
      <c r="AF339" s="661"/>
      <c r="AG339" s="661"/>
      <c r="AH339" s="661"/>
      <c r="AI339" s="661"/>
      <c r="AJ339" s="661"/>
      <c r="AK339" s="661"/>
      <c r="AL339" s="661"/>
      <c r="AM339" s="661"/>
    </row>
    <row r="340">
      <c r="A340" s="1604">
        <v>46360.0</v>
      </c>
      <c r="B340" s="1605" t="s">
        <v>2810</v>
      </c>
      <c r="C340" s="1588"/>
      <c r="D340" s="1588"/>
      <c r="E340" s="1589"/>
      <c r="F340" s="1589"/>
      <c r="G340" s="1589"/>
      <c r="H340" s="661"/>
      <c r="I340" s="661"/>
      <c r="J340" s="661"/>
      <c r="K340" s="661"/>
      <c r="L340" s="661"/>
      <c r="M340" s="661"/>
      <c r="N340" s="661"/>
      <c r="O340" s="661"/>
      <c r="P340" s="661"/>
      <c r="Q340" s="661"/>
      <c r="R340" s="661"/>
      <c r="S340" s="661"/>
      <c r="T340" s="661"/>
      <c r="U340" s="661"/>
      <c r="V340" s="661"/>
      <c r="W340" s="661"/>
      <c r="X340" s="661"/>
      <c r="Y340" s="661"/>
      <c r="Z340" s="661"/>
      <c r="AA340" s="661"/>
      <c r="AB340" s="661"/>
      <c r="AC340" s="661"/>
      <c r="AD340" s="661"/>
      <c r="AE340" s="661"/>
      <c r="AF340" s="661"/>
      <c r="AG340" s="661"/>
      <c r="AH340" s="661"/>
      <c r="AI340" s="661"/>
      <c r="AJ340" s="661"/>
      <c r="AK340" s="661"/>
      <c r="AL340" s="661"/>
      <c r="AM340" s="661"/>
    </row>
    <row r="341">
      <c r="A341" s="1604">
        <v>46361.0</v>
      </c>
      <c r="B341" s="1605" t="s">
        <v>2810</v>
      </c>
      <c r="C341" s="1588"/>
      <c r="D341" s="1588"/>
      <c r="E341" s="1589"/>
      <c r="F341" s="1589"/>
      <c r="G341" s="1589"/>
      <c r="H341" s="661"/>
      <c r="I341" s="661"/>
      <c r="J341" s="661"/>
      <c r="K341" s="661"/>
      <c r="L341" s="661"/>
      <c r="M341" s="661"/>
      <c r="N341" s="661"/>
      <c r="O341" s="661"/>
      <c r="P341" s="661"/>
      <c r="Q341" s="661"/>
      <c r="R341" s="661"/>
      <c r="S341" s="661"/>
      <c r="T341" s="661"/>
      <c r="U341" s="661"/>
      <c r="V341" s="661"/>
      <c r="W341" s="661"/>
      <c r="X341" s="661"/>
      <c r="Y341" s="661"/>
      <c r="Z341" s="661"/>
      <c r="AA341" s="661"/>
      <c r="AB341" s="661"/>
      <c r="AC341" s="661"/>
      <c r="AD341" s="661"/>
      <c r="AE341" s="661"/>
      <c r="AF341" s="661"/>
      <c r="AG341" s="661"/>
      <c r="AH341" s="661"/>
      <c r="AI341" s="661"/>
      <c r="AJ341" s="661"/>
      <c r="AK341" s="661"/>
      <c r="AL341" s="661"/>
      <c r="AM341" s="661"/>
    </row>
    <row r="342">
      <c r="A342" s="1604">
        <v>46362.0</v>
      </c>
      <c r="B342" s="1605" t="s">
        <v>2810</v>
      </c>
      <c r="C342" s="1588"/>
      <c r="D342" s="1588"/>
      <c r="E342" s="1589"/>
      <c r="F342" s="1589"/>
      <c r="G342" s="1589"/>
      <c r="H342" s="661"/>
      <c r="I342" s="661"/>
      <c r="J342" s="661"/>
      <c r="K342" s="661"/>
      <c r="L342" s="661"/>
      <c r="M342" s="661"/>
      <c r="N342" s="661"/>
      <c r="O342" s="661"/>
      <c r="P342" s="661"/>
      <c r="Q342" s="661"/>
      <c r="R342" s="661"/>
      <c r="S342" s="661"/>
      <c r="T342" s="661"/>
      <c r="U342" s="661"/>
      <c r="V342" s="661"/>
      <c r="W342" s="661"/>
      <c r="X342" s="661"/>
      <c r="Y342" s="661"/>
      <c r="Z342" s="661"/>
      <c r="AA342" s="661"/>
      <c r="AB342" s="661"/>
      <c r="AC342" s="661"/>
      <c r="AD342" s="661"/>
      <c r="AE342" s="661"/>
      <c r="AF342" s="661"/>
      <c r="AG342" s="661"/>
      <c r="AH342" s="661"/>
      <c r="AI342" s="661"/>
      <c r="AJ342" s="661"/>
      <c r="AK342" s="661"/>
      <c r="AL342" s="661"/>
      <c r="AM342" s="661"/>
    </row>
    <row r="343">
      <c r="A343" s="1604">
        <v>46363.0</v>
      </c>
      <c r="B343" s="1605" t="s">
        <v>2810</v>
      </c>
      <c r="C343" s="1588"/>
      <c r="D343" s="1588"/>
      <c r="E343" s="1589"/>
      <c r="F343" s="1589"/>
      <c r="G343" s="1589"/>
      <c r="H343" s="661"/>
      <c r="I343" s="661"/>
      <c r="J343" s="661"/>
      <c r="K343" s="661"/>
      <c r="L343" s="661"/>
      <c r="M343" s="661"/>
      <c r="N343" s="661"/>
      <c r="O343" s="661"/>
      <c r="P343" s="661"/>
      <c r="Q343" s="661"/>
      <c r="R343" s="661"/>
      <c r="S343" s="661"/>
      <c r="T343" s="661"/>
      <c r="U343" s="661"/>
      <c r="V343" s="661"/>
      <c r="W343" s="661"/>
      <c r="X343" s="661"/>
      <c r="Y343" s="661"/>
      <c r="Z343" s="661"/>
      <c r="AA343" s="661"/>
      <c r="AB343" s="661"/>
      <c r="AC343" s="661"/>
      <c r="AD343" s="661"/>
      <c r="AE343" s="661"/>
      <c r="AF343" s="661"/>
      <c r="AG343" s="661"/>
      <c r="AH343" s="661"/>
      <c r="AI343" s="661"/>
      <c r="AJ343" s="661"/>
      <c r="AK343" s="661"/>
      <c r="AL343" s="661"/>
      <c r="AM343" s="661"/>
    </row>
    <row r="344">
      <c r="A344" s="1604">
        <v>46364.0</v>
      </c>
      <c r="B344" s="1605" t="s">
        <v>2810</v>
      </c>
      <c r="C344" s="1588"/>
      <c r="D344" s="1588"/>
      <c r="E344" s="1589"/>
      <c r="F344" s="1589"/>
      <c r="G344" s="1589"/>
      <c r="H344" s="661"/>
      <c r="I344" s="661"/>
      <c r="J344" s="661"/>
      <c r="K344" s="661"/>
      <c r="L344" s="661"/>
      <c r="M344" s="661"/>
      <c r="N344" s="661"/>
      <c r="O344" s="661"/>
      <c r="P344" s="661"/>
      <c r="Q344" s="661"/>
      <c r="R344" s="661"/>
      <c r="S344" s="661"/>
      <c r="T344" s="661"/>
      <c r="U344" s="661"/>
      <c r="V344" s="661"/>
      <c r="W344" s="661"/>
      <c r="X344" s="661"/>
      <c r="Y344" s="661"/>
      <c r="Z344" s="661"/>
      <c r="AA344" s="661"/>
      <c r="AB344" s="661"/>
      <c r="AC344" s="661"/>
      <c r="AD344" s="661"/>
      <c r="AE344" s="661"/>
      <c r="AF344" s="661"/>
      <c r="AG344" s="661"/>
      <c r="AH344" s="661"/>
      <c r="AI344" s="661"/>
      <c r="AJ344" s="661"/>
      <c r="AK344" s="661"/>
      <c r="AL344" s="661"/>
      <c r="AM344" s="661"/>
    </row>
    <row r="345">
      <c r="A345" s="1604">
        <v>46365.0</v>
      </c>
      <c r="B345" s="1605" t="s">
        <v>2810</v>
      </c>
      <c r="C345" s="1588"/>
      <c r="D345" s="1588"/>
      <c r="E345" s="1589"/>
      <c r="F345" s="1589"/>
      <c r="G345" s="1589"/>
      <c r="H345" s="661"/>
      <c r="I345" s="661"/>
      <c r="J345" s="661"/>
      <c r="K345" s="661"/>
      <c r="L345" s="661"/>
      <c r="M345" s="661"/>
      <c r="N345" s="661"/>
      <c r="O345" s="661"/>
      <c r="P345" s="661"/>
      <c r="Q345" s="661"/>
      <c r="R345" s="661"/>
      <c r="S345" s="661"/>
      <c r="T345" s="661"/>
      <c r="U345" s="661"/>
      <c r="V345" s="661"/>
      <c r="W345" s="661"/>
      <c r="X345" s="661"/>
      <c r="Y345" s="661"/>
      <c r="Z345" s="661"/>
      <c r="AA345" s="661"/>
      <c r="AB345" s="661"/>
      <c r="AC345" s="661"/>
      <c r="AD345" s="661"/>
      <c r="AE345" s="661"/>
      <c r="AF345" s="661"/>
      <c r="AG345" s="661"/>
      <c r="AH345" s="661"/>
      <c r="AI345" s="661"/>
      <c r="AJ345" s="661"/>
      <c r="AK345" s="661"/>
      <c r="AL345" s="661"/>
      <c r="AM345" s="661"/>
    </row>
    <row r="346">
      <c r="A346" s="1604">
        <v>46366.0</v>
      </c>
      <c r="B346" s="1605" t="s">
        <v>2810</v>
      </c>
      <c r="C346" s="1588"/>
      <c r="D346" s="1588"/>
      <c r="E346" s="1589"/>
      <c r="F346" s="1589"/>
      <c r="G346" s="1589"/>
      <c r="H346" s="661"/>
      <c r="I346" s="661"/>
      <c r="J346" s="661"/>
      <c r="K346" s="661"/>
      <c r="L346" s="661"/>
      <c r="M346" s="661"/>
      <c r="N346" s="661"/>
      <c r="O346" s="661"/>
      <c r="P346" s="661"/>
      <c r="Q346" s="661"/>
      <c r="R346" s="661"/>
      <c r="S346" s="661"/>
      <c r="T346" s="661"/>
      <c r="U346" s="661"/>
      <c r="V346" s="661"/>
      <c r="W346" s="661"/>
      <c r="X346" s="661"/>
      <c r="Y346" s="661"/>
      <c r="Z346" s="661"/>
      <c r="AA346" s="661"/>
      <c r="AB346" s="661"/>
      <c r="AC346" s="661"/>
      <c r="AD346" s="661"/>
      <c r="AE346" s="661"/>
      <c r="AF346" s="661"/>
      <c r="AG346" s="661"/>
      <c r="AH346" s="661"/>
      <c r="AI346" s="661"/>
      <c r="AJ346" s="661"/>
      <c r="AK346" s="661"/>
      <c r="AL346" s="661"/>
      <c r="AM346" s="661"/>
    </row>
    <row r="347">
      <c r="A347" s="1604">
        <v>46367.0</v>
      </c>
      <c r="B347" s="1605" t="s">
        <v>2810</v>
      </c>
      <c r="C347" s="1588"/>
      <c r="D347" s="1588"/>
      <c r="E347" s="1589"/>
      <c r="F347" s="1589"/>
      <c r="G347" s="1589"/>
      <c r="H347" s="661"/>
      <c r="I347" s="661"/>
      <c r="J347" s="661"/>
      <c r="K347" s="661"/>
      <c r="L347" s="661"/>
      <c r="M347" s="661"/>
      <c r="N347" s="661"/>
      <c r="O347" s="661"/>
      <c r="P347" s="661"/>
      <c r="Q347" s="661"/>
      <c r="R347" s="661"/>
      <c r="S347" s="661"/>
      <c r="T347" s="661"/>
      <c r="U347" s="661"/>
      <c r="V347" s="661"/>
      <c r="W347" s="661"/>
      <c r="X347" s="661"/>
      <c r="Y347" s="661"/>
      <c r="Z347" s="661"/>
      <c r="AA347" s="661"/>
      <c r="AB347" s="661"/>
      <c r="AC347" s="661"/>
      <c r="AD347" s="661"/>
      <c r="AE347" s="661"/>
      <c r="AF347" s="661"/>
      <c r="AG347" s="661"/>
      <c r="AH347" s="661"/>
      <c r="AI347" s="661"/>
      <c r="AJ347" s="661"/>
      <c r="AK347" s="661"/>
      <c r="AL347" s="661"/>
      <c r="AM347" s="661"/>
    </row>
    <row r="348">
      <c r="A348" s="1604">
        <v>46368.0</v>
      </c>
      <c r="B348" s="1605" t="s">
        <v>2810</v>
      </c>
      <c r="C348" s="1588"/>
      <c r="D348" s="1588"/>
      <c r="E348" s="1589"/>
      <c r="F348" s="1589"/>
      <c r="G348" s="1589"/>
      <c r="H348" s="661"/>
      <c r="I348" s="661"/>
      <c r="J348" s="661"/>
      <c r="K348" s="661"/>
      <c r="L348" s="661"/>
      <c r="M348" s="661"/>
      <c r="N348" s="661"/>
      <c r="O348" s="661"/>
      <c r="P348" s="661"/>
      <c r="Q348" s="661"/>
      <c r="R348" s="661"/>
      <c r="S348" s="661"/>
      <c r="T348" s="661"/>
      <c r="U348" s="661"/>
      <c r="V348" s="661"/>
      <c r="W348" s="661"/>
      <c r="X348" s="661"/>
      <c r="Y348" s="661"/>
      <c r="Z348" s="661"/>
      <c r="AA348" s="661"/>
      <c r="AB348" s="661"/>
      <c r="AC348" s="661"/>
      <c r="AD348" s="661"/>
      <c r="AE348" s="661"/>
      <c r="AF348" s="661"/>
      <c r="AG348" s="661"/>
      <c r="AH348" s="661"/>
      <c r="AI348" s="661"/>
      <c r="AJ348" s="661"/>
      <c r="AK348" s="661"/>
      <c r="AL348" s="661"/>
      <c r="AM348" s="661"/>
    </row>
    <row r="349">
      <c r="A349" s="1604">
        <v>46369.0</v>
      </c>
      <c r="B349" s="1605" t="s">
        <v>2810</v>
      </c>
      <c r="C349" s="1588"/>
      <c r="D349" s="1588"/>
      <c r="E349" s="1589"/>
      <c r="F349" s="1589"/>
      <c r="G349" s="1589"/>
      <c r="H349" s="661"/>
      <c r="I349" s="661"/>
      <c r="J349" s="661"/>
      <c r="K349" s="661"/>
      <c r="L349" s="661"/>
      <c r="M349" s="661"/>
      <c r="N349" s="661"/>
      <c r="O349" s="661"/>
      <c r="P349" s="661"/>
      <c r="Q349" s="661"/>
      <c r="R349" s="661"/>
      <c r="S349" s="661"/>
      <c r="T349" s="661"/>
      <c r="U349" s="661"/>
      <c r="V349" s="661"/>
      <c r="W349" s="661"/>
      <c r="X349" s="661"/>
      <c r="Y349" s="661"/>
      <c r="Z349" s="661"/>
      <c r="AA349" s="661"/>
      <c r="AB349" s="661"/>
      <c r="AC349" s="661"/>
      <c r="AD349" s="661"/>
      <c r="AE349" s="661"/>
      <c r="AF349" s="661"/>
      <c r="AG349" s="661"/>
      <c r="AH349" s="661"/>
      <c r="AI349" s="661"/>
      <c r="AJ349" s="661"/>
      <c r="AK349" s="661"/>
      <c r="AL349" s="661"/>
      <c r="AM349" s="661"/>
    </row>
    <row r="350">
      <c r="A350" s="1604">
        <v>46370.0</v>
      </c>
      <c r="B350" s="1605" t="s">
        <v>2810</v>
      </c>
      <c r="C350" s="1588"/>
      <c r="D350" s="1588"/>
      <c r="E350" s="1589"/>
      <c r="F350" s="1589"/>
      <c r="G350" s="1589"/>
      <c r="H350" s="661"/>
      <c r="I350" s="661"/>
      <c r="J350" s="661"/>
      <c r="K350" s="661"/>
      <c r="L350" s="661"/>
      <c r="M350" s="661"/>
      <c r="N350" s="661"/>
      <c r="O350" s="661"/>
      <c r="P350" s="661"/>
      <c r="Q350" s="661"/>
      <c r="R350" s="661"/>
      <c r="S350" s="661"/>
      <c r="T350" s="661"/>
      <c r="U350" s="661"/>
      <c r="V350" s="661"/>
      <c r="W350" s="661"/>
      <c r="X350" s="661"/>
      <c r="Y350" s="661"/>
      <c r="Z350" s="661"/>
      <c r="AA350" s="661"/>
      <c r="AB350" s="661"/>
      <c r="AC350" s="661"/>
      <c r="AD350" s="661"/>
      <c r="AE350" s="661"/>
      <c r="AF350" s="661"/>
      <c r="AG350" s="661"/>
      <c r="AH350" s="661"/>
      <c r="AI350" s="661"/>
      <c r="AJ350" s="661"/>
      <c r="AK350" s="661"/>
      <c r="AL350" s="661"/>
      <c r="AM350" s="661"/>
    </row>
    <row r="351">
      <c r="A351" s="1604">
        <v>46371.0</v>
      </c>
      <c r="B351" s="1605" t="s">
        <v>2810</v>
      </c>
      <c r="C351" s="1588"/>
      <c r="D351" s="1588"/>
      <c r="E351" s="1589"/>
      <c r="F351" s="1589"/>
      <c r="G351" s="1589"/>
      <c r="H351" s="661"/>
      <c r="I351" s="661"/>
      <c r="J351" s="661"/>
      <c r="K351" s="661"/>
      <c r="L351" s="661"/>
      <c r="M351" s="661"/>
      <c r="N351" s="661"/>
      <c r="O351" s="661"/>
      <c r="P351" s="661"/>
      <c r="Q351" s="661"/>
      <c r="R351" s="661"/>
      <c r="S351" s="661"/>
      <c r="T351" s="661"/>
      <c r="U351" s="661"/>
      <c r="V351" s="661"/>
      <c r="W351" s="661"/>
      <c r="X351" s="661"/>
      <c r="Y351" s="661"/>
      <c r="Z351" s="661"/>
      <c r="AA351" s="661"/>
      <c r="AB351" s="661"/>
      <c r="AC351" s="661"/>
      <c r="AD351" s="661"/>
      <c r="AE351" s="661"/>
      <c r="AF351" s="661"/>
      <c r="AG351" s="661"/>
      <c r="AH351" s="661"/>
      <c r="AI351" s="661"/>
      <c r="AJ351" s="661"/>
      <c r="AK351" s="661"/>
      <c r="AL351" s="661"/>
      <c r="AM351" s="661"/>
    </row>
    <row r="352">
      <c r="A352" s="1604">
        <v>46372.0</v>
      </c>
      <c r="B352" s="1605" t="s">
        <v>2810</v>
      </c>
      <c r="C352" s="1588"/>
      <c r="D352" s="1588"/>
      <c r="E352" s="1589"/>
      <c r="F352" s="1589"/>
      <c r="G352" s="1589"/>
      <c r="H352" s="661"/>
      <c r="I352" s="661"/>
      <c r="J352" s="661"/>
      <c r="K352" s="661"/>
      <c r="L352" s="661"/>
      <c r="M352" s="661"/>
      <c r="N352" s="661"/>
      <c r="O352" s="661"/>
      <c r="P352" s="661"/>
      <c r="Q352" s="661"/>
      <c r="R352" s="661"/>
      <c r="S352" s="661"/>
      <c r="T352" s="661"/>
      <c r="U352" s="661"/>
      <c r="V352" s="661"/>
      <c r="W352" s="661"/>
      <c r="X352" s="661"/>
      <c r="Y352" s="661"/>
      <c r="Z352" s="661"/>
      <c r="AA352" s="661"/>
      <c r="AB352" s="661"/>
      <c r="AC352" s="661"/>
      <c r="AD352" s="661"/>
      <c r="AE352" s="661"/>
      <c r="AF352" s="661"/>
      <c r="AG352" s="661"/>
      <c r="AH352" s="661"/>
      <c r="AI352" s="661"/>
      <c r="AJ352" s="661"/>
      <c r="AK352" s="661"/>
      <c r="AL352" s="661"/>
      <c r="AM352" s="661"/>
    </row>
    <row r="353">
      <c r="A353" s="1604">
        <v>46373.0</v>
      </c>
      <c r="B353" s="1605" t="s">
        <v>2810</v>
      </c>
      <c r="C353" s="1588"/>
      <c r="D353" s="1588"/>
      <c r="E353" s="1589"/>
      <c r="F353" s="1589"/>
      <c r="G353" s="1589"/>
      <c r="H353" s="661"/>
      <c r="I353" s="661"/>
      <c r="J353" s="661"/>
      <c r="K353" s="661"/>
      <c r="L353" s="661"/>
      <c r="M353" s="661"/>
      <c r="N353" s="661"/>
      <c r="O353" s="661"/>
      <c r="P353" s="661"/>
      <c r="Q353" s="661"/>
      <c r="R353" s="661"/>
      <c r="S353" s="661"/>
      <c r="T353" s="661"/>
      <c r="U353" s="661"/>
      <c r="V353" s="661"/>
      <c r="W353" s="661"/>
      <c r="X353" s="661"/>
      <c r="Y353" s="661"/>
      <c r="Z353" s="661"/>
      <c r="AA353" s="661"/>
      <c r="AB353" s="661"/>
      <c r="AC353" s="661"/>
      <c r="AD353" s="661"/>
      <c r="AE353" s="661"/>
      <c r="AF353" s="661"/>
      <c r="AG353" s="661"/>
      <c r="AH353" s="661"/>
      <c r="AI353" s="661"/>
      <c r="AJ353" s="661"/>
      <c r="AK353" s="661"/>
      <c r="AL353" s="661"/>
      <c r="AM353" s="661"/>
    </row>
    <row r="354">
      <c r="A354" s="1604">
        <v>46374.0</v>
      </c>
      <c r="B354" s="1605" t="s">
        <v>2810</v>
      </c>
      <c r="C354" s="1588"/>
      <c r="D354" s="1588"/>
      <c r="E354" s="1589"/>
      <c r="F354" s="1589"/>
      <c r="G354" s="1589"/>
      <c r="H354" s="661"/>
      <c r="I354" s="661"/>
      <c r="J354" s="661"/>
      <c r="K354" s="661"/>
      <c r="L354" s="661"/>
      <c r="M354" s="661"/>
      <c r="N354" s="661"/>
      <c r="O354" s="661"/>
      <c r="P354" s="661"/>
      <c r="Q354" s="661"/>
      <c r="R354" s="661"/>
      <c r="S354" s="661"/>
      <c r="T354" s="661"/>
      <c r="U354" s="661"/>
      <c r="V354" s="661"/>
      <c r="W354" s="661"/>
      <c r="X354" s="661"/>
      <c r="Y354" s="661"/>
      <c r="Z354" s="661"/>
      <c r="AA354" s="661"/>
      <c r="AB354" s="661"/>
      <c r="AC354" s="661"/>
      <c r="AD354" s="661"/>
      <c r="AE354" s="661"/>
      <c r="AF354" s="661"/>
      <c r="AG354" s="661"/>
      <c r="AH354" s="661"/>
      <c r="AI354" s="661"/>
      <c r="AJ354" s="661"/>
      <c r="AK354" s="661"/>
      <c r="AL354" s="661"/>
      <c r="AM354" s="661"/>
    </row>
    <row r="355">
      <c r="A355" s="1604">
        <v>46375.0</v>
      </c>
      <c r="B355" s="1605" t="s">
        <v>2810</v>
      </c>
      <c r="C355" s="1588"/>
      <c r="D355" s="1588"/>
      <c r="E355" s="1589"/>
      <c r="F355" s="1589"/>
      <c r="G355" s="1589"/>
      <c r="H355" s="661"/>
      <c r="I355" s="661"/>
      <c r="J355" s="661"/>
      <c r="K355" s="661"/>
      <c r="L355" s="661"/>
      <c r="M355" s="661"/>
      <c r="N355" s="661"/>
      <c r="O355" s="661"/>
      <c r="P355" s="661"/>
      <c r="Q355" s="661"/>
      <c r="R355" s="661"/>
      <c r="S355" s="661"/>
      <c r="T355" s="661"/>
      <c r="U355" s="661"/>
      <c r="V355" s="661"/>
      <c r="W355" s="661"/>
      <c r="X355" s="661"/>
      <c r="Y355" s="661"/>
      <c r="Z355" s="661"/>
      <c r="AA355" s="661"/>
      <c r="AB355" s="661"/>
      <c r="AC355" s="661"/>
      <c r="AD355" s="661"/>
      <c r="AE355" s="661"/>
      <c r="AF355" s="661"/>
      <c r="AG355" s="661"/>
      <c r="AH355" s="661"/>
      <c r="AI355" s="661"/>
      <c r="AJ355" s="661"/>
      <c r="AK355" s="661"/>
      <c r="AL355" s="661"/>
      <c r="AM355" s="661"/>
    </row>
    <row r="356">
      <c r="A356" s="1604">
        <v>46376.0</v>
      </c>
      <c r="B356" s="1605" t="s">
        <v>2810</v>
      </c>
      <c r="C356" s="1588"/>
      <c r="D356" s="1588"/>
      <c r="E356" s="1589"/>
      <c r="F356" s="1589"/>
      <c r="G356" s="1589"/>
      <c r="H356" s="661"/>
      <c r="I356" s="661"/>
      <c r="J356" s="661"/>
      <c r="K356" s="661"/>
      <c r="L356" s="661"/>
      <c r="M356" s="661"/>
      <c r="N356" s="661"/>
      <c r="O356" s="661"/>
      <c r="P356" s="661"/>
      <c r="Q356" s="661"/>
      <c r="R356" s="661"/>
      <c r="S356" s="661"/>
      <c r="T356" s="661"/>
      <c r="U356" s="661"/>
      <c r="V356" s="661"/>
      <c r="W356" s="661"/>
      <c r="X356" s="661"/>
      <c r="Y356" s="661"/>
      <c r="Z356" s="661"/>
      <c r="AA356" s="661"/>
      <c r="AB356" s="661"/>
      <c r="AC356" s="661"/>
      <c r="AD356" s="661"/>
      <c r="AE356" s="661"/>
      <c r="AF356" s="661"/>
      <c r="AG356" s="661"/>
      <c r="AH356" s="661"/>
      <c r="AI356" s="661"/>
      <c r="AJ356" s="661"/>
      <c r="AK356" s="661"/>
      <c r="AL356" s="661"/>
      <c r="AM356" s="661"/>
    </row>
    <row r="357">
      <c r="A357" s="1604">
        <v>46377.0</v>
      </c>
      <c r="B357" s="1605" t="s">
        <v>2810</v>
      </c>
      <c r="C357" s="1588"/>
      <c r="D357" s="1588"/>
      <c r="E357" s="1589"/>
      <c r="F357" s="1589"/>
      <c r="G357" s="1589"/>
      <c r="H357" s="661"/>
      <c r="I357" s="661"/>
      <c r="J357" s="661"/>
      <c r="K357" s="661"/>
      <c r="L357" s="661"/>
      <c r="M357" s="661"/>
      <c r="N357" s="661"/>
      <c r="O357" s="661"/>
      <c r="P357" s="661"/>
      <c r="Q357" s="661"/>
      <c r="R357" s="661"/>
      <c r="S357" s="661"/>
      <c r="T357" s="661"/>
      <c r="U357" s="661"/>
      <c r="V357" s="661"/>
      <c r="W357" s="661"/>
      <c r="X357" s="661"/>
      <c r="Y357" s="661"/>
      <c r="Z357" s="661"/>
      <c r="AA357" s="661"/>
      <c r="AB357" s="661"/>
      <c r="AC357" s="661"/>
      <c r="AD357" s="661"/>
      <c r="AE357" s="661"/>
      <c r="AF357" s="661"/>
      <c r="AG357" s="661"/>
      <c r="AH357" s="661"/>
      <c r="AI357" s="661"/>
      <c r="AJ357" s="661"/>
      <c r="AK357" s="661"/>
      <c r="AL357" s="661"/>
      <c r="AM357" s="661"/>
    </row>
    <row r="358">
      <c r="A358" s="1604">
        <v>46378.0</v>
      </c>
      <c r="B358" s="1605" t="s">
        <v>2810</v>
      </c>
      <c r="C358" s="1588"/>
      <c r="D358" s="1588"/>
      <c r="E358" s="1589"/>
      <c r="F358" s="1589"/>
      <c r="G358" s="1589"/>
      <c r="H358" s="661"/>
      <c r="I358" s="661"/>
      <c r="J358" s="661"/>
      <c r="K358" s="661"/>
      <c r="L358" s="661"/>
      <c r="M358" s="661"/>
      <c r="N358" s="661"/>
      <c r="O358" s="661"/>
      <c r="P358" s="661"/>
      <c r="Q358" s="661"/>
      <c r="R358" s="661"/>
      <c r="S358" s="661"/>
      <c r="T358" s="661"/>
      <c r="U358" s="661"/>
      <c r="V358" s="661"/>
      <c r="W358" s="661"/>
      <c r="X358" s="661"/>
      <c r="Y358" s="661"/>
      <c r="Z358" s="661"/>
      <c r="AA358" s="661"/>
      <c r="AB358" s="661"/>
      <c r="AC358" s="661"/>
      <c r="AD358" s="661"/>
      <c r="AE358" s="661"/>
      <c r="AF358" s="661"/>
      <c r="AG358" s="661"/>
      <c r="AH358" s="661"/>
      <c r="AI358" s="661"/>
      <c r="AJ358" s="661"/>
      <c r="AK358" s="661"/>
      <c r="AL358" s="661"/>
      <c r="AM358" s="661"/>
    </row>
    <row r="359">
      <c r="A359" s="1604">
        <v>46379.0</v>
      </c>
      <c r="B359" s="1605" t="s">
        <v>2810</v>
      </c>
      <c r="C359" s="1588"/>
      <c r="D359" s="1588"/>
      <c r="E359" s="1589"/>
      <c r="F359" s="1589"/>
      <c r="G359" s="1589"/>
      <c r="H359" s="661"/>
      <c r="I359" s="661"/>
      <c r="J359" s="661"/>
      <c r="K359" s="661"/>
      <c r="L359" s="661"/>
      <c r="M359" s="661"/>
      <c r="N359" s="661"/>
      <c r="O359" s="661"/>
      <c r="P359" s="661"/>
      <c r="Q359" s="661"/>
      <c r="R359" s="661"/>
      <c r="S359" s="661"/>
      <c r="T359" s="661"/>
      <c r="U359" s="661"/>
      <c r="V359" s="661"/>
      <c r="W359" s="661"/>
      <c r="X359" s="661"/>
      <c r="Y359" s="661"/>
      <c r="Z359" s="661"/>
      <c r="AA359" s="661"/>
      <c r="AB359" s="661"/>
      <c r="AC359" s="661"/>
      <c r="AD359" s="661"/>
      <c r="AE359" s="661"/>
      <c r="AF359" s="661"/>
      <c r="AG359" s="661"/>
      <c r="AH359" s="661"/>
      <c r="AI359" s="661"/>
      <c r="AJ359" s="661"/>
      <c r="AK359" s="661"/>
      <c r="AL359" s="661"/>
      <c r="AM359" s="661"/>
    </row>
    <row r="360">
      <c r="A360" s="1604">
        <v>46380.0</v>
      </c>
      <c r="B360" s="1605" t="s">
        <v>2810</v>
      </c>
      <c r="C360" s="1588"/>
      <c r="D360" s="1588"/>
      <c r="E360" s="1589"/>
      <c r="F360" s="1589"/>
      <c r="G360" s="1589"/>
      <c r="H360" s="661"/>
      <c r="I360" s="661"/>
      <c r="J360" s="661"/>
      <c r="K360" s="661"/>
      <c r="L360" s="661"/>
      <c r="M360" s="661"/>
      <c r="N360" s="661"/>
      <c r="O360" s="661"/>
      <c r="P360" s="661"/>
      <c r="Q360" s="661"/>
      <c r="R360" s="661"/>
      <c r="S360" s="661"/>
      <c r="T360" s="661"/>
      <c r="U360" s="661"/>
      <c r="V360" s="661"/>
      <c r="W360" s="661"/>
      <c r="X360" s="661"/>
      <c r="Y360" s="661"/>
      <c r="Z360" s="661"/>
      <c r="AA360" s="661"/>
      <c r="AB360" s="661"/>
      <c r="AC360" s="661"/>
      <c r="AD360" s="661"/>
      <c r="AE360" s="661"/>
      <c r="AF360" s="661"/>
      <c r="AG360" s="661"/>
      <c r="AH360" s="661"/>
      <c r="AI360" s="661"/>
      <c r="AJ360" s="661"/>
      <c r="AK360" s="661"/>
      <c r="AL360" s="661"/>
      <c r="AM360" s="661"/>
    </row>
    <row r="361">
      <c r="A361" s="1604">
        <v>46381.0</v>
      </c>
      <c r="B361" s="1605" t="s">
        <v>2810</v>
      </c>
      <c r="C361" s="1588"/>
      <c r="D361" s="1588"/>
      <c r="E361" s="1589"/>
      <c r="F361" s="1589"/>
      <c r="G361" s="1589"/>
      <c r="H361" s="661"/>
      <c r="I361" s="661"/>
      <c r="J361" s="661"/>
      <c r="K361" s="661"/>
      <c r="L361" s="661"/>
      <c r="M361" s="661"/>
      <c r="N361" s="661"/>
      <c r="O361" s="661"/>
      <c r="P361" s="661"/>
      <c r="Q361" s="661"/>
      <c r="R361" s="661"/>
      <c r="S361" s="661"/>
      <c r="T361" s="661"/>
      <c r="U361" s="661"/>
      <c r="V361" s="661"/>
      <c r="W361" s="661"/>
      <c r="X361" s="661"/>
      <c r="Y361" s="661"/>
      <c r="Z361" s="661"/>
      <c r="AA361" s="661"/>
      <c r="AB361" s="661"/>
      <c r="AC361" s="661"/>
      <c r="AD361" s="661"/>
      <c r="AE361" s="661"/>
      <c r="AF361" s="661"/>
      <c r="AG361" s="661"/>
      <c r="AH361" s="661"/>
      <c r="AI361" s="661"/>
      <c r="AJ361" s="661"/>
      <c r="AK361" s="661"/>
      <c r="AL361" s="661"/>
      <c r="AM361" s="661"/>
    </row>
    <row r="362">
      <c r="A362" s="1604">
        <v>46382.0</v>
      </c>
      <c r="B362" s="1605" t="s">
        <v>2810</v>
      </c>
      <c r="C362" s="1588"/>
      <c r="D362" s="1588"/>
      <c r="E362" s="1589"/>
      <c r="F362" s="1589"/>
      <c r="G362" s="1589"/>
      <c r="H362" s="661"/>
      <c r="I362" s="661"/>
      <c r="J362" s="661"/>
      <c r="K362" s="661"/>
      <c r="L362" s="661"/>
      <c r="M362" s="661"/>
      <c r="N362" s="661"/>
      <c r="O362" s="661"/>
      <c r="P362" s="661"/>
      <c r="Q362" s="661"/>
      <c r="R362" s="661"/>
      <c r="S362" s="661"/>
      <c r="T362" s="661"/>
      <c r="U362" s="661"/>
      <c r="V362" s="661"/>
      <c r="W362" s="661"/>
      <c r="X362" s="661"/>
      <c r="Y362" s="661"/>
      <c r="Z362" s="661"/>
      <c r="AA362" s="661"/>
      <c r="AB362" s="661"/>
      <c r="AC362" s="661"/>
      <c r="AD362" s="661"/>
      <c r="AE362" s="661"/>
      <c r="AF362" s="661"/>
      <c r="AG362" s="661"/>
      <c r="AH362" s="661"/>
      <c r="AI362" s="661"/>
      <c r="AJ362" s="661"/>
      <c r="AK362" s="661"/>
      <c r="AL362" s="661"/>
      <c r="AM362" s="661"/>
    </row>
    <row r="363">
      <c r="A363" s="1604">
        <v>46383.0</v>
      </c>
      <c r="B363" s="1605" t="s">
        <v>2810</v>
      </c>
      <c r="C363" s="1588"/>
      <c r="D363" s="1588"/>
      <c r="E363" s="1589"/>
      <c r="F363" s="1589"/>
      <c r="G363" s="1589"/>
      <c r="H363" s="661"/>
      <c r="I363" s="661"/>
      <c r="J363" s="661"/>
      <c r="K363" s="661"/>
      <c r="L363" s="661"/>
      <c r="M363" s="661"/>
      <c r="N363" s="661"/>
      <c r="O363" s="661"/>
      <c r="P363" s="661"/>
      <c r="Q363" s="661"/>
      <c r="R363" s="661"/>
      <c r="S363" s="661"/>
      <c r="T363" s="661"/>
      <c r="U363" s="661"/>
      <c r="V363" s="661"/>
      <c r="W363" s="661"/>
      <c r="X363" s="661"/>
      <c r="Y363" s="661"/>
      <c r="Z363" s="661"/>
      <c r="AA363" s="661"/>
      <c r="AB363" s="661"/>
      <c r="AC363" s="661"/>
      <c r="AD363" s="661"/>
      <c r="AE363" s="661"/>
      <c r="AF363" s="661"/>
      <c r="AG363" s="661"/>
      <c r="AH363" s="661"/>
      <c r="AI363" s="661"/>
      <c r="AJ363" s="661"/>
      <c r="AK363" s="661"/>
      <c r="AL363" s="661"/>
      <c r="AM363" s="661"/>
    </row>
    <row r="364">
      <c r="A364" s="1604">
        <v>46384.0</v>
      </c>
      <c r="B364" s="1605" t="s">
        <v>2810</v>
      </c>
      <c r="C364" s="1588"/>
      <c r="D364" s="1588"/>
      <c r="E364" s="1589"/>
      <c r="F364" s="1589"/>
      <c r="G364" s="1589"/>
      <c r="H364" s="661"/>
      <c r="I364" s="661"/>
      <c r="J364" s="661"/>
      <c r="K364" s="661"/>
      <c r="L364" s="661"/>
      <c r="M364" s="661"/>
      <c r="N364" s="661"/>
      <c r="O364" s="661"/>
      <c r="P364" s="661"/>
      <c r="Q364" s="661"/>
      <c r="R364" s="661"/>
      <c r="S364" s="661"/>
      <c r="T364" s="661"/>
      <c r="U364" s="661"/>
      <c r="V364" s="661"/>
      <c r="W364" s="661"/>
      <c r="X364" s="661"/>
      <c r="Y364" s="661"/>
      <c r="Z364" s="661"/>
      <c r="AA364" s="661"/>
      <c r="AB364" s="661"/>
      <c r="AC364" s="661"/>
      <c r="AD364" s="661"/>
      <c r="AE364" s="661"/>
      <c r="AF364" s="661"/>
      <c r="AG364" s="661"/>
      <c r="AH364" s="661"/>
      <c r="AI364" s="661"/>
      <c r="AJ364" s="661"/>
      <c r="AK364" s="661"/>
      <c r="AL364" s="661"/>
      <c r="AM364" s="661"/>
    </row>
    <row r="365">
      <c r="A365" s="1604">
        <v>46385.0</v>
      </c>
      <c r="B365" s="1605" t="s">
        <v>2810</v>
      </c>
      <c r="C365" s="1588"/>
      <c r="D365" s="1588"/>
      <c r="E365" s="1589"/>
      <c r="F365" s="1589"/>
      <c r="G365" s="1589"/>
      <c r="H365" s="661"/>
      <c r="I365" s="661"/>
      <c r="J365" s="661"/>
      <c r="K365" s="661"/>
      <c r="L365" s="661"/>
      <c r="M365" s="661"/>
      <c r="N365" s="661"/>
      <c r="O365" s="661"/>
      <c r="P365" s="661"/>
      <c r="Q365" s="661"/>
      <c r="R365" s="661"/>
      <c r="S365" s="661"/>
      <c r="T365" s="661"/>
      <c r="U365" s="661"/>
      <c r="V365" s="661"/>
      <c r="W365" s="661"/>
      <c r="X365" s="661"/>
      <c r="Y365" s="661"/>
      <c r="Z365" s="661"/>
      <c r="AA365" s="661"/>
      <c r="AB365" s="661"/>
      <c r="AC365" s="661"/>
      <c r="AD365" s="661"/>
      <c r="AE365" s="661"/>
      <c r="AF365" s="661"/>
      <c r="AG365" s="661"/>
      <c r="AH365" s="661"/>
      <c r="AI365" s="661"/>
      <c r="AJ365" s="661"/>
      <c r="AK365" s="661"/>
      <c r="AL365" s="661"/>
      <c r="AM365" s="661"/>
    </row>
    <row r="366">
      <c r="A366" s="1604">
        <v>46386.0</v>
      </c>
      <c r="B366" s="1605" t="s">
        <v>2810</v>
      </c>
      <c r="C366" s="1588"/>
      <c r="D366" s="1588"/>
      <c r="E366" s="1589"/>
      <c r="F366" s="1589"/>
      <c r="G366" s="1589"/>
      <c r="H366" s="661"/>
      <c r="I366" s="661"/>
      <c r="J366" s="661"/>
      <c r="K366" s="661"/>
      <c r="L366" s="661"/>
      <c r="M366" s="661"/>
      <c r="N366" s="661"/>
      <c r="O366" s="661"/>
      <c r="P366" s="661"/>
      <c r="Q366" s="661"/>
      <c r="R366" s="661"/>
      <c r="S366" s="661"/>
      <c r="T366" s="661"/>
      <c r="U366" s="661"/>
      <c r="V366" s="661"/>
      <c r="W366" s="661"/>
      <c r="X366" s="661"/>
      <c r="Y366" s="661"/>
      <c r="Z366" s="661"/>
      <c r="AA366" s="661"/>
      <c r="AB366" s="661"/>
      <c r="AC366" s="661"/>
      <c r="AD366" s="661"/>
      <c r="AE366" s="661"/>
      <c r="AF366" s="661"/>
      <c r="AG366" s="661"/>
      <c r="AH366" s="661"/>
      <c r="AI366" s="661"/>
      <c r="AJ366" s="661"/>
      <c r="AK366" s="661"/>
      <c r="AL366" s="661"/>
      <c r="AM366" s="661"/>
    </row>
    <row r="367">
      <c r="A367" s="1604">
        <v>46387.0</v>
      </c>
      <c r="B367" s="1605" t="s">
        <v>2810</v>
      </c>
      <c r="C367" s="1588"/>
      <c r="D367" s="1588"/>
      <c r="E367" s="1589"/>
      <c r="F367" s="1589"/>
      <c r="G367" s="1589"/>
      <c r="H367" s="661"/>
      <c r="I367" s="661"/>
      <c r="J367" s="661"/>
      <c r="K367" s="661"/>
      <c r="L367" s="661"/>
      <c r="M367" s="661"/>
      <c r="N367" s="661"/>
      <c r="O367" s="661"/>
      <c r="P367" s="661"/>
      <c r="Q367" s="661"/>
      <c r="R367" s="661"/>
      <c r="S367" s="661"/>
      <c r="T367" s="661"/>
      <c r="U367" s="661"/>
      <c r="V367" s="661"/>
      <c r="W367" s="661"/>
      <c r="X367" s="661"/>
      <c r="Y367" s="661"/>
      <c r="Z367" s="661"/>
      <c r="AA367" s="661"/>
      <c r="AB367" s="661"/>
      <c r="AC367" s="661"/>
      <c r="AD367" s="661"/>
      <c r="AE367" s="661"/>
      <c r="AF367" s="661"/>
      <c r="AG367" s="661"/>
      <c r="AH367" s="661"/>
      <c r="AI367" s="661"/>
      <c r="AJ367" s="661"/>
      <c r="AK367" s="661"/>
      <c r="AL367" s="661"/>
      <c r="AM367" s="661"/>
    </row>
  </sheetData>
  <hyperlinks>
    <hyperlink r:id="rId1" ref="U8"/>
    <hyperlink r:id="rId2" ref="H68"/>
  </hyperlinks>
  <drawing r:id="rId3"/>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55.14"/>
    <col customWidth="1" min="3" max="4" width="9.43"/>
    <col customWidth="1" min="5" max="5" width="49.29"/>
    <col customWidth="1" min="6" max="6" width="16.14"/>
  </cols>
  <sheetData>
    <row r="1">
      <c r="A1" s="1595" t="s">
        <v>3852</v>
      </c>
      <c r="B1" s="1668" t="s">
        <v>2211</v>
      </c>
      <c r="C1" s="1669" t="s">
        <v>3853</v>
      </c>
      <c r="D1" s="1669" t="s">
        <v>3854</v>
      </c>
      <c r="E1" s="1670" t="s">
        <v>3855</v>
      </c>
      <c r="F1" s="1671" t="s">
        <v>160</v>
      </c>
    </row>
    <row r="2">
      <c r="A2" s="1672"/>
      <c r="B2" s="1673"/>
      <c r="C2" s="1674"/>
      <c r="D2" s="1674"/>
      <c r="E2" s="1675"/>
      <c r="F2" s="1675"/>
    </row>
    <row r="3">
      <c r="A3" s="1672" t="s">
        <v>3856</v>
      </c>
      <c r="B3" s="1673" t="s">
        <v>171</v>
      </c>
      <c r="C3" s="1674" t="s">
        <v>1328</v>
      </c>
      <c r="D3" s="1674" t="s">
        <v>3010</v>
      </c>
      <c r="E3" s="1675"/>
      <c r="F3" s="1675"/>
    </row>
    <row r="4">
      <c r="A4" s="1672" t="s">
        <v>3856</v>
      </c>
      <c r="B4" s="1673" t="s">
        <v>282</v>
      </c>
      <c r="C4" s="1674" t="s">
        <v>1328</v>
      </c>
      <c r="D4" s="1674" t="s">
        <v>3010</v>
      </c>
      <c r="E4" s="1676"/>
      <c r="F4" s="1676"/>
    </row>
    <row r="5">
      <c r="A5" s="1672" t="s">
        <v>3856</v>
      </c>
      <c r="B5" s="1673" t="s">
        <v>3857</v>
      </c>
      <c r="C5" s="1674" t="s">
        <v>1328</v>
      </c>
      <c r="D5" s="1674" t="s">
        <v>1415</v>
      </c>
      <c r="E5" s="1675"/>
      <c r="F5" s="1675"/>
    </row>
    <row r="6">
      <c r="A6" s="1672" t="s">
        <v>3856</v>
      </c>
      <c r="B6" s="1673" t="s">
        <v>1277</v>
      </c>
      <c r="C6" s="1674" t="s">
        <v>1328</v>
      </c>
      <c r="D6" s="1674" t="s">
        <v>3113</v>
      </c>
      <c r="E6" s="1676"/>
      <c r="F6" s="1676"/>
    </row>
    <row r="7">
      <c r="A7" s="1672" t="s">
        <v>3856</v>
      </c>
      <c r="B7" s="1677" t="s">
        <v>3858</v>
      </c>
      <c r="C7" s="1678" t="s">
        <v>1328</v>
      </c>
      <c r="D7" s="1678" t="s">
        <v>1484</v>
      </c>
      <c r="E7" s="1675"/>
      <c r="F7" s="1675"/>
    </row>
    <row r="8">
      <c r="A8" s="1672" t="s">
        <v>3856</v>
      </c>
      <c r="B8" s="1673" t="s">
        <v>3859</v>
      </c>
      <c r="C8" s="1674" t="s">
        <v>1328</v>
      </c>
      <c r="D8" s="1674" t="s">
        <v>1503</v>
      </c>
      <c r="E8" s="1676"/>
      <c r="F8" s="1676"/>
    </row>
    <row r="9">
      <c r="A9" s="1672" t="s">
        <v>3856</v>
      </c>
      <c r="B9" s="1673" t="s">
        <v>3860</v>
      </c>
      <c r="C9" s="1674" t="s">
        <v>1328</v>
      </c>
      <c r="D9" s="1674" t="s">
        <v>1455</v>
      </c>
      <c r="E9" s="1676"/>
      <c r="F9" s="1676"/>
    </row>
    <row r="10">
      <c r="A10" s="1672" t="s">
        <v>3861</v>
      </c>
      <c r="B10" s="1673" t="s">
        <v>3862</v>
      </c>
      <c r="C10" s="1674" t="s">
        <v>3010</v>
      </c>
      <c r="D10" s="1674" t="s">
        <v>1328</v>
      </c>
      <c r="E10" s="1676"/>
      <c r="F10" s="1676"/>
    </row>
    <row r="11">
      <c r="A11" s="1672" t="s">
        <v>3861</v>
      </c>
      <c r="B11" s="1677" t="s">
        <v>225</v>
      </c>
      <c r="C11" s="1678" t="s">
        <v>1875</v>
      </c>
      <c r="D11" s="1678" t="s">
        <v>1328</v>
      </c>
      <c r="E11" s="1676"/>
      <c r="F11" s="1676"/>
    </row>
    <row r="12">
      <c r="A12" s="1672" t="s">
        <v>3861</v>
      </c>
      <c r="B12" s="1677" t="s">
        <v>278</v>
      </c>
      <c r="C12" s="1678" t="s">
        <v>1875</v>
      </c>
      <c r="D12" s="1678" t="s">
        <v>1328</v>
      </c>
      <c r="E12" s="1676"/>
      <c r="F12" s="1676"/>
    </row>
    <row r="13">
      <c r="A13" s="1672" t="s">
        <v>3861</v>
      </c>
      <c r="B13" s="1659" t="s">
        <v>567</v>
      </c>
      <c r="C13" s="1679" t="s">
        <v>1875</v>
      </c>
      <c r="D13" s="1680" t="s">
        <v>1328</v>
      </c>
      <c r="E13" s="1676"/>
      <c r="F13" s="1676"/>
    </row>
    <row r="14">
      <c r="A14" s="1672" t="s">
        <v>3861</v>
      </c>
      <c r="B14" s="1659" t="s">
        <v>879</v>
      </c>
      <c r="C14" s="1679" t="s">
        <v>1875</v>
      </c>
      <c r="D14" s="1680" t="s">
        <v>1328</v>
      </c>
      <c r="E14" s="1676"/>
      <c r="F14" s="1676"/>
    </row>
    <row r="15">
      <c r="A15" s="1672" t="s">
        <v>3861</v>
      </c>
      <c r="B15" s="1677" t="s">
        <v>354</v>
      </c>
      <c r="C15" s="1678" t="s">
        <v>3104</v>
      </c>
      <c r="D15" s="1678" t="s">
        <v>1328</v>
      </c>
      <c r="E15" s="1676"/>
      <c r="F15" s="1676"/>
    </row>
    <row r="16">
      <c r="A16" s="1672" t="s">
        <v>3861</v>
      </c>
      <c r="B16" s="1677" t="s">
        <v>348</v>
      </c>
      <c r="C16" s="1678" t="s">
        <v>3104</v>
      </c>
      <c r="D16" s="1678" t="s">
        <v>1328</v>
      </c>
      <c r="E16" s="1676"/>
      <c r="F16" s="1676"/>
    </row>
    <row r="17">
      <c r="A17" s="1672" t="s">
        <v>3861</v>
      </c>
      <c r="B17" s="1677" t="s">
        <v>342</v>
      </c>
      <c r="C17" s="1678" t="s">
        <v>3104</v>
      </c>
      <c r="D17" s="1678" t="s">
        <v>1328</v>
      </c>
      <c r="E17" s="1676"/>
      <c r="F17" s="1676"/>
    </row>
    <row r="18">
      <c r="A18" s="1672" t="s">
        <v>3861</v>
      </c>
      <c r="B18" s="1677" t="s">
        <v>3863</v>
      </c>
      <c r="C18" s="1678" t="s">
        <v>3104</v>
      </c>
      <c r="D18" s="1678" t="s">
        <v>1328</v>
      </c>
      <c r="E18" s="1676"/>
      <c r="F18" s="1676"/>
    </row>
    <row r="19">
      <c r="A19" s="1672" t="s">
        <v>3861</v>
      </c>
      <c r="B19" s="1673" t="s">
        <v>3864</v>
      </c>
      <c r="C19" s="1674" t="s">
        <v>1425</v>
      </c>
      <c r="D19" s="1674" t="s">
        <v>1328</v>
      </c>
      <c r="E19" s="1676"/>
      <c r="F19" s="1676"/>
    </row>
    <row r="20">
      <c r="A20" s="1672" t="s">
        <v>3861</v>
      </c>
      <c r="B20" s="1659" t="s">
        <v>367</v>
      </c>
      <c r="C20" s="1679" t="s">
        <v>2953</v>
      </c>
      <c r="D20" s="1680" t="s">
        <v>1328</v>
      </c>
      <c r="E20" s="1676"/>
      <c r="F20" s="1676"/>
    </row>
    <row r="21">
      <c r="A21" s="1672" t="s">
        <v>3861</v>
      </c>
      <c r="B21" s="1677" t="s">
        <v>669</v>
      </c>
      <c r="C21" s="1678" t="s">
        <v>2955</v>
      </c>
      <c r="D21" s="1678" t="s">
        <v>1328</v>
      </c>
      <c r="E21" s="1676"/>
      <c r="F21" s="1676"/>
    </row>
    <row r="22">
      <c r="A22" s="1672" t="s">
        <v>3861</v>
      </c>
      <c r="B22" s="1673" t="s">
        <v>3865</v>
      </c>
      <c r="C22" s="1674" t="s">
        <v>3107</v>
      </c>
      <c r="D22" s="1674" t="s">
        <v>1328</v>
      </c>
      <c r="E22" s="1676"/>
      <c r="F22" s="1676"/>
    </row>
    <row r="23">
      <c r="A23" s="1672" t="s">
        <v>3861</v>
      </c>
      <c r="B23" s="1677" t="s">
        <v>275</v>
      </c>
      <c r="C23" s="1678" t="s">
        <v>3107</v>
      </c>
      <c r="D23" s="1678" t="s">
        <v>1328</v>
      </c>
      <c r="E23" s="1676"/>
      <c r="F23" s="1676"/>
    </row>
    <row r="24">
      <c r="A24" s="1672" t="s">
        <v>3861</v>
      </c>
      <c r="B24" s="1659" t="s">
        <v>251</v>
      </c>
      <c r="C24" s="1679" t="s">
        <v>2955</v>
      </c>
      <c r="D24" s="1680" t="s">
        <v>1328</v>
      </c>
      <c r="E24" s="1676"/>
      <c r="F24" s="1676"/>
    </row>
    <row r="25">
      <c r="A25" s="1672" t="s">
        <v>3861</v>
      </c>
      <c r="B25" s="1659" t="s">
        <v>504</v>
      </c>
      <c r="C25" s="1679" t="s">
        <v>2955</v>
      </c>
      <c r="D25" s="1680" t="s">
        <v>1328</v>
      </c>
      <c r="E25" s="1676"/>
      <c r="F25" s="1676"/>
    </row>
    <row r="26">
      <c r="A26" s="1672" t="s">
        <v>3861</v>
      </c>
      <c r="B26" s="1659" t="s">
        <v>373</v>
      </c>
      <c r="C26" s="1679" t="s">
        <v>2955</v>
      </c>
      <c r="D26" s="1680" t="s">
        <v>1328</v>
      </c>
      <c r="E26" s="1676"/>
      <c r="F26" s="1676"/>
    </row>
    <row r="27">
      <c r="A27" s="1672" t="s">
        <v>3861</v>
      </c>
      <c r="B27" s="1673" t="s">
        <v>254</v>
      </c>
      <c r="C27" s="1674" t="s">
        <v>3107</v>
      </c>
      <c r="D27" s="1674" t="s">
        <v>1328</v>
      </c>
      <c r="E27" s="1676"/>
      <c r="F27" s="1676"/>
    </row>
    <row r="28">
      <c r="A28" s="1672" t="s">
        <v>3861</v>
      </c>
      <c r="B28" s="1673" t="s">
        <v>1051</v>
      </c>
      <c r="C28" s="1674" t="s">
        <v>3113</v>
      </c>
      <c r="D28" s="1674" t="s">
        <v>1328</v>
      </c>
      <c r="E28" s="1676"/>
      <c r="F28" s="1676"/>
    </row>
    <row r="29">
      <c r="A29" s="1672" t="s">
        <v>3861</v>
      </c>
      <c r="B29" s="1673" t="s">
        <v>1216</v>
      </c>
      <c r="C29" s="1674" t="s">
        <v>3113</v>
      </c>
      <c r="D29" s="1674" t="s">
        <v>1328</v>
      </c>
      <c r="E29" s="1676"/>
      <c r="F29" s="1676"/>
    </row>
    <row r="30">
      <c r="A30" s="1672" t="s">
        <v>3861</v>
      </c>
      <c r="B30" s="1677" t="s">
        <v>205</v>
      </c>
      <c r="C30" s="1678" t="s">
        <v>1874</v>
      </c>
      <c r="D30" s="1678" t="s">
        <v>1328</v>
      </c>
      <c r="E30" s="1681"/>
      <c r="F30" s="1681"/>
    </row>
    <row r="31">
      <c r="A31" s="1672" t="s">
        <v>3861</v>
      </c>
      <c r="B31" s="1673" t="s">
        <v>371</v>
      </c>
      <c r="C31" s="1674" t="s">
        <v>1874</v>
      </c>
      <c r="D31" s="1678" t="s">
        <v>1328</v>
      </c>
      <c r="E31" s="1681"/>
      <c r="F31" s="1681"/>
    </row>
    <row r="32">
      <c r="A32" s="1672" t="s">
        <v>3861</v>
      </c>
      <c r="B32" s="1673" t="s">
        <v>306</v>
      </c>
      <c r="C32" s="1674" t="s">
        <v>1431</v>
      </c>
      <c r="D32" s="1674" t="s">
        <v>1328</v>
      </c>
      <c r="E32" s="1676"/>
      <c r="F32" s="1676"/>
    </row>
    <row r="33">
      <c r="A33" s="1672" t="s">
        <v>3861</v>
      </c>
      <c r="B33" s="1673" t="s">
        <v>1057</v>
      </c>
      <c r="C33" s="1674" t="s">
        <v>1451</v>
      </c>
      <c r="D33" s="1674" t="s">
        <v>1328</v>
      </c>
      <c r="E33" s="1676"/>
      <c r="F33" s="1676"/>
    </row>
    <row r="34">
      <c r="A34" s="1672" t="s">
        <v>3861</v>
      </c>
      <c r="B34" s="1677" t="s">
        <v>280</v>
      </c>
      <c r="C34" s="1678" t="s">
        <v>2945</v>
      </c>
      <c r="D34" s="1678" t="s">
        <v>1328</v>
      </c>
      <c r="E34" s="1676"/>
      <c r="F34" s="1676"/>
    </row>
    <row r="35">
      <c r="A35" s="1672" t="s">
        <v>3861</v>
      </c>
      <c r="B35" s="1659" t="s">
        <v>510</v>
      </c>
      <c r="C35" s="1679" t="s">
        <v>1874</v>
      </c>
      <c r="D35" s="1680" t="s">
        <v>1328</v>
      </c>
      <c r="E35" s="1681"/>
      <c r="F35" s="1681"/>
    </row>
    <row r="36">
      <c r="A36" s="1672" t="s">
        <v>3861</v>
      </c>
      <c r="B36" s="1673" t="s">
        <v>3866</v>
      </c>
      <c r="C36" s="1674" t="s">
        <v>1455</v>
      </c>
      <c r="D36" s="1674" t="s">
        <v>1328</v>
      </c>
      <c r="E36" s="1676"/>
      <c r="F36" s="1676"/>
    </row>
    <row r="37">
      <c r="A37" s="1672" t="s">
        <v>3867</v>
      </c>
      <c r="B37" s="1673" t="s">
        <v>3868</v>
      </c>
      <c r="C37" s="1674" t="s">
        <v>1334</v>
      </c>
      <c r="D37" s="1674" t="s">
        <v>3010</v>
      </c>
      <c r="E37" s="1675"/>
      <c r="F37" s="1675"/>
    </row>
    <row r="38">
      <c r="A38" s="1672" t="s">
        <v>3867</v>
      </c>
      <c r="B38" s="1673" t="s">
        <v>3869</v>
      </c>
      <c r="C38" s="1674" t="s">
        <v>1334</v>
      </c>
      <c r="D38" s="1674" t="s">
        <v>3010</v>
      </c>
      <c r="E38" s="1676"/>
      <c r="F38" s="1676"/>
    </row>
    <row r="39">
      <c r="A39" s="1672" t="s">
        <v>3867</v>
      </c>
      <c r="B39" s="1673" t="s">
        <v>3870</v>
      </c>
      <c r="C39" s="1674" t="s">
        <v>1334</v>
      </c>
      <c r="D39" s="1674" t="s">
        <v>1415</v>
      </c>
      <c r="E39" s="1676"/>
      <c r="F39" s="1676"/>
    </row>
    <row r="40">
      <c r="A40" s="1672" t="s">
        <v>3867</v>
      </c>
      <c r="B40" s="1673" t="s">
        <v>3871</v>
      </c>
      <c r="C40" s="1674" t="s">
        <v>1334</v>
      </c>
      <c r="D40" s="1674" t="s">
        <v>1451</v>
      </c>
      <c r="E40" s="1676"/>
      <c r="F40" s="1676"/>
    </row>
    <row r="41">
      <c r="A41" s="1672" t="s">
        <v>3867</v>
      </c>
      <c r="B41" s="1673" t="s">
        <v>3872</v>
      </c>
      <c r="C41" s="1674" t="s">
        <v>1334</v>
      </c>
      <c r="D41" s="1674" t="s">
        <v>1503</v>
      </c>
      <c r="E41" s="1676"/>
      <c r="F41" s="1676"/>
    </row>
    <row r="42">
      <c r="A42" s="1672" t="s">
        <v>3867</v>
      </c>
      <c r="B42" s="1673" t="s">
        <v>3873</v>
      </c>
      <c r="C42" s="1674" t="s">
        <v>1334</v>
      </c>
      <c r="D42" s="1674" t="s">
        <v>1455</v>
      </c>
      <c r="E42" s="1676"/>
      <c r="F42" s="1676"/>
    </row>
    <row r="43">
      <c r="A43" s="1672" t="s">
        <v>3874</v>
      </c>
      <c r="B43" s="1673" t="s">
        <v>3875</v>
      </c>
      <c r="C43" s="1674" t="s">
        <v>3010</v>
      </c>
      <c r="D43" s="1674" t="s">
        <v>1334</v>
      </c>
      <c r="E43" s="1676"/>
      <c r="F43" s="1676"/>
    </row>
    <row r="44">
      <c r="A44" s="1672" t="s">
        <v>3874</v>
      </c>
      <c r="B44" s="1673" t="s">
        <v>3876</v>
      </c>
      <c r="C44" s="1674" t="s">
        <v>1425</v>
      </c>
      <c r="D44" s="1674" t="s">
        <v>1334</v>
      </c>
      <c r="E44" s="1676"/>
      <c r="F44" s="1676"/>
    </row>
    <row r="45">
      <c r="A45" s="1672" t="s">
        <v>3874</v>
      </c>
      <c r="B45" s="1673" t="s">
        <v>3877</v>
      </c>
      <c r="C45" s="1674" t="s">
        <v>1431</v>
      </c>
      <c r="D45" s="1674" t="s">
        <v>1334</v>
      </c>
      <c r="E45" s="1676"/>
      <c r="F45" s="1676"/>
    </row>
    <row r="46">
      <c r="A46" s="1672" t="s">
        <v>3874</v>
      </c>
      <c r="B46" s="1673" t="s">
        <v>3878</v>
      </c>
      <c r="C46" s="1674" t="s">
        <v>3107</v>
      </c>
      <c r="D46" s="1674" t="s">
        <v>1334</v>
      </c>
      <c r="E46" s="1676"/>
      <c r="F46" s="1676"/>
    </row>
    <row r="47">
      <c r="A47" s="1672" t="s">
        <v>3874</v>
      </c>
      <c r="B47" s="1673" t="s">
        <v>3879</v>
      </c>
      <c r="C47" s="1674" t="s">
        <v>3107</v>
      </c>
      <c r="D47" s="1674" t="s">
        <v>1334</v>
      </c>
      <c r="E47" s="1676"/>
      <c r="F47" s="1676"/>
    </row>
    <row r="48">
      <c r="A48" s="1672" t="s">
        <v>3874</v>
      </c>
      <c r="B48" s="1673" t="s">
        <v>3880</v>
      </c>
      <c r="C48" s="1674" t="s">
        <v>1451</v>
      </c>
      <c r="D48" s="1674" t="s">
        <v>1334</v>
      </c>
      <c r="E48" s="1676"/>
      <c r="F48" s="1676"/>
    </row>
    <row r="49">
      <c r="A49" s="1672" t="s">
        <v>3874</v>
      </c>
      <c r="B49" s="1673" t="s">
        <v>3881</v>
      </c>
      <c r="C49" s="1674" t="s">
        <v>1451</v>
      </c>
      <c r="D49" s="1674" t="s">
        <v>1334</v>
      </c>
      <c r="E49" s="1676"/>
      <c r="F49" s="1676"/>
    </row>
    <row r="50">
      <c r="A50" s="1672" t="s">
        <v>3874</v>
      </c>
      <c r="B50" s="1673" t="s">
        <v>3882</v>
      </c>
      <c r="C50" s="1674" t="s">
        <v>1455</v>
      </c>
      <c r="D50" s="1674" t="s">
        <v>1334</v>
      </c>
      <c r="E50" s="1676"/>
      <c r="F50" s="1676"/>
    </row>
    <row r="51">
      <c r="A51" s="1672" t="s">
        <v>3883</v>
      </c>
      <c r="B51" s="1673" t="s">
        <v>3884</v>
      </c>
      <c r="C51" s="1674" t="s">
        <v>3010</v>
      </c>
      <c r="D51" s="1674" t="s">
        <v>1415</v>
      </c>
      <c r="E51" s="1676"/>
      <c r="F51" s="1676"/>
    </row>
    <row r="52">
      <c r="A52" s="1672" t="s">
        <v>3883</v>
      </c>
      <c r="B52" s="1673" t="s">
        <v>3885</v>
      </c>
      <c r="C52" s="1674" t="s">
        <v>3010</v>
      </c>
      <c r="D52" s="1674" t="s">
        <v>1415</v>
      </c>
      <c r="E52" s="1676"/>
      <c r="F52" s="1676"/>
    </row>
    <row r="53">
      <c r="A53" s="1672" t="s">
        <v>3883</v>
      </c>
      <c r="B53" s="1673" t="s">
        <v>186</v>
      </c>
      <c r="C53" s="1674" t="s">
        <v>3010</v>
      </c>
      <c r="D53" s="1674" t="s">
        <v>1503</v>
      </c>
      <c r="E53" s="1675"/>
      <c r="F53" s="1675"/>
    </row>
    <row r="54">
      <c r="A54" s="1672" t="s">
        <v>3883</v>
      </c>
      <c r="B54" s="1673" t="s">
        <v>3886</v>
      </c>
      <c r="C54" s="1674" t="s">
        <v>3010</v>
      </c>
      <c r="D54" s="1674" t="s">
        <v>1503</v>
      </c>
      <c r="E54" s="1676"/>
      <c r="F54" s="1676"/>
    </row>
    <row r="55">
      <c r="A55" s="1672" t="s">
        <v>3883</v>
      </c>
      <c r="B55" s="1673" t="s">
        <v>3887</v>
      </c>
      <c r="C55" s="1674" t="s">
        <v>3107</v>
      </c>
      <c r="D55" s="1674" t="s">
        <v>1425</v>
      </c>
      <c r="E55" s="1676"/>
      <c r="F55" s="1676"/>
    </row>
    <row r="56">
      <c r="A56" s="1672" t="s">
        <v>3883</v>
      </c>
      <c r="B56" s="1673" t="s">
        <v>3888</v>
      </c>
      <c r="C56" s="1674" t="s">
        <v>1449</v>
      </c>
      <c r="D56" s="1674" t="s">
        <v>3107</v>
      </c>
      <c r="E56" s="1676"/>
      <c r="F56" s="1676"/>
    </row>
    <row r="57">
      <c r="A57" s="1672" t="s">
        <v>3883</v>
      </c>
      <c r="B57" s="1673" t="s">
        <v>3889</v>
      </c>
      <c r="C57" s="1674" t="s">
        <v>1449</v>
      </c>
      <c r="D57" s="1674" t="s">
        <v>2955</v>
      </c>
      <c r="E57" s="1676"/>
      <c r="F57" s="1676"/>
    </row>
    <row r="58">
      <c r="A58" s="1672" t="s">
        <v>3883</v>
      </c>
      <c r="B58" s="1673" t="s">
        <v>3890</v>
      </c>
      <c r="C58" s="1674" t="s">
        <v>1449</v>
      </c>
      <c r="D58" s="1674" t="s">
        <v>1874</v>
      </c>
      <c r="E58" s="1676"/>
      <c r="F58" s="1676"/>
    </row>
    <row r="59">
      <c r="A59" s="1672" t="s">
        <v>3883</v>
      </c>
      <c r="B59" s="1673" t="s">
        <v>1242</v>
      </c>
      <c r="C59" s="1674" t="s">
        <v>1451</v>
      </c>
      <c r="D59" s="1674" t="s">
        <v>3107</v>
      </c>
      <c r="E59" s="1676"/>
      <c r="F59" s="1676"/>
    </row>
    <row r="60">
      <c r="A60" s="1672" t="s">
        <v>3883</v>
      </c>
      <c r="B60" s="1673" t="s">
        <v>3891</v>
      </c>
      <c r="C60" s="1674" t="s">
        <v>1451</v>
      </c>
      <c r="D60" s="1674" t="s">
        <v>2955</v>
      </c>
      <c r="E60" s="1676"/>
      <c r="F60" s="1676"/>
    </row>
    <row r="61">
      <c r="A61" s="1672" t="s">
        <v>3883</v>
      </c>
      <c r="B61" s="1673" t="s">
        <v>1272</v>
      </c>
      <c r="C61" s="1674" t="s">
        <v>1451</v>
      </c>
      <c r="D61" s="1674" t="s">
        <v>1874</v>
      </c>
      <c r="E61" s="1676"/>
      <c r="F61" s="1676"/>
    </row>
    <row r="62">
      <c r="A62" s="1672" t="s">
        <v>3883</v>
      </c>
      <c r="B62" s="1673" t="s">
        <v>1247</v>
      </c>
      <c r="C62" s="1674" t="s">
        <v>1453</v>
      </c>
      <c r="D62" s="1674" t="s">
        <v>3107</v>
      </c>
      <c r="E62" s="1676"/>
      <c r="F62" s="1676"/>
    </row>
    <row r="63">
      <c r="A63" s="1672" t="s">
        <v>3883</v>
      </c>
      <c r="B63" s="1673" t="s">
        <v>3892</v>
      </c>
      <c r="C63" s="1674" t="s">
        <v>1453</v>
      </c>
      <c r="D63" s="1674" t="s">
        <v>2955</v>
      </c>
      <c r="E63" s="1676"/>
      <c r="F63" s="1676"/>
    </row>
    <row r="64">
      <c r="A64" s="1672" t="s">
        <v>3883</v>
      </c>
      <c r="B64" s="1673" t="s">
        <v>1275</v>
      </c>
      <c r="C64" s="1674" t="s">
        <v>1453</v>
      </c>
      <c r="D64" s="1674" t="s">
        <v>1874</v>
      </c>
      <c r="E64" s="1676"/>
      <c r="F64" s="1676"/>
    </row>
    <row r="65">
      <c r="A65" s="1672" t="s">
        <v>3883</v>
      </c>
      <c r="B65" s="1673" t="s">
        <v>1252</v>
      </c>
      <c r="C65" s="1674" t="s">
        <v>1457</v>
      </c>
      <c r="D65" s="1674" t="s">
        <v>3107</v>
      </c>
      <c r="E65" s="1676"/>
      <c r="F65" s="1676"/>
    </row>
    <row r="66">
      <c r="A66" s="1672" t="s">
        <v>3883</v>
      </c>
      <c r="B66" s="1673" t="s">
        <v>3893</v>
      </c>
      <c r="C66" s="1674" t="s">
        <v>1457</v>
      </c>
      <c r="D66" s="1674" t="s">
        <v>2955</v>
      </c>
      <c r="E66" s="1676"/>
      <c r="F66" s="1676"/>
    </row>
    <row r="67">
      <c r="A67" s="1672" t="s">
        <v>3883</v>
      </c>
      <c r="B67" s="1673" t="s">
        <v>3894</v>
      </c>
      <c r="C67" s="1674" t="s">
        <v>1457</v>
      </c>
      <c r="D67" s="1674" t="s">
        <v>1874</v>
      </c>
      <c r="E67" s="1676"/>
      <c r="F67" s="1676"/>
    </row>
    <row r="68">
      <c r="A68" s="1672" t="s">
        <v>3883</v>
      </c>
      <c r="B68" s="1673" t="s">
        <v>180</v>
      </c>
      <c r="C68" s="1674" t="s">
        <v>2945</v>
      </c>
      <c r="D68" s="1674" t="s">
        <v>3010</v>
      </c>
      <c r="E68" s="1676"/>
      <c r="F68" s="1676"/>
    </row>
    <row r="69">
      <c r="A69" s="1672" t="s">
        <v>3883</v>
      </c>
      <c r="B69" s="1677" t="s">
        <v>3895</v>
      </c>
      <c r="C69" s="1678" t="s">
        <v>3205</v>
      </c>
      <c r="D69" s="1678" t="s">
        <v>3104</v>
      </c>
      <c r="E69" s="1676"/>
      <c r="F69" s="1676"/>
    </row>
    <row r="70">
      <c r="A70" s="1672" t="s">
        <v>3883</v>
      </c>
      <c r="B70" s="1677" t="s">
        <v>173</v>
      </c>
      <c r="C70" s="1678" t="s">
        <v>2955</v>
      </c>
      <c r="D70" s="1678" t="s">
        <v>3104</v>
      </c>
      <c r="E70" s="1676"/>
      <c r="F70" s="1676"/>
    </row>
    <row r="71">
      <c r="A71" s="1672" t="s">
        <v>3883</v>
      </c>
      <c r="B71" s="1677" t="s">
        <v>249</v>
      </c>
      <c r="C71" s="1678" t="s">
        <v>1874</v>
      </c>
      <c r="D71" s="1678" t="s">
        <v>3104</v>
      </c>
      <c r="E71" s="1681"/>
      <c r="F71" s="1681"/>
    </row>
    <row r="72">
      <c r="A72" s="1672" t="s">
        <v>3883</v>
      </c>
      <c r="B72" s="1673" t="s">
        <v>3896</v>
      </c>
      <c r="C72" s="1674" t="s">
        <v>1874</v>
      </c>
      <c r="D72" s="1674" t="s">
        <v>1431</v>
      </c>
      <c r="E72" s="1676"/>
      <c r="F72" s="1676"/>
    </row>
    <row r="73">
      <c r="A73" s="1672" t="s">
        <v>3883</v>
      </c>
      <c r="B73" s="1677" t="s">
        <v>266</v>
      </c>
      <c r="C73" s="1678" t="s">
        <v>1874</v>
      </c>
      <c r="D73" s="1678" t="s">
        <v>3107</v>
      </c>
      <c r="E73" s="1676"/>
      <c r="F73" s="1676"/>
    </row>
    <row r="74">
      <c r="A74" s="1672" t="s">
        <v>3883</v>
      </c>
      <c r="B74" s="1677" t="s">
        <v>617</v>
      </c>
      <c r="C74" s="1678" t="s">
        <v>1874</v>
      </c>
      <c r="D74" s="1678" t="s">
        <v>3107</v>
      </c>
      <c r="E74" s="1676"/>
      <c r="F74" s="1676"/>
    </row>
    <row r="75">
      <c r="A75" s="1672" t="s">
        <v>3883</v>
      </c>
      <c r="B75" s="1673" t="s">
        <v>577</v>
      </c>
      <c r="C75" s="1674" t="s">
        <v>1875</v>
      </c>
      <c r="D75" s="1674" t="s">
        <v>3116</v>
      </c>
      <c r="E75" s="1676"/>
      <c r="F75" s="1676"/>
    </row>
    <row r="76">
      <c r="A76" s="1672" t="s">
        <v>3883</v>
      </c>
      <c r="B76" s="1673" t="s">
        <v>3897</v>
      </c>
      <c r="C76" s="1674" t="s">
        <v>2955</v>
      </c>
      <c r="D76" s="1674" t="s">
        <v>3118</v>
      </c>
      <c r="E76" s="1676"/>
      <c r="F76" s="1676"/>
    </row>
    <row r="77">
      <c r="A77" s="1672" t="s">
        <v>3898</v>
      </c>
      <c r="B77" s="1673" t="s">
        <v>167</v>
      </c>
      <c r="C77" s="1674" t="s">
        <v>3024</v>
      </c>
      <c r="D77" s="1678" t="s">
        <v>1484</v>
      </c>
      <c r="E77" s="1676"/>
      <c r="F77" s="1676"/>
    </row>
    <row r="78">
      <c r="A78" s="1672" t="s">
        <v>3898</v>
      </c>
      <c r="B78" s="1677" t="s">
        <v>163</v>
      </c>
      <c r="C78" s="1678" t="s">
        <v>3030</v>
      </c>
      <c r="D78" s="1678" t="s">
        <v>1484</v>
      </c>
      <c r="E78" s="1676"/>
      <c r="F78" s="1676"/>
    </row>
    <row r="79">
      <c r="A79" s="1672" t="s">
        <v>3898</v>
      </c>
      <c r="B79" s="1677" t="s">
        <v>3899</v>
      </c>
      <c r="C79" s="1678" t="s">
        <v>3065</v>
      </c>
      <c r="D79" s="1678" t="s">
        <v>1484</v>
      </c>
      <c r="E79" s="1676"/>
      <c r="F79" s="1676"/>
    </row>
    <row r="80">
      <c r="A80" s="1672" t="s">
        <v>3900</v>
      </c>
      <c r="B80" s="1673" t="s">
        <v>3901</v>
      </c>
      <c r="C80" s="1674" t="s">
        <v>1875</v>
      </c>
      <c r="D80" s="1674" t="s">
        <v>3107</v>
      </c>
      <c r="E80" s="1676"/>
      <c r="F80" s="1676"/>
    </row>
    <row r="81">
      <c r="A81" s="1672" t="s">
        <v>3900</v>
      </c>
      <c r="B81" s="1677" t="s">
        <v>292</v>
      </c>
      <c r="C81" s="1678" t="s">
        <v>1875</v>
      </c>
      <c r="D81" s="1678" t="s">
        <v>3107</v>
      </c>
      <c r="E81" s="1676"/>
      <c r="F81" s="1676"/>
    </row>
    <row r="82">
      <c r="A82" s="1672" t="s">
        <v>3900</v>
      </c>
      <c r="B82" s="1677" t="s">
        <v>297</v>
      </c>
      <c r="C82" s="1678" t="s">
        <v>1875</v>
      </c>
      <c r="D82" s="1678" t="s">
        <v>3107</v>
      </c>
      <c r="E82" s="1676"/>
      <c r="F82" s="1676"/>
    </row>
    <row r="83">
      <c r="A83" s="1672" t="s">
        <v>3900</v>
      </c>
      <c r="B83" s="1673" t="s">
        <v>733</v>
      </c>
      <c r="C83" s="1674" t="s">
        <v>1875</v>
      </c>
      <c r="D83" s="1674" t="s">
        <v>3109</v>
      </c>
      <c r="E83" s="1676"/>
      <c r="F83" s="1676"/>
    </row>
    <row r="84">
      <c r="A84" s="1672" t="s">
        <v>3900</v>
      </c>
      <c r="B84" s="1673" t="s">
        <v>200</v>
      </c>
      <c r="C84" s="1674" t="s">
        <v>1875</v>
      </c>
      <c r="D84" s="1674" t="s">
        <v>3111</v>
      </c>
      <c r="E84" s="1676"/>
      <c r="F84" s="1676"/>
    </row>
    <row r="85">
      <c r="A85" s="1672" t="s">
        <v>3900</v>
      </c>
      <c r="B85" s="1673" t="s">
        <v>193</v>
      </c>
      <c r="C85" s="1674" t="s">
        <v>1875</v>
      </c>
      <c r="D85" s="1674" t="s">
        <v>3113</v>
      </c>
      <c r="E85" s="1676"/>
      <c r="F85" s="1676"/>
    </row>
    <row r="86">
      <c r="A86" s="1672" t="s">
        <v>3900</v>
      </c>
      <c r="B86" s="1673" t="s">
        <v>189</v>
      </c>
      <c r="C86" s="1674" t="s">
        <v>1875</v>
      </c>
      <c r="D86" s="1674" t="s">
        <v>3114</v>
      </c>
      <c r="E86" s="1676"/>
      <c r="F86" s="1676"/>
    </row>
    <row r="87">
      <c r="A87" s="1672" t="s">
        <v>3900</v>
      </c>
      <c r="B87" s="1673" t="s">
        <v>582</v>
      </c>
      <c r="C87" s="1674" t="s">
        <v>1875</v>
      </c>
      <c r="D87" s="1674" t="s">
        <v>3115</v>
      </c>
      <c r="E87" s="1676"/>
      <c r="F87" s="1676"/>
    </row>
    <row r="88">
      <c r="A88" s="1672" t="s">
        <v>3900</v>
      </c>
      <c r="B88" s="1673" t="s">
        <v>333</v>
      </c>
      <c r="C88" s="1674" t="s">
        <v>1875</v>
      </c>
      <c r="D88" s="1674" t="s">
        <v>1455</v>
      </c>
      <c r="E88" s="1676"/>
      <c r="F88" s="1676"/>
    </row>
    <row r="89">
      <c r="A89" s="1672" t="s">
        <v>3900</v>
      </c>
      <c r="B89" s="1677" t="s">
        <v>328</v>
      </c>
      <c r="C89" s="1678" t="s">
        <v>1503</v>
      </c>
      <c r="D89" s="1678" t="s">
        <v>2943</v>
      </c>
      <c r="E89" s="1676"/>
      <c r="F89" s="1676"/>
    </row>
    <row r="90">
      <c r="A90" s="1672" t="s">
        <v>3900</v>
      </c>
      <c r="B90" s="1673" t="s">
        <v>3902</v>
      </c>
      <c r="C90" s="1674" t="s">
        <v>2948</v>
      </c>
      <c r="D90" s="1674" t="s">
        <v>1875</v>
      </c>
      <c r="E90" s="1676"/>
      <c r="F90" s="1676"/>
    </row>
    <row r="91">
      <c r="A91" s="1672" t="s">
        <v>3900</v>
      </c>
      <c r="B91" s="1677" t="s">
        <v>3903</v>
      </c>
      <c r="C91" s="1678" t="s">
        <v>2948</v>
      </c>
      <c r="D91" s="1678" t="s">
        <v>1875</v>
      </c>
      <c r="E91" s="1676"/>
      <c r="F91" s="1676"/>
    </row>
    <row r="92">
      <c r="A92" s="1672" t="s">
        <v>3900</v>
      </c>
      <c r="B92" s="1677" t="s">
        <v>326</v>
      </c>
      <c r="C92" s="1678" t="s">
        <v>2943</v>
      </c>
      <c r="D92" s="1678" t="s">
        <v>2948</v>
      </c>
      <c r="E92" s="1676"/>
      <c r="F92" s="1676"/>
    </row>
    <row r="93">
      <c r="A93" s="1672" t="s">
        <v>3900</v>
      </c>
      <c r="B93" s="1677" t="s">
        <v>321</v>
      </c>
      <c r="C93" s="1678" t="s">
        <v>2943</v>
      </c>
      <c r="D93" s="1678" t="s">
        <v>2955</v>
      </c>
      <c r="E93" s="1676"/>
      <c r="F93" s="1676"/>
    </row>
    <row r="94">
      <c r="A94" s="1672" t="s">
        <v>3900</v>
      </c>
      <c r="B94" s="1677" t="s">
        <v>316</v>
      </c>
      <c r="C94" s="1678" t="s">
        <v>2943</v>
      </c>
      <c r="D94" s="1678" t="s">
        <v>1874</v>
      </c>
      <c r="E94" s="1676"/>
      <c r="F94" s="1676"/>
    </row>
    <row r="95">
      <c r="A95" s="1672"/>
      <c r="B95" s="1682"/>
      <c r="C95" s="1683"/>
      <c r="D95" s="1683"/>
      <c r="E95" s="1589"/>
      <c r="F95" s="1589"/>
    </row>
    <row r="96">
      <c r="A96" s="1672"/>
      <c r="B96" s="1682"/>
      <c r="C96" s="1683"/>
      <c r="D96" s="1683"/>
      <c r="E96" s="1589"/>
      <c r="F96" s="1589"/>
    </row>
    <row r="97">
      <c r="A97" s="1672"/>
      <c r="B97" s="1682"/>
      <c r="C97" s="1683"/>
      <c r="D97" s="1683"/>
      <c r="E97" s="1589"/>
      <c r="F97" s="1589"/>
    </row>
    <row r="98">
      <c r="A98" s="1672"/>
      <c r="B98" s="1682"/>
      <c r="C98" s="1683"/>
      <c r="D98" s="1683"/>
      <c r="E98" s="1589"/>
      <c r="F98" s="1589"/>
    </row>
    <row r="99">
      <c r="A99" s="1672"/>
      <c r="B99" s="1682"/>
      <c r="C99" s="1683"/>
      <c r="D99" s="1683"/>
      <c r="E99" s="1589"/>
      <c r="F99" s="1589"/>
    </row>
    <row r="100">
      <c r="A100" s="1684"/>
      <c r="B100" s="1673"/>
      <c r="C100" s="1674"/>
      <c r="D100" s="1683"/>
      <c r="E100" s="1589"/>
      <c r="F100" s="1589"/>
    </row>
  </sheetData>
  <dataValidations>
    <dataValidation type="list" allowBlank="1" showErrorMessage="1" sqref="C3:D100">
      <formula1>MA_CODE</formula1>
    </dataValidation>
  </dataValidation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14"/>
    <col customWidth="1" min="2" max="2" width="2.29"/>
    <col customWidth="1" min="3" max="3" width="35.29"/>
    <col customWidth="1" min="4" max="4" width="2.57"/>
    <col customWidth="1" min="5" max="5" width="7.14"/>
    <col customWidth="1" min="6" max="6" width="2.0"/>
    <col customWidth="1" min="7" max="7" width="7.0"/>
    <col customWidth="1" min="8" max="8" width="2.43"/>
    <col customWidth="1" min="9" max="9" width="13.86"/>
    <col customWidth="1" min="10" max="10" width="2.0"/>
    <col customWidth="1" min="11" max="11" width="13.29"/>
    <col customWidth="1" min="12" max="12" width="2.29"/>
    <col customWidth="1" min="13" max="13" width="13.29"/>
    <col customWidth="1" min="14" max="14" width="1.86"/>
    <col customWidth="1" min="15" max="15" width="11.57"/>
    <col customWidth="1" min="16" max="16" width="1.86"/>
    <col customWidth="1" min="17" max="17" width="10.29"/>
    <col customWidth="1" min="18" max="18" width="1.86"/>
    <col customWidth="1" min="19" max="19" width="10.0"/>
    <col customWidth="1" min="20" max="20" width="2.0"/>
    <col customWidth="1" min="21" max="21" width="9.29"/>
    <col customWidth="1" min="22" max="22" width="2.0"/>
    <col customWidth="1" min="23" max="23" width="10.0"/>
    <col customWidth="1" min="24" max="24" width="1.86"/>
    <col customWidth="1" min="25" max="25" width="9.86"/>
    <col customWidth="1" min="26" max="26" width="1.71"/>
    <col customWidth="1" min="27" max="27" width="13.29"/>
  </cols>
  <sheetData>
    <row r="1">
      <c r="A1" s="1685" t="s">
        <v>3852</v>
      </c>
      <c r="B1" s="1686"/>
      <c r="C1" s="1687"/>
      <c r="D1" s="1686"/>
      <c r="E1" s="1686"/>
      <c r="F1" s="1686"/>
      <c r="G1" s="1686"/>
      <c r="H1" s="1686"/>
      <c r="I1" s="1686"/>
      <c r="J1" s="1686"/>
      <c r="K1" s="1686"/>
      <c r="L1" s="1686"/>
      <c r="M1" s="1686"/>
      <c r="N1" s="1686"/>
      <c r="O1" s="1686"/>
      <c r="P1" s="1686"/>
      <c r="Q1" s="1686"/>
      <c r="R1" s="1686"/>
      <c r="S1" s="1686"/>
      <c r="T1" s="1686"/>
      <c r="U1" s="1686"/>
      <c r="V1" s="1686"/>
      <c r="W1" s="1686"/>
      <c r="X1" s="1686"/>
      <c r="Y1" s="1686"/>
      <c r="Z1" s="1686"/>
      <c r="AA1" s="1686"/>
    </row>
    <row r="2">
      <c r="A2" s="1688" t="s">
        <v>3904</v>
      </c>
      <c r="B2" s="1689"/>
      <c r="C2" s="1688" t="s">
        <v>3905</v>
      </c>
      <c r="D2" s="1690"/>
      <c r="E2" s="1691" t="s">
        <v>3906</v>
      </c>
      <c r="F2" s="1025"/>
      <c r="G2" s="1026"/>
      <c r="H2" s="1690"/>
      <c r="I2" s="1690"/>
      <c r="J2" s="1690"/>
      <c r="K2" s="1690"/>
      <c r="L2" s="1690"/>
      <c r="M2" s="1690"/>
      <c r="N2" s="1690"/>
      <c r="O2" s="1690"/>
      <c r="P2" s="1690"/>
      <c r="Q2" s="1690"/>
      <c r="R2" s="1690"/>
      <c r="S2" s="1690"/>
      <c r="T2" s="1690"/>
      <c r="U2" s="1690"/>
      <c r="V2" s="1690"/>
      <c r="W2" s="1690"/>
      <c r="X2" s="1690"/>
      <c r="Y2" s="1690"/>
      <c r="Z2" s="1690"/>
      <c r="AA2" s="1690"/>
    </row>
    <row r="3">
      <c r="A3" s="1687"/>
      <c r="B3" s="1692"/>
      <c r="C3" s="1693" t="s">
        <v>3563</v>
      </c>
      <c r="D3" s="1694"/>
      <c r="E3" s="1695">
        <v>44566.0</v>
      </c>
      <c r="F3" s="1696"/>
      <c r="G3" s="1697"/>
      <c r="H3" s="1698"/>
      <c r="I3" s="1686"/>
      <c r="J3" s="1686"/>
      <c r="K3" s="1686"/>
      <c r="L3" s="1686"/>
      <c r="M3" s="1686"/>
      <c r="N3" s="1686"/>
      <c r="O3" s="1686"/>
      <c r="P3" s="1686"/>
      <c r="Q3" s="1686"/>
      <c r="R3" s="1686"/>
      <c r="S3" s="1686"/>
      <c r="T3" s="1686"/>
      <c r="U3" s="1686"/>
      <c r="V3" s="1686"/>
      <c r="W3" s="1686"/>
      <c r="X3" s="1686"/>
      <c r="Y3" s="1686"/>
      <c r="Z3" s="1686"/>
      <c r="AA3" s="1686"/>
    </row>
    <row r="4">
      <c r="A4" s="1699" t="s">
        <v>149</v>
      </c>
      <c r="B4" s="1689"/>
      <c r="C4" s="1689" t="s">
        <v>150</v>
      </c>
      <c r="D4" s="1690"/>
      <c r="E4" s="1700"/>
      <c r="F4" s="1700"/>
      <c r="G4" s="1690"/>
      <c r="H4" s="1690"/>
      <c r="I4" s="1690"/>
      <c r="J4" s="1690"/>
      <c r="K4" s="1690"/>
      <c r="L4" s="1690"/>
      <c r="M4" s="1690"/>
      <c r="N4" s="1690"/>
      <c r="O4" s="1690"/>
      <c r="P4" s="1690"/>
      <c r="Q4" s="1690"/>
      <c r="R4" s="1690"/>
      <c r="S4" s="1690"/>
      <c r="T4" s="1690"/>
      <c r="U4" s="1690"/>
      <c r="V4" s="1690"/>
      <c r="W4" s="1690"/>
      <c r="X4" s="1690"/>
      <c r="Y4" s="1690"/>
      <c r="Z4" s="1690"/>
      <c r="AA4" s="1690"/>
    </row>
    <row r="5">
      <c r="A5" s="1687"/>
      <c r="B5" s="1686"/>
      <c r="C5" s="1687"/>
      <c r="D5" s="1686"/>
      <c r="E5" s="1686"/>
      <c r="F5" s="1686"/>
      <c r="G5" s="1686"/>
      <c r="H5" s="1686"/>
      <c r="I5" s="1686"/>
      <c r="J5" s="1686"/>
      <c r="K5" s="1686"/>
      <c r="L5" s="1686"/>
      <c r="M5" s="1686"/>
      <c r="N5" s="1686"/>
      <c r="O5" s="1686"/>
      <c r="P5" s="1686"/>
      <c r="Q5" s="1686"/>
      <c r="R5" s="1686"/>
      <c r="S5" s="1686"/>
      <c r="T5" s="1686"/>
      <c r="U5" s="1686"/>
      <c r="V5" s="1686"/>
      <c r="W5" s="1686"/>
      <c r="X5" s="1686"/>
      <c r="Y5" s="1686"/>
      <c r="Z5" s="1686"/>
      <c r="AA5" s="1686"/>
    </row>
    <row r="6">
      <c r="A6" s="1689" t="s">
        <v>1362</v>
      </c>
      <c r="B6" s="1689"/>
      <c r="C6" s="1689" t="s">
        <v>1759</v>
      </c>
      <c r="D6" s="1690"/>
      <c r="E6" s="1690"/>
      <c r="F6" s="1690"/>
      <c r="G6" s="1690"/>
      <c r="H6" s="1690"/>
      <c r="I6" s="1690"/>
      <c r="J6" s="1690"/>
      <c r="K6" s="1690"/>
      <c r="L6" s="1690"/>
      <c r="M6" s="1690"/>
      <c r="N6" s="1690"/>
      <c r="O6" s="1690"/>
      <c r="P6" s="1690"/>
      <c r="Q6" s="1690"/>
      <c r="R6" s="1690"/>
      <c r="S6" s="1690"/>
      <c r="T6" s="1690"/>
      <c r="U6" s="1690"/>
      <c r="V6" s="1690"/>
      <c r="W6" s="1690"/>
      <c r="X6" s="1690"/>
      <c r="Y6" s="1690"/>
      <c r="Z6" s="1690"/>
      <c r="AA6" s="1690"/>
    </row>
    <row r="7">
      <c r="A7" s="1687"/>
      <c r="B7" s="1686"/>
      <c r="C7" s="1687"/>
      <c r="D7" s="1686"/>
      <c r="E7" s="1686"/>
      <c r="F7" s="1686"/>
      <c r="G7" s="1686"/>
      <c r="H7" s="1686"/>
      <c r="I7" s="1686"/>
      <c r="J7" s="1686"/>
      <c r="K7" s="1686"/>
      <c r="L7" s="1686"/>
      <c r="M7" s="1686"/>
      <c r="N7" s="1686"/>
      <c r="O7" s="1686"/>
      <c r="P7" s="1686"/>
      <c r="Q7" s="1686"/>
      <c r="R7" s="1686"/>
      <c r="S7" s="1686"/>
      <c r="T7" s="1686"/>
      <c r="U7" s="1686"/>
      <c r="V7" s="1686"/>
      <c r="W7" s="1686"/>
      <c r="X7" s="1686"/>
      <c r="Y7" s="1686"/>
      <c r="Z7" s="1686"/>
      <c r="AA7" s="1686"/>
    </row>
    <row r="8">
      <c r="A8" s="1686"/>
      <c r="B8" s="1686"/>
      <c r="C8" s="1686"/>
      <c r="D8" s="1686"/>
      <c r="E8" s="1686"/>
      <c r="F8" s="1686"/>
      <c r="G8" s="1686"/>
      <c r="H8" s="1686"/>
      <c r="I8" s="1686"/>
      <c r="J8" s="1686"/>
      <c r="K8" s="1686"/>
      <c r="L8" s="1686"/>
      <c r="M8" s="1686"/>
      <c r="N8" s="1686"/>
      <c r="O8" s="1686"/>
      <c r="P8" s="1686"/>
      <c r="Q8" s="1686"/>
      <c r="R8" s="1686"/>
      <c r="S8" s="1686"/>
      <c r="T8" s="1686"/>
      <c r="U8" s="1686"/>
      <c r="V8" s="1686"/>
      <c r="W8" s="1686"/>
      <c r="X8" s="1686"/>
      <c r="Y8" s="1686"/>
      <c r="Z8" s="1686"/>
      <c r="AA8" s="1686"/>
    </row>
    <row r="9">
      <c r="A9" s="1701" t="s">
        <v>3907</v>
      </c>
      <c r="B9" s="1686"/>
      <c r="C9" s="1686"/>
      <c r="D9" s="1686"/>
      <c r="E9" s="1686"/>
      <c r="F9" s="1686"/>
      <c r="G9" s="1686"/>
      <c r="H9" s="1686"/>
      <c r="I9" s="1686"/>
      <c r="J9" s="1686"/>
      <c r="K9" s="1686"/>
      <c r="L9" s="1686"/>
      <c r="M9" s="1686"/>
      <c r="N9" s="1686"/>
      <c r="O9" s="1686"/>
      <c r="P9" s="1686"/>
      <c r="Q9" s="1686"/>
      <c r="R9" s="1686"/>
      <c r="S9" s="1686"/>
      <c r="T9" s="1686"/>
      <c r="U9" s="1686"/>
      <c r="V9" s="1686"/>
      <c r="W9" s="1686"/>
      <c r="X9" s="1686"/>
      <c r="Y9" s="1686"/>
      <c r="Z9" s="1686"/>
      <c r="AA9" s="1686"/>
    </row>
    <row r="10">
      <c r="A10" s="1702" t="s">
        <v>3908</v>
      </c>
      <c r="B10" s="1703"/>
      <c r="C10" s="1702" t="s">
        <v>1759</v>
      </c>
      <c r="D10" s="1703"/>
      <c r="E10" s="1702" t="s">
        <v>3853</v>
      </c>
      <c r="F10" s="1702"/>
      <c r="G10" s="1702" t="s">
        <v>3854</v>
      </c>
      <c r="H10" s="1702"/>
      <c r="I10" s="1702" t="s">
        <v>126</v>
      </c>
      <c r="J10" s="1702"/>
      <c r="K10" s="1702" t="s">
        <v>3909</v>
      </c>
      <c r="L10" s="1702"/>
      <c r="M10" s="1702" t="s">
        <v>3910</v>
      </c>
      <c r="N10" s="1702"/>
      <c r="O10" s="1702" t="s">
        <v>89</v>
      </c>
      <c r="P10" s="1702"/>
      <c r="Q10" s="1702" t="s">
        <v>1362</v>
      </c>
      <c r="R10" s="1702"/>
      <c r="S10" s="1702" t="s">
        <v>3911</v>
      </c>
      <c r="T10" s="1702"/>
      <c r="U10" s="1702" t="s">
        <v>1322</v>
      </c>
      <c r="V10" s="1702"/>
      <c r="W10" s="1702" t="s">
        <v>1829</v>
      </c>
      <c r="X10" s="1703"/>
      <c r="Y10" s="1702" t="s">
        <v>1323</v>
      </c>
      <c r="Z10" s="1702"/>
      <c r="AA10" s="1702" t="s">
        <v>3912</v>
      </c>
    </row>
    <row r="11">
      <c r="A11" s="1687"/>
      <c r="B11" s="1686"/>
      <c r="C11" s="1687"/>
      <c r="D11" s="1686"/>
      <c r="E11" s="1687"/>
      <c r="F11" s="661"/>
      <c r="G11" s="1687"/>
      <c r="H11" s="1686"/>
      <c r="I11" s="1687"/>
      <c r="J11" s="1686"/>
      <c r="K11" s="1687"/>
      <c r="L11" s="1686"/>
      <c r="M11" s="1687"/>
      <c r="N11" s="1686"/>
      <c r="O11" s="1687"/>
      <c r="P11" s="1686"/>
      <c r="Q11" s="1687"/>
      <c r="R11" s="1686"/>
      <c r="S11" s="1687"/>
      <c r="T11" s="661"/>
      <c r="U11" s="1687"/>
      <c r="V11" s="661"/>
      <c r="W11" s="1687"/>
      <c r="X11" s="1686"/>
      <c r="Y11" s="1687"/>
      <c r="Z11" s="1686"/>
      <c r="AA11" s="1687"/>
    </row>
    <row r="12">
      <c r="A12" s="1704"/>
      <c r="B12" s="1686"/>
      <c r="C12" s="1686"/>
      <c r="D12" s="1686"/>
      <c r="E12" s="1686"/>
      <c r="F12" s="1686"/>
      <c r="G12" s="1686"/>
      <c r="H12" s="1686"/>
      <c r="I12" s="1686"/>
      <c r="J12" s="1686"/>
      <c r="K12" s="1686"/>
      <c r="L12" s="1686"/>
      <c r="M12" s="1686"/>
      <c r="N12" s="1686"/>
      <c r="O12" s="1686"/>
      <c r="P12" s="1686"/>
      <c r="Q12" s="1686"/>
      <c r="R12" s="1686"/>
      <c r="S12" s="1686"/>
      <c r="T12" s="1686"/>
      <c r="U12" s="1686"/>
      <c r="V12" s="1686"/>
      <c r="W12" s="1686"/>
      <c r="X12" s="1686"/>
      <c r="Y12" s="1686"/>
      <c r="Z12" s="1686"/>
      <c r="AA12" s="1686"/>
    </row>
    <row r="13">
      <c r="A13" s="1705" t="s">
        <v>3913</v>
      </c>
      <c r="B13" s="1698"/>
      <c r="C13" s="1686"/>
      <c r="D13" s="1686"/>
      <c r="E13" s="1686"/>
      <c r="F13" s="1686"/>
      <c r="G13" s="1686"/>
      <c r="H13" s="1686"/>
      <c r="I13" s="1686"/>
      <c r="J13" s="1686"/>
      <c r="K13" s="1686"/>
      <c r="L13" s="1686"/>
      <c r="M13" s="1686"/>
      <c r="N13" s="1686"/>
      <c r="O13" s="1686"/>
      <c r="P13" s="1686"/>
      <c r="Q13" s="1686"/>
      <c r="R13" s="1686"/>
      <c r="S13" s="1686"/>
      <c r="T13" s="1686"/>
      <c r="U13" s="1686"/>
      <c r="V13" s="1686"/>
      <c r="W13" s="1686"/>
      <c r="X13" s="1686"/>
      <c r="Y13" s="1686"/>
      <c r="Z13" s="1686"/>
      <c r="AA13" s="1686"/>
    </row>
    <row r="14">
      <c r="A14" s="1706"/>
      <c r="B14" s="1686"/>
      <c r="C14" s="1686"/>
      <c r="D14" s="1686"/>
      <c r="E14" s="1686"/>
      <c r="F14" s="1686"/>
      <c r="G14" s="1686"/>
      <c r="H14" s="1686"/>
      <c r="I14" s="1686"/>
      <c r="J14" s="1686"/>
      <c r="K14" s="1686"/>
      <c r="L14" s="1686"/>
      <c r="M14" s="1686"/>
      <c r="N14" s="1686"/>
      <c r="O14" s="1686"/>
      <c r="P14" s="1686"/>
      <c r="Q14" s="1686"/>
      <c r="R14" s="1686"/>
      <c r="S14" s="1686"/>
      <c r="T14" s="1686"/>
      <c r="U14" s="1686"/>
      <c r="V14" s="1686"/>
      <c r="W14" s="1686"/>
      <c r="X14" s="1686"/>
      <c r="Y14" s="1686"/>
      <c r="Z14" s="1686"/>
      <c r="AA14" s="1686"/>
    </row>
    <row r="15">
      <c r="A15" s="1686"/>
      <c r="B15" s="1686"/>
      <c r="C15" s="1686"/>
      <c r="D15" s="1686"/>
      <c r="E15" s="1686"/>
      <c r="F15" s="1686"/>
      <c r="G15" s="1686"/>
      <c r="H15" s="1686"/>
      <c r="I15" s="1686"/>
      <c r="J15" s="1686"/>
      <c r="K15" s="1686"/>
      <c r="L15" s="1686"/>
      <c r="M15" s="1686"/>
      <c r="N15" s="1686"/>
      <c r="O15" s="1686"/>
      <c r="P15" s="1686"/>
      <c r="Q15" s="1686"/>
      <c r="R15" s="1686"/>
      <c r="S15" s="1686"/>
      <c r="T15" s="1686"/>
      <c r="U15" s="1686"/>
      <c r="V15" s="1686"/>
      <c r="W15" s="1686"/>
      <c r="X15" s="1686"/>
      <c r="Y15" s="1686"/>
      <c r="Z15" s="1686"/>
      <c r="AA15" s="1686"/>
    </row>
    <row r="16">
      <c r="A16" s="1686"/>
      <c r="B16" s="1686"/>
      <c r="C16" s="1686"/>
      <c r="D16" s="1686"/>
      <c r="E16" s="1686"/>
      <c r="F16" s="1686"/>
      <c r="G16" s="1686"/>
      <c r="H16" s="1686"/>
      <c r="I16" s="1686"/>
      <c r="J16" s="1686"/>
      <c r="K16" s="1686"/>
      <c r="L16" s="1686"/>
      <c r="M16" s="1686"/>
      <c r="N16" s="1686"/>
      <c r="O16" s="1686"/>
      <c r="P16" s="1686"/>
      <c r="Q16" s="1686"/>
      <c r="R16" s="1686"/>
      <c r="S16" s="1686"/>
      <c r="T16" s="1686"/>
      <c r="U16" s="1686"/>
      <c r="V16" s="1686"/>
      <c r="W16" s="1686"/>
      <c r="X16" s="1686"/>
      <c r="Y16" s="1686"/>
      <c r="Z16" s="1686"/>
      <c r="AA16" s="1686"/>
    </row>
    <row r="17">
      <c r="A17" s="1686"/>
      <c r="B17" s="1686"/>
      <c r="C17" s="1686"/>
      <c r="D17" s="1686"/>
      <c r="E17" s="1686"/>
      <c r="F17" s="1686"/>
      <c r="G17" s="1686"/>
      <c r="H17" s="1686"/>
      <c r="I17" s="1686"/>
      <c r="J17" s="1686"/>
      <c r="K17" s="1686"/>
      <c r="L17" s="1686"/>
      <c r="M17" s="1686"/>
      <c r="N17" s="1686"/>
      <c r="O17" s="1686"/>
      <c r="P17" s="1686"/>
      <c r="Q17" s="1686"/>
      <c r="R17" s="1686"/>
      <c r="S17" s="1686"/>
      <c r="T17" s="1686"/>
      <c r="U17" s="1686"/>
      <c r="V17" s="1686"/>
      <c r="W17" s="1686"/>
      <c r="X17" s="1686"/>
      <c r="Y17" s="1686"/>
      <c r="Z17" s="1686"/>
      <c r="AA17" s="1686"/>
    </row>
    <row r="18">
      <c r="A18" s="1686"/>
      <c r="B18" s="1686"/>
      <c r="C18" s="1686"/>
      <c r="D18" s="1686"/>
      <c r="E18" s="1686"/>
      <c r="F18" s="1686"/>
      <c r="G18" s="1686"/>
      <c r="H18" s="1686"/>
      <c r="I18" s="1686"/>
      <c r="J18" s="1686"/>
      <c r="K18" s="1686"/>
      <c r="L18" s="1686"/>
      <c r="M18" s="1686"/>
      <c r="N18" s="1686"/>
      <c r="O18" s="1686"/>
      <c r="P18" s="1686"/>
      <c r="Q18" s="1686"/>
      <c r="R18" s="1686"/>
      <c r="S18" s="1686"/>
      <c r="T18" s="1686"/>
      <c r="U18" s="1686"/>
      <c r="V18" s="1686"/>
      <c r="W18" s="1686"/>
      <c r="X18" s="1686"/>
      <c r="Y18" s="1686"/>
      <c r="Z18" s="1686"/>
      <c r="AA18" s="1686"/>
    </row>
  </sheetData>
  <mergeCells count="2">
    <mergeCell ref="E2:G2"/>
    <mergeCell ref="E3:G3"/>
  </mergeCells>
  <dataValidations>
    <dataValidation type="list" allowBlank="1" showErrorMessage="1" sqref="B3:C3">
      <formula1>'THAM CHIẾU'!$AL$3:$AL$13</formula1>
    </dataValidation>
    <dataValidation type="list" allowBlank="1" showErrorMessage="1" sqref="C1">
      <formula1>'Quy chuẩn hạch toán'!$A$2:$A$100</formula1>
    </dataValidation>
    <dataValidation type="list" allowBlank="1" showErrorMessage="1" sqref="E3">
      <formula1>'THAM CHIẾU'!$A$3:$A$367</formula1>
    </dataValidation>
    <dataValidation type="list" allowBlank="1" showErrorMessage="1" sqref="A7">
      <formula1>'THAM CHIẾU'!$Q$3:$Q$74</formula1>
    </dataValidation>
  </dataValidations>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14"/>
    <col customWidth="1" min="2" max="2" width="2.29"/>
    <col customWidth="1" min="3" max="3" width="35.29"/>
    <col customWidth="1" min="4" max="4" width="2.57"/>
    <col customWidth="1" min="5" max="5" width="7.14"/>
    <col customWidth="1" min="6" max="6" width="2.0"/>
    <col customWidth="1" min="7" max="7" width="7.0"/>
    <col customWidth="1" min="8" max="8" width="2.43"/>
    <col customWidth="1" min="9" max="9" width="13.86"/>
    <col customWidth="1" min="10" max="10" width="2.0"/>
    <col customWidth="1" min="11" max="11" width="13.29"/>
    <col customWidth="1" min="12" max="12" width="2.29"/>
    <col customWidth="1" min="13" max="13" width="13.29"/>
    <col customWidth="1" min="14" max="14" width="1.86"/>
    <col customWidth="1" min="15" max="15" width="11.57"/>
    <col customWidth="1" min="16" max="16" width="1.86"/>
    <col customWidth="1" min="17" max="17" width="10.29"/>
    <col customWidth="1" min="18" max="18" width="1.86"/>
    <col customWidth="1" min="19" max="19" width="10.0"/>
    <col customWidth="1" min="20" max="20" width="2.0"/>
    <col customWidth="1" min="21" max="21" width="9.29"/>
    <col customWidth="1" min="22" max="22" width="2.0"/>
    <col customWidth="1" min="23" max="23" width="10.0"/>
    <col customWidth="1" min="24" max="24" width="1.86"/>
    <col customWidth="1" min="25" max="25" width="9.86"/>
    <col customWidth="1" min="26" max="26" width="1.71"/>
    <col customWidth="1" min="27" max="27" width="13.29"/>
  </cols>
  <sheetData>
    <row r="1">
      <c r="A1" s="1685" t="s">
        <v>3852</v>
      </c>
      <c r="B1" s="1686"/>
      <c r="C1" s="1687"/>
      <c r="D1" s="1686"/>
      <c r="E1" s="1686"/>
      <c r="F1" s="1686"/>
      <c r="G1" s="1686"/>
      <c r="H1" s="1686"/>
      <c r="I1" s="1686"/>
      <c r="J1" s="1686"/>
      <c r="K1" s="1686"/>
      <c r="L1" s="1686"/>
      <c r="M1" s="1686"/>
      <c r="N1" s="1686"/>
      <c r="O1" s="1686"/>
      <c r="P1" s="1686"/>
      <c r="Q1" s="1686"/>
      <c r="R1" s="1686"/>
      <c r="S1" s="1686"/>
      <c r="T1" s="1686"/>
      <c r="U1" s="1686"/>
      <c r="V1" s="1686"/>
      <c r="W1" s="1686"/>
      <c r="X1" s="1686"/>
      <c r="Y1" s="1686"/>
      <c r="Z1" s="1686"/>
      <c r="AA1" s="1686"/>
    </row>
    <row r="2">
      <c r="A2" s="1688" t="s">
        <v>3904</v>
      </c>
      <c r="B2" s="1689"/>
      <c r="C2" s="1688" t="s">
        <v>3905</v>
      </c>
      <c r="D2" s="1690"/>
      <c r="E2" s="1707" t="s">
        <v>3906</v>
      </c>
      <c r="F2" s="1364"/>
      <c r="G2" s="1365"/>
      <c r="H2" s="1690"/>
      <c r="I2" s="1690"/>
      <c r="J2" s="1690"/>
      <c r="K2" s="1690"/>
      <c r="L2" s="1690"/>
      <c r="M2" s="1690"/>
      <c r="N2" s="1690"/>
      <c r="O2" s="1690"/>
      <c r="P2" s="1690"/>
      <c r="Q2" s="1690"/>
      <c r="R2" s="1690"/>
      <c r="S2" s="1690"/>
      <c r="T2" s="1690"/>
      <c r="U2" s="1690"/>
      <c r="V2" s="1690"/>
      <c r="W2" s="1690"/>
      <c r="X2" s="1690"/>
      <c r="Y2" s="1690"/>
      <c r="Z2" s="1690"/>
      <c r="AA2" s="1690"/>
    </row>
    <row r="3">
      <c r="A3" s="1687"/>
      <c r="B3" s="1692"/>
      <c r="C3" s="1693" t="s">
        <v>3563</v>
      </c>
      <c r="D3" s="1694"/>
      <c r="E3" s="1708">
        <v>44566.0</v>
      </c>
      <c r="F3" s="1709"/>
      <c r="G3" s="1710"/>
      <c r="H3" s="1698"/>
      <c r="I3" s="1686"/>
      <c r="J3" s="1686"/>
      <c r="K3" s="1686"/>
      <c r="L3" s="1686"/>
      <c r="M3" s="1686"/>
      <c r="N3" s="1686"/>
      <c r="O3" s="1686"/>
      <c r="P3" s="1686"/>
      <c r="Q3" s="1686"/>
      <c r="R3" s="1686"/>
      <c r="S3" s="1686"/>
      <c r="T3" s="1686"/>
      <c r="U3" s="1686"/>
      <c r="V3" s="1686"/>
      <c r="W3" s="1686"/>
      <c r="X3" s="1686"/>
      <c r="Y3" s="1686"/>
      <c r="Z3" s="1686"/>
      <c r="AA3" s="1686"/>
    </row>
    <row r="4">
      <c r="A4" s="1691" t="s">
        <v>150</v>
      </c>
      <c r="B4" s="1025"/>
      <c r="C4" s="1026"/>
      <c r="D4" s="1711"/>
      <c r="E4" s="1712"/>
      <c r="F4" s="1713"/>
      <c r="G4" s="1714"/>
      <c r="H4" s="1715"/>
      <c r="I4" s="1690"/>
      <c r="J4" s="1690"/>
      <c r="K4" s="1690"/>
      <c r="L4" s="1690"/>
      <c r="M4" s="1690"/>
      <c r="N4" s="1690"/>
      <c r="O4" s="1690"/>
      <c r="P4" s="1690"/>
      <c r="Q4" s="1690"/>
      <c r="R4" s="1690"/>
      <c r="S4" s="1690"/>
      <c r="T4" s="1690"/>
      <c r="U4" s="1690"/>
      <c r="V4" s="1690"/>
      <c r="W4" s="1690"/>
      <c r="X4" s="1690"/>
      <c r="Y4" s="1690"/>
      <c r="Z4" s="1690"/>
      <c r="AA4" s="1690"/>
    </row>
    <row r="5">
      <c r="A5" s="1716"/>
      <c r="B5" s="1709"/>
      <c r="C5" s="1710"/>
      <c r="D5" s="1711"/>
      <c r="E5" s="1717"/>
      <c r="F5" s="1717"/>
      <c r="G5" s="1717"/>
      <c r="H5" s="1715"/>
      <c r="I5" s="1690"/>
      <c r="J5" s="1690"/>
      <c r="K5" s="1690"/>
      <c r="L5" s="1690"/>
      <c r="M5" s="1690"/>
      <c r="N5" s="1690"/>
      <c r="O5" s="1690"/>
      <c r="P5" s="1690"/>
      <c r="Q5" s="1690"/>
      <c r="R5" s="1690"/>
      <c r="S5" s="1690"/>
      <c r="T5" s="1690"/>
      <c r="U5" s="1690"/>
      <c r="V5" s="1690"/>
      <c r="W5" s="1690"/>
      <c r="X5" s="1690"/>
      <c r="Y5" s="1690"/>
      <c r="Z5" s="1690"/>
      <c r="AA5" s="1690"/>
    </row>
    <row r="6">
      <c r="A6" s="1718" t="s">
        <v>1319</v>
      </c>
      <c r="C6" s="1719"/>
      <c r="D6" s="1700"/>
      <c r="E6" s="1700"/>
      <c r="F6" s="1700"/>
      <c r="G6" s="1690"/>
      <c r="H6" s="1690"/>
      <c r="I6" s="1690"/>
      <c r="J6" s="1690"/>
      <c r="K6" s="1690"/>
      <c r="L6" s="1690"/>
      <c r="M6" s="1690"/>
      <c r="N6" s="1690"/>
      <c r="O6" s="1690"/>
      <c r="P6" s="1690"/>
      <c r="Q6" s="1690"/>
      <c r="R6" s="1690"/>
      <c r="S6" s="1690"/>
      <c r="T6" s="1690"/>
      <c r="U6" s="1690"/>
      <c r="V6" s="1690"/>
      <c r="W6" s="1690"/>
      <c r="X6" s="1690"/>
      <c r="Y6" s="1690"/>
      <c r="Z6" s="1690"/>
      <c r="AA6" s="1690"/>
    </row>
    <row r="7">
      <c r="A7" s="1716"/>
      <c r="B7" s="1709"/>
      <c r="C7" s="1710"/>
      <c r="D7" s="1698"/>
      <c r="E7" s="1686"/>
      <c r="F7" s="1686"/>
      <c r="G7" s="1686"/>
      <c r="H7" s="1686"/>
      <c r="I7" s="1686"/>
      <c r="J7" s="1686"/>
      <c r="K7" s="1686"/>
      <c r="L7" s="1686"/>
      <c r="M7" s="1686"/>
      <c r="N7" s="1686"/>
      <c r="O7" s="1686"/>
      <c r="P7" s="1686"/>
      <c r="Q7" s="1686"/>
      <c r="R7" s="1686"/>
      <c r="S7" s="1686"/>
      <c r="T7" s="1686"/>
      <c r="U7" s="1686"/>
      <c r="V7" s="1686"/>
      <c r="W7" s="1686"/>
      <c r="X7" s="1686"/>
      <c r="Y7" s="1686"/>
      <c r="Z7" s="1686"/>
      <c r="AA7" s="1686"/>
    </row>
    <row r="8">
      <c r="A8" s="1699" t="s">
        <v>1362</v>
      </c>
      <c r="B8" s="1699"/>
      <c r="C8" s="1699" t="s">
        <v>1759</v>
      </c>
      <c r="D8" s="1690"/>
      <c r="E8" s="1690"/>
      <c r="F8" s="1690"/>
      <c r="G8" s="1690"/>
      <c r="H8" s="1690"/>
      <c r="I8" s="1690"/>
      <c r="J8" s="1690"/>
      <c r="K8" s="1690"/>
      <c r="L8" s="1690"/>
      <c r="M8" s="1690"/>
      <c r="N8" s="1690"/>
      <c r="O8" s="1690"/>
      <c r="P8" s="1690"/>
      <c r="Q8" s="1690"/>
      <c r="R8" s="1690"/>
      <c r="S8" s="1690"/>
      <c r="T8" s="1690"/>
      <c r="U8" s="1690"/>
      <c r="V8" s="1690"/>
      <c r="W8" s="1690"/>
      <c r="X8" s="1690"/>
      <c r="Y8" s="1690"/>
      <c r="Z8" s="1690"/>
      <c r="AA8" s="1690"/>
    </row>
    <row r="9">
      <c r="A9" s="1687"/>
      <c r="B9" s="1686"/>
      <c r="C9" s="1687"/>
      <c r="D9" s="1686"/>
      <c r="E9" s="1686"/>
      <c r="F9" s="1686"/>
      <c r="G9" s="1686"/>
      <c r="H9" s="1686"/>
      <c r="I9" s="1686"/>
      <c r="J9" s="1686"/>
      <c r="K9" s="1686"/>
      <c r="L9" s="1686"/>
      <c r="M9" s="1686"/>
      <c r="N9" s="1686"/>
      <c r="O9" s="1686"/>
      <c r="P9" s="1686"/>
      <c r="Q9" s="1686"/>
      <c r="R9" s="1686"/>
      <c r="S9" s="1686"/>
      <c r="T9" s="1686"/>
      <c r="U9" s="1686"/>
      <c r="V9" s="1686"/>
      <c r="W9" s="1686"/>
      <c r="X9" s="1686"/>
      <c r="Y9" s="1686"/>
      <c r="Z9" s="1686"/>
      <c r="AA9" s="1686"/>
    </row>
    <row r="10">
      <c r="A10" s="1686"/>
      <c r="B10" s="1686"/>
      <c r="C10" s="1686"/>
      <c r="D10" s="1686"/>
      <c r="E10" s="1686"/>
      <c r="F10" s="1686"/>
      <c r="G10" s="1686"/>
      <c r="H10" s="1686"/>
      <c r="I10" s="1686"/>
      <c r="J10" s="1686"/>
      <c r="K10" s="1686"/>
      <c r="L10" s="1686"/>
      <c r="M10" s="1686"/>
      <c r="N10" s="1686"/>
      <c r="O10" s="1686"/>
      <c r="P10" s="1686"/>
      <c r="Q10" s="1686"/>
      <c r="R10" s="1686"/>
      <c r="S10" s="1686"/>
      <c r="T10" s="1686"/>
      <c r="U10" s="1686"/>
      <c r="V10" s="1686"/>
      <c r="W10" s="1686"/>
      <c r="X10" s="1686"/>
      <c r="Y10" s="1686"/>
      <c r="Z10" s="1686"/>
      <c r="AA10" s="1686"/>
    </row>
    <row r="11">
      <c r="A11" s="1701" t="s">
        <v>3907</v>
      </c>
      <c r="B11" s="1686"/>
      <c r="C11" s="1686"/>
      <c r="D11" s="1686"/>
      <c r="E11" s="1686"/>
      <c r="F11" s="1686"/>
      <c r="G11" s="1686"/>
      <c r="H11" s="1686"/>
      <c r="I11" s="1686"/>
      <c r="J11" s="1686"/>
      <c r="K11" s="1686"/>
      <c r="L11" s="1686"/>
      <c r="M11" s="1686"/>
      <c r="N11" s="1686"/>
      <c r="O11" s="1686"/>
      <c r="P11" s="1686"/>
      <c r="Q11" s="1686"/>
      <c r="R11" s="1686"/>
      <c r="S11" s="1686"/>
      <c r="T11" s="1686"/>
      <c r="U11" s="1686"/>
      <c r="V11" s="1686"/>
      <c r="W11" s="1686"/>
      <c r="X11" s="1686"/>
      <c r="Y11" s="1686"/>
      <c r="Z11" s="1686"/>
      <c r="AA11" s="1686"/>
    </row>
    <row r="12">
      <c r="A12" s="1702" t="s">
        <v>3908</v>
      </c>
      <c r="B12" s="1703"/>
      <c r="C12" s="1702" t="s">
        <v>1759</v>
      </c>
      <c r="D12" s="1703"/>
      <c r="E12" s="1702" t="s">
        <v>3853</v>
      </c>
      <c r="F12" s="1702"/>
      <c r="G12" s="1702" t="s">
        <v>3854</v>
      </c>
      <c r="H12" s="1702"/>
      <c r="I12" s="1702" t="s">
        <v>126</v>
      </c>
      <c r="J12" s="1702"/>
      <c r="K12" s="1702" t="s">
        <v>3909</v>
      </c>
      <c r="L12" s="1702"/>
      <c r="M12" s="1702" t="s">
        <v>3910</v>
      </c>
      <c r="N12" s="1702"/>
      <c r="O12" s="1702" t="s">
        <v>89</v>
      </c>
      <c r="P12" s="1702"/>
      <c r="Q12" s="1702" t="s">
        <v>1362</v>
      </c>
      <c r="R12" s="1702"/>
      <c r="S12" s="1702" t="s">
        <v>3911</v>
      </c>
      <c r="T12" s="1702"/>
      <c r="U12" s="1702" t="s">
        <v>1322</v>
      </c>
      <c r="V12" s="1702"/>
      <c r="W12" s="1702" t="s">
        <v>1829</v>
      </c>
      <c r="X12" s="1703"/>
      <c r="Y12" s="1702" t="s">
        <v>1323</v>
      </c>
      <c r="Z12" s="1702"/>
      <c r="AA12" s="1702" t="s">
        <v>3912</v>
      </c>
    </row>
    <row r="13">
      <c r="A13" s="1687"/>
      <c r="B13" s="1686"/>
      <c r="C13" s="1687"/>
      <c r="D13" s="1686"/>
      <c r="E13" s="1687"/>
      <c r="F13" s="661"/>
      <c r="G13" s="1687"/>
      <c r="H13" s="1686"/>
      <c r="I13" s="1687"/>
      <c r="J13" s="1686"/>
      <c r="K13" s="1687"/>
      <c r="L13" s="1686"/>
      <c r="M13" s="1687"/>
      <c r="N13" s="1686"/>
      <c r="O13" s="1687"/>
      <c r="P13" s="1686"/>
      <c r="Q13" s="1687"/>
      <c r="R13" s="1686"/>
      <c r="S13" s="1687"/>
      <c r="T13" s="661"/>
      <c r="U13" s="1687"/>
      <c r="V13" s="661"/>
      <c r="W13" s="1687"/>
      <c r="X13" s="1686"/>
      <c r="Y13" s="1687"/>
      <c r="Z13" s="1686"/>
      <c r="AA13" s="1687"/>
    </row>
    <row r="14">
      <c r="A14" s="1686"/>
      <c r="B14" s="1686"/>
      <c r="C14" s="1686"/>
      <c r="D14" s="1686"/>
      <c r="E14" s="1686"/>
      <c r="F14" s="1686"/>
      <c r="G14" s="1686"/>
      <c r="H14" s="1686"/>
      <c r="I14" s="1686"/>
      <c r="J14" s="1686"/>
      <c r="K14" s="1686"/>
      <c r="L14" s="1686"/>
      <c r="M14" s="1686"/>
      <c r="N14" s="1686"/>
      <c r="O14" s="1686"/>
      <c r="P14" s="1686"/>
      <c r="Q14" s="1686"/>
      <c r="R14" s="1686"/>
      <c r="S14" s="1686"/>
      <c r="T14" s="1686"/>
      <c r="U14" s="1686"/>
      <c r="V14" s="1686"/>
      <c r="W14" s="1686"/>
      <c r="X14" s="1686"/>
      <c r="Y14" s="1686"/>
      <c r="Z14" s="1686"/>
      <c r="AA14" s="1686"/>
    </row>
    <row r="15">
      <c r="A15" s="1693" t="s">
        <v>3913</v>
      </c>
      <c r="B15" s="1686"/>
      <c r="C15" s="1693" t="s">
        <v>3914</v>
      </c>
      <c r="D15" s="1686"/>
      <c r="E15" s="1686"/>
      <c r="F15" s="1686"/>
      <c r="G15" s="1686"/>
      <c r="H15" s="1686"/>
      <c r="I15" s="1686"/>
      <c r="J15" s="1686"/>
      <c r="K15" s="1686"/>
      <c r="L15" s="1686"/>
      <c r="M15" s="1686"/>
      <c r="N15" s="1686"/>
      <c r="O15" s="1686"/>
      <c r="P15" s="1686"/>
      <c r="Q15" s="1686"/>
      <c r="R15" s="1686"/>
      <c r="S15" s="1686"/>
      <c r="T15" s="1686"/>
      <c r="U15" s="1686"/>
      <c r="V15" s="1686"/>
      <c r="W15" s="1686"/>
      <c r="X15" s="1686"/>
      <c r="Y15" s="1686"/>
      <c r="Z15" s="1686"/>
      <c r="AA15" s="1686"/>
    </row>
    <row r="16">
      <c r="A16" s="1686"/>
      <c r="B16" s="1686"/>
      <c r="C16" s="1686"/>
      <c r="D16" s="1686"/>
      <c r="E16" s="1686"/>
      <c r="F16" s="1686"/>
      <c r="G16" s="1686"/>
      <c r="H16" s="1686"/>
      <c r="I16" s="1686"/>
      <c r="J16" s="1686"/>
      <c r="K16" s="1686"/>
      <c r="L16" s="1686"/>
      <c r="M16" s="1686"/>
      <c r="N16" s="1686"/>
      <c r="O16" s="1686"/>
      <c r="P16" s="1686"/>
      <c r="Q16" s="1686"/>
      <c r="R16" s="1686"/>
      <c r="S16" s="1686"/>
      <c r="T16" s="1686"/>
      <c r="U16" s="1686"/>
      <c r="V16" s="1686"/>
      <c r="W16" s="1686"/>
      <c r="X16" s="1686"/>
      <c r="Y16" s="1686"/>
      <c r="Z16" s="1686"/>
      <c r="AA16" s="1686"/>
    </row>
    <row r="17">
      <c r="A17" s="1686"/>
      <c r="B17" s="1686"/>
      <c r="C17" s="1686"/>
      <c r="D17" s="1686"/>
      <c r="E17" s="1686"/>
      <c r="F17" s="1686"/>
      <c r="G17" s="1686"/>
      <c r="H17" s="1686"/>
      <c r="I17" s="1686"/>
      <c r="J17" s="1686"/>
      <c r="K17" s="1686"/>
      <c r="L17" s="1686"/>
      <c r="M17" s="1686"/>
      <c r="N17" s="1686"/>
      <c r="O17" s="1686"/>
      <c r="P17" s="1686"/>
      <c r="Q17" s="1686"/>
      <c r="R17" s="1686"/>
      <c r="S17" s="1686"/>
      <c r="T17" s="1686"/>
      <c r="U17" s="1686"/>
      <c r="V17" s="1686"/>
      <c r="W17" s="1686"/>
      <c r="X17" s="1686"/>
      <c r="Y17" s="1686"/>
      <c r="Z17" s="1686"/>
      <c r="AA17" s="1686"/>
    </row>
    <row r="18">
      <c r="A18" s="1686"/>
      <c r="B18" s="1686"/>
      <c r="C18" s="1686"/>
      <c r="D18" s="1686"/>
      <c r="E18" s="1686"/>
      <c r="F18" s="1686"/>
      <c r="G18" s="1686"/>
      <c r="H18" s="1686"/>
      <c r="I18" s="1686"/>
      <c r="J18" s="1686"/>
      <c r="K18" s="1686"/>
      <c r="L18" s="1686"/>
      <c r="M18" s="1686"/>
      <c r="N18" s="1686"/>
      <c r="O18" s="1686"/>
      <c r="P18" s="1686"/>
      <c r="Q18" s="1686"/>
      <c r="R18" s="1686"/>
      <c r="S18" s="1686"/>
      <c r="T18" s="1686"/>
      <c r="U18" s="1686"/>
      <c r="V18" s="1686"/>
      <c r="W18" s="1686"/>
      <c r="X18" s="1686"/>
      <c r="Y18" s="1686"/>
      <c r="Z18" s="1686"/>
      <c r="AA18" s="1686"/>
    </row>
    <row r="19">
      <c r="A19" s="1686"/>
      <c r="B19" s="1686"/>
      <c r="C19" s="1686"/>
      <c r="D19" s="1686"/>
      <c r="E19" s="1686"/>
      <c r="F19" s="1686"/>
      <c r="G19" s="1686"/>
      <c r="H19" s="1686"/>
      <c r="I19" s="1686"/>
      <c r="J19" s="1686"/>
      <c r="K19" s="1686"/>
      <c r="L19" s="1686"/>
      <c r="M19" s="1686"/>
      <c r="N19" s="1686"/>
      <c r="O19" s="1686"/>
      <c r="P19" s="1686"/>
      <c r="Q19" s="1686"/>
      <c r="R19" s="1686"/>
      <c r="S19" s="1686"/>
      <c r="T19" s="1686"/>
      <c r="U19" s="1686"/>
      <c r="V19" s="1686"/>
      <c r="W19" s="1686"/>
      <c r="X19" s="1686"/>
      <c r="Y19" s="1686"/>
      <c r="Z19" s="1686"/>
      <c r="AA19" s="1686"/>
    </row>
    <row r="20">
      <c r="A20" s="1686"/>
      <c r="B20" s="1686"/>
      <c r="C20" s="1686"/>
      <c r="D20" s="1686"/>
      <c r="E20" s="1686"/>
      <c r="F20" s="1686"/>
      <c r="G20" s="1686"/>
      <c r="H20" s="1686"/>
      <c r="I20" s="1686"/>
      <c r="J20" s="1686"/>
      <c r="K20" s="1686"/>
      <c r="L20" s="1686"/>
      <c r="M20" s="1686"/>
      <c r="N20" s="1686"/>
      <c r="O20" s="1686"/>
      <c r="P20" s="1686"/>
      <c r="Q20" s="1686"/>
      <c r="R20" s="1686"/>
      <c r="S20" s="1686"/>
      <c r="T20" s="1686"/>
      <c r="U20" s="1686"/>
      <c r="V20" s="1686"/>
      <c r="W20" s="1686"/>
      <c r="X20" s="1686"/>
      <c r="Y20" s="1686"/>
      <c r="Z20" s="1686"/>
      <c r="AA20" s="1686"/>
    </row>
  </sheetData>
  <mergeCells count="7">
    <mergeCell ref="E2:G2"/>
    <mergeCell ref="E3:G3"/>
    <mergeCell ref="A4:C4"/>
    <mergeCell ref="E4:G4"/>
    <mergeCell ref="A5:C5"/>
    <mergeCell ref="A6:C6"/>
    <mergeCell ref="A7:C7"/>
  </mergeCells>
  <dataValidations>
    <dataValidation type="list" allowBlank="1" showErrorMessage="1" sqref="B3:C3">
      <formula1>'THAM CHIẾU'!$AL$3:$AL$13</formula1>
    </dataValidation>
    <dataValidation type="list" allowBlank="1" showErrorMessage="1" sqref="C1">
      <formula1>'Quy chuẩn hạch toán'!$A$2:$A$100</formula1>
    </dataValidation>
    <dataValidation type="list" allowBlank="1" showErrorMessage="1" sqref="E3">
      <formula1>'THAM CHIẾU'!$A$3:$A$367</formula1>
    </dataValidation>
    <dataValidation type="list" allowBlank="1" showErrorMessage="1" sqref="A9">
      <formula1>'THAM CHIẾU'!$Q$3:$Q$74</formula1>
    </dataValidation>
  </dataValidations>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71"/>
    <col customWidth="1" min="2" max="2" width="8.86"/>
    <col customWidth="1" min="3" max="3" width="56.86"/>
    <col customWidth="1" min="4" max="4" width="12.14"/>
    <col customWidth="1" min="5" max="5" width="12.29"/>
    <col customWidth="1" min="6" max="6" width="46.29"/>
  </cols>
  <sheetData>
    <row r="1">
      <c r="A1" s="1720" t="s">
        <v>3915</v>
      </c>
      <c r="B1" s="1721"/>
      <c r="C1" s="1721"/>
      <c r="D1" s="1721"/>
      <c r="E1" s="1721"/>
      <c r="F1" s="1721"/>
    </row>
    <row r="2">
      <c r="A2" s="1722" t="s">
        <v>1526</v>
      </c>
      <c r="B2" s="1723" t="s">
        <v>3916</v>
      </c>
      <c r="C2" s="1723" t="s">
        <v>2094</v>
      </c>
      <c r="D2" s="1723" t="s">
        <v>3917</v>
      </c>
      <c r="E2" s="1723" t="s">
        <v>3918</v>
      </c>
      <c r="F2" s="1723" t="s">
        <v>2</v>
      </c>
    </row>
    <row r="3">
      <c r="A3" s="1724" t="s">
        <v>2503</v>
      </c>
      <c r="B3" s="1725" t="s">
        <v>3919</v>
      </c>
      <c r="C3" s="1726"/>
      <c r="D3" s="1723"/>
      <c r="E3" s="1723"/>
      <c r="F3" s="1727"/>
    </row>
    <row r="4">
      <c r="A4" s="1728"/>
      <c r="B4" s="1729"/>
      <c r="C4" s="1730" t="s">
        <v>3920</v>
      </c>
      <c r="D4" s="1731" t="s">
        <v>3921</v>
      </c>
      <c r="E4" s="1731" t="s">
        <v>3922</v>
      </c>
      <c r="F4" s="1729"/>
    </row>
    <row r="5">
      <c r="A5" s="1728"/>
      <c r="B5" s="1729"/>
      <c r="C5" s="1730" t="s">
        <v>3923</v>
      </c>
      <c r="D5" s="1731" t="s">
        <v>3921</v>
      </c>
      <c r="E5" s="1731" t="s">
        <v>3924</v>
      </c>
      <c r="F5" s="1730" t="s">
        <v>3925</v>
      </c>
    </row>
    <row r="6">
      <c r="A6" s="1728"/>
      <c r="B6" s="1729"/>
      <c r="C6" s="1730" t="s">
        <v>3926</v>
      </c>
      <c r="D6" s="1731" t="s">
        <v>3927</v>
      </c>
      <c r="E6" s="1731" t="s">
        <v>3924</v>
      </c>
      <c r="F6" s="1729"/>
    </row>
    <row r="7">
      <c r="A7" s="1724" t="s">
        <v>2530</v>
      </c>
      <c r="B7" s="1725" t="s">
        <v>3928</v>
      </c>
      <c r="C7" s="1727"/>
      <c r="D7" s="1732"/>
      <c r="E7" s="1732"/>
      <c r="F7" s="1727"/>
    </row>
    <row r="8">
      <c r="A8" s="1728"/>
      <c r="B8" s="1729"/>
      <c r="C8" s="1730" t="s">
        <v>3929</v>
      </c>
      <c r="D8" s="1731" t="s">
        <v>3921</v>
      </c>
      <c r="E8" s="1733">
        <v>0.8</v>
      </c>
      <c r="F8" s="1729"/>
    </row>
    <row r="9">
      <c r="A9" s="1728"/>
      <c r="B9" s="1729"/>
      <c r="C9" s="1730" t="s">
        <v>3930</v>
      </c>
      <c r="D9" s="1731" t="s">
        <v>3921</v>
      </c>
      <c r="E9" s="1733">
        <v>0.5</v>
      </c>
      <c r="F9" s="1729"/>
    </row>
    <row r="10">
      <c r="A10" s="1728"/>
      <c r="B10" s="1729"/>
      <c r="C10" s="1730" t="s">
        <v>3931</v>
      </c>
      <c r="D10" s="1731" t="s">
        <v>3921</v>
      </c>
      <c r="E10" s="1733">
        <v>0.8</v>
      </c>
      <c r="F10" s="1729"/>
    </row>
    <row r="11">
      <c r="A11" s="1728"/>
      <c r="B11" s="1729"/>
      <c r="C11" s="1730" t="s">
        <v>3932</v>
      </c>
      <c r="D11" s="1731" t="s">
        <v>3921</v>
      </c>
      <c r="E11" s="1733">
        <v>0.5</v>
      </c>
      <c r="F11" s="1729"/>
    </row>
    <row r="12">
      <c r="A12" s="1728"/>
      <c r="B12" s="1729"/>
      <c r="C12" s="1730" t="s">
        <v>3933</v>
      </c>
      <c r="D12" s="1731" t="s">
        <v>3921</v>
      </c>
      <c r="E12" s="1733">
        <v>0.5</v>
      </c>
      <c r="F12" s="1730" t="s">
        <v>3934</v>
      </c>
    </row>
    <row r="13">
      <c r="A13" s="1728"/>
      <c r="B13" s="1729"/>
      <c r="C13" s="1730" t="s">
        <v>3935</v>
      </c>
      <c r="D13" s="1731" t="s">
        <v>3921</v>
      </c>
      <c r="E13" s="1733">
        <v>1.0</v>
      </c>
      <c r="F13" s="1730" t="s">
        <v>3936</v>
      </c>
    </row>
    <row r="14">
      <c r="A14" s="1728"/>
      <c r="B14" s="1729"/>
      <c r="C14" s="1730" t="s">
        <v>3937</v>
      </c>
      <c r="D14" s="1731" t="s">
        <v>3938</v>
      </c>
      <c r="E14" s="1733">
        <v>1.0</v>
      </c>
      <c r="F14" s="1730" t="s">
        <v>3939</v>
      </c>
    </row>
    <row r="15">
      <c r="A15" s="1724" t="s">
        <v>2539</v>
      </c>
      <c r="B15" s="1725" t="s">
        <v>3940</v>
      </c>
      <c r="C15" s="1727"/>
      <c r="D15" s="1732"/>
      <c r="E15" s="1732"/>
      <c r="F15" s="1727"/>
    </row>
    <row r="16">
      <c r="A16" s="1728"/>
      <c r="B16" s="1729"/>
      <c r="C16" s="1730" t="s">
        <v>3929</v>
      </c>
      <c r="D16" s="1731" t="s">
        <v>3921</v>
      </c>
      <c r="E16" s="1733">
        <v>0.9</v>
      </c>
      <c r="F16" s="1729"/>
    </row>
    <row r="17">
      <c r="A17" s="1728"/>
      <c r="B17" s="1729"/>
      <c r="C17" s="1730" t="s">
        <v>3930</v>
      </c>
      <c r="D17" s="1731" t="s">
        <v>3921</v>
      </c>
      <c r="E17" s="1733">
        <v>0.8</v>
      </c>
      <c r="F17" s="1729"/>
    </row>
    <row r="18">
      <c r="A18" s="1728"/>
      <c r="B18" s="1729"/>
      <c r="C18" s="1730" t="s">
        <v>3931</v>
      </c>
      <c r="D18" s="1731" t="s">
        <v>3921</v>
      </c>
      <c r="E18" s="1733">
        <v>1.0</v>
      </c>
      <c r="F18" s="1729"/>
    </row>
    <row r="19">
      <c r="A19" s="1728"/>
      <c r="B19" s="1729"/>
      <c r="C19" s="1730" t="s">
        <v>3932</v>
      </c>
      <c r="D19" s="1731" t="s">
        <v>3921</v>
      </c>
      <c r="E19" s="1733">
        <v>1.0</v>
      </c>
      <c r="F19" s="1729"/>
    </row>
    <row r="20">
      <c r="A20" s="1728"/>
      <c r="B20" s="1729"/>
      <c r="C20" s="1730" t="s">
        <v>3933</v>
      </c>
      <c r="D20" s="1731" t="s">
        <v>3921</v>
      </c>
      <c r="E20" s="1733">
        <v>1.0</v>
      </c>
      <c r="F20" s="1730" t="s">
        <v>3934</v>
      </c>
    </row>
    <row r="21">
      <c r="A21" s="1728"/>
      <c r="B21" s="1729"/>
      <c r="C21" s="1730" t="s">
        <v>3941</v>
      </c>
      <c r="D21" s="1731" t="s">
        <v>3921</v>
      </c>
      <c r="E21" s="1733">
        <v>1.0</v>
      </c>
      <c r="F21" s="1730"/>
    </row>
    <row r="22">
      <c r="A22" s="1728"/>
      <c r="B22" s="1729"/>
      <c r="C22" s="1730" t="s">
        <v>3942</v>
      </c>
      <c r="D22" s="1731" t="s">
        <v>3921</v>
      </c>
      <c r="E22" s="1733">
        <v>1.0</v>
      </c>
      <c r="F22" s="1730"/>
    </row>
    <row r="23">
      <c r="A23" s="1728"/>
      <c r="B23" s="1729"/>
      <c r="C23" s="1730" t="s">
        <v>3926</v>
      </c>
      <c r="D23" s="1731" t="s">
        <v>3927</v>
      </c>
      <c r="E23" s="1733">
        <v>1.0</v>
      </c>
      <c r="F23" s="1729"/>
    </row>
    <row r="24">
      <c r="A24" s="1734"/>
      <c r="B24" s="1735"/>
      <c r="C24" s="1736"/>
      <c r="D24" s="1737"/>
      <c r="E24" s="1738"/>
      <c r="F24" s="1735"/>
    </row>
    <row r="25">
      <c r="A25" s="1734"/>
      <c r="B25" s="1735"/>
      <c r="C25" s="1736"/>
      <c r="D25" s="1737"/>
      <c r="E25" s="1738"/>
      <c r="F25" s="1735"/>
    </row>
    <row r="26">
      <c r="A26" s="1734"/>
      <c r="B26" s="1735"/>
      <c r="C26" s="1736"/>
      <c r="D26" s="1737"/>
      <c r="E26" s="1738"/>
      <c r="F26" s="1735"/>
    </row>
    <row r="27">
      <c r="A27" s="1734"/>
      <c r="B27" s="1735"/>
      <c r="C27" s="1736"/>
      <c r="D27" s="1737"/>
      <c r="E27" s="1738"/>
      <c r="F27" s="1735"/>
    </row>
    <row r="28">
      <c r="A28" s="1734"/>
      <c r="B28" s="1735"/>
      <c r="C28" s="1736"/>
      <c r="D28" s="1737"/>
      <c r="E28" s="1738"/>
      <c r="F28" s="1735"/>
    </row>
    <row r="29">
      <c r="A29" s="1734"/>
      <c r="B29" s="1735"/>
      <c r="C29" s="1736"/>
      <c r="D29" s="1737"/>
      <c r="E29" s="1738"/>
      <c r="F29" s="1735"/>
    </row>
    <row r="30">
      <c r="A30" s="1734"/>
      <c r="B30" s="1735"/>
      <c r="C30" s="1736"/>
      <c r="D30" s="1737"/>
      <c r="E30" s="1738"/>
      <c r="F30" s="1735"/>
    </row>
    <row r="31">
      <c r="A31" s="1734"/>
      <c r="B31" s="1735"/>
      <c r="C31" s="1736"/>
      <c r="D31" s="1737"/>
      <c r="E31" s="1738"/>
      <c r="F31" s="1735"/>
    </row>
    <row r="32">
      <c r="A32" s="1734"/>
      <c r="B32" s="1735"/>
      <c r="C32" s="1736"/>
      <c r="D32" s="1737"/>
      <c r="E32" s="1738"/>
      <c r="F32" s="1735"/>
    </row>
    <row r="33">
      <c r="A33" s="1734"/>
      <c r="B33" s="1735"/>
      <c r="C33" s="1736"/>
      <c r="D33" s="1737"/>
      <c r="E33" s="1738"/>
      <c r="F33" s="1735"/>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6.86"/>
    <col customWidth="1" min="2" max="2" width="16.14"/>
  </cols>
  <sheetData>
    <row r="1">
      <c r="A1" s="661"/>
      <c r="B1" s="661"/>
      <c r="C1" s="1739"/>
      <c r="D1" s="661"/>
    </row>
    <row r="2">
      <c r="A2" s="1740" t="s">
        <v>1837</v>
      </c>
      <c r="B2" s="1740" t="s">
        <v>3943</v>
      </c>
      <c r="C2" s="1740" t="s">
        <v>3944</v>
      </c>
      <c r="D2" s="1740" t="s">
        <v>3945</v>
      </c>
    </row>
    <row r="3" ht="20.25" customHeight="1">
      <c r="A3" s="1741" t="s">
        <v>2818</v>
      </c>
      <c r="B3" s="1742">
        <f>VLOOKUP(A3,'P&amp;L'!$A$4:$IT$120,242,0)</f>
        <v>300000000</v>
      </c>
      <c r="C3" s="1743"/>
      <c r="D3" s="1743"/>
    </row>
    <row r="4" ht="20.25" customHeight="1">
      <c r="A4" s="1744" t="s">
        <v>2822</v>
      </c>
      <c r="B4" s="1742">
        <f>VLOOKUP(A4,'P&amp;L'!$A$4:$IT$120,242,0)</f>
        <v>36000000</v>
      </c>
      <c r="C4" s="1745">
        <f>B4/B3</f>
        <v>0.12</v>
      </c>
      <c r="D4" s="1745"/>
    </row>
    <row r="5" ht="20.25" customHeight="1">
      <c r="A5" s="1744" t="s">
        <v>2823</v>
      </c>
      <c r="B5" s="1742">
        <f>VLOOKUP(A5,'P&amp;L'!$A$4:$IT$120,242,0)</f>
        <v>0</v>
      </c>
      <c r="C5" s="1745"/>
      <c r="D5" s="1745">
        <f t="shared" ref="D5:D15" si="1">B5/B$4</f>
        <v>0</v>
      </c>
    </row>
    <row r="6" ht="20.25" customHeight="1">
      <c r="A6" s="1744" t="s">
        <v>2824</v>
      </c>
      <c r="B6" s="1742">
        <f>VLOOKUP(A6,'P&amp;L'!$A$4:$IT$120,242,0)</f>
        <v>36000000</v>
      </c>
      <c r="C6" s="1745"/>
      <c r="D6" s="1745">
        <f t="shared" si="1"/>
        <v>1</v>
      </c>
    </row>
    <row r="7" ht="20.25" customHeight="1">
      <c r="A7" s="1744" t="s">
        <v>2825</v>
      </c>
      <c r="B7" s="1742">
        <f>VLOOKUP(A7,'P&amp;L'!$A$4:$IT$120,242,0)</f>
        <v>0</v>
      </c>
      <c r="C7" s="1745"/>
      <c r="D7" s="1745">
        <f t="shared" si="1"/>
        <v>0</v>
      </c>
    </row>
    <row r="8" ht="20.25" customHeight="1">
      <c r="A8" s="1744" t="s">
        <v>2826</v>
      </c>
      <c r="B8" s="1742">
        <f>VLOOKUP(A8,'P&amp;L'!$A$4:$IT$120,242,0)</f>
        <v>0</v>
      </c>
      <c r="C8" s="1745"/>
      <c r="D8" s="1745">
        <f t="shared" si="1"/>
        <v>0</v>
      </c>
    </row>
    <row r="9" ht="20.25" customHeight="1">
      <c r="A9" s="1744" t="s">
        <v>2827</v>
      </c>
      <c r="B9" s="1742">
        <f>VLOOKUP(A9,'P&amp;L'!$A$4:$IT$120,242,0)</f>
        <v>69551040</v>
      </c>
      <c r="C9" s="1745"/>
      <c r="D9" s="1745">
        <f t="shared" si="1"/>
        <v>1.931973333</v>
      </c>
    </row>
    <row r="10" ht="20.25" customHeight="1">
      <c r="A10" s="1744" t="s">
        <v>2844</v>
      </c>
      <c r="B10" s="1742">
        <f>VLOOKUP(A10,'P&amp;L'!$A$4:$IT$120,242,0)</f>
        <v>4712008</v>
      </c>
      <c r="C10" s="1745"/>
      <c r="D10" s="1745">
        <f t="shared" si="1"/>
        <v>0.1308891111</v>
      </c>
    </row>
    <row r="11" ht="20.25" customHeight="1">
      <c r="A11" s="1744" t="s">
        <v>2874</v>
      </c>
      <c r="B11" s="1742">
        <f>VLOOKUP(A11,'P&amp;L'!$A$4:$IT$120,242,0)</f>
        <v>74263048</v>
      </c>
      <c r="C11" s="1745"/>
      <c r="D11" s="1745">
        <f t="shared" si="1"/>
        <v>2.062862444</v>
      </c>
    </row>
    <row r="12" ht="20.25" customHeight="1">
      <c r="A12" s="1744" t="s">
        <v>2875</v>
      </c>
      <c r="B12" s="1742">
        <f>VLOOKUP(A12,'P&amp;L'!$A$4:$IT$120,242,0)</f>
        <v>-38263048</v>
      </c>
      <c r="C12" s="1745"/>
      <c r="D12" s="1745">
        <f t="shared" si="1"/>
        <v>-1.062862444</v>
      </c>
    </row>
    <row r="13" ht="20.25" customHeight="1">
      <c r="A13" s="1744" t="s">
        <v>2879</v>
      </c>
      <c r="B13" s="1742">
        <f>VLOOKUP(A13,'P&amp;L'!$A$4:$IT$120,242,0)</f>
        <v>-38296368</v>
      </c>
      <c r="C13" s="1745"/>
      <c r="D13" s="1745">
        <f t="shared" si="1"/>
        <v>-1.063788</v>
      </c>
    </row>
    <row r="14" ht="20.25" customHeight="1">
      <c r="A14" s="1744" t="s">
        <v>2880</v>
      </c>
      <c r="B14" s="1742">
        <f>VLOOKUP(A14,'P&amp;L'!$A$4:$IT$120,242,0)</f>
        <v>0</v>
      </c>
      <c r="C14" s="1745"/>
      <c r="D14" s="1745">
        <f t="shared" si="1"/>
        <v>0</v>
      </c>
    </row>
    <row r="15" ht="20.25" customHeight="1">
      <c r="A15" s="1744" t="s">
        <v>2882</v>
      </c>
      <c r="B15" s="1742">
        <f>VLOOKUP(A15,'P&amp;L'!$A$4:$IT$120,242,0)</f>
        <v>-38233177.04</v>
      </c>
      <c r="C15" s="1745"/>
      <c r="D15" s="1745">
        <f t="shared" si="1"/>
        <v>-1.062032696</v>
      </c>
    </row>
  </sheetData>
  <drawing r:id="rId1"/>
  <tableParts count="1">
    <tablePart r:id="rId3"/>
  </tableParts>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outlineLevelCol="1" outlineLevelRow="1"/>
  <cols>
    <col collapsed="1" customWidth="1" min="1" max="1" width="5.29"/>
    <col customWidth="1" hidden="1" min="2" max="2" width="23.86" outlineLevel="1"/>
    <col collapsed="1" customWidth="1" min="3" max="3" width="37.57"/>
    <col hidden="1" min="4" max="4" width="14.43" outlineLevel="1"/>
    <col customWidth="1" hidden="1" min="5" max="5" width="8.29" outlineLevel="1"/>
    <col customWidth="1" hidden="1" min="6" max="6" width="2.29" outlineLevel="1"/>
    <col customWidth="1" min="7" max="7" width="16.43"/>
    <col customWidth="1" min="8" max="8" width="4.86"/>
    <col customWidth="1" min="9" max="9" width="7.29"/>
    <col customWidth="1" min="10" max="10" width="15.57"/>
    <col customWidth="1" min="11" max="11" width="4.57"/>
    <col customWidth="1" min="12" max="12" width="7.14"/>
    <col customWidth="1" min="13" max="13" width="15.43"/>
    <col customWidth="1" min="14" max="14" width="5.0"/>
    <col customWidth="1" min="15" max="15" width="6.71"/>
    <col customWidth="1" min="17" max="17" width="6.86"/>
    <col customWidth="1" min="19" max="19" width="6.71"/>
  </cols>
  <sheetData>
    <row r="1" hidden="1">
      <c r="G1" s="1746">
        <v>44896.0</v>
      </c>
    </row>
    <row r="2">
      <c r="A2" s="1747" t="s">
        <v>34</v>
      </c>
      <c r="B2" s="1748" t="s">
        <v>2803</v>
      </c>
      <c r="C2" s="1749" t="s">
        <v>2804</v>
      </c>
      <c r="D2" s="1750"/>
      <c r="E2" s="1751" t="s">
        <v>2805</v>
      </c>
      <c r="F2" s="1750"/>
      <c r="G2" s="1752" t="s">
        <v>2812</v>
      </c>
      <c r="H2" s="454"/>
      <c r="I2" s="454"/>
      <c r="J2" s="454"/>
      <c r="K2" s="454"/>
      <c r="L2" s="454"/>
      <c r="M2" s="454"/>
      <c r="N2" s="454"/>
      <c r="O2" s="454"/>
      <c r="P2" s="454"/>
      <c r="Q2" s="454"/>
      <c r="R2" s="454"/>
      <c r="S2" s="3"/>
    </row>
    <row r="3">
      <c r="A3" s="213"/>
      <c r="B3" s="213"/>
      <c r="C3" s="213"/>
      <c r="D3" s="1753"/>
      <c r="E3" s="1753"/>
      <c r="F3" s="1753"/>
      <c r="G3" s="1754" t="s">
        <v>2813</v>
      </c>
      <c r="H3" s="454"/>
      <c r="I3" s="3"/>
      <c r="J3" s="1755" t="s">
        <v>2814</v>
      </c>
      <c r="K3" s="454"/>
      <c r="L3" s="3"/>
      <c r="M3" s="1071" t="str">
        <f>IF(NOW()&gt;=DATE(YEAR(G$1),MONTH(G$1)+1,DAY(G$1)),"AC","TF")</f>
        <v>AC</v>
      </c>
      <c r="N3" s="454"/>
      <c r="O3" s="3"/>
      <c r="P3" s="1071" t="str">
        <f>M3&amp;" vs "&amp;G3</f>
        <v>AC vs BP</v>
      </c>
      <c r="Q3" s="3"/>
      <c r="R3" s="1071" t="str">
        <f>M3&amp;" vs "&amp;J3</f>
        <v>AC vs LF</v>
      </c>
      <c r="S3" s="3"/>
    </row>
    <row r="4" collapsed="1">
      <c r="A4" s="1756" t="s">
        <v>2818</v>
      </c>
      <c r="B4" s="1757"/>
      <c r="C4" s="1757"/>
      <c r="D4" s="1758"/>
      <c r="E4" s="1759">
        <v>0.0</v>
      </c>
      <c r="F4" s="1759">
        <v>1.0</v>
      </c>
      <c r="G4" s="1760">
        <f>SUM(G5:G18)</f>
        <v>300000000</v>
      </c>
      <c r="H4" s="1761" t="s">
        <v>2819</v>
      </c>
      <c r="I4" s="1761" t="s">
        <v>2820</v>
      </c>
      <c r="J4" s="1760">
        <f>SUM(J5:J18)</f>
        <v>1102984784</v>
      </c>
      <c r="K4" s="1761" t="s">
        <v>2819</v>
      </c>
      <c r="L4" s="1761" t="s">
        <v>2820</v>
      </c>
      <c r="M4" s="1760" t="str">
        <f>SUM(M5:M18)</f>
        <v>#N/A</v>
      </c>
      <c r="N4" s="1761" t="s">
        <v>2819</v>
      </c>
      <c r="O4" s="1761" t="s">
        <v>2820</v>
      </c>
      <c r="P4" s="1760" t="str">
        <f>SUM(P5:P18)</f>
        <v>#N/A</v>
      </c>
      <c r="Q4" s="1761" t="str">
        <f t="shared" ref="Q4:Q121" si="1">IFERROR(P4/G4,"")</f>
        <v/>
      </c>
      <c r="R4" s="1760" t="str">
        <f>SUM(R5:R18)</f>
        <v>#N/A</v>
      </c>
      <c r="S4" s="1761" t="str">
        <f t="shared" ref="S4:S121" si="2">IFERROR(R4/J4,"")</f>
        <v/>
      </c>
    </row>
    <row r="5" hidden="1" outlineLevel="1">
      <c r="A5" s="1086">
        <f t="shared" ref="A5:A18" si="3">IF(B5="","",COUNTA(B$5:B5))</f>
        <v>1</v>
      </c>
      <c r="B5" s="1087" t="s">
        <v>215</v>
      </c>
      <c r="C5" s="1087" t="str">
        <f>IF(B5="","",VLOOKUP(B5,DM_DUAN,2,0))</f>
        <v>Phước Đông Garden</v>
      </c>
      <c r="D5" s="1087" t="s">
        <v>198</v>
      </c>
      <c r="E5" s="1087"/>
      <c r="F5" s="1086">
        <v>2.0</v>
      </c>
      <c r="G5" s="1088">
        <f>SUMIFS(BP_SOTIEN,BP_DA,$B5,BP_KM,$D5)/1000</f>
        <v>0</v>
      </c>
      <c r="H5" s="1089">
        <f t="shared" ref="H5:H33" si="4">IFERROR(G5/G$4,"")</f>
        <v>0</v>
      </c>
      <c r="I5" s="3"/>
      <c r="J5" s="1090">
        <f>IF(NOW()&gt;=DATE(YEAR(G$1),MONTH(G$1)+1,DAY(G$1)),SUMIFS(TF_SOTIEN,TF_DA,$B5,TF_KM,$D5)/1000, M5)</f>
        <v>79999998</v>
      </c>
      <c r="K5" s="1089">
        <f t="shared" ref="K5:K33" si="5">IFERROR(J5/J$4,"")</f>
        <v>0.07253046385</v>
      </c>
      <c r="L5" s="3"/>
      <c r="M5" s="1090" t="str">
        <f>IF(B5="","",VLOOKUP(B5,'P&amp;L'!$C$5:$IT$18,246,0))</f>
        <v>#N/A</v>
      </c>
      <c r="N5" s="1089" t="str">
        <f t="shared" ref="N5:N33" si="6">IFERROR(M5/M$4,"")</f>
        <v/>
      </c>
      <c r="O5" s="3"/>
      <c r="P5" s="1090" t="str">
        <f t="shared" ref="P5:P121" si="7">M5-G5</f>
        <v>#N/A</v>
      </c>
      <c r="Q5" s="1091" t="str">
        <f t="shared" si="1"/>
        <v/>
      </c>
      <c r="R5" s="1090" t="str">
        <f t="shared" ref="R5:R121" si="8">M5-J5</f>
        <v>#N/A</v>
      </c>
      <c r="S5" s="1091" t="str">
        <f t="shared" si="2"/>
        <v/>
      </c>
    </row>
    <row r="6" hidden="1" outlineLevel="1">
      <c r="A6" s="1086">
        <f t="shared" si="3"/>
        <v>2</v>
      </c>
      <c r="B6" s="1087" t="s">
        <v>404</v>
      </c>
      <c r="C6" s="1087" t="str">
        <f>IF(B6="","",VLOOKUP(B6,DM_DUAN,2,0))</f>
        <v>Hamil ton Garden</v>
      </c>
      <c r="D6" s="1087" t="s">
        <v>198</v>
      </c>
      <c r="E6" s="1087"/>
      <c r="F6" s="1086">
        <v>2.0</v>
      </c>
      <c r="G6" s="1088">
        <f>SUMIFS(BP_SOTIEN,BP_DA,$B6,BP_KM,$D6)/1000</f>
        <v>0</v>
      </c>
      <c r="H6" s="1089">
        <f t="shared" si="4"/>
        <v>0</v>
      </c>
      <c r="I6" s="3"/>
      <c r="J6" s="1090">
        <f>IF(NOW()&gt;=DATE(YEAR(G$1),MONTH(G$1)+1,DAY(G$1)),SUMIFS(TF_SOTIEN,TF_DA,$B6,TF_KM,$D6)/1000, M6)</f>
        <v>39999996</v>
      </c>
      <c r="K6" s="1089">
        <f t="shared" si="5"/>
        <v>0.0362652292</v>
      </c>
      <c r="L6" s="3"/>
      <c r="M6" s="1090" t="str">
        <f>IF(B6="","",VLOOKUP(B6,'P&amp;L'!$C$5:$IT$18,246,0))</f>
        <v>#N/A</v>
      </c>
      <c r="N6" s="1089" t="str">
        <f t="shared" si="6"/>
        <v/>
      </c>
      <c r="O6" s="3"/>
      <c r="P6" s="1090" t="str">
        <f t="shared" si="7"/>
        <v>#N/A</v>
      </c>
      <c r="Q6" s="1091" t="str">
        <f t="shared" si="1"/>
        <v/>
      </c>
      <c r="R6" s="1090" t="str">
        <f t="shared" si="8"/>
        <v>#N/A</v>
      </c>
      <c r="S6" s="1091" t="str">
        <f t="shared" si="2"/>
        <v/>
      </c>
    </row>
    <row r="7" hidden="1" outlineLevel="1">
      <c r="A7" s="1086">
        <f t="shared" si="3"/>
        <v>3</v>
      </c>
      <c r="B7" s="1087" t="s">
        <v>533</v>
      </c>
      <c r="C7" s="1087" t="str">
        <f>IF(B7="","",VLOOKUP(B7,DM_DUAN,2,0))</f>
        <v>The sol city</v>
      </c>
      <c r="D7" s="1087" t="s">
        <v>198</v>
      </c>
      <c r="E7" s="1087"/>
      <c r="F7" s="1086">
        <v>2.0</v>
      </c>
      <c r="G7" s="1088">
        <f>SUMIFS(BP_SOTIEN,BP_DA,$B7,BP_KM,$D7)/1000</f>
        <v>0</v>
      </c>
      <c r="H7" s="1089">
        <f t="shared" si="4"/>
        <v>0</v>
      </c>
      <c r="I7" s="3"/>
      <c r="J7" s="1090">
        <f>IF(NOW()&gt;=DATE(YEAR(G$1),MONTH(G$1)+1,DAY(G$1)),SUMIFS(TF_SOTIEN,TF_DA,$B7,TF_KM,$D7)/1000, M7)</f>
        <v>0</v>
      </c>
      <c r="K7" s="1089">
        <f t="shared" si="5"/>
        <v>0</v>
      </c>
      <c r="L7" s="3"/>
      <c r="M7" s="1090" t="str">
        <f>IF(B7="","",VLOOKUP(B7,'P&amp;L'!$C$5:$IT$18,246,0))</f>
        <v>#N/A</v>
      </c>
      <c r="N7" s="1089" t="str">
        <f t="shared" si="6"/>
        <v/>
      </c>
      <c r="O7" s="3"/>
      <c r="P7" s="1090" t="str">
        <f t="shared" si="7"/>
        <v>#N/A</v>
      </c>
      <c r="Q7" s="1091" t="str">
        <f t="shared" si="1"/>
        <v/>
      </c>
      <c r="R7" s="1090" t="str">
        <f t="shared" si="8"/>
        <v>#N/A</v>
      </c>
      <c r="S7" s="1091" t="str">
        <f t="shared" si="2"/>
        <v/>
      </c>
    </row>
    <row r="8" hidden="1" outlineLevel="1">
      <c r="A8" s="1086">
        <f t="shared" si="3"/>
        <v>4</v>
      </c>
      <c r="B8" s="1087" t="s">
        <v>175</v>
      </c>
      <c r="C8" s="1087" t="str">
        <f>IF(B8="","",VLOOKUP(B8,DM_DUAN,2,0))</f>
        <v>Phước hội Hồ Tràm</v>
      </c>
      <c r="D8" s="1087" t="s">
        <v>198</v>
      </c>
      <c r="E8" s="1087"/>
      <c r="F8" s="1086">
        <v>2.0</v>
      </c>
      <c r="G8" s="1088">
        <f>SUMIFS(BP_SOTIEN,BP_DA,$B8,BP_KM,$D8)/1000</f>
        <v>120000000</v>
      </c>
      <c r="H8" s="1089">
        <f t="shared" si="4"/>
        <v>0.4</v>
      </c>
      <c r="I8" s="3"/>
      <c r="J8" s="1090">
        <f>IF(NOW()&gt;=DATE(YEAR(G$1),MONTH(G$1)+1,DAY(G$1)),SUMIFS(TF_SOTIEN,TF_DA,$B8,TF_KM,$D8)/1000, M8)</f>
        <v>110999998</v>
      </c>
      <c r="K8" s="1089">
        <f t="shared" si="5"/>
        <v>0.1006360193</v>
      </c>
      <c r="L8" s="3"/>
      <c r="M8" s="1090">
        <f>IF(B8="","",VLOOKUP(B8,'P&amp;L'!$C$5:$IT$18,246,0))</f>
        <v>8438145</v>
      </c>
      <c r="N8" s="1089" t="str">
        <f t="shared" si="6"/>
        <v/>
      </c>
      <c r="O8" s="3"/>
      <c r="P8" s="1090">
        <f t="shared" si="7"/>
        <v>-111561855</v>
      </c>
      <c r="Q8" s="1091">
        <f t="shared" si="1"/>
        <v>-0.929682125</v>
      </c>
      <c r="R8" s="1090">
        <f t="shared" si="8"/>
        <v>-102561853</v>
      </c>
      <c r="S8" s="1091">
        <f t="shared" si="2"/>
        <v>-0.9239806743</v>
      </c>
    </row>
    <row r="9" hidden="1" outlineLevel="1">
      <c r="A9" s="1086">
        <f t="shared" si="3"/>
        <v>5</v>
      </c>
      <c r="B9" s="1087" t="s">
        <v>2067</v>
      </c>
      <c r="C9" s="1087" t="str">
        <f>IF(B9="","",VLOOKUP(B9,DM_DUAN,2,0))</f>
        <v>NAM PHONG</v>
      </c>
      <c r="D9" s="1087" t="s">
        <v>198</v>
      </c>
      <c r="E9" s="1087"/>
      <c r="F9" s="1086">
        <v>2.0</v>
      </c>
      <c r="G9" s="1088">
        <f>SUMIFS(BP_SOTIEN,BP_DA,$B9,BP_KM,$D9)/1000</f>
        <v>180000000</v>
      </c>
      <c r="H9" s="1089">
        <f t="shared" si="4"/>
        <v>0.6</v>
      </c>
      <c r="I9" s="3"/>
      <c r="J9" s="1090">
        <f>IF(NOW()&gt;=DATE(YEAR(G$1),MONTH(G$1)+1,DAY(G$1)),SUMIFS(TF_SOTIEN,TF_DA,$B9,TF_KM,$D9)/1000, M9)</f>
        <v>240000000</v>
      </c>
      <c r="K9" s="1089">
        <f t="shared" si="5"/>
        <v>0.217591397</v>
      </c>
      <c r="L9" s="3"/>
      <c r="M9" s="1090">
        <f>IF(B9="","",VLOOKUP(B9,'P&amp;L'!$C$5:$IT$18,246,0))</f>
        <v>0</v>
      </c>
      <c r="N9" s="1089" t="str">
        <f t="shared" si="6"/>
        <v/>
      </c>
      <c r="O9" s="3"/>
      <c r="P9" s="1090">
        <f t="shared" si="7"/>
        <v>-180000000</v>
      </c>
      <c r="Q9" s="1091">
        <f t="shared" si="1"/>
        <v>-1</v>
      </c>
      <c r="R9" s="1090">
        <f t="shared" si="8"/>
        <v>-240000000</v>
      </c>
      <c r="S9" s="1091">
        <f t="shared" si="2"/>
        <v>-1</v>
      </c>
    </row>
    <row r="10" hidden="1" outlineLevel="1">
      <c r="A10" s="1086">
        <f t="shared" si="3"/>
        <v>6</v>
      </c>
      <c r="B10" s="656" t="s">
        <v>638</v>
      </c>
      <c r="C10" s="1087" t="str">
        <f>IF(B10="","",VLOOKUP(B10,DM_DUAN,2,0))</f>
        <v>Sản phẩm Phước Vinh</v>
      </c>
      <c r="D10" s="1087" t="s">
        <v>198</v>
      </c>
      <c r="E10" s="1087"/>
      <c r="F10" s="1086">
        <v>2.0</v>
      </c>
      <c r="G10" s="1088">
        <f>SUMIFS(BP_SOTIEN,BP_DA,$B10,BP_KM,$D10)/1000</f>
        <v>0</v>
      </c>
      <c r="H10" s="1089">
        <f t="shared" si="4"/>
        <v>0</v>
      </c>
      <c r="I10" s="3"/>
      <c r="J10" s="1090">
        <f>IF(NOW()&gt;=DATE(YEAR(G$1),MONTH(G$1)+1,DAY(G$1)),SUMIFS(TF_SOTIEN,TF_DA,$B10,TF_KM,$D10)/1000, M10)</f>
        <v>8000000</v>
      </c>
      <c r="K10" s="1089">
        <f t="shared" si="5"/>
        <v>0.007253046566</v>
      </c>
      <c r="L10" s="3"/>
      <c r="M10" s="1090">
        <f>IF(B10="","",VLOOKUP(B10,'P&amp;L'!$C$5:$IT$18,246,0))</f>
        <v>7885000</v>
      </c>
      <c r="N10" s="1089" t="str">
        <f t="shared" si="6"/>
        <v/>
      </c>
      <c r="O10" s="3"/>
      <c r="P10" s="1090">
        <f t="shared" si="7"/>
        <v>7885000</v>
      </c>
      <c r="Q10" s="1091" t="str">
        <f t="shared" si="1"/>
        <v/>
      </c>
      <c r="R10" s="1090">
        <f t="shared" si="8"/>
        <v>-115000</v>
      </c>
      <c r="S10" s="1091">
        <f t="shared" si="2"/>
        <v>-0.014375</v>
      </c>
    </row>
    <row r="11" hidden="1" outlineLevel="1">
      <c r="A11" s="1086">
        <f t="shared" si="3"/>
        <v>7</v>
      </c>
      <c r="B11" s="1087" t="s">
        <v>2070</v>
      </c>
      <c r="C11" s="1087" t="str">
        <f>IF(B11="","",VLOOKUP(B11,DM_DUAN,2,0))</f>
        <v>KHANG VƯỢNG</v>
      </c>
      <c r="D11" s="1087" t="s">
        <v>198</v>
      </c>
      <c r="E11" s="1087"/>
      <c r="F11" s="1086">
        <v>2.0</v>
      </c>
      <c r="G11" s="1088">
        <f>SUMIFS(BP_SOTIEN,BP_DA,$B11,BP_KM,$D11)/1000</f>
        <v>0</v>
      </c>
      <c r="H11" s="1089">
        <f t="shared" si="4"/>
        <v>0</v>
      </c>
      <c r="I11" s="3"/>
      <c r="J11" s="1090">
        <f>IF(NOW()&gt;=DATE(YEAR(G$1),MONTH(G$1)+1,DAY(G$1)),SUMIFS(TF_SOTIEN,TF_DA,$B11,TF_KM,$D11)/1000, M11)</f>
        <v>39999996</v>
      </c>
      <c r="K11" s="1089">
        <f t="shared" si="5"/>
        <v>0.0362652292</v>
      </c>
      <c r="L11" s="3"/>
      <c r="M11" s="1090" t="str">
        <f>IF(B11="","",VLOOKUP(B11,'P&amp;L'!$C$5:$IT$18,246,0))</f>
        <v>#N/A</v>
      </c>
      <c r="N11" s="1089" t="str">
        <f t="shared" si="6"/>
        <v/>
      </c>
      <c r="O11" s="3"/>
      <c r="P11" s="1090" t="str">
        <f t="shared" si="7"/>
        <v>#N/A</v>
      </c>
      <c r="Q11" s="1091" t="str">
        <f t="shared" si="1"/>
        <v/>
      </c>
      <c r="R11" s="1090" t="str">
        <f t="shared" si="8"/>
        <v>#N/A</v>
      </c>
      <c r="S11" s="1091" t="str">
        <f t="shared" si="2"/>
        <v/>
      </c>
    </row>
    <row r="12" hidden="1" outlineLevel="1">
      <c r="A12" s="1086">
        <f t="shared" si="3"/>
        <v>8</v>
      </c>
      <c r="B12" s="1087" t="s">
        <v>2072</v>
      </c>
      <c r="C12" s="1087" t="str">
        <f>IF(B12="","",VLOOKUP(B12,DM_DUAN,2,0))</f>
        <v>TRẦN ANH GROUP</v>
      </c>
      <c r="D12" s="1087" t="s">
        <v>198</v>
      </c>
      <c r="E12" s="1087"/>
      <c r="F12" s="1086">
        <v>2.0</v>
      </c>
      <c r="G12" s="1088">
        <f>SUMIFS(BP_SOTIEN,BP_DA,$B12,BP_KM,$D12)/1000</f>
        <v>0</v>
      </c>
      <c r="H12" s="1089">
        <f t="shared" si="4"/>
        <v>0</v>
      </c>
      <c r="I12" s="3"/>
      <c r="J12" s="1090">
        <f>IF(NOW()&gt;=DATE(YEAR(G$1),MONTH(G$1)+1,DAY(G$1)),SUMIFS(TF_SOTIEN,TF_DA,$B12,TF_KM,$D12)/1000, M12)</f>
        <v>79999998</v>
      </c>
      <c r="K12" s="1089">
        <f t="shared" si="5"/>
        <v>0.07253046385</v>
      </c>
      <c r="L12" s="3"/>
      <c r="M12" s="1090" t="str">
        <f>IF(B12="","",VLOOKUP(B12,'P&amp;L'!$C$5:$IT$18,246,0))</f>
        <v>#N/A</v>
      </c>
      <c r="N12" s="1089" t="str">
        <f t="shared" si="6"/>
        <v/>
      </c>
      <c r="O12" s="3"/>
      <c r="P12" s="1090" t="str">
        <f t="shared" si="7"/>
        <v>#N/A</v>
      </c>
      <c r="Q12" s="1091" t="str">
        <f t="shared" si="1"/>
        <v/>
      </c>
      <c r="R12" s="1090" t="str">
        <f t="shared" si="8"/>
        <v>#N/A</v>
      </c>
      <c r="S12" s="1091" t="str">
        <f t="shared" si="2"/>
        <v/>
      </c>
    </row>
    <row r="13" hidden="1" outlineLevel="1">
      <c r="A13" s="1086">
        <f t="shared" si="3"/>
        <v>9</v>
      </c>
      <c r="B13" s="1087" t="s">
        <v>2073</v>
      </c>
      <c r="C13" s="1087" t="str">
        <f>IF(B13="","",VLOOKUP(B13,DM_DUAN,2,0))</f>
        <v>PHI TRƯỜNG</v>
      </c>
      <c r="D13" s="1087" t="s">
        <v>198</v>
      </c>
      <c r="E13" s="1087"/>
      <c r="F13" s="1086">
        <v>2.0</v>
      </c>
      <c r="G13" s="1088">
        <f>SUMIFS(BP_SOTIEN,BP_DA,$B13,BP_KM,$D13)/1000</f>
        <v>0</v>
      </c>
      <c r="H13" s="1089">
        <f t="shared" si="4"/>
        <v>0</v>
      </c>
      <c r="I13" s="3"/>
      <c r="J13" s="1090">
        <f>IF(NOW()&gt;=DATE(YEAR(G$1),MONTH(G$1)+1,DAY(G$1)),SUMIFS(TF_SOTIEN,TF_DA,$B13,TF_KM,$D13)/1000, M13)</f>
        <v>319999998</v>
      </c>
      <c r="K13" s="1089">
        <f t="shared" si="5"/>
        <v>0.2901218608</v>
      </c>
      <c r="L13" s="3"/>
      <c r="M13" s="1090" t="str">
        <f>IF(B13="","",VLOOKUP(B13,'P&amp;L'!$C$5:$IT$18,246,0))</f>
        <v>#N/A</v>
      </c>
      <c r="N13" s="1089" t="str">
        <f t="shared" si="6"/>
        <v/>
      </c>
      <c r="O13" s="3"/>
      <c r="P13" s="1090" t="str">
        <f t="shared" si="7"/>
        <v>#N/A</v>
      </c>
      <c r="Q13" s="1091" t="str">
        <f t="shared" si="1"/>
        <v/>
      </c>
      <c r="R13" s="1090" t="str">
        <f t="shared" si="8"/>
        <v>#N/A</v>
      </c>
      <c r="S13" s="1091" t="str">
        <f t="shared" si="2"/>
        <v/>
      </c>
    </row>
    <row r="14" hidden="1" outlineLevel="1">
      <c r="A14" s="1086">
        <f t="shared" si="3"/>
        <v>10</v>
      </c>
      <c r="B14" s="1087" t="s">
        <v>2074</v>
      </c>
      <c r="C14" s="1087" t="str">
        <f>IF(B14="","",VLOOKUP(B14,DM_DUAN,2,0))</f>
        <v>HOÀNG CÁT</v>
      </c>
      <c r="D14" s="1087" t="s">
        <v>198</v>
      </c>
      <c r="E14" s="1087"/>
      <c r="F14" s="1086">
        <v>2.0</v>
      </c>
      <c r="G14" s="1088">
        <f>SUMIFS(BP_SOTIEN,BP_DA,$B14,BP_KM,$D14)/1000</f>
        <v>0</v>
      </c>
      <c r="H14" s="1089">
        <f t="shared" si="4"/>
        <v>0</v>
      </c>
      <c r="I14" s="3"/>
      <c r="J14" s="1090">
        <f>IF(NOW()&gt;=DATE(YEAR(G$1),MONTH(G$1)+1,DAY(G$1)),SUMIFS(TF_SOTIEN,TF_DA,$B14,TF_KM,$D14)/1000, M14)</f>
        <v>159999996</v>
      </c>
      <c r="K14" s="1089">
        <f t="shared" si="5"/>
        <v>0.1450609277</v>
      </c>
      <c r="L14" s="3"/>
      <c r="M14" s="1090" t="str">
        <f>IF(B14="","",VLOOKUP(B14,'P&amp;L'!$C$5:$IT$18,246,0))</f>
        <v>#N/A</v>
      </c>
      <c r="N14" s="1089" t="str">
        <f t="shared" si="6"/>
        <v/>
      </c>
      <c r="O14" s="3"/>
      <c r="P14" s="1090" t="str">
        <f t="shared" si="7"/>
        <v>#N/A</v>
      </c>
      <c r="Q14" s="1091" t="str">
        <f t="shared" si="1"/>
        <v/>
      </c>
      <c r="R14" s="1090" t="str">
        <f t="shared" si="8"/>
        <v>#N/A</v>
      </c>
      <c r="S14" s="1091" t="str">
        <f t="shared" si="2"/>
        <v/>
      </c>
    </row>
    <row r="15" hidden="1" outlineLevel="1">
      <c r="A15" s="1086">
        <f t="shared" si="3"/>
        <v>11</v>
      </c>
      <c r="B15" s="1087" t="s">
        <v>530</v>
      </c>
      <c r="C15" s="1087" t="str">
        <f>IF(B15="","",VLOOKUP(B15,DM_DUAN,2,0))</f>
        <v>Nhà vườn sinh thái</v>
      </c>
      <c r="D15" s="1087" t="s">
        <v>198</v>
      </c>
      <c r="E15" s="1087"/>
      <c r="F15" s="1086">
        <v>2.0</v>
      </c>
      <c r="G15" s="1088">
        <f>SUMIFS(BP_SOTIEN,BP_DA,$B15,BP_KM,$D15)/1000</f>
        <v>0</v>
      </c>
      <c r="H15" s="1089">
        <f t="shared" si="4"/>
        <v>0</v>
      </c>
      <c r="I15" s="3"/>
      <c r="J15" s="1090">
        <f>IF(NOW()&gt;=DATE(YEAR(G$1),MONTH(G$1)+1,DAY(G$1)),SUMIFS(TF_SOTIEN,TF_DA,$B15,TF_KM,$D15)/1000, M15)</f>
        <v>10000000</v>
      </c>
      <c r="K15" s="1089">
        <f t="shared" si="5"/>
        <v>0.009066308208</v>
      </c>
      <c r="L15" s="3"/>
      <c r="M15" s="1090">
        <f>IF(B15="","",VLOOKUP(B15,'P&amp;L'!$C$5:$IT$18,246,0))</f>
        <v>13959990</v>
      </c>
      <c r="N15" s="1089" t="str">
        <f t="shared" si="6"/>
        <v/>
      </c>
      <c r="O15" s="3"/>
      <c r="P15" s="1090">
        <f t="shared" si="7"/>
        <v>13959990</v>
      </c>
      <c r="Q15" s="1091" t="str">
        <f t="shared" si="1"/>
        <v/>
      </c>
      <c r="R15" s="1090">
        <f t="shared" si="8"/>
        <v>3959990</v>
      </c>
      <c r="S15" s="1091">
        <f t="shared" si="2"/>
        <v>0.395999</v>
      </c>
    </row>
    <row r="16" hidden="1" outlineLevel="1">
      <c r="A16" s="1086">
        <f t="shared" si="3"/>
        <v>12</v>
      </c>
      <c r="B16" s="656" t="s">
        <v>875</v>
      </c>
      <c r="C16" s="1087" t="str">
        <f>IF(B16="","",VLOOKUP(B16,DM_DUAN,2,0))</f>
        <v>Sản phẩm Long Khánh 2</v>
      </c>
      <c r="D16" s="1087" t="s">
        <v>198</v>
      </c>
      <c r="E16" s="1087"/>
      <c r="F16" s="1086">
        <v>2.0</v>
      </c>
      <c r="G16" s="1088">
        <f>SUMIFS(BP_SOTIEN,BP_DA,$B16,BP_KM,$D16)/1000</f>
        <v>0</v>
      </c>
      <c r="H16" s="1089">
        <f t="shared" si="4"/>
        <v>0</v>
      </c>
      <c r="I16" s="3"/>
      <c r="J16" s="1090">
        <f>IF(NOW()&gt;=DATE(YEAR(G$1),MONTH(G$1)+1,DAY(G$1)),SUMIFS(TF_SOTIEN,TF_DA,$B16,TF_KM,$D16)/1000, M16)</f>
        <v>0</v>
      </c>
      <c r="K16" s="1089">
        <f t="shared" si="5"/>
        <v>0</v>
      </c>
      <c r="L16" s="3"/>
      <c r="M16" s="1090">
        <f>IF(B16="","",VLOOKUP(B16,'P&amp;L'!$C$5:$IT$18,246,0))</f>
        <v>0</v>
      </c>
      <c r="N16" s="1089" t="str">
        <f t="shared" si="6"/>
        <v/>
      </c>
      <c r="O16" s="3"/>
      <c r="P16" s="1090">
        <f t="shared" si="7"/>
        <v>0</v>
      </c>
      <c r="Q16" s="1091" t="str">
        <f t="shared" si="1"/>
        <v/>
      </c>
      <c r="R16" s="1090">
        <f t="shared" si="8"/>
        <v>0</v>
      </c>
      <c r="S16" s="1091" t="str">
        <f t="shared" si="2"/>
        <v/>
      </c>
    </row>
    <row r="17" hidden="1" outlineLevel="1">
      <c r="A17" s="1086">
        <f t="shared" si="3"/>
        <v>13</v>
      </c>
      <c r="B17" s="656" t="s">
        <v>636</v>
      </c>
      <c r="C17" s="1087" t="str">
        <f>IF(B17="","",VLOOKUP(B17,DM_DUAN,2,0))</f>
        <v>Sản phẩm Long Khánh 3</v>
      </c>
      <c r="D17" s="1087" t="s">
        <v>198</v>
      </c>
      <c r="E17" s="1087"/>
      <c r="F17" s="1086">
        <v>2.0</v>
      </c>
      <c r="G17" s="1088">
        <f>SUMIFS(BP_SOTIEN,BP_DA,$B17,BP_KM,$D17)/1000</f>
        <v>0</v>
      </c>
      <c r="H17" s="1089">
        <f t="shared" si="4"/>
        <v>0</v>
      </c>
      <c r="I17" s="3"/>
      <c r="J17" s="1090">
        <f>IF(NOW()&gt;=DATE(YEAR(G$1),MONTH(G$1)+1,DAY(G$1)),SUMIFS(TF_SOTIEN,TF_DA,$B17,TF_KM,$D17)/1000, M17)</f>
        <v>2000000</v>
      </c>
      <c r="K17" s="1089">
        <f t="shared" si="5"/>
        <v>0.001813261642</v>
      </c>
      <c r="L17" s="3"/>
      <c r="M17" s="1090">
        <f>IF(B17="","",VLOOKUP(B17,'P&amp;L'!$C$5:$IT$18,246,0))</f>
        <v>2244000</v>
      </c>
      <c r="N17" s="1089" t="str">
        <f t="shared" si="6"/>
        <v/>
      </c>
      <c r="O17" s="3"/>
      <c r="P17" s="1090">
        <f t="shared" si="7"/>
        <v>2244000</v>
      </c>
      <c r="Q17" s="1091" t="str">
        <f t="shared" si="1"/>
        <v/>
      </c>
      <c r="R17" s="1090">
        <f t="shared" si="8"/>
        <v>244000</v>
      </c>
      <c r="S17" s="1091">
        <f t="shared" si="2"/>
        <v>0.122</v>
      </c>
    </row>
    <row r="18" hidden="1" outlineLevel="1">
      <c r="A18" s="1086">
        <f t="shared" si="3"/>
        <v>14</v>
      </c>
      <c r="B18" s="656" t="s">
        <v>956</v>
      </c>
      <c r="C18" s="1087" t="str">
        <f>IF(B18="","",VLOOKUP(B18,DM_DUAN,2,0))</f>
        <v>KDC Lộc Ngãi</v>
      </c>
      <c r="D18" s="1087" t="s">
        <v>198</v>
      </c>
      <c r="E18" s="1087"/>
      <c r="F18" s="1086">
        <v>2.0</v>
      </c>
      <c r="G18" s="1088">
        <f>SUMIFS(BP_SOTIEN,BP_DA,$B18,BP_KM,$D18)/1000</f>
        <v>0</v>
      </c>
      <c r="H18" s="1089">
        <f t="shared" si="4"/>
        <v>0</v>
      </c>
      <c r="I18" s="3"/>
      <c r="J18" s="1090">
        <f>IF(NOW()&gt;=DATE(YEAR(G$1),MONTH(G$1)+1,DAY(G$1)),SUMIFS(TF_SOTIEN,TF_DA,$B18,TF_KM,$D18)/1000, M18)</f>
        <v>11984804</v>
      </c>
      <c r="K18" s="1089">
        <f t="shared" si="5"/>
        <v>0.01086579269</v>
      </c>
      <c r="L18" s="3"/>
      <c r="M18" s="1090">
        <f>IF(B18="","",VLOOKUP(B18,'P&amp;L'!$C$5:$IT$18,246,0))</f>
        <v>5081300</v>
      </c>
      <c r="N18" s="1089" t="str">
        <f t="shared" si="6"/>
        <v/>
      </c>
      <c r="O18" s="3"/>
      <c r="P18" s="1090">
        <f t="shared" si="7"/>
        <v>5081300</v>
      </c>
      <c r="Q18" s="1091" t="str">
        <f t="shared" si="1"/>
        <v/>
      </c>
      <c r="R18" s="1090">
        <f t="shared" si="8"/>
        <v>-6903504</v>
      </c>
      <c r="S18" s="1091">
        <f t="shared" si="2"/>
        <v>-0.5760214351</v>
      </c>
    </row>
    <row r="19">
      <c r="A19" s="1756" t="s">
        <v>2822</v>
      </c>
      <c r="B19" s="1757"/>
      <c r="C19" s="1757"/>
      <c r="D19" s="1758"/>
      <c r="E19" s="1759">
        <v>511.0</v>
      </c>
      <c r="F19" s="1759"/>
      <c r="G19" s="1760">
        <f>SUM(G20:G33)</f>
        <v>36000000</v>
      </c>
      <c r="H19" s="1761">
        <f t="shared" si="4"/>
        <v>0.12</v>
      </c>
      <c r="I19" s="1761"/>
      <c r="J19" s="1760">
        <f>SUM(J20:J33)</f>
        <v>127854454.1</v>
      </c>
      <c r="K19" s="1761">
        <f t="shared" si="5"/>
        <v>0.1159167886</v>
      </c>
      <c r="L19" s="1761"/>
      <c r="M19" s="1760" t="str">
        <f>SUM(M20:M33)</f>
        <v>#N/A</v>
      </c>
      <c r="N19" s="1761" t="str">
        <f t="shared" si="6"/>
        <v/>
      </c>
      <c r="O19" s="1761"/>
      <c r="P19" s="1760" t="str">
        <f t="shared" si="7"/>
        <v>#N/A</v>
      </c>
      <c r="Q19" s="1761" t="str">
        <f t="shared" si="1"/>
        <v/>
      </c>
      <c r="R19" s="1760" t="str">
        <f t="shared" si="8"/>
        <v>#N/A</v>
      </c>
      <c r="S19" s="1761" t="str">
        <f t="shared" si="2"/>
        <v/>
      </c>
    </row>
    <row r="20">
      <c r="A20" s="1086">
        <f t="shared" ref="A20:A33" si="9">IF(B20="","",COUNTA(B$19:B20))</f>
        <v>1</v>
      </c>
      <c r="B20" s="1087" t="s">
        <v>215</v>
      </c>
      <c r="C20" s="1087" t="str">
        <f>IF(B20="","",VLOOKUP(B20,DM_DUAN,2,0))</f>
        <v>Phước Đông Garden</v>
      </c>
      <c r="D20" s="1087" t="s">
        <v>187</v>
      </c>
      <c r="E20" s="1087"/>
      <c r="F20" s="1086">
        <v>2.0</v>
      </c>
      <c r="G20" s="1088">
        <f>SUMIFS(BP_SOTIEN,BP_DA,$B20,BP_KM,$D20)/1000</f>
        <v>0</v>
      </c>
      <c r="H20" s="1089">
        <f t="shared" si="4"/>
        <v>0</v>
      </c>
      <c r="I20" s="1089">
        <f t="shared" ref="I20:I33" si="10">IFERROR(G20/G$19,"")</f>
        <v>0</v>
      </c>
      <c r="J20" s="1090">
        <f>IF(NOW()&gt;=DATE(YEAR(G$1),MONTH(G$1)+1,DAY(G$1)),SUMIFS(TF_SOTIEN,TF_DA,$B20,TF_KM,$D20)/1000, M20)</f>
        <v>9599999.76</v>
      </c>
      <c r="K20" s="1089">
        <f t="shared" si="5"/>
        <v>0.008703655662</v>
      </c>
      <c r="L20" s="1089">
        <f t="shared" ref="L20:L33" si="11">IFERROR(J20/J$19,"")</f>
        <v>0.07508537602</v>
      </c>
      <c r="M20" s="1090" t="str">
        <f>IF(B20="","",VLOOKUP(B20,'P&amp;L'!$C$20:$IT$33,246,0))</f>
        <v>#N/A</v>
      </c>
      <c r="N20" s="1089" t="str">
        <f t="shared" si="6"/>
        <v/>
      </c>
      <c r="O20" s="1089" t="str">
        <f t="shared" ref="O20:O33" si="12">IFERROR(M20/M$19,"")</f>
        <v/>
      </c>
      <c r="P20" s="1090" t="str">
        <f t="shared" si="7"/>
        <v>#N/A</v>
      </c>
      <c r="Q20" s="1091" t="str">
        <f t="shared" si="1"/>
        <v/>
      </c>
      <c r="R20" s="1090" t="str">
        <f t="shared" si="8"/>
        <v>#N/A</v>
      </c>
      <c r="S20" s="1091" t="str">
        <f t="shared" si="2"/>
        <v/>
      </c>
    </row>
    <row r="21">
      <c r="A21" s="1086">
        <f t="shared" si="9"/>
        <v>2</v>
      </c>
      <c r="B21" s="1087" t="s">
        <v>404</v>
      </c>
      <c r="C21" s="1087" t="str">
        <f>IF(B21="","",VLOOKUP(B21,DM_DUAN,2,0))</f>
        <v>Hamil ton Garden</v>
      </c>
      <c r="D21" s="1087" t="s">
        <v>187</v>
      </c>
      <c r="E21" s="1087"/>
      <c r="F21" s="1086">
        <v>2.0</v>
      </c>
      <c r="G21" s="1088">
        <f>SUMIFS(BP_SOTIEN,BP_DA,$B21,BP_KM,$D21)/1000</f>
        <v>0</v>
      </c>
      <c r="H21" s="1089">
        <f t="shared" si="4"/>
        <v>0</v>
      </c>
      <c r="I21" s="1089">
        <f t="shared" si="10"/>
        <v>0</v>
      </c>
      <c r="J21" s="1090">
        <f>IF(NOW()&gt;=DATE(YEAR(G$1),MONTH(G$1)+1,DAY(G$1)),SUMIFS(TF_SOTIEN,TF_DA,$B21,TF_KM,$D21)/1000, M21)</f>
        <v>4799999.52</v>
      </c>
      <c r="K21" s="1089">
        <f t="shared" si="5"/>
        <v>0.004351827504</v>
      </c>
      <c r="L21" s="1089">
        <f t="shared" si="11"/>
        <v>0.03754268519</v>
      </c>
      <c r="M21" s="1090" t="str">
        <f>IF(B21="","",VLOOKUP(B21,'P&amp;L'!$C$20:$IT$33,246,0))</f>
        <v>#N/A</v>
      </c>
      <c r="N21" s="1089" t="str">
        <f t="shared" si="6"/>
        <v/>
      </c>
      <c r="O21" s="1089" t="str">
        <f t="shared" si="12"/>
        <v/>
      </c>
      <c r="P21" s="1090" t="str">
        <f t="shared" si="7"/>
        <v>#N/A</v>
      </c>
      <c r="Q21" s="1091" t="str">
        <f t="shared" si="1"/>
        <v/>
      </c>
      <c r="R21" s="1090" t="str">
        <f t="shared" si="8"/>
        <v>#N/A</v>
      </c>
      <c r="S21" s="1091" t="str">
        <f t="shared" si="2"/>
        <v/>
      </c>
    </row>
    <row r="22" hidden="1">
      <c r="A22" s="1086">
        <f t="shared" si="9"/>
        <v>3</v>
      </c>
      <c r="B22" s="1087" t="s">
        <v>533</v>
      </c>
      <c r="C22" s="1087" t="str">
        <f>IF(B22="","",VLOOKUP(B22,DM_DUAN,2,0))</f>
        <v>The sol city</v>
      </c>
      <c r="D22" s="1087" t="s">
        <v>187</v>
      </c>
      <c r="E22" s="1087"/>
      <c r="F22" s="1086">
        <v>2.0</v>
      </c>
      <c r="G22" s="1088">
        <f>SUMIFS(BP_SOTIEN,BP_DA,$B22,BP_KM,$D22)/1000</f>
        <v>0</v>
      </c>
      <c r="H22" s="1089">
        <f t="shared" si="4"/>
        <v>0</v>
      </c>
      <c r="I22" s="1089">
        <f t="shared" si="10"/>
        <v>0</v>
      </c>
      <c r="J22" s="1090">
        <f>IF(NOW()&gt;=DATE(YEAR(G$1),MONTH(G$1)+1,DAY(G$1)),SUMIFS(TF_SOTIEN,TF_DA,$B22,TF_KM,$D22)/1000, M22)</f>
        <v>0</v>
      </c>
      <c r="K22" s="1089">
        <f t="shared" si="5"/>
        <v>0</v>
      </c>
      <c r="L22" s="1089">
        <f t="shared" si="11"/>
        <v>0</v>
      </c>
      <c r="M22" s="1090" t="str">
        <f>IF(B22="","",VLOOKUP(B22,'P&amp;L'!$C$20:$IT$33,246,0))</f>
        <v>#N/A</v>
      </c>
      <c r="N22" s="1089" t="str">
        <f t="shared" si="6"/>
        <v/>
      </c>
      <c r="O22" s="1089" t="str">
        <f t="shared" si="12"/>
        <v/>
      </c>
      <c r="P22" s="1090" t="str">
        <f t="shared" si="7"/>
        <v>#N/A</v>
      </c>
      <c r="Q22" s="1091" t="str">
        <f t="shared" si="1"/>
        <v/>
      </c>
      <c r="R22" s="1090" t="str">
        <f t="shared" si="8"/>
        <v>#N/A</v>
      </c>
      <c r="S22" s="1091" t="str">
        <f t="shared" si="2"/>
        <v/>
      </c>
    </row>
    <row r="23">
      <c r="A23" s="1086">
        <f t="shared" si="9"/>
        <v>4</v>
      </c>
      <c r="B23" s="1087" t="s">
        <v>175</v>
      </c>
      <c r="C23" s="1087" t="str">
        <f>IF(B23="","",VLOOKUP(B23,DM_DUAN,2,0))</f>
        <v>Phước hội Hồ Tràm</v>
      </c>
      <c r="D23" s="1087" t="s">
        <v>187</v>
      </c>
      <c r="E23" s="1087"/>
      <c r="F23" s="1086">
        <v>2.0</v>
      </c>
      <c r="G23" s="1088">
        <f>SUMIFS(BP_SOTIEN,BP_DA,$B23,BP_KM,$D23)/1000</f>
        <v>14400000</v>
      </c>
      <c r="H23" s="1089">
        <f t="shared" si="4"/>
        <v>0.048</v>
      </c>
      <c r="I23" s="1089">
        <f t="shared" si="10"/>
        <v>0.4</v>
      </c>
      <c r="J23" s="1090">
        <f>IF(NOW()&gt;=DATE(YEAR(G$1),MONTH(G$1)+1,DAY(G$1)),SUMIFS(TF_SOTIEN,TF_DA,$B23,TF_KM,$D23)/1000, M23)</f>
        <v>11159999.76</v>
      </c>
      <c r="K23" s="1089">
        <f t="shared" si="5"/>
        <v>0.01011799974</v>
      </c>
      <c r="L23" s="1089">
        <f t="shared" si="11"/>
        <v>0.08728674992</v>
      </c>
      <c r="M23" s="1090">
        <f>IF(B23="","",VLOOKUP(B23,'P&amp;L'!$C$20:$IT$33,246,0))</f>
        <v>670000</v>
      </c>
      <c r="N23" s="1089" t="str">
        <f t="shared" si="6"/>
        <v/>
      </c>
      <c r="O23" s="1089" t="str">
        <f t="shared" si="12"/>
        <v/>
      </c>
      <c r="P23" s="1090">
        <f t="shared" si="7"/>
        <v>-13730000</v>
      </c>
      <c r="Q23" s="1091">
        <f t="shared" si="1"/>
        <v>-0.9534722222</v>
      </c>
      <c r="R23" s="1090">
        <f t="shared" si="8"/>
        <v>-10489999.76</v>
      </c>
      <c r="S23" s="1091">
        <f t="shared" si="2"/>
        <v>-0.9399641564</v>
      </c>
    </row>
    <row r="24">
      <c r="A24" s="1086">
        <f t="shared" si="9"/>
        <v>5</v>
      </c>
      <c r="B24" s="1087" t="s">
        <v>2067</v>
      </c>
      <c r="C24" s="1087" t="str">
        <f>IF(B24="","",VLOOKUP(B24,DM_DUAN,2,0))</f>
        <v>NAM PHONG</v>
      </c>
      <c r="D24" s="1087" t="s">
        <v>187</v>
      </c>
      <c r="E24" s="1087"/>
      <c r="F24" s="1086">
        <v>2.0</v>
      </c>
      <c r="G24" s="1088">
        <f>SUMIFS(BP_SOTIEN,BP_DA,$B24,BP_KM,$D24)/1000</f>
        <v>21600000</v>
      </c>
      <c r="H24" s="1089">
        <f t="shared" si="4"/>
        <v>0.072</v>
      </c>
      <c r="I24" s="1089">
        <f t="shared" si="10"/>
        <v>0.6</v>
      </c>
      <c r="J24" s="1090">
        <f>IF(NOW()&gt;=DATE(YEAR(G$1),MONTH(G$1)+1,DAY(G$1)),SUMIFS(TF_SOTIEN,TF_DA,$B24,TF_KM,$D24)/1000, M24)</f>
        <v>28800000</v>
      </c>
      <c r="K24" s="1089">
        <f t="shared" si="5"/>
        <v>0.02611096764</v>
      </c>
      <c r="L24" s="1089">
        <f t="shared" si="11"/>
        <v>0.2252561337</v>
      </c>
      <c r="M24" s="1090">
        <f>IF(B24="","",VLOOKUP(B24,'P&amp;L'!$C$20:$IT$33,246,0))</f>
        <v>0</v>
      </c>
      <c r="N24" s="1089" t="str">
        <f t="shared" si="6"/>
        <v/>
      </c>
      <c r="O24" s="1089" t="str">
        <f t="shared" si="12"/>
        <v/>
      </c>
      <c r="P24" s="1090">
        <f t="shared" si="7"/>
        <v>-21600000</v>
      </c>
      <c r="Q24" s="1091">
        <f t="shared" si="1"/>
        <v>-1</v>
      </c>
      <c r="R24" s="1090">
        <f t="shared" si="8"/>
        <v>-28800000</v>
      </c>
      <c r="S24" s="1091">
        <f t="shared" si="2"/>
        <v>-1</v>
      </c>
    </row>
    <row r="25">
      <c r="A25" s="1086">
        <f t="shared" si="9"/>
        <v>6</v>
      </c>
      <c r="B25" s="656" t="s">
        <v>638</v>
      </c>
      <c r="C25" s="1087" t="str">
        <f>IF(B25="","",VLOOKUP(B25,DM_DUAN,2,0))</f>
        <v>Sản phẩm Phước Vinh</v>
      </c>
      <c r="D25" s="1087" t="s">
        <v>187</v>
      </c>
      <c r="E25" s="1087"/>
      <c r="F25" s="1086">
        <v>2.0</v>
      </c>
      <c r="G25" s="1088">
        <f>SUMIFS(BP_SOTIEN,BP_DA,$B25,BP_KM,$D25)/1000</f>
        <v>0</v>
      </c>
      <c r="H25" s="1089">
        <f t="shared" si="4"/>
        <v>0</v>
      </c>
      <c r="I25" s="1089">
        <f t="shared" si="10"/>
        <v>0</v>
      </c>
      <c r="J25" s="1090">
        <f>IF(NOW()&gt;=DATE(YEAR(G$1),MONTH(G$1)+1,DAY(G$1)),SUMIFS(TF_SOTIEN,TF_DA,$B25,TF_KM,$D25)/1000, M25)</f>
        <v>0</v>
      </c>
      <c r="K25" s="1089">
        <f t="shared" si="5"/>
        <v>0</v>
      </c>
      <c r="L25" s="1089">
        <f t="shared" si="11"/>
        <v>0</v>
      </c>
      <c r="M25" s="1090">
        <f>IF(B25="","",VLOOKUP(B25,'P&amp;L'!$C$20:$IT$33,246,0))</f>
        <v>1559000</v>
      </c>
      <c r="N25" s="1089" t="str">
        <f t="shared" si="6"/>
        <v/>
      </c>
      <c r="O25" s="1089" t="str">
        <f t="shared" si="12"/>
        <v/>
      </c>
      <c r="P25" s="1090">
        <f t="shared" si="7"/>
        <v>1559000</v>
      </c>
      <c r="Q25" s="1091" t="str">
        <f t="shared" si="1"/>
        <v/>
      </c>
      <c r="R25" s="1090">
        <f t="shared" si="8"/>
        <v>1559000</v>
      </c>
      <c r="S25" s="1091" t="str">
        <f t="shared" si="2"/>
        <v/>
      </c>
    </row>
    <row r="26">
      <c r="A26" s="1086">
        <f t="shared" si="9"/>
        <v>7</v>
      </c>
      <c r="B26" s="1087" t="s">
        <v>2070</v>
      </c>
      <c r="C26" s="1087" t="str">
        <f>IF(B26="","",VLOOKUP(B26,DM_DUAN,2,0))</f>
        <v>KHANG VƯỢNG</v>
      </c>
      <c r="D26" s="1087" t="s">
        <v>187</v>
      </c>
      <c r="E26" s="1087"/>
      <c r="F26" s="1086">
        <v>2.0</v>
      </c>
      <c r="G26" s="1088">
        <f>SUMIFS(BP_SOTIEN,BP_DA,$B26,BP_KM,$D26)/1000</f>
        <v>0</v>
      </c>
      <c r="H26" s="1089">
        <f t="shared" si="4"/>
        <v>0</v>
      </c>
      <c r="I26" s="1089">
        <f t="shared" si="10"/>
        <v>0</v>
      </c>
      <c r="J26" s="1090">
        <f>IF(NOW()&gt;=DATE(YEAR(G$1),MONTH(G$1)+1,DAY(G$1)),SUMIFS(TF_SOTIEN,TF_DA,$B26,TF_KM,$D26)/1000, M26)</f>
        <v>4799999.52</v>
      </c>
      <c r="K26" s="1089">
        <f t="shared" si="5"/>
        <v>0.004351827504</v>
      </c>
      <c r="L26" s="1089">
        <f t="shared" si="11"/>
        <v>0.03754268519</v>
      </c>
      <c r="M26" s="1090" t="str">
        <f>IF(B26="","",VLOOKUP(B26,'P&amp;L'!$C$20:$IT$33,246,0))</f>
        <v>#N/A</v>
      </c>
      <c r="N26" s="1089" t="str">
        <f t="shared" si="6"/>
        <v/>
      </c>
      <c r="O26" s="1089" t="str">
        <f t="shared" si="12"/>
        <v/>
      </c>
      <c r="P26" s="1090" t="str">
        <f t="shared" si="7"/>
        <v>#N/A</v>
      </c>
      <c r="Q26" s="1091" t="str">
        <f t="shared" si="1"/>
        <v/>
      </c>
      <c r="R26" s="1090" t="str">
        <f t="shared" si="8"/>
        <v>#N/A</v>
      </c>
      <c r="S26" s="1091" t="str">
        <f t="shared" si="2"/>
        <v/>
      </c>
    </row>
    <row r="27">
      <c r="A27" s="1086">
        <f t="shared" si="9"/>
        <v>8</v>
      </c>
      <c r="B27" s="1087" t="s">
        <v>2072</v>
      </c>
      <c r="C27" s="1087" t="str">
        <f>IF(B27="","",VLOOKUP(B27,DM_DUAN,2,0))</f>
        <v>TRẦN ANH GROUP</v>
      </c>
      <c r="D27" s="1087" t="s">
        <v>187</v>
      </c>
      <c r="E27" s="1087"/>
      <c r="F27" s="1086">
        <v>2.0</v>
      </c>
      <c r="G27" s="1088">
        <f>SUMIFS(BP_SOTIEN,BP_DA,$B27,BP_KM,$D27)/1000</f>
        <v>0</v>
      </c>
      <c r="H27" s="1089">
        <f t="shared" si="4"/>
        <v>0</v>
      </c>
      <c r="I27" s="1089">
        <f t="shared" si="10"/>
        <v>0</v>
      </c>
      <c r="J27" s="1090">
        <f>IF(NOW()&gt;=DATE(YEAR(G$1),MONTH(G$1)+1,DAY(G$1)),SUMIFS(TF_SOTIEN,TF_DA,$B27,TF_KM,$D27)/1000, M27)</f>
        <v>9599999.76</v>
      </c>
      <c r="K27" s="1089">
        <f t="shared" si="5"/>
        <v>0.008703655662</v>
      </c>
      <c r="L27" s="1089">
        <f t="shared" si="11"/>
        <v>0.07508537602</v>
      </c>
      <c r="M27" s="1090" t="str">
        <f>IF(B27="","",VLOOKUP(B27,'P&amp;L'!$C$20:$IT$33,246,0))</f>
        <v>#N/A</v>
      </c>
      <c r="N27" s="1089" t="str">
        <f t="shared" si="6"/>
        <v/>
      </c>
      <c r="O27" s="1089" t="str">
        <f t="shared" si="12"/>
        <v/>
      </c>
      <c r="P27" s="1090" t="str">
        <f t="shared" si="7"/>
        <v>#N/A</v>
      </c>
      <c r="Q27" s="1091" t="str">
        <f t="shared" si="1"/>
        <v/>
      </c>
      <c r="R27" s="1090" t="str">
        <f t="shared" si="8"/>
        <v>#N/A</v>
      </c>
      <c r="S27" s="1091" t="str">
        <f t="shared" si="2"/>
        <v/>
      </c>
    </row>
    <row r="28">
      <c r="A28" s="1086">
        <f t="shared" si="9"/>
        <v>9</v>
      </c>
      <c r="B28" s="1087" t="s">
        <v>2073</v>
      </c>
      <c r="C28" s="1087" t="str">
        <f>IF(B28="","",VLOOKUP(B28,DM_DUAN,2,0))</f>
        <v>PHI TRƯỜNG</v>
      </c>
      <c r="D28" s="1087" t="s">
        <v>187</v>
      </c>
      <c r="E28" s="1087"/>
      <c r="F28" s="1086">
        <v>2.0</v>
      </c>
      <c r="G28" s="1088">
        <f>SUMIFS(BP_SOTIEN,BP_DA,$B28,BP_KM,$D28)/1000</f>
        <v>0</v>
      </c>
      <c r="H28" s="1089">
        <f t="shared" si="4"/>
        <v>0</v>
      </c>
      <c r="I28" s="1089">
        <f t="shared" si="10"/>
        <v>0</v>
      </c>
      <c r="J28" s="1090">
        <f>IF(NOW()&gt;=DATE(YEAR(G$1),MONTH(G$1)+1,DAY(G$1)),SUMIFS(TF_SOTIEN,TF_DA,$B28,TF_KM,$D28)/1000, M28)</f>
        <v>38399999.76</v>
      </c>
      <c r="K28" s="1089">
        <f t="shared" si="5"/>
        <v>0.0348146233</v>
      </c>
      <c r="L28" s="1089">
        <f t="shared" si="11"/>
        <v>0.3003415097</v>
      </c>
      <c r="M28" s="1090" t="str">
        <f>IF(B28="","",VLOOKUP(B28,'P&amp;L'!$C$20:$IT$33,246,0))</f>
        <v>#N/A</v>
      </c>
      <c r="N28" s="1089" t="str">
        <f t="shared" si="6"/>
        <v/>
      </c>
      <c r="O28" s="1089" t="str">
        <f t="shared" si="12"/>
        <v/>
      </c>
      <c r="P28" s="1090" t="str">
        <f t="shared" si="7"/>
        <v>#N/A</v>
      </c>
      <c r="Q28" s="1091" t="str">
        <f t="shared" si="1"/>
        <v/>
      </c>
      <c r="R28" s="1090" t="str">
        <f t="shared" si="8"/>
        <v>#N/A</v>
      </c>
      <c r="S28" s="1091" t="str">
        <f t="shared" si="2"/>
        <v/>
      </c>
    </row>
    <row r="29">
      <c r="A29" s="1086">
        <f t="shared" si="9"/>
        <v>10</v>
      </c>
      <c r="B29" s="1087" t="s">
        <v>2074</v>
      </c>
      <c r="C29" s="1087" t="str">
        <f>IF(B29="","",VLOOKUP(B29,DM_DUAN,2,0))</f>
        <v>HOÀNG CÁT</v>
      </c>
      <c r="D29" s="1087" t="s">
        <v>187</v>
      </c>
      <c r="E29" s="1087"/>
      <c r="F29" s="1086">
        <v>2.0</v>
      </c>
      <c r="G29" s="1088">
        <f>SUMIFS(BP_SOTIEN,BP_DA,$B29,BP_KM,$D29)/1000</f>
        <v>0</v>
      </c>
      <c r="H29" s="1089">
        <f t="shared" si="4"/>
        <v>0</v>
      </c>
      <c r="I29" s="1089">
        <f t="shared" si="10"/>
        <v>0</v>
      </c>
      <c r="J29" s="1090">
        <f>IF(NOW()&gt;=DATE(YEAR(G$1),MONTH(G$1)+1,DAY(G$1)),SUMIFS(TF_SOTIEN,TF_DA,$B29,TF_KM,$D29)/1000, M29)</f>
        <v>19199999.52</v>
      </c>
      <c r="K29" s="1089">
        <f t="shared" si="5"/>
        <v>0.01740731132</v>
      </c>
      <c r="L29" s="1089">
        <f t="shared" si="11"/>
        <v>0.150170752</v>
      </c>
      <c r="M29" s="1090" t="str">
        <f>IF(B29="","",VLOOKUP(B29,'P&amp;L'!$C$20:$IT$33,246,0))</f>
        <v>#N/A</v>
      </c>
      <c r="N29" s="1089" t="str">
        <f t="shared" si="6"/>
        <v/>
      </c>
      <c r="O29" s="1089" t="str">
        <f t="shared" si="12"/>
        <v/>
      </c>
      <c r="P29" s="1090" t="str">
        <f t="shared" si="7"/>
        <v>#N/A</v>
      </c>
      <c r="Q29" s="1091" t="str">
        <f t="shared" si="1"/>
        <v/>
      </c>
      <c r="R29" s="1090" t="str">
        <f t="shared" si="8"/>
        <v>#N/A</v>
      </c>
      <c r="S29" s="1091" t="str">
        <f t="shared" si="2"/>
        <v/>
      </c>
    </row>
    <row r="30">
      <c r="A30" s="1086">
        <f t="shared" si="9"/>
        <v>11</v>
      </c>
      <c r="B30" s="656" t="s">
        <v>530</v>
      </c>
      <c r="C30" s="1087" t="str">
        <f>IF(B30="","",VLOOKUP(B30,DM_DUAN,2,0))</f>
        <v>Nhà vườn sinh thái</v>
      </c>
      <c r="D30" s="1087" t="s">
        <v>187</v>
      </c>
      <c r="E30" s="1087"/>
      <c r="F30" s="1086">
        <v>2.0</v>
      </c>
      <c r="G30" s="1088">
        <f>SUMIFS(BP_SOTIEN,BP_DA,$B30,BP_KM,$D30)/1000</f>
        <v>0</v>
      </c>
      <c r="H30" s="1089">
        <f t="shared" si="4"/>
        <v>0</v>
      </c>
      <c r="I30" s="1089">
        <f t="shared" si="10"/>
        <v>0</v>
      </c>
      <c r="J30" s="1090">
        <f>IF(NOW()&gt;=DATE(YEAR(G$1),MONTH(G$1)+1,DAY(G$1)),SUMIFS(TF_SOTIEN,TF_DA,$B30,TF_KM,$D30)/1000, M30)</f>
        <v>0</v>
      </c>
      <c r="K30" s="1089">
        <f t="shared" si="5"/>
        <v>0</v>
      </c>
      <c r="L30" s="1089">
        <f t="shared" si="11"/>
        <v>0</v>
      </c>
      <c r="M30" s="1090">
        <f>IF(B30="","",VLOOKUP(B30,'P&amp;L'!$C$20:$IT$33,246,0))</f>
        <v>1195000</v>
      </c>
      <c r="N30" s="1089" t="str">
        <f t="shared" si="6"/>
        <v/>
      </c>
      <c r="O30" s="1089" t="str">
        <f t="shared" si="12"/>
        <v/>
      </c>
      <c r="P30" s="1090">
        <f t="shared" si="7"/>
        <v>1195000</v>
      </c>
      <c r="Q30" s="1091" t="str">
        <f t="shared" si="1"/>
        <v/>
      </c>
      <c r="R30" s="1090">
        <f t="shared" si="8"/>
        <v>1195000</v>
      </c>
      <c r="S30" s="1091" t="str">
        <f t="shared" si="2"/>
        <v/>
      </c>
    </row>
    <row r="31" hidden="1">
      <c r="A31" s="1086">
        <f t="shared" si="9"/>
        <v>12</v>
      </c>
      <c r="B31" s="656" t="s">
        <v>875</v>
      </c>
      <c r="C31" s="1087" t="str">
        <f>IF(B31="","",VLOOKUP(B31,DM_DUAN,2,0))</f>
        <v>Sản phẩm Long Khánh 2</v>
      </c>
      <c r="D31" s="1087" t="s">
        <v>187</v>
      </c>
      <c r="E31" s="1087"/>
      <c r="F31" s="1086">
        <v>2.0</v>
      </c>
      <c r="G31" s="1088">
        <f>SUMIFS(BP_SOTIEN,BP_DA,$B31,BP_KM,$D31)/1000</f>
        <v>0</v>
      </c>
      <c r="H31" s="1089">
        <f t="shared" si="4"/>
        <v>0</v>
      </c>
      <c r="I31" s="1089">
        <f t="shared" si="10"/>
        <v>0</v>
      </c>
      <c r="J31" s="1090">
        <f>IF(NOW()&gt;=DATE(YEAR(G$1),MONTH(G$1)+1,DAY(G$1)),SUMIFS(TF_SOTIEN,TF_DA,$B31,TF_KM,$D31)/1000, M31)</f>
        <v>0</v>
      </c>
      <c r="K31" s="1089">
        <f t="shared" si="5"/>
        <v>0</v>
      </c>
      <c r="L31" s="1089">
        <f t="shared" si="11"/>
        <v>0</v>
      </c>
      <c r="M31" s="1090">
        <f>IF(B31="","",VLOOKUP(B31,'P&amp;L'!$C$20:$IT$33,246,0))</f>
        <v>0</v>
      </c>
      <c r="N31" s="1089" t="str">
        <f t="shared" si="6"/>
        <v/>
      </c>
      <c r="O31" s="1089" t="str">
        <f t="shared" si="12"/>
        <v/>
      </c>
      <c r="P31" s="1090">
        <f t="shared" si="7"/>
        <v>0</v>
      </c>
      <c r="Q31" s="1091" t="str">
        <f t="shared" si="1"/>
        <v/>
      </c>
      <c r="R31" s="1090">
        <f t="shared" si="8"/>
        <v>0</v>
      </c>
      <c r="S31" s="1091" t="str">
        <f t="shared" si="2"/>
        <v/>
      </c>
    </row>
    <row r="32">
      <c r="A32" s="1086">
        <f t="shared" si="9"/>
        <v>13</v>
      </c>
      <c r="B32" s="656" t="s">
        <v>636</v>
      </c>
      <c r="C32" s="1087" t="str">
        <f>IF(B32="","",VLOOKUP(B32,DM_DUAN,2,0))</f>
        <v>Sản phẩm Long Khánh 3</v>
      </c>
      <c r="D32" s="1087" t="s">
        <v>187</v>
      </c>
      <c r="E32" s="1087"/>
      <c r="F32" s="1086">
        <v>2.0</v>
      </c>
      <c r="G32" s="1088">
        <f>SUMIFS(BP_SOTIEN,BP_DA,$B32,BP_KM,$D32)/1000</f>
        <v>0</v>
      </c>
      <c r="H32" s="1089">
        <f t="shared" si="4"/>
        <v>0</v>
      </c>
      <c r="I32" s="1089">
        <f t="shared" si="10"/>
        <v>0</v>
      </c>
      <c r="J32" s="1090">
        <f>IF(NOW()&gt;=DATE(YEAR(G$1),MONTH(G$1)+1,DAY(G$1)),SUMIFS(TF_SOTIEN,TF_DA,$B32,TF_KM,$D32)/1000, M32)</f>
        <v>0</v>
      </c>
      <c r="K32" s="1089">
        <f t="shared" si="5"/>
        <v>0</v>
      </c>
      <c r="L32" s="1089">
        <f t="shared" si="11"/>
        <v>0</v>
      </c>
      <c r="M32" s="1090">
        <f>IF(B32="","",VLOOKUP(B32,'P&amp;L'!$C$20:$IT$33,246,0))</f>
        <v>365040</v>
      </c>
      <c r="N32" s="1089" t="str">
        <f t="shared" si="6"/>
        <v/>
      </c>
      <c r="O32" s="1089" t="str">
        <f t="shared" si="12"/>
        <v/>
      </c>
      <c r="P32" s="1090">
        <f t="shared" si="7"/>
        <v>365040</v>
      </c>
      <c r="Q32" s="1091" t="str">
        <f t="shared" si="1"/>
        <v/>
      </c>
      <c r="R32" s="1090">
        <f t="shared" si="8"/>
        <v>365040</v>
      </c>
      <c r="S32" s="1091" t="str">
        <f t="shared" si="2"/>
        <v/>
      </c>
    </row>
    <row r="33">
      <c r="A33" s="1086">
        <f t="shared" si="9"/>
        <v>14</v>
      </c>
      <c r="B33" s="656" t="s">
        <v>956</v>
      </c>
      <c r="C33" s="1087" t="str">
        <f>IF(B33="","",VLOOKUP(B33,DM_DUAN,2,0))</f>
        <v>KDC Lộc Ngãi</v>
      </c>
      <c r="D33" s="1087" t="s">
        <v>187</v>
      </c>
      <c r="E33" s="1087"/>
      <c r="F33" s="1086">
        <v>2.0</v>
      </c>
      <c r="G33" s="1088">
        <f>SUMIFS(BP_SOTIEN,BP_DA,$B33,BP_KM,$D33)/1000</f>
        <v>0</v>
      </c>
      <c r="H33" s="1089">
        <f t="shared" si="4"/>
        <v>0</v>
      </c>
      <c r="I33" s="1089">
        <f t="shared" si="10"/>
        <v>0</v>
      </c>
      <c r="J33" s="1090">
        <f>IF(NOW()&gt;=DATE(YEAR(G$1),MONTH(G$1)+1,DAY(G$1)),SUMIFS(TF_SOTIEN,TF_DA,$B33,TF_KM,$D33)/1000, M33)</f>
        <v>1494456.48</v>
      </c>
      <c r="K33" s="1089">
        <f t="shared" si="5"/>
        <v>0.001354920305</v>
      </c>
      <c r="L33" s="1089">
        <f t="shared" si="11"/>
        <v>0.01168873224</v>
      </c>
      <c r="M33" s="1090">
        <f>IF(B33="","",VLOOKUP(B33,'P&amp;L'!$C$20:$IT$33,246,0))</f>
        <v>555572</v>
      </c>
      <c r="N33" s="1089" t="str">
        <f t="shared" si="6"/>
        <v/>
      </c>
      <c r="O33" s="1089" t="str">
        <f t="shared" si="12"/>
        <v/>
      </c>
      <c r="P33" s="1090">
        <f t="shared" si="7"/>
        <v>555572</v>
      </c>
      <c r="Q33" s="1091" t="str">
        <f t="shared" si="1"/>
        <v/>
      </c>
      <c r="R33" s="1090">
        <f t="shared" si="8"/>
        <v>-938884.48</v>
      </c>
      <c r="S33" s="1091">
        <f t="shared" si="2"/>
        <v>-0.6282447783</v>
      </c>
    </row>
    <row r="34" collapsed="1">
      <c r="A34" s="1762" t="s">
        <v>2823</v>
      </c>
      <c r="B34" s="1763"/>
      <c r="C34" s="1763"/>
      <c r="D34" s="1763"/>
      <c r="E34" s="1763"/>
      <c r="F34" s="1763"/>
      <c r="G34" s="1764">
        <f>SUM(G35:G48)</f>
        <v>0</v>
      </c>
      <c r="H34" s="1765">
        <f t="shared" ref="H34:H121" si="13">IFERROR(G34/G$19,"")</f>
        <v>0</v>
      </c>
      <c r="I34" s="3"/>
      <c r="J34" s="1764">
        <f>SUM(J35:J48)</f>
        <v>0</v>
      </c>
      <c r="K34" s="1765">
        <f t="shared" ref="K34:K121" si="14">IFERROR(J34/J$19,"")</f>
        <v>0</v>
      </c>
      <c r="L34" s="3"/>
      <c r="M34" s="1764" t="str">
        <f>SUM(M35:M48)</f>
        <v>#N/A</v>
      </c>
      <c r="N34" s="1765" t="str">
        <f t="shared" ref="N34:N121" si="15">IFERROR(M34/M$19,"")</f>
        <v/>
      </c>
      <c r="O34" s="3"/>
      <c r="P34" s="1766" t="str">
        <f t="shared" si="7"/>
        <v>#N/A</v>
      </c>
      <c r="Q34" s="1767" t="str">
        <f t="shared" si="1"/>
        <v/>
      </c>
      <c r="R34" s="1766" t="str">
        <f t="shared" si="8"/>
        <v>#N/A</v>
      </c>
      <c r="S34" s="1767" t="str">
        <f t="shared" si="2"/>
        <v/>
      </c>
    </row>
    <row r="35" hidden="1" outlineLevel="1">
      <c r="A35" s="1086">
        <f t="shared" ref="A35:A48" si="16">IF(B35="","",COUNTA(B$35:B35))</f>
        <v>1</v>
      </c>
      <c r="B35" s="1087" t="s">
        <v>215</v>
      </c>
      <c r="C35" s="1087" t="str">
        <f>IF(B35="","",VLOOKUP(B35,DM_DUAN,2,0))</f>
        <v>Phước Đông Garden</v>
      </c>
      <c r="D35" s="1087" t="s">
        <v>2239</v>
      </c>
      <c r="E35" s="1087"/>
      <c r="F35" s="1086">
        <v>2.0</v>
      </c>
      <c r="G35" s="1088">
        <f>SUMIFS(BP_SOTIEN,BP_DA,$B35,BP_KM,$D35)/1000</f>
        <v>0</v>
      </c>
      <c r="H35" s="1089">
        <f t="shared" si="13"/>
        <v>0</v>
      </c>
      <c r="I35" s="1089" t="str">
        <f t="shared" ref="I35:I48" si="17">IFERROR(G35/G$34,"")</f>
        <v/>
      </c>
      <c r="J35" s="1090">
        <f>IF(NOW()&gt;=DATE(YEAR(G$1),MONTH(G$1)+1,DAY(G$1)),SUMIFS(TF_SOTIEN,TF_DA,$B35,TF_KM,$D35)/1000, M35)</f>
        <v>0</v>
      </c>
      <c r="K35" s="1089">
        <f t="shared" si="14"/>
        <v>0</v>
      </c>
      <c r="L35" s="1089" t="str">
        <f t="shared" ref="L35:L48" si="18">IFERROR(J35/J$34,"")</f>
        <v/>
      </c>
      <c r="M35" s="1090" t="str">
        <f>IF(B35="","",VLOOKUP(B35,'P&amp;L'!$C$35:$IT$48,246,0))</f>
        <v>#N/A</v>
      </c>
      <c r="N35" s="1089" t="str">
        <f t="shared" si="15"/>
        <v/>
      </c>
      <c r="O35" s="1089" t="str">
        <f t="shared" ref="O35:O48" si="19">IFERROR(M35/M$34,"")</f>
        <v/>
      </c>
      <c r="P35" s="1090" t="str">
        <f t="shared" si="7"/>
        <v>#N/A</v>
      </c>
      <c r="Q35" s="1091" t="str">
        <f t="shared" si="1"/>
        <v/>
      </c>
      <c r="R35" s="1090" t="str">
        <f t="shared" si="8"/>
        <v>#N/A</v>
      </c>
      <c r="S35" s="1091" t="str">
        <f t="shared" si="2"/>
        <v/>
      </c>
    </row>
    <row r="36" hidden="1" outlineLevel="1">
      <c r="A36" s="1086">
        <f t="shared" si="16"/>
        <v>2</v>
      </c>
      <c r="B36" s="1087" t="s">
        <v>404</v>
      </c>
      <c r="C36" s="1087" t="str">
        <f>IF(B36="","",VLOOKUP(B36,DM_DUAN,2,0))</f>
        <v>Hamil ton Garden</v>
      </c>
      <c r="D36" s="1087" t="s">
        <v>2239</v>
      </c>
      <c r="E36" s="1087"/>
      <c r="F36" s="1086">
        <v>2.0</v>
      </c>
      <c r="G36" s="1088">
        <f>SUMIFS(BP_SOTIEN,BP_DA,$B36,BP_KM,$D36)/1000</f>
        <v>0</v>
      </c>
      <c r="H36" s="1089">
        <f t="shared" si="13"/>
        <v>0</v>
      </c>
      <c r="I36" s="1089" t="str">
        <f t="shared" si="17"/>
        <v/>
      </c>
      <c r="J36" s="1090">
        <f>IF(NOW()&gt;=DATE(YEAR(G$1),MONTH(G$1)+1,DAY(G$1)),SUMIFS(TF_SOTIEN,TF_DA,$B36,TF_KM,$D36)/1000, M36)</f>
        <v>0</v>
      </c>
      <c r="K36" s="1089">
        <f t="shared" si="14"/>
        <v>0</v>
      </c>
      <c r="L36" s="1089" t="str">
        <f t="shared" si="18"/>
        <v/>
      </c>
      <c r="M36" s="1090" t="str">
        <f>IF(B36="","",VLOOKUP(B36,'P&amp;L'!$C$35:$IT$48,246,0))</f>
        <v>#N/A</v>
      </c>
      <c r="N36" s="1089" t="str">
        <f t="shared" si="15"/>
        <v/>
      </c>
      <c r="O36" s="1089" t="str">
        <f t="shared" si="19"/>
        <v/>
      </c>
      <c r="P36" s="1090" t="str">
        <f t="shared" si="7"/>
        <v>#N/A</v>
      </c>
      <c r="Q36" s="1091" t="str">
        <f t="shared" si="1"/>
        <v/>
      </c>
      <c r="R36" s="1090" t="str">
        <f t="shared" si="8"/>
        <v>#N/A</v>
      </c>
      <c r="S36" s="1091" t="str">
        <f t="shared" si="2"/>
        <v/>
      </c>
    </row>
    <row r="37" hidden="1" outlineLevel="1">
      <c r="A37" s="1086">
        <f t="shared" si="16"/>
        <v>3</v>
      </c>
      <c r="B37" s="1087" t="s">
        <v>533</v>
      </c>
      <c r="C37" s="1087" t="str">
        <f>IF(B37="","",VLOOKUP(B37,DM_DUAN,2,0))</f>
        <v>The sol city</v>
      </c>
      <c r="D37" s="1087" t="s">
        <v>2239</v>
      </c>
      <c r="E37" s="1087"/>
      <c r="F37" s="1086">
        <v>2.0</v>
      </c>
      <c r="G37" s="1088">
        <f>SUMIFS(BP_SOTIEN,BP_DA,$B37,BP_KM,$D37)/1000</f>
        <v>0</v>
      </c>
      <c r="H37" s="1089">
        <f t="shared" si="13"/>
        <v>0</v>
      </c>
      <c r="I37" s="1089" t="str">
        <f t="shared" si="17"/>
        <v/>
      </c>
      <c r="J37" s="1090">
        <f>IF(NOW()&gt;=DATE(YEAR(G$1),MONTH(G$1)+1,DAY(G$1)),SUMIFS(TF_SOTIEN,TF_DA,$B37,TF_KM,$D37)/1000, M37)</f>
        <v>0</v>
      </c>
      <c r="K37" s="1089">
        <f t="shared" si="14"/>
        <v>0</v>
      </c>
      <c r="L37" s="1089" t="str">
        <f t="shared" si="18"/>
        <v/>
      </c>
      <c r="M37" s="1090" t="str">
        <f>IF(B37="","",VLOOKUP(B37,'P&amp;L'!$C$35:$IT$48,246,0))</f>
        <v>#N/A</v>
      </c>
      <c r="N37" s="1089" t="str">
        <f t="shared" si="15"/>
        <v/>
      </c>
      <c r="O37" s="1089" t="str">
        <f t="shared" si="19"/>
        <v/>
      </c>
      <c r="P37" s="1090" t="str">
        <f t="shared" si="7"/>
        <v>#N/A</v>
      </c>
      <c r="Q37" s="1091" t="str">
        <f t="shared" si="1"/>
        <v/>
      </c>
      <c r="R37" s="1090" t="str">
        <f t="shared" si="8"/>
        <v>#N/A</v>
      </c>
      <c r="S37" s="1091" t="str">
        <f t="shared" si="2"/>
        <v/>
      </c>
    </row>
    <row r="38" hidden="1" outlineLevel="1">
      <c r="A38" s="1086">
        <f t="shared" si="16"/>
        <v>4</v>
      </c>
      <c r="B38" s="1087" t="s">
        <v>175</v>
      </c>
      <c r="C38" s="1087" t="str">
        <f>IF(B38="","",VLOOKUP(B38,DM_DUAN,2,0))</f>
        <v>Phước hội Hồ Tràm</v>
      </c>
      <c r="D38" s="1087" t="s">
        <v>2239</v>
      </c>
      <c r="E38" s="1087"/>
      <c r="F38" s="1086">
        <v>2.0</v>
      </c>
      <c r="G38" s="1088">
        <f>SUMIFS(BP_SOTIEN,BP_DA,$B38,BP_KM,$D38)/1000</f>
        <v>0</v>
      </c>
      <c r="H38" s="1089">
        <f t="shared" si="13"/>
        <v>0</v>
      </c>
      <c r="I38" s="1089" t="str">
        <f t="shared" si="17"/>
        <v/>
      </c>
      <c r="J38" s="1090">
        <f>IF(NOW()&gt;=DATE(YEAR(G$1),MONTH(G$1)+1,DAY(G$1)),SUMIFS(TF_SOTIEN,TF_DA,$B38,TF_KM,$D38)/1000, M38)</f>
        <v>0</v>
      </c>
      <c r="K38" s="1089">
        <f t="shared" si="14"/>
        <v>0</v>
      </c>
      <c r="L38" s="1089" t="str">
        <f t="shared" si="18"/>
        <v/>
      </c>
      <c r="M38" s="1090">
        <f>IF(B38="","",VLOOKUP(B38,'P&amp;L'!$C$35:$IT$48,246,0))</f>
        <v>0</v>
      </c>
      <c r="N38" s="1089" t="str">
        <f t="shared" si="15"/>
        <v/>
      </c>
      <c r="O38" s="1089" t="str">
        <f t="shared" si="19"/>
        <v/>
      </c>
      <c r="P38" s="1090">
        <f t="shared" si="7"/>
        <v>0</v>
      </c>
      <c r="Q38" s="1091" t="str">
        <f t="shared" si="1"/>
        <v/>
      </c>
      <c r="R38" s="1090">
        <f t="shared" si="8"/>
        <v>0</v>
      </c>
      <c r="S38" s="1091" t="str">
        <f t="shared" si="2"/>
        <v/>
      </c>
    </row>
    <row r="39" hidden="1" outlineLevel="1">
      <c r="A39" s="1086">
        <f t="shared" si="16"/>
        <v>5</v>
      </c>
      <c r="B39" s="1087" t="s">
        <v>2067</v>
      </c>
      <c r="C39" s="1087" t="str">
        <f>IF(B39="","",VLOOKUP(B39,DM_DUAN,2,0))</f>
        <v>NAM PHONG</v>
      </c>
      <c r="D39" s="1087" t="s">
        <v>2239</v>
      </c>
      <c r="E39" s="1087"/>
      <c r="F39" s="1086">
        <v>2.0</v>
      </c>
      <c r="G39" s="1088">
        <f>SUMIFS(BP_SOTIEN,BP_DA,$B39,BP_KM,$D39)/1000</f>
        <v>0</v>
      </c>
      <c r="H39" s="1089">
        <f t="shared" si="13"/>
        <v>0</v>
      </c>
      <c r="I39" s="1089" t="str">
        <f t="shared" si="17"/>
        <v/>
      </c>
      <c r="J39" s="1090">
        <f>IF(NOW()&gt;=DATE(YEAR(G$1),MONTH(G$1)+1,DAY(G$1)),SUMIFS(TF_SOTIEN,TF_DA,$B39,TF_KM,$D39)/1000, M39)</f>
        <v>0</v>
      </c>
      <c r="K39" s="1089">
        <f t="shared" si="14"/>
        <v>0</v>
      </c>
      <c r="L39" s="1089" t="str">
        <f t="shared" si="18"/>
        <v/>
      </c>
      <c r="M39" s="1090">
        <f>IF(B39="","",VLOOKUP(B39,'P&amp;L'!$C$35:$IT$48,246,0))</f>
        <v>0</v>
      </c>
      <c r="N39" s="1089" t="str">
        <f t="shared" si="15"/>
        <v/>
      </c>
      <c r="O39" s="1089" t="str">
        <f t="shared" si="19"/>
        <v/>
      </c>
      <c r="P39" s="1090">
        <f t="shared" si="7"/>
        <v>0</v>
      </c>
      <c r="Q39" s="1091" t="str">
        <f t="shared" si="1"/>
        <v/>
      </c>
      <c r="R39" s="1090">
        <f t="shared" si="8"/>
        <v>0</v>
      </c>
      <c r="S39" s="1091" t="str">
        <f t="shared" si="2"/>
        <v/>
      </c>
    </row>
    <row r="40" hidden="1" outlineLevel="1">
      <c r="A40" s="1086">
        <f t="shared" si="16"/>
        <v>6</v>
      </c>
      <c r="B40" s="656" t="s">
        <v>638</v>
      </c>
      <c r="C40" s="1087" t="str">
        <f>IF(B40="","",VLOOKUP(B40,DM_DUAN,2,0))</f>
        <v>Sản phẩm Phước Vinh</v>
      </c>
      <c r="D40" s="1087" t="s">
        <v>2239</v>
      </c>
      <c r="E40" s="1087"/>
      <c r="F40" s="1086">
        <v>2.0</v>
      </c>
      <c r="G40" s="1088">
        <f>SUMIFS(BP_SOTIEN,BP_DA,$B40,BP_KM,$D40)/1000</f>
        <v>0</v>
      </c>
      <c r="H40" s="1089">
        <f t="shared" si="13"/>
        <v>0</v>
      </c>
      <c r="I40" s="1089" t="str">
        <f t="shared" si="17"/>
        <v/>
      </c>
      <c r="J40" s="1090">
        <f>IF(NOW()&gt;=DATE(YEAR(G$1),MONTH(G$1)+1,DAY(G$1)),SUMIFS(TF_SOTIEN,TF_DA,$B40,TF_KM,$D40)/1000, M40)</f>
        <v>0</v>
      </c>
      <c r="K40" s="1089">
        <f t="shared" si="14"/>
        <v>0</v>
      </c>
      <c r="L40" s="1089" t="str">
        <f t="shared" si="18"/>
        <v/>
      </c>
      <c r="M40" s="1090">
        <f>IF(B40="","",VLOOKUP(B40,'P&amp;L'!$C$35:$IT$48,246,0))</f>
        <v>0</v>
      </c>
      <c r="N40" s="1089" t="str">
        <f t="shared" si="15"/>
        <v/>
      </c>
      <c r="O40" s="1089" t="str">
        <f t="shared" si="19"/>
        <v/>
      </c>
      <c r="P40" s="1090">
        <f t="shared" si="7"/>
        <v>0</v>
      </c>
      <c r="Q40" s="1091" t="str">
        <f t="shared" si="1"/>
        <v/>
      </c>
      <c r="R40" s="1090">
        <f t="shared" si="8"/>
        <v>0</v>
      </c>
      <c r="S40" s="1091" t="str">
        <f t="shared" si="2"/>
        <v/>
      </c>
    </row>
    <row r="41" hidden="1" outlineLevel="1">
      <c r="A41" s="1086">
        <f t="shared" si="16"/>
        <v>7</v>
      </c>
      <c r="B41" s="1087" t="s">
        <v>2070</v>
      </c>
      <c r="C41" s="1087" t="str">
        <f>IF(B41="","",VLOOKUP(B41,DM_DUAN,2,0))</f>
        <v>KHANG VƯỢNG</v>
      </c>
      <c r="D41" s="1087" t="s">
        <v>2239</v>
      </c>
      <c r="E41" s="1087"/>
      <c r="F41" s="1086">
        <v>2.0</v>
      </c>
      <c r="G41" s="1088">
        <f>SUMIFS(BP_SOTIEN,BP_DA,$B41,BP_KM,$D41)/1000</f>
        <v>0</v>
      </c>
      <c r="H41" s="1089">
        <f t="shared" si="13"/>
        <v>0</v>
      </c>
      <c r="I41" s="1089" t="str">
        <f t="shared" si="17"/>
        <v/>
      </c>
      <c r="J41" s="1090">
        <f>IF(NOW()&gt;=DATE(YEAR(G$1),MONTH(G$1)+1,DAY(G$1)),SUMIFS(TF_SOTIEN,TF_DA,$B41,TF_KM,$D41)/1000, M41)</f>
        <v>0</v>
      </c>
      <c r="K41" s="1089">
        <f t="shared" si="14"/>
        <v>0</v>
      </c>
      <c r="L41" s="1089" t="str">
        <f t="shared" si="18"/>
        <v/>
      </c>
      <c r="M41" s="1090" t="str">
        <f>IF(B41="","",VLOOKUP(B41,'P&amp;L'!$C$35:$IT$48,246,0))</f>
        <v>#N/A</v>
      </c>
      <c r="N41" s="1089" t="str">
        <f t="shared" si="15"/>
        <v/>
      </c>
      <c r="O41" s="1089" t="str">
        <f t="shared" si="19"/>
        <v/>
      </c>
      <c r="P41" s="1090" t="str">
        <f t="shared" si="7"/>
        <v>#N/A</v>
      </c>
      <c r="Q41" s="1091" t="str">
        <f t="shared" si="1"/>
        <v/>
      </c>
      <c r="R41" s="1090" t="str">
        <f t="shared" si="8"/>
        <v>#N/A</v>
      </c>
      <c r="S41" s="1091" t="str">
        <f t="shared" si="2"/>
        <v/>
      </c>
    </row>
    <row r="42" hidden="1" outlineLevel="1">
      <c r="A42" s="1086">
        <f t="shared" si="16"/>
        <v>8</v>
      </c>
      <c r="B42" s="1087" t="s">
        <v>2072</v>
      </c>
      <c r="C42" s="1087" t="str">
        <f>IF(B42="","",VLOOKUP(B42,DM_DUAN,2,0))</f>
        <v>TRẦN ANH GROUP</v>
      </c>
      <c r="D42" s="1087" t="s">
        <v>2239</v>
      </c>
      <c r="E42" s="1087"/>
      <c r="F42" s="1086">
        <v>2.0</v>
      </c>
      <c r="G42" s="1088">
        <f>SUMIFS(BP_SOTIEN,BP_DA,$B42,BP_KM,$D42)/1000</f>
        <v>0</v>
      </c>
      <c r="H42" s="1089">
        <f t="shared" si="13"/>
        <v>0</v>
      </c>
      <c r="I42" s="1089" t="str">
        <f t="shared" si="17"/>
        <v/>
      </c>
      <c r="J42" s="1090">
        <f>IF(NOW()&gt;=DATE(YEAR(G$1),MONTH(G$1)+1,DAY(G$1)),SUMIFS(TF_SOTIEN,TF_DA,$B42,TF_KM,$D42)/1000, M42)</f>
        <v>0</v>
      </c>
      <c r="K42" s="1089">
        <f t="shared" si="14"/>
        <v>0</v>
      </c>
      <c r="L42" s="1089" t="str">
        <f t="shared" si="18"/>
        <v/>
      </c>
      <c r="M42" s="1090" t="str">
        <f>IF(B42="","",VLOOKUP(B42,'P&amp;L'!$C$35:$IT$48,246,0))</f>
        <v>#N/A</v>
      </c>
      <c r="N42" s="1089" t="str">
        <f t="shared" si="15"/>
        <v/>
      </c>
      <c r="O42" s="1089" t="str">
        <f t="shared" si="19"/>
        <v/>
      </c>
      <c r="P42" s="1090" t="str">
        <f t="shared" si="7"/>
        <v>#N/A</v>
      </c>
      <c r="Q42" s="1091" t="str">
        <f t="shared" si="1"/>
        <v/>
      </c>
      <c r="R42" s="1090" t="str">
        <f t="shared" si="8"/>
        <v>#N/A</v>
      </c>
      <c r="S42" s="1091" t="str">
        <f t="shared" si="2"/>
        <v/>
      </c>
    </row>
    <row r="43" hidden="1" outlineLevel="1">
      <c r="A43" s="1086">
        <f t="shared" si="16"/>
        <v>9</v>
      </c>
      <c r="B43" s="1087" t="s">
        <v>2073</v>
      </c>
      <c r="C43" s="1087" t="str">
        <f>IF(B43="","",VLOOKUP(B43,DM_DUAN,2,0))</f>
        <v>PHI TRƯỜNG</v>
      </c>
      <c r="D43" s="1087" t="s">
        <v>2239</v>
      </c>
      <c r="E43" s="1087"/>
      <c r="F43" s="1086">
        <v>2.0</v>
      </c>
      <c r="G43" s="1088">
        <f>SUMIFS(BP_SOTIEN,BP_DA,$B43,BP_KM,$D43)/1000</f>
        <v>0</v>
      </c>
      <c r="H43" s="1089">
        <f t="shared" si="13"/>
        <v>0</v>
      </c>
      <c r="I43" s="1089" t="str">
        <f t="shared" si="17"/>
        <v/>
      </c>
      <c r="J43" s="1090">
        <f>IF(NOW()&gt;=DATE(YEAR(G$1),MONTH(G$1)+1,DAY(G$1)),SUMIFS(TF_SOTIEN,TF_DA,$B43,TF_KM,$D43)/1000, M43)</f>
        <v>0</v>
      </c>
      <c r="K43" s="1089">
        <f t="shared" si="14"/>
        <v>0</v>
      </c>
      <c r="L43" s="1089" t="str">
        <f t="shared" si="18"/>
        <v/>
      </c>
      <c r="M43" s="1090" t="str">
        <f>IF(B43="","",VLOOKUP(B43,'P&amp;L'!$C$35:$IT$48,246,0))</f>
        <v>#N/A</v>
      </c>
      <c r="N43" s="1089" t="str">
        <f t="shared" si="15"/>
        <v/>
      </c>
      <c r="O43" s="1089" t="str">
        <f t="shared" si="19"/>
        <v/>
      </c>
      <c r="P43" s="1090" t="str">
        <f t="shared" si="7"/>
        <v>#N/A</v>
      </c>
      <c r="Q43" s="1091" t="str">
        <f t="shared" si="1"/>
        <v/>
      </c>
      <c r="R43" s="1090" t="str">
        <f t="shared" si="8"/>
        <v>#N/A</v>
      </c>
      <c r="S43" s="1091" t="str">
        <f t="shared" si="2"/>
        <v/>
      </c>
    </row>
    <row r="44" hidden="1" outlineLevel="1">
      <c r="A44" s="1086">
        <f t="shared" si="16"/>
        <v>10</v>
      </c>
      <c r="B44" s="1087" t="s">
        <v>2074</v>
      </c>
      <c r="C44" s="1087" t="str">
        <f>IF(B44="","",VLOOKUP(B44,DM_DUAN,2,0))</f>
        <v>HOÀNG CÁT</v>
      </c>
      <c r="D44" s="1087" t="s">
        <v>2239</v>
      </c>
      <c r="E44" s="1087"/>
      <c r="F44" s="1086">
        <v>2.0</v>
      </c>
      <c r="G44" s="1088">
        <f>SUMIFS(BP_SOTIEN,BP_DA,$B44,BP_KM,$D44)/1000</f>
        <v>0</v>
      </c>
      <c r="H44" s="1089">
        <f t="shared" si="13"/>
        <v>0</v>
      </c>
      <c r="I44" s="1089" t="str">
        <f t="shared" si="17"/>
        <v/>
      </c>
      <c r="J44" s="1090">
        <f>IF(NOW()&gt;=DATE(YEAR(G$1),MONTH(G$1)+1,DAY(G$1)),SUMIFS(TF_SOTIEN,TF_DA,$B44,TF_KM,$D44)/1000, M44)</f>
        <v>0</v>
      </c>
      <c r="K44" s="1089">
        <f t="shared" si="14"/>
        <v>0</v>
      </c>
      <c r="L44" s="1089" t="str">
        <f t="shared" si="18"/>
        <v/>
      </c>
      <c r="M44" s="1090" t="str">
        <f>IF(B44="","",VLOOKUP(B44,'P&amp;L'!$C$35:$IT$48,246,0))</f>
        <v>#N/A</v>
      </c>
      <c r="N44" s="1089" t="str">
        <f t="shared" si="15"/>
        <v/>
      </c>
      <c r="O44" s="1089" t="str">
        <f t="shared" si="19"/>
        <v/>
      </c>
      <c r="P44" s="1090" t="str">
        <f t="shared" si="7"/>
        <v>#N/A</v>
      </c>
      <c r="Q44" s="1091" t="str">
        <f t="shared" si="1"/>
        <v/>
      </c>
      <c r="R44" s="1090" t="str">
        <f t="shared" si="8"/>
        <v>#N/A</v>
      </c>
      <c r="S44" s="1091" t="str">
        <f t="shared" si="2"/>
        <v/>
      </c>
    </row>
    <row r="45" hidden="1" outlineLevel="1">
      <c r="A45" s="1086">
        <f t="shared" si="16"/>
        <v>11</v>
      </c>
      <c r="B45" s="656" t="s">
        <v>530</v>
      </c>
      <c r="C45" s="1087" t="str">
        <f>IF(B45="","",VLOOKUP(B45,DM_DUAN,2,0))</f>
        <v>Nhà vườn sinh thái</v>
      </c>
      <c r="D45" s="1087" t="s">
        <v>2239</v>
      </c>
      <c r="E45" s="1087"/>
      <c r="F45" s="1086">
        <v>2.0</v>
      </c>
      <c r="G45" s="1088">
        <f>SUMIFS(BP_SOTIEN,BP_DA,$B45,BP_KM,$D45)/1000</f>
        <v>0</v>
      </c>
      <c r="H45" s="1089">
        <f t="shared" si="13"/>
        <v>0</v>
      </c>
      <c r="I45" s="1089" t="str">
        <f t="shared" si="17"/>
        <v/>
      </c>
      <c r="J45" s="1090">
        <f>IF(NOW()&gt;=DATE(YEAR(G$1),MONTH(G$1)+1,DAY(G$1)),SUMIFS(TF_SOTIEN,TF_DA,$B45,TF_KM,$D45)/1000, M45)</f>
        <v>0</v>
      </c>
      <c r="K45" s="1089">
        <f t="shared" si="14"/>
        <v>0</v>
      </c>
      <c r="L45" s="1089" t="str">
        <f t="shared" si="18"/>
        <v/>
      </c>
      <c r="M45" s="1090">
        <f>IF(B45="","",VLOOKUP(B45,'P&amp;L'!$C$35:$IT$48,246,0))</f>
        <v>0</v>
      </c>
      <c r="N45" s="1089" t="str">
        <f t="shared" si="15"/>
        <v/>
      </c>
      <c r="O45" s="1089" t="str">
        <f t="shared" si="19"/>
        <v/>
      </c>
      <c r="P45" s="1090">
        <f t="shared" si="7"/>
        <v>0</v>
      </c>
      <c r="Q45" s="1091" t="str">
        <f t="shared" si="1"/>
        <v/>
      </c>
      <c r="R45" s="1090">
        <f t="shared" si="8"/>
        <v>0</v>
      </c>
      <c r="S45" s="1091" t="str">
        <f t="shared" si="2"/>
        <v/>
      </c>
    </row>
    <row r="46" hidden="1" outlineLevel="1">
      <c r="A46" s="1086">
        <f t="shared" si="16"/>
        <v>12</v>
      </c>
      <c r="B46" s="656" t="s">
        <v>875</v>
      </c>
      <c r="C46" s="1087" t="str">
        <f>IF(B46="","",VLOOKUP(B46,DM_DUAN,2,0))</f>
        <v>Sản phẩm Long Khánh 2</v>
      </c>
      <c r="D46" s="1087" t="s">
        <v>2239</v>
      </c>
      <c r="E46" s="1087"/>
      <c r="F46" s="1086">
        <v>2.0</v>
      </c>
      <c r="G46" s="1088">
        <f>SUMIFS(BP_SOTIEN,BP_DA,$B46,BP_KM,$D46)/1000</f>
        <v>0</v>
      </c>
      <c r="H46" s="1089">
        <f t="shared" si="13"/>
        <v>0</v>
      </c>
      <c r="I46" s="1089" t="str">
        <f t="shared" si="17"/>
        <v/>
      </c>
      <c r="J46" s="1090">
        <f>IF(NOW()&gt;=DATE(YEAR(G$1),MONTH(G$1)+1,DAY(G$1)),SUMIFS(TF_SOTIEN,TF_DA,$B46,TF_KM,$D46)/1000, M46)</f>
        <v>0</v>
      </c>
      <c r="K46" s="1089">
        <f t="shared" si="14"/>
        <v>0</v>
      </c>
      <c r="L46" s="1089" t="str">
        <f t="shared" si="18"/>
        <v/>
      </c>
      <c r="M46" s="1090">
        <f>IF(B46="","",VLOOKUP(B46,'P&amp;L'!$C$35:$IT$48,246,0))</f>
        <v>0</v>
      </c>
      <c r="N46" s="1089" t="str">
        <f t="shared" si="15"/>
        <v/>
      </c>
      <c r="O46" s="1089" t="str">
        <f t="shared" si="19"/>
        <v/>
      </c>
      <c r="P46" s="1090">
        <f t="shared" si="7"/>
        <v>0</v>
      </c>
      <c r="Q46" s="1091" t="str">
        <f t="shared" si="1"/>
        <v/>
      </c>
      <c r="R46" s="1090">
        <f t="shared" si="8"/>
        <v>0</v>
      </c>
      <c r="S46" s="1091" t="str">
        <f t="shared" si="2"/>
        <v/>
      </c>
    </row>
    <row r="47" hidden="1" outlineLevel="1">
      <c r="A47" s="1086">
        <f t="shared" si="16"/>
        <v>13</v>
      </c>
      <c r="B47" s="656" t="s">
        <v>636</v>
      </c>
      <c r="C47" s="1087" t="str">
        <f>IF(B47="","",VLOOKUP(B47,DM_DUAN,2,0))</f>
        <v>Sản phẩm Long Khánh 3</v>
      </c>
      <c r="D47" s="1087" t="s">
        <v>2239</v>
      </c>
      <c r="E47" s="1087"/>
      <c r="F47" s="1086">
        <v>2.0</v>
      </c>
      <c r="G47" s="1088">
        <f>SUMIFS(BP_SOTIEN,BP_DA,$B47,BP_KM,$D47)/1000</f>
        <v>0</v>
      </c>
      <c r="H47" s="1089">
        <f t="shared" si="13"/>
        <v>0</v>
      </c>
      <c r="I47" s="1089" t="str">
        <f t="shared" si="17"/>
        <v/>
      </c>
      <c r="J47" s="1090">
        <f>IF(NOW()&gt;=DATE(YEAR(G$1),MONTH(G$1)+1,DAY(G$1)),SUMIFS(TF_SOTIEN,TF_DA,$B47,TF_KM,$D47)/1000, M47)</f>
        <v>0</v>
      </c>
      <c r="K47" s="1089">
        <f t="shared" si="14"/>
        <v>0</v>
      </c>
      <c r="L47" s="1089" t="str">
        <f t="shared" si="18"/>
        <v/>
      </c>
      <c r="M47" s="1090">
        <f>IF(B47="","",VLOOKUP(B47,'P&amp;L'!$C$35:$IT$48,246,0))</f>
        <v>0</v>
      </c>
      <c r="N47" s="1089" t="str">
        <f t="shared" si="15"/>
        <v/>
      </c>
      <c r="O47" s="1089" t="str">
        <f t="shared" si="19"/>
        <v/>
      </c>
      <c r="P47" s="1090">
        <f t="shared" si="7"/>
        <v>0</v>
      </c>
      <c r="Q47" s="1091" t="str">
        <f t="shared" si="1"/>
        <v/>
      </c>
      <c r="R47" s="1090">
        <f t="shared" si="8"/>
        <v>0</v>
      </c>
      <c r="S47" s="1091" t="str">
        <f t="shared" si="2"/>
        <v/>
      </c>
    </row>
    <row r="48" hidden="1" outlineLevel="1">
      <c r="A48" s="1086">
        <f t="shared" si="16"/>
        <v>14</v>
      </c>
      <c r="B48" s="656" t="s">
        <v>956</v>
      </c>
      <c r="C48" s="1087" t="str">
        <f>IF(B48="","",VLOOKUP(B48,DM_DUAN,2,0))</f>
        <v>KDC Lộc Ngãi</v>
      </c>
      <c r="D48" s="1087" t="s">
        <v>2239</v>
      </c>
      <c r="E48" s="1087"/>
      <c r="F48" s="1086">
        <v>2.0</v>
      </c>
      <c r="G48" s="1088">
        <f>SUMIFS(BP_SOTIEN,BP_DA,$B48,BP_KM,$D48)/1000</f>
        <v>0</v>
      </c>
      <c r="H48" s="1089">
        <f t="shared" si="13"/>
        <v>0</v>
      </c>
      <c r="I48" s="1089" t="str">
        <f t="shared" si="17"/>
        <v/>
      </c>
      <c r="J48" s="1090">
        <f>IF(NOW()&gt;=DATE(YEAR(G$1),MONTH(G$1)+1,DAY(G$1)),SUMIFS(TF_SOTIEN,TF_DA,$B48,TF_KM,$D48)/1000, M48)</f>
        <v>0</v>
      </c>
      <c r="K48" s="1089">
        <f t="shared" si="14"/>
        <v>0</v>
      </c>
      <c r="L48" s="1089" t="str">
        <f t="shared" si="18"/>
        <v/>
      </c>
      <c r="M48" s="1090">
        <f>IF(B48="","",VLOOKUP(B48,'P&amp;L'!$C$35:$IT$48,246,0))</f>
        <v>0</v>
      </c>
      <c r="N48" s="1089" t="str">
        <f t="shared" si="15"/>
        <v/>
      </c>
      <c r="O48" s="1089" t="str">
        <f t="shared" si="19"/>
        <v/>
      </c>
      <c r="P48" s="1090">
        <f t="shared" si="7"/>
        <v>0</v>
      </c>
      <c r="Q48" s="1091" t="str">
        <f t="shared" si="1"/>
        <v/>
      </c>
      <c r="R48" s="1090">
        <f t="shared" si="8"/>
        <v>0</v>
      </c>
      <c r="S48" s="1091" t="str">
        <f t="shared" si="2"/>
        <v/>
      </c>
    </row>
    <row r="49" hidden="1" outlineLevel="1">
      <c r="A49" s="1155" t="s">
        <v>2824</v>
      </c>
      <c r="B49" s="1156"/>
      <c r="C49" s="1156"/>
      <c r="D49" s="1156"/>
      <c r="E49" s="1156"/>
      <c r="F49" s="1156"/>
      <c r="G49" s="1158">
        <f>SUM(G50:G63)</f>
        <v>36000000</v>
      </c>
      <c r="H49" s="1159">
        <f t="shared" si="13"/>
        <v>1</v>
      </c>
      <c r="I49" s="3"/>
      <c r="J49" s="1160">
        <f>SUM(J50:J63)</f>
        <v>127854454.1</v>
      </c>
      <c r="K49" s="1159">
        <f t="shared" si="14"/>
        <v>1</v>
      </c>
      <c r="L49" s="3"/>
      <c r="M49" s="1160" t="str">
        <f>SUM(M50:M63)</f>
        <v>#N/A</v>
      </c>
      <c r="N49" s="1159" t="str">
        <f t="shared" si="15"/>
        <v/>
      </c>
      <c r="O49" s="3"/>
      <c r="P49" s="1161" t="str">
        <f t="shared" si="7"/>
        <v>#N/A</v>
      </c>
      <c r="Q49" s="1162" t="str">
        <f t="shared" si="1"/>
        <v/>
      </c>
      <c r="R49" s="1161" t="str">
        <f t="shared" si="8"/>
        <v>#N/A</v>
      </c>
      <c r="S49" s="1164" t="str">
        <f t="shared" si="2"/>
        <v/>
      </c>
    </row>
    <row r="50" hidden="1" outlineLevel="1">
      <c r="A50" s="1086">
        <f t="shared" ref="A50:A63" si="20">IF(B50="","",COUNTA(B$50:B50))</f>
        <v>1</v>
      </c>
      <c r="B50" s="1087" t="s">
        <v>215</v>
      </c>
      <c r="C50" s="1087" t="str">
        <f>IF(B50="","",VLOOKUP(B50,DM_DUAN,2,0))</f>
        <v>Phước Đông Garden</v>
      </c>
      <c r="D50" s="1087"/>
      <c r="E50" s="1087"/>
      <c r="F50" s="1086">
        <v>2.0</v>
      </c>
      <c r="G50" s="1088">
        <f t="shared" ref="G50:G63" si="21">SUMIF($B$20:$B$33,$B50,G$20:G$33)-SUMIF($B$35:$B$48,$B50,G$35:G$48)</f>
        <v>0</v>
      </c>
      <c r="H50" s="1091">
        <f t="shared" si="13"/>
        <v>0</v>
      </c>
      <c r="I50" s="1091">
        <f t="shared" ref="I50:I63" si="22">IFERROR(G50/G$49,"")</f>
        <v>0</v>
      </c>
      <c r="J50" s="1090">
        <f t="shared" ref="J50:J63" si="23">SUMIF($C$20:$C$33,$C50,J$20:J$33)-SUMIF($C$35:$C$48,$C50,J$35:J$48)</f>
        <v>9599999.76</v>
      </c>
      <c r="K50" s="1091">
        <f t="shared" si="14"/>
        <v>0.07508537602</v>
      </c>
      <c r="L50" s="1091">
        <f t="shared" ref="L50:L63" si="24">IFERROR(J50/J$49,"")</f>
        <v>0.07508537602</v>
      </c>
      <c r="M50" s="1090" t="str">
        <f t="shared" ref="M50:M63" si="25">SUMIF($C$20:$C$33,$C50,M$20:M$33)-SUMIF($C$35:$C$48,$C50,M$35:M$48)</f>
        <v>#N/A</v>
      </c>
      <c r="N50" s="1091" t="str">
        <f t="shared" si="15"/>
        <v/>
      </c>
      <c r="O50" s="1091" t="str">
        <f t="shared" ref="O50:O63" si="26">IFERROR(M50/M$49,"")</f>
        <v/>
      </c>
      <c r="P50" s="1130" t="str">
        <f t="shared" si="7"/>
        <v>#N/A</v>
      </c>
      <c r="Q50" s="1091" t="str">
        <f t="shared" si="1"/>
        <v/>
      </c>
      <c r="R50" s="1130" t="str">
        <f t="shared" si="8"/>
        <v>#N/A</v>
      </c>
      <c r="S50" s="1091" t="str">
        <f t="shared" si="2"/>
        <v/>
      </c>
    </row>
    <row r="51" hidden="1" outlineLevel="1">
      <c r="A51" s="1086">
        <f t="shared" si="20"/>
        <v>2</v>
      </c>
      <c r="B51" s="1087" t="s">
        <v>404</v>
      </c>
      <c r="C51" s="1087" t="str">
        <f>IF(B51="","",VLOOKUP(B51,DM_DUAN,2,0))</f>
        <v>Hamil ton Garden</v>
      </c>
      <c r="D51" s="1087"/>
      <c r="E51" s="1087"/>
      <c r="F51" s="1086">
        <v>2.0</v>
      </c>
      <c r="G51" s="1088">
        <f t="shared" si="21"/>
        <v>0</v>
      </c>
      <c r="H51" s="1091">
        <f t="shared" si="13"/>
        <v>0</v>
      </c>
      <c r="I51" s="1091">
        <f t="shared" si="22"/>
        <v>0</v>
      </c>
      <c r="J51" s="1090">
        <f t="shared" si="23"/>
        <v>4799999.52</v>
      </c>
      <c r="K51" s="1091">
        <f t="shared" si="14"/>
        <v>0.03754268519</v>
      </c>
      <c r="L51" s="1091">
        <f t="shared" si="24"/>
        <v>0.03754268519</v>
      </c>
      <c r="M51" s="1090" t="str">
        <f t="shared" si="25"/>
        <v>#N/A</v>
      </c>
      <c r="N51" s="1091" t="str">
        <f t="shared" si="15"/>
        <v/>
      </c>
      <c r="O51" s="1091" t="str">
        <f t="shared" si="26"/>
        <v/>
      </c>
      <c r="P51" s="1130" t="str">
        <f t="shared" si="7"/>
        <v>#N/A</v>
      </c>
      <c r="Q51" s="1091" t="str">
        <f t="shared" si="1"/>
        <v/>
      </c>
      <c r="R51" s="1130" t="str">
        <f t="shared" si="8"/>
        <v>#N/A</v>
      </c>
      <c r="S51" s="1091" t="str">
        <f t="shared" si="2"/>
        <v/>
      </c>
    </row>
    <row r="52" hidden="1" outlineLevel="1">
      <c r="A52" s="1086">
        <f t="shared" si="20"/>
        <v>3</v>
      </c>
      <c r="B52" s="1087" t="s">
        <v>533</v>
      </c>
      <c r="C52" s="1087" t="str">
        <f>IF(B52="","",VLOOKUP(B52,DM_DUAN,2,0))</f>
        <v>The sol city</v>
      </c>
      <c r="D52" s="1087"/>
      <c r="E52" s="1087"/>
      <c r="F52" s="1086">
        <v>2.0</v>
      </c>
      <c r="G52" s="1088">
        <f t="shared" si="21"/>
        <v>0</v>
      </c>
      <c r="H52" s="1091">
        <f t="shared" si="13"/>
        <v>0</v>
      </c>
      <c r="I52" s="1091">
        <f t="shared" si="22"/>
        <v>0</v>
      </c>
      <c r="J52" s="1090">
        <f t="shared" si="23"/>
        <v>0</v>
      </c>
      <c r="K52" s="1091">
        <f t="shared" si="14"/>
        <v>0</v>
      </c>
      <c r="L52" s="1091">
        <f t="shared" si="24"/>
        <v>0</v>
      </c>
      <c r="M52" s="1090" t="str">
        <f t="shared" si="25"/>
        <v>#N/A</v>
      </c>
      <c r="N52" s="1091" t="str">
        <f t="shared" si="15"/>
        <v/>
      </c>
      <c r="O52" s="1091" t="str">
        <f t="shared" si="26"/>
        <v/>
      </c>
      <c r="P52" s="1130" t="str">
        <f t="shared" si="7"/>
        <v>#N/A</v>
      </c>
      <c r="Q52" s="1091" t="str">
        <f t="shared" si="1"/>
        <v/>
      </c>
      <c r="R52" s="1130" t="str">
        <f t="shared" si="8"/>
        <v>#N/A</v>
      </c>
      <c r="S52" s="1091" t="str">
        <f t="shared" si="2"/>
        <v/>
      </c>
    </row>
    <row r="53" hidden="1" outlineLevel="1">
      <c r="A53" s="1086">
        <f t="shared" si="20"/>
        <v>4</v>
      </c>
      <c r="B53" s="1087" t="s">
        <v>175</v>
      </c>
      <c r="C53" s="1087" t="str">
        <f>IF(B53="","",VLOOKUP(B53,DM_DUAN,2,0))</f>
        <v>Phước hội Hồ Tràm</v>
      </c>
      <c r="D53" s="1087"/>
      <c r="E53" s="1087"/>
      <c r="F53" s="1086">
        <v>2.0</v>
      </c>
      <c r="G53" s="1088">
        <f t="shared" si="21"/>
        <v>14400000</v>
      </c>
      <c r="H53" s="1091">
        <f t="shared" si="13"/>
        <v>0.4</v>
      </c>
      <c r="I53" s="1091">
        <f t="shared" si="22"/>
        <v>0.4</v>
      </c>
      <c r="J53" s="1090">
        <f t="shared" si="23"/>
        <v>11159999.76</v>
      </c>
      <c r="K53" s="1091">
        <f t="shared" si="14"/>
        <v>0.08728674992</v>
      </c>
      <c r="L53" s="1091">
        <f t="shared" si="24"/>
        <v>0.08728674992</v>
      </c>
      <c r="M53" s="1090">
        <f t="shared" si="25"/>
        <v>670000</v>
      </c>
      <c r="N53" s="1091" t="str">
        <f t="shared" si="15"/>
        <v/>
      </c>
      <c r="O53" s="1091" t="str">
        <f t="shared" si="26"/>
        <v/>
      </c>
      <c r="P53" s="1130">
        <f t="shared" si="7"/>
        <v>-13730000</v>
      </c>
      <c r="Q53" s="1132">
        <f t="shared" si="1"/>
        <v>-0.9534722222</v>
      </c>
      <c r="R53" s="1130">
        <f t="shared" si="8"/>
        <v>-10489999.76</v>
      </c>
      <c r="S53" s="1091">
        <f t="shared" si="2"/>
        <v>-0.9399641564</v>
      </c>
    </row>
    <row r="54" hidden="1" outlineLevel="1">
      <c r="A54" s="1086">
        <f t="shared" si="20"/>
        <v>5</v>
      </c>
      <c r="B54" s="1087" t="s">
        <v>2067</v>
      </c>
      <c r="C54" s="1087" t="str">
        <f>IF(B54="","",VLOOKUP(B54,DM_DUAN,2,0))</f>
        <v>NAM PHONG</v>
      </c>
      <c r="D54" s="1087"/>
      <c r="E54" s="1087"/>
      <c r="F54" s="1086">
        <v>2.0</v>
      </c>
      <c r="G54" s="1088">
        <f t="shared" si="21"/>
        <v>21600000</v>
      </c>
      <c r="H54" s="1091">
        <f t="shared" si="13"/>
        <v>0.6</v>
      </c>
      <c r="I54" s="1091">
        <f t="shared" si="22"/>
        <v>0.6</v>
      </c>
      <c r="J54" s="1090">
        <f t="shared" si="23"/>
        <v>28800000</v>
      </c>
      <c r="K54" s="1091">
        <f t="shared" si="14"/>
        <v>0.2252561337</v>
      </c>
      <c r="L54" s="1091">
        <f t="shared" si="24"/>
        <v>0.2252561337</v>
      </c>
      <c r="M54" s="1090">
        <f t="shared" si="25"/>
        <v>0</v>
      </c>
      <c r="N54" s="1091" t="str">
        <f t="shared" si="15"/>
        <v/>
      </c>
      <c r="O54" s="1091" t="str">
        <f t="shared" si="26"/>
        <v/>
      </c>
      <c r="P54" s="1130">
        <f t="shared" si="7"/>
        <v>-21600000</v>
      </c>
      <c r="Q54" s="1091">
        <f t="shared" si="1"/>
        <v>-1</v>
      </c>
      <c r="R54" s="1130">
        <f t="shared" si="8"/>
        <v>-28800000</v>
      </c>
      <c r="S54" s="1091">
        <f t="shared" si="2"/>
        <v>-1</v>
      </c>
    </row>
    <row r="55" hidden="1" outlineLevel="1">
      <c r="A55" s="1086">
        <f t="shared" si="20"/>
        <v>6</v>
      </c>
      <c r="B55" s="656" t="s">
        <v>638</v>
      </c>
      <c r="C55" s="1087" t="str">
        <f>IF(B55="","",VLOOKUP(B55,DM_DUAN,2,0))</f>
        <v>Sản phẩm Phước Vinh</v>
      </c>
      <c r="D55" s="1087"/>
      <c r="E55" s="1087"/>
      <c r="F55" s="1086">
        <v>2.0</v>
      </c>
      <c r="G55" s="1088">
        <f t="shared" si="21"/>
        <v>0</v>
      </c>
      <c r="H55" s="1091">
        <f t="shared" si="13"/>
        <v>0</v>
      </c>
      <c r="I55" s="1091">
        <f t="shared" si="22"/>
        <v>0</v>
      </c>
      <c r="J55" s="1090">
        <f t="shared" si="23"/>
        <v>0</v>
      </c>
      <c r="K55" s="1091">
        <f t="shared" si="14"/>
        <v>0</v>
      </c>
      <c r="L55" s="1091">
        <f t="shared" si="24"/>
        <v>0</v>
      </c>
      <c r="M55" s="1090">
        <f t="shared" si="25"/>
        <v>1559000</v>
      </c>
      <c r="N55" s="1091" t="str">
        <f t="shared" si="15"/>
        <v/>
      </c>
      <c r="O55" s="1091" t="str">
        <f t="shared" si="26"/>
        <v/>
      </c>
      <c r="P55" s="1130">
        <f t="shared" si="7"/>
        <v>1559000</v>
      </c>
      <c r="Q55" s="1091" t="str">
        <f t="shared" si="1"/>
        <v/>
      </c>
      <c r="R55" s="1130">
        <f t="shared" si="8"/>
        <v>1559000</v>
      </c>
      <c r="S55" s="1091" t="str">
        <f t="shared" si="2"/>
        <v/>
      </c>
    </row>
    <row r="56" hidden="1" outlineLevel="1">
      <c r="A56" s="1086">
        <f t="shared" si="20"/>
        <v>7</v>
      </c>
      <c r="B56" s="1087" t="s">
        <v>2070</v>
      </c>
      <c r="C56" s="1087" t="str">
        <f>IF(B56="","",VLOOKUP(B56,DM_DUAN,2,0))</f>
        <v>KHANG VƯỢNG</v>
      </c>
      <c r="D56" s="1087"/>
      <c r="E56" s="1087"/>
      <c r="F56" s="1086">
        <v>2.0</v>
      </c>
      <c r="G56" s="1088">
        <f t="shared" si="21"/>
        <v>0</v>
      </c>
      <c r="H56" s="1091">
        <f t="shared" si="13"/>
        <v>0</v>
      </c>
      <c r="I56" s="1091">
        <f t="shared" si="22"/>
        <v>0</v>
      </c>
      <c r="J56" s="1090">
        <f t="shared" si="23"/>
        <v>4799999.52</v>
      </c>
      <c r="K56" s="1091">
        <f t="shared" si="14"/>
        <v>0.03754268519</v>
      </c>
      <c r="L56" s="1091">
        <f t="shared" si="24"/>
        <v>0.03754268519</v>
      </c>
      <c r="M56" s="1090" t="str">
        <f t="shared" si="25"/>
        <v>#N/A</v>
      </c>
      <c r="N56" s="1091" t="str">
        <f t="shared" si="15"/>
        <v/>
      </c>
      <c r="O56" s="1091" t="str">
        <f t="shared" si="26"/>
        <v/>
      </c>
      <c r="P56" s="1130" t="str">
        <f t="shared" si="7"/>
        <v>#N/A</v>
      </c>
      <c r="Q56" s="1091" t="str">
        <f t="shared" si="1"/>
        <v/>
      </c>
      <c r="R56" s="1130" t="str">
        <f t="shared" si="8"/>
        <v>#N/A</v>
      </c>
      <c r="S56" s="1091" t="str">
        <f t="shared" si="2"/>
        <v/>
      </c>
    </row>
    <row r="57" hidden="1" outlineLevel="1">
      <c r="A57" s="1086">
        <f t="shared" si="20"/>
        <v>8</v>
      </c>
      <c r="B57" s="1087" t="s">
        <v>2072</v>
      </c>
      <c r="C57" s="1087" t="str">
        <f>IF(B57="","",VLOOKUP(B57,DM_DUAN,2,0))</f>
        <v>TRẦN ANH GROUP</v>
      </c>
      <c r="D57" s="1087"/>
      <c r="E57" s="1087"/>
      <c r="F57" s="1086">
        <v>2.0</v>
      </c>
      <c r="G57" s="1088">
        <f t="shared" si="21"/>
        <v>0</v>
      </c>
      <c r="H57" s="1091">
        <f t="shared" si="13"/>
        <v>0</v>
      </c>
      <c r="I57" s="1091">
        <f t="shared" si="22"/>
        <v>0</v>
      </c>
      <c r="J57" s="1090">
        <f t="shared" si="23"/>
        <v>9599999.76</v>
      </c>
      <c r="K57" s="1091">
        <f t="shared" si="14"/>
        <v>0.07508537602</v>
      </c>
      <c r="L57" s="1091">
        <f t="shared" si="24"/>
        <v>0.07508537602</v>
      </c>
      <c r="M57" s="1090" t="str">
        <f t="shared" si="25"/>
        <v>#N/A</v>
      </c>
      <c r="N57" s="1091" t="str">
        <f t="shared" si="15"/>
        <v/>
      </c>
      <c r="O57" s="1091" t="str">
        <f t="shared" si="26"/>
        <v/>
      </c>
      <c r="P57" s="1130" t="str">
        <f t="shared" si="7"/>
        <v>#N/A</v>
      </c>
      <c r="Q57" s="1091" t="str">
        <f t="shared" si="1"/>
        <v/>
      </c>
      <c r="R57" s="1130" t="str">
        <f t="shared" si="8"/>
        <v>#N/A</v>
      </c>
      <c r="S57" s="1091" t="str">
        <f t="shared" si="2"/>
        <v/>
      </c>
    </row>
    <row r="58" hidden="1" outlineLevel="1">
      <c r="A58" s="1086">
        <f t="shared" si="20"/>
        <v>9</v>
      </c>
      <c r="B58" s="1087" t="s">
        <v>2073</v>
      </c>
      <c r="C58" s="1087" t="str">
        <f>IF(B58="","",VLOOKUP(B58,DM_DUAN,2,0))</f>
        <v>PHI TRƯỜNG</v>
      </c>
      <c r="D58" s="1087"/>
      <c r="E58" s="1087"/>
      <c r="F58" s="1086">
        <v>2.0</v>
      </c>
      <c r="G58" s="1088">
        <f t="shared" si="21"/>
        <v>0</v>
      </c>
      <c r="H58" s="1091">
        <f t="shared" si="13"/>
        <v>0</v>
      </c>
      <c r="I58" s="1091">
        <f t="shared" si="22"/>
        <v>0</v>
      </c>
      <c r="J58" s="1090">
        <f t="shared" si="23"/>
        <v>38399999.76</v>
      </c>
      <c r="K58" s="1091">
        <f t="shared" si="14"/>
        <v>0.3003415097</v>
      </c>
      <c r="L58" s="1091">
        <f t="shared" si="24"/>
        <v>0.3003415097</v>
      </c>
      <c r="M58" s="1090" t="str">
        <f t="shared" si="25"/>
        <v>#N/A</v>
      </c>
      <c r="N58" s="1091" t="str">
        <f t="shared" si="15"/>
        <v/>
      </c>
      <c r="O58" s="1091" t="str">
        <f t="shared" si="26"/>
        <v/>
      </c>
      <c r="P58" s="1130" t="str">
        <f t="shared" si="7"/>
        <v>#N/A</v>
      </c>
      <c r="Q58" s="1091" t="str">
        <f t="shared" si="1"/>
        <v/>
      </c>
      <c r="R58" s="1130" t="str">
        <f t="shared" si="8"/>
        <v>#N/A</v>
      </c>
      <c r="S58" s="1091" t="str">
        <f t="shared" si="2"/>
        <v/>
      </c>
    </row>
    <row r="59" hidden="1" outlineLevel="1">
      <c r="A59" s="1086">
        <f t="shared" si="20"/>
        <v>10</v>
      </c>
      <c r="B59" s="1087" t="s">
        <v>2074</v>
      </c>
      <c r="C59" s="1087" t="str">
        <f>IF(B59="","",VLOOKUP(B59,DM_DUAN,2,0))</f>
        <v>HOÀNG CÁT</v>
      </c>
      <c r="D59" s="1087"/>
      <c r="E59" s="1087"/>
      <c r="F59" s="1086">
        <v>2.0</v>
      </c>
      <c r="G59" s="1088">
        <f t="shared" si="21"/>
        <v>0</v>
      </c>
      <c r="H59" s="1091">
        <f t="shared" si="13"/>
        <v>0</v>
      </c>
      <c r="I59" s="1091">
        <f t="shared" si="22"/>
        <v>0</v>
      </c>
      <c r="J59" s="1090">
        <f t="shared" si="23"/>
        <v>19199999.52</v>
      </c>
      <c r="K59" s="1091">
        <f t="shared" si="14"/>
        <v>0.150170752</v>
      </c>
      <c r="L59" s="1091">
        <f t="shared" si="24"/>
        <v>0.150170752</v>
      </c>
      <c r="M59" s="1090" t="str">
        <f t="shared" si="25"/>
        <v>#N/A</v>
      </c>
      <c r="N59" s="1091" t="str">
        <f t="shared" si="15"/>
        <v/>
      </c>
      <c r="O59" s="1091" t="str">
        <f t="shared" si="26"/>
        <v/>
      </c>
      <c r="P59" s="1130" t="str">
        <f t="shared" si="7"/>
        <v>#N/A</v>
      </c>
      <c r="Q59" s="1091" t="str">
        <f t="shared" si="1"/>
        <v/>
      </c>
      <c r="R59" s="1130" t="str">
        <f t="shared" si="8"/>
        <v>#N/A</v>
      </c>
      <c r="S59" s="1091" t="str">
        <f t="shared" si="2"/>
        <v/>
      </c>
    </row>
    <row r="60" hidden="1" outlineLevel="1">
      <c r="A60" s="1086">
        <f t="shared" si="20"/>
        <v>11</v>
      </c>
      <c r="B60" s="656" t="s">
        <v>530</v>
      </c>
      <c r="C60" s="1087" t="str">
        <f>IF(B60="","",VLOOKUP(B60,DM_DUAN,2,0))</f>
        <v>Nhà vườn sinh thái</v>
      </c>
      <c r="D60" s="1087"/>
      <c r="E60" s="1087"/>
      <c r="F60" s="1086">
        <v>2.0</v>
      </c>
      <c r="G60" s="1088">
        <f t="shared" si="21"/>
        <v>0</v>
      </c>
      <c r="H60" s="1091">
        <f t="shared" si="13"/>
        <v>0</v>
      </c>
      <c r="I60" s="1091">
        <f t="shared" si="22"/>
        <v>0</v>
      </c>
      <c r="J60" s="1090">
        <f t="shared" si="23"/>
        <v>0</v>
      </c>
      <c r="K60" s="1091">
        <f t="shared" si="14"/>
        <v>0</v>
      </c>
      <c r="L60" s="1091">
        <f t="shared" si="24"/>
        <v>0</v>
      </c>
      <c r="M60" s="1090">
        <f t="shared" si="25"/>
        <v>1195000</v>
      </c>
      <c r="N60" s="1091" t="str">
        <f t="shared" si="15"/>
        <v/>
      </c>
      <c r="O60" s="1091" t="str">
        <f t="shared" si="26"/>
        <v/>
      </c>
      <c r="P60" s="1130">
        <f t="shared" si="7"/>
        <v>1195000</v>
      </c>
      <c r="Q60" s="1091" t="str">
        <f t="shared" si="1"/>
        <v/>
      </c>
      <c r="R60" s="1130">
        <f t="shared" si="8"/>
        <v>1195000</v>
      </c>
      <c r="S60" s="1091" t="str">
        <f t="shared" si="2"/>
        <v/>
      </c>
    </row>
    <row r="61" hidden="1" outlineLevel="1">
      <c r="A61" s="1086">
        <f t="shared" si="20"/>
        <v>12</v>
      </c>
      <c r="B61" s="656" t="s">
        <v>875</v>
      </c>
      <c r="C61" s="1087" t="str">
        <f>IF(B61="","",VLOOKUP(B61,DM_DUAN,2,0))</f>
        <v>Sản phẩm Long Khánh 2</v>
      </c>
      <c r="D61" s="1087"/>
      <c r="E61" s="1087"/>
      <c r="F61" s="1086">
        <v>2.0</v>
      </c>
      <c r="G61" s="1088">
        <f t="shared" si="21"/>
        <v>0</v>
      </c>
      <c r="H61" s="1091">
        <f t="shared" si="13"/>
        <v>0</v>
      </c>
      <c r="I61" s="1091">
        <f t="shared" si="22"/>
        <v>0</v>
      </c>
      <c r="J61" s="1090">
        <f t="shared" si="23"/>
        <v>0</v>
      </c>
      <c r="K61" s="1091">
        <f t="shared" si="14"/>
        <v>0</v>
      </c>
      <c r="L61" s="1091">
        <f t="shared" si="24"/>
        <v>0</v>
      </c>
      <c r="M61" s="1090">
        <f t="shared" si="25"/>
        <v>0</v>
      </c>
      <c r="N61" s="1091" t="str">
        <f t="shared" si="15"/>
        <v/>
      </c>
      <c r="O61" s="1091" t="str">
        <f t="shared" si="26"/>
        <v/>
      </c>
      <c r="P61" s="1130">
        <f t="shared" si="7"/>
        <v>0</v>
      </c>
      <c r="Q61" s="1091" t="str">
        <f t="shared" si="1"/>
        <v/>
      </c>
      <c r="R61" s="1130">
        <f t="shared" si="8"/>
        <v>0</v>
      </c>
      <c r="S61" s="1091" t="str">
        <f t="shared" si="2"/>
        <v/>
      </c>
    </row>
    <row r="62" hidden="1" outlineLevel="1">
      <c r="A62" s="1086">
        <f t="shared" si="20"/>
        <v>13</v>
      </c>
      <c r="B62" s="656" t="s">
        <v>636</v>
      </c>
      <c r="C62" s="1087" t="str">
        <f>IF(B62="","",VLOOKUP(B62,DM_DUAN,2,0))</f>
        <v>Sản phẩm Long Khánh 3</v>
      </c>
      <c r="D62" s="1087"/>
      <c r="E62" s="1087"/>
      <c r="F62" s="1086">
        <v>2.0</v>
      </c>
      <c r="G62" s="1088">
        <f t="shared" si="21"/>
        <v>0</v>
      </c>
      <c r="H62" s="1091">
        <f t="shared" si="13"/>
        <v>0</v>
      </c>
      <c r="I62" s="1091">
        <f t="shared" si="22"/>
        <v>0</v>
      </c>
      <c r="J62" s="1090">
        <f t="shared" si="23"/>
        <v>0</v>
      </c>
      <c r="K62" s="1091">
        <f t="shared" si="14"/>
        <v>0</v>
      </c>
      <c r="L62" s="1091">
        <f t="shared" si="24"/>
        <v>0</v>
      </c>
      <c r="M62" s="1090">
        <f t="shared" si="25"/>
        <v>365040</v>
      </c>
      <c r="N62" s="1091" t="str">
        <f t="shared" si="15"/>
        <v/>
      </c>
      <c r="O62" s="1091" t="str">
        <f t="shared" si="26"/>
        <v/>
      </c>
      <c r="P62" s="1130">
        <f t="shared" si="7"/>
        <v>365040</v>
      </c>
      <c r="Q62" s="1091" t="str">
        <f t="shared" si="1"/>
        <v/>
      </c>
      <c r="R62" s="1130">
        <f t="shared" si="8"/>
        <v>365040</v>
      </c>
      <c r="S62" s="1091" t="str">
        <f t="shared" si="2"/>
        <v/>
      </c>
    </row>
    <row r="63" hidden="1" outlineLevel="1">
      <c r="A63" s="1086">
        <f t="shared" si="20"/>
        <v>14</v>
      </c>
      <c r="B63" s="656" t="s">
        <v>956</v>
      </c>
      <c r="C63" s="1087" t="str">
        <f>IF(B63="","",VLOOKUP(B63,DM_DUAN,2,0))</f>
        <v>KDC Lộc Ngãi</v>
      </c>
      <c r="D63" s="1087"/>
      <c r="E63" s="1087"/>
      <c r="F63" s="1086">
        <v>2.0</v>
      </c>
      <c r="G63" s="1088">
        <f t="shared" si="21"/>
        <v>0</v>
      </c>
      <c r="H63" s="1091">
        <f t="shared" si="13"/>
        <v>0</v>
      </c>
      <c r="I63" s="1091">
        <f t="shared" si="22"/>
        <v>0</v>
      </c>
      <c r="J63" s="1090">
        <f t="shared" si="23"/>
        <v>1494456.48</v>
      </c>
      <c r="K63" s="1091">
        <f t="shared" si="14"/>
        <v>0.01168873224</v>
      </c>
      <c r="L63" s="1091">
        <f t="shared" si="24"/>
        <v>0.01168873224</v>
      </c>
      <c r="M63" s="1090">
        <f t="shared" si="25"/>
        <v>555572</v>
      </c>
      <c r="N63" s="1091" t="str">
        <f t="shared" si="15"/>
        <v/>
      </c>
      <c r="O63" s="1091" t="str">
        <f t="shared" si="26"/>
        <v/>
      </c>
      <c r="P63" s="1130">
        <f t="shared" si="7"/>
        <v>555572</v>
      </c>
      <c r="Q63" s="1091" t="str">
        <f t="shared" si="1"/>
        <v/>
      </c>
      <c r="R63" s="1130">
        <f t="shared" si="8"/>
        <v>-938884.48</v>
      </c>
      <c r="S63" s="1091">
        <f t="shared" si="2"/>
        <v>-0.6282447783</v>
      </c>
    </row>
    <row r="64">
      <c r="A64" s="1768" t="s">
        <v>2825</v>
      </c>
      <c r="B64" s="1769"/>
      <c r="C64" s="1769"/>
      <c r="D64" s="1769" t="s">
        <v>2076</v>
      </c>
      <c r="E64" s="1769"/>
      <c r="F64" s="1770">
        <v>1.0</v>
      </c>
      <c r="G64" s="1771">
        <f>SUMIFS(BP_SOTIEN,BP_KM,$D64)/1000</f>
        <v>0</v>
      </c>
      <c r="H64" s="1772">
        <f t="shared" si="13"/>
        <v>0</v>
      </c>
      <c r="I64" s="3"/>
      <c r="J64" s="1773">
        <f>IF(NOW()&gt;=DATE(YEAR(G$1),MONTH(G$1),DAY(G$1)),SUMIFS(TF_SOTIEN,TF_KM,$D64)/1000, M64)</f>
        <v>0</v>
      </c>
      <c r="K64" s="1772">
        <f t="shared" si="14"/>
        <v>0</v>
      </c>
      <c r="L64" s="3"/>
      <c r="M64" s="1773">
        <f>IF(D64="","",VLOOKUP(D64,'P&amp;L'!$E$64:$IT$120,244,0))</f>
        <v>0</v>
      </c>
      <c r="N64" s="1772" t="str">
        <f t="shared" si="15"/>
        <v/>
      </c>
      <c r="O64" s="3"/>
      <c r="P64" s="1773">
        <f t="shared" si="7"/>
        <v>0</v>
      </c>
      <c r="Q64" s="1774" t="str">
        <f t="shared" si="1"/>
        <v/>
      </c>
      <c r="R64" s="1773">
        <f t="shared" si="8"/>
        <v>0</v>
      </c>
      <c r="S64" s="1774" t="str">
        <f t="shared" si="2"/>
        <v/>
      </c>
    </row>
    <row r="65">
      <c r="A65" s="1762" t="s">
        <v>2826</v>
      </c>
      <c r="B65" s="1763"/>
      <c r="C65" s="1763"/>
      <c r="D65" s="1763" t="s">
        <v>2083</v>
      </c>
      <c r="E65" s="1763"/>
      <c r="F65" s="1775">
        <v>1.0</v>
      </c>
      <c r="G65" s="1764">
        <f>SUMIFS(BP_SOTIEN,BP_KM,$D65)/1000</f>
        <v>0</v>
      </c>
      <c r="H65" s="1767">
        <f t="shared" si="13"/>
        <v>0</v>
      </c>
      <c r="I65" s="1767"/>
      <c r="J65" s="1764">
        <f>IF(NOW()&gt;=DATE(YEAR(G$1),MONTH(G$1),DAY(G$1)),SUMIFS(TF_SOTIEN,TF_KM,$D65)/1000, M65)</f>
        <v>0</v>
      </c>
      <c r="K65" s="1767">
        <f t="shared" si="14"/>
        <v>0</v>
      </c>
      <c r="L65" s="1767"/>
      <c r="M65" s="1764">
        <f>IF(D65="","",VLOOKUP(D65,'P&amp;L'!$E$64:$IT$120,244,0))</f>
        <v>0</v>
      </c>
      <c r="N65" s="1767" t="str">
        <f t="shared" si="15"/>
        <v/>
      </c>
      <c r="O65" s="1767">
        <f t="shared" ref="O65:O66" si="27">IFERROR(M65/M$113,"")</f>
        <v>0</v>
      </c>
      <c r="P65" s="1764">
        <f t="shared" si="7"/>
        <v>0</v>
      </c>
      <c r="Q65" s="1767" t="str">
        <f t="shared" si="1"/>
        <v/>
      </c>
      <c r="R65" s="1764">
        <f t="shared" si="8"/>
        <v>0</v>
      </c>
      <c r="S65" s="1767" t="str">
        <f t="shared" si="2"/>
        <v/>
      </c>
    </row>
    <row r="66">
      <c r="A66" s="1762" t="s">
        <v>2827</v>
      </c>
      <c r="B66" s="1763"/>
      <c r="C66" s="1763"/>
      <c r="D66" s="1763"/>
      <c r="E66" s="1763"/>
      <c r="F66" s="1775">
        <v>1.0</v>
      </c>
      <c r="G66" s="1764">
        <f>SUM(G68:G83)</f>
        <v>69551040</v>
      </c>
      <c r="H66" s="1767">
        <f t="shared" si="13"/>
        <v>1.931973333</v>
      </c>
      <c r="I66" s="1767">
        <f>IFERROR(G66/G$113,"")</f>
        <v>0.9365497629</v>
      </c>
      <c r="J66" s="1764">
        <f>SUM(J68:J83)</f>
        <v>54215472.54</v>
      </c>
      <c r="K66" s="1767">
        <f t="shared" si="14"/>
        <v>0.4240405462</v>
      </c>
      <c r="L66" s="1767">
        <f>IFERROR(J66/J$113,"")</f>
        <v>0.9337962676</v>
      </c>
      <c r="M66" s="1764">
        <f>SUM(M68:M83)</f>
        <v>3198931.576</v>
      </c>
      <c r="N66" s="1767" t="str">
        <f t="shared" si="15"/>
        <v/>
      </c>
      <c r="O66" s="1767">
        <f t="shared" si="27"/>
        <v>0.7755613618</v>
      </c>
      <c r="P66" s="1766">
        <f t="shared" si="7"/>
        <v>-66352108.42</v>
      </c>
      <c r="Q66" s="1776">
        <f t="shared" si="1"/>
        <v>-0.954005985</v>
      </c>
      <c r="R66" s="1766">
        <f t="shared" si="8"/>
        <v>-51016540.96</v>
      </c>
      <c r="S66" s="1776">
        <f t="shared" si="2"/>
        <v>-0.9409959662</v>
      </c>
    </row>
    <row r="67" outlineLevel="1">
      <c r="A67" s="1777"/>
      <c r="B67" s="1777"/>
      <c r="C67" s="1777" t="s">
        <v>2828</v>
      </c>
      <c r="D67" s="1777"/>
      <c r="E67" s="1778">
        <v>641.0</v>
      </c>
      <c r="F67" s="1778">
        <v>2.0</v>
      </c>
      <c r="G67" s="1779">
        <f>SUM(G68:G71)</f>
        <v>44479992</v>
      </c>
      <c r="H67" s="1780">
        <f t="shared" si="13"/>
        <v>1.235555333</v>
      </c>
      <c r="I67" s="1780">
        <f>IFERROR(G67/G$66,"")</f>
        <v>0.6395302213</v>
      </c>
      <c r="J67" s="1779">
        <f>SUM(J68:J71)</f>
        <v>35437836.94</v>
      </c>
      <c r="K67" s="1780">
        <f t="shared" si="14"/>
        <v>0.2771732686</v>
      </c>
      <c r="L67" s="1780">
        <f>IFERROR(J67/J$66,"")</f>
        <v>0.6536480322</v>
      </c>
      <c r="M67" s="1779">
        <f>SUM(M68:M71)</f>
        <v>1875406.905</v>
      </c>
      <c r="N67" s="1780" t="str">
        <f t="shared" si="15"/>
        <v/>
      </c>
      <c r="O67" s="1780">
        <f>IFERROR(M67/M$66,"")</f>
        <v>0.5862603999</v>
      </c>
      <c r="P67" s="1781">
        <f t="shared" si="7"/>
        <v>-42604585.1</v>
      </c>
      <c r="Q67" s="1782">
        <f t="shared" si="1"/>
        <v>-0.9578370674</v>
      </c>
      <c r="R67" s="1781">
        <f t="shared" si="8"/>
        <v>-33562430.03</v>
      </c>
      <c r="S67" s="1782">
        <f t="shared" si="2"/>
        <v>-0.9470789679</v>
      </c>
    </row>
    <row r="68" outlineLevel="1">
      <c r="A68" s="1783"/>
      <c r="B68" s="1783"/>
      <c r="C68" s="1783" t="s">
        <v>2829</v>
      </c>
      <c r="D68" s="1783" t="s">
        <v>255</v>
      </c>
      <c r="E68" s="1783"/>
      <c r="F68" s="1784">
        <v>3.0</v>
      </c>
      <c r="G68" s="1785">
        <f>SUMIFS(BP_SOTIEN,BP_KM,$D68)/1000</f>
        <v>0</v>
      </c>
      <c r="H68" s="1786">
        <f t="shared" si="13"/>
        <v>0</v>
      </c>
      <c r="I68" s="1786"/>
      <c r="J68" s="1785">
        <f>IF(NOW()&gt;=DATE(YEAR(G$1),MONTH(G$1),DAY(G$1)),SUMIFS(TF_SOTIEN,TF_KM,$D68)/1000, M68)</f>
        <v>175712.001</v>
      </c>
      <c r="K68" s="1786">
        <f t="shared" si="14"/>
        <v>0.001374312708</v>
      </c>
      <c r="L68" s="1786"/>
      <c r="M68" s="1785">
        <f>IF(D68="","",VLOOKUP(D68,'P&amp;L'!$E$64:$IT$120,244,0))</f>
        <v>617836.405</v>
      </c>
      <c r="N68" s="1786" t="str">
        <f t="shared" si="15"/>
        <v/>
      </c>
      <c r="O68" s="1786"/>
      <c r="P68" s="1785">
        <f t="shared" si="7"/>
        <v>617836.405</v>
      </c>
      <c r="Q68" s="1786" t="str">
        <f t="shared" si="1"/>
        <v/>
      </c>
      <c r="R68" s="1785">
        <f t="shared" si="8"/>
        <v>442124.404</v>
      </c>
      <c r="S68" s="1786">
        <f t="shared" si="2"/>
        <v>2.516187861</v>
      </c>
    </row>
    <row r="69" outlineLevel="1">
      <c r="A69" s="1783"/>
      <c r="B69" s="1783"/>
      <c r="C69" s="1783" t="s">
        <v>2830</v>
      </c>
      <c r="D69" s="1783" t="s">
        <v>190</v>
      </c>
      <c r="E69" s="1784">
        <v>641.0</v>
      </c>
      <c r="F69" s="1784">
        <v>3.0</v>
      </c>
      <c r="G69" s="1785">
        <f>SUMIFS(BP_SOTIEN,BP_KM,$D69)/1000</f>
        <v>35100000</v>
      </c>
      <c r="H69" s="1786">
        <f t="shared" si="13"/>
        <v>0.975</v>
      </c>
      <c r="I69" s="1786"/>
      <c r="J69" s="1785">
        <f>IF(NOW()&gt;=DATE(YEAR(G$1),MONTH(G$1),DAY(G$1)),SUMIFS(TF_SOTIEN,TF_KM,$D69)/1000, M69)</f>
        <v>27895056.12</v>
      </c>
      <c r="K69" s="1786">
        <f t="shared" si="14"/>
        <v>0.2181782115</v>
      </c>
      <c r="L69" s="1786"/>
      <c r="M69" s="1785">
        <f>IF(D69="","",VLOOKUP(D69,'P&amp;L'!$E$64:$IT$120,244,0))</f>
        <v>1168910.5</v>
      </c>
      <c r="N69" s="1786" t="str">
        <f t="shared" si="15"/>
        <v/>
      </c>
      <c r="O69" s="1786"/>
      <c r="P69" s="1785">
        <f t="shared" si="7"/>
        <v>-33931089.5</v>
      </c>
      <c r="Q69" s="1786">
        <f t="shared" si="1"/>
        <v>-0.9666977066</v>
      </c>
      <c r="R69" s="1785">
        <f t="shared" si="8"/>
        <v>-26726145.62</v>
      </c>
      <c r="S69" s="1786">
        <f t="shared" si="2"/>
        <v>-0.9580961409</v>
      </c>
    </row>
    <row r="70" outlineLevel="1">
      <c r="A70" s="1783"/>
      <c r="B70" s="1783"/>
      <c r="C70" s="1783" t="s">
        <v>2831</v>
      </c>
      <c r="D70" s="1783" t="s">
        <v>194</v>
      </c>
      <c r="E70" s="1784">
        <v>641.0</v>
      </c>
      <c r="F70" s="1784">
        <v>3.0</v>
      </c>
      <c r="G70" s="1785">
        <f>SUMIFS(BP_SOTIEN,BP_KM,$D70)/1000</f>
        <v>9360000</v>
      </c>
      <c r="H70" s="1786">
        <f t="shared" si="13"/>
        <v>0.26</v>
      </c>
      <c r="I70" s="1786"/>
      <c r="J70" s="1785">
        <f>IF(NOW()&gt;=DATE(YEAR(G$1),MONTH(G$1),DAY(G$1)),SUMIFS(TF_SOTIEN,TF_KM,$D70)/1000, M70)</f>
        <v>7347140.816</v>
      </c>
      <c r="K70" s="1786">
        <f t="shared" si="14"/>
        <v>0.05746487965</v>
      </c>
      <c r="L70" s="1786"/>
      <c r="M70" s="1785">
        <f>IF(D70="","",VLOOKUP(D70,'P&amp;L'!$E$64:$IT$120,244,0))</f>
        <v>63008</v>
      </c>
      <c r="N70" s="1786" t="str">
        <f t="shared" si="15"/>
        <v/>
      </c>
      <c r="O70" s="1786"/>
      <c r="P70" s="1785">
        <f t="shared" si="7"/>
        <v>-9296992</v>
      </c>
      <c r="Q70" s="1786">
        <f t="shared" si="1"/>
        <v>-0.9932683761</v>
      </c>
      <c r="R70" s="1785">
        <f t="shared" si="8"/>
        <v>-7284132.816</v>
      </c>
      <c r="S70" s="1786">
        <f t="shared" si="2"/>
        <v>-0.9914241469</v>
      </c>
    </row>
    <row r="71" outlineLevel="1">
      <c r="A71" s="1783"/>
      <c r="B71" s="1783"/>
      <c r="C71" s="1783" t="s">
        <v>2832</v>
      </c>
      <c r="D71" s="1783" t="s">
        <v>374</v>
      </c>
      <c r="E71" s="1784">
        <v>641.0</v>
      </c>
      <c r="F71" s="1784">
        <v>3.0</v>
      </c>
      <c r="G71" s="1785">
        <f>SUMIFS(BP_SOTIEN,BP_KM,$D71)/1000</f>
        <v>19992</v>
      </c>
      <c r="H71" s="1786">
        <f t="shared" si="13"/>
        <v>0.0005553333333</v>
      </c>
      <c r="I71" s="1786"/>
      <c r="J71" s="1785">
        <f>IF(NOW()&gt;=DATE(YEAR(G$1),MONTH(G$1),DAY(G$1)),SUMIFS(TF_SOTIEN,TF_KM,$D71)/1000, M71)</f>
        <v>19928</v>
      </c>
      <c r="K71" s="1786">
        <f t="shared" si="14"/>
        <v>0.0001558647303</v>
      </c>
      <c r="L71" s="1786"/>
      <c r="M71" s="1785">
        <f>IF(D71="","",VLOOKUP(D71,'P&amp;L'!$E$64:$IT$120,244,0))</f>
        <v>25652</v>
      </c>
      <c r="N71" s="1786" t="str">
        <f t="shared" si="15"/>
        <v/>
      </c>
      <c r="O71" s="1786"/>
      <c r="P71" s="1785">
        <f t="shared" si="7"/>
        <v>5660</v>
      </c>
      <c r="Q71" s="1786">
        <f t="shared" si="1"/>
        <v>0.2831132453</v>
      </c>
      <c r="R71" s="1785">
        <f t="shared" si="8"/>
        <v>5724</v>
      </c>
      <c r="S71" s="1786">
        <f t="shared" si="2"/>
        <v>0.2872340426</v>
      </c>
    </row>
    <row r="72" outlineLevel="1">
      <c r="A72" s="1777"/>
      <c r="B72" s="1777"/>
      <c r="C72" s="1777" t="s">
        <v>2833</v>
      </c>
      <c r="D72" s="1777" t="s">
        <v>169</v>
      </c>
      <c r="E72" s="1777"/>
      <c r="F72" s="1778">
        <v>2.0</v>
      </c>
      <c r="G72" s="1779">
        <f>SUMIFS(BP_SOTIEN,BP_KM,$D72)/1000</f>
        <v>127716</v>
      </c>
      <c r="H72" s="1786">
        <f t="shared" si="13"/>
        <v>0.003547666667</v>
      </c>
      <c r="I72" s="1786"/>
      <c r="J72" s="1779">
        <f>IF(NOW()&gt;=DATE(YEAR(G$1),MONTH(G$1),DAY(G$1)),SUMIFS(TF_SOTIEN,TF_KM,$D72)/1000, M72)</f>
        <v>229904</v>
      </c>
      <c r="K72" s="1786">
        <f t="shared" si="14"/>
        <v>0.001798169658</v>
      </c>
      <c r="L72" s="1786"/>
      <c r="M72" s="1779">
        <f>IF(D72="","",VLOOKUP(D72,'P&amp;L'!$E$64:$IT$120,244,0))</f>
        <v>709606.999</v>
      </c>
      <c r="N72" s="1786" t="str">
        <f t="shared" si="15"/>
        <v/>
      </c>
      <c r="O72" s="1786">
        <f t="shared" ref="O72:O83" si="28">IFERROR(M72/M$66,"")</f>
        <v>0.2218262511</v>
      </c>
      <c r="P72" s="1779">
        <f t="shared" si="7"/>
        <v>581890.999</v>
      </c>
      <c r="Q72" s="1786">
        <f t="shared" si="1"/>
        <v>4.556132348</v>
      </c>
      <c r="R72" s="1779">
        <f t="shared" si="8"/>
        <v>479702.999</v>
      </c>
      <c r="S72" s="1786">
        <f t="shared" si="2"/>
        <v>2.086536115</v>
      </c>
    </row>
    <row r="73" outlineLevel="1">
      <c r="A73" s="1777"/>
      <c r="B73" s="1777"/>
      <c r="C73" s="1777" t="s">
        <v>2834</v>
      </c>
      <c r="D73" s="1777" t="s">
        <v>174</v>
      </c>
      <c r="E73" s="1778">
        <v>641.0</v>
      </c>
      <c r="F73" s="1778">
        <v>2.0</v>
      </c>
      <c r="G73" s="1779">
        <f>SUMIFS(BP_SOTIEN,BP_KM,$D73)/1000</f>
        <v>490332</v>
      </c>
      <c r="H73" s="1786">
        <f t="shared" si="13"/>
        <v>0.01362033333</v>
      </c>
      <c r="I73" s="1786"/>
      <c r="J73" s="1779">
        <f>IF(NOW()&gt;=DATE(YEAR(G$1),MONTH(G$1),DAY(G$1)),SUMIFS(TF_SOTIEN,TF_KM,$D73)/1000, M73)</f>
        <v>528211.6</v>
      </c>
      <c r="K73" s="1786">
        <f t="shared" si="14"/>
        <v>0.004131350791</v>
      </c>
      <c r="L73" s="1786"/>
      <c r="M73" s="1779">
        <f>IF(D73="","",VLOOKUP(D73,'P&amp;L'!$E$64:$IT$120,244,0))</f>
        <v>245147.372</v>
      </c>
      <c r="N73" s="1786" t="str">
        <f t="shared" si="15"/>
        <v/>
      </c>
      <c r="O73" s="1786">
        <f t="shared" si="28"/>
        <v>0.07663414055</v>
      </c>
      <c r="P73" s="1779">
        <f t="shared" si="7"/>
        <v>-245184.628</v>
      </c>
      <c r="Q73" s="1786">
        <f t="shared" si="1"/>
        <v>-0.5000379906</v>
      </c>
      <c r="R73" s="1779">
        <f t="shared" si="8"/>
        <v>-283064.228</v>
      </c>
      <c r="S73" s="1786">
        <f t="shared" si="2"/>
        <v>-0.5358917298</v>
      </c>
    </row>
    <row r="74" outlineLevel="1">
      <c r="A74" s="1777"/>
      <c r="B74" s="1777"/>
      <c r="C74" s="1777" t="s">
        <v>2835</v>
      </c>
      <c r="D74" s="1777" t="s">
        <v>2836</v>
      </c>
      <c r="E74" s="1777"/>
      <c r="F74" s="1778">
        <v>2.0</v>
      </c>
      <c r="G74" s="1779">
        <f>SUMIFS(BP_SOTIEN,BP_KM,$D74)/1000</f>
        <v>0</v>
      </c>
      <c r="H74" s="1786">
        <f t="shared" si="13"/>
        <v>0</v>
      </c>
      <c r="I74" s="1786"/>
      <c r="J74" s="1779">
        <f>IF(NOW()&gt;=DATE(YEAR(G$1),MONTH(G$1),DAY(G$1)),SUMIFS(TF_SOTIEN,TF_KM,$D74)/1000, M74)</f>
        <v>0</v>
      </c>
      <c r="K74" s="1786">
        <f t="shared" si="14"/>
        <v>0</v>
      </c>
      <c r="L74" s="1786"/>
      <c r="M74" s="1779">
        <f>IF(D74="","",VLOOKUP(D74,'P&amp;L'!$E$64:$IT$120,244,0))</f>
        <v>0</v>
      </c>
      <c r="N74" s="1786" t="str">
        <f t="shared" si="15"/>
        <v/>
      </c>
      <c r="O74" s="1786">
        <f t="shared" si="28"/>
        <v>0</v>
      </c>
      <c r="P74" s="1779">
        <f t="shared" si="7"/>
        <v>0</v>
      </c>
      <c r="Q74" s="1786" t="str">
        <f t="shared" si="1"/>
        <v/>
      </c>
      <c r="R74" s="1779">
        <f t="shared" si="8"/>
        <v>0</v>
      </c>
      <c r="S74" s="1786" t="str">
        <f t="shared" si="2"/>
        <v/>
      </c>
    </row>
    <row r="75" outlineLevel="1">
      <c r="A75" s="1777"/>
      <c r="B75" s="1777"/>
      <c r="C75" s="1777" t="s">
        <v>2091</v>
      </c>
      <c r="D75" s="1777" t="s">
        <v>203</v>
      </c>
      <c r="E75" s="1777"/>
      <c r="F75" s="1778">
        <v>2.0</v>
      </c>
      <c r="G75" s="1779">
        <f>SUMIFS(BP_SOTIEN,BP_KM,$D75)/1000</f>
        <v>0</v>
      </c>
      <c r="H75" s="1786">
        <f t="shared" si="13"/>
        <v>0</v>
      </c>
      <c r="I75" s="1786"/>
      <c r="J75" s="1779">
        <f>IF(NOW()&gt;=DATE(YEAR(G$1),MONTH(G$1),DAY(G$1)),SUMIFS(TF_SOTIEN,TF_KM,$D75)/1000, M75)</f>
        <v>0</v>
      </c>
      <c r="K75" s="1786">
        <f t="shared" si="14"/>
        <v>0</v>
      </c>
      <c r="L75" s="1786"/>
      <c r="M75" s="1779">
        <f>IF(D75="","",VLOOKUP(D75,'P&amp;L'!$E$64:$IT$120,244,0))</f>
        <v>47276.3</v>
      </c>
      <c r="N75" s="1786" t="str">
        <f t="shared" si="15"/>
        <v/>
      </c>
      <c r="O75" s="1786">
        <f t="shared" si="28"/>
        <v>0.01477877813</v>
      </c>
      <c r="P75" s="1779">
        <f t="shared" si="7"/>
        <v>47276.3</v>
      </c>
      <c r="Q75" s="1786" t="str">
        <f t="shared" si="1"/>
        <v/>
      </c>
      <c r="R75" s="1779">
        <f t="shared" si="8"/>
        <v>47276.3</v>
      </c>
      <c r="S75" s="1786" t="str">
        <f t="shared" si="2"/>
        <v/>
      </c>
    </row>
    <row r="76" outlineLevel="1">
      <c r="A76" s="1777"/>
      <c r="B76" s="1777"/>
      <c r="C76" s="1777" t="s">
        <v>3946</v>
      </c>
      <c r="D76" s="1777" t="s">
        <v>1170</v>
      </c>
      <c r="E76" s="1777"/>
      <c r="F76" s="1778">
        <v>3.0</v>
      </c>
      <c r="G76" s="1779">
        <f>SUMIFS(BP_SOTIEN,BP_KM,$D76)/1000</f>
        <v>1170000</v>
      </c>
      <c r="H76" s="1786">
        <f t="shared" si="13"/>
        <v>0.0325</v>
      </c>
      <c r="I76" s="1786"/>
      <c r="J76" s="1779">
        <f>IF(NOW()&gt;=DATE(YEAR(G$1),MONTH(G$1),DAY(G$1)),SUMIFS(TF_SOTIEN,TF_KM,$D76)/1000, M76)</f>
        <v>910720</v>
      </c>
      <c r="K76" s="1786">
        <f t="shared" si="14"/>
        <v>0.007123099516</v>
      </c>
      <c r="L76" s="1786"/>
      <c r="M76" s="1779">
        <f>IF(D76="","",VLOOKUP(D76,'P&amp;L'!$E$64:$IT$120,244,0))</f>
        <v>14979</v>
      </c>
      <c r="N76" s="1786" t="str">
        <f t="shared" si="15"/>
        <v/>
      </c>
      <c r="O76" s="1786">
        <f t="shared" si="28"/>
        <v>0.004682500905</v>
      </c>
      <c r="P76" s="1779">
        <f t="shared" si="7"/>
        <v>-1155021</v>
      </c>
      <c r="Q76" s="1786">
        <f t="shared" si="1"/>
        <v>-0.9871974359</v>
      </c>
      <c r="R76" s="1779">
        <f t="shared" si="8"/>
        <v>-895741</v>
      </c>
      <c r="S76" s="1786">
        <f t="shared" si="2"/>
        <v>-0.9835525738</v>
      </c>
    </row>
    <row r="77" outlineLevel="1">
      <c r="A77" s="1777"/>
      <c r="B77" s="1777"/>
      <c r="C77" s="1777" t="s">
        <v>3947</v>
      </c>
      <c r="D77" s="1777" t="s">
        <v>1142</v>
      </c>
      <c r="E77" s="1777"/>
      <c r="F77" s="1778">
        <v>3.0</v>
      </c>
      <c r="G77" s="1779">
        <f>SUMIFS(BP_SOTIEN,BP_KM,$D77)/1000</f>
        <v>11232000</v>
      </c>
      <c r="H77" s="1786">
        <f t="shared" si="13"/>
        <v>0.312</v>
      </c>
      <c r="I77" s="1786"/>
      <c r="J77" s="1779">
        <f>IF(NOW()&gt;=DATE(YEAR(G$1),MONTH(G$1),DAY(G$1)),SUMIFS(TF_SOTIEN,TF_KM,$D77)/1000, M77)</f>
        <v>7682200</v>
      </c>
      <c r="K77" s="1786">
        <f t="shared" si="14"/>
        <v>0.06008550938</v>
      </c>
      <c r="L77" s="1786"/>
      <c r="M77" s="1779">
        <f>IF(D77="","",VLOOKUP(D77,'P&amp;L'!$E$64:$IT$120,244,0))</f>
        <v>2200</v>
      </c>
      <c r="N77" s="1786" t="str">
        <f t="shared" si="15"/>
        <v/>
      </c>
      <c r="O77" s="1786">
        <f t="shared" si="28"/>
        <v>0.0006877296209</v>
      </c>
      <c r="P77" s="1779">
        <f t="shared" si="7"/>
        <v>-11229800</v>
      </c>
      <c r="Q77" s="1786">
        <f t="shared" si="1"/>
        <v>-0.9998041311</v>
      </c>
      <c r="R77" s="1779">
        <f t="shared" si="8"/>
        <v>-7680000</v>
      </c>
      <c r="S77" s="1786">
        <f t="shared" si="2"/>
        <v>-0.9997136237</v>
      </c>
    </row>
    <row r="78" outlineLevel="1">
      <c r="A78" s="1777"/>
      <c r="B78" s="1777"/>
      <c r="C78" s="1777" t="s">
        <v>3948</v>
      </c>
      <c r="D78" s="1777" t="s">
        <v>2243</v>
      </c>
      <c r="E78" s="1777"/>
      <c r="F78" s="1778">
        <v>3.0</v>
      </c>
      <c r="G78" s="1779">
        <f>SUMIFS(BP_SOTIEN,BP_KM,$D78)/1000</f>
        <v>351000</v>
      </c>
      <c r="H78" s="1786">
        <f t="shared" si="13"/>
        <v>0.00975</v>
      </c>
      <c r="I78" s="1786"/>
      <c r="J78" s="1779">
        <f>IF(NOW()&gt;=DATE(YEAR(G$1),MONTH(G$1),DAY(G$1)),SUMIFS(TF_SOTIEN,TF_KM,$D78)/1000, M78)</f>
        <v>273000</v>
      </c>
      <c r="K78" s="1786">
        <f t="shared" si="14"/>
        <v>0.002135240434</v>
      </c>
      <c r="L78" s="1786"/>
      <c r="M78" s="1779">
        <f>IF(D78="","",VLOOKUP(D78,'P&amp;L'!$E$64:$IT$120,244,0))</f>
        <v>0</v>
      </c>
      <c r="N78" s="1786" t="str">
        <f t="shared" si="15"/>
        <v/>
      </c>
      <c r="O78" s="1786">
        <f t="shared" si="28"/>
        <v>0</v>
      </c>
      <c r="P78" s="1779">
        <f t="shared" si="7"/>
        <v>-351000</v>
      </c>
      <c r="Q78" s="1786">
        <f t="shared" si="1"/>
        <v>-1</v>
      </c>
      <c r="R78" s="1779">
        <f t="shared" si="8"/>
        <v>-273000</v>
      </c>
      <c r="S78" s="1786">
        <f t="shared" si="2"/>
        <v>-1</v>
      </c>
    </row>
    <row r="79" outlineLevel="1">
      <c r="A79" s="1777"/>
      <c r="B79" s="1777"/>
      <c r="C79" s="1777" t="s">
        <v>2842</v>
      </c>
      <c r="D79" s="1777" t="s">
        <v>734</v>
      </c>
      <c r="E79" s="1777"/>
      <c r="F79" s="1778">
        <v>2.0</v>
      </c>
      <c r="G79" s="1779">
        <f>SUMIFS(BP_SOTIEN,BP_KM,$D79)/1000</f>
        <v>0</v>
      </c>
      <c r="H79" s="1786">
        <f t="shared" si="13"/>
        <v>0</v>
      </c>
      <c r="I79" s="1786"/>
      <c r="J79" s="1779">
        <f>IF(NOW()&gt;=DATE(YEAR(G$1),MONTH(G$1),DAY(G$1)),SUMIFS(TF_SOTIEN,TF_KM,$D79)/1000, M79)</f>
        <v>0</v>
      </c>
      <c r="K79" s="1786">
        <f t="shared" si="14"/>
        <v>0</v>
      </c>
      <c r="L79" s="1786"/>
      <c r="M79" s="1779">
        <f>IF(D79="","",VLOOKUP(D79,'P&amp;L'!$E$64:$IT$120,244,0))</f>
        <v>13320</v>
      </c>
      <c r="N79" s="1786" t="str">
        <f t="shared" si="15"/>
        <v/>
      </c>
      <c r="O79" s="1786">
        <f t="shared" si="28"/>
        <v>0.00416389025</v>
      </c>
      <c r="P79" s="1779">
        <f t="shared" si="7"/>
        <v>13320</v>
      </c>
      <c r="Q79" s="1786" t="str">
        <f t="shared" si="1"/>
        <v/>
      </c>
      <c r="R79" s="1779">
        <f t="shared" si="8"/>
        <v>13320</v>
      </c>
      <c r="S79" s="1786" t="str">
        <f t="shared" si="2"/>
        <v/>
      </c>
    </row>
    <row r="80" outlineLevel="1">
      <c r="A80" s="1783"/>
      <c r="B80" s="1783"/>
      <c r="C80" s="1783"/>
      <c r="D80" s="1783"/>
      <c r="E80" s="1783"/>
      <c r="F80" s="1784">
        <v>3.0</v>
      </c>
      <c r="G80" s="1785">
        <f>SUMIFS(BP_SOTIEN,BP_KM,$D80)/1000</f>
        <v>0</v>
      </c>
      <c r="H80" s="1786">
        <f t="shared" si="13"/>
        <v>0</v>
      </c>
      <c r="I80" s="1786"/>
      <c r="J80" s="1785">
        <f>IF(NOW()&gt;=DATE(YEAR(G$1),MONTH(G$1),DAY(G$1)),SUMIFS(TF_SOTIEN,TF_KM,$D80)/1000, M80)</f>
        <v>0</v>
      </c>
      <c r="K80" s="1786">
        <f t="shared" si="14"/>
        <v>0</v>
      </c>
      <c r="L80" s="1786"/>
      <c r="M80" s="1785" t="str">
        <f>IF(D80="","",VLOOKUP(D80,'P&amp;L'!$E$64:$IT$120,244,0))</f>
        <v/>
      </c>
      <c r="N80" s="1786" t="str">
        <f t="shared" si="15"/>
        <v/>
      </c>
      <c r="O80" s="1786">
        <f t="shared" si="28"/>
        <v>0</v>
      </c>
      <c r="P80" s="1785">
        <f t="shared" si="7"/>
        <v>0</v>
      </c>
      <c r="Q80" s="1786" t="str">
        <f t="shared" si="1"/>
        <v/>
      </c>
      <c r="R80" s="1785">
        <f t="shared" si="8"/>
        <v>0</v>
      </c>
      <c r="S80" s="1786" t="str">
        <f t="shared" si="2"/>
        <v/>
      </c>
    </row>
    <row r="81" outlineLevel="1">
      <c r="A81" s="1783"/>
      <c r="B81" s="1783"/>
      <c r="C81" s="1783"/>
      <c r="D81" s="1783"/>
      <c r="E81" s="1783"/>
      <c r="F81" s="1784">
        <v>3.0</v>
      </c>
      <c r="G81" s="1785">
        <f>SUMIFS(BP_SOTIEN,BP_KM,$D81)/1000</f>
        <v>0</v>
      </c>
      <c r="H81" s="1786">
        <f t="shared" si="13"/>
        <v>0</v>
      </c>
      <c r="I81" s="1786"/>
      <c r="J81" s="1785">
        <f>IF(NOW()&gt;=DATE(YEAR(G$1),MONTH(G$1),DAY(G$1)),SUMIFS(TF_SOTIEN,TF_KM,$D81)/1000, M81)</f>
        <v>0</v>
      </c>
      <c r="K81" s="1786">
        <f t="shared" si="14"/>
        <v>0</v>
      </c>
      <c r="L81" s="1786"/>
      <c r="M81" s="1785" t="str">
        <f>IF(D81="","",VLOOKUP(D81,'P&amp;L'!$E$64:$IT$120,244,0))</f>
        <v/>
      </c>
      <c r="N81" s="1786" t="str">
        <f t="shared" si="15"/>
        <v/>
      </c>
      <c r="O81" s="1786">
        <f t="shared" si="28"/>
        <v>0</v>
      </c>
      <c r="P81" s="1785">
        <f t="shared" si="7"/>
        <v>0</v>
      </c>
      <c r="Q81" s="1786" t="str">
        <f t="shared" si="1"/>
        <v/>
      </c>
      <c r="R81" s="1785">
        <f t="shared" si="8"/>
        <v>0</v>
      </c>
      <c r="S81" s="1786" t="str">
        <f t="shared" si="2"/>
        <v/>
      </c>
    </row>
    <row r="82" outlineLevel="1">
      <c r="A82" s="1783"/>
      <c r="B82" s="1783"/>
      <c r="C82" s="1783"/>
      <c r="D82" s="1783"/>
      <c r="E82" s="1783"/>
      <c r="F82" s="1784">
        <v>3.0</v>
      </c>
      <c r="G82" s="1785">
        <f>SUMIFS(BP_SOTIEN,BP_KM,$D82)/1000</f>
        <v>0</v>
      </c>
      <c r="H82" s="1786">
        <f t="shared" si="13"/>
        <v>0</v>
      </c>
      <c r="I82" s="1786"/>
      <c r="J82" s="1785">
        <f>IF(NOW()&gt;=DATE(YEAR(G$1),MONTH(G$1),DAY(G$1)),SUMIFS(TF_SOTIEN,TF_KM,$D82)/1000, M82)</f>
        <v>0</v>
      </c>
      <c r="K82" s="1786">
        <f t="shared" si="14"/>
        <v>0</v>
      </c>
      <c r="L82" s="1786"/>
      <c r="M82" s="1785" t="str">
        <f>IF(D82="","",VLOOKUP(D82,'P&amp;L'!$E$64:$IT$120,244,0))</f>
        <v/>
      </c>
      <c r="N82" s="1786" t="str">
        <f t="shared" si="15"/>
        <v/>
      </c>
      <c r="O82" s="1786">
        <f t="shared" si="28"/>
        <v>0</v>
      </c>
      <c r="P82" s="1785">
        <f t="shared" si="7"/>
        <v>0</v>
      </c>
      <c r="Q82" s="1786" t="str">
        <f t="shared" si="1"/>
        <v/>
      </c>
      <c r="R82" s="1785">
        <f t="shared" si="8"/>
        <v>0</v>
      </c>
      <c r="S82" s="1786" t="str">
        <f t="shared" si="2"/>
        <v/>
      </c>
    </row>
    <row r="83" outlineLevel="1">
      <c r="A83" s="1777"/>
      <c r="B83" s="1777"/>
      <c r="C83" s="1777" t="s">
        <v>2245</v>
      </c>
      <c r="D83" s="1777" t="s">
        <v>181</v>
      </c>
      <c r="E83" s="1777"/>
      <c r="F83" s="1778">
        <v>2.0</v>
      </c>
      <c r="G83" s="1779">
        <f>SUMIFS(BP_SOTIEN,BP_KM,$D83)/1000</f>
        <v>11700000</v>
      </c>
      <c r="H83" s="1780">
        <f t="shared" si="13"/>
        <v>0.325</v>
      </c>
      <c r="I83" s="1780"/>
      <c r="J83" s="1779">
        <f>IF(NOW()&gt;=DATE(YEAR(G$1),MONTH(G$1),DAY(G$1)),SUMIFS(TF_SOTIEN,TF_KM,$D83)/1000, M83)</f>
        <v>9153600</v>
      </c>
      <c r="K83" s="1780">
        <f t="shared" si="14"/>
        <v>0.07159390782</v>
      </c>
      <c r="L83" s="1780"/>
      <c r="M83" s="1779">
        <f>IF(D83="","",VLOOKUP(D83,'P&amp;L'!$E$64:$IT$120,244,0))</f>
        <v>290995</v>
      </c>
      <c r="N83" s="1780" t="str">
        <f t="shared" si="15"/>
        <v/>
      </c>
      <c r="O83" s="1780">
        <f t="shared" si="28"/>
        <v>0.09096630956</v>
      </c>
      <c r="P83" s="1779">
        <f t="shared" si="7"/>
        <v>-11409005</v>
      </c>
      <c r="Q83" s="1780">
        <f t="shared" si="1"/>
        <v>-0.9751286325</v>
      </c>
      <c r="R83" s="1779">
        <f t="shared" si="8"/>
        <v>-8862605</v>
      </c>
      <c r="S83" s="1780">
        <f t="shared" si="2"/>
        <v>-0.9682097754</v>
      </c>
    </row>
    <row r="84" collapsed="1">
      <c r="A84" s="1787" t="s">
        <v>3949</v>
      </c>
      <c r="B84" s="1763"/>
      <c r="C84" s="1763"/>
      <c r="D84" s="1763"/>
      <c r="E84" s="1763"/>
      <c r="F84" s="1775">
        <v>1.0</v>
      </c>
      <c r="G84" s="1764">
        <f>G85+G92+G93+G111+G112</f>
        <v>4712008</v>
      </c>
      <c r="H84" s="1767">
        <f t="shared" si="13"/>
        <v>0.1308891111</v>
      </c>
      <c r="I84" s="1767">
        <f>IFERROR(G84/G$113,"")</f>
        <v>0.06345023705</v>
      </c>
      <c r="J84" s="1764">
        <f>J85+J92+J93+J111+J112</f>
        <v>3843736.325</v>
      </c>
      <c r="K84" s="1767">
        <f t="shared" si="14"/>
        <v>0.03006337443</v>
      </c>
      <c r="L84" s="1767">
        <f>IFERROR(J84/J$113,"")</f>
        <v>0.06620373237</v>
      </c>
      <c r="M84" s="1764">
        <f>M85+M92+M93+M111+M112</f>
        <v>925734.419</v>
      </c>
      <c r="N84" s="1767" t="str">
        <f t="shared" si="15"/>
        <v/>
      </c>
      <c r="O84" s="1767">
        <f>IFERROR(M84/M$113,"")</f>
        <v>0.2244386382</v>
      </c>
      <c r="P84" s="1766">
        <f t="shared" si="7"/>
        <v>-3786273.581</v>
      </c>
      <c r="Q84" s="1776">
        <f t="shared" si="1"/>
        <v>-0.8035371716</v>
      </c>
      <c r="R84" s="1766">
        <f t="shared" si="8"/>
        <v>-2918001.906</v>
      </c>
      <c r="S84" s="1776">
        <f t="shared" si="2"/>
        <v>-0.7591576683</v>
      </c>
    </row>
    <row r="85" hidden="1" outlineLevel="1">
      <c r="A85" s="1777"/>
      <c r="B85" s="1777"/>
      <c r="C85" s="1777" t="s">
        <v>2845</v>
      </c>
      <c r="D85" s="1777"/>
      <c r="E85" s="1778">
        <v>642.0</v>
      </c>
      <c r="F85" s="1778">
        <v>2.0</v>
      </c>
      <c r="G85" s="1779">
        <f>SUM(G86:G91)</f>
        <v>3924732</v>
      </c>
      <c r="H85" s="1780">
        <f t="shared" si="13"/>
        <v>0.1090203333</v>
      </c>
      <c r="I85" s="1780">
        <f>IFERROR(G85/G$84,"")</f>
        <v>0.8329213363</v>
      </c>
      <c r="J85" s="1779">
        <f>SUM(J86:J91)</f>
        <v>3047670.353</v>
      </c>
      <c r="K85" s="1780">
        <f t="shared" si="14"/>
        <v>0.02383702918</v>
      </c>
      <c r="L85" s="1780">
        <f>IFERROR(J85/J$84,"")</f>
        <v>0.7928926688</v>
      </c>
      <c r="M85" s="1779">
        <f>SUM(M86:M91)</f>
        <v>596375.424</v>
      </c>
      <c r="N85" s="1780" t="str">
        <f t="shared" si="15"/>
        <v/>
      </c>
      <c r="O85" s="1780">
        <f t="shared" ref="O85:O93" si="29">IFERROR(M85/M$84,"")</f>
        <v>0.6442187001</v>
      </c>
      <c r="P85" s="1781">
        <f t="shared" si="7"/>
        <v>-3328356.576</v>
      </c>
      <c r="Q85" s="1782">
        <f t="shared" si="1"/>
        <v>-0.8480468414</v>
      </c>
      <c r="R85" s="1781">
        <f t="shared" si="8"/>
        <v>-2451294.929</v>
      </c>
      <c r="S85" s="1782">
        <f t="shared" si="2"/>
        <v>-0.8043176082</v>
      </c>
    </row>
    <row r="86" hidden="1" outlineLevel="1">
      <c r="A86" s="1783"/>
      <c r="B86" s="1783"/>
      <c r="C86" s="1783" t="s">
        <v>2846</v>
      </c>
      <c r="D86" s="1783" t="s">
        <v>293</v>
      </c>
      <c r="E86" s="1783"/>
      <c r="F86" s="1784">
        <v>3.0</v>
      </c>
      <c r="G86" s="1785">
        <f>SUMIFS(BP_SOTIEN,BP_KM,$D86)/1000</f>
        <v>0</v>
      </c>
      <c r="H86" s="1786">
        <f t="shared" si="13"/>
        <v>0</v>
      </c>
      <c r="I86" s="1786"/>
      <c r="J86" s="1785">
        <f>IF(NOW()&gt;=DATE(YEAR(G$1),MONTH(G$1),DAY(G$1)),SUMIFS(TF_SOTIEN,TF_KM,$D86)/1000, M86)</f>
        <v>270333.332</v>
      </c>
      <c r="K86" s="1786">
        <f t="shared" si="14"/>
        <v>0.002114383374</v>
      </c>
      <c r="L86" s="1786"/>
      <c r="M86" s="1785">
        <f>IF(D86="","",VLOOKUP(D86,'P&amp;L'!$E$64:$IT$120,244,0))</f>
        <v>210041.666</v>
      </c>
      <c r="N86" s="1786" t="str">
        <f t="shared" si="15"/>
        <v/>
      </c>
      <c r="O86" s="1786">
        <f t="shared" si="29"/>
        <v>0.2268919268</v>
      </c>
      <c r="P86" s="1785">
        <f t="shared" si="7"/>
        <v>210041.666</v>
      </c>
      <c r="Q86" s="1786" t="str">
        <f t="shared" si="1"/>
        <v/>
      </c>
      <c r="R86" s="1785">
        <f t="shared" si="8"/>
        <v>-60291.666</v>
      </c>
      <c r="S86" s="1786">
        <f t="shared" si="2"/>
        <v>-0.2230271256</v>
      </c>
    </row>
    <row r="87" hidden="1" outlineLevel="1">
      <c r="A87" s="1783"/>
      <c r="B87" s="1783"/>
      <c r="C87" s="1783" t="s">
        <v>2847</v>
      </c>
      <c r="D87" s="1783" t="s">
        <v>267</v>
      </c>
      <c r="E87" s="1783"/>
      <c r="F87" s="1784">
        <v>3.0</v>
      </c>
      <c r="G87" s="1785">
        <f>SUMIFS(BP_SOTIEN,BP_KM,$D87)/1000</f>
        <v>3820800</v>
      </c>
      <c r="H87" s="1786">
        <f t="shared" si="13"/>
        <v>0.1061333333</v>
      </c>
      <c r="I87" s="1786"/>
      <c r="J87" s="1785">
        <f>IF(NOW()&gt;=DATE(YEAR(G$1),MONTH(G$1),DAY(G$1)),SUMIFS(TF_SOTIEN,TF_KM,$D87)/1000, M87)</f>
        <v>2703249.021</v>
      </c>
      <c r="K87" s="1786">
        <f t="shared" si="14"/>
        <v>0.0211431744</v>
      </c>
      <c r="L87" s="1786"/>
      <c r="M87" s="1785">
        <f>IF(D87="","",VLOOKUP(D87,'P&amp;L'!$E$64:$IT$120,244,0))</f>
        <v>360576.758</v>
      </c>
      <c r="N87" s="1786" t="str">
        <f t="shared" si="15"/>
        <v/>
      </c>
      <c r="O87" s="1786">
        <f t="shared" si="29"/>
        <v>0.3895034587</v>
      </c>
      <c r="P87" s="1785">
        <f t="shared" si="7"/>
        <v>-3460223.242</v>
      </c>
      <c r="Q87" s="1786">
        <f t="shared" si="1"/>
        <v>-0.9056279423</v>
      </c>
      <c r="R87" s="1785">
        <f t="shared" si="8"/>
        <v>-2342672.263</v>
      </c>
      <c r="S87" s="1786">
        <f t="shared" si="2"/>
        <v>-0.866613562</v>
      </c>
    </row>
    <row r="88" hidden="1" outlineLevel="1">
      <c r="A88" s="1783"/>
      <c r="B88" s="1783"/>
      <c r="C88" s="1783" t="s">
        <v>2848</v>
      </c>
      <c r="D88" s="1783" t="s">
        <v>1211</v>
      </c>
      <c r="E88" s="1783"/>
      <c r="F88" s="1784">
        <v>3.0</v>
      </c>
      <c r="G88" s="1785">
        <f>SUMIFS(BP_SOTIEN,BP_KM,$D88)/1000</f>
        <v>0</v>
      </c>
      <c r="H88" s="1786">
        <f t="shared" si="13"/>
        <v>0</v>
      </c>
      <c r="I88" s="1786"/>
      <c r="J88" s="1785">
        <f>IF(NOW()&gt;=DATE(YEAR(G$1),MONTH(G$1),DAY(G$1)),SUMIFS(TF_SOTIEN,TF_KM,$D88)/1000, M88)</f>
        <v>0</v>
      </c>
      <c r="K88" s="1786">
        <f t="shared" si="14"/>
        <v>0</v>
      </c>
      <c r="L88" s="1786"/>
      <c r="M88" s="1785">
        <f>IF(D88="","",VLOOKUP(D88,'P&amp;L'!$E$64:$IT$120,244,0))</f>
        <v>18000</v>
      </c>
      <c r="N88" s="1786" t="str">
        <f t="shared" si="15"/>
        <v/>
      </c>
      <c r="O88" s="1786">
        <f t="shared" si="29"/>
        <v>0.01944402156</v>
      </c>
      <c r="P88" s="1785">
        <f t="shared" si="7"/>
        <v>18000</v>
      </c>
      <c r="Q88" s="1786" t="str">
        <f t="shared" si="1"/>
        <v/>
      </c>
      <c r="R88" s="1785">
        <f t="shared" si="8"/>
        <v>18000</v>
      </c>
      <c r="S88" s="1786" t="str">
        <f t="shared" si="2"/>
        <v/>
      </c>
    </row>
    <row r="89" hidden="1" outlineLevel="1">
      <c r="A89" s="1783"/>
      <c r="B89" s="1783"/>
      <c r="C89" s="1783" t="s">
        <v>2849</v>
      </c>
      <c r="D89" s="1783" t="s">
        <v>2850</v>
      </c>
      <c r="E89" s="1783"/>
      <c r="F89" s="1784">
        <v>3.0</v>
      </c>
      <c r="G89" s="1785">
        <f>SUMIFS(BP_SOTIEN,BP_KM,$D89)/1000</f>
        <v>0</v>
      </c>
      <c r="H89" s="1786">
        <f t="shared" si="13"/>
        <v>0</v>
      </c>
      <c r="I89" s="1786"/>
      <c r="J89" s="1785">
        <f>IF(NOW()&gt;=DATE(YEAR(G$1),MONTH(G$1),DAY(G$1)),SUMIFS(TF_SOTIEN,TF_KM,$D89)/1000, M89)</f>
        <v>0</v>
      </c>
      <c r="K89" s="1786">
        <f t="shared" si="14"/>
        <v>0</v>
      </c>
      <c r="L89" s="1786"/>
      <c r="M89" s="1785">
        <f>IF(D89="","",VLOOKUP(D89,'P&amp;L'!$E$64:$IT$120,244,0))</f>
        <v>0</v>
      </c>
      <c r="N89" s="1786" t="str">
        <f t="shared" si="15"/>
        <v/>
      </c>
      <c r="O89" s="1786">
        <f t="shared" si="29"/>
        <v>0</v>
      </c>
      <c r="P89" s="1785">
        <f t="shared" si="7"/>
        <v>0</v>
      </c>
      <c r="Q89" s="1786" t="str">
        <f t="shared" si="1"/>
        <v/>
      </c>
      <c r="R89" s="1785">
        <f t="shared" si="8"/>
        <v>0</v>
      </c>
      <c r="S89" s="1786" t="str">
        <f t="shared" si="2"/>
        <v/>
      </c>
    </row>
    <row r="90" hidden="1" outlineLevel="1">
      <c r="A90" s="1783"/>
      <c r="B90" s="1783"/>
      <c r="C90" s="1783" t="s">
        <v>2851</v>
      </c>
      <c r="D90" s="1783" t="s">
        <v>1273</v>
      </c>
      <c r="E90" s="1783"/>
      <c r="F90" s="1784">
        <v>3.0</v>
      </c>
      <c r="G90" s="1785">
        <f>SUMIFS(BP_SOTIEN,BP_KM,$D90)/1000</f>
        <v>3936</v>
      </c>
      <c r="H90" s="1786">
        <f t="shared" si="13"/>
        <v>0.0001093333333</v>
      </c>
      <c r="I90" s="1786"/>
      <c r="J90" s="1785">
        <f>IF(NOW()&gt;=DATE(YEAR(G$1),MONTH(G$1),DAY(G$1)),SUMIFS(TF_SOTIEN,TF_KM,$D90)/1000, M90)</f>
        <v>7424</v>
      </c>
      <c r="K90" s="1786">
        <f t="shared" si="14"/>
        <v>0.00005806602557</v>
      </c>
      <c r="L90" s="1786"/>
      <c r="M90" s="1785">
        <f>IF(D90="","",VLOOKUP(D90,'P&amp;L'!$E$64:$IT$120,244,0))</f>
        <v>6720</v>
      </c>
      <c r="N90" s="1786" t="str">
        <f t="shared" si="15"/>
        <v/>
      </c>
      <c r="O90" s="1786">
        <f t="shared" si="29"/>
        <v>0.007259101382</v>
      </c>
      <c r="P90" s="1785">
        <f t="shared" si="7"/>
        <v>2784</v>
      </c>
      <c r="Q90" s="1786">
        <f t="shared" si="1"/>
        <v>0.7073170732</v>
      </c>
      <c r="R90" s="1785">
        <f t="shared" si="8"/>
        <v>-704</v>
      </c>
      <c r="S90" s="1786">
        <f t="shared" si="2"/>
        <v>-0.09482758621</v>
      </c>
    </row>
    <row r="91" hidden="1" outlineLevel="1">
      <c r="A91" s="1783"/>
      <c r="B91" s="1783"/>
      <c r="C91" s="1783" t="s">
        <v>2852</v>
      </c>
      <c r="D91" s="1783" t="s">
        <v>1153</v>
      </c>
      <c r="E91" s="1783"/>
      <c r="F91" s="1784">
        <v>3.0</v>
      </c>
      <c r="G91" s="1785">
        <f>SUMIFS(BP_SOTIEN,BP_KM,$D91)/1000</f>
        <v>99996</v>
      </c>
      <c r="H91" s="1786">
        <f t="shared" si="13"/>
        <v>0.002777666667</v>
      </c>
      <c r="I91" s="1786"/>
      <c r="J91" s="1785">
        <f>IF(NOW()&gt;=DATE(YEAR(G$1),MONTH(G$1),DAY(G$1)),SUMIFS(TF_SOTIEN,TF_KM,$D91)/1000, M91)</f>
        <v>66664</v>
      </c>
      <c r="K91" s="1786">
        <f t="shared" si="14"/>
        <v>0.0005214053783</v>
      </c>
      <c r="L91" s="1786"/>
      <c r="M91" s="1785">
        <f>IF(D91="","",VLOOKUP(D91,'P&amp;L'!$E$64:$IT$120,244,0))</f>
        <v>1037</v>
      </c>
      <c r="N91" s="1786" t="str">
        <f t="shared" si="15"/>
        <v/>
      </c>
      <c r="O91" s="1786">
        <f t="shared" si="29"/>
        <v>0.001120191686</v>
      </c>
      <c r="P91" s="1785">
        <f t="shared" si="7"/>
        <v>-98959</v>
      </c>
      <c r="Q91" s="1786">
        <f t="shared" si="1"/>
        <v>-0.9896295852</v>
      </c>
      <c r="R91" s="1785">
        <f t="shared" si="8"/>
        <v>-65627</v>
      </c>
      <c r="S91" s="1786">
        <f t="shared" si="2"/>
        <v>-0.9844443778</v>
      </c>
    </row>
    <row r="92" hidden="1" outlineLevel="1">
      <c r="A92" s="1777"/>
      <c r="B92" s="1777"/>
      <c r="C92" s="1777" t="s">
        <v>2853</v>
      </c>
      <c r="D92" s="1777" t="s">
        <v>270</v>
      </c>
      <c r="E92" s="1778">
        <v>642.0</v>
      </c>
      <c r="F92" s="1778">
        <v>2.0</v>
      </c>
      <c r="G92" s="1779">
        <f>SUMIFS(BP_SOTIEN,BP_KM,$D92)/1000</f>
        <v>541716</v>
      </c>
      <c r="H92" s="1786">
        <f t="shared" si="13"/>
        <v>0.01504766667</v>
      </c>
      <c r="I92" s="1786"/>
      <c r="J92" s="1779">
        <f>IF(NOW()&gt;=DATE(YEAR(G$1),MONTH(G$1),DAY(G$1)),SUMIFS(TF_SOTIEN,TF_KM,$D92)/1000, M92)</f>
        <v>576483.662</v>
      </c>
      <c r="K92" s="1786">
        <f t="shared" si="14"/>
        <v>0.004508905584</v>
      </c>
      <c r="L92" s="1786"/>
      <c r="M92" s="1779">
        <f>IF(D92="","",VLOOKUP(D92,'P&amp;L'!$E$64:$IT$120,244,0))</f>
        <v>241023.999</v>
      </c>
      <c r="N92" s="1786" t="str">
        <f t="shared" si="15"/>
        <v/>
      </c>
      <c r="O92" s="1786">
        <f t="shared" si="29"/>
        <v>0.2603597685</v>
      </c>
      <c r="P92" s="1779">
        <f t="shared" si="7"/>
        <v>-300692.001</v>
      </c>
      <c r="Q92" s="1786">
        <f t="shared" si="1"/>
        <v>-0.5550731398</v>
      </c>
      <c r="R92" s="1779">
        <f t="shared" si="8"/>
        <v>-335459.663</v>
      </c>
      <c r="S92" s="1786">
        <f t="shared" si="2"/>
        <v>-0.5819066265</v>
      </c>
    </row>
    <row r="93" hidden="1" outlineLevel="1">
      <c r="A93" s="1777"/>
      <c r="B93" s="1777"/>
      <c r="C93" s="1777" t="s">
        <v>2854</v>
      </c>
      <c r="D93" s="1777"/>
      <c r="E93" s="1778">
        <v>642.0</v>
      </c>
      <c r="F93" s="1778">
        <v>2.0</v>
      </c>
      <c r="G93" s="1779">
        <f>SUM(G94:G110)</f>
        <v>228900</v>
      </c>
      <c r="H93" s="1786">
        <f t="shared" si="13"/>
        <v>0.006358333333</v>
      </c>
      <c r="I93" s="1786">
        <f>IFERROR(G93/G$84,"")</f>
        <v>0.048578016</v>
      </c>
      <c r="J93" s="1779">
        <f>SUM(J94:J110)</f>
        <v>215417.31</v>
      </c>
      <c r="K93" s="1786">
        <f t="shared" si="14"/>
        <v>0.001684863555</v>
      </c>
      <c r="L93" s="1786">
        <f>IFERROR(J93/J$84,"")</f>
        <v>0.05604372719</v>
      </c>
      <c r="M93" s="1779">
        <f>SUM(M94:M110)</f>
        <v>74003.318</v>
      </c>
      <c r="N93" s="1786" t="str">
        <f t="shared" si="15"/>
        <v/>
      </c>
      <c r="O93" s="1786">
        <f t="shared" si="29"/>
        <v>0.07994011725</v>
      </c>
      <c r="P93" s="1781">
        <f t="shared" si="7"/>
        <v>-154896.682</v>
      </c>
      <c r="Q93" s="1782">
        <f t="shared" si="1"/>
        <v>-0.6767002272</v>
      </c>
      <c r="R93" s="1781">
        <f t="shared" si="8"/>
        <v>-141413.992</v>
      </c>
      <c r="S93" s="1782">
        <f t="shared" si="2"/>
        <v>-0.6564653138</v>
      </c>
    </row>
    <row r="94" hidden="1" outlineLevel="1">
      <c r="A94" s="1783"/>
      <c r="B94" s="1783"/>
      <c r="C94" s="1783" t="s">
        <v>2855</v>
      </c>
      <c r="D94" s="1783" t="s">
        <v>2215</v>
      </c>
      <c r="E94" s="1783"/>
      <c r="F94" s="1784">
        <v>3.0</v>
      </c>
      <c r="G94" s="1785">
        <f>SUMIFS(BP_SOTIEN,BP_KM,$D94)/1000</f>
        <v>516</v>
      </c>
      <c r="H94" s="1786">
        <f t="shared" si="13"/>
        <v>0.00001433333333</v>
      </c>
      <c r="I94" s="1786"/>
      <c r="J94" s="1785">
        <f>IF(NOW()&gt;=DATE(YEAR(G$1),MONTH(G$1),DAY(G$1)),SUMIFS(TF_SOTIEN,TF_KM,$D94)/1000, M94)</f>
        <v>344</v>
      </c>
      <c r="K94" s="1786">
        <f t="shared" si="14"/>
        <v>0.000002690559375</v>
      </c>
      <c r="L94" s="1786"/>
      <c r="M94" s="1785">
        <f>IF(D94="","",VLOOKUP(D94,'P&amp;L'!$E$64:$IT$120,244,0))</f>
        <v>0</v>
      </c>
      <c r="N94" s="1786" t="str">
        <f t="shared" si="15"/>
        <v/>
      </c>
      <c r="O94" s="1786">
        <f t="shared" ref="O94:O110" si="30">IFERROR(M94/M$93,"")</f>
        <v>0</v>
      </c>
      <c r="P94" s="1785">
        <f t="shared" si="7"/>
        <v>-516</v>
      </c>
      <c r="Q94" s="1786">
        <f t="shared" si="1"/>
        <v>-1</v>
      </c>
      <c r="R94" s="1785">
        <f t="shared" si="8"/>
        <v>-344</v>
      </c>
      <c r="S94" s="1786">
        <f t="shared" si="2"/>
        <v>-1</v>
      </c>
    </row>
    <row r="95" hidden="1" outlineLevel="1">
      <c r="A95" s="1783"/>
      <c r="B95" s="1783"/>
      <c r="C95" s="1783" t="s">
        <v>2856</v>
      </c>
      <c r="D95" s="1783" t="s">
        <v>419</v>
      </c>
      <c r="E95" s="1783"/>
      <c r="F95" s="1784">
        <v>3.0</v>
      </c>
      <c r="G95" s="1785">
        <f>SUMIFS(BP_SOTIEN,BP_KM,$D95)/1000</f>
        <v>1992</v>
      </c>
      <c r="H95" s="1786">
        <f t="shared" si="13"/>
        <v>0.00005533333333</v>
      </c>
      <c r="I95" s="1786"/>
      <c r="J95" s="1785">
        <f>IF(NOW()&gt;=DATE(YEAR(G$1),MONTH(G$1),DAY(G$1)),SUMIFS(TF_SOTIEN,TF_KM,$D95)/1000, M95)</f>
        <v>1906.5</v>
      </c>
      <c r="K95" s="1786">
        <f t="shared" si="14"/>
        <v>0.00001491148677</v>
      </c>
      <c r="L95" s="1786"/>
      <c r="M95" s="1785">
        <f>IF(D95="","",VLOOKUP(D95,'P&amp;L'!$E$64:$IT$120,244,0))</f>
        <v>2327.75</v>
      </c>
      <c r="N95" s="1786" t="str">
        <f t="shared" si="15"/>
        <v/>
      </c>
      <c r="O95" s="1786">
        <f t="shared" si="30"/>
        <v>0.03145467072</v>
      </c>
      <c r="P95" s="1785">
        <f t="shared" si="7"/>
        <v>335.75</v>
      </c>
      <c r="Q95" s="1786">
        <f t="shared" si="1"/>
        <v>0.1685491968</v>
      </c>
      <c r="R95" s="1785">
        <f t="shared" si="8"/>
        <v>421.25</v>
      </c>
      <c r="S95" s="1786">
        <f t="shared" si="2"/>
        <v>0.2209546289</v>
      </c>
    </row>
    <row r="96" hidden="1" outlineLevel="1">
      <c r="A96" s="1783"/>
      <c r="B96" s="1783"/>
      <c r="C96" s="1783" t="s">
        <v>2857</v>
      </c>
      <c r="D96" s="1783" t="s">
        <v>573</v>
      </c>
      <c r="E96" s="1783"/>
      <c r="F96" s="1784">
        <v>3.0</v>
      </c>
      <c r="G96" s="1785">
        <f>SUMIFS(BP_SOTIEN,BP_KM,$D96)/1000</f>
        <v>3000</v>
      </c>
      <c r="H96" s="1786">
        <f t="shared" si="13"/>
        <v>0.00008333333333</v>
      </c>
      <c r="I96" s="1786"/>
      <c r="J96" s="1785">
        <f>IF(NOW()&gt;=DATE(YEAR(G$1),MONTH(G$1),DAY(G$1)),SUMIFS(TF_SOTIEN,TF_KM,$D96)/1000, M96)</f>
        <v>1750</v>
      </c>
      <c r="K96" s="1786">
        <f t="shared" si="14"/>
        <v>0.00001368743868</v>
      </c>
      <c r="L96" s="1786"/>
      <c r="M96" s="1785">
        <f>IF(D96="","",VLOOKUP(D96,'P&amp;L'!$E$64:$IT$120,244,0))</f>
        <v>1053.999</v>
      </c>
      <c r="N96" s="1786" t="str">
        <f t="shared" si="15"/>
        <v/>
      </c>
      <c r="O96" s="1786">
        <f t="shared" si="30"/>
        <v>0.01424259112</v>
      </c>
      <c r="P96" s="1785">
        <f t="shared" si="7"/>
        <v>-1946.001</v>
      </c>
      <c r="Q96" s="1786">
        <f t="shared" si="1"/>
        <v>-0.648667</v>
      </c>
      <c r="R96" s="1785">
        <f t="shared" si="8"/>
        <v>-696.001</v>
      </c>
      <c r="S96" s="1786">
        <f t="shared" si="2"/>
        <v>-0.3977148571</v>
      </c>
    </row>
    <row r="97" hidden="1" outlineLevel="1">
      <c r="A97" s="1783"/>
      <c r="B97" s="1783"/>
      <c r="C97" s="1783" t="s">
        <v>2858</v>
      </c>
      <c r="D97" s="1783" t="s">
        <v>2220</v>
      </c>
      <c r="E97" s="1783"/>
      <c r="F97" s="1784">
        <v>3.0</v>
      </c>
      <c r="G97" s="1785">
        <f>SUMIFS(BP_SOTIEN,BP_KM,$D97)/1000</f>
        <v>4992</v>
      </c>
      <c r="H97" s="1786">
        <f t="shared" si="13"/>
        <v>0.0001386666667</v>
      </c>
      <c r="I97" s="1786"/>
      <c r="J97" s="1785">
        <f>IF(NOW()&gt;=DATE(YEAR(G$1),MONTH(G$1),DAY(G$1)),SUMIFS(TF_SOTIEN,TF_KM,$D97)/1000, M97)</f>
        <v>3744</v>
      </c>
      <c r="K97" s="1786">
        <f t="shared" si="14"/>
        <v>0.00002928329738</v>
      </c>
      <c r="L97" s="1786"/>
      <c r="M97" s="1785">
        <f>IF(D97="","",VLOOKUP(D97,'P&amp;L'!$E$64:$IT$120,244,0))</f>
        <v>0</v>
      </c>
      <c r="N97" s="1786" t="str">
        <f t="shared" si="15"/>
        <v/>
      </c>
      <c r="O97" s="1786">
        <f t="shared" si="30"/>
        <v>0</v>
      </c>
      <c r="P97" s="1785">
        <f t="shared" si="7"/>
        <v>-4992</v>
      </c>
      <c r="Q97" s="1786">
        <f t="shared" si="1"/>
        <v>-1</v>
      </c>
      <c r="R97" s="1785">
        <f t="shared" si="8"/>
        <v>-3744</v>
      </c>
      <c r="S97" s="1786">
        <f t="shared" si="2"/>
        <v>-1</v>
      </c>
    </row>
    <row r="98" hidden="1" outlineLevel="1">
      <c r="A98" s="1783"/>
      <c r="B98" s="1783"/>
      <c r="C98" s="1783" t="s">
        <v>2859</v>
      </c>
      <c r="D98" s="1783" t="s">
        <v>2236</v>
      </c>
      <c r="E98" s="1783"/>
      <c r="F98" s="1784">
        <v>3.0</v>
      </c>
      <c r="G98" s="1785">
        <f>SUMIFS(BP_SOTIEN,BP_KM,$D98)/1000</f>
        <v>19992</v>
      </c>
      <c r="H98" s="1786">
        <f t="shared" si="13"/>
        <v>0.0005553333333</v>
      </c>
      <c r="I98" s="1786"/>
      <c r="J98" s="1785">
        <f>IF(NOW()&gt;=DATE(YEAR(G$1),MONTH(G$1),DAY(G$1)),SUMIFS(TF_SOTIEN,TF_KM,$D98)/1000, M98)</f>
        <v>14994</v>
      </c>
      <c r="K98" s="1786">
        <f t="shared" si="14"/>
        <v>0.0001172739746</v>
      </c>
      <c r="L98" s="1786"/>
      <c r="M98" s="1785">
        <f>IF(D98="","",VLOOKUP(D98,'P&amp;L'!$E$64:$IT$120,244,0))</f>
        <v>0</v>
      </c>
      <c r="N98" s="1786" t="str">
        <f t="shared" si="15"/>
        <v/>
      </c>
      <c r="O98" s="1786">
        <f t="shared" si="30"/>
        <v>0</v>
      </c>
      <c r="P98" s="1785">
        <f t="shared" si="7"/>
        <v>-19992</v>
      </c>
      <c r="Q98" s="1786">
        <f t="shared" si="1"/>
        <v>-1</v>
      </c>
      <c r="R98" s="1785">
        <f t="shared" si="8"/>
        <v>-14994</v>
      </c>
      <c r="S98" s="1786">
        <f t="shared" si="2"/>
        <v>-1</v>
      </c>
    </row>
    <row r="99" hidden="1" outlineLevel="1">
      <c r="A99" s="1783"/>
      <c r="B99" s="1783"/>
      <c r="C99" s="1783" t="s">
        <v>2860</v>
      </c>
      <c r="D99" s="1783" t="s">
        <v>413</v>
      </c>
      <c r="E99" s="1783"/>
      <c r="F99" s="1784">
        <v>3.0</v>
      </c>
      <c r="G99" s="1785">
        <f>SUMIFS(BP_SOTIEN,BP_KM,$D99)/1000</f>
        <v>0</v>
      </c>
      <c r="H99" s="1786">
        <f t="shared" si="13"/>
        <v>0</v>
      </c>
      <c r="I99" s="1786"/>
      <c r="J99" s="1785">
        <f>IF(NOW()&gt;=DATE(YEAR(G$1),MONTH(G$1),DAY(G$1)),SUMIFS(TF_SOTIEN,TF_KM,$D99)/1000, M99)</f>
        <v>5490</v>
      </c>
      <c r="K99" s="1786">
        <f t="shared" si="14"/>
        <v>0.00004293945048</v>
      </c>
      <c r="L99" s="1786"/>
      <c r="M99" s="1785">
        <f>IF(D99="","",VLOOKUP(D99,'P&amp;L'!$E$64:$IT$120,244,0))</f>
        <v>5380.001</v>
      </c>
      <c r="N99" s="1786" t="str">
        <f t="shared" si="15"/>
        <v/>
      </c>
      <c r="O99" s="1786">
        <f t="shared" si="30"/>
        <v>0.07269945653</v>
      </c>
      <c r="P99" s="1785">
        <f t="shared" si="7"/>
        <v>5380.001</v>
      </c>
      <c r="Q99" s="1786" t="str">
        <f t="shared" si="1"/>
        <v/>
      </c>
      <c r="R99" s="1785">
        <f t="shared" si="8"/>
        <v>-109.999</v>
      </c>
      <c r="S99" s="1786">
        <f t="shared" si="2"/>
        <v>-0.02003624772</v>
      </c>
    </row>
    <row r="100" hidden="1" outlineLevel="1">
      <c r="A100" s="1783"/>
      <c r="B100" s="1783"/>
      <c r="C100" s="1783" t="s">
        <v>2861</v>
      </c>
      <c r="D100" s="1783" t="s">
        <v>262</v>
      </c>
      <c r="E100" s="1783"/>
      <c r="F100" s="1784">
        <v>3.0</v>
      </c>
      <c r="G100" s="1785">
        <f>SUMIFS(BP_SOTIEN,BP_KM,$D100)/1000</f>
        <v>9996</v>
      </c>
      <c r="H100" s="1786">
        <f t="shared" si="13"/>
        <v>0.0002776666667</v>
      </c>
      <c r="I100" s="1786"/>
      <c r="J100" s="1785">
        <f>IF(NOW()&gt;=DATE(YEAR(G$1),MONTH(G$1),DAY(G$1)),SUMIFS(TF_SOTIEN,TF_KM,$D100)/1000, M100)</f>
        <v>13462.81</v>
      </c>
      <c r="K100" s="1786">
        <f t="shared" si="14"/>
        <v>0.000105297935</v>
      </c>
      <c r="L100" s="1786"/>
      <c r="M100" s="1785">
        <f>IF(D100="","",VLOOKUP(D100,'P&amp;L'!$E$64:$IT$120,244,0))</f>
        <v>8777.738</v>
      </c>
      <c r="N100" s="1786" t="str">
        <f t="shared" si="15"/>
        <v/>
      </c>
      <c r="O100" s="1786">
        <f t="shared" si="30"/>
        <v>0.1186127627</v>
      </c>
      <c r="P100" s="1785">
        <f t="shared" si="7"/>
        <v>-1218.262</v>
      </c>
      <c r="Q100" s="1786">
        <f t="shared" si="1"/>
        <v>-0.12187495</v>
      </c>
      <c r="R100" s="1785">
        <f t="shared" si="8"/>
        <v>-4685.072</v>
      </c>
      <c r="S100" s="1786">
        <f t="shared" si="2"/>
        <v>-0.3480010488</v>
      </c>
    </row>
    <row r="101" hidden="1" outlineLevel="1">
      <c r="A101" s="1783"/>
      <c r="B101" s="1783"/>
      <c r="C101" s="1783" t="s">
        <v>2862</v>
      </c>
      <c r="D101" s="1783" t="s">
        <v>2223</v>
      </c>
      <c r="E101" s="1783"/>
      <c r="F101" s="1784">
        <v>3.0</v>
      </c>
      <c r="G101" s="1785">
        <f>SUMIFS(BP_SOTIEN,BP_KM,$D101)/1000</f>
        <v>49992</v>
      </c>
      <c r="H101" s="1786">
        <f t="shared" si="13"/>
        <v>0.001388666667</v>
      </c>
      <c r="I101" s="1786"/>
      <c r="J101" s="1785">
        <f>IF(NOW()&gt;=DATE(YEAR(G$1),MONTH(G$1),DAY(G$1)),SUMIFS(TF_SOTIEN,TF_KM,$D101)/1000, M101)</f>
        <v>37494</v>
      </c>
      <c r="K101" s="1786">
        <f t="shared" si="14"/>
        <v>0.000293255329</v>
      </c>
      <c r="L101" s="1786"/>
      <c r="M101" s="1785">
        <f>IF(D101="","",VLOOKUP(D101,'P&amp;L'!$E$64:$IT$120,244,0))</f>
        <v>0</v>
      </c>
      <c r="N101" s="1786" t="str">
        <f t="shared" si="15"/>
        <v/>
      </c>
      <c r="O101" s="1786">
        <f t="shared" si="30"/>
        <v>0</v>
      </c>
      <c r="P101" s="1785">
        <f t="shared" si="7"/>
        <v>-49992</v>
      </c>
      <c r="Q101" s="1786">
        <f t="shared" si="1"/>
        <v>-1</v>
      </c>
      <c r="R101" s="1785">
        <f t="shared" si="8"/>
        <v>-37494</v>
      </c>
      <c r="S101" s="1786">
        <f t="shared" si="2"/>
        <v>-1</v>
      </c>
    </row>
    <row r="102" hidden="1" outlineLevel="1">
      <c r="A102" s="1783"/>
      <c r="B102" s="1783"/>
      <c r="C102" s="1783" t="s">
        <v>2863</v>
      </c>
      <c r="D102" s="1783" t="s">
        <v>272</v>
      </c>
      <c r="E102" s="1783"/>
      <c r="F102" s="1784">
        <v>3.0</v>
      </c>
      <c r="G102" s="1785">
        <f>SUMIFS(BP_SOTIEN,BP_KM,$D102)/1000</f>
        <v>79992</v>
      </c>
      <c r="H102" s="1786">
        <f t="shared" si="13"/>
        <v>0.002222</v>
      </c>
      <c r="I102" s="1786"/>
      <c r="J102" s="1785">
        <f>IF(NOW()&gt;=DATE(YEAR(G$1),MONTH(G$1),DAY(G$1)),SUMIFS(TF_SOTIEN,TF_KM,$D102)/1000, M102)</f>
        <v>71986</v>
      </c>
      <c r="K102" s="1786">
        <f t="shared" si="14"/>
        <v>0.0005630308347</v>
      </c>
      <c r="L102" s="1786"/>
      <c r="M102" s="1785">
        <f>IF(D102="","",VLOOKUP(D102,'P&amp;L'!$E$64:$IT$120,244,0))</f>
        <v>29338.518</v>
      </c>
      <c r="N102" s="1786" t="str">
        <f t="shared" si="15"/>
        <v/>
      </c>
      <c r="O102" s="1786">
        <f t="shared" si="30"/>
        <v>0.3964486836</v>
      </c>
      <c r="P102" s="1785">
        <f t="shared" si="7"/>
        <v>-50653.482</v>
      </c>
      <c r="Q102" s="1786">
        <f t="shared" si="1"/>
        <v>-0.6332318482</v>
      </c>
      <c r="R102" s="1785">
        <f t="shared" si="8"/>
        <v>-42647.482</v>
      </c>
      <c r="S102" s="1786">
        <f t="shared" si="2"/>
        <v>-0.5924413358</v>
      </c>
    </row>
    <row r="103" hidden="1" outlineLevel="1">
      <c r="A103" s="1783"/>
      <c r="B103" s="1783"/>
      <c r="C103" s="1783" t="s">
        <v>2864</v>
      </c>
      <c r="D103" s="1783" t="s">
        <v>219</v>
      </c>
      <c r="E103" s="1783"/>
      <c r="F103" s="1784">
        <v>3.0</v>
      </c>
      <c r="G103" s="1785">
        <f>SUMIFS(BP_SOTIEN,BP_KM,$D103)/1000</f>
        <v>0</v>
      </c>
      <c r="H103" s="1786">
        <f t="shared" si="13"/>
        <v>0</v>
      </c>
      <c r="I103" s="1786"/>
      <c r="J103" s="1785">
        <f>IF(NOW()&gt;=DATE(YEAR(G$1),MONTH(G$1),DAY(G$1)),SUMIFS(TF_SOTIEN,TF_KM,$D103)/1000, M103)</f>
        <v>5340</v>
      </c>
      <c r="K103" s="1786">
        <f t="shared" si="14"/>
        <v>0.00004176624145</v>
      </c>
      <c r="L103" s="1786"/>
      <c r="M103" s="1785">
        <f>IF(D103="","",VLOOKUP(D103,'P&amp;L'!$E$64:$IT$120,244,0))</f>
        <v>2709.998</v>
      </c>
      <c r="N103" s="1786" t="str">
        <f t="shared" si="15"/>
        <v/>
      </c>
      <c r="O103" s="1786">
        <f t="shared" si="30"/>
        <v>0.03661995264</v>
      </c>
      <c r="P103" s="1785">
        <f t="shared" si="7"/>
        <v>2709.998</v>
      </c>
      <c r="Q103" s="1786" t="str">
        <f t="shared" si="1"/>
        <v/>
      </c>
      <c r="R103" s="1785">
        <f t="shared" si="8"/>
        <v>-2630.002</v>
      </c>
      <c r="S103" s="1786">
        <f t="shared" si="2"/>
        <v>-0.4925097378</v>
      </c>
    </row>
    <row r="104" hidden="1" outlineLevel="1">
      <c r="A104" s="1783"/>
      <c r="B104" s="1783"/>
      <c r="C104" s="1783" t="s">
        <v>2865</v>
      </c>
      <c r="D104" s="1783" t="s">
        <v>222</v>
      </c>
      <c r="E104" s="1783"/>
      <c r="F104" s="1784">
        <v>3.0</v>
      </c>
      <c r="G104" s="1785">
        <f>SUMIFS(BP_SOTIEN,BP_KM,$D104)/1000</f>
        <v>4992</v>
      </c>
      <c r="H104" s="1786">
        <f t="shared" si="13"/>
        <v>0.0001386666667</v>
      </c>
      <c r="I104" s="1786"/>
      <c r="J104" s="1785">
        <f>IF(NOW()&gt;=DATE(YEAR(G$1),MONTH(G$1),DAY(G$1)),SUMIFS(TF_SOTIEN,TF_KM,$D104)/1000, M104)</f>
        <v>6777</v>
      </c>
      <c r="K104" s="1786">
        <f t="shared" si="14"/>
        <v>0.00005300558396</v>
      </c>
      <c r="L104" s="1786"/>
      <c r="M104" s="1785">
        <f>IF(D104="","",VLOOKUP(D104,'P&amp;L'!$E$64:$IT$120,244,0))</f>
        <v>3790.785</v>
      </c>
      <c r="N104" s="1786" t="str">
        <f t="shared" si="15"/>
        <v/>
      </c>
      <c r="O104" s="1786">
        <f t="shared" si="30"/>
        <v>0.05122452753</v>
      </c>
      <c r="P104" s="1785">
        <f t="shared" si="7"/>
        <v>-1201.215</v>
      </c>
      <c r="Q104" s="1786">
        <f t="shared" si="1"/>
        <v>-0.2406280048</v>
      </c>
      <c r="R104" s="1785">
        <f t="shared" si="8"/>
        <v>-2986.215</v>
      </c>
      <c r="S104" s="1786">
        <f t="shared" si="2"/>
        <v>-0.4406396636</v>
      </c>
    </row>
    <row r="105" hidden="1" outlineLevel="1">
      <c r="A105" s="1783"/>
      <c r="B105" s="1783"/>
      <c r="C105" s="1783" t="s">
        <v>2866</v>
      </c>
      <c r="D105" s="1783" t="s">
        <v>410</v>
      </c>
      <c r="E105" s="1783"/>
      <c r="F105" s="1784">
        <v>3.0</v>
      </c>
      <c r="G105" s="1785">
        <f>SUMIFS(BP_SOTIEN,BP_KM,$D105)/1000</f>
        <v>15000</v>
      </c>
      <c r="H105" s="1786">
        <f t="shared" si="13"/>
        <v>0.0004166666667</v>
      </c>
      <c r="I105" s="1786"/>
      <c r="J105" s="1785">
        <f>IF(NOW()&gt;=DATE(YEAR(G$1),MONTH(G$1),DAY(G$1)),SUMIFS(TF_SOTIEN,TF_KM,$D105)/1000, M105)</f>
        <v>15747</v>
      </c>
      <c r="K105" s="1786">
        <f t="shared" si="14"/>
        <v>0.0001231634839</v>
      </c>
      <c r="L105" s="1786"/>
      <c r="M105" s="1785">
        <f>IF(D105="","",VLOOKUP(D105,'P&amp;L'!$E$64:$IT$120,244,0))</f>
        <v>3646.911</v>
      </c>
      <c r="N105" s="1786" t="str">
        <f t="shared" si="15"/>
        <v/>
      </c>
      <c r="O105" s="1786">
        <f t="shared" si="30"/>
        <v>0.04928037146</v>
      </c>
      <c r="P105" s="1785">
        <f t="shared" si="7"/>
        <v>-11353.089</v>
      </c>
      <c r="Q105" s="1786">
        <f t="shared" si="1"/>
        <v>-0.7568726</v>
      </c>
      <c r="R105" s="1785">
        <f t="shared" si="8"/>
        <v>-12100.089</v>
      </c>
      <c r="S105" s="1786">
        <f t="shared" si="2"/>
        <v>-0.7684059821</v>
      </c>
    </row>
    <row r="106" hidden="1" outlineLevel="1">
      <c r="A106" s="1783"/>
      <c r="B106" s="1783"/>
      <c r="C106" s="1783" t="s">
        <v>2867</v>
      </c>
      <c r="D106" s="1783" t="s">
        <v>226</v>
      </c>
      <c r="E106" s="1783"/>
      <c r="F106" s="1784">
        <v>3.0</v>
      </c>
      <c r="G106" s="1785">
        <f>SUMIFS(BP_SOTIEN,BP_KM,$D106)/1000</f>
        <v>15000</v>
      </c>
      <c r="H106" s="1786">
        <f t="shared" si="13"/>
        <v>0.0004166666667</v>
      </c>
      <c r="I106" s="1786"/>
      <c r="J106" s="1785">
        <f>IF(NOW()&gt;=DATE(YEAR(G$1),MONTH(G$1),DAY(G$1)),SUMIFS(TF_SOTIEN,TF_KM,$D106)/1000, M106)</f>
        <v>12423</v>
      </c>
      <c r="K106" s="1786">
        <f t="shared" si="14"/>
        <v>0.00009716517183</v>
      </c>
      <c r="L106" s="1786"/>
      <c r="M106" s="1785">
        <f>IF(D106="","",VLOOKUP(D106,'P&amp;L'!$E$64:$IT$120,244,0))</f>
        <v>3927.91</v>
      </c>
      <c r="N106" s="1786" t="str">
        <f t="shared" si="15"/>
        <v/>
      </c>
      <c r="O106" s="1786">
        <f t="shared" si="30"/>
        <v>0.05307748499</v>
      </c>
      <c r="P106" s="1785">
        <f t="shared" si="7"/>
        <v>-11072.09</v>
      </c>
      <c r="Q106" s="1786">
        <f t="shared" si="1"/>
        <v>-0.7381393333</v>
      </c>
      <c r="R106" s="1785">
        <f t="shared" si="8"/>
        <v>-8495.09</v>
      </c>
      <c r="S106" s="1786">
        <f t="shared" si="2"/>
        <v>-0.6838195283</v>
      </c>
    </row>
    <row r="107" hidden="1" outlineLevel="1">
      <c r="A107" s="1783"/>
      <c r="B107" s="1783"/>
      <c r="C107" s="744" t="s">
        <v>2868</v>
      </c>
      <c r="D107" s="744" t="s">
        <v>206</v>
      </c>
      <c r="E107" s="1783"/>
      <c r="F107" s="1784">
        <v>3.0</v>
      </c>
      <c r="G107" s="1785">
        <f>SUMIFS(BP_SOTIEN,BP_KM,$D107)/1000</f>
        <v>20436</v>
      </c>
      <c r="H107" s="1786">
        <f t="shared" si="13"/>
        <v>0.0005676666667</v>
      </c>
      <c r="I107" s="1786"/>
      <c r="J107" s="1785">
        <f>IF(NOW()&gt;=DATE(YEAR(G$1),MONTH(G$1),DAY(G$1)),SUMIFS(TF_SOTIEN,TF_KM,$D107)/1000, M107)</f>
        <v>19699</v>
      </c>
      <c r="K107" s="1786">
        <f t="shared" si="14"/>
        <v>0.0001540736312</v>
      </c>
      <c r="L107" s="1786"/>
      <c r="M107" s="1785">
        <f>IF(D107="","",VLOOKUP(D107,'P&amp;L'!$E$64:$IT$120,244,0))</f>
        <v>6609.608</v>
      </c>
      <c r="N107" s="1786" t="str">
        <f t="shared" si="15"/>
        <v/>
      </c>
      <c r="O107" s="1786">
        <f t="shared" si="30"/>
        <v>0.08931502233</v>
      </c>
      <c r="P107" s="1785">
        <f t="shared" si="7"/>
        <v>-13826.392</v>
      </c>
      <c r="Q107" s="1786">
        <f t="shared" si="1"/>
        <v>-0.676570366</v>
      </c>
      <c r="R107" s="1785">
        <f t="shared" si="8"/>
        <v>-13089.392</v>
      </c>
      <c r="S107" s="1786">
        <f t="shared" si="2"/>
        <v>-0.6644698716</v>
      </c>
    </row>
    <row r="108" hidden="1" outlineLevel="1">
      <c r="A108" s="1783"/>
      <c r="B108" s="1783"/>
      <c r="C108" s="1148" t="s">
        <v>2869</v>
      </c>
      <c r="D108" s="1148" t="s">
        <v>377</v>
      </c>
      <c r="E108" s="1783"/>
      <c r="F108" s="1784">
        <v>3.0</v>
      </c>
      <c r="G108" s="1785">
        <f>SUMIFS(BP_SOTIEN,BP_KM,$D108)/1000</f>
        <v>0</v>
      </c>
      <c r="H108" s="1786">
        <f t="shared" si="13"/>
        <v>0</v>
      </c>
      <c r="I108" s="1786"/>
      <c r="J108" s="1785">
        <f>IF(NOW()&gt;=DATE(YEAR(G$1),MONTH(G$1),DAY(G$1)),SUMIFS(TF_SOTIEN,TF_KM,$D108)/1000, M108)</f>
        <v>1260</v>
      </c>
      <c r="K108" s="1786">
        <f t="shared" si="14"/>
        <v>0.000009854955849</v>
      </c>
      <c r="L108" s="1786"/>
      <c r="M108" s="1785">
        <f>IF(D108="","",VLOOKUP(D108,'P&amp;L'!$E$64:$IT$120,244,0))</f>
        <v>4440.1</v>
      </c>
      <c r="N108" s="1786" t="str">
        <f t="shared" si="15"/>
        <v/>
      </c>
      <c r="O108" s="1786">
        <f t="shared" si="30"/>
        <v>0.05999866114</v>
      </c>
      <c r="P108" s="1785">
        <f t="shared" si="7"/>
        <v>4440.1</v>
      </c>
      <c r="Q108" s="1786" t="str">
        <f t="shared" si="1"/>
        <v/>
      </c>
      <c r="R108" s="1785">
        <f t="shared" si="8"/>
        <v>3180.1</v>
      </c>
      <c r="S108" s="1786">
        <f t="shared" si="2"/>
        <v>2.523888889</v>
      </c>
    </row>
    <row r="109" hidden="1" outlineLevel="1">
      <c r="A109" s="1783"/>
      <c r="B109" s="1783"/>
      <c r="C109" s="1783" t="s">
        <v>2870</v>
      </c>
      <c r="D109" s="1783" t="s">
        <v>307</v>
      </c>
      <c r="E109" s="1783"/>
      <c r="F109" s="1784">
        <v>3.0</v>
      </c>
      <c r="G109" s="1785">
        <f>SUMIFS(BP_SOTIEN,BP_KM,$D109)/1000</f>
        <v>3000</v>
      </c>
      <c r="H109" s="1786">
        <f t="shared" si="13"/>
        <v>0.00008333333333</v>
      </c>
      <c r="I109" s="1786"/>
      <c r="J109" s="1785">
        <f>IF(NOW()&gt;=DATE(YEAR(G$1),MONTH(G$1),DAY(G$1)),SUMIFS(TF_SOTIEN,TF_KM,$D109)/1000, M109)</f>
        <v>3000</v>
      </c>
      <c r="K109" s="1786">
        <f t="shared" si="14"/>
        <v>0.00002346418059</v>
      </c>
      <c r="L109" s="1786"/>
      <c r="M109" s="1785">
        <f>IF(D109="","",VLOOKUP(D109,'P&amp;L'!$E$64:$IT$120,244,0))</f>
        <v>2000</v>
      </c>
      <c r="N109" s="1786" t="str">
        <f t="shared" si="15"/>
        <v/>
      </c>
      <c r="O109" s="1786">
        <f t="shared" si="30"/>
        <v>0.02702581525</v>
      </c>
      <c r="P109" s="1785">
        <f t="shared" si="7"/>
        <v>-1000</v>
      </c>
      <c r="Q109" s="1786">
        <f t="shared" si="1"/>
        <v>-0.3333333333</v>
      </c>
      <c r="R109" s="1785">
        <f t="shared" si="8"/>
        <v>-1000</v>
      </c>
      <c r="S109" s="1786">
        <f t="shared" si="2"/>
        <v>-0.3333333333</v>
      </c>
    </row>
    <row r="110" hidden="1" outlineLevel="1">
      <c r="A110" s="1783"/>
      <c r="B110" s="1783"/>
      <c r="C110" s="1783"/>
      <c r="D110" s="1783"/>
      <c r="E110" s="1783"/>
      <c r="F110" s="1784">
        <v>3.0</v>
      </c>
      <c r="G110" s="1785">
        <f>SUMIFS(BP_SOTIEN,BP_KM,$D110)/1000</f>
        <v>0</v>
      </c>
      <c r="H110" s="1786">
        <f t="shared" si="13"/>
        <v>0</v>
      </c>
      <c r="I110" s="1786"/>
      <c r="J110" s="1785">
        <f>IF(NOW()&gt;=DATE(YEAR(G$1),MONTH(G$1),DAY(G$1)),SUMIFS(TF_SOTIEN,TF_KM,$D110)/1000, M110)</f>
        <v>0</v>
      </c>
      <c r="K110" s="1786">
        <f t="shared" si="14"/>
        <v>0</v>
      </c>
      <c r="L110" s="1786"/>
      <c r="M110" s="1785" t="str">
        <f>IF(D110="","",VLOOKUP(D110,'P&amp;L'!$E$64:$IT$120,244,0))</f>
        <v/>
      </c>
      <c r="N110" s="1786" t="str">
        <f t="shared" si="15"/>
        <v/>
      </c>
      <c r="O110" s="1786">
        <f t="shared" si="30"/>
        <v>0</v>
      </c>
      <c r="P110" s="1785">
        <f t="shared" si="7"/>
        <v>0</v>
      </c>
      <c r="Q110" s="1786" t="str">
        <f t="shared" si="1"/>
        <v/>
      </c>
      <c r="R110" s="1785">
        <f t="shared" si="8"/>
        <v>0</v>
      </c>
      <c r="S110" s="1786" t="str">
        <f t="shared" si="2"/>
        <v/>
      </c>
    </row>
    <row r="111" hidden="1" outlineLevel="1">
      <c r="A111" s="1777"/>
      <c r="B111" s="1777"/>
      <c r="C111" s="1777" t="s">
        <v>2871</v>
      </c>
      <c r="D111" s="1777" t="s">
        <v>2872</v>
      </c>
      <c r="E111" s="1778">
        <v>642.0</v>
      </c>
      <c r="F111" s="1778">
        <v>2.0</v>
      </c>
      <c r="G111" s="1779">
        <f>SUMIFS(BP_SOTIEN,BP_KM,$D111)/1000</f>
        <v>0</v>
      </c>
      <c r="H111" s="1780">
        <f t="shared" si="13"/>
        <v>0</v>
      </c>
      <c r="I111" s="1780"/>
      <c r="J111" s="1779">
        <f>IF(NOW()&gt;=DATE(YEAR(G$1),MONTH(G$1),DAY(G$1)),SUMIFS(TF_SOTIEN,TF_KM,$D111)/1000, M111)</f>
        <v>0</v>
      </c>
      <c r="K111" s="1780">
        <f t="shared" si="14"/>
        <v>0</v>
      </c>
      <c r="L111" s="1780"/>
      <c r="M111" s="1779">
        <f>IF(D111="","",VLOOKUP(D111,'P&amp;L'!$E$64:$IT$120,244,0))</f>
        <v>0</v>
      </c>
      <c r="N111" s="1780" t="str">
        <f t="shared" si="15"/>
        <v/>
      </c>
      <c r="O111" s="1780">
        <f t="shared" ref="O111:O112" si="31">IFERROR(M111/M$84,"")</f>
        <v>0</v>
      </c>
      <c r="P111" s="1779">
        <f t="shared" si="7"/>
        <v>0</v>
      </c>
      <c r="Q111" s="1780" t="str">
        <f t="shared" si="1"/>
        <v/>
      </c>
      <c r="R111" s="1779">
        <f t="shared" si="8"/>
        <v>0</v>
      </c>
      <c r="S111" s="1780" t="str">
        <f t="shared" si="2"/>
        <v/>
      </c>
    </row>
    <row r="112" hidden="1" outlineLevel="1">
      <c r="A112" s="1777"/>
      <c r="B112" s="1777"/>
      <c r="C112" s="1777" t="s">
        <v>2873</v>
      </c>
      <c r="D112" s="1777" t="s">
        <v>382</v>
      </c>
      <c r="E112" s="1778">
        <v>642.0</v>
      </c>
      <c r="F112" s="1778">
        <v>2.0</v>
      </c>
      <c r="G112" s="1779">
        <f>SUMIFS(BP_SOTIEN,BP_KM,$D112)/1000</f>
        <v>16660</v>
      </c>
      <c r="H112" s="1780">
        <f t="shared" si="13"/>
        <v>0.0004627777778</v>
      </c>
      <c r="I112" s="1780"/>
      <c r="J112" s="1779">
        <f>IF(NOW()&gt;=DATE(YEAR(G$1),MONTH(G$1),DAY(G$1)),SUMIFS(TF_SOTIEN,TF_KM,$D112)/1000, M112)</f>
        <v>4165</v>
      </c>
      <c r="K112" s="1780">
        <f t="shared" si="14"/>
        <v>0.00003257610405</v>
      </c>
      <c r="L112" s="1780"/>
      <c r="M112" s="1779">
        <f>IF(D112="","",VLOOKUP(D112,'P&amp;L'!$E$64:$IT$120,244,0))</f>
        <v>14331.678</v>
      </c>
      <c r="N112" s="1780" t="str">
        <f t="shared" si="15"/>
        <v/>
      </c>
      <c r="O112" s="1780">
        <f t="shared" si="31"/>
        <v>0.01548141422</v>
      </c>
      <c r="P112" s="1779">
        <f t="shared" si="7"/>
        <v>-2328.322</v>
      </c>
      <c r="Q112" s="1780">
        <f t="shared" si="1"/>
        <v>-0.1397552221</v>
      </c>
      <c r="R112" s="1779">
        <f t="shared" si="8"/>
        <v>10166.678</v>
      </c>
      <c r="S112" s="1780">
        <f t="shared" si="2"/>
        <v>2.440979112</v>
      </c>
    </row>
    <row r="113">
      <c r="A113" s="1762" t="s">
        <v>2874</v>
      </c>
      <c r="B113" s="1763"/>
      <c r="C113" s="1763"/>
      <c r="D113" s="1763"/>
      <c r="E113" s="1763"/>
      <c r="F113" s="1763"/>
      <c r="G113" s="1764">
        <f>G84+G66+G65</f>
        <v>74263048</v>
      </c>
      <c r="H113" s="1765">
        <f t="shared" si="13"/>
        <v>2.062862444</v>
      </c>
      <c r="I113" s="3"/>
      <c r="J113" s="1764">
        <f>J84+J66+J65</f>
        <v>58059208.86</v>
      </c>
      <c r="K113" s="1765">
        <f t="shared" si="14"/>
        <v>0.4541039206</v>
      </c>
      <c r="L113" s="3"/>
      <c r="M113" s="1764">
        <f>M84+M66+M65</f>
        <v>4124665.995</v>
      </c>
      <c r="N113" s="1765" t="str">
        <f t="shared" si="15"/>
        <v/>
      </c>
      <c r="O113" s="3"/>
      <c r="P113" s="1766">
        <f t="shared" si="7"/>
        <v>-70138382.01</v>
      </c>
      <c r="Q113" s="1776">
        <f t="shared" si="1"/>
        <v>-0.9444587031</v>
      </c>
      <c r="R113" s="1766">
        <f t="shared" si="8"/>
        <v>-53934542.87</v>
      </c>
      <c r="S113" s="1776">
        <f t="shared" si="2"/>
        <v>-0.9289575922</v>
      </c>
    </row>
    <row r="114">
      <c r="A114" s="1155" t="s">
        <v>2875</v>
      </c>
      <c r="B114" s="1156"/>
      <c r="C114" s="1156"/>
      <c r="D114" s="1156"/>
      <c r="E114" s="1156"/>
      <c r="F114" s="1157">
        <v>1.0</v>
      </c>
      <c r="G114" s="1158">
        <f>G49+G64-G113</f>
        <v>-38263048</v>
      </c>
      <c r="H114" s="1159">
        <f t="shared" si="13"/>
        <v>-1.062862444</v>
      </c>
      <c r="I114" s="3"/>
      <c r="J114" s="1160">
        <f>J49+J64-J113</f>
        <v>69795245.22</v>
      </c>
      <c r="K114" s="1159">
        <f t="shared" si="14"/>
        <v>0.5458960794</v>
      </c>
      <c r="L114" s="3"/>
      <c r="M114" s="1160" t="str">
        <f>M49+M64-M113</f>
        <v>#N/A</v>
      </c>
      <c r="N114" s="1159" t="str">
        <f t="shared" si="15"/>
        <v/>
      </c>
      <c r="O114" s="3"/>
      <c r="P114" s="1161" t="str">
        <f t="shared" si="7"/>
        <v>#N/A</v>
      </c>
      <c r="Q114" s="1162" t="str">
        <f t="shared" si="1"/>
        <v/>
      </c>
      <c r="R114" s="1161" t="str">
        <f t="shared" si="8"/>
        <v>#N/A</v>
      </c>
      <c r="S114" s="1162" t="str">
        <f t="shared" si="2"/>
        <v/>
      </c>
    </row>
    <row r="115">
      <c r="A115" s="1769"/>
      <c r="B115" s="1769"/>
      <c r="C115" s="1769" t="s">
        <v>2876</v>
      </c>
      <c r="D115" s="1769" t="s">
        <v>2877</v>
      </c>
      <c r="E115" s="1770">
        <v>711.0</v>
      </c>
      <c r="F115" s="1770">
        <v>2.0</v>
      </c>
      <c r="G115" s="1771">
        <f>SUMIFS(BP_SOTIEN,BP_KM,$D115)/1000</f>
        <v>0</v>
      </c>
      <c r="H115" s="1772">
        <f t="shared" si="13"/>
        <v>0</v>
      </c>
      <c r="I115" s="3"/>
      <c r="J115" s="1773">
        <f>IF(NOW()&gt;=DATE(YEAR(G$1),MONTH(G$1),DAY(G$1)),SUMIFS(TF_SOTIEN,TF_KM,$D115)/1000, M115)</f>
        <v>0</v>
      </c>
      <c r="K115" s="1772">
        <f t="shared" si="14"/>
        <v>0</v>
      </c>
      <c r="L115" s="3"/>
      <c r="M115" s="1773">
        <f>IF(D115="","",VLOOKUP(D115,'P&amp;L'!$E$64:$IT$120,244,0))</f>
        <v>0</v>
      </c>
      <c r="N115" s="1772" t="str">
        <f t="shared" si="15"/>
        <v/>
      </c>
      <c r="O115" s="3"/>
      <c r="P115" s="1788">
        <f t="shared" si="7"/>
        <v>0</v>
      </c>
      <c r="Q115" s="1774" t="str">
        <f t="shared" si="1"/>
        <v/>
      </c>
      <c r="R115" s="1788">
        <f t="shared" si="8"/>
        <v>0</v>
      </c>
      <c r="S115" s="1774" t="str">
        <f t="shared" si="2"/>
        <v/>
      </c>
    </row>
    <row r="116">
      <c r="A116" s="1789"/>
      <c r="B116" s="1789"/>
      <c r="C116" s="1789" t="s">
        <v>2090</v>
      </c>
      <c r="D116" s="1789" t="s">
        <v>380</v>
      </c>
      <c r="E116" s="1790">
        <v>811.0</v>
      </c>
      <c r="F116" s="1790">
        <v>2.0</v>
      </c>
      <c r="G116" s="1791">
        <f>SUMIFS(BP_SOTIEN,BP_KM,$D116)/1000</f>
        <v>33320</v>
      </c>
      <c r="H116" s="1792">
        <f t="shared" si="13"/>
        <v>0.0009255555556</v>
      </c>
      <c r="I116" s="3"/>
      <c r="J116" s="1793">
        <f>IF(NOW()&gt;=DATE(YEAR(G$1),MONTH(G$1),DAY(G$1)),SUMIFS(TF_SOTIEN,TF_KM,$D116)/1000, M116)</f>
        <v>34830.8</v>
      </c>
      <c r="K116" s="1792">
        <f t="shared" si="14"/>
        <v>0.0002724253938</v>
      </c>
      <c r="L116" s="3"/>
      <c r="M116" s="1793">
        <f>IF(D116="","",VLOOKUP(D116,'P&amp;L'!$E$64:$IT$120,244,0))</f>
        <v>160.001</v>
      </c>
      <c r="N116" s="1792" t="str">
        <f t="shared" si="15"/>
        <v/>
      </c>
      <c r="O116" s="3"/>
      <c r="P116" s="1794">
        <f t="shared" si="7"/>
        <v>-33159.999</v>
      </c>
      <c r="Q116" s="1795">
        <f t="shared" si="1"/>
        <v>-0.9951980492</v>
      </c>
      <c r="R116" s="1794">
        <f t="shared" si="8"/>
        <v>-34670.799</v>
      </c>
      <c r="S116" s="1796">
        <f t="shared" si="2"/>
        <v>-0.9954063358</v>
      </c>
    </row>
    <row r="117">
      <c r="A117" s="1156"/>
      <c r="B117" s="1156"/>
      <c r="C117" s="1156" t="s">
        <v>2878</v>
      </c>
      <c r="D117" s="1156"/>
      <c r="E117" s="1156"/>
      <c r="F117" s="1156"/>
      <c r="G117" s="1158">
        <f>G115-G116</f>
        <v>-33320</v>
      </c>
      <c r="H117" s="1159">
        <f t="shared" si="13"/>
        <v>-0.0009255555556</v>
      </c>
      <c r="I117" s="3"/>
      <c r="J117" s="1160">
        <f>J115-J116</f>
        <v>-34830.8</v>
      </c>
      <c r="K117" s="1159">
        <f t="shared" si="14"/>
        <v>-0.0002724253938</v>
      </c>
      <c r="L117" s="3"/>
      <c r="M117" s="1160">
        <f>M115-M116</f>
        <v>-160.001</v>
      </c>
      <c r="N117" s="1159" t="str">
        <f t="shared" si="15"/>
        <v/>
      </c>
      <c r="O117" s="3"/>
      <c r="P117" s="1161">
        <f t="shared" si="7"/>
        <v>33159.999</v>
      </c>
      <c r="Q117" s="1164">
        <f t="shared" si="1"/>
        <v>-0.9951980492</v>
      </c>
      <c r="R117" s="1161">
        <f t="shared" si="8"/>
        <v>34670.799</v>
      </c>
      <c r="S117" s="1162">
        <f t="shared" si="2"/>
        <v>-0.9954063358</v>
      </c>
    </row>
    <row r="118">
      <c r="A118" s="1155" t="s">
        <v>2879</v>
      </c>
      <c r="B118" s="1156"/>
      <c r="C118" s="1156"/>
      <c r="D118" s="1156"/>
      <c r="E118" s="1156"/>
      <c r="F118" s="1156"/>
      <c r="G118" s="1158">
        <f>G114+G117</f>
        <v>-38296368</v>
      </c>
      <c r="H118" s="1159">
        <f t="shared" si="13"/>
        <v>-1.063788</v>
      </c>
      <c r="I118" s="3"/>
      <c r="J118" s="1160">
        <f>J114+J117</f>
        <v>69760414.42</v>
      </c>
      <c r="K118" s="1159">
        <f t="shared" si="14"/>
        <v>0.545623654</v>
      </c>
      <c r="L118" s="3"/>
      <c r="M118" s="1160" t="str">
        <f>M114+M117</f>
        <v>#N/A</v>
      </c>
      <c r="N118" s="1159" t="str">
        <f t="shared" si="15"/>
        <v/>
      </c>
      <c r="O118" s="3"/>
      <c r="P118" s="1161" t="str">
        <f t="shared" si="7"/>
        <v>#N/A</v>
      </c>
      <c r="Q118" s="1162" t="str">
        <f t="shared" si="1"/>
        <v/>
      </c>
      <c r="R118" s="1161" t="str">
        <f t="shared" si="8"/>
        <v>#N/A</v>
      </c>
      <c r="S118" s="1162" t="str">
        <f t="shared" si="2"/>
        <v/>
      </c>
    </row>
    <row r="119">
      <c r="A119" s="1797" t="s">
        <v>3950</v>
      </c>
      <c r="B119" s="1789"/>
      <c r="C119" s="1789"/>
      <c r="D119" s="1789" t="s">
        <v>2881</v>
      </c>
      <c r="E119" s="1789"/>
      <c r="F119" s="1790">
        <v>1.0</v>
      </c>
      <c r="G119" s="1791">
        <f>G118*0.14</f>
        <v>-5361491.52</v>
      </c>
      <c r="H119" s="1792">
        <f t="shared" si="13"/>
        <v>-0.14893032</v>
      </c>
      <c r="I119" s="3"/>
      <c r="J119" s="1793">
        <f>J118*0.14</f>
        <v>9766458.019</v>
      </c>
      <c r="K119" s="1792">
        <f t="shared" si="14"/>
        <v>0.07638731156</v>
      </c>
      <c r="L119" s="3"/>
      <c r="M119" s="1793" t="str">
        <f>M118*0.14</f>
        <v>#N/A</v>
      </c>
      <c r="N119" s="1792" t="str">
        <f t="shared" si="15"/>
        <v/>
      </c>
      <c r="O119" s="3"/>
      <c r="P119" s="1794" t="str">
        <f t="shared" si="7"/>
        <v>#N/A</v>
      </c>
      <c r="Q119" s="1796" t="str">
        <f t="shared" si="1"/>
        <v/>
      </c>
      <c r="R119" s="1794" t="str">
        <f t="shared" si="8"/>
        <v>#N/A</v>
      </c>
      <c r="S119" s="1795" t="str">
        <f t="shared" si="2"/>
        <v/>
      </c>
    </row>
    <row r="120">
      <c r="A120" s="1798" t="s">
        <v>2882</v>
      </c>
      <c r="B120" s="1799"/>
      <c r="C120" s="1799"/>
      <c r="D120" s="1799"/>
      <c r="E120" s="1799"/>
      <c r="F120" s="1799"/>
      <c r="G120" s="1800">
        <f>G118-G119</f>
        <v>-32934876.48</v>
      </c>
      <c r="H120" s="1801">
        <f t="shared" si="13"/>
        <v>-0.91485768</v>
      </c>
      <c r="I120" s="235"/>
      <c r="J120" s="1802">
        <f>J118-J119</f>
        <v>59993956.4</v>
      </c>
      <c r="K120" s="1801">
        <f t="shared" si="14"/>
        <v>0.4692363425</v>
      </c>
      <c r="L120" s="235"/>
      <c r="M120" s="1802" t="str">
        <f>M118-M119</f>
        <v>#N/A</v>
      </c>
      <c r="N120" s="1801" t="str">
        <f t="shared" si="15"/>
        <v/>
      </c>
      <c r="O120" s="235"/>
      <c r="P120" s="1803" t="str">
        <f t="shared" si="7"/>
        <v>#N/A</v>
      </c>
      <c r="Q120" s="1804" t="str">
        <f t="shared" si="1"/>
        <v/>
      </c>
      <c r="R120" s="1803" t="str">
        <f t="shared" si="8"/>
        <v>#N/A</v>
      </c>
      <c r="S120" s="1804" t="str">
        <f t="shared" si="2"/>
        <v/>
      </c>
    </row>
    <row r="121" outlineLevel="1">
      <c r="A121" s="1777"/>
      <c r="B121" s="1777"/>
      <c r="C121" s="1777" t="s">
        <v>2091</v>
      </c>
      <c r="D121" s="1777" t="s">
        <v>203</v>
      </c>
      <c r="E121" s="1777"/>
      <c r="F121" s="1778">
        <v>2.0</v>
      </c>
      <c r="G121" s="1779">
        <f>SUMIFS(BP_SOTIEN,BP_KM,$D121)/1000</f>
        <v>0</v>
      </c>
      <c r="H121" s="1786">
        <f t="shared" si="13"/>
        <v>0</v>
      </c>
      <c r="I121" s="1786"/>
      <c r="J121" s="1779">
        <f>IF(NOW()&gt;=DATE(YEAR(G$1),MONTH(G$1),DAY(G$1)),SUMIFS(TF_SOTIEN,TF_KM,$D121)/1000, M121)</f>
        <v>0</v>
      </c>
      <c r="K121" s="1786">
        <f t="shared" si="14"/>
        <v>0</v>
      </c>
      <c r="L121" s="1786"/>
      <c r="M121" s="1779">
        <f>IF(D121="","",VLOOKUP(D121,'P&amp;L'!$E$64:$IT$120,244,0))</f>
        <v>47276.3</v>
      </c>
      <c r="N121" s="1786" t="str">
        <f t="shared" si="15"/>
        <v/>
      </c>
      <c r="O121" s="1786">
        <f>IFERROR(M121/M$66,"")</f>
        <v>0.01477877813</v>
      </c>
      <c r="P121" s="1779">
        <f t="shared" si="7"/>
        <v>47276.3</v>
      </c>
      <c r="Q121" s="1786" t="str">
        <f t="shared" si="1"/>
        <v/>
      </c>
      <c r="R121" s="1779">
        <f t="shared" si="8"/>
        <v>47276.3</v>
      </c>
      <c r="S121" s="1786" t="str">
        <f t="shared" si="2"/>
        <v/>
      </c>
    </row>
    <row r="122">
      <c r="A122" s="1805"/>
      <c r="B122" s="1806"/>
      <c r="C122" s="1806"/>
      <c r="D122" s="1806"/>
      <c r="E122" s="1806"/>
      <c r="F122" s="1806"/>
      <c r="G122" s="1807"/>
      <c r="H122" s="1808"/>
      <c r="I122" s="1808"/>
      <c r="J122" s="1809"/>
      <c r="K122" s="1808"/>
      <c r="L122" s="1808"/>
      <c r="M122" s="1809"/>
      <c r="N122" s="1808"/>
      <c r="O122" s="1808"/>
      <c r="P122" s="1810"/>
      <c r="Q122" s="1811"/>
      <c r="R122" s="1810"/>
      <c r="S122" s="1811"/>
    </row>
    <row r="123">
      <c r="A123" s="1805"/>
      <c r="B123" s="1806"/>
      <c r="C123" s="1806"/>
      <c r="D123" s="1806"/>
      <c r="E123" s="1806"/>
      <c r="F123" s="1806"/>
      <c r="G123" s="1807"/>
      <c r="H123" s="1808"/>
      <c r="I123" s="1808"/>
      <c r="J123" s="1809"/>
      <c r="K123" s="1808"/>
      <c r="L123" s="1808"/>
      <c r="M123" s="1809"/>
      <c r="N123" s="1808"/>
      <c r="O123" s="1808"/>
      <c r="P123" s="1810"/>
      <c r="Q123" s="1811"/>
      <c r="R123" s="1810"/>
      <c r="S123" s="1811"/>
    </row>
    <row r="124">
      <c r="A124" s="1805"/>
      <c r="B124" s="1806"/>
      <c r="C124" s="1806"/>
      <c r="D124" s="1806"/>
      <c r="E124" s="1806"/>
      <c r="F124" s="1806"/>
      <c r="G124" s="1812" t="s">
        <v>2813</v>
      </c>
      <c r="H124" s="1813" t="s">
        <v>2814</v>
      </c>
      <c r="I124" s="1813" t="s">
        <v>2815</v>
      </c>
      <c r="J124" s="1809"/>
      <c r="K124" s="1808"/>
      <c r="L124" s="1808"/>
      <c r="M124" s="1809"/>
      <c r="N124" s="1808"/>
      <c r="O124" s="1808"/>
      <c r="P124" s="1810"/>
      <c r="Q124" s="1811"/>
      <c r="R124" s="1810"/>
      <c r="S124" s="1811"/>
    </row>
    <row r="125">
      <c r="A125" s="1805"/>
      <c r="B125" s="1806"/>
      <c r="C125" s="1756" t="s">
        <v>2818</v>
      </c>
      <c r="D125" s="1806"/>
      <c r="E125" s="1806"/>
      <c r="F125" s="1806"/>
      <c r="G125" s="1807">
        <f>G4</f>
        <v>300000000</v>
      </c>
      <c r="H125" s="1807">
        <f>J4</f>
        <v>1102984784</v>
      </c>
      <c r="I125" s="1807" t="str">
        <f>M4</f>
        <v>#N/A</v>
      </c>
      <c r="J125" s="1809"/>
      <c r="K125" s="1808"/>
      <c r="L125" s="1808"/>
      <c r="M125" s="1809"/>
      <c r="N125" s="1808"/>
      <c r="O125" s="1808"/>
      <c r="P125" s="1810"/>
      <c r="Q125" s="1811"/>
      <c r="R125" s="1810"/>
      <c r="S125" s="1811"/>
    </row>
    <row r="126">
      <c r="A126" s="1805"/>
      <c r="B126" s="1806"/>
      <c r="C126" s="1814" t="s">
        <v>3951</v>
      </c>
      <c r="D126" s="1806"/>
      <c r="E126" s="1806"/>
      <c r="F126" s="1806"/>
      <c r="G126" s="1815">
        <v>1.0</v>
      </c>
      <c r="H126" s="1808">
        <f t="shared" ref="H126:I126" si="32">H125/$G$125</f>
        <v>3.676615947</v>
      </c>
      <c r="I126" s="1808" t="str">
        <f t="shared" si="32"/>
        <v>#N/A</v>
      </c>
      <c r="J126" s="1809"/>
      <c r="K126" s="1808"/>
      <c r="L126" s="1808"/>
      <c r="M126" s="1809"/>
      <c r="N126" s="1808"/>
      <c r="O126" s="1808"/>
      <c r="P126" s="1810"/>
      <c r="Q126" s="1811"/>
      <c r="R126" s="1810"/>
      <c r="S126" s="1811"/>
    </row>
    <row r="127">
      <c r="A127" s="1805"/>
      <c r="B127" s="1806"/>
      <c r="C127" s="1806"/>
      <c r="D127" s="1806"/>
      <c r="E127" s="1806"/>
      <c r="F127" s="1806"/>
      <c r="G127" s="1807"/>
      <c r="H127" s="1808"/>
      <c r="I127" s="1808"/>
      <c r="J127" s="1809"/>
      <c r="K127" s="1808"/>
      <c r="L127" s="1808"/>
      <c r="M127" s="1809"/>
      <c r="N127" s="1808"/>
      <c r="O127" s="1808"/>
      <c r="P127" s="1810"/>
      <c r="Q127" s="1811"/>
      <c r="R127" s="1810"/>
      <c r="S127" s="1811"/>
    </row>
    <row r="128">
      <c r="A128" s="1805"/>
      <c r="B128" s="1806"/>
      <c r="C128" s="1806"/>
      <c r="D128" s="1806"/>
      <c r="E128" s="1806"/>
      <c r="F128" s="1806"/>
      <c r="G128" s="1807"/>
      <c r="H128" s="1808"/>
      <c r="I128" s="1808"/>
      <c r="J128" s="1809"/>
      <c r="K128" s="1808"/>
      <c r="L128" s="1808"/>
      <c r="M128" s="1809"/>
      <c r="N128" s="1808"/>
      <c r="O128" s="1808"/>
      <c r="P128" s="1810"/>
      <c r="Q128" s="1811"/>
      <c r="R128" s="1810"/>
      <c r="S128" s="1811"/>
    </row>
    <row r="129">
      <c r="A129" s="1805"/>
      <c r="B129" s="1806"/>
      <c r="C129" s="1806"/>
      <c r="D129" s="1806"/>
      <c r="E129" s="1806"/>
      <c r="F129" s="1806"/>
      <c r="G129" s="1807"/>
      <c r="H129" s="1808"/>
      <c r="I129" s="1808"/>
      <c r="J129" s="1809"/>
      <c r="K129" s="1808"/>
      <c r="L129" s="1808"/>
      <c r="M129" s="1809"/>
      <c r="N129" s="1808"/>
      <c r="O129" s="1808"/>
      <c r="P129" s="1810"/>
      <c r="Q129" s="1811"/>
      <c r="R129" s="1810"/>
      <c r="S129" s="1811"/>
    </row>
    <row r="130">
      <c r="A130" s="1805"/>
      <c r="B130" s="1806"/>
      <c r="C130" s="1806"/>
      <c r="D130" s="1806"/>
      <c r="E130" s="1806"/>
      <c r="F130" s="1806"/>
      <c r="G130" s="1807"/>
      <c r="H130" s="1808"/>
      <c r="I130" s="1808"/>
      <c r="J130" s="1809"/>
      <c r="K130" s="1808"/>
      <c r="L130" s="1808"/>
      <c r="M130" s="1809"/>
      <c r="N130" s="1808"/>
      <c r="O130" s="1808"/>
      <c r="P130" s="1810"/>
      <c r="Q130" s="1811"/>
      <c r="R130" s="1810"/>
      <c r="S130" s="1811"/>
    </row>
    <row r="131">
      <c r="A131" s="1805"/>
      <c r="B131" s="1806"/>
      <c r="C131" s="1806"/>
      <c r="D131" s="1806"/>
      <c r="E131" s="1806"/>
      <c r="F131" s="1806"/>
      <c r="G131" s="1807"/>
      <c r="H131" s="1808"/>
      <c r="I131" s="1808"/>
      <c r="J131" s="1809"/>
      <c r="K131" s="1808"/>
      <c r="L131" s="1808"/>
      <c r="M131" s="1809"/>
      <c r="N131" s="1808"/>
      <c r="O131" s="1808"/>
      <c r="P131" s="1810"/>
      <c r="Q131" s="1811"/>
      <c r="R131" s="1810"/>
      <c r="S131" s="1811"/>
    </row>
    <row r="132">
      <c r="A132" s="1805"/>
      <c r="B132" s="1806"/>
      <c r="C132" s="1806"/>
      <c r="D132" s="1806"/>
      <c r="E132" s="1806"/>
      <c r="F132" s="1806"/>
      <c r="G132" s="1807"/>
      <c r="H132" s="1808"/>
      <c r="I132" s="1808"/>
      <c r="J132" s="1809"/>
      <c r="K132" s="1808"/>
      <c r="L132" s="1808"/>
      <c r="M132" s="1809"/>
      <c r="N132" s="1808"/>
      <c r="O132" s="1808"/>
      <c r="P132" s="1810"/>
      <c r="Q132" s="1811"/>
      <c r="R132" s="1810"/>
      <c r="S132" s="1811"/>
    </row>
    <row r="133">
      <c r="A133" s="1805"/>
      <c r="B133" s="1806"/>
      <c r="C133" s="1806"/>
      <c r="D133" s="1806"/>
      <c r="E133" s="1806"/>
      <c r="F133" s="1806"/>
      <c r="G133" s="1807"/>
      <c r="H133" s="1808"/>
      <c r="I133" s="1808"/>
      <c r="J133" s="1809"/>
      <c r="K133" s="1808"/>
      <c r="L133" s="1808"/>
      <c r="M133" s="1809"/>
      <c r="N133" s="1808"/>
      <c r="O133" s="1808"/>
      <c r="P133" s="1810"/>
      <c r="Q133" s="1811"/>
      <c r="R133" s="1810"/>
      <c r="S133" s="1811"/>
    </row>
    <row r="134">
      <c r="A134" s="1805"/>
      <c r="B134" s="1806"/>
      <c r="C134" s="1806"/>
      <c r="D134" s="1806"/>
      <c r="E134" s="1806"/>
      <c r="F134" s="1806"/>
      <c r="G134" s="1807"/>
      <c r="H134" s="1808"/>
      <c r="I134" s="1808"/>
      <c r="J134" s="1809"/>
      <c r="K134" s="1808"/>
      <c r="L134" s="1808"/>
      <c r="M134" s="1809"/>
      <c r="N134" s="1808"/>
      <c r="O134" s="1808"/>
      <c r="P134" s="1810"/>
      <c r="Q134" s="1811"/>
      <c r="R134" s="1810"/>
      <c r="S134" s="1811"/>
    </row>
    <row r="135">
      <c r="A135" s="1805"/>
      <c r="B135" s="1806"/>
      <c r="C135" s="1756"/>
      <c r="D135" s="1806"/>
      <c r="E135" s="1806"/>
      <c r="F135" s="1806"/>
      <c r="G135" s="1812" t="s">
        <v>2813</v>
      </c>
      <c r="H135" s="1813" t="s">
        <v>2814</v>
      </c>
      <c r="I135" s="1813" t="s">
        <v>2815</v>
      </c>
      <c r="J135" s="1809"/>
      <c r="K135" s="1808"/>
      <c r="L135" s="1808"/>
      <c r="M135" s="1809"/>
      <c r="N135" s="1808"/>
      <c r="O135" s="1808"/>
      <c r="P135" s="1810"/>
      <c r="Q135" s="1811"/>
      <c r="R135" s="1810"/>
      <c r="S135" s="1811"/>
    </row>
    <row r="136">
      <c r="A136" s="1805"/>
      <c r="B136" s="1806"/>
      <c r="C136" s="1756" t="s">
        <v>2822</v>
      </c>
      <c r="D136" s="1806"/>
      <c r="E136" s="1806"/>
      <c r="F136" s="1806"/>
      <c r="G136" s="1807">
        <f>G19</f>
        <v>36000000</v>
      </c>
      <c r="H136" s="1807">
        <f>J19</f>
        <v>127854454.1</v>
      </c>
      <c r="I136" s="1807" t="str">
        <f>M19</f>
        <v>#N/A</v>
      </c>
      <c r="J136" s="1809"/>
      <c r="K136" s="1808"/>
      <c r="L136" s="1808"/>
      <c r="M136" s="1809"/>
      <c r="N136" s="1808"/>
      <c r="O136" s="1808"/>
      <c r="P136" s="1810"/>
      <c r="Q136" s="1811"/>
      <c r="R136" s="1810"/>
      <c r="S136" s="1811"/>
    </row>
    <row r="137">
      <c r="A137" s="1805"/>
      <c r="B137" s="1806"/>
      <c r="C137" s="1814" t="s">
        <v>3951</v>
      </c>
      <c r="D137" s="1806"/>
      <c r="E137" s="1806"/>
      <c r="F137" s="1806"/>
      <c r="G137" s="1815">
        <v>1.0</v>
      </c>
      <c r="H137" s="1808">
        <f t="shared" ref="H137:I137" si="33">H136/$G136</f>
        <v>3.551512613</v>
      </c>
      <c r="I137" s="1808" t="str">
        <f t="shared" si="33"/>
        <v>#N/A</v>
      </c>
      <c r="J137" s="1809"/>
      <c r="K137" s="1808"/>
      <c r="L137" s="1808"/>
      <c r="M137" s="1809"/>
      <c r="N137" s="1808"/>
      <c r="O137" s="1808"/>
      <c r="P137" s="1810"/>
      <c r="Q137" s="1811"/>
      <c r="R137" s="1810"/>
      <c r="S137" s="1811"/>
    </row>
    <row r="138">
      <c r="A138" s="1805"/>
      <c r="B138" s="1806"/>
      <c r="C138" s="1814"/>
      <c r="D138" s="1806"/>
      <c r="E138" s="1806"/>
      <c r="F138" s="1806"/>
      <c r="G138" s="1816"/>
      <c r="H138" s="1817"/>
      <c r="I138" s="1817"/>
      <c r="J138" s="1809"/>
      <c r="K138" s="1808"/>
      <c r="L138" s="1808"/>
      <c r="M138" s="1809"/>
      <c r="N138" s="1808"/>
      <c r="O138" s="1808"/>
      <c r="P138" s="1810"/>
      <c r="Q138" s="1811"/>
      <c r="R138" s="1810"/>
      <c r="S138" s="1811"/>
    </row>
    <row r="139">
      <c r="A139" s="1805"/>
      <c r="B139" s="1806"/>
      <c r="C139" s="1806"/>
      <c r="D139" s="1806"/>
      <c r="E139" s="1806"/>
      <c r="F139" s="1806"/>
      <c r="G139" s="1807"/>
      <c r="H139" s="1808"/>
      <c r="I139" s="1808"/>
      <c r="J139" s="1809"/>
      <c r="K139" s="1808"/>
      <c r="L139" s="1808"/>
      <c r="M139" s="1809"/>
      <c r="N139" s="1808"/>
      <c r="O139" s="1808"/>
      <c r="P139" s="1810"/>
      <c r="Q139" s="1811"/>
      <c r="R139" s="1810"/>
      <c r="S139" s="1811"/>
    </row>
    <row r="140">
      <c r="A140" s="1805"/>
      <c r="B140" s="1806"/>
      <c r="C140" s="1806"/>
      <c r="D140" s="1806"/>
      <c r="E140" s="1806"/>
      <c r="F140" s="1806"/>
      <c r="G140" s="1807"/>
      <c r="H140" s="1808"/>
      <c r="I140" s="1808"/>
      <c r="J140" s="1809"/>
      <c r="K140" s="1808"/>
      <c r="L140" s="1808"/>
      <c r="M140" s="1809"/>
      <c r="N140" s="1808"/>
      <c r="O140" s="1808"/>
      <c r="P140" s="1810"/>
      <c r="Q140" s="1811"/>
      <c r="R140" s="1810"/>
      <c r="S140" s="1811"/>
    </row>
    <row r="141">
      <c r="A141" s="1805"/>
      <c r="B141" s="1806"/>
      <c r="C141" s="1806"/>
      <c r="D141" s="1806"/>
      <c r="E141" s="1806"/>
      <c r="F141" s="1806"/>
      <c r="G141" s="1807"/>
      <c r="H141" s="1808"/>
      <c r="I141" s="1808"/>
      <c r="J141" s="1809"/>
      <c r="K141" s="1808"/>
      <c r="L141" s="1808"/>
      <c r="M141" s="1809"/>
      <c r="N141" s="1808"/>
      <c r="O141" s="1808"/>
      <c r="P141" s="1810"/>
      <c r="Q141" s="1811"/>
      <c r="R141" s="1810"/>
      <c r="S141" s="1811"/>
    </row>
    <row r="142">
      <c r="A142" s="1805"/>
      <c r="B142" s="1806"/>
      <c r="C142" s="1806"/>
      <c r="D142" s="1806"/>
      <c r="E142" s="1806"/>
      <c r="F142" s="1806"/>
      <c r="G142" s="1807"/>
      <c r="H142" s="1808"/>
      <c r="I142" s="1808"/>
      <c r="J142" s="1809"/>
      <c r="K142" s="1808"/>
      <c r="L142" s="1808"/>
      <c r="M142" s="1809"/>
      <c r="N142" s="1808"/>
      <c r="O142" s="1808"/>
      <c r="P142" s="1810"/>
      <c r="Q142" s="1811"/>
      <c r="R142" s="1810"/>
      <c r="S142" s="1811"/>
    </row>
    <row r="143">
      <c r="A143" s="1805"/>
      <c r="B143" s="1806"/>
      <c r="C143" s="1806"/>
      <c r="D143" s="1806"/>
      <c r="E143" s="1806"/>
      <c r="F143" s="1806"/>
      <c r="G143" s="1807"/>
      <c r="H143" s="1808"/>
      <c r="I143" s="1808"/>
      <c r="J143" s="1809"/>
      <c r="K143" s="1808"/>
      <c r="L143" s="1808"/>
      <c r="M143" s="1809"/>
      <c r="N143" s="1808"/>
      <c r="O143" s="1808"/>
      <c r="P143" s="1810"/>
      <c r="Q143" s="1811"/>
      <c r="R143" s="1810"/>
      <c r="S143" s="1811"/>
    </row>
    <row r="144">
      <c r="A144" s="1805"/>
      <c r="B144" s="1806"/>
      <c r="C144" s="1806"/>
      <c r="D144" s="1806"/>
      <c r="E144" s="1806"/>
      <c r="F144" s="1806"/>
      <c r="G144" s="1807"/>
      <c r="H144" s="1808"/>
      <c r="I144" s="1808"/>
      <c r="J144" s="1809"/>
      <c r="K144" s="1808"/>
      <c r="L144" s="1808"/>
      <c r="M144" s="1809"/>
      <c r="N144" s="1808"/>
      <c r="O144" s="1808"/>
      <c r="P144" s="1810"/>
      <c r="Q144" s="1811"/>
      <c r="R144" s="1810"/>
      <c r="S144" s="1811"/>
    </row>
    <row r="145">
      <c r="A145" s="1805"/>
      <c r="B145" s="1806"/>
      <c r="C145" s="1806"/>
      <c r="D145" s="1806"/>
      <c r="E145" s="1806"/>
      <c r="F145" s="1806"/>
      <c r="G145" s="1807"/>
      <c r="H145" s="1808"/>
      <c r="I145" s="1808"/>
      <c r="J145" s="1809"/>
      <c r="K145" s="1808"/>
      <c r="L145" s="1808"/>
      <c r="M145" s="1809"/>
      <c r="N145" s="1808"/>
      <c r="O145" s="1808"/>
      <c r="P145" s="1810"/>
      <c r="Q145" s="1811"/>
      <c r="R145" s="1810"/>
      <c r="S145" s="1811"/>
    </row>
    <row r="146">
      <c r="A146" s="1805"/>
      <c r="B146" s="1806"/>
      <c r="C146" s="1806"/>
      <c r="D146" s="1806"/>
      <c r="E146" s="1806"/>
      <c r="F146" s="1806"/>
      <c r="G146" s="1807"/>
      <c r="H146" s="1808"/>
      <c r="I146" s="1808"/>
      <c r="J146" s="1809"/>
      <c r="K146" s="1808"/>
      <c r="L146" s="1808"/>
      <c r="M146" s="1809"/>
      <c r="N146" s="1808"/>
      <c r="O146" s="1808"/>
      <c r="P146" s="1810"/>
      <c r="Q146" s="1811"/>
      <c r="R146" s="1810"/>
      <c r="S146" s="1811"/>
    </row>
    <row r="147">
      <c r="A147" s="1805"/>
      <c r="B147" s="1806"/>
      <c r="C147" s="1806"/>
      <c r="D147" s="1806"/>
      <c r="E147" s="1806"/>
      <c r="F147" s="1806"/>
      <c r="G147" s="1812"/>
      <c r="H147" s="1813"/>
      <c r="I147" s="1813"/>
      <c r="J147" s="1809"/>
      <c r="K147" s="1808"/>
      <c r="L147" s="1808"/>
      <c r="M147" s="1809"/>
      <c r="N147" s="1808"/>
      <c r="O147" s="1808"/>
      <c r="P147" s="1810"/>
      <c r="Q147" s="1811"/>
      <c r="R147" s="1810"/>
      <c r="S147" s="1811"/>
    </row>
    <row r="148">
      <c r="A148" s="1805"/>
      <c r="B148" s="1806"/>
      <c r="C148" s="1806"/>
      <c r="D148" s="1806"/>
      <c r="E148" s="1806"/>
      <c r="F148" s="1806"/>
      <c r="G148" s="1812" t="s">
        <v>2813</v>
      </c>
      <c r="H148" s="1813" t="s">
        <v>2814</v>
      </c>
      <c r="I148" s="1813" t="s">
        <v>2815</v>
      </c>
      <c r="J148" s="1809"/>
      <c r="K148" s="1808"/>
      <c r="L148" s="1808"/>
      <c r="M148" s="1809"/>
      <c r="N148" s="1808"/>
      <c r="O148" s="1808"/>
      <c r="P148" s="1810"/>
      <c r="Q148" s="1811"/>
      <c r="R148" s="1810"/>
      <c r="S148" s="1811"/>
    </row>
    <row r="149">
      <c r="A149" s="1805"/>
      <c r="B149" s="1806"/>
      <c r="C149" s="1762" t="s">
        <v>2874</v>
      </c>
      <c r="D149" s="1806"/>
      <c r="E149" s="1806"/>
      <c r="F149" s="1806"/>
      <c r="G149" s="1812">
        <f>G113</f>
        <v>74263048</v>
      </c>
      <c r="H149" s="1812">
        <f>J113</f>
        <v>58059208.86</v>
      </c>
      <c r="I149" s="1812">
        <f>M113</f>
        <v>4124665.995</v>
      </c>
      <c r="J149" s="1809"/>
      <c r="K149" s="1808"/>
      <c r="L149" s="1808"/>
      <c r="M149" s="1809"/>
      <c r="N149" s="1808"/>
      <c r="O149" s="1808"/>
      <c r="P149" s="1810"/>
      <c r="Q149" s="1811"/>
      <c r="R149" s="1810"/>
      <c r="S149" s="1811"/>
    </row>
    <row r="150">
      <c r="A150" s="1805"/>
      <c r="B150" s="1806"/>
      <c r="C150" s="1814" t="s">
        <v>3951</v>
      </c>
      <c r="D150" s="1806"/>
      <c r="E150" s="1806"/>
      <c r="F150" s="1806"/>
      <c r="G150" s="1815">
        <v>1.0</v>
      </c>
      <c r="H150" s="1808">
        <f t="shared" ref="H150:I150" si="34">H149/$G149</f>
        <v>0.7818048198</v>
      </c>
      <c r="I150" s="1808">
        <f t="shared" si="34"/>
        <v>0.05554129686</v>
      </c>
      <c r="J150" s="1809"/>
      <c r="K150" s="1808"/>
      <c r="L150" s="1808"/>
      <c r="M150" s="1809"/>
      <c r="N150" s="1808"/>
      <c r="O150" s="1808"/>
      <c r="P150" s="1810"/>
      <c r="Q150" s="1811"/>
      <c r="R150" s="1810"/>
      <c r="S150" s="1811"/>
    </row>
    <row r="151">
      <c r="A151" s="1805"/>
      <c r="B151" s="1806"/>
      <c r="C151" s="1806"/>
      <c r="D151" s="1806"/>
      <c r="E151" s="1806"/>
      <c r="F151" s="1806"/>
      <c r="G151" s="1807"/>
      <c r="H151" s="1808"/>
      <c r="I151" s="1808"/>
      <c r="J151" s="1809"/>
      <c r="K151" s="1808"/>
      <c r="L151" s="1808"/>
      <c r="M151" s="1809"/>
      <c r="N151" s="1808"/>
      <c r="O151" s="1808"/>
      <c r="P151" s="1810"/>
      <c r="Q151" s="1811"/>
      <c r="R151" s="1810"/>
      <c r="S151" s="1811"/>
    </row>
    <row r="152">
      <c r="A152" s="1805"/>
      <c r="B152" s="1806"/>
      <c r="C152" s="1806"/>
      <c r="D152" s="1806"/>
      <c r="E152" s="1806"/>
      <c r="F152" s="1806"/>
      <c r="G152" s="1807"/>
      <c r="H152" s="1808"/>
      <c r="I152" s="1808"/>
      <c r="J152" s="1809"/>
      <c r="K152" s="1808"/>
      <c r="L152" s="1808"/>
      <c r="M152" s="1809"/>
      <c r="N152" s="1808"/>
      <c r="O152" s="1808"/>
      <c r="P152" s="1810"/>
      <c r="Q152" s="1811"/>
      <c r="R152" s="1810"/>
      <c r="S152" s="1811"/>
    </row>
    <row r="153">
      <c r="A153" s="1805"/>
      <c r="B153" s="1806"/>
      <c r="C153" s="1806"/>
      <c r="D153" s="1806"/>
      <c r="E153" s="1806"/>
      <c r="F153" s="1806"/>
      <c r="G153" s="1807"/>
      <c r="H153" s="1808"/>
      <c r="I153" s="1808"/>
      <c r="J153" s="1809"/>
      <c r="K153" s="1808"/>
      <c r="L153" s="1808"/>
      <c r="M153" s="1809"/>
      <c r="N153" s="1808"/>
      <c r="O153" s="1808"/>
      <c r="P153" s="1810"/>
      <c r="Q153" s="1811"/>
      <c r="R153" s="1810"/>
      <c r="S153" s="1811"/>
    </row>
    <row r="154">
      <c r="A154" s="1805"/>
      <c r="B154" s="1806"/>
      <c r="C154" s="1806"/>
      <c r="D154" s="1806"/>
      <c r="E154" s="1806"/>
      <c r="F154" s="1806"/>
      <c r="G154" s="1807"/>
      <c r="H154" s="1808"/>
      <c r="I154" s="1808"/>
      <c r="J154" s="1809"/>
      <c r="K154" s="1808"/>
      <c r="L154" s="1808"/>
      <c r="M154" s="1809"/>
      <c r="N154" s="1808"/>
      <c r="O154" s="1808"/>
      <c r="P154" s="1810"/>
      <c r="Q154" s="1811"/>
      <c r="R154" s="1810"/>
      <c r="S154" s="1811"/>
    </row>
    <row r="155">
      <c r="A155" s="1805"/>
      <c r="B155" s="1806"/>
      <c r="C155" s="1806"/>
      <c r="D155" s="1806"/>
      <c r="E155" s="1806"/>
      <c r="F155" s="1806"/>
      <c r="G155" s="1807"/>
      <c r="H155" s="1808"/>
      <c r="I155" s="1808"/>
      <c r="J155" s="1809"/>
      <c r="K155" s="1808"/>
      <c r="L155" s="1808"/>
      <c r="M155" s="1809"/>
      <c r="N155" s="1808"/>
      <c r="O155" s="1808"/>
      <c r="P155" s="1810"/>
      <c r="Q155" s="1811"/>
      <c r="R155" s="1810"/>
      <c r="S155" s="1811"/>
    </row>
    <row r="156">
      <c r="A156" s="1805"/>
      <c r="B156" s="1806"/>
      <c r="C156" s="1806"/>
      <c r="D156" s="1806"/>
      <c r="E156" s="1806"/>
      <c r="F156" s="1806"/>
      <c r="G156" s="1807"/>
      <c r="H156" s="1808"/>
      <c r="I156" s="1808"/>
      <c r="J156" s="1809"/>
      <c r="K156" s="1808"/>
      <c r="L156" s="1808"/>
      <c r="M156" s="1809"/>
      <c r="N156" s="1808"/>
      <c r="O156" s="1808"/>
      <c r="P156" s="1810"/>
      <c r="Q156" s="1811"/>
      <c r="R156" s="1810"/>
      <c r="S156" s="1811"/>
    </row>
    <row r="157">
      <c r="A157" s="1805"/>
      <c r="B157" s="1806"/>
      <c r="C157" s="1806"/>
      <c r="D157" s="1806"/>
      <c r="E157" s="1806"/>
      <c r="F157" s="1806"/>
      <c r="G157" s="1807"/>
      <c r="H157" s="1808"/>
      <c r="I157" s="1808"/>
      <c r="J157" s="1809"/>
      <c r="K157" s="1808"/>
      <c r="L157" s="1808"/>
      <c r="M157" s="1809"/>
      <c r="N157" s="1808"/>
      <c r="O157" s="1808"/>
      <c r="P157" s="1810"/>
      <c r="Q157" s="1811"/>
      <c r="R157" s="1810"/>
      <c r="S157" s="1811"/>
    </row>
    <row r="158">
      <c r="A158" s="1805"/>
      <c r="B158" s="1806"/>
      <c r="C158" s="1806"/>
      <c r="D158" s="1806"/>
      <c r="E158" s="1806"/>
      <c r="F158" s="1806"/>
      <c r="G158" s="1807"/>
      <c r="H158" s="1808"/>
      <c r="I158" s="1808"/>
      <c r="J158" s="1809"/>
      <c r="K158" s="1808"/>
      <c r="L158" s="1808"/>
      <c r="M158" s="1809"/>
      <c r="N158" s="1808"/>
      <c r="O158" s="1808"/>
      <c r="P158" s="1810"/>
      <c r="Q158" s="1811"/>
      <c r="R158" s="1810"/>
      <c r="S158" s="1811"/>
    </row>
    <row r="159">
      <c r="A159" s="1805"/>
      <c r="B159" s="1806"/>
      <c r="C159" s="1806"/>
      <c r="D159" s="1806"/>
      <c r="E159" s="1806"/>
      <c r="F159" s="1806"/>
      <c r="G159" s="1807"/>
      <c r="H159" s="1808"/>
      <c r="I159" s="1808"/>
      <c r="J159" s="1809"/>
      <c r="K159" s="1808"/>
      <c r="L159" s="1808"/>
      <c r="M159" s="1809"/>
      <c r="N159" s="1808"/>
      <c r="O159" s="1808"/>
      <c r="P159" s="1810"/>
      <c r="Q159" s="1811"/>
      <c r="R159" s="1810"/>
      <c r="S159" s="1811"/>
    </row>
    <row r="160">
      <c r="A160" s="1805"/>
      <c r="B160" s="1806"/>
      <c r="C160" s="1806"/>
      <c r="D160" s="1806"/>
      <c r="E160" s="1806"/>
      <c r="F160" s="1806"/>
      <c r="G160" s="1812" t="s">
        <v>2813</v>
      </c>
      <c r="H160" s="1813" t="s">
        <v>2814</v>
      </c>
      <c r="I160" s="1813" t="s">
        <v>2815</v>
      </c>
      <c r="J160" s="1809"/>
      <c r="K160" s="1808"/>
      <c r="L160" s="1808"/>
      <c r="M160" s="1809"/>
      <c r="N160" s="1808"/>
      <c r="O160" s="1808"/>
      <c r="P160" s="1810"/>
      <c r="Q160" s="1811"/>
      <c r="R160" s="1810"/>
      <c r="S160" s="1811"/>
    </row>
    <row r="161">
      <c r="A161" s="1805"/>
      <c r="B161" s="1806"/>
      <c r="C161" s="1155" t="s">
        <v>2879</v>
      </c>
      <c r="D161" s="1806"/>
      <c r="E161" s="1806"/>
      <c r="F161" s="1806"/>
      <c r="G161" s="1812">
        <f>G118</f>
        <v>-38296368</v>
      </c>
      <c r="H161" s="1812">
        <f>J118</f>
        <v>69760414.42</v>
      </c>
      <c r="I161" s="1812" t="str">
        <f>M118</f>
        <v>#N/A</v>
      </c>
      <c r="J161" s="1809"/>
      <c r="K161" s="1808"/>
      <c r="L161" s="1808"/>
      <c r="M161" s="1809"/>
      <c r="N161" s="1808"/>
      <c r="O161" s="1808"/>
      <c r="P161" s="1810"/>
      <c r="Q161" s="1811"/>
      <c r="R161" s="1810"/>
      <c r="S161" s="1811"/>
    </row>
    <row r="162">
      <c r="A162" s="1805"/>
      <c r="B162" s="1806"/>
      <c r="C162" s="1814" t="s">
        <v>3951</v>
      </c>
      <c r="D162" s="1806"/>
      <c r="E162" s="1806"/>
      <c r="F162" s="1806"/>
      <c r="G162" s="1815">
        <v>1.0</v>
      </c>
      <c r="H162" s="1808">
        <f t="shared" ref="H162:I162" si="35">H161/$G161</f>
        <v>-1.821593484</v>
      </c>
      <c r="I162" s="1808" t="str">
        <f t="shared" si="35"/>
        <v>#N/A</v>
      </c>
      <c r="J162" s="1809"/>
      <c r="K162" s="1808"/>
      <c r="L162" s="1808"/>
      <c r="M162" s="1809"/>
      <c r="N162" s="1808"/>
      <c r="O162" s="1808"/>
      <c r="P162" s="1810"/>
      <c r="Q162" s="1811"/>
      <c r="R162" s="1810"/>
      <c r="S162" s="1811"/>
    </row>
    <row r="163">
      <c r="A163" s="1805"/>
      <c r="B163" s="1806"/>
      <c r="C163" s="1806"/>
      <c r="D163" s="1806"/>
      <c r="E163" s="1806"/>
      <c r="F163" s="1806"/>
      <c r="G163" s="1807"/>
      <c r="H163" s="1808"/>
      <c r="I163" s="1808"/>
      <c r="J163" s="1809"/>
      <c r="K163" s="1808"/>
      <c r="L163" s="1808"/>
      <c r="M163" s="1809"/>
      <c r="N163" s="1808"/>
      <c r="O163" s="1808"/>
      <c r="P163" s="1810"/>
      <c r="Q163" s="1811"/>
      <c r="R163" s="1810"/>
      <c r="S163" s="1811"/>
    </row>
    <row r="164">
      <c r="A164" s="1805"/>
      <c r="B164" s="1806"/>
      <c r="C164" s="1806"/>
      <c r="D164" s="1806"/>
      <c r="E164" s="1806"/>
      <c r="F164" s="1806"/>
      <c r="G164" s="1807"/>
      <c r="H164" s="1808"/>
      <c r="I164" s="1808"/>
      <c r="J164" s="1809"/>
      <c r="K164" s="1808"/>
      <c r="L164" s="1808"/>
      <c r="M164" s="1809"/>
      <c r="N164" s="1808"/>
      <c r="O164" s="1808"/>
      <c r="P164" s="1810"/>
      <c r="Q164" s="1811"/>
      <c r="R164" s="1810"/>
      <c r="S164" s="1811"/>
    </row>
    <row r="165">
      <c r="A165" s="1805"/>
      <c r="B165" s="1806"/>
      <c r="C165" s="1806"/>
      <c r="D165" s="1806"/>
      <c r="E165" s="1806"/>
      <c r="F165" s="1806"/>
      <c r="G165" s="1807"/>
      <c r="H165" s="1808"/>
      <c r="I165" s="1808"/>
      <c r="J165" s="1809"/>
      <c r="K165" s="1808"/>
      <c r="L165" s="1808"/>
      <c r="M165" s="1809"/>
      <c r="N165" s="1808"/>
      <c r="O165" s="1808"/>
      <c r="P165" s="1810"/>
      <c r="Q165" s="1811"/>
      <c r="R165" s="1810"/>
      <c r="S165" s="1811"/>
    </row>
    <row r="166">
      <c r="A166" s="1805"/>
      <c r="B166" s="1806"/>
      <c r="C166" s="1806"/>
      <c r="D166" s="1806"/>
      <c r="E166" s="1806"/>
      <c r="F166" s="1806"/>
      <c r="G166" s="1807"/>
      <c r="H166" s="1808"/>
      <c r="I166" s="1808"/>
      <c r="J166" s="1809"/>
      <c r="K166" s="1808"/>
      <c r="L166" s="1808"/>
      <c r="M166" s="1809"/>
      <c r="N166" s="1808"/>
      <c r="O166" s="1808"/>
      <c r="P166" s="1810"/>
      <c r="Q166" s="1811"/>
      <c r="R166" s="1810"/>
      <c r="S166" s="1811"/>
    </row>
    <row r="167">
      <c r="A167" s="1805"/>
      <c r="B167" s="1806"/>
      <c r="C167" s="1806"/>
      <c r="D167" s="1806"/>
      <c r="E167" s="1806"/>
      <c r="F167" s="1806"/>
      <c r="G167" s="1807"/>
      <c r="H167" s="1808"/>
      <c r="I167" s="1808"/>
      <c r="J167" s="1809"/>
      <c r="K167" s="1808"/>
      <c r="L167" s="1808"/>
      <c r="M167" s="1809"/>
      <c r="N167" s="1808"/>
      <c r="O167" s="1808"/>
      <c r="P167" s="1810"/>
      <c r="Q167" s="1811"/>
      <c r="R167" s="1810"/>
      <c r="S167" s="1811"/>
    </row>
    <row r="168">
      <c r="A168" s="1805"/>
      <c r="B168" s="1806"/>
      <c r="C168" s="1806"/>
      <c r="D168" s="1806"/>
      <c r="E168" s="1806"/>
      <c r="F168" s="1806"/>
      <c r="G168" s="1807"/>
      <c r="H168" s="1808"/>
      <c r="I168" s="1808"/>
      <c r="J168" s="1809"/>
      <c r="K168" s="1808"/>
      <c r="L168" s="1808"/>
      <c r="M168" s="1809"/>
      <c r="N168" s="1808"/>
      <c r="O168" s="1808"/>
      <c r="P168" s="1810"/>
      <c r="Q168" s="1811"/>
      <c r="R168" s="1810"/>
      <c r="S168" s="1811"/>
    </row>
    <row r="169">
      <c r="A169" s="1805"/>
      <c r="B169" s="1806"/>
      <c r="C169" s="1806"/>
      <c r="D169" s="1806"/>
      <c r="E169" s="1806"/>
      <c r="F169" s="1806"/>
      <c r="G169" s="1807"/>
      <c r="H169" s="1808"/>
      <c r="I169" s="1808"/>
      <c r="J169" s="1809"/>
      <c r="K169" s="1808"/>
      <c r="L169" s="1808"/>
      <c r="M169" s="1809"/>
      <c r="N169" s="1808"/>
      <c r="O169" s="1808"/>
      <c r="P169" s="1810"/>
      <c r="Q169" s="1811"/>
      <c r="R169" s="1810"/>
      <c r="S169" s="1811"/>
    </row>
    <row r="170">
      <c r="A170" s="1805"/>
      <c r="B170" s="1806"/>
      <c r="C170" s="1806"/>
      <c r="D170" s="1806"/>
      <c r="E170" s="1806"/>
      <c r="F170" s="1806"/>
      <c r="G170" s="1807"/>
      <c r="H170" s="1808"/>
      <c r="I170" s="1808"/>
      <c r="J170" s="1809"/>
      <c r="K170" s="1808"/>
      <c r="L170" s="1808"/>
      <c r="M170" s="1809"/>
      <c r="N170" s="1808"/>
      <c r="O170" s="1808"/>
      <c r="P170" s="1810"/>
      <c r="Q170" s="1811"/>
      <c r="R170" s="1810"/>
      <c r="S170" s="1811"/>
    </row>
    <row r="171">
      <c r="A171" s="1805"/>
      <c r="B171" s="1806"/>
      <c r="C171" s="1806"/>
      <c r="D171" s="1806"/>
      <c r="E171" s="1806"/>
      <c r="F171" s="1806"/>
      <c r="G171" s="1807"/>
      <c r="H171" s="1808"/>
      <c r="I171" s="1808"/>
      <c r="J171" s="1809"/>
      <c r="K171" s="1808"/>
      <c r="L171" s="1808"/>
      <c r="M171" s="1809"/>
      <c r="N171" s="1808"/>
      <c r="O171" s="1808"/>
      <c r="P171" s="1810"/>
      <c r="Q171" s="1811"/>
      <c r="R171" s="1810"/>
      <c r="S171" s="1811"/>
    </row>
    <row r="172">
      <c r="A172" s="1805"/>
      <c r="B172" s="1806"/>
      <c r="C172" s="1806"/>
      <c r="D172" s="1806"/>
      <c r="E172" s="1806"/>
      <c r="F172" s="1806"/>
      <c r="G172" s="1807"/>
      <c r="H172" s="1808"/>
      <c r="I172" s="1808"/>
      <c r="J172" s="1809"/>
      <c r="K172" s="1808"/>
      <c r="L172" s="1808"/>
      <c r="M172" s="1809"/>
      <c r="N172" s="1808"/>
      <c r="O172" s="1808"/>
      <c r="P172" s="1810"/>
      <c r="Q172" s="1811"/>
      <c r="R172" s="1810"/>
      <c r="S172" s="1811"/>
    </row>
    <row r="173">
      <c r="A173" s="1805"/>
      <c r="B173" s="1806"/>
      <c r="C173" s="1806"/>
      <c r="D173" s="1806"/>
      <c r="E173" s="1806"/>
      <c r="F173" s="1806"/>
      <c r="G173" s="1807"/>
      <c r="H173" s="1808"/>
      <c r="I173" s="1808"/>
      <c r="J173" s="1809"/>
      <c r="K173" s="1808"/>
      <c r="L173" s="1808"/>
      <c r="M173" s="1809"/>
      <c r="N173" s="1808"/>
      <c r="O173" s="1808"/>
      <c r="P173" s="1810"/>
      <c r="Q173" s="1811"/>
      <c r="R173" s="1810"/>
      <c r="S173" s="1811"/>
    </row>
    <row r="174">
      <c r="A174" s="1805"/>
      <c r="B174" s="1806"/>
      <c r="C174" s="1806"/>
      <c r="D174" s="1806"/>
      <c r="E174" s="1806"/>
      <c r="F174" s="1806"/>
      <c r="G174" s="1807"/>
      <c r="H174" s="1808"/>
      <c r="I174" s="1808"/>
      <c r="J174" s="1809"/>
      <c r="K174" s="1808"/>
      <c r="L174" s="1808"/>
      <c r="M174" s="1809"/>
      <c r="N174" s="1808"/>
      <c r="O174" s="1808"/>
      <c r="P174" s="1810"/>
      <c r="Q174" s="1811"/>
      <c r="R174" s="1810"/>
      <c r="S174" s="1811"/>
    </row>
    <row r="175">
      <c r="A175" s="1805"/>
      <c r="B175" s="1806"/>
      <c r="C175" s="1806"/>
      <c r="D175" s="1806"/>
      <c r="E175" s="1806"/>
      <c r="F175" s="1806"/>
      <c r="G175" s="1807"/>
      <c r="H175" s="1808"/>
      <c r="I175" s="1808"/>
      <c r="J175" s="1809"/>
      <c r="K175" s="1808"/>
      <c r="L175" s="1808"/>
      <c r="M175" s="1809"/>
      <c r="N175" s="1808"/>
      <c r="O175" s="1808"/>
      <c r="P175" s="1810"/>
      <c r="Q175" s="1811"/>
      <c r="R175" s="1810"/>
      <c r="S175" s="1811"/>
    </row>
    <row r="176">
      <c r="A176" s="1805"/>
      <c r="B176" s="1806"/>
      <c r="C176" s="1806"/>
      <c r="D176" s="1806"/>
      <c r="E176" s="1806"/>
      <c r="F176" s="1806"/>
      <c r="G176" s="1807"/>
      <c r="H176" s="1808"/>
      <c r="I176" s="1808"/>
      <c r="J176" s="1809"/>
      <c r="K176" s="1808"/>
      <c r="L176" s="1808"/>
      <c r="M176" s="1809"/>
      <c r="N176" s="1808"/>
      <c r="O176" s="1808"/>
      <c r="P176" s="1810"/>
      <c r="Q176" s="1811"/>
      <c r="R176" s="1810"/>
      <c r="S176" s="1811"/>
    </row>
    <row r="177">
      <c r="A177" s="1805"/>
      <c r="B177" s="1806"/>
      <c r="C177" s="1806"/>
      <c r="D177" s="1806"/>
      <c r="E177" s="1806"/>
      <c r="F177" s="1806"/>
      <c r="G177" s="1807"/>
      <c r="H177" s="1808"/>
      <c r="I177" s="1808"/>
      <c r="J177" s="1809"/>
      <c r="K177" s="1808"/>
      <c r="L177" s="1808"/>
      <c r="M177" s="1809"/>
      <c r="N177" s="1808"/>
      <c r="O177" s="1808"/>
      <c r="P177" s="1810"/>
      <c r="Q177" s="1811"/>
      <c r="R177" s="1810"/>
      <c r="S177" s="1811"/>
    </row>
    <row r="178">
      <c r="A178" s="1805"/>
      <c r="B178" s="1806"/>
      <c r="C178" s="1806"/>
      <c r="D178" s="1806"/>
      <c r="E178" s="1806"/>
      <c r="F178" s="1806"/>
      <c r="G178" s="1807"/>
      <c r="H178" s="1808"/>
      <c r="I178" s="1808"/>
      <c r="J178" s="1809"/>
      <c r="K178" s="1808"/>
      <c r="L178" s="1808"/>
      <c r="M178" s="1809"/>
      <c r="N178" s="1808"/>
      <c r="O178" s="1808"/>
      <c r="P178" s="1810"/>
      <c r="Q178" s="1811"/>
      <c r="R178" s="1810"/>
      <c r="S178" s="1811"/>
    </row>
  </sheetData>
  <mergeCells count="84">
    <mergeCell ref="N10:O10"/>
    <mergeCell ref="N11:O11"/>
    <mergeCell ref="N12:O12"/>
    <mergeCell ref="N13:O13"/>
    <mergeCell ref="N14:O14"/>
    <mergeCell ref="N15:O15"/>
    <mergeCell ref="N16:O16"/>
    <mergeCell ref="N17:O17"/>
    <mergeCell ref="N18:O18"/>
    <mergeCell ref="H34:I34"/>
    <mergeCell ref="K34:L34"/>
    <mergeCell ref="N34:O34"/>
    <mergeCell ref="K49:L49"/>
    <mergeCell ref="N49:O49"/>
    <mergeCell ref="K113:L113"/>
    <mergeCell ref="K114:L114"/>
    <mergeCell ref="K115:L115"/>
    <mergeCell ref="K116:L116"/>
    <mergeCell ref="K117:L117"/>
    <mergeCell ref="K118:L118"/>
    <mergeCell ref="K119:L119"/>
    <mergeCell ref="K120:L120"/>
    <mergeCell ref="H114:I114"/>
    <mergeCell ref="H115:I115"/>
    <mergeCell ref="H116:I116"/>
    <mergeCell ref="H117:I117"/>
    <mergeCell ref="H118:I118"/>
    <mergeCell ref="H119:I119"/>
    <mergeCell ref="H120:I120"/>
    <mergeCell ref="N115:O115"/>
    <mergeCell ref="N116:O116"/>
    <mergeCell ref="N117:O117"/>
    <mergeCell ref="N118:O118"/>
    <mergeCell ref="N119:O119"/>
    <mergeCell ref="N120:O120"/>
    <mergeCell ref="H49:I49"/>
    <mergeCell ref="H64:I64"/>
    <mergeCell ref="K64:L64"/>
    <mergeCell ref="N64:O64"/>
    <mergeCell ref="H113:I113"/>
    <mergeCell ref="N113:O113"/>
    <mergeCell ref="N114:O114"/>
    <mergeCell ref="A2:A3"/>
    <mergeCell ref="B2:B3"/>
    <mergeCell ref="C2:C3"/>
    <mergeCell ref="G2:S2"/>
    <mergeCell ref="G3:I3"/>
    <mergeCell ref="J3:L3"/>
    <mergeCell ref="M3:O3"/>
    <mergeCell ref="P3:Q3"/>
    <mergeCell ref="R3:S3"/>
    <mergeCell ref="H5:I5"/>
    <mergeCell ref="K5:L5"/>
    <mergeCell ref="N5:O5"/>
    <mergeCell ref="K6:L6"/>
    <mergeCell ref="N6:O6"/>
    <mergeCell ref="H6:I6"/>
    <mergeCell ref="H7:I7"/>
    <mergeCell ref="K7:L7"/>
    <mergeCell ref="N7:O7"/>
    <mergeCell ref="H8:I8"/>
    <mergeCell ref="N8:O8"/>
    <mergeCell ref="N9:O9"/>
    <mergeCell ref="K15:L15"/>
    <mergeCell ref="K16:L16"/>
    <mergeCell ref="K17:L17"/>
    <mergeCell ref="K18:L18"/>
    <mergeCell ref="K8:L8"/>
    <mergeCell ref="K9:L9"/>
    <mergeCell ref="K10:L10"/>
    <mergeCell ref="K11:L11"/>
    <mergeCell ref="K12:L12"/>
    <mergeCell ref="K13:L13"/>
    <mergeCell ref="K14:L14"/>
    <mergeCell ref="H16:I16"/>
    <mergeCell ref="H17:I17"/>
    <mergeCell ref="H18:I18"/>
    <mergeCell ref="H9:I9"/>
    <mergeCell ref="H10:I10"/>
    <mergeCell ref="H11:I11"/>
    <mergeCell ref="H12:I12"/>
    <mergeCell ref="H13:I13"/>
    <mergeCell ref="H14:I14"/>
    <mergeCell ref="H15:I15"/>
  </mergeCells>
  <conditionalFormatting sqref="A1:B178 C1:D106 E1:L178 M1:M2 N1:S178 M4:M178 C109:D178">
    <cfRule type="cellIs" dxfId="16" priority="1" operator="lessThan">
      <formula>0</formula>
    </cfRule>
  </conditionalFormatting>
  <dataValidations>
    <dataValidation type="list" allowBlank="1" showErrorMessage="1" sqref="B5:B18 B20:B33 B35:B48 B50:B63">
      <formula1>MA_DUAN</formula1>
    </dataValidation>
    <dataValidation type="list" allowBlank="1" showErrorMessage="1" sqref="D107:D108">
      <formula1>MA_KM</formula1>
    </dataValidation>
  </dataValidations>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outlineLevelCol="1" outlineLevelRow="1"/>
  <cols>
    <col collapsed="1" customWidth="1" min="1" max="1" width="5.29"/>
    <col customWidth="1" hidden="1" min="2" max="2" width="23.86" outlineLevel="1"/>
    <col collapsed="1" customWidth="1" min="3" max="3" width="39.57"/>
    <col hidden="1" min="4" max="4" width="14.43" outlineLevel="1"/>
    <col customWidth="1" hidden="1" min="5" max="5" width="8.29" outlineLevel="1"/>
    <col customWidth="1" hidden="1" min="6" max="6" width="2.29" outlineLevel="1"/>
    <col customWidth="1" min="7" max="7" width="16.43"/>
    <col customWidth="1" min="8" max="8" width="5.71"/>
    <col customWidth="1" min="9" max="9" width="7.29"/>
    <col customWidth="1" min="11" max="11" width="5.14"/>
    <col customWidth="1" min="12" max="12" width="7.14"/>
    <col customWidth="1" min="14" max="14" width="5.57"/>
    <col customWidth="1" min="15" max="15" width="6.71"/>
    <col customWidth="1" min="17" max="17" width="6.86"/>
    <col customWidth="1" min="19" max="19" width="6.71"/>
  </cols>
  <sheetData>
    <row r="1" hidden="1">
      <c r="G1" s="1818">
        <f>VLOOKUP(G2,'THAM CHIẾU'!$D$17:$F$20,3,0)</f>
        <v>46203</v>
      </c>
    </row>
    <row r="2">
      <c r="A2" s="1747" t="s">
        <v>34</v>
      </c>
      <c r="B2" s="1748" t="s">
        <v>2803</v>
      </c>
      <c r="C2" s="1749" t="s">
        <v>2804</v>
      </c>
      <c r="D2" s="1750"/>
      <c r="E2" s="1751" t="s">
        <v>2805</v>
      </c>
      <c r="F2" s="1750"/>
      <c r="G2" s="1819" t="s">
        <v>2807</v>
      </c>
      <c r="H2" s="454"/>
      <c r="I2" s="454"/>
      <c r="J2" s="454"/>
      <c r="K2" s="454"/>
      <c r="L2" s="454"/>
      <c r="M2" s="454"/>
      <c r="N2" s="454"/>
      <c r="O2" s="454"/>
      <c r="P2" s="454"/>
      <c r="Q2" s="454"/>
      <c r="R2" s="454"/>
      <c r="S2" s="3"/>
    </row>
    <row r="3">
      <c r="A3" s="213"/>
      <c r="B3" s="213"/>
      <c r="C3" s="213"/>
      <c r="D3" s="1753"/>
      <c r="E3" s="1753"/>
      <c r="F3" s="1753"/>
      <c r="G3" s="1754" t="s">
        <v>2813</v>
      </c>
      <c r="H3" s="454"/>
      <c r="I3" s="3"/>
      <c r="J3" s="1755" t="s">
        <v>2814</v>
      </c>
      <c r="K3" s="454"/>
      <c r="L3" s="3"/>
      <c r="M3" s="1071" t="str">
        <f>IF(NOW()&gt;=DATE(YEAR(G$1),MONTH(G$1)+1,DAY(G$1)),"AC","TF")</f>
        <v>TF</v>
      </c>
      <c r="N3" s="454"/>
      <c r="O3" s="3"/>
      <c r="P3" s="1071" t="str">
        <f>M3&amp;" vs "&amp;G3</f>
        <v>TF vs BP</v>
      </c>
      <c r="Q3" s="3"/>
      <c r="R3" s="1071" t="str">
        <f>M3&amp;" vs "&amp;J3</f>
        <v>TF vs LF</v>
      </c>
      <c r="S3" s="3"/>
    </row>
    <row r="4" collapsed="1">
      <c r="A4" s="1820" t="s">
        <v>2818</v>
      </c>
      <c r="B4" s="1821"/>
      <c r="C4" s="1821"/>
      <c r="D4" s="1822"/>
      <c r="E4" s="1823">
        <v>0.0</v>
      </c>
      <c r="F4" s="1823">
        <v>1.0</v>
      </c>
      <c r="G4" s="1824">
        <f>SUM(G5:G14)</f>
        <v>0</v>
      </c>
      <c r="H4" s="1825" t="s">
        <v>2819</v>
      </c>
      <c r="I4" s="1825" t="s">
        <v>2820</v>
      </c>
      <c r="J4" s="1824">
        <f>SUM(J5:J14)</f>
        <v>7885000</v>
      </c>
      <c r="K4" s="1825" t="s">
        <v>2819</v>
      </c>
      <c r="L4" s="1825" t="s">
        <v>2820</v>
      </c>
      <c r="M4" s="1824">
        <f>SUM(M5:M14)</f>
        <v>7885000</v>
      </c>
      <c r="N4" s="1825" t="s">
        <v>2819</v>
      </c>
      <c r="O4" s="1825" t="s">
        <v>2820</v>
      </c>
      <c r="P4" s="1824">
        <f>SUM(P5:P14)</f>
        <v>7885000</v>
      </c>
      <c r="Q4" s="1825" t="str">
        <f t="shared" ref="Q4:Q75" si="1">IFERROR(P4/G4,"")</f>
        <v/>
      </c>
      <c r="R4" s="1824">
        <f>SUM(R5:R14)</f>
        <v>0</v>
      </c>
      <c r="S4" s="1825">
        <f t="shared" ref="S4:S75" si="2">IFERROR(R4/J4,"")</f>
        <v>0</v>
      </c>
    </row>
    <row r="5" hidden="1" outlineLevel="1">
      <c r="A5" s="1086">
        <f t="shared" ref="A5:A18" si="3">IF(B5="","",COUNTA(B$5:B5))</f>
        <v>1</v>
      </c>
      <c r="B5" s="1087" t="s">
        <v>215</v>
      </c>
      <c r="C5" s="1087" t="str">
        <f>IF(B5="","",VLOOKUP(B5,DM_DUAN,2,0))</f>
        <v>Phước Đông Garden</v>
      </c>
      <c r="D5" s="1087" t="s">
        <v>198</v>
      </c>
      <c r="E5" s="1087"/>
      <c r="F5" s="1086">
        <v>2.0</v>
      </c>
      <c r="G5" s="1088">
        <f>SUMIFS(BP_SOTIEN,BP_DA,$B5,BP_KM,$D5,BP_QUY,$G$2)/1000</f>
        <v>0</v>
      </c>
      <c r="H5" s="1089" t="str">
        <f t="shared" ref="H5:H19" si="4">IFERROR(G5/G$4,"")</f>
        <v/>
      </c>
      <c r="I5" s="3"/>
      <c r="J5" s="1090">
        <f>IF(NOW()&gt;=DATE(YEAR(G$1),MONTH(G$1),DAY(G$1)),SUMIFS(TF_SOTIEN,TF_DA,$B5,TF_QUY,G$2,TF_KM,$D5)/1000, M5)</f>
        <v>0</v>
      </c>
      <c r="K5" s="1089">
        <f t="shared" ref="K5:K19" si="5">IFERROR(J5/J$4,"")</f>
        <v>0</v>
      </c>
      <c r="L5" s="3"/>
      <c r="M5" s="1090">
        <f>HLOOKUP($G$2,BCTH_AC!$A$1:$AA$121,ROW(M5)-2,0)</f>
        <v>0</v>
      </c>
      <c r="N5" s="1089">
        <f t="shared" ref="N5:N19" si="6">IFERROR(M5/M$4,"")</f>
        <v>0</v>
      </c>
      <c r="O5" s="3"/>
      <c r="P5" s="1090">
        <f t="shared" ref="P5:P75" si="7">M5-G5</f>
        <v>0</v>
      </c>
      <c r="Q5" s="1091" t="str">
        <f t="shared" si="1"/>
        <v/>
      </c>
      <c r="R5" s="1090">
        <f t="shared" ref="R5:R75" si="8">M5-J5</f>
        <v>0</v>
      </c>
      <c r="S5" s="1091" t="str">
        <f t="shared" si="2"/>
        <v/>
      </c>
    </row>
    <row r="6" hidden="1" outlineLevel="1">
      <c r="A6" s="1086">
        <f t="shared" si="3"/>
        <v>2</v>
      </c>
      <c r="B6" s="1087" t="s">
        <v>404</v>
      </c>
      <c r="C6" s="1087" t="str">
        <f>IF(B6="","",VLOOKUP(B6,DM_DUAN,2,0))</f>
        <v>Hamil ton Garden</v>
      </c>
      <c r="D6" s="1087" t="s">
        <v>198</v>
      </c>
      <c r="E6" s="1087"/>
      <c r="F6" s="1086">
        <v>2.0</v>
      </c>
      <c r="G6" s="1088">
        <f>SUMIFS(BP_SOTIEN,BP_DA,$B6,BP_KM,$D6,BP_QUY,$G$2)/1000</f>
        <v>0</v>
      </c>
      <c r="H6" s="1089" t="str">
        <f t="shared" si="4"/>
        <v/>
      </c>
      <c r="I6" s="3"/>
      <c r="J6" s="1090">
        <f>IF(NOW()&gt;=DATE(YEAR(G$1),MONTH(G$1),DAY(G$1)),SUMIFS(TF_SOTIEN,TF_DA,$B6,TF_QUY,G$2,TF_KM,$D6)/1000, M6)</f>
        <v>0</v>
      </c>
      <c r="K6" s="1089">
        <f t="shared" si="5"/>
        <v>0</v>
      </c>
      <c r="L6" s="3"/>
      <c r="M6" s="1090">
        <f>HLOOKUP($G$2,BCTH_AC!$A$1:$AA$121,ROW(M6)-2,0)</f>
        <v>0</v>
      </c>
      <c r="N6" s="1089">
        <f t="shared" si="6"/>
        <v>0</v>
      </c>
      <c r="O6" s="3"/>
      <c r="P6" s="1090">
        <f t="shared" si="7"/>
        <v>0</v>
      </c>
      <c r="Q6" s="1091" t="str">
        <f t="shared" si="1"/>
        <v/>
      </c>
      <c r="R6" s="1090">
        <f t="shared" si="8"/>
        <v>0</v>
      </c>
      <c r="S6" s="1091" t="str">
        <f t="shared" si="2"/>
        <v/>
      </c>
    </row>
    <row r="7" hidden="1" outlineLevel="1">
      <c r="A7" s="1086">
        <f t="shared" si="3"/>
        <v>3</v>
      </c>
      <c r="B7" s="1087" t="s">
        <v>533</v>
      </c>
      <c r="C7" s="1087" t="str">
        <f>IF(B7="","",VLOOKUP(B7,DM_DUAN,2,0))</f>
        <v>The sol city</v>
      </c>
      <c r="D7" s="1087" t="s">
        <v>198</v>
      </c>
      <c r="E7" s="1087"/>
      <c r="F7" s="1086">
        <v>2.0</v>
      </c>
      <c r="G7" s="1088">
        <f>SUMIFS(BP_SOTIEN,BP_DA,$B7,BP_KM,$D7,BP_QUY,$G$2)/1000</f>
        <v>0</v>
      </c>
      <c r="H7" s="1089" t="str">
        <f t="shared" si="4"/>
        <v/>
      </c>
      <c r="I7" s="3"/>
      <c r="J7" s="1090">
        <f>IF(NOW()&gt;=DATE(YEAR(G$1),MONTH(G$1),DAY(G$1)),SUMIFS(TF_SOTIEN,TF_DA,$B7,TF_QUY,G$2,TF_KM,$D7)/1000, M7)</f>
        <v>0</v>
      </c>
      <c r="K7" s="1089">
        <f t="shared" si="5"/>
        <v>0</v>
      </c>
      <c r="L7" s="3"/>
      <c r="M7" s="1090">
        <f>HLOOKUP($G$2,BCTH_AC!$A$1:$AA$121,ROW(M7)-2,0)</f>
        <v>0</v>
      </c>
      <c r="N7" s="1089">
        <f t="shared" si="6"/>
        <v>0</v>
      </c>
      <c r="O7" s="3"/>
      <c r="P7" s="1090">
        <f t="shared" si="7"/>
        <v>0</v>
      </c>
      <c r="Q7" s="1091" t="str">
        <f t="shared" si="1"/>
        <v/>
      </c>
      <c r="R7" s="1090">
        <f t="shared" si="8"/>
        <v>0</v>
      </c>
      <c r="S7" s="1091" t="str">
        <f t="shared" si="2"/>
        <v/>
      </c>
    </row>
    <row r="8" hidden="1" outlineLevel="1">
      <c r="A8" s="1086">
        <f t="shared" si="3"/>
        <v>4</v>
      </c>
      <c r="B8" s="1087" t="s">
        <v>175</v>
      </c>
      <c r="C8" s="1087" t="str">
        <f>IF(B8="","",VLOOKUP(B8,DM_DUAN,2,0))</f>
        <v>Phước hội Hồ Tràm</v>
      </c>
      <c r="D8" s="1087" t="s">
        <v>198</v>
      </c>
      <c r="E8" s="1087"/>
      <c r="F8" s="1086">
        <v>2.0</v>
      </c>
      <c r="G8" s="1088">
        <f>SUMIFS(BP_SOTIEN,BP_DA,$B8,BP_KM,$D8,BP_QUY,$G$2)/1000</f>
        <v>0</v>
      </c>
      <c r="H8" s="1089" t="str">
        <f t="shared" si="4"/>
        <v/>
      </c>
      <c r="I8" s="3"/>
      <c r="J8" s="1090">
        <f>IF(NOW()&gt;=DATE(YEAR(G$1),MONTH(G$1),DAY(G$1)),SUMIFS(TF_SOTIEN,TF_DA,$B8,TF_QUY,G$2,TF_KM,$D8)/1000, M8)</f>
        <v>0</v>
      </c>
      <c r="K8" s="1089">
        <f t="shared" si="5"/>
        <v>0</v>
      </c>
      <c r="L8" s="3"/>
      <c r="M8" s="1090">
        <f>HLOOKUP($G$2,BCTH_AC!$A$1:$AA$121,ROW(M8)-2,0)</f>
        <v>0</v>
      </c>
      <c r="N8" s="1089">
        <f t="shared" si="6"/>
        <v>0</v>
      </c>
      <c r="O8" s="3"/>
      <c r="P8" s="1090">
        <f t="shared" si="7"/>
        <v>0</v>
      </c>
      <c r="Q8" s="1091" t="str">
        <f t="shared" si="1"/>
        <v/>
      </c>
      <c r="R8" s="1090">
        <f t="shared" si="8"/>
        <v>0</v>
      </c>
      <c r="S8" s="1091" t="str">
        <f t="shared" si="2"/>
        <v/>
      </c>
    </row>
    <row r="9" hidden="1" outlineLevel="1">
      <c r="A9" s="1086">
        <f t="shared" si="3"/>
        <v>5</v>
      </c>
      <c r="B9" s="1087" t="s">
        <v>2067</v>
      </c>
      <c r="C9" s="1087" t="str">
        <f>IF(B9="","",VLOOKUP(B9,DM_DUAN,2,0))</f>
        <v>NAM PHONG</v>
      </c>
      <c r="D9" s="1087" t="s">
        <v>198</v>
      </c>
      <c r="E9" s="1087"/>
      <c r="F9" s="1086">
        <v>2.0</v>
      </c>
      <c r="G9" s="1088">
        <f>SUMIFS(BP_SOTIEN,BP_DA,$B9,BP_KM,$D9,BP_QUY,$G$2)/1000</f>
        <v>0</v>
      </c>
      <c r="H9" s="1089" t="str">
        <f t="shared" si="4"/>
        <v/>
      </c>
      <c r="I9" s="3"/>
      <c r="J9" s="1090">
        <f>IF(NOW()&gt;=DATE(YEAR(G$1),MONTH(G$1),DAY(G$1)),SUMIFS(TF_SOTIEN,TF_DA,$B9,TF_QUY,G$2,TF_KM,$D9)/1000, M9)</f>
        <v>0</v>
      </c>
      <c r="K9" s="1089">
        <f t="shared" si="5"/>
        <v>0</v>
      </c>
      <c r="L9" s="3"/>
      <c r="M9" s="1090">
        <f>HLOOKUP($G$2,BCTH_AC!$A$1:$AA$121,ROW(M9)-2,0)</f>
        <v>0</v>
      </c>
      <c r="N9" s="1089">
        <f t="shared" si="6"/>
        <v>0</v>
      </c>
      <c r="O9" s="3"/>
      <c r="P9" s="1090">
        <f t="shared" si="7"/>
        <v>0</v>
      </c>
      <c r="Q9" s="1091" t="str">
        <f t="shared" si="1"/>
        <v/>
      </c>
      <c r="R9" s="1090">
        <f t="shared" si="8"/>
        <v>0</v>
      </c>
      <c r="S9" s="1091" t="str">
        <f t="shared" si="2"/>
        <v/>
      </c>
    </row>
    <row r="10" hidden="1" outlineLevel="1">
      <c r="A10" s="1086">
        <f t="shared" si="3"/>
        <v>6</v>
      </c>
      <c r="B10" s="656" t="s">
        <v>638</v>
      </c>
      <c r="C10" s="1087" t="str">
        <f>IF(B10="","",VLOOKUP(B10,DM_DUAN,2,0))</f>
        <v>Sản phẩm Phước Vinh</v>
      </c>
      <c r="D10" s="1087" t="s">
        <v>198</v>
      </c>
      <c r="E10" s="1087"/>
      <c r="F10" s="1086">
        <v>2.0</v>
      </c>
      <c r="G10" s="1088">
        <f>SUMIFS(BP_SOTIEN,BP_DA,$B10,BP_KM,$D10,BP_QUY,$G$2)/1000</f>
        <v>0</v>
      </c>
      <c r="H10" s="1089" t="str">
        <f t="shared" si="4"/>
        <v/>
      </c>
      <c r="I10" s="3"/>
      <c r="J10" s="1090">
        <f>IF(NOW()&gt;=DATE(YEAR(G$1),MONTH(G$1),DAY(G$1)),SUMIFS(TF_SOTIEN,TF_DA,$B10,TF_QUY,G$2,TF_KM,$D10)/1000, M10)</f>
        <v>7885000</v>
      </c>
      <c r="K10" s="1089">
        <f t="shared" si="5"/>
        <v>1</v>
      </c>
      <c r="L10" s="3"/>
      <c r="M10" s="1090">
        <f>HLOOKUP($G$2,BCTH_AC!$A$1:$AA$121,ROW(M10)-2,0)</f>
        <v>7885000</v>
      </c>
      <c r="N10" s="1089">
        <f t="shared" si="6"/>
        <v>1</v>
      </c>
      <c r="O10" s="3"/>
      <c r="P10" s="1090">
        <f t="shared" si="7"/>
        <v>7885000</v>
      </c>
      <c r="Q10" s="1091" t="str">
        <f t="shared" si="1"/>
        <v/>
      </c>
      <c r="R10" s="1090">
        <f t="shared" si="8"/>
        <v>0</v>
      </c>
      <c r="S10" s="1091">
        <f t="shared" si="2"/>
        <v>0</v>
      </c>
    </row>
    <row r="11" hidden="1" outlineLevel="1">
      <c r="A11" s="1086">
        <f t="shared" si="3"/>
        <v>7</v>
      </c>
      <c r="B11" s="1087" t="s">
        <v>2070</v>
      </c>
      <c r="C11" s="1087" t="str">
        <f>IF(B11="","",VLOOKUP(B11,DM_DUAN,2,0))</f>
        <v>KHANG VƯỢNG</v>
      </c>
      <c r="D11" s="1087" t="s">
        <v>198</v>
      </c>
      <c r="E11" s="1087"/>
      <c r="F11" s="1086">
        <v>2.0</v>
      </c>
      <c r="G11" s="1088">
        <f>SUMIFS(BP_SOTIEN,BP_DA,$B11,BP_KM,$D11,BP_QUY,$G$2)/1000</f>
        <v>0</v>
      </c>
      <c r="H11" s="1089" t="str">
        <f t="shared" si="4"/>
        <v/>
      </c>
      <c r="I11" s="3"/>
      <c r="J11" s="1090">
        <f>IF(NOW()&gt;=DATE(YEAR(G$1),MONTH(G$1),DAY(G$1)),SUMIFS(TF_SOTIEN,TF_DA,$B11,TF_QUY,G$2,TF_KM,$D11)/1000, M11)</f>
        <v>0</v>
      </c>
      <c r="K11" s="1089">
        <f t="shared" si="5"/>
        <v>0</v>
      </c>
      <c r="L11" s="3"/>
      <c r="M11" s="1090">
        <f>HLOOKUP($G$2,BCTH_AC!$A$1:$AA$121,ROW(M11)-2,0)</f>
        <v>0</v>
      </c>
      <c r="N11" s="1089">
        <f t="shared" si="6"/>
        <v>0</v>
      </c>
      <c r="O11" s="3"/>
      <c r="P11" s="1090">
        <f t="shared" si="7"/>
        <v>0</v>
      </c>
      <c r="Q11" s="1091" t="str">
        <f t="shared" si="1"/>
        <v/>
      </c>
      <c r="R11" s="1090">
        <f t="shared" si="8"/>
        <v>0</v>
      </c>
      <c r="S11" s="1091" t="str">
        <f t="shared" si="2"/>
        <v/>
      </c>
    </row>
    <row r="12" hidden="1" outlineLevel="1">
      <c r="A12" s="1086">
        <f t="shared" si="3"/>
        <v>8</v>
      </c>
      <c r="B12" s="1087" t="s">
        <v>2072</v>
      </c>
      <c r="C12" s="1087" t="str">
        <f>IF(B12="","",VLOOKUP(B12,DM_DUAN,2,0))</f>
        <v>TRẦN ANH GROUP</v>
      </c>
      <c r="D12" s="1087" t="s">
        <v>198</v>
      </c>
      <c r="E12" s="1087"/>
      <c r="F12" s="1086">
        <v>2.0</v>
      </c>
      <c r="G12" s="1088">
        <f>SUMIFS(BP_SOTIEN,BP_DA,$B12,BP_KM,$D12,BP_QUY,$G$2)/1000</f>
        <v>0</v>
      </c>
      <c r="H12" s="1089" t="str">
        <f t="shared" si="4"/>
        <v/>
      </c>
      <c r="I12" s="3"/>
      <c r="J12" s="1090">
        <f>IF(NOW()&gt;=DATE(YEAR(G$1),MONTH(G$1),DAY(G$1)),SUMIFS(TF_SOTIEN,TF_DA,$B12,TF_QUY,G$2,TF_KM,$D12)/1000, M12)</f>
        <v>0</v>
      </c>
      <c r="K12" s="1089">
        <f t="shared" si="5"/>
        <v>0</v>
      </c>
      <c r="L12" s="3"/>
      <c r="M12" s="1090">
        <f>HLOOKUP($G$2,BCTH_AC!$A$1:$AA$121,ROW(M12)-2,0)</f>
        <v>0</v>
      </c>
      <c r="N12" s="1089">
        <f t="shared" si="6"/>
        <v>0</v>
      </c>
      <c r="O12" s="3"/>
      <c r="P12" s="1090">
        <f t="shared" si="7"/>
        <v>0</v>
      </c>
      <c r="Q12" s="1091" t="str">
        <f t="shared" si="1"/>
        <v/>
      </c>
      <c r="R12" s="1090">
        <f t="shared" si="8"/>
        <v>0</v>
      </c>
      <c r="S12" s="1091" t="str">
        <f t="shared" si="2"/>
        <v/>
      </c>
    </row>
    <row r="13" hidden="1" outlineLevel="1">
      <c r="A13" s="1086">
        <f t="shared" si="3"/>
        <v>9</v>
      </c>
      <c r="B13" s="1087" t="s">
        <v>2073</v>
      </c>
      <c r="C13" s="1087" t="str">
        <f>IF(B13="","",VLOOKUP(B13,DM_DUAN,2,0))</f>
        <v>PHI TRƯỜNG</v>
      </c>
      <c r="D13" s="1087" t="s">
        <v>198</v>
      </c>
      <c r="E13" s="1087"/>
      <c r="F13" s="1086">
        <v>2.0</v>
      </c>
      <c r="G13" s="1088">
        <f>SUMIFS(BP_SOTIEN,BP_DA,$B13,BP_KM,$D13,BP_QUY,$G$2)/1000</f>
        <v>0</v>
      </c>
      <c r="H13" s="1089" t="str">
        <f t="shared" si="4"/>
        <v/>
      </c>
      <c r="I13" s="3"/>
      <c r="J13" s="1090">
        <f>IF(NOW()&gt;=DATE(YEAR(G$1),MONTH(G$1),DAY(G$1)),SUMIFS(TF_SOTIEN,TF_DA,$B13,TF_QUY,G$2,TF_KM,$D13)/1000, M13)</f>
        <v>0</v>
      </c>
      <c r="K13" s="1089">
        <f t="shared" si="5"/>
        <v>0</v>
      </c>
      <c r="L13" s="3"/>
      <c r="M13" s="1090">
        <f>HLOOKUP($G$2,BCTH_AC!$A$1:$AA$121,ROW(M13)-2,0)</f>
        <v>0</v>
      </c>
      <c r="N13" s="1089">
        <f t="shared" si="6"/>
        <v>0</v>
      </c>
      <c r="O13" s="3"/>
      <c r="P13" s="1090">
        <f t="shared" si="7"/>
        <v>0</v>
      </c>
      <c r="Q13" s="1091" t="str">
        <f t="shared" si="1"/>
        <v/>
      </c>
      <c r="R13" s="1090">
        <f t="shared" si="8"/>
        <v>0</v>
      </c>
      <c r="S13" s="1091" t="str">
        <f t="shared" si="2"/>
        <v/>
      </c>
    </row>
    <row r="14" hidden="1" outlineLevel="1">
      <c r="A14" s="1086">
        <f t="shared" si="3"/>
        <v>10</v>
      </c>
      <c r="B14" s="1087" t="s">
        <v>2074</v>
      </c>
      <c r="C14" s="1087" t="str">
        <f>IF(B14="","",VLOOKUP(B14,DM_DUAN,2,0))</f>
        <v>HOÀNG CÁT</v>
      </c>
      <c r="D14" s="1087" t="s">
        <v>198</v>
      </c>
      <c r="E14" s="1087"/>
      <c r="F14" s="1086">
        <v>2.0</v>
      </c>
      <c r="G14" s="1088">
        <f>SUMIFS(BP_SOTIEN,BP_DA,$B14,BP_KM,$D14,BP_QUY,$G$2)/1000</f>
        <v>0</v>
      </c>
      <c r="H14" s="1089" t="str">
        <f t="shared" si="4"/>
        <v/>
      </c>
      <c r="I14" s="3"/>
      <c r="J14" s="1090">
        <f>IF(NOW()&gt;=DATE(YEAR(G$1),MONTH(G$1),DAY(G$1)),SUMIFS(TF_SOTIEN,TF_DA,$B14,TF_QUY,G$2,TF_KM,$D14)/1000, M14)</f>
        <v>0</v>
      </c>
      <c r="K14" s="1089">
        <f t="shared" si="5"/>
        <v>0</v>
      </c>
      <c r="L14" s="3"/>
      <c r="M14" s="1090">
        <f>HLOOKUP($G$2,BCTH_AC!$A$1:$AA$121,ROW(M14)-2,0)</f>
        <v>0</v>
      </c>
      <c r="N14" s="1089">
        <f t="shared" si="6"/>
        <v>0</v>
      </c>
      <c r="O14" s="3"/>
      <c r="P14" s="1090">
        <f t="shared" si="7"/>
        <v>0</v>
      </c>
      <c r="Q14" s="1091" t="str">
        <f t="shared" si="1"/>
        <v/>
      </c>
      <c r="R14" s="1090">
        <f t="shared" si="8"/>
        <v>0</v>
      </c>
      <c r="S14" s="1091" t="str">
        <f t="shared" si="2"/>
        <v/>
      </c>
    </row>
    <row r="15" hidden="1" outlineLevel="1">
      <c r="A15" s="1086">
        <f t="shared" si="3"/>
        <v>11</v>
      </c>
      <c r="B15" s="1087" t="s">
        <v>530</v>
      </c>
      <c r="C15" s="1087" t="str">
        <f>IF(B15="","",VLOOKUP(B15,DM_DUAN,2,0))</f>
        <v>Nhà vườn sinh thái</v>
      </c>
      <c r="D15" s="1087" t="s">
        <v>198</v>
      </c>
      <c r="E15" s="1087"/>
      <c r="F15" s="1086">
        <v>2.0</v>
      </c>
      <c r="G15" s="1088">
        <f>SUMIFS(BP_SOTIEN,BP_DA,$B15,BP_KM,$D15,BP_QUY,$G$2)/1000</f>
        <v>0</v>
      </c>
      <c r="H15" s="1089" t="str">
        <f t="shared" si="4"/>
        <v/>
      </c>
      <c r="I15" s="3"/>
      <c r="J15" s="1090">
        <f>IF(NOW()&gt;=DATE(YEAR(G$1),MONTH(G$1),DAY(G$1)),SUMIFS(TF_SOTIEN,TF_DA,$B15,TF_QUY,G$2,TF_KM,$D15)/1000, M15)</f>
        <v>8043670</v>
      </c>
      <c r="K15" s="1089">
        <f t="shared" si="5"/>
        <v>1.020123018</v>
      </c>
      <c r="L15" s="3"/>
      <c r="M15" s="1090">
        <f>HLOOKUP($G$2,BCTH_AC!$A$1:$AA$121,ROW(M15)-2,0)</f>
        <v>8043670</v>
      </c>
      <c r="N15" s="1089">
        <f t="shared" si="6"/>
        <v>1.020123018</v>
      </c>
      <c r="O15" s="3"/>
      <c r="P15" s="1090">
        <f t="shared" si="7"/>
        <v>8043670</v>
      </c>
      <c r="Q15" s="1091" t="str">
        <f t="shared" si="1"/>
        <v/>
      </c>
      <c r="R15" s="1090">
        <f t="shared" si="8"/>
        <v>0</v>
      </c>
      <c r="S15" s="1091">
        <f t="shared" si="2"/>
        <v>0</v>
      </c>
    </row>
    <row r="16" hidden="1" outlineLevel="1">
      <c r="A16" s="1086">
        <f t="shared" si="3"/>
        <v>12</v>
      </c>
      <c r="B16" s="656" t="s">
        <v>875</v>
      </c>
      <c r="C16" s="1087" t="str">
        <f>IF(B16="","",VLOOKUP(B16,DM_DUAN,2,0))</f>
        <v>Sản phẩm Long Khánh 2</v>
      </c>
      <c r="D16" s="1087" t="s">
        <v>198</v>
      </c>
      <c r="E16" s="1087"/>
      <c r="F16" s="1086">
        <v>2.0</v>
      </c>
      <c r="G16" s="1088">
        <f>SUMIFS(BP_SOTIEN,BP_DA,$B16,BP_KM,$D16,BP_QUY,$G$2)/1000</f>
        <v>0</v>
      </c>
      <c r="H16" s="1089" t="str">
        <f t="shared" si="4"/>
        <v/>
      </c>
      <c r="I16" s="3"/>
      <c r="J16" s="1090">
        <f>IF(NOW()&gt;=DATE(YEAR(G$1),MONTH(G$1),DAY(G$1)),SUMIFS(TF_SOTIEN,TF_DA,$B16,TF_QUY,G$2,TF_KM,$D16)/1000, M16)</f>
        <v>0</v>
      </c>
      <c r="K16" s="1089">
        <f t="shared" si="5"/>
        <v>0</v>
      </c>
      <c r="L16" s="3"/>
      <c r="M16" s="1090">
        <f>HLOOKUP($G$2,BCTH_AC!$A$1:$AA$121,ROW(M16)-2,0)</f>
        <v>0</v>
      </c>
      <c r="N16" s="1089">
        <f t="shared" si="6"/>
        <v>0</v>
      </c>
      <c r="O16" s="3"/>
      <c r="P16" s="1090">
        <f t="shared" si="7"/>
        <v>0</v>
      </c>
      <c r="Q16" s="1091" t="str">
        <f t="shared" si="1"/>
        <v/>
      </c>
      <c r="R16" s="1090">
        <f t="shared" si="8"/>
        <v>0</v>
      </c>
      <c r="S16" s="1091" t="str">
        <f t="shared" si="2"/>
        <v/>
      </c>
    </row>
    <row r="17" hidden="1" outlineLevel="1">
      <c r="A17" s="1086">
        <f t="shared" si="3"/>
        <v>13</v>
      </c>
      <c r="B17" s="656" t="s">
        <v>636</v>
      </c>
      <c r="C17" s="1087" t="str">
        <f>IF(B17="","",VLOOKUP(B17,DM_DUAN,2,0))</f>
        <v>Sản phẩm Long Khánh 3</v>
      </c>
      <c r="D17" s="1087" t="s">
        <v>198</v>
      </c>
      <c r="E17" s="1087"/>
      <c r="F17" s="1086">
        <v>2.0</v>
      </c>
      <c r="G17" s="1088">
        <f>SUMIFS(BP_SOTIEN,BP_DA,$B17,BP_KM,$D17,BP_QUY,$G$2)/1000</f>
        <v>0</v>
      </c>
      <c r="H17" s="1089" t="str">
        <f t="shared" si="4"/>
        <v/>
      </c>
      <c r="I17" s="3"/>
      <c r="J17" s="1090">
        <f>IF(NOW()&gt;=DATE(YEAR(G$1),MONTH(G$1),DAY(G$1)),SUMIFS(TF_SOTIEN,TF_DA,$B17,TF_QUY,G$2,TF_KM,$D17)/1000, M17)</f>
        <v>2244000</v>
      </c>
      <c r="K17" s="1089">
        <f t="shared" si="5"/>
        <v>0.2845909956</v>
      </c>
      <c r="L17" s="3"/>
      <c r="M17" s="1090">
        <f>HLOOKUP($G$2,BCTH_AC!$A$1:$AA$121,ROW(M17)-2,0)</f>
        <v>2244000</v>
      </c>
      <c r="N17" s="1089">
        <f t="shared" si="6"/>
        <v>0.2845909956</v>
      </c>
      <c r="O17" s="3"/>
      <c r="P17" s="1090">
        <f t="shared" si="7"/>
        <v>2244000</v>
      </c>
      <c r="Q17" s="1091" t="str">
        <f t="shared" si="1"/>
        <v/>
      </c>
      <c r="R17" s="1090">
        <f t="shared" si="8"/>
        <v>0</v>
      </c>
      <c r="S17" s="1091">
        <f t="shared" si="2"/>
        <v>0</v>
      </c>
    </row>
    <row r="18" hidden="1" outlineLevel="1">
      <c r="A18" s="1086">
        <f t="shared" si="3"/>
        <v>14</v>
      </c>
      <c r="B18" s="656" t="s">
        <v>956</v>
      </c>
      <c r="C18" s="1087" t="str">
        <f>IF(B18="","",VLOOKUP(B18,DM_DUAN,2,0))</f>
        <v>KDC Lộc Ngãi</v>
      </c>
      <c r="D18" s="1087" t="s">
        <v>198</v>
      </c>
      <c r="E18" s="1087"/>
      <c r="F18" s="1086">
        <v>2.0</v>
      </c>
      <c r="G18" s="1088">
        <f>SUMIFS(BP_SOTIEN,BP_DA,$B18,BP_KM,$D18,BP_QUY,$G$2)/1000</f>
        <v>0</v>
      </c>
      <c r="H18" s="1089" t="str">
        <f t="shared" si="4"/>
        <v/>
      </c>
      <c r="I18" s="3"/>
      <c r="J18" s="1090">
        <f>IF(NOW()&gt;=DATE(YEAR(G$1),MONTH(G$1),DAY(G$1)),SUMIFS(TF_SOTIEN,TF_DA,$B18,TF_QUY,G$2,TF_KM,$D18)/1000, M18)</f>
        <v>5081300</v>
      </c>
      <c r="K18" s="1089">
        <f t="shared" si="5"/>
        <v>0.6444261256</v>
      </c>
      <c r="L18" s="3"/>
      <c r="M18" s="1090">
        <f>HLOOKUP($G$2,BCTH_AC!$A$1:$AA$121,ROW(M18)-2,0)</f>
        <v>5081300</v>
      </c>
      <c r="N18" s="1089">
        <f t="shared" si="6"/>
        <v>0.6444261256</v>
      </c>
      <c r="O18" s="3"/>
      <c r="P18" s="1090">
        <f t="shared" si="7"/>
        <v>5081300</v>
      </c>
      <c r="Q18" s="1091" t="str">
        <f t="shared" si="1"/>
        <v/>
      </c>
      <c r="R18" s="1090">
        <f t="shared" si="8"/>
        <v>0</v>
      </c>
      <c r="S18" s="1091">
        <f t="shared" si="2"/>
        <v>0</v>
      </c>
    </row>
    <row r="19">
      <c r="A19" s="1826" t="s">
        <v>2822</v>
      </c>
      <c r="B19" s="1827"/>
      <c r="C19" s="1827"/>
      <c r="D19" s="1828"/>
      <c r="E19" s="1829">
        <v>511.0</v>
      </c>
      <c r="F19" s="1828"/>
      <c r="G19" s="1830">
        <f>SUM(G20:G33)</f>
        <v>0</v>
      </c>
      <c r="H19" s="1831" t="str">
        <f t="shared" si="4"/>
        <v/>
      </c>
      <c r="I19" s="3"/>
      <c r="J19" s="1830">
        <f>SUM(J20:J33)</f>
        <v>3156612</v>
      </c>
      <c r="K19" s="1831">
        <f t="shared" si="5"/>
        <v>0.4003312619</v>
      </c>
      <c r="L19" s="3"/>
      <c r="M19" s="1830">
        <f>SUM(M20:M33)</f>
        <v>3156612</v>
      </c>
      <c r="N19" s="1831">
        <f t="shared" si="6"/>
        <v>0.4003312619</v>
      </c>
      <c r="O19" s="3"/>
      <c r="P19" s="1830">
        <f t="shared" si="7"/>
        <v>3156612</v>
      </c>
      <c r="Q19" s="1832" t="str">
        <f t="shared" si="1"/>
        <v/>
      </c>
      <c r="R19" s="1830">
        <f t="shared" si="8"/>
        <v>0</v>
      </c>
      <c r="S19" s="1832">
        <f t="shared" si="2"/>
        <v>0</v>
      </c>
    </row>
    <row r="20" outlineLevel="1">
      <c r="A20" s="1086">
        <f t="shared" ref="A20:A33" si="9">IF(B20="","",COUNTA(B$19:B20))</f>
        <v>1</v>
      </c>
      <c r="B20" s="1087" t="s">
        <v>215</v>
      </c>
      <c r="C20" s="1087" t="str">
        <f>IF(B20="","",VLOOKUP(B20,DM_DUAN,2,0))</f>
        <v>Phước Đông Garden</v>
      </c>
      <c r="D20" s="1087" t="s">
        <v>187</v>
      </c>
      <c r="E20" s="1087"/>
      <c r="F20" s="1086">
        <v>2.0</v>
      </c>
      <c r="G20" s="1088">
        <f>SUMIFS(BP_SOTIEN,BP_DA,$B20,BP_KM,$D20,BP_QUY,$G$2)/1000</f>
        <v>0</v>
      </c>
      <c r="H20" s="1089" t="str">
        <f t="shared" ref="H20:H33" si="10">IFERROR(G20/SUMIF($B$5:$B$18,$B20,G$5:G$18),"")</f>
        <v/>
      </c>
      <c r="I20" s="1089" t="str">
        <f t="shared" ref="I20:I33" si="11">IFERROR(G20/G$19,"")</f>
        <v/>
      </c>
      <c r="J20" s="1090">
        <f>IF(NOW()&gt;=DATE(YEAR(G$1),MONTH(G$1),DAY(G$1)),SUMIFS(TF_SOTIEN,TF_DA,$B20,TF_QUY,G$2,TF_KM,$D20)/1000, M20)</f>
        <v>0</v>
      </c>
      <c r="K20" s="1089" t="str">
        <f t="shared" ref="K20:K33" si="12">IFERROR(J20/SUMIF($B$5:$B$18,$B20,J$5:J$18),"")</f>
        <v/>
      </c>
      <c r="L20" s="1089">
        <f t="shared" ref="L20:L33" si="13">IFERROR(J20/J$19,"")</f>
        <v>0</v>
      </c>
      <c r="M20" s="1090">
        <f>HLOOKUP($G$2,BCTH_AC!$A$1:$AA$121,ROW(M20)-1,0)</f>
        <v>0</v>
      </c>
      <c r="N20" s="1089" t="str">
        <f t="shared" ref="N20:N33" si="14">IFERROR(M20/SUMIF($B$5:$B$18,$B20,M$5:M$18),"")</f>
        <v/>
      </c>
      <c r="O20" s="1089">
        <f t="shared" ref="O20:O33" si="15">IFERROR(M20/M$19,"")</f>
        <v>0</v>
      </c>
      <c r="P20" s="1090">
        <f t="shared" si="7"/>
        <v>0</v>
      </c>
      <c r="Q20" s="1091" t="str">
        <f t="shared" si="1"/>
        <v/>
      </c>
      <c r="R20" s="1090">
        <f t="shared" si="8"/>
        <v>0</v>
      </c>
      <c r="S20" s="1091" t="str">
        <f t="shared" si="2"/>
        <v/>
      </c>
    </row>
    <row r="21" outlineLevel="1">
      <c r="A21" s="1086">
        <f t="shared" si="9"/>
        <v>2</v>
      </c>
      <c r="B21" s="1087" t="s">
        <v>404</v>
      </c>
      <c r="C21" s="1087" t="str">
        <f>IF(B21="","",VLOOKUP(B21,DM_DUAN,2,0))</f>
        <v>Hamil ton Garden</v>
      </c>
      <c r="D21" s="1087" t="s">
        <v>187</v>
      </c>
      <c r="E21" s="1087"/>
      <c r="F21" s="1086">
        <v>2.0</v>
      </c>
      <c r="G21" s="1088">
        <f>SUMIFS(BP_SOTIEN,BP_DA,$B21,BP_KM,$D21,BP_QUY,$G$2)/1000</f>
        <v>0</v>
      </c>
      <c r="H21" s="1089" t="str">
        <f t="shared" si="10"/>
        <v/>
      </c>
      <c r="I21" s="1089" t="str">
        <f t="shared" si="11"/>
        <v/>
      </c>
      <c r="J21" s="1090">
        <f>IF(NOW()&gt;=DATE(YEAR(G$1),MONTH(G$1),DAY(G$1)),SUMIFS(TF_SOTIEN,TF_DA,$B21,TF_QUY,G$2,TF_KM,$D21)/1000, M21)</f>
        <v>0</v>
      </c>
      <c r="K21" s="1089" t="str">
        <f t="shared" si="12"/>
        <v/>
      </c>
      <c r="L21" s="1089">
        <f t="shared" si="13"/>
        <v>0</v>
      </c>
      <c r="M21" s="1090">
        <f>HLOOKUP($G$2,BCTH_AC!$A$1:$AA$121,ROW(M21)-1,0)</f>
        <v>0</v>
      </c>
      <c r="N21" s="1089" t="str">
        <f t="shared" si="14"/>
        <v/>
      </c>
      <c r="O21" s="1089">
        <f t="shared" si="15"/>
        <v>0</v>
      </c>
      <c r="P21" s="1090">
        <f t="shared" si="7"/>
        <v>0</v>
      </c>
      <c r="Q21" s="1091" t="str">
        <f t="shared" si="1"/>
        <v/>
      </c>
      <c r="R21" s="1090">
        <f t="shared" si="8"/>
        <v>0</v>
      </c>
      <c r="S21" s="1091" t="str">
        <f t="shared" si="2"/>
        <v/>
      </c>
    </row>
    <row r="22" hidden="1" outlineLevel="1">
      <c r="A22" s="1086">
        <f t="shared" si="9"/>
        <v>3</v>
      </c>
      <c r="B22" s="1087" t="s">
        <v>533</v>
      </c>
      <c r="C22" s="1087" t="str">
        <f>IF(B22="","",VLOOKUP(B22,DM_DUAN,2,0))</f>
        <v>The sol city</v>
      </c>
      <c r="D22" s="1087" t="s">
        <v>187</v>
      </c>
      <c r="E22" s="1087"/>
      <c r="F22" s="1086">
        <v>2.0</v>
      </c>
      <c r="G22" s="1088">
        <f>SUMIFS(BP_SOTIEN,BP_DA,$B22,BP_KM,$D22,BP_QUY,$G$2)/1000</f>
        <v>0</v>
      </c>
      <c r="H22" s="1089" t="str">
        <f t="shared" si="10"/>
        <v/>
      </c>
      <c r="I22" s="1089" t="str">
        <f t="shared" si="11"/>
        <v/>
      </c>
      <c r="J22" s="1090">
        <f>IF(NOW()&gt;=DATE(YEAR(G$1),MONTH(G$1),DAY(G$1)),SUMIFS(TF_SOTIEN,TF_DA,$B22,TF_QUY,G$2,TF_KM,$D22)/1000, M22)</f>
        <v>0</v>
      </c>
      <c r="K22" s="1089" t="str">
        <f t="shared" si="12"/>
        <v/>
      </c>
      <c r="L22" s="1089">
        <f t="shared" si="13"/>
        <v>0</v>
      </c>
      <c r="M22" s="1090">
        <f>HLOOKUP($G$2,BCTH_AC!$A$1:$AA$121,ROW(M22)-1,0)</f>
        <v>0</v>
      </c>
      <c r="N22" s="1089" t="str">
        <f t="shared" si="14"/>
        <v/>
      </c>
      <c r="O22" s="1089">
        <f t="shared" si="15"/>
        <v>0</v>
      </c>
      <c r="P22" s="1090">
        <f t="shared" si="7"/>
        <v>0</v>
      </c>
      <c r="Q22" s="1091" t="str">
        <f t="shared" si="1"/>
        <v/>
      </c>
      <c r="R22" s="1090">
        <f t="shared" si="8"/>
        <v>0</v>
      </c>
      <c r="S22" s="1091" t="str">
        <f t="shared" si="2"/>
        <v/>
      </c>
    </row>
    <row r="23" outlineLevel="1">
      <c r="A23" s="1086">
        <f t="shared" si="9"/>
        <v>4</v>
      </c>
      <c r="B23" s="1087" t="s">
        <v>175</v>
      </c>
      <c r="C23" s="1087" t="str">
        <f>IF(B23="","",VLOOKUP(B23,DM_DUAN,2,0))</f>
        <v>Phước hội Hồ Tràm</v>
      </c>
      <c r="D23" s="1087" t="s">
        <v>187</v>
      </c>
      <c r="E23" s="1087"/>
      <c r="F23" s="1086">
        <v>2.0</v>
      </c>
      <c r="G23" s="1088">
        <f>SUMIFS(BP_SOTIEN,BP_DA,$B23,BP_KM,$D23,BP_QUY,$G$2)/1000</f>
        <v>0</v>
      </c>
      <c r="H23" s="1089" t="str">
        <f t="shared" si="10"/>
        <v/>
      </c>
      <c r="I23" s="1089" t="str">
        <f t="shared" si="11"/>
        <v/>
      </c>
      <c r="J23" s="1090">
        <f>IF(NOW()&gt;=DATE(YEAR(G$1),MONTH(G$1),DAY(G$1)),SUMIFS(TF_SOTIEN,TF_DA,$B23,TF_QUY,G$2,TF_KM,$D23)/1000, M23)</f>
        <v>0</v>
      </c>
      <c r="K23" s="1089" t="str">
        <f t="shared" si="12"/>
        <v/>
      </c>
      <c r="L23" s="1089">
        <f t="shared" si="13"/>
        <v>0</v>
      </c>
      <c r="M23" s="1090">
        <f>HLOOKUP($G$2,BCTH_AC!$A$1:$AA$121,ROW(M23)-1,0)</f>
        <v>0</v>
      </c>
      <c r="N23" s="1089" t="str">
        <f t="shared" si="14"/>
        <v/>
      </c>
      <c r="O23" s="1089">
        <f t="shared" si="15"/>
        <v>0</v>
      </c>
      <c r="P23" s="1090">
        <f t="shared" si="7"/>
        <v>0</v>
      </c>
      <c r="Q23" s="1091" t="str">
        <f t="shared" si="1"/>
        <v/>
      </c>
      <c r="R23" s="1090">
        <f t="shared" si="8"/>
        <v>0</v>
      </c>
      <c r="S23" s="1091" t="str">
        <f t="shared" si="2"/>
        <v/>
      </c>
    </row>
    <row r="24" outlineLevel="1">
      <c r="A24" s="1086">
        <f t="shared" si="9"/>
        <v>5</v>
      </c>
      <c r="B24" s="1087" t="s">
        <v>2067</v>
      </c>
      <c r="C24" s="1087" t="str">
        <f>IF(B24="","",VLOOKUP(B24,DM_DUAN,2,0))</f>
        <v>NAM PHONG</v>
      </c>
      <c r="D24" s="1087" t="s">
        <v>187</v>
      </c>
      <c r="E24" s="1087"/>
      <c r="F24" s="1086">
        <v>2.0</v>
      </c>
      <c r="G24" s="1088">
        <f>SUMIFS(BP_SOTIEN,BP_DA,$B24,BP_KM,$D24,BP_QUY,$G$2)/1000</f>
        <v>0</v>
      </c>
      <c r="H24" s="1089" t="str">
        <f t="shared" si="10"/>
        <v/>
      </c>
      <c r="I24" s="1089" t="str">
        <f t="shared" si="11"/>
        <v/>
      </c>
      <c r="J24" s="1090">
        <f>IF(NOW()&gt;=DATE(YEAR(G$1),MONTH(G$1),DAY(G$1)),SUMIFS(TF_SOTIEN,TF_DA,$B24,TF_QUY,G$2,TF_KM,$D24)/1000, M24)</f>
        <v>0</v>
      </c>
      <c r="K24" s="1089" t="str">
        <f t="shared" si="12"/>
        <v/>
      </c>
      <c r="L24" s="1089">
        <f t="shared" si="13"/>
        <v>0</v>
      </c>
      <c r="M24" s="1090">
        <f>HLOOKUP($G$2,BCTH_AC!$A$1:$AA$121,ROW(M24)-1,0)</f>
        <v>0</v>
      </c>
      <c r="N24" s="1089" t="str">
        <f t="shared" si="14"/>
        <v/>
      </c>
      <c r="O24" s="1089">
        <f t="shared" si="15"/>
        <v>0</v>
      </c>
      <c r="P24" s="1090">
        <f t="shared" si="7"/>
        <v>0</v>
      </c>
      <c r="Q24" s="1091" t="str">
        <f t="shared" si="1"/>
        <v/>
      </c>
      <c r="R24" s="1090">
        <f t="shared" si="8"/>
        <v>0</v>
      </c>
      <c r="S24" s="1091" t="str">
        <f t="shared" si="2"/>
        <v/>
      </c>
    </row>
    <row r="25" outlineLevel="1">
      <c r="A25" s="1086">
        <f t="shared" si="9"/>
        <v>6</v>
      </c>
      <c r="B25" s="656" t="s">
        <v>638</v>
      </c>
      <c r="C25" s="1087" t="str">
        <f>IF(B25="","",VLOOKUP(B25,DM_DUAN,2,0))</f>
        <v>Sản phẩm Phước Vinh</v>
      </c>
      <c r="D25" s="1087" t="s">
        <v>187</v>
      </c>
      <c r="E25" s="1087"/>
      <c r="F25" s="1086">
        <v>2.0</v>
      </c>
      <c r="G25" s="1088">
        <f>SUMIFS(BP_SOTIEN,BP_DA,$B25,BP_KM,$D25,BP_QUY,$G$2)/1000</f>
        <v>0</v>
      </c>
      <c r="H25" s="1089" t="str">
        <f t="shared" si="10"/>
        <v/>
      </c>
      <c r="I25" s="1089" t="str">
        <f t="shared" si="11"/>
        <v/>
      </c>
      <c r="J25" s="1090">
        <f>IF(NOW()&gt;=DATE(YEAR(G$1),MONTH(G$1),DAY(G$1)),SUMIFS(TF_SOTIEN,TF_DA,$B25,TF_QUY,G$2,TF_KM,$D25)/1000, M25)</f>
        <v>1559000</v>
      </c>
      <c r="K25" s="1089">
        <f t="shared" si="12"/>
        <v>0.1977171845</v>
      </c>
      <c r="L25" s="1089">
        <f t="shared" si="13"/>
        <v>0.493883949</v>
      </c>
      <c r="M25" s="1090">
        <f>HLOOKUP($G$2,BCTH_AC!$A$1:$AA$121,ROW(M25)-1,0)</f>
        <v>1559000</v>
      </c>
      <c r="N25" s="1089">
        <f t="shared" si="14"/>
        <v>0.1977171845</v>
      </c>
      <c r="O25" s="1089">
        <f t="shared" si="15"/>
        <v>0.493883949</v>
      </c>
      <c r="P25" s="1090">
        <f t="shared" si="7"/>
        <v>1559000</v>
      </c>
      <c r="Q25" s="1091" t="str">
        <f t="shared" si="1"/>
        <v/>
      </c>
      <c r="R25" s="1090">
        <f t="shared" si="8"/>
        <v>0</v>
      </c>
      <c r="S25" s="1091">
        <f t="shared" si="2"/>
        <v>0</v>
      </c>
    </row>
    <row r="26" outlineLevel="1">
      <c r="A26" s="1086">
        <f t="shared" si="9"/>
        <v>7</v>
      </c>
      <c r="B26" s="1087" t="s">
        <v>2070</v>
      </c>
      <c r="C26" s="1087" t="str">
        <f>IF(B26="","",VLOOKUP(B26,DM_DUAN,2,0))</f>
        <v>KHANG VƯỢNG</v>
      </c>
      <c r="D26" s="1087" t="s">
        <v>187</v>
      </c>
      <c r="E26" s="1087"/>
      <c r="F26" s="1086">
        <v>2.0</v>
      </c>
      <c r="G26" s="1088">
        <f>SUMIFS(BP_SOTIEN,BP_DA,$B26,BP_KM,$D26,BP_QUY,$G$2)/1000</f>
        <v>0</v>
      </c>
      <c r="H26" s="1089" t="str">
        <f t="shared" si="10"/>
        <v/>
      </c>
      <c r="I26" s="1089" t="str">
        <f t="shared" si="11"/>
        <v/>
      </c>
      <c r="J26" s="1090">
        <f>IF(NOW()&gt;=DATE(YEAR(G$1),MONTH(G$1),DAY(G$1)),SUMIFS(TF_SOTIEN,TF_DA,$B26,TF_QUY,G$2,TF_KM,$D26)/1000, M26)</f>
        <v>0</v>
      </c>
      <c r="K26" s="1089" t="str">
        <f t="shared" si="12"/>
        <v/>
      </c>
      <c r="L26" s="1089">
        <f t="shared" si="13"/>
        <v>0</v>
      </c>
      <c r="M26" s="1090">
        <f>HLOOKUP($G$2,BCTH_AC!$A$1:$AA$121,ROW(M26)-1,0)</f>
        <v>0</v>
      </c>
      <c r="N26" s="1089" t="str">
        <f t="shared" si="14"/>
        <v/>
      </c>
      <c r="O26" s="1089">
        <f t="shared" si="15"/>
        <v>0</v>
      </c>
      <c r="P26" s="1090">
        <f t="shared" si="7"/>
        <v>0</v>
      </c>
      <c r="Q26" s="1091" t="str">
        <f t="shared" si="1"/>
        <v/>
      </c>
      <c r="R26" s="1090">
        <f t="shared" si="8"/>
        <v>0</v>
      </c>
      <c r="S26" s="1091" t="str">
        <f t="shared" si="2"/>
        <v/>
      </c>
    </row>
    <row r="27" outlineLevel="1">
      <c r="A27" s="1086">
        <f t="shared" si="9"/>
        <v>8</v>
      </c>
      <c r="B27" s="1087" t="s">
        <v>2072</v>
      </c>
      <c r="C27" s="1087" t="str">
        <f>IF(B27="","",VLOOKUP(B27,DM_DUAN,2,0))</f>
        <v>TRẦN ANH GROUP</v>
      </c>
      <c r="D27" s="1087" t="s">
        <v>187</v>
      </c>
      <c r="E27" s="1087"/>
      <c r="F27" s="1086">
        <v>2.0</v>
      </c>
      <c r="G27" s="1088">
        <f>SUMIFS(BP_SOTIEN,BP_DA,$B27,BP_KM,$D27,BP_QUY,$G$2)/1000</f>
        <v>0</v>
      </c>
      <c r="H27" s="1089" t="str">
        <f t="shared" si="10"/>
        <v/>
      </c>
      <c r="I27" s="1089" t="str">
        <f t="shared" si="11"/>
        <v/>
      </c>
      <c r="J27" s="1090">
        <f>IF(NOW()&gt;=DATE(YEAR(G$1),MONTH(G$1),DAY(G$1)),SUMIFS(TF_SOTIEN,TF_DA,$B27,TF_QUY,G$2,TF_KM,$D27)/1000, M27)</f>
        <v>0</v>
      </c>
      <c r="K27" s="1089" t="str">
        <f t="shared" si="12"/>
        <v/>
      </c>
      <c r="L27" s="1089">
        <f t="shared" si="13"/>
        <v>0</v>
      </c>
      <c r="M27" s="1090">
        <f>HLOOKUP($G$2,BCTH_AC!$A$1:$AA$121,ROW(M27)-1,0)</f>
        <v>0</v>
      </c>
      <c r="N27" s="1089" t="str">
        <f t="shared" si="14"/>
        <v/>
      </c>
      <c r="O27" s="1089">
        <f t="shared" si="15"/>
        <v>0</v>
      </c>
      <c r="P27" s="1090">
        <f t="shared" si="7"/>
        <v>0</v>
      </c>
      <c r="Q27" s="1091" t="str">
        <f t="shared" si="1"/>
        <v/>
      </c>
      <c r="R27" s="1090">
        <f t="shared" si="8"/>
        <v>0</v>
      </c>
      <c r="S27" s="1091" t="str">
        <f t="shared" si="2"/>
        <v/>
      </c>
    </row>
    <row r="28" outlineLevel="1">
      <c r="A28" s="1086">
        <f t="shared" si="9"/>
        <v>9</v>
      </c>
      <c r="B28" s="1087" t="s">
        <v>2073</v>
      </c>
      <c r="C28" s="1087" t="str">
        <f>IF(B28="","",VLOOKUP(B28,DM_DUAN,2,0))</f>
        <v>PHI TRƯỜNG</v>
      </c>
      <c r="D28" s="1087" t="s">
        <v>187</v>
      </c>
      <c r="E28" s="1087"/>
      <c r="F28" s="1086">
        <v>2.0</v>
      </c>
      <c r="G28" s="1088">
        <f>SUMIFS(BP_SOTIEN,BP_DA,$B28,BP_KM,$D28,BP_QUY,$G$2)/1000</f>
        <v>0</v>
      </c>
      <c r="H28" s="1089" t="str">
        <f t="shared" si="10"/>
        <v/>
      </c>
      <c r="I28" s="1089" t="str">
        <f t="shared" si="11"/>
        <v/>
      </c>
      <c r="J28" s="1090">
        <f>IF(NOW()&gt;=DATE(YEAR(G$1),MONTH(G$1),DAY(G$1)),SUMIFS(TF_SOTIEN,TF_DA,$B28,TF_QUY,G$2,TF_KM,$D28)/1000, M28)</f>
        <v>0</v>
      </c>
      <c r="K28" s="1089" t="str">
        <f t="shared" si="12"/>
        <v/>
      </c>
      <c r="L28" s="1089">
        <f t="shared" si="13"/>
        <v>0</v>
      </c>
      <c r="M28" s="1090">
        <f>HLOOKUP($G$2,BCTH_AC!$A$1:$AA$121,ROW(M28)-1,0)</f>
        <v>0</v>
      </c>
      <c r="N28" s="1089" t="str">
        <f t="shared" si="14"/>
        <v/>
      </c>
      <c r="O28" s="1089">
        <f t="shared" si="15"/>
        <v>0</v>
      </c>
      <c r="P28" s="1090">
        <f t="shared" si="7"/>
        <v>0</v>
      </c>
      <c r="Q28" s="1091" t="str">
        <f t="shared" si="1"/>
        <v/>
      </c>
      <c r="R28" s="1090">
        <f t="shared" si="8"/>
        <v>0</v>
      </c>
      <c r="S28" s="1091" t="str">
        <f t="shared" si="2"/>
        <v/>
      </c>
    </row>
    <row r="29" outlineLevel="1">
      <c r="A29" s="1086">
        <f t="shared" si="9"/>
        <v>10</v>
      </c>
      <c r="B29" s="1087" t="s">
        <v>2074</v>
      </c>
      <c r="C29" s="1087" t="str">
        <f>IF(B29="","",VLOOKUP(B29,DM_DUAN,2,0))</f>
        <v>HOÀNG CÁT</v>
      </c>
      <c r="D29" s="1087" t="s">
        <v>187</v>
      </c>
      <c r="E29" s="1087"/>
      <c r="F29" s="1086">
        <v>2.0</v>
      </c>
      <c r="G29" s="1088">
        <f>SUMIFS(BP_SOTIEN,BP_DA,$B29,BP_KM,$D29,BP_QUY,$G$2)/1000</f>
        <v>0</v>
      </c>
      <c r="H29" s="1089" t="str">
        <f t="shared" si="10"/>
        <v/>
      </c>
      <c r="I29" s="1089" t="str">
        <f t="shared" si="11"/>
        <v/>
      </c>
      <c r="J29" s="1090">
        <f>IF(NOW()&gt;=DATE(YEAR(G$1),MONTH(G$1),DAY(G$1)),SUMIFS(TF_SOTIEN,TF_DA,$B29,TF_QUY,G$2,TF_KM,$D29)/1000, M29)</f>
        <v>0</v>
      </c>
      <c r="K29" s="1089" t="str">
        <f t="shared" si="12"/>
        <v/>
      </c>
      <c r="L29" s="1089">
        <f t="shared" si="13"/>
        <v>0</v>
      </c>
      <c r="M29" s="1090">
        <f>HLOOKUP($G$2,BCTH_AC!$A$1:$AA$121,ROW(M29)-1,0)</f>
        <v>0</v>
      </c>
      <c r="N29" s="1089" t="str">
        <f t="shared" si="14"/>
        <v/>
      </c>
      <c r="O29" s="1089">
        <f t="shared" si="15"/>
        <v>0</v>
      </c>
      <c r="P29" s="1090">
        <f t="shared" si="7"/>
        <v>0</v>
      </c>
      <c r="Q29" s="1091" t="str">
        <f t="shared" si="1"/>
        <v/>
      </c>
      <c r="R29" s="1090">
        <f t="shared" si="8"/>
        <v>0</v>
      </c>
      <c r="S29" s="1091" t="str">
        <f t="shared" si="2"/>
        <v/>
      </c>
    </row>
    <row r="30" outlineLevel="1">
      <c r="A30" s="1086">
        <f t="shared" si="9"/>
        <v>11</v>
      </c>
      <c r="B30" s="656" t="s">
        <v>530</v>
      </c>
      <c r="C30" s="1087" t="str">
        <f>IF(B30="","",VLOOKUP(B30,DM_DUAN,2,0))</f>
        <v>Nhà vườn sinh thái</v>
      </c>
      <c r="D30" s="1087" t="s">
        <v>187</v>
      </c>
      <c r="E30" s="1087"/>
      <c r="F30" s="1086">
        <v>2.0</v>
      </c>
      <c r="G30" s="1088">
        <f>SUMIFS(BP_SOTIEN,BP_DA,$B30,BP_KM,$D30,BP_QUY,$G$2)/1000</f>
        <v>0</v>
      </c>
      <c r="H30" s="1089" t="str">
        <f t="shared" si="10"/>
        <v/>
      </c>
      <c r="I30" s="1089" t="str">
        <f t="shared" si="11"/>
        <v/>
      </c>
      <c r="J30" s="1090">
        <f>IF(NOW()&gt;=DATE(YEAR(G$1),MONTH(G$1),DAY(G$1)),SUMIFS(TF_SOTIEN,TF_DA,$B30,TF_QUY,G$2,TF_KM,$D30)/1000, M30)</f>
        <v>677000</v>
      </c>
      <c r="K30" s="1089">
        <f t="shared" si="12"/>
        <v>0.08416556124</v>
      </c>
      <c r="L30" s="1089">
        <f t="shared" si="13"/>
        <v>0.2144704512</v>
      </c>
      <c r="M30" s="1090">
        <f>HLOOKUP($G$2,BCTH_AC!$A$1:$AA$121,ROW(M30)-1,0)</f>
        <v>677000</v>
      </c>
      <c r="N30" s="1089">
        <f t="shared" si="14"/>
        <v>0.08416556124</v>
      </c>
      <c r="O30" s="1089">
        <f t="shared" si="15"/>
        <v>0.2144704512</v>
      </c>
      <c r="P30" s="1090">
        <f t="shared" si="7"/>
        <v>677000</v>
      </c>
      <c r="Q30" s="1091" t="str">
        <f t="shared" si="1"/>
        <v/>
      </c>
      <c r="R30" s="1090">
        <f t="shared" si="8"/>
        <v>0</v>
      </c>
      <c r="S30" s="1091">
        <f t="shared" si="2"/>
        <v>0</v>
      </c>
    </row>
    <row r="31" hidden="1" outlineLevel="1">
      <c r="A31" s="1086">
        <f t="shared" si="9"/>
        <v>12</v>
      </c>
      <c r="B31" s="656" t="s">
        <v>875</v>
      </c>
      <c r="C31" s="1087" t="str">
        <f>IF(B31="","",VLOOKUP(B31,DM_DUAN,2,0))</f>
        <v>Sản phẩm Long Khánh 2</v>
      </c>
      <c r="D31" s="1087" t="s">
        <v>187</v>
      </c>
      <c r="E31" s="1087"/>
      <c r="F31" s="1086">
        <v>2.0</v>
      </c>
      <c r="G31" s="1088">
        <f>SUMIFS(BP_SOTIEN,BP_DA,$B31,BP_KM,$D31,BP_QUY,$G$2)/1000</f>
        <v>0</v>
      </c>
      <c r="H31" s="1089" t="str">
        <f t="shared" si="10"/>
        <v/>
      </c>
      <c r="I31" s="1089" t="str">
        <f t="shared" si="11"/>
        <v/>
      </c>
      <c r="J31" s="1090">
        <f>IF(NOW()&gt;=DATE(YEAR(G$1),MONTH(G$1),DAY(G$1)),SUMIFS(TF_SOTIEN,TF_DA,$B31,TF_QUY,G$2,TF_KM,$D31)/1000, M31)</f>
        <v>0</v>
      </c>
      <c r="K31" s="1089" t="str">
        <f t="shared" si="12"/>
        <v/>
      </c>
      <c r="L31" s="1089">
        <f t="shared" si="13"/>
        <v>0</v>
      </c>
      <c r="M31" s="1090">
        <f>HLOOKUP($G$2,BCTH_AC!$A$1:$AA$121,ROW(M31)-1,0)</f>
        <v>0</v>
      </c>
      <c r="N31" s="1089" t="str">
        <f t="shared" si="14"/>
        <v/>
      </c>
      <c r="O31" s="1089">
        <f t="shared" si="15"/>
        <v>0</v>
      </c>
      <c r="P31" s="1090">
        <f t="shared" si="7"/>
        <v>0</v>
      </c>
      <c r="Q31" s="1091" t="str">
        <f t="shared" si="1"/>
        <v/>
      </c>
      <c r="R31" s="1090">
        <f t="shared" si="8"/>
        <v>0</v>
      </c>
      <c r="S31" s="1091" t="str">
        <f t="shared" si="2"/>
        <v/>
      </c>
    </row>
    <row r="32" outlineLevel="1">
      <c r="A32" s="1086">
        <f t="shared" si="9"/>
        <v>13</v>
      </c>
      <c r="B32" s="656" t="s">
        <v>636</v>
      </c>
      <c r="C32" s="1087" t="str">
        <f>IF(B32="","",VLOOKUP(B32,DM_DUAN,2,0))</f>
        <v>Sản phẩm Long Khánh 3</v>
      </c>
      <c r="D32" s="1087" t="s">
        <v>187</v>
      </c>
      <c r="E32" s="1087"/>
      <c r="F32" s="1086">
        <v>2.0</v>
      </c>
      <c r="G32" s="1088">
        <f>SUMIFS(BP_SOTIEN,BP_DA,$B32,BP_KM,$D32,BP_QUY,$G$2)/1000</f>
        <v>0</v>
      </c>
      <c r="H32" s="1089" t="str">
        <f t="shared" si="10"/>
        <v/>
      </c>
      <c r="I32" s="1089" t="str">
        <f t="shared" si="11"/>
        <v/>
      </c>
      <c r="J32" s="1090">
        <f>IF(NOW()&gt;=DATE(YEAR(G$1),MONTH(G$1),DAY(G$1)),SUMIFS(TF_SOTIEN,TF_DA,$B32,TF_QUY,G$2,TF_KM,$D32)/1000, M32)</f>
        <v>365040</v>
      </c>
      <c r="K32" s="1089">
        <f t="shared" si="12"/>
        <v>0.1626737968</v>
      </c>
      <c r="L32" s="1089">
        <f t="shared" si="13"/>
        <v>0.1156429742</v>
      </c>
      <c r="M32" s="1090">
        <f>HLOOKUP($G$2,BCTH_AC!$A$1:$AA$121,ROW(M32)-1,0)</f>
        <v>365040</v>
      </c>
      <c r="N32" s="1089">
        <f t="shared" si="14"/>
        <v>0.1626737968</v>
      </c>
      <c r="O32" s="1089">
        <f t="shared" si="15"/>
        <v>0.1156429742</v>
      </c>
      <c r="P32" s="1090">
        <f t="shared" si="7"/>
        <v>365040</v>
      </c>
      <c r="Q32" s="1091" t="str">
        <f t="shared" si="1"/>
        <v/>
      </c>
      <c r="R32" s="1090">
        <f t="shared" si="8"/>
        <v>0</v>
      </c>
      <c r="S32" s="1091">
        <f t="shared" si="2"/>
        <v>0</v>
      </c>
    </row>
    <row r="33" outlineLevel="1">
      <c r="A33" s="1086">
        <f t="shared" si="9"/>
        <v>14</v>
      </c>
      <c r="B33" s="656" t="s">
        <v>956</v>
      </c>
      <c r="C33" s="1087" t="str">
        <f>IF(B33="","",VLOOKUP(B33,DM_DUAN,2,0))</f>
        <v>KDC Lộc Ngãi</v>
      </c>
      <c r="D33" s="1087" t="s">
        <v>187</v>
      </c>
      <c r="E33" s="1087"/>
      <c r="F33" s="1086">
        <v>2.0</v>
      </c>
      <c r="G33" s="1088">
        <f>SUMIFS(BP_SOTIEN,BP_DA,$B33,BP_KM,$D33,BP_QUY,$G$2)/1000</f>
        <v>0</v>
      </c>
      <c r="H33" s="1089" t="str">
        <f t="shared" si="10"/>
        <v/>
      </c>
      <c r="I33" s="1089" t="str">
        <f t="shared" si="11"/>
        <v/>
      </c>
      <c r="J33" s="1090">
        <f>IF(NOW()&gt;=DATE(YEAR(G$1),MONTH(G$1),DAY(G$1)),SUMIFS(TF_SOTIEN,TF_DA,$B33,TF_QUY,G$2,TF_KM,$D33)/1000, M33)</f>
        <v>555572</v>
      </c>
      <c r="K33" s="1089">
        <f t="shared" si="12"/>
        <v>0.1093365871</v>
      </c>
      <c r="L33" s="1089">
        <f t="shared" si="13"/>
        <v>0.1760026256</v>
      </c>
      <c r="M33" s="1090">
        <f>HLOOKUP($G$2,BCTH_AC!$A$1:$AA$121,ROW(M33)-1,0)</f>
        <v>555572</v>
      </c>
      <c r="N33" s="1089">
        <f t="shared" si="14"/>
        <v>0.1093365871</v>
      </c>
      <c r="O33" s="1089">
        <f t="shared" si="15"/>
        <v>0.1760026256</v>
      </c>
      <c r="P33" s="1090">
        <f t="shared" si="7"/>
        <v>555572</v>
      </c>
      <c r="Q33" s="1091" t="str">
        <f t="shared" si="1"/>
        <v/>
      </c>
      <c r="R33" s="1090">
        <f t="shared" si="8"/>
        <v>0</v>
      </c>
      <c r="S33" s="1091">
        <f t="shared" si="2"/>
        <v>0</v>
      </c>
    </row>
    <row r="34" collapsed="1">
      <c r="A34" s="1833" t="s">
        <v>2823</v>
      </c>
      <c r="B34" s="1834"/>
      <c r="C34" s="1834"/>
      <c r="D34" s="1834"/>
      <c r="E34" s="1834"/>
      <c r="F34" s="1834"/>
      <c r="G34" s="1835">
        <f>SUM(G35:G48)</f>
        <v>0</v>
      </c>
      <c r="H34" s="1836" t="str">
        <f t="shared" ref="H34:H75" si="16">IFERROR(G34/G$19,"")</f>
        <v/>
      </c>
      <c r="I34" s="3"/>
      <c r="J34" s="1835">
        <f>SUM(J35:J48)</f>
        <v>0</v>
      </c>
      <c r="K34" s="1836">
        <f t="shared" ref="K34:K75" si="17">IFERROR(J34/J$19,"")</f>
        <v>0</v>
      </c>
      <c r="L34" s="3"/>
      <c r="M34" s="1835">
        <f>SUM(M35:M48)</f>
        <v>0</v>
      </c>
      <c r="N34" s="1836">
        <f t="shared" ref="N34:N75" si="18">IFERROR(M34/M$19,"")</f>
        <v>0</v>
      </c>
      <c r="O34" s="3"/>
      <c r="P34" s="1837">
        <f t="shared" si="7"/>
        <v>0</v>
      </c>
      <c r="Q34" s="1838" t="str">
        <f t="shared" si="1"/>
        <v/>
      </c>
      <c r="R34" s="1837">
        <f t="shared" si="8"/>
        <v>0</v>
      </c>
      <c r="S34" s="1838" t="str">
        <f t="shared" si="2"/>
        <v/>
      </c>
    </row>
    <row r="35" hidden="1" outlineLevel="1">
      <c r="A35" s="1086">
        <f t="shared" ref="A35:A48" si="19">IF(B35="","",COUNTA(B$35:B35))</f>
        <v>1</v>
      </c>
      <c r="B35" s="1087" t="s">
        <v>215</v>
      </c>
      <c r="C35" s="1087" t="str">
        <f>IF(B35="","",VLOOKUP(B35,DM_DUAN,2,0))</f>
        <v>Phước Đông Garden</v>
      </c>
      <c r="D35" s="1087" t="s">
        <v>2239</v>
      </c>
      <c r="E35" s="1087"/>
      <c r="F35" s="1086">
        <v>2.0</v>
      </c>
      <c r="G35" s="1088">
        <f>SUMIFS(BP_SOTIEN,BP_DA,$B35,BP_KM,$D35)/1000</f>
        <v>0</v>
      </c>
      <c r="H35" s="1089" t="str">
        <f t="shared" si="16"/>
        <v/>
      </c>
      <c r="I35" s="1089" t="str">
        <f t="shared" ref="I35:I48" si="20">IFERROR(G35/G$34,"")</f>
        <v/>
      </c>
      <c r="J35" s="1090">
        <f>IF(NOW()&gt;=DATE(YEAR(G$1),MONTH(G$1),DAY(G$1)),SUMIFS(TF_SOTIEN,TF_DA,$B35,TF_QUY,G$2,TF_KM,$D35)/1000, M35)</f>
        <v>0</v>
      </c>
      <c r="K35" s="1089">
        <f t="shared" si="17"/>
        <v>0</v>
      </c>
      <c r="L35" s="1089" t="str">
        <f t="shared" ref="L35:L48" si="21">IFERROR(J35/J$34,"")</f>
        <v/>
      </c>
      <c r="M35" s="1090">
        <f>HLOOKUP($G$2,BCTH_AC!$A$1:$AA$121,ROW(M35)-2,0)</f>
        <v>0</v>
      </c>
      <c r="N35" s="1089">
        <f t="shared" si="18"/>
        <v>0</v>
      </c>
      <c r="O35" s="1089" t="str">
        <f t="shared" ref="O35:O48" si="22">IFERROR(M35/M$34,"")</f>
        <v/>
      </c>
      <c r="P35" s="1090">
        <f t="shared" si="7"/>
        <v>0</v>
      </c>
      <c r="Q35" s="1091" t="str">
        <f t="shared" si="1"/>
        <v/>
      </c>
      <c r="R35" s="1090">
        <f t="shared" si="8"/>
        <v>0</v>
      </c>
      <c r="S35" s="1091" t="str">
        <f t="shared" si="2"/>
        <v/>
      </c>
    </row>
    <row r="36" hidden="1" outlineLevel="1">
      <c r="A36" s="1086">
        <f t="shared" si="19"/>
        <v>2</v>
      </c>
      <c r="B36" s="1087" t="s">
        <v>404</v>
      </c>
      <c r="C36" s="1087" t="str">
        <f>IF(B36="","",VLOOKUP(B36,DM_DUAN,2,0))</f>
        <v>Hamil ton Garden</v>
      </c>
      <c r="D36" s="1087" t="s">
        <v>2239</v>
      </c>
      <c r="E36" s="1087"/>
      <c r="F36" s="1086">
        <v>2.0</v>
      </c>
      <c r="G36" s="1088">
        <f>SUMIFS(BP_SOTIEN,BP_DA,$B36,BP_KM,$D36)/1000</f>
        <v>0</v>
      </c>
      <c r="H36" s="1089" t="str">
        <f t="shared" si="16"/>
        <v/>
      </c>
      <c r="I36" s="1089" t="str">
        <f t="shared" si="20"/>
        <v/>
      </c>
      <c r="J36" s="1090">
        <f>IF(NOW()&gt;=DATE(YEAR(G$1),MONTH(G$1),DAY(G$1)),SUMIFS(TF_SOTIEN,TF_DA,$B36,TF_QUY,G$2,TF_KM,$D36)/1000, M36)</f>
        <v>0</v>
      </c>
      <c r="K36" s="1089">
        <f t="shared" si="17"/>
        <v>0</v>
      </c>
      <c r="L36" s="1089" t="str">
        <f t="shared" si="21"/>
        <v/>
      </c>
      <c r="M36" s="1090">
        <f>HLOOKUP($G$2,BCTH_AC!$A$1:$AA$121,ROW(M36)-2,0)</f>
        <v>0</v>
      </c>
      <c r="N36" s="1089">
        <f t="shared" si="18"/>
        <v>0</v>
      </c>
      <c r="O36" s="1089" t="str">
        <f t="shared" si="22"/>
        <v/>
      </c>
      <c r="P36" s="1090">
        <f t="shared" si="7"/>
        <v>0</v>
      </c>
      <c r="Q36" s="1091" t="str">
        <f t="shared" si="1"/>
        <v/>
      </c>
      <c r="R36" s="1090">
        <f t="shared" si="8"/>
        <v>0</v>
      </c>
      <c r="S36" s="1091" t="str">
        <f t="shared" si="2"/>
        <v/>
      </c>
    </row>
    <row r="37" hidden="1" outlineLevel="1">
      <c r="A37" s="1086">
        <f t="shared" si="19"/>
        <v>3</v>
      </c>
      <c r="B37" s="1087" t="s">
        <v>533</v>
      </c>
      <c r="C37" s="1087" t="str">
        <f>IF(B37="","",VLOOKUP(B37,DM_DUAN,2,0))</f>
        <v>The sol city</v>
      </c>
      <c r="D37" s="1087" t="s">
        <v>2239</v>
      </c>
      <c r="E37" s="1087"/>
      <c r="F37" s="1086">
        <v>2.0</v>
      </c>
      <c r="G37" s="1088">
        <f>SUMIFS(BP_SOTIEN,BP_DA,$B37,BP_KM,$D37)/1000</f>
        <v>0</v>
      </c>
      <c r="H37" s="1089" t="str">
        <f t="shared" si="16"/>
        <v/>
      </c>
      <c r="I37" s="1089" t="str">
        <f t="shared" si="20"/>
        <v/>
      </c>
      <c r="J37" s="1090">
        <f>IF(NOW()&gt;=DATE(YEAR(G$1),MONTH(G$1),DAY(G$1)),SUMIFS(TF_SOTIEN,TF_DA,$B37,TF_QUY,G$2,TF_KM,$D37)/1000, M37)</f>
        <v>0</v>
      </c>
      <c r="K37" s="1089">
        <f t="shared" si="17"/>
        <v>0</v>
      </c>
      <c r="L37" s="1089" t="str">
        <f t="shared" si="21"/>
        <v/>
      </c>
      <c r="M37" s="1090">
        <f>HLOOKUP($G$2,BCTH_AC!$A$1:$AA$121,ROW(M37)-2,0)</f>
        <v>0</v>
      </c>
      <c r="N37" s="1089">
        <f t="shared" si="18"/>
        <v>0</v>
      </c>
      <c r="O37" s="1089" t="str">
        <f t="shared" si="22"/>
        <v/>
      </c>
      <c r="P37" s="1090">
        <f t="shared" si="7"/>
        <v>0</v>
      </c>
      <c r="Q37" s="1091" t="str">
        <f t="shared" si="1"/>
        <v/>
      </c>
      <c r="R37" s="1090">
        <f t="shared" si="8"/>
        <v>0</v>
      </c>
      <c r="S37" s="1091" t="str">
        <f t="shared" si="2"/>
        <v/>
      </c>
    </row>
    <row r="38" hidden="1" outlineLevel="1">
      <c r="A38" s="1086">
        <f t="shared" si="19"/>
        <v>4</v>
      </c>
      <c r="B38" s="1087" t="s">
        <v>175</v>
      </c>
      <c r="C38" s="1087" t="str">
        <f>IF(B38="","",VLOOKUP(B38,DM_DUAN,2,0))</f>
        <v>Phước hội Hồ Tràm</v>
      </c>
      <c r="D38" s="1087" t="s">
        <v>2239</v>
      </c>
      <c r="E38" s="1087"/>
      <c r="F38" s="1086">
        <v>2.0</v>
      </c>
      <c r="G38" s="1088">
        <f>SUMIFS(BP_SOTIEN,BP_DA,$B38,BP_KM,$D38)/1000</f>
        <v>0</v>
      </c>
      <c r="H38" s="1089" t="str">
        <f t="shared" si="16"/>
        <v/>
      </c>
      <c r="I38" s="1089" t="str">
        <f t="shared" si="20"/>
        <v/>
      </c>
      <c r="J38" s="1090">
        <f>IF(NOW()&gt;=DATE(YEAR(G$1),MONTH(G$1),DAY(G$1)),SUMIFS(TF_SOTIEN,TF_DA,$B38,TF_QUY,G$2,TF_KM,$D38)/1000, M38)</f>
        <v>0</v>
      </c>
      <c r="K38" s="1089">
        <f t="shared" si="17"/>
        <v>0</v>
      </c>
      <c r="L38" s="1089" t="str">
        <f t="shared" si="21"/>
        <v/>
      </c>
      <c r="M38" s="1090">
        <f>HLOOKUP($G$2,BCTH_AC!$A$1:$AA$121,ROW(M38)-2,0)</f>
        <v>0</v>
      </c>
      <c r="N38" s="1089">
        <f t="shared" si="18"/>
        <v>0</v>
      </c>
      <c r="O38" s="1089" t="str">
        <f t="shared" si="22"/>
        <v/>
      </c>
      <c r="P38" s="1090">
        <f t="shared" si="7"/>
        <v>0</v>
      </c>
      <c r="Q38" s="1091" t="str">
        <f t="shared" si="1"/>
        <v/>
      </c>
      <c r="R38" s="1090">
        <f t="shared" si="8"/>
        <v>0</v>
      </c>
      <c r="S38" s="1091" t="str">
        <f t="shared" si="2"/>
        <v/>
      </c>
    </row>
    <row r="39" hidden="1" outlineLevel="1">
      <c r="A39" s="1086">
        <f t="shared" si="19"/>
        <v>5</v>
      </c>
      <c r="B39" s="1087" t="s">
        <v>2067</v>
      </c>
      <c r="C39" s="1087" t="str">
        <f>IF(B39="","",VLOOKUP(B39,DM_DUAN,2,0))</f>
        <v>NAM PHONG</v>
      </c>
      <c r="D39" s="1087" t="s">
        <v>2239</v>
      </c>
      <c r="E39" s="1087"/>
      <c r="F39" s="1086">
        <v>2.0</v>
      </c>
      <c r="G39" s="1088">
        <f>SUMIFS(BP_SOTIEN,BP_DA,$B39,BP_KM,$D39)/1000</f>
        <v>0</v>
      </c>
      <c r="H39" s="1089" t="str">
        <f t="shared" si="16"/>
        <v/>
      </c>
      <c r="I39" s="1089" t="str">
        <f t="shared" si="20"/>
        <v/>
      </c>
      <c r="J39" s="1090">
        <f>IF(NOW()&gt;=DATE(YEAR(G$1),MONTH(G$1),DAY(G$1)),SUMIFS(TF_SOTIEN,TF_DA,$B39,TF_QUY,G$2,TF_KM,$D39)/1000, M39)</f>
        <v>0</v>
      </c>
      <c r="K39" s="1089">
        <f t="shared" si="17"/>
        <v>0</v>
      </c>
      <c r="L39" s="1089" t="str">
        <f t="shared" si="21"/>
        <v/>
      </c>
      <c r="M39" s="1090">
        <f>HLOOKUP($G$2,BCTH_AC!$A$1:$AA$121,ROW(M39)-2,0)</f>
        <v>0</v>
      </c>
      <c r="N39" s="1089">
        <f t="shared" si="18"/>
        <v>0</v>
      </c>
      <c r="O39" s="1089" t="str">
        <f t="shared" si="22"/>
        <v/>
      </c>
      <c r="P39" s="1090">
        <f t="shared" si="7"/>
        <v>0</v>
      </c>
      <c r="Q39" s="1091" t="str">
        <f t="shared" si="1"/>
        <v/>
      </c>
      <c r="R39" s="1090">
        <f t="shared" si="8"/>
        <v>0</v>
      </c>
      <c r="S39" s="1091" t="str">
        <f t="shared" si="2"/>
        <v/>
      </c>
    </row>
    <row r="40" hidden="1" outlineLevel="1">
      <c r="A40" s="1086">
        <f t="shared" si="19"/>
        <v>6</v>
      </c>
      <c r="B40" s="656" t="s">
        <v>638</v>
      </c>
      <c r="C40" s="1087" t="str">
        <f>IF(B40="","",VLOOKUP(B40,DM_DUAN,2,0))</f>
        <v>Sản phẩm Phước Vinh</v>
      </c>
      <c r="D40" s="1087" t="s">
        <v>2239</v>
      </c>
      <c r="E40" s="1087"/>
      <c r="F40" s="1086">
        <v>2.0</v>
      </c>
      <c r="G40" s="1088">
        <f>SUMIFS(BP_SOTIEN,BP_DA,$B40,BP_KM,$D40)/1000</f>
        <v>0</v>
      </c>
      <c r="H40" s="1089" t="str">
        <f t="shared" si="16"/>
        <v/>
      </c>
      <c r="I40" s="1089" t="str">
        <f t="shared" si="20"/>
        <v/>
      </c>
      <c r="J40" s="1090">
        <f>IF(NOW()&gt;=DATE(YEAR(G$1),MONTH(G$1),DAY(G$1)),SUMIFS(TF_SOTIEN,TF_DA,$B40,TF_QUY,G$2,TF_KM,$D40)/1000, M40)</f>
        <v>0</v>
      </c>
      <c r="K40" s="1089">
        <f t="shared" si="17"/>
        <v>0</v>
      </c>
      <c r="L40" s="1089" t="str">
        <f t="shared" si="21"/>
        <v/>
      </c>
      <c r="M40" s="1090">
        <f>HLOOKUP($G$2,BCTH_AC!$A$1:$AA$121,ROW(M40)-2,0)</f>
        <v>0</v>
      </c>
      <c r="N40" s="1089">
        <f t="shared" si="18"/>
        <v>0</v>
      </c>
      <c r="O40" s="1089" t="str">
        <f t="shared" si="22"/>
        <v/>
      </c>
      <c r="P40" s="1090">
        <f t="shared" si="7"/>
        <v>0</v>
      </c>
      <c r="Q40" s="1091" t="str">
        <f t="shared" si="1"/>
        <v/>
      </c>
      <c r="R40" s="1090">
        <f t="shared" si="8"/>
        <v>0</v>
      </c>
      <c r="S40" s="1091" t="str">
        <f t="shared" si="2"/>
        <v/>
      </c>
    </row>
    <row r="41" hidden="1" outlineLevel="1">
      <c r="A41" s="1086">
        <f t="shared" si="19"/>
        <v>7</v>
      </c>
      <c r="B41" s="1087" t="s">
        <v>2070</v>
      </c>
      <c r="C41" s="1087" t="str">
        <f>IF(B41="","",VLOOKUP(B41,DM_DUAN,2,0))</f>
        <v>KHANG VƯỢNG</v>
      </c>
      <c r="D41" s="1087" t="s">
        <v>2239</v>
      </c>
      <c r="E41" s="1087"/>
      <c r="F41" s="1086">
        <v>2.0</v>
      </c>
      <c r="G41" s="1088">
        <f>SUMIFS(BP_SOTIEN,BP_DA,$B41,BP_KM,$D41)/1000</f>
        <v>0</v>
      </c>
      <c r="H41" s="1089" t="str">
        <f t="shared" si="16"/>
        <v/>
      </c>
      <c r="I41" s="1089" t="str">
        <f t="shared" si="20"/>
        <v/>
      </c>
      <c r="J41" s="1090">
        <f>IF(NOW()&gt;=DATE(YEAR(G$1),MONTH(G$1),DAY(G$1)),SUMIFS(TF_SOTIEN,TF_DA,$B41,TF_QUY,G$2,TF_KM,$D41)/1000, M41)</f>
        <v>0</v>
      </c>
      <c r="K41" s="1089">
        <f t="shared" si="17"/>
        <v>0</v>
      </c>
      <c r="L41" s="1089" t="str">
        <f t="shared" si="21"/>
        <v/>
      </c>
      <c r="M41" s="1090">
        <f>HLOOKUP($G$2,BCTH_AC!$A$1:$AA$121,ROW(M41)-2,0)</f>
        <v>0</v>
      </c>
      <c r="N41" s="1089">
        <f t="shared" si="18"/>
        <v>0</v>
      </c>
      <c r="O41" s="1089" t="str">
        <f t="shared" si="22"/>
        <v/>
      </c>
      <c r="P41" s="1090">
        <f t="shared" si="7"/>
        <v>0</v>
      </c>
      <c r="Q41" s="1091" t="str">
        <f t="shared" si="1"/>
        <v/>
      </c>
      <c r="R41" s="1090">
        <f t="shared" si="8"/>
        <v>0</v>
      </c>
      <c r="S41" s="1091" t="str">
        <f t="shared" si="2"/>
        <v/>
      </c>
    </row>
    <row r="42" hidden="1" outlineLevel="1">
      <c r="A42" s="1086">
        <f t="shared" si="19"/>
        <v>8</v>
      </c>
      <c r="B42" s="1087" t="s">
        <v>2072</v>
      </c>
      <c r="C42" s="1087" t="str">
        <f>IF(B42="","",VLOOKUP(B42,DM_DUAN,2,0))</f>
        <v>TRẦN ANH GROUP</v>
      </c>
      <c r="D42" s="1087" t="s">
        <v>2239</v>
      </c>
      <c r="E42" s="1087"/>
      <c r="F42" s="1086">
        <v>2.0</v>
      </c>
      <c r="G42" s="1088">
        <f>SUMIFS(BP_SOTIEN,BP_DA,$B42,BP_KM,$D42)/1000</f>
        <v>0</v>
      </c>
      <c r="H42" s="1089" t="str">
        <f t="shared" si="16"/>
        <v/>
      </c>
      <c r="I42" s="1089" t="str">
        <f t="shared" si="20"/>
        <v/>
      </c>
      <c r="J42" s="1090">
        <f>IF(NOW()&gt;=DATE(YEAR(G$1),MONTH(G$1),DAY(G$1)),SUMIFS(TF_SOTIEN,TF_DA,$B42,TF_QUY,G$2,TF_KM,$D42)/1000, M42)</f>
        <v>0</v>
      </c>
      <c r="K42" s="1089">
        <f t="shared" si="17"/>
        <v>0</v>
      </c>
      <c r="L42" s="1089" t="str">
        <f t="shared" si="21"/>
        <v/>
      </c>
      <c r="M42" s="1090">
        <f>HLOOKUP($G$2,BCTH_AC!$A$1:$AA$121,ROW(M42)-2,0)</f>
        <v>0</v>
      </c>
      <c r="N42" s="1089">
        <f t="shared" si="18"/>
        <v>0</v>
      </c>
      <c r="O42" s="1089" t="str">
        <f t="shared" si="22"/>
        <v/>
      </c>
      <c r="P42" s="1090">
        <f t="shared" si="7"/>
        <v>0</v>
      </c>
      <c r="Q42" s="1091" t="str">
        <f t="shared" si="1"/>
        <v/>
      </c>
      <c r="R42" s="1090">
        <f t="shared" si="8"/>
        <v>0</v>
      </c>
      <c r="S42" s="1091" t="str">
        <f t="shared" si="2"/>
        <v/>
      </c>
    </row>
    <row r="43" hidden="1" outlineLevel="1">
      <c r="A43" s="1086">
        <f t="shared" si="19"/>
        <v>9</v>
      </c>
      <c r="B43" s="1087" t="s">
        <v>2073</v>
      </c>
      <c r="C43" s="1087" t="str">
        <f>IF(B43="","",VLOOKUP(B43,DM_DUAN,2,0))</f>
        <v>PHI TRƯỜNG</v>
      </c>
      <c r="D43" s="1087" t="s">
        <v>2239</v>
      </c>
      <c r="E43" s="1087"/>
      <c r="F43" s="1086">
        <v>2.0</v>
      </c>
      <c r="G43" s="1088">
        <f>SUMIFS(BP_SOTIEN,BP_DA,$B43,BP_KM,$D43)/1000</f>
        <v>0</v>
      </c>
      <c r="H43" s="1089" t="str">
        <f t="shared" si="16"/>
        <v/>
      </c>
      <c r="I43" s="1089" t="str">
        <f t="shared" si="20"/>
        <v/>
      </c>
      <c r="J43" s="1090">
        <f>IF(NOW()&gt;=DATE(YEAR(G$1),MONTH(G$1),DAY(G$1)),SUMIFS(TF_SOTIEN,TF_DA,$B43,TF_QUY,G$2,TF_KM,$D43)/1000, M43)</f>
        <v>0</v>
      </c>
      <c r="K43" s="1089">
        <f t="shared" si="17"/>
        <v>0</v>
      </c>
      <c r="L43" s="1089" t="str">
        <f t="shared" si="21"/>
        <v/>
      </c>
      <c r="M43" s="1090">
        <f>HLOOKUP($G$2,BCTH_AC!$A$1:$AA$121,ROW(M43)-2,0)</f>
        <v>0</v>
      </c>
      <c r="N43" s="1089">
        <f t="shared" si="18"/>
        <v>0</v>
      </c>
      <c r="O43" s="1089" t="str">
        <f t="shared" si="22"/>
        <v/>
      </c>
      <c r="P43" s="1090">
        <f t="shared" si="7"/>
        <v>0</v>
      </c>
      <c r="Q43" s="1091" t="str">
        <f t="shared" si="1"/>
        <v/>
      </c>
      <c r="R43" s="1090">
        <f t="shared" si="8"/>
        <v>0</v>
      </c>
      <c r="S43" s="1091" t="str">
        <f t="shared" si="2"/>
        <v/>
      </c>
    </row>
    <row r="44" hidden="1" outlineLevel="1">
      <c r="A44" s="1086">
        <f t="shared" si="19"/>
        <v>10</v>
      </c>
      <c r="B44" s="1087" t="s">
        <v>2074</v>
      </c>
      <c r="C44" s="1087" t="str">
        <f>IF(B44="","",VLOOKUP(B44,DM_DUAN,2,0))</f>
        <v>HOÀNG CÁT</v>
      </c>
      <c r="D44" s="1087" t="s">
        <v>2239</v>
      </c>
      <c r="E44" s="1087"/>
      <c r="F44" s="1086">
        <v>2.0</v>
      </c>
      <c r="G44" s="1088">
        <f>SUMIFS(BP_SOTIEN,BP_DA,$B44,BP_KM,$D44)/1000</f>
        <v>0</v>
      </c>
      <c r="H44" s="1089" t="str">
        <f t="shared" si="16"/>
        <v/>
      </c>
      <c r="I44" s="1089" t="str">
        <f t="shared" si="20"/>
        <v/>
      </c>
      <c r="J44" s="1090">
        <f>IF(NOW()&gt;=DATE(YEAR(G$1),MONTH(G$1),DAY(G$1)),SUMIFS(TF_SOTIEN,TF_DA,$B44,TF_QUY,G$2,TF_KM,$D44)/1000, M44)</f>
        <v>0</v>
      </c>
      <c r="K44" s="1089">
        <f t="shared" si="17"/>
        <v>0</v>
      </c>
      <c r="L44" s="1089" t="str">
        <f t="shared" si="21"/>
        <v/>
      </c>
      <c r="M44" s="1090">
        <f>HLOOKUP($G$2,BCTH_AC!$A$1:$AA$121,ROW(M44)-2,0)</f>
        <v>0</v>
      </c>
      <c r="N44" s="1089">
        <f t="shared" si="18"/>
        <v>0</v>
      </c>
      <c r="O44" s="1089" t="str">
        <f t="shared" si="22"/>
        <v/>
      </c>
      <c r="P44" s="1090">
        <f t="shared" si="7"/>
        <v>0</v>
      </c>
      <c r="Q44" s="1091" t="str">
        <f t="shared" si="1"/>
        <v/>
      </c>
      <c r="R44" s="1090">
        <f t="shared" si="8"/>
        <v>0</v>
      </c>
      <c r="S44" s="1091" t="str">
        <f t="shared" si="2"/>
        <v/>
      </c>
    </row>
    <row r="45" hidden="1" outlineLevel="1">
      <c r="A45" s="1086">
        <f t="shared" si="19"/>
        <v>11</v>
      </c>
      <c r="B45" s="656" t="s">
        <v>530</v>
      </c>
      <c r="C45" s="1087" t="str">
        <f>IF(B45="","",VLOOKUP(B45,DM_DUAN,2,0))</f>
        <v>Nhà vườn sinh thái</v>
      </c>
      <c r="D45" s="1087" t="s">
        <v>2239</v>
      </c>
      <c r="E45" s="1087"/>
      <c r="F45" s="1086">
        <v>2.0</v>
      </c>
      <c r="G45" s="1088">
        <f>SUMIFS(BP_SOTIEN,BP_DA,$B45,BP_KM,$D45)/1000</f>
        <v>0</v>
      </c>
      <c r="H45" s="1089" t="str">
        <f t="shared" si="16"/>
        <v/>
      </c>
      <c r="I45" s="1089" t="str">
        <f t="shared" si="20"/>
        <v/>
      </c>
      <c r="J45" s="1090">
        <f>IF(NOW()&gt;=DATE(YEAR(G$1),MONTH(G$1),DAY(G$1)),SUMIFS(TF_SOTIEN,TF_DA,$B45,TF_QUY,G$2,TF_KM,$D45)/1000, M45)</f>
        <v>0</v>
      </c>
      <c r="K45" s="1089">
        <f t="shared" si="17"/>
        <v>0</v>
      </c>
      <c r="L45" s="1089" t="str">
        <f t="shared" si="21"/>
        <v/>
      </c>
      <c r="M45" s="1090">
        <f>HLOOKUP($G$2,BCTH_AC!$A$1:$AA$121,ROW(M45)-2,0)</f>
        <v>0</v>
      </c>
      <c r="N45" s="1089">
        <f t="shared" si="18"/>
        <v>0</v>
      </c>
      <c r="O45" s="1089" t="str">
        <f t="shared" si="22"/>
        <v/>
      </c>
      <c r="P45" s="1090">
        <f t="shared" si="7"/>
        <v>0</v>
      </c>
      <c r="Q45" s="1091" t="str">
        <f t="shared" si="1"/>
        <v/>
      </c>
      <c r="R45" s="1090">
        <f t="shared" si="8"/>
        <v>0</v>
      </c>
      <c r="S45" s="1091" t="str">
        <f t="shared" si="2"/>
        <v/>
      </c>
    </row>
    <row r="46" hidden="1" outlineLevel="1">
      <c r="A46" s="1086">
        <f t="shared" si="19"/>
        <v>12</v>
      </c>
      <c r="B46" s="656" t="s">
        <v>875</v>
      </c>
      <c r="C46" s="1087" t="str">
        <f>IF(B46="","",VLOOKUP(B46,DM_DUAN,2,0))</f>
        <v>Sản phẩm Long Khánh 2</v>
      </c>
      <c r="D46" s="1087" t="s">
        <v>2239</v>
      </c>
      <c r="E46" s="1087"/>
      <c r="F46" s="1086">
        <v>2.0</v>
      </c>
      <c r="G46" s="1088">
        <f>SUMIFS(BP_SOTIEN,BP_DA,$B46,BP_KM,$D46)/1000</f>
        <v>0</v>
      </c>
      <c r="H46" s="1089" t="str">
        <f t="shared" si="16"/>
        <v/>
      </c>
      <c r="I46" s="1089" t="str">
        <f t="shared" si="20"/>
        <v/>
      </c>
      <c r="J46" s="1090">
        <f>IF(NOW()&gt;=DATE(YEAR(G$1),MONTH(G$1),DAY(G$1)),SUMIFS(TF_SOTIEN,TF_DA,$B46,TF_QUY,G$2,TF_KM,$D46)/1000, M46)</f>
        <v>0</v>
      </c>
      <c r="K46" s="1089">
        <f t="shared" si="17"/>
        <v>0</v>
      </c>
      <c r="L46" s="1089" t="str">
        <f t="shared" si="21"/>
        <v/>
      </c>
      <c r="M46" s="1090">
        <f>HLOOKUP($G$2,BCTH_AC!$A$1:$AA$121,ROW(M46)-2,0)</f>
        <v>0</v>
      </c>
      <c r="N46" s="1089">
        <f t="shared" si="18"/>
        <v>0</v>
      </c>
      <c r="O46" s="1089" t="str">
        <f t="shared" si="22"/>
        <v/>
      </c>
      <c r="P46" s="1090">
        <f t="shared" si="7"/>
        <v>0</v>
      </c>
      <c r="Q46" s="1091" t="str">
        <f t="shared" si="1"/>
        <v/>
      </c>
      <c r="R46" s="1090">
        <f t="shared" si="8"/>
        <v>0</v>
      </c>
      <c r="S46" s="1091" t="str">
        <f t="shared" si="2"/>
        <v/>
      </c>
    </row>
    <row r="47" hidden="1" outlineLevel="1">
      <c r="A47" s="1086">
        <f t="shared" si="19"/>
        <v>13</v>
      </c>
      <c r="B47" s="656" t="s">
        <v>636</v>
      </c>
      <c r="C47" s="1087" t="str">
        <f>IF(B47="","",VLOOKUP(B47,DM_DUAN,2,0))</f>
        <v>Sản phẩm Long Khánh 3</v>
      </c>
      <c r="D47" s="1087" t="s">
        <v>2239</v>
      </c>
      <c r="E47" s="1087"/>
      <c r="F47" s="1086">
        <v>2.0</v>
      </c>
      <c r="G47" s="1088">
        <f>SUMIFS(BP_SOTIEN,BP_DA,$B47,BP_KM,$D47)/1000</f>
        <v>0</v>
      </c>
      <c r="H47" s="1089" t="str">
        <f t="shared" si="16"/>
        <v/>
      </c>
      <c r="I47" s="1089" t="str">
        <f t="shared" si="20"/>
        <v/>
      </c>
      <c r="J47" s="1090">
        <f>IF(NOW()&gt;=DATE(YEAR(G$1),MONTH(G$1),DAY(G$1)),SUMIFS(TF_SOTIEN,TF_DA,$B47,TF_QUY,G$2,TF_KM,$D47)/1000, M47)</f>
        <v>0</v>
      </c>
      <c r="K47" s="1089">
        <f t="shared" si="17"/>
        <v>0</v>
      </c>
      <c r="L47" s="1089" t="str">
        <f t="shared" si="21"/>
        <v/>
      </c>
      <c r="M47" s="1090">
        <f>HLOOKUP($G$2,BCTH_AC!$A$1:$AA$121,ROW(M47)-2,0)</f>
        <v>0</v>
      </c>
      <c r="N47" s="1089">
        <f t="shared" si="18"/>
        <v>0</v>
      </c>
      <c r="O47" s="1089" t="str">
        <f t="shared" si="22"/>
        <v/>
      </c>
      <c r="P47" s="1090">
        <f t="shared" si="7"/>
        <v>0</v>
      </c>
      <c r="Q47" s="1091" t="str">
        <f t="shared" si="1"/>
        <v/>
      </c>
      <c r="R47" s="1090">
        <f t="shared" si="8"/>
        <v>0</v>
      </c>
      <c r="S47" s="1091" t="str">
        <f t="shared" si="2"/>
        <v/>
      </c>
    </row>
    <row r="48" hidden="1" outlineLevel="1">
      <c r="A48" s="1086">
        <f t="shared" si="19"/>
        <v>14</v>
      </c>
      <c r="B48" s="656" t="s">
        <v>956</v>
      </c>
      <c r="C48" s="1087" t="str">
        <f>IF(B48="","",VLOOKUP(B48,DM_DUAN,2,0))</f>
        <v>KDC Lộc Ngãi</v>
      </c>
      <c r="D48" s="1087" t="s">
        <v>2239</v>
      </c>
      <c r="E48" s="1087"/>
      <c r="F48" s="1086">
        <v>2.0</v>
      </c>
      <c r="G48" s="1088">
        <f>SUMIFS(BP_SOTIEN,BP_DA,$B48,BP_KM,$D48)/1000</f>
        <v>0</v>
      </c>
      <c r="H48" s="1089" t="str">
        <f t="shared" si="16"/>
        <v/>
      </c>
      <c r="I48" s="1089" t="str">
        <f t="shared" si="20"/>
        <v/>
      </c>
      <c r="J48" s="1090">
        <f>IF(NOW()&gt;=DATE(YEAR(G$1),MONTH(G$1),DAY(G$1)),SUMIFS(TF_SOTIEN,TF_DA,$B48,TF_QUY,G$2,TF_KM,$D48)/1000, M48)</f>
        <v>0</v>
      </c>
      <c r="K48" s="1089">
        <f t="shared" si="17"/>
        <v>0</v>
      </c>
      <c r="L48" s="1089" t="str">
        <f t="shared" si="21"/>
        <v/>
      </c>
      <c r="M48" s="1090">
        <f>HLOOKUP($G$2,BCTH_AC!$A$1:$AA$121,ROW(M48)-2,0)</f>
        <v>0</v>
      </c>
      <c r="N48" s="1089">
        <f t="shared" si="18"/>
        <v>0</v>
      </c>
      <c r="O48" s="1089" t="str">
        <f t="shared" si="22"/>
        <v/>
      </c>
      <c r="P48" s="1090">
        <f t="shared" si="7"/>
        <v>0</v>
      </c>
      <c r="Q48" s="1091" t="str">
        <f t="shared" si="1"/>
        <v/>
      </c>
      <c r="R48" s="1090">
        <f t="shared" si="8"/>
        <v>0</v>
      </c>
      <c r="S48" s="1091" t="str">
        <f t="shared" si="2"/>
        <v/>
      </c>
    </row>
    <row r="49" hidden="1" outlineLevel="1">
      <c r="A49" s="1121" t="s">
        <v>2824</v>
      </c>
      <c r="B49" s="1122"/>
      <c r="C49" s="1122"/>
      <c r="D49" s="1122"/>
      <c r="E49" s="1122"/>
      <c r="F49" s="1122"/>
      <c r="G49" s="1124">
        <f>SUM(G50:G63)</f>
        <v>0</v>
      </c>
      <c r="H49" s="1125" t="str">
        <f t="shared" si="16"/>
        <v/>
      </c>
      <c r="I49" s="3"/>
      <c r="J49" s="1200">
        <f>SUM(J50:J63)</f>
        <v>3156612</v>
      </c>
      <c r="K49" s="1125">
        <f t="shared" si="17"/>
        <v>1</v>
      </c>
      <c r="L49" s="3"/>
      <c r="M49" s="1200">
        <f>SUM(M50:M63)</f>
        <v>3156612</v>
      </c>
      <c r="N49" s="1125">
        <f t="shared" si="18"/>
        <v>1</v>
      </c>
      <c r="O49" s="3"/>
      <c r="P49" s="1201">
        <f t="shared" si="7"/>
        <v>3156612</v>
      </c>
      <c r="Q49" s="1126" t="str">
        <f t="shared" si="1"/>
        <v/>
      </c>
      <c r="R49" s="1201">
        <f t="shared" si="8"/>
        <v>0</v>
      </c>
      <c r="S49" s="1127">
        <f t="shared" si="2"/>
        <v>0</v>
      </c>
    </row>
    <row r="50" hidden="1" outlineLevel="1">
      <c r="A50" s="1086">
        <f t="shared" ref="A50:A63" si="23">IF(B50="","",COUNTA(B$50:B50))</f>
        <v>1</v>
      </c>
      <c r="B50" s="1087" t="s">
        <v>215</v>
      </c>
      <c r="C50" s="1087" t="str">
        <f>IF(B50="","",VLOOKUP(B50,DM_DUAN,2,0))</f>
        <v>Phước Đông Garden</v>
      </c>
      <c r="D50" s="1087"/>
      <c r="E50" s="1087"/>
      <c r="F50" s="1086">
        <v>2.0</v>
      </c>
      <c r="G50" s="1088">
        <f t="shared" ref="G50:G63" si="24">SUMIF($B$20:$B$33,$B50,G$20:G$33)-SUMIF($B$35:$B$48,$B50,G$35:G$48)</f>
        <v>0</v>
      </c>
      <c r="H50" s="1091" t="str">
        <f t="shared" si="16"/>
        <v/>
      </c>
      <c r="I50" s="1091" t="str">
        <f t="shared" ref="I50:I63" si="25">IFERROR(G50/G$49,"")</f>
        <v/>
      </c>
      <c r="J50" s="1090">
        <f t="shared" ref="J50:J63" si="26">SUMIF($C$20:$C$33,$C50,J$20:J$33)-SUMIF($C$35:$C$48,$C50,J$35:J$48)</f>
        <v>0</v>
      </c>
      <c r="K50" s="1091">
        <f t="shared" si="17"/>
        <v>0</v>
      </c>
      <c r="L50" s="1091">
        <f t="shared" ref="L50:L63" si="27">IFERROR(J50/J$49,"")</f>
        <v>0</v>
      </c>
      <c r="M50" s="1090">
        <f t="shared" ref="M50:M63" si="28">SUMIF($C$20:$C$33,$C50,M$20:M$33)-SUMIF($C$35:$C$48,$C50,M$35:M$48)</f>
        <v>0</v>
      </c>
      <c r="N50" s="1091">
        <f t="shared" si="18"/>
        <v>0</v>
      </c>
      <c r="O50" s="1091">
        <f t="shared" ref="O50:O63" si="29">IFERROR(M50/M$49,"")</f>
        <v>0</v>
      </c>
      <c r="P50" s="1130">
        <f t="shared" si="7"/>
        <v>0</v>
      </c>
      <c r="Q50" s="1091" t="str">
        <f t="shared" si="1"/>
        <v/>
      </c>
      <c r="R50" s="1130">
        <f t="shared" si="8"/>
        <v>0</v>
      </c>
      <c r="S50" s="1091" t="str">
        <f t="shared" si="2"/>
        <v/>
      </c>
    </row>
    <row r="51" hidden="1" outlineLevel="1">
      <c r="A51" s="1086">
        <f t="shared" si="23"/>
        <v>2</v>
      </c>
      <c r="B51" s="1087" t="s">
        <v>404</v>
      </c>
      <c r="C51" s="1087" t="str">
        <f>IF(B51="","",VLOOKUP(B51,DM_DUAN,2,0))</f>
        <v>Hamil ton Garden</v>
      </c>
      <c r="D51" s="1087"/>
      <c r="E51" s="1087"/>
      <c r="F51" s="1086">
        <v>2.0</v>
      </c>
      <c r="G51" s="1088">
        <f t="shared" si="24"/>
        <v>0</v>
      </c>
      <c r="H51" s="1091" t="str">
        <f t="shared" si="16"/>
        <v/>
      </c>
      <c r="I51" s="1091" t="str">
        <f t="shared" si="25"/>
        <v/>
      </c>
      <c r="J51" s="1090">
        <f t="shared" si="26"/>
        <v>0</v>
      </c>
      <c r="K51" s="1091">
        <f t="shared" si="17"/>
        <v>0</v>
      </c>
      <c r="L51" s="1091">
        <f t="shared" si="27"/>
        <v>0</v>
      </c>
      <c r="M51" s="1090">
        <f t="shared" si="28"/>
        <v>0</v>
      </c>
      <c r="N51" s="1091">
        <f t="shared" si="18"/>
        <v>0</v>
      </c>
      <c r="O51" s="1091">
        <f t="shared" si="29"/>
        <v>0</v>
      </c>
      <c r="P51" s="1130">
        <f t="shared" si="7"/>
        <v>0</v>
      </c>
      <c r="Q51" s="1091" t="str">
        <f t="shared" si="1"/>
        <v/>
      </c>
      <c r="R51" s="1130">
        <f t="shared" si="8"/>
        <v>0</v>
      </c>
      <c r="S51" s="1091" t="str">
        <f t="shared" si="2"/>
        <v/>
      </c>
    </row>
    <row r="52" hidden="1" outlineLevel="1">
      <c r="A52" s="1086">
        <f t="shared" si="23"/>
        <v>3</v>
      </c>
      <c r="B52" s="1087" t="s">
        <v>533</v>
      </c>
      <c r="C52" s="1087" t="str">
        <f>IF(B52="","",VLOOKUP(B52,DM_DUAN,2,0))</f>
        <v>The sol city</v>
      </c>
      <c r="D52" s="1087"/>
      <c r="E52" s="1087"/>
      <c r="F52" s="1086">
        <v>2.0</v>
      </c>
      <c r="G52" s="1088">
        <f t="shared" si="24"/>
        <v>0</v>
      </c>
      <c r="H52" s="1091" t="str">
        <f t="shared" si="16"/>
        <v/>
      </c>
      <c r="I52" s="1091" t="str">
        <f t="shared" si="25"/>
        <v/>
      </c>
      <c r="J52" s="1090">
        <f t="shared" si="26"/>
        <v>0</v>
      </c>
      <c r="K52" s="1091">
        <f t="shared" si="17"/>
        <v>0</v>
      </c>
      <c r="L52" s="1091">
        <f t="shared" si="27"/>
        <v>0</v>
      </c>
      <c r="M52" s="1090">
        <f t="shared" si="28"/>
        <v>0</v>
      </c>
      <c r="N52" s="1091">
        <f t="shared" si="18"/>
        <v>0</v>
      </c>
      <c r="O52" s="1091">
        <f t="shared" si="29"/>
        <v>0</v>
      </c>
      <c r="P52" s="1130">
        <f t="shared" si="7"/>
        <v>0</v>
      </c>
      <c r="Q52" s="1091" t="str">
        <f t="shared" si="1"/>
        <v/>
      </c>
      <c r="R52" s="1130">
        <f t="shared" si="8"/>
        <v>0</v>
      </c>
      <c r="S52" s="1091" t="str">
        <f t="shared" si="2"/>
        <v/>
      </c>
    </row>
    <row r="53" hidden="1" outlineLevel="1">
      <c r="A53" s="1086">
        <f t="shared" si="23"/>
        <v>4</v>
      </c>
      <c r="B53" s="1087" t="s">
        <v>175</v>
      </c>
      <c r="C53" s="1087" t="str">
        <f>IF(B53="","",VLOOKUP(B53,DM_DUAN,2,0))</f>
        <v>Phước hội Hồ Tràm</v>
      </c>
      <c r="D53" s="1087"/>
      <c r="E53" s="1087"/>
      <c r="F53" s="1086">
        <v>2.0</v>
      </c>
      <c r="G53" s="1088">
        <f t="shared" si="24"/>
        <v>0</v>
      </c>
      <c r="H53" s="1091" t="str">
        <f t="shared" si="16"/>
        <v/>
      </c>
      <c r="I53" s="1091" t="str">
        <f t="shared" si="25"/>
        <v/>
      </c>
      <c r="J53" s="1090">
        <f t="shared" si="26"/>
        <v>0</v>
      </c>
      <c r="K53" s="1091">
        <f t="shared" si="17"/>
        <v>0</v>
      </c>
      <c r="L53" s="1091">
        <f t="shared" si="27"/>
        <v>0</v>
      </c>
      <c r="M53" s="1090">
        <f t="shared" si="28"/>
        <v>0</v>
      </c>
      <c r="N53" s="1091">
        <f t="shared" si="18"/>
        <v>0</v>
      </c>
      <c r="O53" s="1091">
        <f t="shared" si="29"/>
        <v>0</v>
      </c>
      <c r="P53" s="1130">
        <f t="shared" si="7"/>
        <v>0</v>
      </c>
      <c r="Q53" s="1132" t="str">
        <f t="shared" si="1"/>
        <v/>
      </c>
      <c r="R53" s="1130">
        <f t="shared" si="8"/>
        <v>0</v>
      </c>
      <c r="S53" s="1091" t="str">
        <f t="shared" si="2"/>
        <v/>
      </c>
    </row>
    <row r="54" hidden="1" outlineLevel="1">
      <c r="A54" s="1086">
        <f t="shared" si="23"/>
        <v>5</v>
      </c>
      <c r="B54" s="1087" t="s">
        <v>2067</v>
      </c>
      <c r="C54" s="1087" t="str">
        <f>IF(B54="","",VLOOKUP(B54,DM_DUAN,2,0))</f>
        <v>NAM PHONG</v>
      </c>
      <c r="D54" s="1087"/>
      <c r="E54" s="1087"/>
      <c r="F54" s="1086">
        <v>2.0</v>
      </c>
      <c r="G54" s="1088">
        <f t="shared" si="24"/>
        <v>0</v>
      </c>
      <c r="H54" s="1091" t="str">
        <f t="shared" si="16"/>
        <v/>
      </c>
      <c r="I54" s="1091" t="str">
        <f t="shared" si="25"/>
        <v/>
      </c>
      <c r="J54" s="1090">
        <f t="shared" si="26"/>
        <v>0</v>
      </c>
      <c r="K54" s="1091">
        <f t="shared" si="17"/>
        <v>0</v>
      </c>
      <c r="L54" s="1091">
        <f t="shared" si="27"/>
        <v>0</v>
      </c>
      <c r="M54" s="1090">
        <f t="shared" si="28"/>
        <v>0</v>
      </c>
      <c r="N54" s="1091">
        <f t="shared" si="18"/>
        <v>0</v>
      </c>
      <c r="O54" s="1091">
        <f t="shared" si="29"/>
        <v>0</v>
      </c>
      <c r="P54" s="1130">
        <f t="shared" si="7"/>
        <v>0</v>
      </c>
      <c r="Q54" s="1091" t="str">
        <f t="shared" si="1"/>
        <v/>
      </c>
      <c r="R54" s="1130">
        <f t="shared" si="8"/>
        <v>0</v>
      </c>
      <c r="S54" s="1091" t="str">
        <f t="shared" si="2"/>
        <v/>
      </c>
    </row>
    <row r="55" hidden="1" outlineLevel="1">
      <c r="A55" s="1086">
        <f t="shared" si="23"/>
        <v>6</v>
      </c>
      <c r="B55" s="656" t="s">
        <v>638</v>
      </c>
      <c r="C55" s="1087" t="str">
        <f>IF(B55="","",VLOOKUP(B55,DM_DUAN,2,0))</f>
        <v>Sản phẩm Phước Vinh</v>
      </c>
      <c r="D55" s="1087"/>
      <c r="E55" s="1087"/>
      <c r="F55" s="1086">
        <v>2.0</v>
      </c>
      <c r="G55" s="1088">
        <f t="shared" si="24"/>
        <v>0</v>
      </c>
      <c r="H55" s="1091" t="str">
        <f t="shared" si="16"/>
        <v/>
      </c>
      <c r="I55" s="1091" t="str">
        <f t="shared" si="25"/>
        <v/>
      </c>
      <c r="J55" s="1090">
        <f t="shared" si="26"/>
        <v>1559000</v>
      </c>
      <c r="K55" s="1091">
        <f t="shared" si="17"/>
        <v>0.493883949</v>
      </c>
      <c r="L55" s="1091">
        <f t="shared" si="27"/>
        <v>0.493883949</v>
      </c>
      <c r="M55" s="1090">
        <f t="shared" si="28"/>
        <v>1559000</v>
      </c>
      <c r="N55" s="1091">
        <f t="shared" si="18"/>
        <v>0.493883949</v>
      </c>
      <c r="O55" s="1091">
        <f t="shared" si="29"/>
        <v>0.493883949</v>
      </c>
      <c r="P55" s="1130">
        <f t="shared" si="7"/>
        <v>1559000</v>
      </c>
      <c r="Q55" s="1091" t="str">
        <f t="shared" si="1"/>
        <v/>
      </c>
      <c r="R55" s="1130">
        <f t="shared" si="8"/>
        <v>0</v>
      </c>
      <c r="S55" s="1091">
        <f t="shared" si="2"/>
        <v>0</v>
      </c>
    </row>
    <row r="56" hidden="1" outlineLevel="1">
      <c r="A56" s="1086">
        <f t="shared" si="23"/>
        <v>7</v>
      </c>
      <c r="B56" s="1087" t="s">
        <v>2070</v>
      </c>
      <c r="C56" s="1087" t="str">
        <f>IF(B56="","",VLOOKUP(B56,DM_DUAN,2,0))</f>
        <v>KHANG VƯỢNG</v>
      </c>
      <c r="D56" s="1087"/>
      <c r="E56" s="1087"/>
      <c r="F56" s="1086">
        <v>2.0</v>
      </c>
      <c r="G56" s="1088">
        <f t="shared" si="24"/>
        <v>0</v>
      </c>
      <c r="H56" s="1091" t="str">
        <f t="shared" si="16"/>
        <v/>
      </c>
      <c r="I56" s="1091" t="str">
        <f t="shared" si="25"/>
        <v/>
      </c>
      <c r="J56" s="1090">
        <f t="shared" si="26"/>
        <v>0</v>
      </c>
      <c r="K56" s="1091">
        <f t="shared" si="17"/>
        <v>0</v>
      </c>
      <c r="L56" s="1091">
        <f t="shared" si="27"/>
        <v>0</v>
      </c>
      <c r="M56" s="1090">
        <f t="shared" si="28"/>
        <v>0</v>
      </c>
      <c r="N56" s="1091">
        <f t="shared" si="18"/>
        <v>0</v>
      </c>
      <c r="O56" s="1091">
        <f t="shared" si="29"/>
        <v>0</v>
      </c>
      <c r="P56" s="1130">
        <f t="shared" si="7"/>
        <v>0</v>
      </c>
      <c r="Q56" s="1091" t="str">
        <f t="shared" si="1"/>
        <v/>
      </c>
      <c r="R56" s="1130">
        <f t="shared" si="8"/>
        <v>0</v>
      </c>
      <c r="S56" s="1091" t="str">
        <f t="shared" si="2"/>
        <v/>
      </c>
    </row>
    <row r="57" hidden="1" outlineLevel="1">
      <c r="A57" s="1086">
        <f t="shared" si="23"/>
        <v>8</v>
      </c>
      <c r="B57" s="1087" t="s">
        <v>2072</v>
      </c>
      <c r="C57" s="1087" t="str">
        <f>IF(B57="","",VLOOKUP(B57,DM_DUAN,2,0))</f>
        <v>TRẦN ANH GROUP</v>
      </c>
      <c r="D57" s="1087"/>
      <c r="E57" s="1087"/>
      <c r="F57" s="1086">
        <v>2.0</v>
      </c>
      <c r="G57" s="1088">
        <f t="shared" si="24"/>
        <v>0</v>
      </c>
      <c r="H57" s="1091" t="str">
        <f t="shared" si="16"/>
        <v/>
      </c>
      <c r="I57" s="1091" t="str">
        <f t="shared" si="25"/>
        <v/>
      </c>
      <c r="J57" s="1090">
        <f t="shared" si="26"/>
        <v>0</v>
      </c>
      <c r="K57" s="1091">
        <f t="shared" si="17"/>
        <v>0</v>
      </c>
      <c r="L57" s="1091">
        <f t="shared" si="27"/>
        <v>0</v>
      </c>
      <c r="M57" s="1090">
        <f t="shared" si="28"/>
        <v>0</v>
      </c>
      <c r="N57" s="1091">
        <f t="shared" si="18"/>
        <v>0</v>
      </c>
      <c r="O57" s="1091">
        <f t="shared" si="29"/>
        <v>0</v>
      </c>
      <c r="P57" s="1130">
        <f t="shared" si="7"/>
        <v>0</v>
      </c>
      <c r="Q57" s="1091" t="str">
        <f t="shared" si="1"/>
        <v/>
      </c>
      <c r="R57" s="1130">
        <f t="shared" si="8"/>
        <v>0</v>
      </c>
      <c r="S57" s="1091" t="str">
        <f t="shared" si="2"/>
        <v/>
      </c>
    </row>
    <row r="58" hidden="1" outlineLevel="1">
      <c r="A58" s="1086">
        <f t="shared" si="23"/>
        <v>9</v>
      </c>
      <c r="B58" s="1087" t="s">
        <v>2073</v>
      </c>
      <c r="C58" s="1087" t="str">
        <f>IF(B58="","",VLOOKUP(B58,DM_DUAN,2,0))</f>
        <v>PHI TRƯỜNG</v>
      </c>
      <c r="D58" s="1087"/>
      <c r="E58" s="1087"/>
      <c r="F58" s="1086">
        <v>2.0</v>
      </c>
      <c r="G58" s="1088">
        <f t="shared" si="24"/>
        <v>0</v>
      </c>
      <c r="H58" s="1091" t="str">
        <f t="shared" si="16"/>
        <v/>
      </c>
      <c r="I58" s="1091" t="str">
        <f t="shared" si="25"/>
        <v/>
      </c>
      <c r="J58" s="1090">
        <f t="shared" si="26"/>
        <v>0</v>
      </c>
      <c r="K58" s="1091">
        <f t="shared" si="17"/>
        <v>0</v>
      </c>
      <c r="L58" s="1091">
        <f t="shared" si="27"/>
        <v>0</v>
      </c>
      <c r="M58" s="1090">
        <f t="shared" si="28"/>
        <v>0</v>
      </c>
      <c r="N58" s="1091">
        <f t="shared" si="18"/>
        <v>0</v>
      </c>
      <c r="O58" s="1091">
        <f t="shared" si="29"/>
        <v>0</v>
      </c>
      <c r="P58" s="1130">
        <f t="shared" si="7"/>
        <v>0</v>
      </c>
      <c r="Q58" s="1091" t="str">
        <f t="shared" si="1"/>
        <v/>
      </c>
      <c r="R58" s="1130">
        <f t="shared" si="8"/>
        <v>0</v>
      </c>
      <c r="S58" s="1091" t="str">
        <f t="shared" si="2"/>
        <v/>
      </c>
    </row>
    <row r="59" hidden="1" outlineLevel="1">
      <c r="A59" s="1086">
        <f t="shared" si="23"/>
        <v>10</v>
      </c>
      <c r="B59" s="1087" t="s">
        <v>2074</v>
      </c>
      <c r="C59" s="1087" t="str">
        <f>IF(B59="","",VLOOKUP(B59,DM_DUAN,2,0))</f>
        <v>HOÀNG CÁT</v>
      </c>
      <c r="D59" s="1087"/>
      <c r="E59" s="1087"/>
      <c r="F59" s="1086">
        <v>2.0</v>
      </c>
      <c r="G59" s="1088">
        <f t="shared" si="24"/>
        <v>0</v>
      </c>
      <c r="H59" s="1091" t="str">
        <f t="shared" si="16"/>
        <v/>
      </c>
      <c r="I59" s="1091" t="str">
        <f t="shared" si="25"/>
        <v/>
      </c>
      <c r="J59" s="1090">
        <f t="shared" si="26"/>
        <v>0</v>
      </c>
      <c r="K59" s="1091">
        <f t="shared" si="17"/>
        <v>0</v>
      </c>
      <c r="L59" s="1091">
        <f t="shared" si="27"/>
        <v>0</v>
      </c>
      <c r="M59" s="1090">
        <f t="shared" si="28"/>
        <v>0</v>
      </c>
      <c r="N59" s="1091">
        <f t="shared" si="18"/>
        <v>0</v>
      </c>
      <c r="O59" s="1091">
        <f t="shared" si="29"/>
        <v>0</v>
      </c>
      <c r="P59" s="1130">
        <f t="shared" si="7"/>
        <v>0</v>
      </c>
      <c r="Q59" s="1091" t="str">
        <f t="shared" si="1"/>
        <v/>
      </c>
      <c r="R59" s="1130">
        <f t="shared" si="8"/>
        <v>0</v>
      </c>
      <c r="S59" s="1091" t="str">
        <f t="shared" si="2"/>
        <v/>
      </c>
    </row>
    <row r="60" hidden="1" outlineLevel="1">
      <c r="A60" s="1086">
        <f t="shared" si="23"/>
        <v>11</v>
      </c>
      <c r="B60" s="656" t="s">
        <v>530</v>
      </c>
      <c r="C60" s="1087" t="str">
        <f>IF(B60="","",VLOOKUP(B60,DM_DUAN,2,0))</f>
        <v>Nhà vườn sinh thái</v>
      </c>
      <c r="D60" s="1087"/>
      <c r="E60" s="1087"/>
      <c r="F60" s="1086">
        <v>2.0</v>
      </c>
      <c r="G60" s="1088">
        <f t="shared" si="24"/>
        <v>0</v>
      </c>
      <c r="H60" s="1091" t="str">
        <f t="shared" si="16"/>
        <v/>
      </c>
      <c r="I60" s="1091" t="str">
        <f t="shared" si="25"/>
        <v/>
      </c>
      <c r="J60" s="1090">
        <f t="shared" si="26"/>
        <v>677000</v>
      </c>
      <c r="K60" s="1091">
        <f t="shared" si="17"/>
        <v>0.2144704512</v>
      </c>
      <c r="L60" s="1091">
        <f t="shared" si="27"/>
        <v>0.2144704512</v>
      </c>
      <c r="M60" s="1090">
        <f t="shared" si="28"/>
        <v>677000</v>
      </c>
      <c r="N60" s="1091">
        <f t="shared" si="18"/>
        <v>0.2144704512</v>
      </c>
      <c r="O60" s="1091">
        <f t="shared" si="29"/>
        <v>0.2144704512</v>
      </c>
      <c r="P60" s="1130">
        <f t="shared" si="7"/>
        <v>677000</v>
      </c>
      <c r="Q60" s="1091" t="str">
        <f t="shared" si="1"/>
        <v/>
      </c>
      <c r="R60" s="1130">
        <f t="shared" si="8"/>
        <v>0</v>
      </c>
      <c r="S60" s="1091">
        <f t="shared" si="2"/>
        <v>0</v>
      </c>
    </row>
    <row r="61" hidden="1" outlineLevel="1">
      <c r="A61" s="1086">
        <f t="shared" si="23"/>
        <v>12</v>
      </c>
      <c r="B61" s="656" t="s">
        <v>875</v>
      </c>
      <c r="C61" s="1087" t="str">
        <f>IF(B61="","",VLOOKUP(B61,DM_DUAN,2,0))</f>
        <v>Sản phẩm Long Khánh 2</v>
      </c>
      <c r="D61" s="1087"/>
      <c r="E61" s="1087"/>
      <c r="F61" s="1086">
        <v>2.0</v>
      </c>
      <c r="G61" s="1088">
        <f t="shared" si="24"/>
        <v>0</v>
      </c>
      <c r="H61" s="1091" t="str">
        <f t="shared" si="16"/>
        <v/>
      </c>
      <c r="I61" s="1091" t="str">
        <f t="shared" si="25"/>
        <v/>
      </c>
      <c r="J61" s="1090">
        <f t="shared" si="26"/>
        <v>0</v>
      </c>
      <c r="K61" s="1091">
        <f t="shared" si="17"/>
        <v>0</v>
      </c>
      <c r="L61" s="1091">
        <f t="shared" si="27"/>
        <v>0</v>
      </c>
      <c r="M61" s="1090">
        <f t="shared" si="28"/>
        <v>0</v>
      </c>
      <c r="N61" s="1091">
        <f t="shared" si="18"/>
        <v>0</v>
      </c>
      <c r="O61" s="1091">
        <f t="shared" si="29"/>
        <v>0</v>
      </c>
      <c r="P61" s="1130">
        <f t="shared" si="7"/>
        <v>0</v>
      </c>
      <c r="Q61" s="1091" t="str">
        <f t="shared" si="1"/>
        <v/>
      </c>
      <c r="R61" s="1130">
        <f t="shared" si="8"/>
        <v>0</v>
      </c>
      <c r="S61" s="1091" t="str">
        <f t="shared" si="2"/>
        <v/>
      </c>
    </row>
    <row r="62" hidden="1" outlineLevel="1">
      <c r="A62" s="1086">
        <f t="shared" si="23"/>
        <v>13</v>
      </c>
      <c r="B62" s="656" t="s">
        <v>636</v>
      </c>
      <c r="C62" s="1087" t="str">
        <f>IF(B62="","",VLOOKUP(B62,DM_DUAN,2,0))</f>
        <v>Sản phẩm Long Khánh 3</v>
      </c>
      <c r="D62" s="1087"/>
      <c r="E62" s="1087"/>
      <c r="F62" s="1086">
        <v>2.0</v>
      </c>
      <c r="G62" s="1088">
        <f t="shared" si="24"/>
        <v>0</v>
      </c>
      <c r="H62" s="1091" t="str">
        <f t="shared" si="16"/>
        <v/>
      </c>
      <c r="I62" s="1091" t="str">
        <f t="shared" si="25"/>
        <v/>
      </c>
      <c r="J62" s="1090">
        <f t="shared" si="26"/>
        <v>365040</v>
      </c>
      <c r="K62" s="1091">
        <f t="shared" si="17"/>
        <v>0.1156429742</v>
      </c>
      <c r="L62" s="1091">
        <f t="shared" si="27"/>
        <v>0.1156429742</v>
      </c>
      <c r="M62" s="1090">
        <f t="shared" si="28"/>
        <v>365040</v>
      </c>
      <c r="N62" s="1091">
        <f t="shared" si="18"/>
        <v>0.1156429742</v>
      </c>
      <c r="O62" s="1091">
        <f t="shared" si="29"/>
        <v>0.1156429742</v>
      </c>
      <c r="P62" s="1130">
        <f t="shared" si="7"/>
        <v>365040</v>
      </c>
      <c r="Q62" s="1091" t="str">
        <f t="shared" si="1"/>
        <v/>
      </c>
      <c r="R62" s="1130">
        <f t="shared" si="8"/>
        <v>0</v>
      </c>
      <c r="S62" s="1091">
        <f t="shared" si="2"/>
        <v>0</v>
      </c>
    </row>
    <row r="63" hidden="1" outlineLevel="1">
      <c r="A63" s="1086">
        <f t="shared" si="23"/>
        <v>14</v>
      </c>
      <c r="B63" s="656" t="s">
        <v>956</v>
      </c>
      <c r="C63" s="1087" t="str">
        <f>IF(B63="","",VLOOKUP(B63,DM_DUAN,2,0))</f>
        <v>KDC Lộc Ngãi</v>
      </c>
      <c r="D63" s="1087"/>
      <c r="E63" s="1087"/>
      <c r="F63" s="1086">
        <v>2.0</v>
      </c>
      <c r="G63" s="1088">
        <f t="shared" si="24"/>
        <v>0</v>
      </c>
      <c r="H63" s="1091" t="str">
        <f t="shared" si="16"/>
        <v/>
      </c>
      <c r="I63" s="1091" t="str">
        <f t="shared" si="25"/>
        <v/>
      </c>
      <c r="J63" s="1090">
        <f t="shared" si="26"/>
        <v>555572</v>
      </c>
      <c r="K63" s="1091">
        <f t="shared" si="17"/>
        <v>0.1760026256</v>
      </c>
      <c r="L63" s="1091">
        <f t="shared" si="27"/>
        <v>0.1760026256</v>
      </c>
      <c r="M63" s="1090">
        <f t="shared" si="28"/>
        <v>555572</v>
      </c>
      <c r="N63" s="1091">
        <f t="shared" si="18"/>
        <v>0.1760026256</v>
      </c>
      <c r="O63" s="1091">
        <f t="shared" si="29"/>
        <v>0.1760026256</v>
      </c>
      <c r="P63" s="1130">
        <f t="shared" si="7"/>
        <v>555572</v>
      </c>
      <c r="Q63" s="1091" t="str">
        <f t="shared" si="1"/>
        <v/>
      </c>
      <c r="R63" s="1130">
        <f t="shared" si="8"/>
        <v>0</v>
      </c>
      <c r="S63" s="1091">
        <f t="shared" si="2"/>
        <v>0</v>
      </c>
    </row>
    <row r="64">
      <c r="A64" s="1768" t="s">
        <v>2825</v>
      </c>
      <c r="B64" s="1769"/>
      <c r="C64" s="1769"/>
      <c r="D64" s="1769" t="s">
        <v>2076</v>
      </c>
      <c r="E64" s="1769"/>
      <c r="F64" s="1770">
        <v>1.0</v>
      </c>
      <c r="G64" s="1771">
        <f>SUMIFS(BP_SOTIEN,BP_QUY,G$2,BP_KM,$D64)/1000</f>
        <v>0</v>
      </c>
      <c r="H64" s="1772" t="str">
        <f t="shared" si="16"/>
        <v/>
      </c>
      <c r="I64" s="3"/>
      <c r="J64" s="1773">
        <f>IF(NOW()&gt;=DATE(YEAR(G$1),MONTH(G$1)+1,DAY(G$1)),SUMIFS(TF_SOTIEN,TF_QUY,G$2,TF_KM,$D64)/1000, M64)</f>
        <v>0</v>
      </c>
      <c r="K64" s="1772">
        <f t="shared" si="17"/>
        <v>0</v>
      </c>
      <c r="L64" s="3"/>
      <c r="M64" s="1773">
        <f>HLOOKUP($G$2,BCTH_AC!$A$1:$AA$121,ROW(M64)-2,0)</f>
        <v>0</v>
      </c>
      <c r="N64" s="1772">
        <f t="shared" si="18"/>
        <v>0</v>
      </c>
      <c r="O64" s="3"/>
      <c r="P64" s="1773">
        <f t="shared" si="7"/>
        <v>0</v>
      </c>
      <c r="Q64" s="1774" t="str">
        <f t="shared" si="1"/>
        <v/>
      </c>
      <c r="R64" s="1773">
        <f t="shared" si="8"/>
        <v>0</v>
      </c>
      <c r="S64" s="1774" t="str">
        <f t="shared" si="2"/>
        <v/>
      </c>
    </row>
    <row r="65">
      <c r="A65" s="1833" t="s">
        <v>2826</v>
      </c>
      <c r="B65" s="1834"/>
      <c r="C65" s="1834"/>
      <c r="D65" s="1834" t="s">
        <v>2083</v>
      </c>
      <c r="E65" s="1834"/>
      <c r="F65" s="1839">
        <v>1.0</v>
      </c>
      <c r="G65" s="1835">
        <f>SUMIFS(BP_SOTIEN,BP_QUY,G$2,BP_KM,$D65)/1000</f>
        <v>0</v>
      </c>
      <c r="H65" s="1838" t="str">
        <f t="shared" si="16"/>
        <v/>
      </c>
      <c r="I65" s="1838"/>
      <c r="J65" s="1835">
        <f>IF(NOW()&gt;=DATE(YEAR(G$1),MONTH(G$1)+1,DAY(G$1)),SUMIFS(TF_SOTIEN,TF_QUY,G$2,TF_KM,$D65)/1000, M65)</f>
        <v>365040</v>
      </c>
      <c r="K65" s="1838">
        <f t="shared" si="17"/>
        <v>0.1156429742</v>
      </c>
      <c r="L65" s="1838"/>
      <c r="M65" s="1835">
        <f>HLOOKUP($G$2,BCTH_AC!$A$1:$AA$121,ROW(M65)-2,0)</f>
        <v>365040</v>
      </c>
      <c r="N65" s="1838">
        <f t="shared" si="18"/>
        <v>0.1156429742</v>
      </c>
      <c r="O65" s="1838">
        <f t="shared" ref="O65:O66" si="30">IFERROR(M65/M$111,"")</f>
        <v>0.1430568963</v>
      </c>
      <c r="P65" s="1835">
        <f t="shared" si="7"/>
        <v>365040</v>
      </c>
      <c r="Q65" s="1838" t="str">
        <f t="shared" si="1"/>
        <v/>
      </c>
      <c r="R65" s="1835">
        <f t="shared" si="8"/>
        <v>0</v>
      </c>
      <c r="S65" s="1838">
        <f t="shared" si="2"/>
        <v>0</v>
      </c>
    </row>
    <row r="66" collapsed="1">
      <c r="A66" s="1833" t="s">
        <v>2827</v>
      </c>
      <c r="B66" s="1834"/>
      <c r="C66" s="1834"/>
      <c r="D66" s="1834"/>
      <c r="E66" s="1834"/>
      <c r="F66" s="1839">
        <v>1.0</v>
      </c>
      <c r="G66" s="1835">
        <f>SUMIF($F$67:$F$82,2,G$67:G$82)</f>
        <v>0</v>
      </c>
      <c r="H66" s="1838" t="str">
        <f t="shared" si="16"/>
        <v/>
      </c>
      <c r="I66" s="1838" t="str">
        <f>IFERROR(G66/G$111,"")</f>
        <v/>
      </c>
      <c r="J66" s="1835">
        <f>SUMIF($F$67:$F$82,2,J$67:J$82)</f>
        <v>1722739.607</v>
      </c>
      <c r="K66" s="1838">
        <f t="shared" si="17"/>
        <v>0.5457558949</v>
      </c>
      <c r="L66" s="1838">
        <f>IFERROR(J66/J$111,"")</f>
        <v>0.6751308931</v>
      </c>
      <c r="M66" s="1835">
        <f>SUMIF($F$67:$F$82,2,M$67:M$82)</f>
        <v>1722739.607</v>
      </c>
      <c r="N66" s="1838">
        <f t="shared" si="18"/>
        <v>0.5457558949</v>
      </c>
      <c r="O66" s="1838">
        <f t="shared" si="30"/>
        <v>0.6751308931</v>
      </c>
      <c r="P66" s="1837">
        <f t="shared" si="7"/>
        <v>1722739.607</v>
      </c>
      <c r="Q66" s="1840" t="str">
        <f t="shared" si="1"/>
        <v/>
      </c>
      <c r="R66" s="1837">
        <f t="shared" si="8"/>
        <v>0</v>
      </c>
      <c r="S66" s="1840">
        <f t="shared" si="2"/>
        <v>0</v>
      </c>
    </row>
    <row r="67" hidden="1" outlineLevel="1">
      <c r="A67" s="1841"/>
      <c r="B67" s="1841"/>
      <c r="C67" s="1841" t="s">
        <v>2828</v>
      </c>
      <c r="D67" s="1841"/>
      <c r="E67" s="1842">
        <v>641.0</v>
      </c>
      <c r="F67" s="1842">
        <v>2.0</v>
      </c>
      <c r="G67" s="1843">
        <f>SUM(G68:G71)</f>
        <v>0</v>
      </c>
      <c r="H67" s="1844" t="str">
        <f t="shared" si="16"/>
        <v/>
      </c>
      <c r="I67" s="1844" t="str">
        <f>IFERROR(G67/G$66,"")</f>
        <v/>
      </c>
      <c r="J67" s="1843">
        <f>SUM(J68:J71)</f>
        <v>1241939.909</v>
      </c>
      <c r="K67" s="1844">
        <f t="shared" si="17"/>
        <v>0.3934407868</v>
      </c>
      <c r="L67" s="1844">
        <f>IFERROR(J67/J$66,"")</f>
        <v>0.7209098252</v>
      </c>
      <c r="M67" s="1843">
        <f>SUM(M68:M71)</f>
        <v>1241939.909</v>
      </c>
      <c r="N67" s="1844">
        <f t="shared" si="18"/>
        <v>0.3934407868</v>
      </c>
      <c r="O67" s="1844">
        <f>IFERROR(M67/M$66,"")</f>
        <v>0.7209098252</v>
      </c>
      <c r="P67" s="1845">
        <f t="shared" si="7"/>
        <v>1241939.909</v>
      </c>
      <c r="Q67" s="1846" t="str">
        <f t="shared" si="1"/>
        <v/>
      </c>
      <c r="R67" s="1845">
        <f t="shared" si="8"/>
        <v>0</v>
      </c>
      <c r="S67" s="1846">
        <f t="shared" si="2"/>
        <v>0</v>
      </c>
    </row>
    <row r="68" hidden="1" outlineLevel="1">
      <c r="A68" s="1847"/>
      <c r="B68" s="1847"/>
      <c r="C68" s="1847" t="s">
        <v>2829</v>
      </c>
      <c r="D68" s="1847" t="s">
        <v>255</v>
      </c>
      <c r="E68" s="1847"/>
      <c r="F68" s="1848">
        <v>3.0</v>
      </c>
      <c r="G68" s="1849">
        <f>SUMIFS(BP_SOTIEN,BP_QUY,G$2,BP_KM,$D68)/1000</f>
        <v>0</v>
      </c>
      <c r="H68" s="1850" t="str">
        <f t="shared" si="16"/>
        <v/>
      </c>
      <c r="I68" s="1850"/>
      <c r="J68" s="1849">
        <f>IF(NOW()&gt;=DATE(YEAR(G$1),MONTH(G$1)+1,DAY(G$1)),SUMIFS(TF_SOTIEN,TF_QUY,G$2,TF_KM,$D68)/1000, M68)</f>
        <v>389681.909</v>
      </c>
      <c r="K68" s="1850">
        <f t="shared" si="17"/>
        <v>0.1234494163</v>
      </c>
      <c r="L68" s="1850"/>
      <c r="M68" s="1849">
        <f>HLOOKUP($G$2,BCTH_AC!$A$1:$AA$121,ROW(M68)+2,0)</f>
        <v>389681.909</v>
      </c>
      <c r="N68" s="1850">
        <f t="shared" si="18"/>
        <v>0.1234494163</v>
      </c>
      <c r="O68" s="1850"/>
      <c r="P68" s="1849">
        <f t="shared" si="7"/>
        <v>389681.909</v>
      </c>
      <c r="Q68" s="1850" t="str">
        <f t="shared" si="1"/>
        <v/>
      </c>
      <c r="R68" s="1849">
        <f t="shared" si="8"/>
        <v>0</v>
      </c>
      <c r="S68" s="1850">
        <f t="shared" si="2"/>
        <v>0</v>
      </c>
    </row>
    <row r="69" hidden="1" outlineLevel="1">
      <c r="A69" s="1847"/>
      <c r="B69" s="1847"/>
      <c r="C69" s="1847" t="s">
        <v>2830</v>
      </c>
      <c r="D69" s="1847" t="s">
        <v>190</v>
      </c>
      <c r="E69" s="1848">
        <v>641.0</v>
      </c>
      <c r="F69" s="1848">
        <v>3.0</v>
      </c>
      <c r="G69" s="1849">
        <f>SUMIFS(BP_SOTIEN,BP_QUY,G$2,BP_KM,$D69)/1000</f>
        <v>0</v>
      </c>
      <c r="H69" s="1850" t="str">
        <f t="shared" si="16"/>
        <v/>
      </c>
      <c r="I69" s="1850"/>
      <c r="J69" s="1849">
        <f>IF(NOW()&gt;=DATE(YEAR(G$1),MONTH(G$1)+1,DAY(G$1)),SUMIFS(TF_SOTIEN,TF_QUY,G$2,TF_KM,$D69)/1000, M69)</f>
        <v>792258</v>
      </c>
      <c r="K69" s="1850">
        <f t="shared" si="17"/>
        <v>0.2509836496</v>
      </c>
      <c r="L69" s="1850"/>
      <c r="M69" s="1849">
        <f>HLOOKUP($G$2,BCTH_AC!$A$1:$AA$121,ROW(M69)+2,0)</f>
        <v>792258</v>
      </c>
      <c r="N69" s="1850">
        <f t="shared" si="18"/>
        <v>0.2509836496</v>
      </c>
      <c r="O69" s="1850"/>
      <c r="P69" s="1849">
        <f t="shared" si="7"/>
        <v>792258</v>
      </c>
      <c r="Q69" s="1850" t="str">
        <f t="shared" si="1"/>
        <v/>
      </c>
      <c r="R69" s="1849">
        <f t="shared" si="8"/>
        <v>0</v>
      </c>
      <c r="S69" s="1850">
        <f t="shared" si="2"/>
        <v>0</v>
      </c>
    </row>
    <row r="70" hidden="1" outlineLevel="1">
      <c r="A70" s="1847"/>
      <c r="B70" s="1847"/>
      <c r="C70" s="1847" t="s">
        <v>2831</v>
      </c>
      <c r="D70" s="1847" t="s">
        <v>194</v>
      </c>
      <c r="E70" s="1848">
        <v>641.0</v>
      </c>
      <c r="F70" s="1848">
        <v>3.0</v>
      </c>
      <c r="G70" s="1849">
        <f>SUMIFS(BP_SOTIEN,BP_QUY,G$2,BP_KM,$D70)/1000</f>
        <v>0</v>
      </c>
      <c r="H70" s="1850" t="str">
        <f t="shared" si="16"/>
        <v/>
      </c>
      <c r="I70" s="1850"/>
      <c r="J70" s="1849">
        <f>IF(NOW()&gt;=DATE(YEAR(G$1),MONTH(G$1)+1,DAY(G$1)),SUMIFS(TF_SOTIEN,TF_QUY,G$2,TF_KM,$D70)/1000, M70)</f>
        <v>46428</v>
      </c>
      <c r="K70" s="1850">
        <f t="shared" si="17"/>
        <v>0.01470817446</v>
      </c>
      <c r="L70" s="1850"/>
      <c r="M70" s="1849">
        <f>HLOOKUP($G$2,BCTH_AC!$A$1:$AA$121,ROW(M70)+2,0)</f>
        <v>46428</v>
      </c>
      <c r="N70" s="1850">
        <f t="shared" si="18"/>
        <v>0.01470817446</v>
      </c>
      <c r="O70" s="1850"/>
      <c r="P70" s="1849">
        <f t="shared" si="7"/>
        <v>46428</v>
      </c>
      <c r="Q70" s="1850" t="str">
        <f t="shared" si="1"/>
        <v/>
      </c>
      <c r="R70" s="1849">
        <f t="shared" si="8"/>
        <v>0</v>
      </c>
      <c r="S70" s="1850">
        <f t="shared" si="2"/>
        <v>0</v>
      </c>
    </row>
    <row r="71" hidden="1" outlineLevel="1">
      <c r="A71" s="1847"/>
      <c r="B71" s="1847"/>
      <c r="C71" s="1847" t="s">
        <v>2832</v>
      </c>
      <c r="D71" s="1847" t="s">
        <v>374</v>
      </c>
      <c r="E71" s="1848">
        <v>641.0</v>
      </c>
      <c r="F71" s="1848">
        <v>3.0</v>
      </c>
      <c r="G71" s="1849">
        <f>SUMIFS(BP_SOTIEN,BP_QUY,G$2,BP_KM,$D71)/1000</f>
        <v>0</v>
      </c>
      <c r="H71" s="1850" t="str">
        <f t="shared" si="16"/>
        <v/>
      </c>
      <c r="I71" s="1850"/>
      <c r="J71" s="1849">
        <f>IF(NOW()&gt;=DATE(YEAR(G$1),MONTH(G$1)+1,DAY(G$1)),SUMIFS(TF_SOTIEN,TF_QUY,G$2,TF_KM,$D71)/1000, M71)</f>
        <v>13572</v>
      </c>
      <c r="K71" s="1850">
        <f t="shared" si="17"/>
        <v>0.004299546476</v>
      </c>
      <c r="L71" s="1850"/>
      <c r="M71" s="1849">
        <f>HLOOKUP($G$2,BCTH_AC!$A$1:$AA$121,ROW(M71)+2,0)</f>
        <v>13572</v>
      </c>
      <c r="N71" s="1850">
        <f t="shared" si="18"/>
        <v>0.004299546476</v>
      </c>
      <c r="O71" s="1850"/>
      <c r="P71" s="1849">
        <f t="shared" si="7"/>
        <v>13572</v>
      </c>
      <c r="Q71" s="1850" t="str">
        <f t="shared" si="1"/>
        <v/>
      </c>
      <c r="R71" s="1849">
        <f t="shared" si="8"/>
        <v>0</v>
      </c>
      <c r="S71" s="1850">
        <f t="shared" si="2"/>
        <v>0</v>
      </c>
    </row>
    <row r="72" hidden="1" outlineLevel="1">
      <c r="A72" s="1841"/>
      <c r="B72" s="1841"/>
      <c r="C72" s="1841" t="s">
        <v>2833</v>
      </c>
      <c r="D72" s="1841" t="s">
        <v>169</v>
      </c>
      <c r="E72" s="1841"/>
      <c r="F72" s="1842">
        <v>2.0</v>
      </c>
      <c r="G72" s="1843">
        <f>SUMIFS(BP_SOTIEN,BP_QUY,G$2,BP_KM,$D72)/1000</f>
        <v>0</v>
      </c>
      <c r="H72" s="1850" t="str">
        <f t="shared" si="16"/>
        <v/>
      </c>
      <c r="I72" s="1850"/>
      <c r="J72" s="1843">
        <f>IF(NOW()&gt;=DATE(YEAR(G$1),MONTH(G$1)+1,DAY(G$1)),SUMIFS(TF_SOTIEN,TF_QUY,G$2,TF_KM,$D72)/1000, M72)</f>
        <v>143870.999</v>
      </c>
      <c r="K72" s="1850">
        <f t="shared" si="17"/>
        <v>0.04557766333</v>
      </c>
      <c r="L72" s="1850"/>
      <c r="M72" s="1843">
        <f>HLOOKUP($G$2,BCTH_AC!$A$1:$AA$121,ROW(M72)+2,0)</f>
        <v>143870.999</v>
      </c>
      <c r="N72" s="1850">
        <f t="shared" si="18"/>
        <v>0.04557766333</v>
      </c>
      <c r="O72" s="1850">
        <f t="shared" ref="O72:O75" si="31">IFERROR(M72/M$66,"")</f>
        <v>0.08351291072</v>
      </c>
      <c r="P72" s="1843">
        <f t="shared" si="7"/>
        <v>143870.999</v>
      </c>
      <c r="Q72" s="1850" t="str">
        <f t="shared" si="1"/>
        <v/>
      </c>
      <c r="R72" s="1843">
        <f t="shared" si="8"/>
        <v>0</v>
      </c>
      <c r="S72" s="1850">
        <f t="shared" si="2"/>
        <v>0</v>
      </c>
    </row>
    <row r="73" hidden="1" outlineLevel="1">
      <c r="A73" s="1841"/>
      <c r="B73" s="1841"/>
      <c r="C73" s="1841" t="s">
        <v>2834</v>
      </c>
      <c r="D73" s="1841" t="s">
        <v>174</v>
      </c>
      <c r="E73" s="1842">
        <v>641.0</v>
      </c>
      <c r="F73" s="1842">
        <v>2.0</v>
      </c>
      <c r="G73" s="1843">
        <f>SUMIFS(BP_SOTIEN,BP_QUY,G$2,BP_KM,$D73)/1000</f>
        <v>0</v>
      </c>
      <c r="H73" s="1850" t="str">
        <f t="shared" si="16"/>
        <v/>
      </c>
      <c r="I73" s="1850"/>
      <c r="J73" s="1843">
        <f>IF(NOW()&gt;=DATE(YEAR(G$1),MONTH(G$1)+1,DAY(G$1)),SUMIFS(TF_SOTIEN,TF_QUY,G$2,TF_KM,$D73)/1000, M73)</f>
        <v>150155.999</v>
      </c>
      <c r="K73" s="1850">
        <f t="shared" si="17"/>
        <v>0.0475687221</v>
      </c>
      <c r="L73" s="1850"/>
      <c r="M73" s="1843">
        <f>HLOOKUP($G$2,BCTH_AC!$A$1:$AA$121,ROW(M73)+2,0)</f>
        <v>150155.999</v>
      </c>
      <c r="N73" s="1850">
        <f t="shared" si="18"/>
        <v>0.0475687221</v>
      </c>
      <c r="O73" s="1850">
        <f t="shared" si="31"/>
        <v>0.08716116956</v>
      </c>
      <c r="P73" s="1843">
        <f t="shared" si="7"/>
        <v>150155.999</v>
      </c>
      <c r="Q73" s="1850" t="str">
        <f t="shared" si="1"/>
        <v/>
      </c>
      <c r="R73" s="1843">
        <f t="shared" si="8"/>
        <v>0</v>
      </c>
      <c r="S73" s="1850">
        <f t="shared" si="2"/>
        <v>0</v>
      </c>
    </row>
    <row r="74" hidden="1" outlineLevel="1">
      <c r="A74" s="1841"/>
      <c r="B74" s="1841"/>
      <c r="C74" s="1841" t="s">
        <v>2835</v>
      </c>
      <c r="D74" s="1841" t="s">
        <v>2836</v>
      </c>
      <c r="E74" s="1841"/>
      <c r="F74" s="1842">
        <v>2.0</v>
      </c>
      <c r="G74" s="1843">
        <f>SUMIFS(BP_SOTIEN,BP_QUY,G$2,BP_KM,$D74)/1000</f>
        <v>0</v>
      </c>
      <c r="H74" s="1850" t="str">
        <f t="shared" si="16"/>
        <v/>
      </c>
      <c r="I74" s="1850"/>
      <c r="J74" s="1843">
        <f>IF(NOW()&gt;=DATE(YEAR(G$1),MONTH(G$1)+1,DAY(G$1)),SUMIFS(TF_SOTIEN,TF_QUY,G$2,TF_KM,$D74)/1000, M74)</f>
        <v>0</v>
      </c>
      <c r="K74" s="1850">
        <f t="shared" si="17"/>
        <v>0</v>
      </c>
      <c r="L74" s="1850"/>
      <c r="M74" s="1843">
        <f>HLOOKUP($G$2,BCTH_AC!$A$1:$AA$121,ROW(M74)+2,0)</f>
        <v>0</v>
      </c>
      <c r="N74" s="1850">
        <f t="shared" si="18"/>
        <v>0</v>
      </c>
      <c r="O74" s="1850">
        <f t="shared" si="31"/>
        <v>0</v>
      </c>
      <c r="P74" s="1843">
        <f t="shared" si="7"/>
        <v>0</v>
      </c>
      <c r="Q74" s="1850" t="str">
        <f t="shared" si="1"/>
        <v/>
      </c>
      <c r="R74" s="1843">
        <f t="shared" si="8"/>
        <v>0</v>
      </c>
      <c r="S74" s="1850" t="str">
        <f t="shared" si="2"/>
        <v/>
      </c>
    </row>
    <row r="75" hidden="1" outlineLevel="1">
      <c r="A75" s="1841"/>
      <c r="B75" s="1841"/>
      <c r="C75" s="1841" t="s">
        <v>2091</v>
      </c>
      <c r="D75" s="1841" t="s">
        <v>203</v>
      </c>
      <c r="E75" s="1841"/>
      <c r="F75" s="1842">
        <v>2.0</v>
      </c>
      <c r="G75" s="1843">
        <f>SUMIFS(BP_SOTIEN,BP_QUY,G$2,BP_KM,$D75)/1000</f>
        <v>0</v>
      </c>
      <c r="H75" s="1850" t="str">
        <f t="shared" si="16"/>
        <v/>
      </c>
      <c r="I75" s="1850"/>
      <c r="J75" s="1843">
        <f>IF(NOW()&gt;=DATE(YEAR(G$1),MONTH(G$1)+1,DAY(G$1)),SUMIFS(TF_SOTIEN,TF_QUY,G$2,TF_KM,$D75)/1000, M75)</f>
        <v>44152.7</v>
      </c>
      <c r="K75" s="1850">
        <f t="shared" si="17"/>
        <v>0.01398737</v>
      </c>
      <c r="L75" s="1850"/>
      <c r="M75" s="1843">
        <f>HLOOKUP($G$2,BCTH_AC!$A$1:$AA$121,ROW(M75)+2,0)</f>
        <v>44152.7</v>
      </c>
      <c r="N75" s="1850">
        <f t="shared" si="18"/>
        <v>0.01398737</v>
      </c>
      <c r="O75" s="1850">
        <f t="shared" si="31"/>
        <v>0.02562935212</v>
      </c>
      <c r="P75" s="1843">
        <f t="shared" si="7"/>
        <v>44152.7</v>
      </c>
      <c r="Q75" s="1850" t="str">
        <f t="shared" si="1"/>
        <v/>
      </c>
      <c r="R75" s="1843">
        <f t="shared" si="8"/>
        <v>0</v>
      </c>
      <c r="S75" s="1850">
        <f t="shared" si="2"/>
        <v>0</v>
      </c>
    </row>
    <row r="76" hidden="1" outlineLevel="1">
      <c r="A76" s="1847"/>
      <c r="B76" s="1847"/>
      <c r="C76" s="1851" t="s">
        <v>2838</v>
      </c>
      <c r="D76" s="1851" t="s">
        <v>612</v>
      </c>
      <c r="E76" s="1847"/>
      <c r="F76" s="1842">
        <v>3.0</v>
      </c>
      <c r="G76" s="1849"/>
      <c r="H76" s="1850"/>
      <c r="I76" s="1850"/>
      <c r="J76" s="1849"/>
      <c r="K76" s="1850"/>
      <c r="L76" s="1850"/>
      <c r="M76" s="1849">
        <f>HLOOKUP($G$2,BCTH_AC!$A$1:$AA$121,ROW(M76)+2,0)</f>
        <v>26973.7</v>
      </c>
      <c r="N76" s="1850"/>
      <c r="O76" s="1850"/>
      <c r="P76" s="1849"/>
      <c r="Q76" s="1850"/>
      <c r="R76" s="1849"/>
      <c r="S76" s="1850"/>
    </row>
    <row r="77" hidden="1" outlineLevel="1">
      <c r="A77" s="1847"/>
      <c r="B77" s="1847"/>
      <c r="C77" s="1851" t="s">
        <v>2839</v>
      </c>
      <c r="D77" s="1851" t="s">
        <v>1170</v>
      </c>
      <c r="E77" s="1847"/>
      <c r="F77" s="1842">
        <v>3.0</v>
      </c>
      <c r="G77" s="1849"/>
      <c r="H77" s="1850"/>
      <c r="I77" s="1850"/>
      <c r="J77" s="1849"/>
      <c r="K77" s="1850"/>
      <c r="L77" s="1850"/>
      <c r="M77" s="1849">
        <f>HLOOKUP($G$2,BCTH_AC!$A$1:$AA$121,ROW(M77)+2,0)</f>
        <v>14979</v>
      </c>
      <c r="N77" s="1850"/>
      <c r="O77" s="1850"/>
      <c r="P77" s="1849"/>
      <c r="Q77" s="1850"/>
      <c r="R77" s="1849"/>
      <c r="S77" s="1850"/>
    </row>
    <row r="78" hidden="1" outlineLevel="1">
      <c r="A78" s="1847"/>
      <c r="B78" s="1847"/>
      <c r="C78" s="1851" t="s">
        <v>2840</v>
      </c>
      <c r="D78" s="1851" t="s">
        <v>1142</v>
      </c>
      <c r="E78" s="1847"/>
      <c r="F78" s="1842">
        <v>3.0</v>
      </c>
      <c r="G78" s="1849"/>
      <c r="H78" s="1850"/>
      <c r="I78" s="1850"/>
      <c r="J78" s="1849"/>
      <c r="K78" s="1850"/>
      <c r="L78" s="1850"/>
      <c r="M78" s="1849">
        <f>HLOOKUP($G$2,BCTH_AC!$A$1:$AA$121,ROW(M78)+2,0)</f>
        <v>2200</v>
      </c>
      <c r="N78" s="1850"/>
      <c r="O78" s="1850"/>
      <c r="P78" s="1849"/>
      <c r="Q78" s="1850"/>
      <c r="R78" s="1849"/>
      <c r="S78" s="1850"/>
    </row>
    <row r="79" hidden="1" outlineLevel="1">
      <c r="A79" s="1847"/>
      <c r="B79" s="1847"/>
      <c r="C79" s="1851" t="s">
        <v>2841</v>
      </c>
      <c r="D79" s="1851" t="s">
        <v>2243</v>
      </c>
      <c r="E79" s="1847"/>
      <c r="F79" s="1842">
        <v>3.0</v>
      </c>
      <c r="G79" s="1849"/>
      <c r="H79" s="1850"/>
      <c r="I79" s="1850"/>
      <c r="J79" s="1849"/>
      <c r="K79" s="1850"/>
      <c r="L79" s="1850"/>
      <c r="M79" s="1849">
        <f>HLOOKUP($G$2,BCTH_AC!$A$1:$AA$121,ROW(M79)+2,0)</f>
        <v>0</v>
      </c>
      <c r="N79" s="1850"/>
      <c r="O79" s="1850"/>
      <c r="P79" s="1849"/>
      <c r="Q79" s="1850"/>
      <c r="R79" s="1849"/>
      <c r="S79" s="1850"/>
    </row>
    <row r="80" hidden="1" outlineLevel="1">
      <c r="A80" s="1841"/>
      <c r="B80" s="1841"/>
      <c r="C80" s="1841" t="s">
        <v>2842</v>
      </c>
      <c r="D80" s="1841" t="s">
        <v>734</v>
      </c>
      <c r="E80" s="1841"/>
      <c r="F80" s="1842">
        <v>2.0</v>
      </c>
      <c r="G80" s="1843">
        <f>SUMIFS(BP_SOTIEN,BP_QUY,G$2,BP_KM,$D80)/1000</f>
        <v>0</v>
      </c>
      <c r="H80" s="1850" t="str">
        <f t="shared" ref="H80:H118" si="32">IFERROR(G80/G$19,"")</f>
        <v/>
      </c>
      <c r="I80" s="1850"/>
      <c r="J80" s="1843">
        <f>IF(NOW()&gt;=DATE(YEAR(G$1),MONTH(G$1)+1,DAY(G$1)),SUMIFS(TF_SOTIEN,TF_QUY,G$2,TF_KM,$D80)/1000, M80)</f>
        <v>13320</v>
      </c>
      <c r="K80" s="1850">
        <f t="shared" ref="K80:K118" si="33">IFERROR(J80/J$19,"")</f>
        <v>0.004219714048</v>
      </c>
      <c r="L80" s="1850"/>
      <c r="M80" s="1843">
        <f>HLOOKUP($G$2,BCTH_AC!$A$1:$AA$121,ROW(M80)+2,0)</f>
        <v>13320</v>
      </c>
      <c r="N80" s="1850">
        <f t="shared" ref="N80:N118" si="34">IFERROR(M80/M$19,"")</f>
        <v>0.004219714048</v>
      </c>
      <c r="O80" s="1850">
        <f t="shared" ref="O80:O82" si="35">IFERROR(M80/M$66,"")</f>
        <v>0.007731870763</v>
      </c>
      <c r="P80" s="1843">
        <f t="shared" ref="P80:P118" si="36">M80-G80</f>
        <v>13320</v>
      </c>
      <c r="Q80" s="1850" t="str">
        <f t="shared" ref="Q80:Q118" si="37">IFERROR(P80/G80,"")</f>
        <v/>
      </c>
      <c r="R80" s="1843">
        <f t="shared" ref="R80:R118" si="38">M80-J80</f>
        <v>0</v>
      </c>
      <c r="S80" s="1850">
        <f t="shared" ref="S80:S118" si="39">IFERROR(R80/J80,"")</f>
        <v>0</v>
      </c>
    </row>
    <row r="81" hidden="1" outlineLevel="1">
      <c r="A81" s="1841"/>
      <c r="B81" s="1841"/>
      <c r="C81" s="1852" t="s">
        <v>2843</v>
      </c>
      <c r="D81" s="1852" t="s">
        <v>201</v>
      </c>
      <c r="E81" s="1841"/>
      <c r="F81" s="1842">
        <v>2.0</v>
      </c>
      <c r="G81" s="1843">
        <f>SUMIFS(BP_SOTIEN,BP_QUY,G$2,BP_KM,$D81)/1000</f>
        <v>0</v>
      </c>
      <c r="H81" s="1850" t="str">
        <f t="shared" si="32"/>
        <v/>
      </c>
      <c r="I81" s="1850"/>
      <c r="J81" s="1843">
        <f>IF(NOW()&gt;=DATE(YEAR(G$1),MONTH(G$1)+1,DAY(G$1)),SUMIFS(TF_SOTIEN,TF_QUY,G$2,TF_KM,$D81)/1000, M81)</f>
        <v>27000</v>
      </c>
      <c r="K81" s="1850">
        <f t="shared" si="33"/>
        <v>0.008553474421</v>
      </c>
      <c r="L81" s="1850"/>
      <c r="M81" s="1843">
        <f>HLOOKUP($G$2,BCTH_AC!$A$1:$AA$121,ROW(M81)+2,0)</f>
        <v>27000</v>
      </c>
      <c r="N81" s="1850">
        <f t="shared" si="34"/>
        <v>0.008553474421</v>
      </c>
      <c r="O81" s="1850">
        <f t="shared" si="35"/>
        <v>0.01567271101</v>
      </c>
      <c r="P81" s="1843">
        <f t="shared" si="36"/>
        <v>27000</v>
      </c>
      <c r="Q81" s="1850" t="str">
        <f t="shared" si="37"/>
        <v/>
      </c>
      <c r="R81" s="1843">
        <f t="shared" si="38"/>
        <v>0</v>
      </c>
      <c r="S81" s="1850">
        <f t="shared" si="39"/>
        <v>0</v>
      </c>
    </row>
    <row r="82" hidden="1" outlineLevel="1">
      <c r="A82" s="1841"/>
      <c r="B82" s="1841"/>
      <c r="C82" s="1841" t="s">
        <v>2245</v>
      </c>
      <c r="D82" s="1841" t="s">
        <v>181</v>
      </c>
      <c r="E82" s="1841"/>
      <c r="F82" s="1842">
        <v>2.0</v>
      </c>
      <c r="G82" s="1843">
        <f>SUMIFS(BP_SOTIEN,BP_QUY,G$2,BP_KM,$D82)/1000</f>
        <v>0</v>
      </c>
      <c r="H82" s="1850" t="str">
        <f t="shared" si="32"/>
        <v/>
      </c>
      <c r="I82" s="1850"/>
      <c r="J82" s="1843">
        <f>IF(NOW()&gt;=DATE(YEAR(G$1),MONTH(G$1)+1,DAY(G$1)),SUMIFS(TF_SOTIEN,TF_QUY,G$2,TF_KM,$D82)/1000, M82)</f>
        <v>102300</v>
      </c>
      <c r="K82" s="1850">
        <f t="shared" si="33"/>
        <v>0.0324081642</v>
      </c>
      <c r="L82" s="1850"/>
      <c r="M82" s="1843">
        <f>HLOOKUP($G$2,BCTH_AC!$A$1:$AA$121,ROW(M82)+2,0)</f>
        <v>102300</v>
      </c>
      <c r="N82" s="1850">
        <f t="shared" si="34"/>
        <v>0.0324081642</v>
      </c>
      <c r="O82" s="1850">
        <f t="shared" si="35"/>
        <v>0.05938216059</v>
      </c>
      <c r="P82" s="1843">
        <f t="shared" si="36"/>
        <v>102300</v>
      </c>
      <c r="Q82" s="1850" t="str">
        <f t="shared" si="37"/>
        <v/>
      </c>
      <c r="R82" s="1843">
        <f t="shared" si="38"/>
        <v>0</v>
      </c>
      <c r="S82" s="1850">
        <f t="shared" si="39"/>
        <v>0</v>
      </c>
    </row>
    <row r="83" collapsed="1">
      <c r="A83" s="1853" t="s">
        <v>3949</v>
      </c>
      <c r="B83" s="1834"/>
      <c r="C83" s="1834"/>
      <c r="D83" s="1834"/>
      <c r="E83" s="1834"/>
      <c r="F83" s="1839">
        <v>1.0</v>
      </c>
      <c r="G83" s="1835">
        <f>SUMIF($F$84:$F$110,2,G$84:G$110)</f>
        <v>0</v>
      </c>
      <c r="H83" s="1838" t="str">
        <f t="shared" si="32"/>
        <v/>
      </c>
      <c r="I83" s="1838" t="str">
        <f>IFERROR(G83/G$111,"")</f>
        <v/>
      </c>
      <c r="J83" s="1835">
        <f>SUMIF($F$84:$F$110,2,J$84:J$110)</f>
        <v>463932.401</v>
      </c>
      <c r="K83" s="1838">
        <f t="shared" si="33"/>
        <v>0.1469716269</v>
      </c>
      <c r="L83" s="1838">
        <f>IFERROR(J83/J$111,"")</f>
        <v>0.1818122106</v>
      </c>
      <c r="M83" s="1835">
        <f>SUMIF($F$84:$F$110,2,M$84:M$110)</f>
        <v>463932.401</v>
      </c>
      <c r="N83" s="1838">
        <f t="shared" si="34"/>
        <v>0.1469716269</v>
      </c>
      <c r="O83" s="1838">
        <f>IFERROR(M83/M$111,"")</f>
        <v>0.1818122106</v>
      </c>
      <c r="P83" s="1837">
        <f t="shared" si="36"/>
        <v>463932.401</v>
      </c>
      <c r="Q83" s="1840" t="str">
        <f t="shared" si="37"/>
        <v/>
      </c>
      <c r="R83" s="1837">
        <f t="shared" si="38"/>
        <v>0</v>
      </c>
      <c r="S83" s="1840">
        <f t="shared" si="39"/>
        <v>0</v>
      </c>
    </row>
    <row r="84" hidden="1" outlineLevel="1">
      <c r="A84" s="1841"/>
      <c r="B84" s="1841"/>
      <c r="C84" s="1841" t="s">
        <v>2845</v>
      </c>
      <c r="D84" s="1841"/>
      <c r="E84" s="1842">
        <v>642.0</v>
      </c>
      <c r="F84" s="1842">
        <v>2.0</v>
      </c>
      <c r="G84" s="1843">
        <f>SUM(G85:G90)</f>
        <v>0</v>
      </c>
      <c r="H84" s="1844" t="str">
        <f t="shared" si="32"/>
        <v/>
      </c>
      <c r="I84" s="1844" t="str">
        <f>IFERROR(G84/G$83,"")</f>
        <v/>
      </c>
      <c r="J84" s="1843">
        <f>SUM(J85:J90)</f>
        <v>324496.614</v>
      </c>
      <c r="K84" s="1844">
        <f t="shared" si="33"/>
        <v>0.1027990181</v>
      </c>
      <c r="L84" s="1844">
        <f>IFERROR(J84/J$83,"")</f>
        <v>0.6994480517</v>
      </c>
      <c r="M84" s="1843">
        <f>SUM(M85:M90)</f>
        <v>324496.614</v>
      </c>
      <c r="N84" s="1844">
        <f t="shared" si="34"/>
        <v>0.1027990181</v>
      </c>
      <c r="O84" s="1844">
        <f t="shared" ref="O84:O92" si="40">IFERROR(M84/M$83,"")</f>
        <v>0.6994480517</v>
      </c>
      <c r="P84" s="1845">
        <f t="shared" si="36"/>
        <v>324496.614</v>
      </c>
      <c r="Q84" s="1846" t="str">
        <f t="shared" si="37"/>
        <v/>
      </c>
      <c r="R84" s="1845">
        <f t="shared" si="38"/>
        <v>0</v>
      </c>
      <c r="S84" s="1846">
        <f t="shared" si="39"/>
        <v>0</v>
      </c>
    </row>
    <row r="85" hidden="1" outlineLevel="1">
      <c r="A85" s="1847"/>
      <c r="B85" s="1847"/>
      <c r="C85" s="1847" t="s">
        <v>2846</v>
      </c>
      <c r="D85" s="1847" t="s">
        <v>293</v>
      </c>
      <c r="E85" s="1847"/>
      <c r="F85" s="1848">
        <v>3.0</v>
      </c>
      <c r="G85" s="1849">
        <f>SUMIFS(BP_SOTIEN,BP_QUY,G$2,BP_KM,$D85)/1000</f>
        <v>0</v>
      </c>
      <c r="H85" s="1850" t="str">
        <f t="shared" si="32"/>
        <v/>
      </c>
      <c r="I85" s="1850"/>
      <c r="J85" s="1849">
        <f>IF(NOW()&gt;=DATE(YEAR(G$1),MONTH(G$1)+1,DAY(G$1)),SUMIFS(TF_SOTIEN,TF_QUY,G$2,TF_KM,$D85)/1000, M85)</f>
        <v>126000</v>
      </c>
      <c r="K85" s="1850">
        <f t="shared" si="33"/>
        <v>0.03991621397</v>
      </c>
      <c r="L85" s="1850"/>
      <c r="M85" s="1849">
        <f>HLOOKUP($G$2,BCTH_AC!$A$1:$AA$121,ROW(M85)+2,0)</f>
        <v>126000</v>
      </c>
      <c r="N85" s="1850">
        <f t="shared" si="34"/>
        <v>0.03991621397</v>
      </c>
      <c r="O85" s="1850">
        <f t="shared" si="40"/>
        <v>0.2715912916</v>
      </c>
      <c r="P85" s="1849">
        <f t="shared" si="36"/>
        <v>126000</v>
      </c>
      <c r="Q85" s="1850" t="str">
        <f t="shared" si="37"/>
        <v/>
      </c>
      <c r="R85" s="1849">
        <f t="shared" si="38"/>
        <v>0</v>
      </c>
      <c r="S85" s="1850">
        <f t="shared" si="39"/>
        <v>0</v>
      </c>
    </row>
    <row r="86" hidden="1" outlineLevel="1">
      <c r="A86" s="1847"/>
      <c r="B86" s="1847"/>
      <c r="C86" s="1847" t="s">
        <v>2847</v>
      </c>
      <c r="D86" s="1847" t="s">
        <v>267</v>
      </c>
      <c r="E86" s="1847"/>
      <c r="F86" s="1848">
        <v>3.0</v>
      </c>
      <c r="G86" s="1849">
        <f>SUMIFS(BP_SOTIEN,BP_QUY,G$2,BP_KM,$D86)/1000</f>
        <v>0</v>
      </c>
      <c r="H86" s="1850" t="str">
        <f t="shared" si="32"/>
        <v/>
      </c>
      <c r="I86" s="1850"/>
      <c r="J86" s="1849">
        <f>IF(NOW()&gt;=DATE(YEAR(G$1),MONTH(G$1)+1,DAY(G$1)),SUMIFS(TF_SOTIEN,TF_QUY,G$2,TF_KM,$D86)/1000, M86)</f>
        <v>172739.614</v>
      </c>
      <c r="K86" s="1850">
        <f t="shared" si="33"/>
        <v>0.05472310629</v>
      </c>
      <c r="L86" s="1850"/>
      <c r="M86" s="1849">
        <f>HLOOKUP($G$2,BCTH_AC!$A$1:$AA$121,ROW(M86)+2,0)</f>
        <v>172739.614</v>
      </c>
      <c r="N86" s="1850">
        <f t="shared" si="34"/>
        <v>0.05472310629</v>
      </c>
      <c r="O86" s="1850">
        <f t="shared" si="40"/>
        <v>0.3723378958</v>
      </c>
      <c r="P86" s="1849">
        <f t="shared" si="36"/>
        <v>172739.614</v>
      </c>
      <c r="Q86" s="1850" t="str">
        <f t="shared" si="37"/>
        <v/>
      </c>
      <c r="R86" s="1849">
        <f t="shared" si="38"/>
        <v>0</v>
      </c>
      <c r="S86" s="1850">
        <f t="shared" si="39"/>
        <v>0</v>
      </c>
    </row>
    <row r="87" hidden="1" outlineLevel="1">
      <c r="A87" s="1847"/>
      <c r="B87" s="1847"/>
      <c r="C87" s="1847" t="s">
        <v>2848</v>
      </c>
      <c r="D87" s="1847" t="s">
        <v>1211</v>
      </c>
      <c r="E87" s="1847"/>
      <c r="F87" s="1848">
        <v>3.0</v>
      </c>
      <c r="G87" s="1849">
        <f>SUMIFS(BP_SOTIEN,BP_QUY,G$2,BP_KM,$D87)/1000</f>
        <v>0</v>
      </c>
      <c r="H87" s="1850" t="str">
        <f t="shared" si="32"/>
        <v/>
      </c>
      <c r="I87" s="1850"/>
      <c r="J87" s="1849">
        <f>IF(NOW()&gt;=DATE(YEAR(G$1),MONTH(G$1)+1,DAY(G$1)),SUMIFS(TF_SOTIEN,TF_QUY,G$2,TF_KM,$D87)/1000, M87)</f>
        <v>18000</v>
      </c>
      <c r="K87" s="1850">
        <f t="shared" si="33"/>
        <v>0.005702316281</v>
      </c>
      <c r="L87" s="1850"/>
      <c r="M87" s="1849">
        <f>HLOOKUP($G$2,BCTH_AC!$A$1:$AA$121,ROW(M87)+2,0)</f>
        <v>18000</v>
      </c>
      <c r="N87" s="1850">
        <f t="shared" si="34"/>
        <v>0.005702316281</v>
      </c>
      <c r="O87" s="1850">
        <f t="shared" si="40"/>
        <v>0.03879875594</v>
      </c>
      <c r="P87" s="1849">
        <f t="shared" si="36"/>
        <v>18000</v>
      </c>
      <c r="Q87" s="1850" t="str">
        <f t="shared" si="37"/>
        <v/>
      </c>
      <c r="R87" s="1849">
        <f t="shared" si="38"/>
        <v>0</v>
      </c>
      <c r="S87" s="1850">
        <f t="shared" si="39"/>
        <v>0</v>
      </c>
    </row>
    <row r="88" hidden="1" outlineLevel="1">
      <c r="A88" s="1847"/>
      <c r="B88" s="1847"/>
      <c r="C88" s="1847" t="s">
        <v>2849</v>
      </c>
      <c r="D88" s="1847" t="s">
        <v>2850</v>
      </c>
      <c r="E88" s="1847"/>
      <c r="F88" s="1848">
        <v>3.0</v>
      </c>
      <c r="G88" s="1849">
        <f>SUMIFS(BP_SOTIEN,BP_QUY,G$2,BP_KM,$D88)/1000</f>
        <v>0</v>
      </c>
      <c r="H88" s="1850" t="str">
        <f t="shared" si="32"/>
        <v/>
      </c>
      <c r="I88" s="1850"/>
      <c r="J88" s="1849">
        <f>IF(NOW()&gt;=DATE(YEAR(G$1),MONTH(G$1)+1,DAY(G$1)),SUMIFS(TF_SOTIEN,TF_QUY,G$2,TF_KM,$D88)/1000, M88)</f>
        <v>0</v>
      </c>
      <c r="K88" s="1850">
        <f t="shared" si="33"/>
        <v>0</v>
      </c>
      <c r="L88" s="1850"/>
      <c r="M88" s="1849">
        <f>HLOOKUP($G$2,BCTH_AC!$A$1:$AA$121,ROW(M88)+2,0)</f>
        <v>0</v>
      </c>
      <c r="N88" s="1850">
        <f t="shared" si="34"/>
        <v>0</v>
      </c>
      <c r="O88" s="1850">
        <f t="shared" si="40"/>
        <v>0</v>
      </c>
      <c r="P88" s="1849">
        <f t="shared" si="36"/>
        <v>0</v>
      </c>
      <c r="Q88" s="1850" t="str">
        <f t="shared" si="37"/>
        <v/>
      </c>
      <c r="R88" s="1849">
        <f t="shared" si="38"/>
        <v>0</v>
      </c>
      <c r="S88" s="1850" t="str">
        <f t="shared" si="39"/>
        <v/>
      </c>
    </row>
    <row r="89" hidden="1" outlineLevel="1">
      <c r="A89" s="1847"/>
      <c r="B89" s="1847"/>
      <c r="C89" s="1847" t="s">
        <v>2851</v>
      </c>
      <c r="D89" s="1847" t="s">
        <v>1273</v>
      </c>
      <c r="E89" s="1847"/>
      <c r="F89" s="1848">
        <v>3.0</v>
      </c>
      <c r="G89" s="1849">
        <f>SUMIFS(BP_SOTIEN,BP_QUY,G$2,BP_KM,$D89)/1000</f>
        <v>0</v>
      </c>
      <c r="H89" s="1850" t="str">
        <f t="shared" si="32"/>
        <v/>
      </c>
      <c r="I89" s="1850"/>
      <c r="J89" s="1849">
        <f>IF(NOW()&gt;=DATE(YEAR(G$1),MONTH(G$1)+1,DAY(G$1)),SUMIFS(TF_SOTIEN,TF_QUY,G$2,TF_KM,$D89)/1000, M89)</f>
        <v>6720</v>
      </c>
      <c r="K89" s="1850">
        <f t="shared" si="33"/>
        <v>0.002128864745</v>
      </c>
      <c r="L89" s="1850"/>
      <c r="M89" s="1849">
        <f>HLOOKUP($G$2,BCTH_AC!$A$1:$AA$121,ROW(M89)+2,0)</f>
        <v>6720</v>
      </c>
      <c r="N89" s="1850">
        <f t="shared" si="34"/>
        <v>0.002128864745</v>
      </c>
      <c r="O89" s="1850">
        <f t="shared" si="40"/>
        <v>0.01448486889</v>
      </c>
      <c r="P89" s="1849">
        <f t="shared" si="36"/>
        <v>6720</v>
      </c>
      <c r="Q89" s="1850" t="str">
        <f t="shared" si="37"/>
        <v/>
      </c>
      <c r="R89" s="1849">
        <f t="shared" si="38"/>
        <v>0</v>
      </c>
      <c r="S89" s="1850">
        <f t="shared" si="39"/>
        <v>0</v>
      </c>
    </row>
    <row r="90" hidden="1" outlineLevel="1">
      <c r="A90" s="1847"/>
      <c r="B90" s="1847"/>
      <c r="C90" s="1847" t="s">
        <v>2852</v>
      </c>
      <c r="D90" s="1847" t="s">
        <v>1153</v>
      </c>
      <c r="E90" s="1847"/>
      <c r="F90" s="1848">
        <v>3.0</v>
      </c>
      <c r="G90" s="1849">
        <f>SUMIFS(BP_SOTIEN,BP_QUY,G$2,BP_KM,$D90)/1000</f>
        <v>0</v>
      </c>
      <c r="H90" s="1850" t="str">
        <f t="shared" si="32"/>
        <v/>
      </c>
      <c r="I90" s="1850"/>
      <c r="J90" s="1849">
        <f>IF(NOW()&gt;=DATE(YEAR(G$1),MONTH(G$1)+1,DAY(G$1)),SUMIFS(TF_SOTIEN,TF_QUY,G$2,TF_KM,$D90)/1000, M90)</f>
        <v>1037</v>
      </c>
      <c r="K90" s="1850">
        <f t="shared" si="33"/>
        <v>0.0003285167768</v>
      </c>
      <c r="L90" s="1850"/>
      <c r="M90" s="1849">
        <f>HLOOKUP($G$2,BCTH_AC!$A$1:$AA$121,ROW(M90)+2,0)</f>
        <v>1037</v>
      </c>
      <c r="N90" s="1850">
        <f t="shared" si="34"/>
        <v>0.0003285167768</v>
      </c>
      <c r="O90" s="1850">
        <f t="shared" si="40"/>
        <v>0.00223523944</v>
      </c>
      <c r="P90" s="1849">
        <f t="shared" si="36"/>
        <v>1037</v>
      </c>
      <c r="Q90" s="1850" t="str">
        <f t="shared" si="37"/>
        <v/>
      </c>
      <c r="R90" s="1849">
        <f t="shared" si="38"/>
        <v>0</v>
      </c>
      <c r="S90" s="1850">
        <f t="shared" si="39"/>
        <v>0</v>
      </c>
    </row>
    <row r="91" hidden="1" outlineLevel="1">
      <c r="A91" s="1841"/>
      <c r="B91" s="1841"/>
      <c r="C91" s="1841" t="s">
        <v>2853</v>
      </c>
      <c r="D91" s="1841" t="s">
        <v>270</v>
      </c>
      <c r="E91" s="1842">
        <v>642.0</v>
      </c>
      <c r="F91" s="1842">
        <v>2.0</v>
      </c>
      <c r="G91" s="1843">
        <f>SUMIFS(BP_SOTIEN,BP_QUY,G$2,BP_KM,$D91)/1000</f>
        <v>0</v>
      </c>
      <c r="H91" s="1850" t="str">
        <f t="shared" si="32"/>
        <v/>
      </c>
      <c r="I91" s="1850"/>
      <c r="J91" s="1843">
        <f>IF(NOW()&gt;=DATE(YEAR(G$1),MONTH(G$1)+1,DAY(G$1)),SUMIFS(TF_SOTIEN,TF_QUY,G$2,TF_KM,$D91)/1000, M91)</f>
        <v>96999.666</v>
      </c>
      <c r="K91" s="1850">
        <f t="shared" si="33"/>
        <v>0.03072904304</v>
      </c>
      <c r="L91" s="1850"/>
      <c r="M91" s="1843">
        <f>HLOOKUP($G$2,BCTH_AC!$A$1:$AA$121,ROW(M91)+2,0)</f>
        <v>96999.666</v>
      </c>
      <c r="N91" s="1850">
        <f t="shared" si="34"/>
        <v>0.03072904304</v>
      </c>
      <c r="O91" s="1850">
        <f t="shared" si="40"/>
        <v>0.2090814649</v>
      </c>
      <c r="P91" s="1843">
        <f t="shared" si="36"/>
        <v>96999.666</v>
      </c>
      <c r="Q91" s="1850" t="str">
        <f t="shared" si="37"/>
        <v/>
      </c>
      <c r="R91" s="1843">
        <f t="shared" si="38"/>
        <v>0</v>
      </c>
      <c r="S91" s="1850">
        <f t="shared" si="39"/>
        <v>0</v>
      </c>
    </row>
    <row r="92" hidden="1" outlineLevel="1">
      <c r="A92" s="1841"/>
      <c r="B92" s="1841"/>
      <c r="C92" s="1841" t="s">
        <v>2854</v>
      </c>
      <c r="D92" s="1841"/>
      <c r="E92" s="1842">
        <v>642.0</v>
      </c>
      <c r="F92" s="1842">
        <v>2.0</v>
      </c>
      <c r="G92" s="1843">
        <f>SUM(G93:G108)</f>
        <v>0</v>
      </c>
      <c r="H92" s="1850" t="str">
        <f t="shared" si="32"/>
        <v/>
      </c>
      <c r="I92" s="1850" t="str">
        <f>IFERROR(G92/G$83,"")</f>
        <v/>
      </c>
      <c r="J92" s="1843">
        <f>SUM(J93:J108)</f>
        <v>36735.121</v>
      </c>
      <c r="K92" s="1850">
        <f t="shared" si="33"/>
        <v>0.01163751548</v>
      </c>
      <c r="L92" s="1850">
        <f>IFERROR(J92/J$83,"")</f>
        <v>0.07918205523</v>
      </c>
      <c r="M92" s="1843">
        <f>HLOOKUP($G$2,BCTH_AC!$A$1:$AA$121,ROW(M92)+2,0)</f>
        <v>36735.121</v>
      </c>
      <c r="N92" s="1850">
        <f t="shared" si="34"/>
        <v>0.01163751548</v>
      </c>
      <c r="O92" s="1850">
        <f t="shared" si="40"/>
        <v>0.07918205523</v>
      </c>
      <c r="P92" s="1845">
        <f t="shared" si="36"/>
        <v>36735.121</v>
      </c>
      <c r="Q92" s="1846" t="str">
        <f t="shared" si="37"/>
        <v/>
      </c>
      <c r="R92" s="1845">
        <f t="shared" si="38"/>
        <v>0</v>
      </c>
      <c r="S92" s="1846">
        <f t="shared" si="39"/>
        <v>0</v>
      </c>
    </row>
    <row r="93" hidden="1" outlineLevel="1">
      <c r="A93" s="1847"/>
      <c r="B93" s="1847"/>
      <c r="C93" s="1847" t="s">
        <v>2855</v>
      </c>
      <c r="D93" s="1847" t="s">
        <v>2215</v>
      </c>
      <c r="E93" s="1847"/>
      <c r="F93" s="1848">
        <v>3.0</v>
      </c>
      <c r="G93" s="1849">
        <f>SUMIFS(BP_SOTIEN,BP_QUY,G$2,BP_KM,$D93)/1000</f>
        <v>0</v>
      </c>
      <c r="H93" s="1850" t="str">
        <f t="shared" si="32"/>
        <v/>
      </c>
      <c r="I93" s="1850"/>
      <c r="J93" s="1849">
        <f>IF(NOW()&gt;=DATE(YEAR(G$1),MONTH(G$1)+1,DAY(G$1)),SUMIFS(TF_SOTIEN,TF_QUY,G$2,TF_KM,$D93)/1000, M93)</f>
        <v>1260</v>
      </c>
      <c r="K93" s="1850">
        <f t="shared" si="33"/>
        <v>0.0003991621397</v>
      </c>
      <c r="L93" s="1850"/>
      <c r="M93" s="1849">
        <f>HLOOKUP($G$2,BCTH_AC!$A$1:$AA$121,ROW(M93)+2,0)</f>
        <v>1260</v>
      </c>
      <c r="N93" s="1850">
        <f t="shared" si="34"/>
        <v>0.0003991621397</v>
      </c>
      <c r="O93" s="1850">
        <f t="shared" ref="O93:O108" si="41">IFERROR(M93/M$92,"")</f>
        <v>0.03429960119</v>
      </c>
      <c r="P93" s="1849">
        <f t="shared" si="36"/>
        <v>1260</v>
      </c>
      <c r="Q93" s="1850" t="str">
        <f t="shared" si="37"/>
        <v/>
      </c>
      <c r="R93" s="1849">
        <f t="shared" si="38"/>
        <v>0</v>
      </c>
      <c r="S93" s="1850">
        <f t="shared" si="39"/>
        <v>0</v>
      </c>
    </row>
    <row r="94" hidden="1" outlineLevel="1">
      <c r="A94" s="1847"/>
      <c r="B94" s="1847"/>
      <c r="C94" s="1847" t="s">
        <v>2856</v>
      </c>
      <c r="D94" s="1847" t="s">
        <v>419</v>
      </c>
      <c r="E94" s="1847"/>
      <c r="F94" s="1848">
        <v>3.0</v>
      </c>
      <c r="G94" s="1849">
        <f>SUMIFS(BP_SOTIEN,BP_QUY,G$2,BP_KM,$D94)/1000</f>
        <v>0</v>
      </c>
      <c r="H94" s="1850" t="str">
        <f t="shared" si="32"/>
        <v/>
      </c>
      <c r="I94" s="1850"/>
      <c r="J94" s="1849">
        <f>IF(NOW()&gt;=DATE(YEAR(G$1),MONTH(G$1)+1,DAY(G$1)),SUMIFS(TF_SOTIEN,TF_QUY,G$2,TF_KM,$D94)/1000, M94)</f>
        <v>966</v>
      </c>
      <c r="K94" s="1850">
        <f t="shared" si="33"/>
        <v>0.0003060243071</v>
      </c>
      <c r="L94" s="1850"/>
      <c r="M94" s="1849">
        <f>HLOOKUP($G$2,BCTH_AC!$A$1:$AA$121,ROW(M94)+2,0)</f>
        <v>966</v>
      </c>
      <c r="N94" s="1850">
        <f t="shared" si="34"/>
        <v>0.0003060243071</v>
      </c>
      <c r="O94" s="1850">
        <f t="shared" si="41"/>
        <v>0.02629636091</v>
      </c>
      <c r="P94" s="1849">
        <f t="shared" si="36"/>
        <v>966</v>
      </c>
      <c r="Q94" s="1850" t="str">
        <f t="shared" si="37"/>
        <v/>
      </c>
      <c r="R94" s="1849">
        <f t="shared" si="38"/>
        <v>0</v>
      </c>
      <c r="S94" s="1850">
        <f t="shared" si="39"/>
        <v>0</v>
      </c>
    </row>
    <row r="95" hidden="1" outlineLevel="1">
      <c r="A95" s="1847"/>
      <c r="B95" s="1847"/>
      <c r="C95" s="1847" t="s">
        <v>2857</v>
      </c>
      <c r="D95" s="1847" t="s">
        <v>573</v>
      </c>
      <c r="E95" s="1847"/>
      <c r="F95" s="1848">
        <v>3.0</v>
      </c>
      <c r="G95" s="1849">
        <f>SUMIFS(BP_SOTIEN,BP_QUY,G$2,BP_KM,$D95)/1000</f>
        <v>0</v>
      </c>
      <c r="H95" s="1850" t="str">
        <f t="shared" si="32"/>
        <v/>
      </c>
      <c r="I95" s="1850"/>
      <c r="J95" s="1849">
        <f>IF(NOW()&gt;=DATE(YEAR(G$1),MONTH(G$1)+1,DAY(G$1)),SUMIFS(TF_SOTIEN,TF_QUY,G$2,TF_KM,$D95)/1000, M95)</f>
        <v>900</v>
      </c>
      <c r="K95" s="1850">
        <f t="shared" si="33"/>
        <v>0.000285115814</v>
      </c>
      <c r="L95" s="1850"/>
      <c r="M95" s="1849">
        <f>HLOOKUP($G$2,BCTH_AC!$A$1:$AA$121,ROW(M95)+2,0)</f>
        <v>900</v>
      </c>
      <c r="N95" s="1850">
        <f t="shared" si="34"/>
        <v>0.000285115814</v>
      </c>
      <c r="O95" s="1850">
        <f t="shared" si="41"/>
        <v>0.02449971514</v>
      </c>
      <c r="P95" s="1849">
        <f t="shared" si="36"/>
        <v>900</v>
      </c>
      <c r="Q95" s="1850" t="str">
        <f t="shared" si="37"/>
        <v/>
      </c>
      <c r="R95" s="1849">
        <f t="shared" si="38"/>
        <v>0</v>
      </c>
      <c r="S95" s="1850">
        <f t="shared" si="39"/>
        <v>0</v>
      </c>
    </row>
    <row r="96" hidden="1" outlineLevel="1">
      <c r="A96" s="1847"/>
      <c r="B96" s="1847"/>
      <c r="C96" s="1847" t="s">
        <v>2858</v>
      </c>
      <c r="D96" s="1847" t="s">
        <v>2220</v>
      </c>
      <c r="E96" s="1847"/>
      <c r="F96" s="1848">
        <v>3.0</v>
      </c>
      <c r="G96" s="1849">
        <f>SUMIFS(BP_SOTIEN,BP_QUY,G$2,BP_KM,$D96)/1000</f>
        <v>0</v>
      </c>
      <c r="H96" s="1850" t="str">
        <f t="shared" si="32"/>
        <v/>
      </c>
      <c r="I96" s="1850"/>
      <c r="J96" s="1849">
        <f>IF(NOW()&gt;=DATE(YEAR(G$1),MONTH(G$1)+1,DAY(G$1)),SUMIFS(TF_SOTIEN,TF_QUY,G$2,TF_KM,$D96)/1000, M96)</f>
        <v>0</v>
      </c>
      <c r="K96" s="1850">
        <f t="shared" si="33"/>
        <v>0</v>
      </c>
      <c r="L96" s="1850"/>
      <c r="M96" s="1849">
        <f>HLOOKUP($G$2,BCTH_AC!$A$1:$AA$121,ROW(M96)+2,0)</f>
        <v>0</v>
      </c>
      <c r="N96" s="1850">
        <f t="shared" si="34"/>
        <v>0</v>
      </c>
      <c r="O96" s="1850">
        <f t="shared" si="41"/>
        <v>0</v>
      </c>
      <c r="P96" s="1849">
        <f t="shared" si="36"/>
        <v>0</v>
      </c>
      <c r="Q96" s="1850" t="str">
        <f t="shared" si="37"/>
        <v/>
      </c>
      <c r="R96" s="1849">
        <f t="shared" si="38"/>
        <v>0</v>
      </c>
      <c r="S96" s="1850" t="str">
        <f t="shared" si="39"/>
        <v/>
      </c>
    </row>
    <row r="97" hidden="1" outlineLevel="1">
      <c r="A97" s="1847"/>
      <c r="B97" s="1847"/>
      <c r="C97" s="1847" t="s">
        <v>2859</v>
      </c>
      <c r="D97" s="1847" t="s">
        <v>2236</v>
      </c>
      <c r="E97" s="1847"/>
      <c r="F97" s="1848">
        <v>3.0</v>
      </c>
      <c r="G97" s="1849">
        <f>SUMIFS(BP_SOTIEN,BP_QUY,G$2,BP_KM,$D97)/1000</f>
        <v>0</v>
      </c>
      <c r="H97" s="1850" t="str">
        <f t="shared" si="32"/>
        <v/>
      </c>
      <c r="I97" s="1850"/>
      <c r="J97" s="1849">
        <f>IF(NOW()&gt;=DATE(YEAR(G$1),MONTH(G$1)+1,DAY(G$1)),SUMIFS(TF_SOTIEN,TF_QUY,G$2,TF_KM,$D97)/1000, M97)</f>
        <v>0</v>
      </c>
      <c r="K97" s="1850">
        <f t="shared" si="33"/>
        <v>0</v>
      </c>
      <c r="L97" s="1850"/>
      <c r="M97" s="1849">
        <f>HLOOKUP($G$2,BCTH_AC!$A$1:$AA$121,ROW(M97)+2,0)</f>
        <v>0</v>
      </c>
      <c r="N97" s="1850">
        <f t="shared" si="34"/>
        <v>0</v>
      </c>
      <c r="O97" s="1850">
        <f t="shared" si="41"/>
        <v>0</v>
      </c>
      <c r="P97" s="1849">
        <f t="shared" si="36"/>
        <v>0</v>
      </c>
      <c r="Q97" s="1850" t="str">
        <f t="shared" si="37"/>
        <v/>
      </c>
      <c r="R97" s="1849">
        <f t="shared" si="38"/>
        <v>0</v>
      </c>
      <c r="S97" s="1850" t="str">
        <f t="shared" si="39"/>
        <v/>
      </c>
    </row>
    <row r="98" hidden="1" outlineLevel="1">
      <c r="A98" s="1847"/>
      <c r="B98" s="1847"/>
      <c r="C98" s="1847" t="s">
        <v>2860</v>
      </c>
      <c r="D98" s="1847" t="s">
        <v>413</v>
      </c>
      <c r="E98" s="1847"/>
      <c r="F98" s="1848">
        <v>3.0</v>
      </c>
      <c r="G98" s="1849">
        <f>SUMIFS(BP_SOTIEN,BP_QUY,G$2,BP_KM,$D98)/1000</f>
        <v>0</v>
      </c>
      <c r="H98" s="1850" t="str">
        <f t="shared" si="32"/>
        <v/>
      </c>
      <c r="I98" s="1850"/>
      <c r="J98" s="1849">
        <f>IF(NOW()&gt;=DATE(YEAR(G$1),MONTH(G$1)+1,DAY(G$1)),SUMIFS(TF_SOTIEN,TF_QUY,G$2,TF_KM,$D98)/1000, M98)</f>
        <v>3050</v>
      </c>
      <c r="K98" s="1850">
        <f t="shared" si="33"/>
        <v>0.0009662258143</v>
      </c>
      <c r="L98" s="1850"/>
      <c r="M98" s="1849">
        <f>HLOOKUP($G$2,BCTH_AC!$A$1:$AA$121,ROW(M98)+2,0)</f>
        <v>3050</v>
      </c>
      <c r="N98" s="1850">
        <f t="shared" si="34"/>
        <v>0.0009662258143</v>
      </c>
      <c r="O98" s="1850">
        <f t="shared" si="41"/>
        <v>0.08302681241</v>
      </c>
      <c r="P98" s="1849">
        <f t="shared" si="36"/>
        <v>3050</v>
      </c>
      <c r="Q98" s="1850" t="str">
        <f t="shared" si="37"/>
        <v/>
      </c>
      <c r="R98" s="1849">
        <f t="shared" si="38"/>
        <v>0</v>
      </c>
      <c r="S98" s="1850">
        <f t="shared" si="39"/>
        <v>0</v>
      </c>
    </row>
    <row r="99" hidden="1" outlineLevel="1">
      <c r="A99" s="1847"/>
      <c r="B99" s="1847"/>
      <c r="C99" s="1847" t="s">
        <v>2861</v>
      </c>
      <c r="D99" s="1847" t="s">
        <v>262</v>
      </c>
      <c r="E99" s="1847"/>
      <c r="F99" s="1848">
        <v>3.0</v>
      </c>
      <c r="G99" s="1849">
        <f>SUMIFS(BP_SOTIEN,BP_QUY,G$2,BP_KM,$D99)/1000</f>
        <v>0</v>
      </c>
      <c r="H99" s="1850" t="str">
        <f t="shared" si="32"/>
        <v/>
      </c>
      <c r="I99" s="1850"/>
      <c r="J99" s="1849">
        <f>IF(NOW()&gt;=DATE(YEAR(G$1),MONTH(G$1)+1,DAY(G$1)),SUMIFS(TF_SOTIEN,TF_QUY,G$2,TF_KM,$D99)/1000, M99)</f>
        <v>5267.81</v>
      </c>
      <c r="K99" s="1850">
        <f t="shared" si="33"/>
        <v>0.001668817707</v>
      </c>
      <c r="L99" s="1850"/>
      <c r="M99" s="1849">
        <f>HLOOKUP($G$2,BCTH_AC!$A$1:$AA$121,ROW(M99)+2,0)</f>
        <v>5267.81</v>
      </c>
      <c r="N99" s="1850">
        <f t="shared" si="34"/>
        <v>0.001668817707</v>
      </c>
      <c r="O99" s="1850">
        <f t="shared" si="41"/>
        <v>0.1433998271</v>
      </c>
      <c r="P99" s="1849">
        <f t="shared" si="36"/>
        <v>5267.81</v>
      </c>
      <c r="Q99" s="1850" t="str">
        <f t="shared" si="37"/>
        <v/>
      </c>
      <c r="R99" s="1849">
        <f t="shared" si="38"/>
        <v>0</v>
      </c>
      <c r="S99" s="1850">
        <f t="shared" si="39"/>
        <v>0</v>
      </c>
    </row>
    <row r="100" hidden="1" outlineLevel="1">
      <c r="A100" s="1847"/>
      <c r="B100" s="1847"/>
      <c r="C100" s="1847" t="s">
        <v>2862</v>
      </c>
      <c r="D100" s="1847" t="s">
        <v>2223</v>
      </c>
      <c r="E100" s="1847"/>
      <c r="F100" s="1848">
        <v>3.0</v>
      </c>
      <c r="G100" s="1849">
        <f>SUMIFS(BP_SOTIEN,BP_QUY,G$2,BP_KM,$D100)/1000</f>
        <v>0</v>
      </c>
      <c r="H100" s="1850" t="str">
        <f t="shared" si="32"/>
        <v/>
      </c>
      <c r="I100" s="1850"/>
      <c r="J100" s="1849">
        <f>IF(NOW()&gt;=DATE(YEAR(G$1),MONTH(G$1)+1,DAY(G$1)),SUMIFS(TF_SOTIEN,TF_QUY,G$2,TF_KM,$D100)/1000, M100)</f>
        <v>0</v>
      </c>
      <c r="K100" s="1850">
        <f t="shared" si="33"/>
        <v>0</v>
      </c>
      <c r="L100" s="1850"/>
      <c r="M100" s="1849">
        <f>HLOOKUP($G$2,BCTH_AC!$A$1:$AA$121,ROW(M100)+2,0)</f>
        <v>0</v>
      </c>
      <c r="N100" s="1850">
        <f t="shared" si="34"/>
        <v>0</v>
      </c>
      <c r="O100" s="1850">
        <f t="shared" si="41"/>
        <v>0</v>
      </c>
      <c r="P100" s="1849">
        <f t="shared" si="36"/>
        <v>0</v>
      </c>
      <c r="Q100" s="1850" t="str">
        <f t="shared" si="37"/>
        <v/>
      </c>
      <c r="R100" s="1849">
        <f t="shared" si="38"/>
        <v>0</v>
      </c>
      <c r="S100" s="1850" t="str">
        <f t="shared" si="39"/>
        <v/>
      </c>
    </row>
    <row r="101" hidden="1" outlineLevel="1">
      <c r="A101" s="1847"/>
      <c r="B101" s="1847"/>
      <c r="C101" s="1847" t="s">
        <v>2863</v>
      </c>
      <c r="D101" s="1847" t="s">
        <v>272</v>
      </c>
      <c r="E101" s="1847"/>
      <c r="F101" s="1848">
        <v>3.0</v>
      </c>
      <c r="G101" s="1849">
        <f>SUMIFS(BP_SOTIEN,BP_QUY,G$2,BP_KM,$D101)/1000</f>
        <v>0</v>
      </c>
      <c r="H101" s="1850" t="str">
        <f t="shared" si="32"/>
        <v/>
      </c>
      <c r="I101" s="1850"/>
      <c r="J101" s="1849">
        <f>IF(NOW()&gt;=DATE(YEAR(G$1),MONTH(G$1)+1,DAY(G$1)),SUMIFS(TF_SOTIEN,TF_QUY,G$2,TF_KM,$D101)/1000, M101)</f>
        <v>16141.315</v>
      </c>
      <c r="K101" s="1850">
        <f t="shared" si="33"/>
        <v>0.005113493518</v>
      </c>
      <c r="L101" s="1850"/>
      <c r="M101" s="1849">
        <f>HLOOKUP($G$2,BCTH_AC!$A$1:$AA$121,ROW(M101)+2,0)</f>
        <v>16141.315</v>
      </c>
      <c r="N101" s="1850">
        <f t="shared" si="34"/>
        <v>0.005113493518</v>
      </c>
      <c r="O101" s="1850">
        <f t="shared" si="41"/>
        <v>0.4393973549</v>
      </c>
      <c r="P101" s="1849">
        <f t="shared" si="36"/>
        <v>16141.315</v>
      </c>
      <c r="Q101" s="1850" t="str">
        <f t="shared" si="37"/>
        <v/>
      </c>
      <c r="R101" s="1849">
        <f t="shared" si="38"/>
        <v>0</v>
      </c>
      <c r="S101" s="1850">
        <f t="shared" si="39"/>
        <v>0</v>
      </c>
    </row>
    <row r="102" hidden="1" outlineLevel="1">
      <c r="A102" s="1847"/>
      <c r="B102" s="1847"/>
      <c r="C102" s="1847" t="s">
        <v>2864</v>
      </c>
      <c r="D102" s="1847" t="s">
        <v>219</v>
      </c>
      <c r="E102" s="1847"/>
      <c r="F102" s="1848">
        <v>3.0</v>
      </c>
      <c r="G102" s="1849">
        <f>SUMIFS(BP_SOTIEN,BP_QUY,G$2,BP_KM,$D102)/1000</f>
        <v>0</v>
      </c>
      <c r="H102" s="1850" t="str">
        <f t="shared" si="32"/>
        <v/>
      </c>
      <c r="I102" s="1850"/>
      <c r="J102" s="1849">
        <f>IF(NOW()&gt;=DATE(YEAR(G$1),MONTH(G$1)+1,DAY(G$1)),SUMIFS(TF_SOTIEN,TF_QUY,G$2,TF_KM,$D102)/1000, M102)</f>
        <v>1473.998</v>
      </c>
      <c r="K102" s="1850">
        <f t="shared" si="33"/>
        <v>0.0004669557107</v>
      </c>
      <c r="L102" s="1850"/>
      <c r="M102" s="1849">
        <f>HLOOKUP($G$2,BCTH_AC!$A$1:$AA$121,ROW(M102)+2,0)</f>
        <v>1473.998</v>
      </c>
      <c r="N102" s="1850">
        <f t="shared" si="34"/>
        <v>0.0004669557107</v>
      </c>
      <c r="O102" s="1850">
        <f t="shared" si="41"/>
        <v>0.04012503457</v>
      </c>
      <c r="P102" s="1849">
        <f t="shared" si="36"/>
        <v>1473.998</v>
      </c>
      <c r="Q102" s="1850" t="str">
        <f t="shared" si="37"/>
        <v/>
      </c>
      <c r="R102" s="1849">
        <f t="shared" si="38"/>
        <v>0</v>
      </c>
      <c r="S102" s="1850">
        <f t="shared" si="39"/>
        <v>0</v>
      </c>
    </row>
    <row r="103" hidden="1" outlineLevel="1">
      <c r="A103" s="1847"/>
      <c r="B103" s="1847"/>
      <c r="C103" s="1847" t="s">
        <v>2865</v>
      </c>
      <c r="D103" s="1847" t="s">
        <v>222</v>
      </c>
      <c r="E103" s="1847"/>
      <c r="F103" s="1848">
        <v>3.0</v>
      </c>
      <c r="G103" s="1849">
        <f>SUMIFS(BP_SOTIEN,BP_QUY,G$2,BP_KM,$D103)/1000</f>
        <v>0</v>
      </c>
      <c r="H103" s="1850" t="str">
        <f t="shared" si="32"/>
        <v/>
      </c>
      <c r="I103" s="1850"/>
      <c r="J103" s="1849">
        <f>IF(NOW()&gt;=DATE(YEAR(G$1),MONTH(G$1)+1,DAY(G$1)),SUMIFS(TF_SOTIEN,TF_QUY,G$2,TF_KM,$D103)/1000, M103)</f>
        <v>1205.999</v>
      </c>
      <c r="K103" s="1850">
        <f t="shared" si="33"/>
        <v>0.000382054874</v>
      </c>
      <c r="L103" s="1850"/>
      <c r="M103" s="1849">
        <f>HLOOKUP($G$2,BCTH_AC!$A$1:$AA$121,ROW(M103)+2,0)</f>
        <v>1205.999</v>
      </c>
      <c r="N103" s="1850">
        <f t="shared" si="34"/>
        <v>0.000382054874</v>
      </c>
      <c r="O103" s="1850">
        <f t="shared" si="41"/>
        <v>0.03282959106</v>
      </c>
      <c r="P103" s="1849">
        <f t="shared" si="36"/>
        <v>1205.999</v>
      </c>
      <c r="Q103" s="1850" t="str">
        <f t="shared" si="37"/>
        <v/>
      </c>
      <c r="R103" s="1849">
        <f t="shared" si="38"/>
        <v>0</v>
      </c>
      <c r="S103" s="1850">
        <f t="shared" si="39"/>
        <v>0</v>
      </c>
    </row>
    <row r="104" hidden="1" outlineLevel="1">
      <c r="A104" s="1847"/>
      <c r="B104" s="1847"/>
      <c r="C104" s="1847" t="s">
        <v>2866</v>
      </c>
      <c r="D104" s="1847" t="s">
        <v>410</v>
      </c>
      <c r="E104" s="1847"/>
      <c r="F104" s="1848">
        <v>3.0</v>
      </c>
      <c r="G104" s="1849">
        <f>SUMIFS(BP_SOTIEN,BP_QUY,G$2,BP_KM,$D104)/1000</f>
        <v>0</v>
      </c>
      <c r="H104" s="1850" t="str">
        <f t="shared" si="32"/>
        <v/>
      </c>
      <c r="I104" s="1850"/>
      <c r="J104" s="1849">
        <f>IF(NOW()&gt;=DATE(YEAR(G$1),MONTH(G$1)+1,DAY(G$1)),SUMIFS(TF_SOTIEN,TF_QUY,G$2,TF_KM,$D104)/1000, M104)</f>
        <v>1150</v>
      </c>
      <c r="K104" s="1850">
        <f t="shared" si="33"/>
        <v>0.0003643146513</v>
      </c>
      <c r="L104" s="1850"/>
      <c r="M104" s="1849">
        <f>HLOOKUP($G$2,BCTH_AC!$A$1:$AA$121,ROW(M104)+2,0)</f>
        <v>1150</v>
      </c>
      <c r="N104" s="1850">
        <f t="shared" si="34"/>
        <v>0.0003643146513</v>
      </c>
      <c r="O104" s="1850">
        <f t="shared" si="41"/>
        <v>0.03130519156</v>
      </c>
      <c r="P104" s="1849">
        <f t="shared" si="36"/>
        <v>1150</v>
      </c>
      <c r="Q104" s="1850" t="str">
        <f t="shared" si="37"/>
        <v/>
      </c>
      <c r="R104" s="1849">
        <f t="shared" si="38"/>
        <v>0</v>
      </c>
      <c r="S104" s="1850">
        <f t="shared" si="39"/>
        <v>0</v>
      </c>
    </row>
    <row r="105" hidden="1" outlineLevel="1">
      <c r="A105" s="1847"/>
      <c r="B105" s="1847"/>
      <c r="C105" s="1847" t="s">
        <v>2867</v>
      </c>
      <c r="D105" s="1847" t="s">
        <v>226</v>
      </c>
      <c r="E105" s="1847"/>
      <c r="F105" s="1848">
        <v>3.0</v>
      </c>
      <c r="G105" s="1849">
        <f>SUMIFS(BP_SOTIEN,BP_QUY,G$2,BP_KM,$D105)/1000</f>
        <v>0</v>
      </c>
      <c r="H105" s="1850" t="str">
        <f t="shared" si="32"/>
        <v/>
      </c>
      <c r="I105" s="1850"/>
      <c r="J105" s="1849">
        <f>IF(NOW()&gt;=DATE(YEAR(G$1),MONTH(G$1)+1,DAY(G$1)),SUMIFS(TF_SOTIEN,TF_QUY,G$2,TF_KM,$D105)/1000, M105)</f>
        <v>1900</v>
      </c>
      <c r="K105" s="1850">
        <f t="shared" si="33"/>
        <v>0.000601911163</v>
      </c>
      <c r="L105" s="1850"/>
      <c r="M105" s="1849">
        <f>HLOOKUP($G$2,BCTH_AC!$A$1:$AA$121,ROW(M105)+2,0)</f>
        <v>1900</v>
      </c>
      <c r="N105" s="1850">
        <f t="shared" si="34"/>
        <v>0.000601911163</v>
      </c>
      <c r="O105" s="1850">
        <f t="shared" si="41"/>
        <v>0.05172162084</v>
      </c>
      <c r="P105" s="1849">
        <f t="shared" si="36"/>
        <v>1900</v>
      </c>
      <c r="Q105" s="1850" t="str">
        <f t="shared" si="37"/>
        <v/>
      </c>
      <c r="R105" s="1849">
        <f t="shared" si="38"/>
        <v>0</v>
      </c>
      <c r="S105" s="1850">
        <f t="shared" si="39"/>
        <v>0</v>
      </c>
    </row>
    <row r="106" hidden="1" outlineLevel="1">
      <c r="A106" s="1847"/>
      <c r="B106" s="1847"/>
      <c r="C106" s="744" t="s">
        <v>2868</v>
      </c>
      <c r="D106" s="744" t="s">
        <v>206</v>
      </c>
      <c r="E106" s="1847"/>
      <c r="F106" s="1848">
        <v>3.0</v>
      </c>
      <c r="G106" s="1849">
        <f>SUMIFS(BP_SOTIEN,BP_QUY,G$2,BP_KM,$D106)/1000</f>
        <v>0</v>
      </c>
      <c r="H106" s="1850" t="str">
        <f t="shared" si="32"/>
        <v/>
      </c>
      <c r="I106" s="1850"/>
      <c r="J106" s="1849">
        <f>IF(NOW()&gt;=DATE(YEAR(G$1),MONTH(G$1)+1,DAY(G$1)),SUMIFS(TF_SOTIEN,TF_QUY,G$2,TF_KM,$D106)/1000, M106)</f>
        <v>0</v>
      </c>
      <c r="K106" s="1850">
        <f t="shared" si="33"/>
        <v>0</v>
      </c>
      <c r="L106" s="1850"/>
      <c r="M106" s="1849">
        <f>HLOOKUP($G$2,BCTH_AC!$A$1:$AA$121,ROW(M106)+2,0)</f>
        <v>0</v>
      </c>
      <c r="N106" s="1850">
        <f t="shared" si="34"/>
        <v>0</v>
      </c>
      <c r="O106" s="1850">
        <f t="shared" si="41"/>
        <v>0</v>
      </c>
      <c r="P106" s="1849">
        <f t="shared" si="36"/>
        <v>0</v>
      </c>
      <c r="Q106" s="1850" t="str">
        <f t="shared" si="37"/>
        <v/>
      </c>
      <c r="R106" s="1849">
        <f t="shared" si="38"/>
        <v>0</v>
      </c>
      <c r="S106" s="1850" t="str">
        <f t="shared" si="39"/>
        <v/>
      </c>
    </row>
    <row r="107" hidden="1" outlineLevel="1">
      <c r="A107" s="1847"/>
      <c r="B107" s="1847"/>
      <c r="C107" s="1148" t="s">
        <v>2869</v>
      </c>
      <c r="D107" s="1148" t="s">
        <v>377</v>
      </c>
      <c r="E107" s="1847"/>
      <c r="F107" s="1848">
        <v>3.0</v>
      </c>
      <c r="G107" s="1849">
        <f>SUMIFS(BP_SOTIEN,BP_QUY,G$2,BP_KM,$D107)/1000</f>
        <v>0</v>
      </c>
      <c r="H107" s="1850" t="str">
        <f t="shared" si="32"/>
        <v/>
      </c>
      <c r="I107" s="1850"/>
      <c r="J107" s="1849">
        <f>IF(NOW()&gt;=DATE(YEAR(G$1),MONTH(G$1)+1,DAY(G$1)),SUMIFS(TF_SOTIEN,TF_QUY,G$2,TF_KM,$D107)/1000, M107)</f>
        <v>2159.999</v>
      </c>
      <c r="K107" s="1850">
        <f t="shared" si="33"/>
        <v>0.0006842776369</v>
      </c>
      <c r="L107" s="1850"/>
      <c r="M107" s="1849">
        <f>HLOOKUP($G$2,BCTH_AC!$A$1:$AA$121,ROW(M107)+2,0)</f>
        <v>2159.999</v>
      </c>
      <c r="N107" s="1850">
        <f t="shared" si="34"/>
        <v>0.0006842776369</v>
      </c>
      <c r="O107" s="1850">
        <f t="shared" si="41"/>
        <v>0.05879928911</v>
      </c>
      <c r="P107" s="1849">
        <f t="shared" si="36"/>
        <v>2159.999</v>
      </c>
      <c r="Q107" s="1850" t="str">
        <f t="shared" si="37"/>
        <v/>
      </c>
      <c r="R107" s="1849">
        <f t="shared" si="38"/>
        <v>0</v>
      </c>
      <c r="S107" s="1850">
        <f t="shared" si="39"/>
        <v>0</v>
      </c>
    </row>
    <row r="108" hidden="1" outlineLevel="1">
      <c r="A108" s="1847"/>
      <c r="B108" s="1847"/>
      <c r="C108" s="1847" t="s">
        <v>2870</v>
      </c>
      <c r="D108" s="1847" t="s">
        <v>307</v>
      </c>
      <c r="E108" s="1847"/>
      <c r="F108" s="1848">
        <v>3.0</v>
      </c>
      <c r="G108" s="1849">
        <f>SUMIFS(BP_SOTIEN,BP_QUY,G$2,BP_KM,$D108)/1000</f>
        <v>0</v>
      </c>
      <c r="H108" s="1850" t="str">
        <f t="shared" si="32"/>
        <v/>
      </c>
      <c r="I108" s="1850"/>
      <c r="J108" s="1849">
        <f>IF(NOW()&gt;=DATE(YEAR(G$1),MONTH(G$1)+1,DAY(G$1)),SUMIFS(TF_SOTIEN,TF_QUY,G$2,TF_KM,$D108)/1000, M108)</f>
        <v>1260</v>
      </c>
      <c r="K108" s="1850">
        <f t="shared" si="33"/>
        <v>0.0003991621397</v>
      </c>
      <c r="L108" s="1850"/>
      <c r="M108" s="1849">
        <f>HLOOKUP($G$2,BCTH_AC!$A$1:$AA$121,ROW(M108)+2,0)</f>
        <v>1260</v>
      </c>
      <c r="N108" s="1850">
        <f t="shared" si="34"/>
        <v>0.0003991621397</v>
      </c>
      <c r="O108" s="1850">
        <f t="shared" si="41"/>
        <v>0.03429960119</v>
      </c>
      <c r="P108" s="1849">
        <f t="shared" si="36"/>
        <v>1260</v>
      </c>
      <c r="Q108" s="1850" t="str">
        <f t="shared" si="37"/>
        <v/>
      </c>
      <c r="R108" s="1849">
        <f t="shared" si="38"/>
        <v>0</v>
      </c>
      <c r="S108" s="1850">
        <f t="shared" si="39"/>
        <v>0</v>
      </c>
    </row>
    <row r="109" hidden="1" outlineLevel="1">
      <c r="A109" s="1841"/>
      <c r="B109" s="1841"/>
      <c r="C109" s="1841" t="s">
        <v>2871</v>
      </c>
      <c r="D109" s="1841" t="s">
        <v>2872</v>
      </c>
      <c r="E109" s="1842">
        <v>642.0</v>
      </c>
      <c r="F109" s="1842">
        <v>2.0</v>
      </c>
      <c r="G109" s="1843">
        <f>SUMIFS(BP_SOTIEN,BP_QUY,G$2,BP_KM,$D109)/1000</f>
        <v>0</v>
      </c>
      <c r="H109" s="1844" t="str">
        <f t="shared" si="32"/>
        <v/>
      </c>
      <c r="I109" s="1844"/>
      <c r="J109" s="1843">
        <f>IF(NOW()&gt;=DATE(YEAR(G$1),MONTH(G$1)+1,DAY(G$1)),SUMIFS(TF_SOTIEN,TF_QUY,G$2,TF_KM,$D109)/1000, M109)</f>
        <v>0</v>
      </c>
      <c r="K109" s="1844">
        <f t="shared" si="33"/>
        <v>0</v>
      </c>
      <c r="L109" s="1844"/>
      <c r="M109" s="1849">
        <f>HLOOKUP($G$2,BCTH_AC!$A$1:$AA$121,ROW(M109)+2,0)</f>
        <v>0</v>
      </c>
      <c r="N109" s="1844">
        <f t="shared" si="34"/>
        <v>0</v>
      </c>
      <c r="O109" s="1844">
        <f t="shared" ref="O109:O110" si="42">IFERROR(M109/M$83,"")</f>
        <v>0</v>
      </c>
      <c r="P109" s="1843">
        <f t="shared" si="36"/>
        <v>0</v>
      </c>
      <c r="Q109" s="1844" t="str">
        <f t="shared" si="37"/>
        <v/>
      </c>
      <c r="R109" s="1843">
        <f t="shared" si="38"/>
        <v>0</v>
      </c>
      <c r="S109" s="1844" t="str">
        <f t="shared" si="39"/>
        <v/>
      </c>
    </row>
    <row r="110" hidden="1" outlineLevel="1">
      <c r="A110" s="1841"/>
      <c r="B110" s="1841"/>
      <c r="C110" s="1841" t="s">
        <v>2873</v>
      </c>
      <c r="D110" s="1841" t="s">
        <v>382</v>
      </c>
      <c r="E110" s="1842">
        <v>642.0</v>
      </c>
      <c r="F110" s="1842">
        <v>2.0</v>
      </c>
      <c r="G110" s="1843">
        <f>SUMIFS(BP_SOTIEN,BP_QUY,G$2,BP_KM,$D110)/1000</f>
        <v>0</v>
      </c>
      <c r="H110" s="1844" t="str">
        <f t="shared" si="32"/>
        <v/>
      </c>
      <c r="I110" s="1844"/>
      <c r="J110" s="1843">
        <f>IF(NOW()&gt;=DATE(YEAR(G$1),MONTH(G$1)+1,DAY(G$1)),SUMIFS(TF_SOTIEN,TF_QUY,G$2,TF_KM,$D110)/1000, M110)</f>
        <v>5701</v>
      </c>
      <c r="K110" s="1844">
        <f t="shared" si="33"/>
        <v>0.001806050284</v>
      </c>
      <c r="L110" s="1844"/>
      <c r="M110" s="1849">
        <f>HLOOKUP($G$2,BCTH_AC!$A$1:$AA$121,ROW(M110)+2,0)</f>
        <v>5701</v>
      </c>
      <c r="N110" s="1844">
        <f t="shared" si="34"/>
        <v>0.001806050284</v>
      </c>
      <c r="O110" s="1844">
        <f t="shared" si="42"/>
        <v>0.0122884282</v>
      </c>
      <c r="P110" s="1843">
        <f t="shared" si="36"/>
        <v>5701</v>
      </c>
      <c r="Q110" s="1844" t="str">
        <f t="shared" si="37"/>
        <v/>
      </c>
      <c r="R110" s="1843">
        <f t="shared" si="38"/>
        <v>0</v>
      </c>
      <c r="S110" s="1844">
        <f t="shared" si="39"/>
        <v>0</v>
      </c>
    </row>
    <row r="111">
      <c r="A111" s="1833" t="s">
        <v>2874</v>
      </c>
      <c r="B111" s="1834"/>
      <c r="C111" s="1834"/>
      <c r="D111" s="1834"/>
      <c r="E111" s="1834"/>
      <c r="F111" s="1834"/>
      <c r="G111" s="1835">
        <f>G83+G66+G65</f>
        <v>0</v>
      </c>
      <c r="H111" s="1836" t="str">
        <f t="shared" si="32"/>
        <v/>
      </c>
      <c r="I111" s="3"/>
      <c r="J111" s="1835">
        <f>J83+J66+J65</f>
        <v>2551712.008</v>
      </c>
      <c r="K111" s="1836">
        <f t="shared" si="33"/>
        <v>0.808370496</v>
      </c>
      <c r="L111" s="3"/>
      <c r="M111" s="1835">
        <f>M83+M66+M65</f>
        <v>2551712.008</v>
      </c>
      <c r="N111" s="1836">
        <f t="shared" si="34"/>
        <v>0.808370496</v>
      </c>
      <c r="O111" s="3"/>
      <c r="P111" s="1837">
        <f t="shared" si="36"/>
        <v>2551712.008</v>
      </c>
      <c r="Q111" s="1840" t="str">
        <f t="shared" si="37"/>
        <v/>
      </c>
      <c r="R111" s="1837">
        <f t="shared" si="38"/>
        <v>0</v>
      </c>
      <c r="S111" s="1840">
        <f t="shared" si="39"/>
        <v>0</v>
      </c>
    </row>
    <row r="112">
      <c r="A112" s="1854" t="s">
        <v>2875</v>
      </c>
      <c r="B112" s="1855"/>
      <c r="C112" s="1855"/>
      <c r="D112" s="1855"/>
      <c r="E112" s="1855"/>
      <c r="F112" s="1856">
        <v>1.0</v>
      </c>
      <c r="G112" s="1857">
        <f>G49+G64-G111</f>
        <v>0</v>
      </c>
      <c r="H112" s="1858" t="str">
        <f t="shared" si="32"/>
        <v/>
      </c>
      <c r="I112" s="3"/>
      <c r="J112" s="1859">
        <f>J49+J64-J111</f>
        <v>604899.992</v>
      </c>
      <c r="K112" s="1858">
        <f t="shared" si="33"/>
        <v>0.191629504</v>
      </c>
      <c r="L112" s="3"/>
      <c r="M112" s="1859">
        <f>M49+M64-M111</f>
        <v>604899.992</v>
      </c>
      <c r="N112" s="1858">
        <f t="shared" si="34"/>
        <v>0.191629504</v>
      </c>
      <c r="O112" s="3"/>
      <c r="P112" s="1860">
        <f t="shared" si="36"/>
        <v>604899.992</v>
      </c>
      <c r="Q112" s="1861" t="str">
        <f t="shared" si="37"/>
        <v/>
      </c>
      <c r="R112" s="1860">
        <f t="shared" si="38"/>
        <v>0</v>
      </c>
      <c r="S112" s="1861">
        <f t="shared" si="39"/>
        <v>0</v>
      </c>
    </row>
    <row r="113">
      <c r="A113" s="1135"/>
      <c r="B113" s="1135"/>
      <c r="C113" s="1135" t="s">
        <v>2876</v>
      </c>
      <c r="D113" s="1135" t="s">
        <v>2877</v>
      </c>
      <c r="E113" s="1136">
        <v>711.0</v>
      </c>
      <c r="F113" s="1136">
        <v>2.0</v>
      </c>
      <c r="G113" s="1137">
        <f>SUMIFS(BP_SOTIEN,BP_QUY,G$2,BP_KM,$D113)/1000</f>
        <v>0</v>
      </c>
      <c r="H113" s="1138" t="str">
        <f t="shared" si="32"/>
        <v/>
      </c>
      <c r="I113" s="3"/>
      <c r="J113" s="1139">
        <f>IF(NOW()&gt;=DATE(YEAR(G$1),MONTH(G$1)+1,DAY(G$1)),SUMIFS(TF_SOTIEN,TF_QUY,G$2,TF_KM,$D113)/1000, M113)</f>
        <v>0</v>
      </c>
      <c r="K113" s="1138">
        <f t="shared" si="33"/>
        <v>0</v>
      </c>
      <c r="L113" s="3"/>
      <c r="M113" s="1139">
        <f>HLOOKUP($G$2,BCTH_AC!$A$1:$AA$121,ROW(M113)-2,0)</f>
        <v>0</v>
      </c>
      <c r="N113" s="1138">
        <f t="shared" si="34"/>
        <v>0</v>
      </c>
      <c r="O113" s="3"/>
      <c r="P113" s="1163">
        <f t="shared" si="36"/>
        <v>0</v>
      </c>
      <c r="Q113" s="1140" t="str">
        <f t="shared" si="37"/>
        <v/>
      </c>
      <c r="R113" s="1163">
        <f t="shared" si="38"/>
        <v>0</v>
      </c>
      <c r="S113" s="1140" t="str">
        <f t="shared" si="39"/>
        <v/>
      </c>
    </row>
    <row r="114">
      <c r="A114" s="1834"/>
      <c r="B114" s="1834"/>
      <c r="C114" s="1834" t="s">
        <v>2090</v>
      </c>
      <c r="D114" s="1834" t="s">
        <v>380</v>
      </c>
      <c r="E114" s="1839">
        <v>811.0</v>
      </c>
      <c r="F114" s="1839">
        <v>2.0</v>
      </c>
      <c r="G114" s="1835">
        <f>SUMIFS(BP_SOTIEN,BP_QUY,G$2,BP_KM,$D114)/1000</f>
        <v>0</v>
      </c>
      <c r="H114" s="1836" t="str">
        <f t="shared" si="32"/>
        <v/>
      </c>
      <c r="I114" s="3"/>
      <c r="J114" s="1835">
        <f>IF(NOW()&gt;=DATE(YEAR(G$1),MONTH(G$1)+1,DAY(G$1)),SUMIFS(TF_SOTIEN,TF_QUY,G$2,TF_KM,$D114)/1000, M114)</f>
        <v>0</v>
      </c>
      <c r="K114" s="1836">
        <f t="shared" si="33"/>
        <v>0</v>
      </c>
      <c r="L114" s="3"/>
      <c r="M114" s="1835">
        <f>HLOOKUP($G$2,BCTH_AC!$A$1:$AA$121,ROW(M114)+2,0)</f>
        <v>0</v>
      </c>
      <c r="N114" s="1836">
        <f t="shared" si="34"/>
        <v>0</v>
      </c>
      <c r="O114" s="3"/>
      <c r="P114" s="1837">
        <f t="shared" si="36"/>
        <v>0</v>
      </c>
      <c r="Q114" s="1838" t="str">
        <f t="shared" si="37"/>
        <v/>
      </c>
      <c r="R114" s="1837">
        <f t="shared" si="38"/>
        <v>0</v>
      </c>
      <c r="S114" s="1840" t="str">
        <f t="shared" si="39"/>
        <v/>
      </c>
    </row>
    <row r="115">
      <c r="A115" s="1855"/>
      <c r="B115" s="1855"/>
      <c r="C115" s="1855" t="s">
        <v>2878</v>
      </c>
      <c r="D115" s="1855"/>
      <c r="E115" s="1855"/>
      <c r="F115" s="1855"/>
      <c r="G115" s="1857">
        <f>G113-G114</f>
        <v>0</v>
      </c>
      <c r="H115" s="1858" t="str">
        <f t="shared" si="32"/>
        <v/>
      </c>
      <c r="I115" s="3"/>
      <c r="J115" s="1859">
        <f>J113-J114</f>
        <v>0</v>
      </c>
      <c r="K115" s="1858">
        <f t="shared" si="33"/>
        <v>0</v>
      </c>
      <c r="L115" s="3"/>
      <c r="M115" s="1859">
        <f>M113-M114</f>
        <v>0</v>
      </c>
      <c r="N115" s="1858">
        <f t="shared" si="34"/>
        <v>0</v>
      </c>
      <c r="O115" s="3"/>
      <c r="P115" s="1860">
        <f t="shared" si="36"/>
        <v>0</v>
      </c>
      <c r="Q115" s="1862" t="str">
        <f t="shared" si="37"/>
        <v/>
      </c>
      <c r="R115" s="1860">
        <f t="shared" si="38"/>
        <v>0</v>
      </c>
      <c r="S115" s="1861" t="str">
        <f t="shared" si="39"/>
        <v/>
      </c>
    </row>
    <row r="116">
      <c r="A116" s="1854" t="s">
        <v>2879</v>
      </c>
      <c r="B116" s="1855"/>
      <c r="C116" s="1855"/>
      <c r="D116" s="1855"/>
      <c r="E116" s="1855"/>
      <c r="F116" s="1855"/>
      <c r="G116" s="1857">
        <f>G112+G115</f>
        <v>0</v>
      </c>
      <c r="H116" s="1858" t="str">
        <f t="shared" si="32"/>
        <v/>
      </c>
      <c r="I116" s="3"/>
      <c r="J116" s="1859">
        <f>J112+J115</f>
        <v>604899.992</v>
      </c>
      <c r="K116" s="1858">
        <f t="shared" si="33"/>
        <v>0.191629504</v>
      </c>
      <c r="L116" s="3"/>
      <c r="M116" s="1859">
        <f>M112+M115</f>
        <v>604899.992</v>
      </c>
      <c r="N116" s="1858">
        <f t="shared" si="34"/>
        <v>0.191629504</v>
      </c>
      <c r="O116" s="3"/>
      <c r="P116" s="1860">
        <f t="shared" si="36"/>
        <v>604899.992</v>
      </c>
      <c r="Q116" s="1861" t="str">
        <f t="shared" si="37"/>
        <v/>
      </c>
      <c r="R116" s="1860">
        <f t="shared" si="38"/>
        <v>0</v>
      </c>
      <c r="S116" s="1861">
        <f t="shared" si="39"/>
        <v>0</v>
      </c>
    </row>
    <row r="117">
      <c r="A117" s="1853" t="s">
        <v>3950</v>
      </c>
      <c r="B117" s="1834"/>
      <c r="C117" s="1834"/>
      <c r="D117" s="1834" t="s">
        <v>2881</v>
      </c>
      <c r="E117" s="1834"/>
      <c r="F117" s="1839">
        <v>1.0</v>
      </c>
      <c r="G117" s="1835" t="str">
        <f>IF(G116&gt;0,G116*0.14,"")</f>
        <v/>
      </c>
      <c r="H117" s="1836" t="str">
        <f t="shared" si="32"/>
        <v/>
      </c>
      <c r="I117" s="3"/>
      <c r="J117" s="1835">
        <f>IF(J116&gt;0,J116*0.14,"")</f>
        <v>84685.99888</v>
      </c>
      <c r="K117" s="1836">
        <f t="shared" si="33"/>
        <v>0.02682813057</v>
      </c>
      <c r="L117" s="3"/>
      <c r="M117" s="1835">
        <f>IF(M116&gt;0,M116*0.14,"")</f>
        <v>84685.99888</v>
      </c>
      <c r="N117" s="1836">
        <f t="shared" si="34"/>
        <v>0.02682813057</v>
      </c>
      <c r="O117" s="3"/>
      <c r="P117" s="1837">
        <f t="shared" si="36"/>
        <v>84685.99888</v>
      </c>
      <c r="Q117" s="1840" t="str">
        <f t="shared" si="37"/>
        <v/>
      </c>
      <c r="R117" s="1837">
        <f t="shared" si="38"/>
        <v>0</v>
      </c>
      <c r="S117" s="1838">
        <f t="shared" si="39"/>
        <v>0</v>
      </c>
    </row>
    <row r="118">
      <c r="A118" s="1854" t="s">
        <v>2882</v>
      </c>
      <c r="B118" s="1855"/>
      <c r="C118" s="1855"/>
      <c r="D118" s="1855"/>
      <c r="E118" s="1855"/>
      <c r="F118" s="1855"/>
      <c r="G118" s="1857">
        <f>G116-G117</f>
        <v>0</v>
      </c>
      <c r="H118" s="1858" t="str">
        <f t="shared" si="32"/>
        <v/>
      </c>
      <c r="I118" s="3"/>
      <c r="J118" s="1859">
        <f>J116-J117</f>
        <v>520213.9931</v>
      </c>
      <c r="K118" s="1858">
        <f t="shared" si="33"/>
        <v>0.1648013735</v>
      </c>
      <c r="L118" s="3"/>
      <c r="M118" s="1859">
        <f>M116-M117</f>
        <v>520213.9931</v>
      </c>
      <c r="N118" s="1858">
        <f t="shared" si="34"/>
        <v>0.1648013735</v>
      </c>
      <c r="O118" s="3"/>
      <c r="P118" s="1860">
        <f t="shared" si="36"/>
        <v>520213.9931</v>
      </c>
      <c r="Q118" s="1861" t="str">
        <f t="shared" si="37"/>
        <v/>
      </c>
      <c r="R118" s="1860">
        <f t="shared" si="38"/>
        <v>0</v>
      </c>
      <c r="S118" s="1861">
        <f t="shared" si="39"/>
        <v>0</v>
      </c>
    </row>
  </sheetData>
  <mergeCells count="87">
    <mergeCell ref="N10:O10"/>
    <mergeCell ref="N11:O11"/>
    <mergeCell ref="N12:O12"/>
    <mergeCell ref="N13:O13"/>
    <mergeCell ref="N14:O14"/>
    <mergeCell ref="N15:O15"/>
    <mergeCell ref="N16:O16"/>
    <mergeCell ref="N17:O17"/>
    <mergeCell ref="N18:O18"/>
    <mergeCell ref="H34:I34"/>
    <mergeCell ref="K34:L34"/>
    <mergeCell ref="N34:O34"/>
    <mergeCell ref="K49:L49"/>
    <mergeCell ref="N49:O49"/>
    <mergeCell ref="K111:L111"/>
    <mergeCell ref="K112:L112"/>
    <mergeCell ref="K113:L113"/>
    <mergeCell ref="K114:L114"/>
    <mergeCell ref="K115:L115"/>
    <mergeCell ref="K116:L116"/>
    <mergeCell ref="K117:L117"/>
    <mergeCell ref="K118:L118"/>
    <mergeCell ref="H112:I112"/>
    <mergeCell ref="H113:I113"/>
    <mergeCell ref="H114:I114"/>
    <mergeCell ref="H115:I115"/>
    <mergeCell ref="H116:I116"/>
    <mergeCell ref="H117:I117"/>
    <mergeCell ref="H118:I118"/>
    <mergeCell ref="N113:O113"/>
    <mergeCell ref="N114:O114"/>
    <mergeCell ref="N115:O115"/>
    <mergeCell ref="N116:O116"/>
    <mergeCell ref="N117:O117"/>
    <mergeCell ref="N118:O118"/>
    <mergeCell ref="H49:I49"/>
    <mergeCell ref="H64:I64"/>
    <mergeCell ref="K64:L64"/>
    <mergeCell ref="N64:O64"/>
    <mergeCell ref="H111:I111"/>
    <mergeCell ref="N111:O111"/>
    <mergeCell ref="N112:O112"/>
    <mergeCell ref="A2:A3"/>
    <mergeCell ref="B2:B3"/>
    <mergeCell ref="C2:C3"/>
    <mergeCell ref="G2:S2"/>
    <mergeCell ref="G3:I3"/>
    <mergeCell ref="J3:L3"/>
    <mergeCell ref="M3:O3"/>
    <mergeCell ref="P3:Q3"/>
    <mergeCell ref="R3:S3"/>
    <mergeCell ref="H5:I5"/>
    <mergeCell ref="K5:L5"/>
    <mergeCell ref="N5:O5"/>
    <mergeCell ref="K6:L6"/>
    <mergeCell ref="N6:O6"/>
    <mergeCell ref="H6:I6"/>
    <mergeCell ref="H7:I7"/>
    <mergeCell ref="K7:L7"/>
    <mergeCell ref="N7:O7"/>
    <mergeCell ref="H8:I8"/>
    <mergeCell ref="N8:O8"/>
    <mergeCell ref="N9:O9"/>
    <mergeCell ref="K15:L15"/>
    <mergeCell ref="K16:L16"/>
    <mergeCell ref="K17:L17"/>
    <mergeCell ref="K18:L18"/>
    <mergeCell ref="K19:L19"/>
    <mergeCell ref="N19:O19"/>
    <mergeCell ref="K8:L8"/>
    <mergeCell ref="K9:L9"/>
    <mergeCell ref="K10:L10"/>
    <mergeCell ref="K11:L11"/>
    <mergeCell ref="K12:L12"/>
    <mergeCell ref="K13:L13"/>
    <mergeCell ref="K14:L14"/>
    <mergeCell ref="H16:I16"/>
    <mergeCell ref="H17:I17"/>
    <mergeCell ref="H18:I18"/>
    <mergeCell ref="H19:I19"/>
    <mergeCell ref="H9:I9"/>
    <mergeCell ref="H10:I10"/>
    <mergeCell ref="H11:I11"/>
    <mergeCell ref="H12:I12"/>
    <mergeCell ref="H13:I13"/>
    <mergeCell ref="H14:I14"/>
    <mergeCell ref="H15:I15"/>
  </mergeCells>
  <conditionalFormatting sqref="A1:B118 C1:D105 E1:L118 M1:M2 N1:O118 P1:P2 Q1:Q118 R1:R2 S1:S118 M4:M118 P4:P118 R4:R118 C108:D118">
    <cfRule type="cellIs" dxfId="16" priority="1" operator="lessThan">
      <formula>0</formula>
    </cfRule>
  </conditionalFormatting>
  <dataValidations>
    <dataValidation type="list" allowBlank="1" showErrorMessage="1" sqref="B5:B18 B20:B33 B35:B48 B50:B63">
      <formula1>MA_DUAN</formula1>
    </dataValidation>
    <dataValidation type="list" allowBlank="1" showErrorMessage="1" sqref="D106:D107">
      <formula1>MA_KM</formula1>
    </dataValidation>
    <dataValidation type="list" allowBlank="1" showErrorMessage="1" sqref="G2">
      <formula1>'THAM CHIẾU'!$D$17:$D$20</formula1>
    </dataValidation>
  </dataValidations>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outlineLevelCol="1" outlineLevelRow="1"/>
  <cols>
    <col collapsed="1" customWidth="1" min="1" max="1" width="5.29"/>
    <col customWidth="1" hidden="1" min="2" max="2" width="23.86" outlineLevel="1"/>
    <col collapsed="1" customWidth="1" min="3" max="3" width="37.57"/>
    <col hidden="1" min="4" max="4" width="14.43" outlineLevel="1"/>
    <col customWidth="1" hidden="1" min="5" max="5" width="8.29" outlineLevel="1"/>
    <col customWidth="1" hidden="1" min="6" max="6" width="2.29" outlineLevel="1"/>
    <col customWidth="1" min="7" max="7" width="16.43"/>
    <col customWidth="1" min="8" max="8" width="4.86"/>
    <col customWidth="1" min="9" max="9" width="7.29"/>
    <col customWidth="1" min="11" max="11" width="4.57"/>
    <col customWidth="1" min="12" max="12" width="7.14"/>
    <col customWidth="1" min="14" max="14" width="5.43"/>
    <col customWidth="1" min="15" max="15" width="6.71"/>
    <col customWidth="1" min="17" max="17" width="6.86"/>
    <col customWidth="1" min="19" max="19" width="6.71"/>
  </cols>
  <sheetData>
    <row r="1" hidden="1">
      <c r="J1" s="329" t="str">
        <f>VLOOKUP($G2,'THAM CHIẾU'!$D$3:$F$14,2,0)</f>
        <v>#N/A</v>
      </c>
      <c r="M1" s="329" t="str">
        <f>VLOOKUP($G2,'THAM CHIẾU'!$D$3:$F$14,3,0)</f>
        <v>#N/A</v>
      </c>
    </row>
    <row r="2">
      <c r="A2" s="1747" t="s">
        <v>34</v>
      </c>
      <c r="B2" s="1748" t="s">
        <v>2803</v>
      </c>
      <c r="C2" s="1749" t="s">
        <v>2804</v>
      </c>
      <c r="D2" s="1750"/>
      <c r="E2" s="1751" t="s">
        <v>2805</v>
      </c>
      <c r="F2" s="1750"/>
      <c r="G2" s="1863" t="s">
        <v>2901</v>
      </c>
      <c r="H2" s="454"/>
      <c r="I2" s="454"/>
      <c r="J2" s="454"/>
      <c r="K2" s="454"/>
      <c r="L2" s="454"/>
      <c r="M2" s="454"/>
      <c r="N2" s="454"/>
      <c r="O2" s="454"/>
      <c r="P2" s="454"/>
      <c r="Q2" s="454"/>
      <c r="R2" s="454"/>
      <c r="S2" s="3"/>
    </row>
    <row r="3">
      <c r="A3" s="213"/>
      <c r="B3" s="213"/>
      <c r="C3" s="213"/>
      <c r="D3" s="1753"/>
      <c r="E3" s="1753"/>
      <c r="F3" s="1753"/>
      <c r="G3" s="1754" t="s">
        <v>2813</v>
      </c>
      <c r="H3" s="454"/>
      <c r="I3" s="3"/>
      <c r="J3" s="1755" t="s">
        <v>2814</v>
      </c>
      <c r="K3" s="454"/>
      <c r="L3" s="3"/>
      <c r="M3" s="1071" t="str">
        <f>IF(NOW()&gt;=DATE(YEAR(G$2),MONTH(G$2)+1,DAY(G$2)),"AC","TF")</f>
        <v>AC</v>
      </c>
      <c r="N3" s="454"/>
      <c r="O3" s="3"/>
      <c r="P3" s="1071" t="str">
        <f>M3&amp;" vs "&amp;G3</f>
        <v>AC vs BP</v>
      </c>
      <c r="Q3" s="3"/>
      <c r="R3" s="1071" t="str">
        <f>M3&amp;" vs "&amp;J3</f>
        <v>AC vs LF</v>
      </c>
      <c r="S3" s="3"/>
    </row>
    <row r="4" collapsed="1">
      <c r="A4" s="1820" t="s">
        <v>2818</v>
      </c>
      <c r="B4" s="1821"/>
      <c r="C4" s="1821"/>
      <c r="D4" s="1822"/>
      <c r="E4" s="1823">
        <v>0.0</v>
      </c>
      <c r="F4" s="1823">
        <v>1.0</v>
      </c>
      <c r="G4" s="1824">
        <f>SUM(G5:G18)</f>
        <v>33333333.33</v>
      </c>
      <c r="H4" s="1825" t="s">
        <v>2819</v>
      </c>
      <c r="I4" s="1825" t="s">
        <v>2820</v>
      </c>
      <c r="J4" s="1824">
        <f>SUM(J5:J18)</f>
        <v>11984804</v>
      </c>
      <c r="K4" s="1825" t="s">
        <v>2819</v>
      </c>
      <c r="L4" s="1825" t="s">
        <v>2820</v>
      </c>
      <c r="M4" s="1824">
        <f>SUM(M5:M18)</f>
        <v>3863100</v>
      </c>
      <c r="N4" s="1825" t="s">
        <v>2819</v>
      </c>
      <c r="O4" s="1825" t="s">
        <v>2820</v>
      </c>
      <c r="P4" s="1824">
        <f>SUM(P5:P18)</f>
        <v>-29470233.33</v>
      </c>
      <c r="Q4" s="1825">
        <f t="shared" ref="Q4:Q121" si="1">IFERROR(P4/G4,"")</f>
        <v>-0.884107</v>
      </c>
      <c r="R4" s="1824">
        <f>SUM(R5:R18)</f>
        <v>-8121704</v>
      </c>
      <c r="S4" s="1825">
        <f t="shared" ref="S4:S121" si="2">IFERROR(R4/J4,"")</f>
        <v>-0.6776668187</v>
      </c>
    </row>
    <row r="5" outlineLevel="1">
      <c r="A5" s="1086">
        <f t="shared" ref="A5:A18" si="3">IF(B5="","",COUNTA(B$5:B5))</f>
        <v>1</v>
      </c>
      <c r="B5" s="1087" t="s">
        <v>215</v>
      </c>
      <c r="C5" s="1087" t="str">
        <f>IF(B5="","",VLOOKUP(B5,DM_DUAN,2,0))</f>
        <v>Phước Đông Garden</v>
      </c>
      <c r="D5" s="1087" t="s">
        <v>198</v>
      </c>
      <c r="E5" s="1087"/>
      <c r="F5" s="1086">
        <v>2.0</v>
      </c>
      <c r="G5" s="1088">
        <f>SUMIFS(BP_SOTIEN,BP_DA,$B5,BP_KM,$D5,BP_THANG,$G$2)/1000</f>
        <v>0</v>
      </c>
      <c r="H5" s="1089">
        <f t="shared" ref="H5:H19" si="4">IFERROR(G5/G$4,"")</f>
        <v>0</v>
      </c>
      <c r="I5" s="3"/>
      <c r="J5" s="1090">
        <f>IF(NOW()&gt;=DATE(YEAR(G$2),MONTH(G$2)+1,DAY(G$2)),SUMIFS(TF_SOTIEN,TF_DA,$B5,TF_THANG,G$2,TF_KM,$D5)/1000, M5)</f>
        <v>0</v>
      </c>
      <c r="K5" s="1089">
        <f t="shared" ref="K5:K19" si="5">IFERROR(J5/J$4,"")</f>
        <v>0</v>
      </c>
      <c r="L5" s="3"/>
      <c r="M5" s="1090">
        <f>IF(NOW()&gt;=DATE(YEAR(G$2),MONTH(G$2)+1,DAY(G$2)),SUMIFS(AC_SOTIEN,AC_DA,$B5,AC_THANG,G$2,AC_KM,$D5),SUMIFS(TF_SOTIEN,TF_DA,$B5,TF_THANG,G$2,TF_KM,$D5))/ 1000</f>
        <v>0</v>
      </c>
      <c r="N5" s="1089">
        <f t="shared" ref="N5:N19" si="6">IFERROR(M5/M$4,"")</f>
        <v>0</v>
      </c>
      <c r="O5" s="3"/>
      <c r="P5" s="1090">
        <f t="shared" ref="P5:P121" si="7">M5-G5</f>
        <v>0</v>
      </c>
      <c r="Q5" s="1091" t="str">
        <f t="shared" si="1"/>
        <v/>
      </c>
      <c r="R5" s="1090">
        <f t="shared" ref="R5:R121" si="8">M5-J5</f>
        <v>0</v>
      </c>
      <c r="S5" s="1091" t="str">
        <f t="shared" si="2"/>
        <v/>
      </c>
    </row>
    <row r="6" outlineLevel="1">
      <c r="A6" s="1086">
        <f t="shared" si="3"/>
        <v>2</v>
      </c>
      <c r="B6" s="1087" t="s">
        <v>404</v>
      </c>
      <c r="C6" s="1087" t="str">
        <f>IF(B6="","",VLOOKUP(B6,DM_DUAN,2,0))</f>
        <v>Hamil ton Garden</v>
      </c>
      <c r="D6" s="1087" t="s">
        <v>198</v>
      </c>
      <c r="E6" s="1087"/>
      <c r="F6" s="1086">
        <v>2.0</v>
      </c>
      <c r="G6" s="1088">
        <f>SUMIFS(BP_SOTIEN,BP_DA,$B6,BP_KM,$D6,BP_THANG,$G$2)/1000</f>
        <v>0</v>
      </c>
      <c r="H6" s="1089">
        <f t="shared" si="4"/>
        <v>0</v>
      </c>
      <c r="I6" s="3"/>
      <c r="J6" s="1090">
        <f>IF(NOW()&gt;=DATE(YEAR(G$2),MONTH(G$2)+1,DAY(G$2)),SUMIFS(TF_SOTIEN,TF_DA,$B6,TF_THANG,G$2,TF_KM,$D6)/1000, M6)</f>
        <v>0</v>
      </c>
      <c r="K6" s="1089">
        <f t="shared" si="5"/>
        <v>0</v>
      </c>
      <c r="L6" s="3"/>
      <c r="M6" s="1090">
        <f>IF(NOW()&gt;=DATE(YEAR(G$2),MONTH(G$2)+1,DAY(G$2)),SUMIFS(AC_SOTIEN,AC_DA,$B6,AC_THANG,G$2,AC_KM,$D6),SUMIFS(TF_SOTIEN,TF_DA,$B6,TF_THANG,G$2,TF_KM,$D6))/ 1000</f>
        <v>0</v>
      </c>
      <c r="N6" s="1089">
        <f t="shared" si="6"/>
        <v>0</v>
      </c>
      <c r="O6" s="3"/>
      <c r="P6" s="1090">
        <f t="shared" si="7"/>
        <v>0</v>
      </c>
      <c r="Q6" s="1091" t="str">
        <f t="shared" si="1"/>
        <v/>
      </c>
      <c r="R6" s="1090">
        <f t="shared" si="8"/>
        <v>0</v>
      </c>
      <c r="S6" s="1091" t="str">
        <f t="shared" si="2"/>
        <v/>
      </c>
    </row>
    <row r="7" outlineLevel="1">
      <c r="A7" s="1086">
        <f t="shared" si="3"/>
        <v>3</v>
      </c>
      <c r="B7" s="1087" t="s">
        <v>533</v>
      </c>
      <c r="C7" s="1087" t="str">
        <f>IF(B7="","",VLOOKUP(B7,DM_DUAN,2,0))</f>
        <v>The sol city</v>
      </c>
      <c r="D7" s="1087" t="s">
        <v>198</v>
      </c>
      <c r="E7" s="1087"/>
      <c r="F7" s="1086">
        <v>2.0</v>
      </c>
      <c r="G7" s="1088">
        <f>SUMIFS(BP_SOTIEN,BP_DA,$B7,BP_KM,$D7,BP_THANG,$G$2)/1000</f>
        <v>0</v>
      </c>
      <c r="H7" s="1089">
        <f t="shared" si="4"/>
        <v>0</v>
      </c>
      <c r="I7" s="3"/>
      <c r="J7" s="1090">
        <f>IF(NOW()&gt;=DATE(YEAR(G$2),MONTH(G$2)+1,DAY(G$2)),SUMIFS(TF_SOTIEN,TF_DA,$B7,TF_THANG,G$2,TF_KM,$D7)/1000, M7)</f>
        <v>0</v>
      </c>
      <c r="K7" s="1089">
        <f t="shared" si="5"/>
        <v>0</v>
      </c>
      <c r="L7" s="3"/>
      <c r="M7" s="1090">
        <f>IF(NOW()&gt;=DATE(YEAR(G$2),MONTH(G$2)+1,DAY(G$2)),SUMIFS(AC_SOTIEN,AC_DA,$B7,AC_THANG,G$2,AC_KM,$D7),SUMIFS(TF_SOTIEN,TF_DA,$B7,TF_THANG,G$2,TF_KM,$D7))/ 1000</f>
        <v>0</v>
      </c>
      <c r="N7" s="1089">
        <f t="shared" si="6"/>
        <v>0</v>
      </c>
      <c r="O7" s="3"/>
      <c r="P7" s="1090">
        <f t="shared" si="7"/>
        <v>0</v>
      </c>
      <c r="Q7" s="1091" t="str">
        <f t="shared" si="1"/>
        <v/>
      </c>
      <c r="R7" s="1090">
        <f t="shared" si="8"/>
        <v>0</v>
      </c>
      <c r="S7" s="1091" t="str">
        <f t="shared" si="2"/>
        <v/>
      </c>
    </row>
    <row r="8" outlineLevel="1">
      <c r="A8" s="1086">
        <f t="shared" si="3"/>
        <v>4</v>
      </c>
      <c r="B8" s="1087" t="s">
        <v>175</v>
      </c>
      <c r="C8" s="1087" t="str">
        <f>IF(B8="","",VLOOKUP(B8,DM_DUAN,2,0))</f>
        <v>Phước hội Hồ Tràm</v>
      </c>
      <c r="D8" s="1087" t="s">
        <v>198</v>
      </c>
      <c r="E8" s="1087"/>
      <c r="F8" s="1086">
        <v>2.0</v>
      </c>
      <c r="G8" s="1088">
        <f>SUMIFS(BP_SOTIEN,BP_DA,$B8,BP_KM,$D8,BP_THANG,$G$2)/1000</f>
        <v>13333333.33</v>
      </c>
      <c r="H8" s="1089">
        <f t="shared" si="4"/>
        <v>0.4</v>
      </c>
      <c r="I8" s="3"/>
      <c r="J8" s="1090">
        <f>IF(NOW()&gt;=DATE(YEAR(G$2),MONTH(G$2)+1,DAY(G$2)),SUMIFS(TF_SOTIEN,TF_DA,$B8,TF_THANG,G$2,TF_KM,$D8)/1000, M8)</f>
        <v>0</v>
      </c>
      <c r="K8" s="1089">
        <f t="shared" si="5"/>
        <v>0</v>
      </c>
      <c r="L8" s="3"/>
      <c r="M8" s="1090">
        <f>IF(NOW()&gt;=DATE(YEAR(G$2),MONTH(G$2)+1,DAY(G$2)),SUMIFS(AC_SOTIEN,AC_DA,$B8,AC_THANG,G$2,AC_KM,$D8),SUMIFS(TF_SOTIEN,TF_DA,$B8,TF_THANG,G$2,TF_KM,$D8))/ 1000</f>
        <v>0</v>
      </c>
      <c r="N8" s="1089">
        <f t="shared" si="6"/>
        <v>0</v>
      </c>
      <c r="O8" s="3"/>
      <c r="P8" s="1090">
        <f t="shared" si="7"/>
        <v>-13333333.33</v>
      </c>
      <c r="Q8" s="1091">
        <f t="shared" si="1"/>
        <v>-1</v>
      </c>
      <c r="R8" s="1090">
        <f t="shared" si="8"/>
        <v>0</v>
      </c>
      <c r="S8" s="1091" t="str">
        <f t="shared" si="2"/>
        <v/>
      </c>
    </row>
    <row r="9" outlineLevel="1">
      <c r="A9" s="1086">
        <f t="shared" si="3"/>
        <v>5</v>
      </c>
      <c r="B9" s="1087" t="s">
        <v>2067</v>
      </c>
      <c r="C9" s="1087" t="str">
        <f>IF(B9="","",VLOOKUP(B9,DM_DUAN,2,0))</f>
        <v>NAM PHONG</v>
      </c>
      <c r="D9" s="1087" t="s">
        <v>198</v>
      </c>
      <c r="E9" s="1087"/>
      <c r="F9" s="1086">
        <v>2.0</v>
      </c>
      <c r="G9" s="1088">
        <f>SUMIFS(BP_SOTIEN,BP_DA,$B9,BP_KM,$D9,BP_THANG,$G$2)/1000</f>
        <v>20000000</v>
      </c>
      <c r="H9" s="1089">
        <f t="shared" si="4"/>
        <v>0.6</v>
      </c>
      <c r="I9" s="3"/>
      <c r="J9" s="1090">
        <f>IF(NOW()&gt;=DATE(YEAR(G$2),MONTH(G$2)+1,DAY(G$2)),SUMIFS(TF_SOTIEN,TF_DA,$B9,TF_THANG,G$2,TF_KM,$D9)/1000, M9)</f>
        <v>0</v>
      </c>
      <c r="K9" s="1089">
        <f t="shared" si="5"/>
        <v>0</v>
      </c>
      <c r="L9" s="3"/>
      <c r="M9" s="1090">
        <f>IF(NOW()&gt;=DATE(YEAR(G$2),MONTH(G$2)+1,DAY(G$2)),SUMIFS(AC_SOTIEN,AC_DA,$B9,AC_THANG,G$2,AC_KM,$D9),SUMIFS(TF_SOTIEN,TF_DA,$B9,TF_THANG,G$2,TF_KM,$D9))/ 1000</f>
        <v>0</v>
      </c>
      <c r="N9" s="1089">
        <f t="shared" si="6"/>
        <v>0</v>
      </c>
      <c r="O9" s="3"/>
      <c r="P9" s="1090">
        <f t="shared" si="7"/>
        <v>-20000000</v>
      </c>
      <c r="Q9" s="1091">
        <f t="shared" si="1"/>
        <v>-1</v>
      </c>
      <c r="R9" s="1090">
        <f t="shared" si="8"/>
        <v>0</v>
      </c>
      <c r="S9" s="1091" t="str">
        <f t="shared" si="2"/>
        <v/>
      </c>
    </row>
    <row r="10" outlineLevel="1">
      <c r="A10" s="1086">
        <f t="shared" si="3"/>
        <v>6</v>
      </c>
      <c r="B10" s="656" t="s">
        <v>638</v>
      </c>
      <c r="C10" s="1087" t="str">
        <f>IF(B10="","",VLOOKUP(B10,DM_DUAN,2,0))</f>
        <v>Sản phẩm Phước Vinh</v>
      </c>
      <c r="D10" s="1087" t="s">
        <v>198</v>
      </c>
      <c r="E10" s="1087"/>
      <c r="F10" s="1086">
        <v>2.0</v>
      </c>
      <c r="G10" s="1088">
        <f>SUMIFS(BP_SOTIEN,BP_DA,$B10,BP_KM,$D10,BP_THANG,$G$2)/1000</f>
        <v>0</v>
      </c>
      <c r="H10" s="1089">
        <f t="shared" si="4"/>
        <v>0</v>
      </c>
      <c r="I10" s="3"/>
      <c r="J10" s="1090">
        <f>IF(NOW()&gt;=DATE(YEAR(G$2),MONTH(G$2)+1,DAY(G$2)),SUMIFS(TF_SOTIEN,TF_DA,$B10,TF_THANG,G$2,TF_KM,$D10)/1000, M10)</f>
        <v>0</v>
      </c>
      <c r="K10" s="1089">
        <f t="shared" si="5"/>
        <v>0</v>
      </c>
      <c r="L10" s="3"/>
      <c r="M10" s="1090">
        <f>IF(NOW()&gt;=DATE(YEAR(G$2),MONTH(G$2)+1,DAY(G$2)),SUMIFS(AC_SOTIEN,AC_DA,$B10,AC_THANG,G$2,AC_KM,$D10),SUMIFS(TF_SOTIEN,TF_DA,$B10,TF_THANG,G$2,TF_KM,$D10))/ 1000</f>
        <v>0</v>
      </c>
      <c r="N10" s="1089">
        <f t="shared" si="6"/>
        <v>0</v>
      </c>
      <c r="O10" s="3"/>
      <c r="P10" s="1090">
        <f t="shared" si="7"/>
        <v>0</v>
      </c>
      <c r="Q10" s="1091" t="str">
        <f t="shared" si="1"/>
        <v/>
      </c>
      <c r="R10" s="1090">
        <f t="shared" si="8"/>
        <v>0</v>
      </c>
      <c r="S10" s="1091" t="str">
        <f t="shared" si="2"/>
        <v/>
      </c>
    </row>
    <row r="11" outlineLevel="1">
      <c r="A11" s="1086">
        <f t="shared" si="3"/>
        <v>7</v>
      </c>
      <c r="B11" s="1087" t="s">
        <v>2070</v>
      </c>
      <c r="C11" s="1087" t="str">
        <f>IF(B11="","",VLOOKUP(B11,DM_DUAN,2,0))</f>
        <v>KHANG VƯỢNG</v>
      </c>
      <c r="D11" s="1087" t="s">
        <v>198</v>
      </c>
      <c r="E11" s="1087"/>
      <c r="F11" s="1086">
        <v>2.0</v>
      </c>
      <c r="G11" s="1088">
        <f>SUMIFS(BP_SOTIEN,BP_DA,$B11,BP_KM,$D11,BP_THANG,$G$2)/1000</f>
        <v>0</v>
      </c>
      <c r="H11" s="1089">
        <f t="shared" si="4"/>
        <v>0</v>
      </c>
      <c r="I11" s="3"/>
      <c r="J11" s="1090">
        <f>IF(NOW()&gt;=DATE(YEAR(G$2),MONTH(G$2)+1,DAY(G$2)),SUMIFS(TF_SOTIEN,TF_DA,$B11,TF_THANG,G$2,TF_KM,$D11)/1000, M11)</f>
        <v>0</v>
      </c>
      <c r="K11" s="1089">
        <f t="shared" si="5"/>
        <v>0</v>
      </c>
      <c r="L11" s="3"/>
      <c r="M11" s="1090">
        <f>IF(NOW()&gt;=DATE(YEAR(G$2),MONTH(G$2)+1,DAY(G$2)),SUMIFS(AC_SOTIEN,AC_DA,$B11,AC_THANG,G$2,AC_KM,$D11),SUMIFS(TF_SOTIEN,TF_DA,$B11,TF_THANG,G$2,TF_KM,$D11))/ 1000</f>
        <v>0</v>
      </c>
      <c r="N11" s="1089">
        <f t="shared" si="6"/>
        <v>0</v>
      </c>
      <c r="O11" s="3"/>
      <c r="P11" s="1090">
        <f t="shared" si="7"/>
        <v>0</v>
      </c>
      <c r="Q11" s="1091" t="str">
        <f t="shared" si="1"/>
        <v/>
      </c>
      <c r="R11" s="1090">
        <f t="shared" si="8"/>
        <v>0</v>
      </c>
      <c r="S11" s="1091" t="str">
        <f t="shared" si="2"/>
        <v/>
      </c>
    </row>
    <row r="12" outlineLevel="1">
      <c r="A12" s="1086">
        <f t="shared" si="3"/>
        <v>8</v>
      </c>
      <c r="B12" s="1087" t="s">
        <v>2072</v>
      </c>
      <c r="C12" s="1087" t="str">
        <f>IF(B12="","",VLOOKUP(B12,DM_DUAN,2,0))</f>
        <v>TRẦN ANH GROUP</v>
      </c>
      <c r="D12" s="1087" t="s">
        <v>198</v>
      </c>
      <c r="E12" s="1087"/>
      <c r="F12" s="1086">
        <v>2.0</v>
      </c>
      <c r="G12" s="1088">
        <f>SUMIFS(BP_SOTIEN,BP_DA,$B12,BP_KM,$D12,BP_THANG,$G$2)/1000</f>
        <v>0</v>
      </c>
      <c r="H12" s="1089">
        <f t="shared" si="4"/>
        <v>0</v>
      </c>
      <c r="I12" s="3"/>
      <c r="J12" s="1090">
        <f>IF(NOW()&gt;=DATE(YEAR(G$2),MONTH(G$2)+1,DAY(G$2)),SUMIFS(TF_SOTIEN,TF_DA,$B12,TF_THANG,G$2,TF_KM,$D12)/1000, M12)</f>
        <v>0</v>
      </c>
      <c r="K12" s="1089">
        <f t="shared" si="5"/>
        <v>0</v>
      </c>
      <c r="L12" s="3"/>
      <c r="M12" s="1090">
        <f>IF(NOW()&gt;=DATE(YEAR(G$2),MONTH(G$2)+1,DAY(G$2)),SUMIFS(AC_SOTIEN,AC_DA,$B12,AC_THANG,G$2,AC_KM,$D12),SUMIFS(TF_SOTIEN,TF_DA,$B12,TF_THANG,G$2,TF_KM,$D12))/ 1000</f>
        <v>0</v>
      </c>
      <c r="N12" s="1089">
        <f t="shared" si="6"/>
        <v>0</v>
      </c>
      <c r="O12" s="3"/>
      <c r="P12" s="1090">
        <f t="shared" si="7"/>
        <v>0</v>
      </c>
      <c r="Q12" s="1091" t="str">
        <f t="shared" si="1"/>
        <v/>
      </c>
      <c r="R12" s="1090">
        <f t="shared" si="8"/>
        <v>0</v>
      </c>
      <c r="S12" s="1091" t="str">
        <f t="shared" si="2"/>
        <v/>
      </c>
    </row>
    <row r="13" outlineLevel="1">
      <c r="A13" s="1086">
        <f t="shared" si="3"/>
        <v>9</v>
      </c>
      <c r="B13" s="1087" t="s">
        <v>2073</v>
      </c>
      <c r="C13" s="1087" t="str">
        <f>IF(B13="","",VLOOKUP(B13,DM_DUAN,2,0))</f>
        <v>PHI TRƯỜNG</v>
      </c>
      <c r="D13" s="1087" t="s">
        <v>198</v>
      </c>
      <c r="E13" s="1087"/>
      <c r="F13" s="1086">
        <v>2.0</v>
      </c>
      <c r="G13" s="1088">
        <f>SUMIFS(BP_SOTIEN,BP_DA,$B13,BP_KM,$D13,BP_THANG,$G$2)/1000</f>
        <v>0</v>
      </c>
      <c r="H13" s="1089">
        <f t="shared" si="4"/>
        <v>0</v>
      </c>
      <c r="I13" s="3"/>
      <c r="J13" s="1090">
        <f>IF(NOW()&gt;=DATE(YEAR(G$2),MONTH(G$2)+1,DAY(G$2)),SUMIFS(TF_SOTIEN,TF_DA,$B13,TF_THANG,G$2,TF_KM,$D13)/1000, M13)</f>
        <v>0</v>
      </c>
      <c r="K13" s="1089">
        <f t="shared" si="5"/>
        <v>0</v>
      </c>
      <c r="L13" s="3"/>
      <c r="M13" s="1090">
        <f>IF(NOW()&gt;=DATE(YEAR(G$2),MONTH(G$2)+1,DAY(G$2)),SUMIFS(AC_SOTIEN,AC_DA,$B13,AC_THANG,G$2,AC_KM,$D13),SUMIFS(TF_SOTIEN,TF_DA,$B13,TF_THANG,G$2,TF_KM,$D13))/ 1000</f>
        <v>0</v>
      </c>
      <c r="N13" s="1089">
        <f t="shared" si="6"/>
        <v>0</v>
      </c>
      <c r="O13" s="3"/>
      <c r="P13" s="1090">
        <f t="shared" si="7"/>
        <v>0</v>
      </c>
      <c r="Q13" s="1091" t="str">
        <f t="shared" si="1"/>
        <v/>
      </c>
      <c r="R13" s="1090">
        <f t="shared" si="8"/>
        <v>0</v>
      </c>
      <c r="S13" s="1091" t="str">
        <f t="shared" si="2"/>
        <v/>
      </c>
    </row>
    <row r="14" outlineLevel="1">
      <c r="A14" s="1086">
        <f t="shared" si="3"/>
        <v>10</v>
      </c>
      <c r="B14" s="1087" t="s">
        <v>2074</v>
      </c>
      <c r="C14" s="1087" t="str">
        <f>IF(B14="","",VLOOKUP(B14,DM_DUAN,2,0))</f>
        <v>HOÀNG CÁT</v>
      </c>
      <c r="D14" s="1087" t="s">
        <v>198</v>
      </c>
      <c r="E14" s="1087"/>
      <c r="F14" s="1086">
        <v>2.0</v>
      </c>
      <c r="G14" s="1088">
        <f>SUMIFS(BP_SOTIEN,BP_DA,$B14,BP_KM,$D14,BP_THANG,$G$2)/1000</f>
        <v>0</v>
      </c>
      <c r="H14" s="1089">
        <f t="shared" si="4"/>
        <v>0</v>
      </c>
      <c r="I14" s="3"/>
      <c r="J14" s="1090">
        <f>IF(NOW()&gt;=DATE(YEAR(G$2),MONTH(G$2)+1,DAY(G$2)),SUMIFS(TF_SOTIEN,TF_DA,$B14,TF_THANG,G$2,TF_KM,$D14)/1000, M14)</f>
        <v>0</v>
      </c>
      <c r="K14" s="1089">
        <f t="shared" si="5"/>
        <v>0</v>
      </c>
      <c r="L14" s="3"/>
      <c r="M14" s="1090">
        <f>IF(NOW()&gt;=DATE(YEAR(G$2),MONTH(G$2)+1,DAY(G$2)),SUMIFS(AC_SOTIEN,AC_DA,$B14,AC_THANG,G$2,AC_KM,$D14),SUMIFS(TF_SOTIEN,TF_DA,$B14,TF_THANG,G$2,TF_KM,$D14))/ 1000</f>
        <v>0</v>
      </c>
      <c r="N14" s="1089">
        <f t="shared" si="6"/>
        <v>0</v>
      </c>
      <c r="O14" s="3"/>
      <c r="P14" s="1090">
        <f t="shared" si="7"/>
        <v>0</v>
      </c>
      <c r="Q14" s="1091" t="str">
        <f t="shared" si="1"/>
        <v/>
      </c>
      <c r="R14" s="1090">
        <f t="shared" si="8"/>
        <v>0</v>
      </c>
      <c r="S14" s="1091" t="str">
        <f t="shared" si="2"/>
        <v/>
      </c>
    </row>
    <row r="15" outlineLevel="1">
      <c r="A15" s="1086">
        <f t="shared" si="3"/>
        <v>11</v>
      </c>
      <c r="B15" s="1087" t="s">
        <v>530</v>
      </c>
      <c r="C15" s="1087" t="str">
        <f>IF(B15="","",VLOOKUP(B15,DM_DUAN,2,0))</f>
        <v>Nhà vườn sinh thái</v>
      </c>
      <c r="D15" s="1087" t="s">
        <v>198</v>
      </c>
      <c r="E15" s="1087"/>
      <c r="F15" s="1086">
        <v>2.0</v>
      </c>
      <c r="G15" s="1088">
        <f>SUMIFS(BP_SOTIEN,BP_DA,$B15,BP_KM,$D15,BP_THANG,$G$2)/1000</f>
        <v>0</v>
      </c>
      <c r="H15" s="1089">
        <f t="shared" si="4"/>
        <v>0</v>
      </c>
      <c r="I15" s="3"/>
      <c r="J15" s="1090">
        <f>IF(NOW()&gt;=DATE(YEAR(G$2),MONTH(G$2)+1,DAY(G$2)),SUMIFS(TF_SOTIEN,TF_DA,$B15,TF_THANG,G$2,TF_KM,$D15)/1000, M15)</f>
        <v>0</v>
      </c>
      <c r="K15" s="1089">
        <f t="shared" si="5"/>
        <v>0</v>
      </c>
      <c r="L15" s="3"/>
      <c r="M15" s="1090">
        <f>IF(NOW()&gt;=DATE(YEAR(G$2),MONTH(G$2)+1,DAY(G$2)),SUMIFS(AC_SOTIEN,AC_DA,$B15,AC_THANG,G$2,AC_KM,$D15),SUMIFS(TF_SOTIEN,TF_DA,$B15,TF_THANG,G$2,TF_KM,$D15))/ 1000</f>
        <v>0</v>
      </c>
      <c r="N15" s="1089">
        <f t="shared" si="6"/>
        <v>0</v>
      </c>
      <c r="O15" s="3"/>
      <c r="P15" s="1090">
        <f t="shared" si="7"/>
        <v>0</v>
      </c>
      <c r="Q15" s="1091" t="str">
        <f t="shared" si="1"/>
        <v/>
      </c>
      <c r="R15" s="1090">
        <f t="shared" si="8"/>
        <v>0</v>
      </c>
      <c r="S15" s="1091" t="str">
        <f t="shared" si="2"/>
        <v/>
      </c>
    </row>
    <row r="16" outlineLevel="1">
      <c r="A16" s="737">
        <f t="shared" si="3"/>
        <v>12</v>
      </c>
      <c r="B16" s="1087" t="s">
        <v>875</v>
      </c>
      <c r="C16" s="1087" t="str">
        <f>IF(B16="","",VLOOKUP(B16,DM_DUAN,2,0))</f>
        <v>Sản phẩm Long Khánh 2</v>
      </c>
      <c r="D16" s="1087" t="s">
        <v>198</v>
      </c>
      <c r="E16" s="737"/>
      <c r="F16" s="1086">
        <v>2.0</v>
      </c>
      <c r="G16" s="1088">
        <f>SUMIFS(BP_SOTIEN,BP_DA,$B16,BP_KM,$D16,BP_THANG,$G$2)/1000</f>
        <v>0</v>
      </c>
      <c r="H16" s="1089">
        <f t="shared" si="4"/>
        <v>0</v>
      </c>
      <c r="I16" s="3"/>
      <c r="J16" s="1090">
        <f>IF(NOW()&gt;=DATE(YEAR(G$2),MONTH(G$2)+1,DAY(G$2)),SUMIFS(TF_SOTIEN,TF_DA,$B16,TF_THANG,G$2,TF_KM,$D16)/1000, M16)</f>
        <v>0</v>
      </c>
      <c r="K16" s="1089">
        <f t="shared" si="5"/>
        <v>0</v>
      </c>
      <c r="L16" s="3"/>
      <c r="M16" s="1090">
        <f>IF(NOW()&gt;=DATE(YEAR(G$2),MONTH(G$2)+1,DAY(G$2)),SUMIFS(AC_SOTIEN,AC_DA,$B16,AC_THANG,G$2,AC_KM,$D16),SUMIFS(TF_SOTIEN,TF_DA,$B16,TF_THANG,G$2,TF_KM,$D16))/ 1000</f>
        <v>0</v>
      </c>
      <c r="N16" s="1089">
        <f t="shared" si="6"/>
        <v>0</v>
      </c>
      <c r="O16" s="3"/>
      <c r="P16" s="1090">
        <f t="shared" si="7"/>
        <v>0</v>
      </c>
      <c r="Q16" s="1091" t="str">
        <f t="shared" si="1"/>
        <v/>
      </c>
      <c r="R16" s="1090">
        <f t="shared" si="8"/>
        <v>0</v>
      </c>
      <c r="S16" s="1091" t="str">
        <f t="shared" si="2"/>
        <v/>
      </c>
    </row>
    <row r="17" outlineLevel="1">
      <c r="A17" s="737">
        <f t="shared" si="3"/>
        <v>13</v>
      </c>
      <c r="B17" s="1087" t="s">
        <v>636</v>
      </c>
      <c r="C17" s="1087" t="str">
        <f>IF(B17="","",VLOOKUP(B17,DM_DUAN,2,0))</f>
        <v>Sản phẩm Long Khánh 3</v>
      </c>
      <c r="D17" s="1087" t="s">
        <v>198</v>
      </c>
      <c r="E17" s="737"/>
      <c r="F17" s="1086">
        <v>2.0</v>
      </c>
      <c r="G17" s="1088">
        <f>SUMIFS(BP_SOTIEN,BP_DA,$B17,BP_KM,$D17,BP_THANG,$G$2)/1000</f>
        <v>0</v>
      </c>
      <c r="H17" s="1089">
        <f t="shared" si="4"/>
        <v>0</v>
      </c>
      <c r="I17" s="3"/>
      <c r="J17" s="1090">
        <f>IF(NOW()&gt;=DATE(YEAR(G$2),MONTH(G$2)+1,DAY(G$2)),SUMIFS(TF_SOTIEN,TF_DA,$B17,TF_THANG,G$2,TF_KM,$D17)/1000, M17)</f>
        <v>0</v>
      </c>
      <c r="K17" s="1089">
        <f t="shared" si="5"/>
        <v>0</v>
      </c>
      <c r="L17" s="3"/>
      <c r="M17" s="1090">
        <f>IF(NOW()&gt;=DATE(YEAR(G$2),MONTH(G$2)+1,DAY(G$2)),SUMIFS(AC_SOTIEN,AC_DA,$B17,AC_THANG,G$2,AC_KM,$D17),SUMIFS(TF_SOTIEN,TF_DA,$B17,TF_THANG,G$2,TF_KM,$D17))/ 1000</f>
        <v>0</v>
      </c>
      <c r="N17" s="1089">
        <f t="shared" si="6"/>
        <v>0</v>
      </c>
      <c r="O17" s="3"/>
      <c r="P17" s="1090">
        <f t="shared" si="7"/>
        <v>0</v>
      </c>
      <c r="Q17" s="1091" t="str">
        <f t="shared" si="1"/>
        <v/>
      </c>
      <c r="R17" s="1090">
        <f t="shared" si="8"/>
        <v>0</v>
      </c>
      <c r="S17" s="1091" t="str">
        <f t="shared" si="2"/>
        <v/>
      </c>
    </row>
    <row r="18" outlineLevel="1">
      <c r="A18" s="737">
        <f t="shared" si="3"/>
        <v>14</v>
      </c>
      <c r="B18" s="1087" t="s">
        <v>956</v>
      </c>
      <c r="C18" s="1087" t="str">
        <f>IF(B18="","",VLOOKUP(B18,DM_DUAN,2,0))</f>
        <v>KDC Lộc Ngãi</v>
      </c>
      <c r="D18" s="1087" t="s">
        <v>198</v>
      </c>
      <c r="E18" s="737"/>
      <c r="F18" s="1086">
        <v>2.0</v>
      </c>
      <c r="G18" s="1088">
        <f>SUMIFS(BP_SOTIEN,BP_DA,$B18,BP_KM,$D18,BP_THANG,$G$2)/1000</f>
        <v>0</v>
      </c>
      <c r="H18" s="1089">
        <f t="shared" si="4"/>
        <v>0</v>
      </c>
      <c r="I18" s="3"/>
      <c r="J18" s="1090">
        <f>IF(NOW()&gt;=DATE(YEAR(G$2),MONTH(G$2)+1,DAY(G$2)),SUMIFS(TF_SOTIEN,TF_DA,$B18,TF_THANG,G$2,TF_KM,$D18)/1000, M18)</f>
        <v>11984804</v>
      </c>
      <c r="K18" s="1089">
        <f t="shared" si="5"/>
        <v>1</v>
      </c>
      <c r="L18" s="3"/>
      <c r="M18" s="1090">
        <f>IF(NOW()&gt;=DATE(YEAR(G$2),MONTH(G$2)+1,DAY(G$2)),SUMIFS(AC_SOTIEN,AC_DA,$B18,AC_THANG,G$2,AC_KM,$D18),SUMIFS(TF_SOTIEN,TF_DA,$B18,TF_THANG,G$2,TF_KM,$D18))/ 1000</f>
        <v>3863100</v>
      </c>
      <c r="N18" s="1089">
        <f t="shared" si="6"/>
        <v>1</v>
      </c>
      <c r="O18" s="3"/>
      <c r="P18" s="1090">
        <f t="shared" si="7"/>
        <v>3863100</v>
      </c>
      <c r="Q18" s="1091" t="str">
        <f t="shared" si="1"/>
        <v/>
      </c>
      <c r="R18" s="1090">
        <f t="shared" si="8"/>
        <v>-8121704</v>
      </c>
      <c r="S18" s="1091">
        <f t="shared" si="2"/>
        <v>-0.6776668187</v>
      </c>
    </row>
    <row r="19" collapsed="1">
      <c r="A19" s="1820" t="s">
        <v>2822</v>
      </c>
      <c r="B19" s="1821"/>
      <c r="C19" s="1821"/>
      <c r="D19" s="1822"/>
      <c r="E19" s="1823">
        <v>511.0</v>
      </c>
      <c r="F19" s="1823"/>
      <c r="G19" s="1824">
        <f>SUM(G20:G33)</f>
        <v>4000000</v>
      </c>
      <c r="H19" s="1825">
        <f t="shared" si="4"/>
        <v>0.12</v>
      </c>
      <c r="I19" s="1825"/>
      <c r="J19" s="1824">
        <f>SUM(J20:J33)</f>
        <v>1494456.48</v>
      </c>
      <c r="K19" s="1825">
        <f t="shared" si="5"/>
        <v>0.1246959466</v>
      </c>
      <c r="L19" s="1825"/>
      <c r="M19" s="1824">
        <f>SUM(M20:M33)</f>
        <v>555572</v>
      </c>
      <c r="N19" s="1825">
        <f t="shared" si="6"/>
        <v>0.1438150708</v>
      </c>
      <c r="O19" s="1825"/>
      <c r="P19" s="1824">
        <f t="shared" si="7"/>
        <v>-3444428</v>
      </c>
      <c r="Q19" s="1825">
        <f t="shared" si="1"/>
        <v>-0.861107</v>
      </c>
      <c r="R19" s="1824">
        <f t="shared" si="8"/>
        <v>-938884.48</v>
      </c>
      <c r="S19" s="1825">
        <f t="shared" si="2"/>
        <v>-0.6282447783</v>
      </c>
    </row>
    <row r="20" outlineLevel="1">
      <c r="A20" s="1086">
        <f t="shared" ref="A20:A33" si="9">IF(B20="","",COUNTA(B$19:B20))</f>
        <v>1</v>
      </c>
      <c r="B20" s="1087" t="s">
        <v>215</v>
      </c>
      <c r="C20" s="1087" t="str">
        <f>IF(B20="","",VLOOKUP(B20,DM_DUAN,2,0))</f>
        <v>Phước Đông Garden</v>
      </c>
      <c r="D20" s="1087" t="s">
        <v>187</v>
      </c>
      <c r="E20" s="1087"/>
      <c r="F20" s="1086">
        <v>2.0</v>
      </c>
      <c r="G20" s="1088">
        <f>SUMIFS(BP_SOTIEN,BP_DA,$B20,BP_KM,$D20,BP_THANG,$G$2)/1000</f>
        <v>0</v>
      </c>
      <c r="H20" s="1089" t="str">
        <f t="shared" ref="H20:H33" si="10">IFERROR(G20/SUMIF($B$5:$B$18,$B20,G$5:G$18),"")</f>
        <v/>
      </c>
      <c r="I20" s="1089">
        <f t="shared" ref="I20:I33" si="11">IFERROR(G20/G$19,"")</f>
        <v>0</v>
      </c>
      <c r="J20" s="1090">
        <f>IF(NOW()&gt;=DATE(YEAR(G$2),MONTH(G$2)+1,DAY(G$2)),SUMIFS(TF_SOTIEN,TF_DA,$B20,TF_THANG,G$2,TF_KM,$D20)/1000, M20)</f>
        <v>0</v>
      </c>
      <c r="K20" s="1089" t="str">
        <f t="shared" ref="K20:K33" si="12">IFERROR(J20/SUMIF($B$5:$B$18,$B20,J$5:J$18),"")</f>
        <v/>
      </c>
      <c r="L20" s="1089">
        <f t="shared" ref="L20:L33" si="13">IFERROR(J20/J$19,"")</f>
        <v>0</v>
      </c>
      <c r="M20" s="1090">
        <f>IF(NOW()&gt;=DATE(YEAR(G$2),MONTH(G$2)+1,DAY(G$2)),SUMIFS(AC_SOTIEN,AC_DA,$B20,AC_THANG,G$2,AC_KM,$D20),SUMIFS(TF_SOTIEN,TF_DA,$B20,TF_THANG,G$2,TF_KM,$D20))/ 1000</f>
        <v>0</v>
      </c>
      <c r="N20" s="1089" t="str">
        <f t="shared" ref="N20:N33" si="14">IFERROR(M20/SUMIF($B$5:$B$18,$B20,M$5:M$18),"")</f>
        <v/>
      </c>
      <c r="O20" s="1089">
        <f t="shared" ref="O20:O33" si="15">IFERROR(M20/M$19,"")</f>
        <v>0</v>
      </c>
      <c r="P20" s="1090">
        <f t="shared" si="7"/>
        <v>0</v>
      </c>
      <c r="Q20" s="1091" t="str">
        <f t="shared" si="1"/>
        <v/>
      </c>
      <c r="R20" s="1090">
        <f t="shared" si="8"/>
        <v>0</v>
      </c>
      <c r="S20" s="1091" t="str">
        <f t="shared" si="2"/>
        <v/>
      </c>
    </row>
    <row r="21" outlineLevel="1">
      <c r="A21" s="1086">
        <f t="shared" si="9"/>
        <v>2</v>
      </c>
      <c r="B21" s="1087" t="s">
        <v>404</v>
      </c>
      <c r="C21" s="1087" t="str">
        <f>IF(B21="","",VLOOKUP(B21,DM_DUAN,2,0))</f>
        <v>Hamil ton Garden</v>
      </c>
      <c r="D21" s="1087" t="s">
        <v>187</v>
      </c>
      <c r="E21" s="1087"/>
      <c r="F21" s="1086">
        <v>2.0</v>
      </c>
      <c r="G21" s="1088">
        <f>SUMIFS(BP_SOTIEN,BP_DA,$B21,BP_KM,$D21,BP_THANG,$G$2)/1000</f>
        <v>0</v>
      </c>
      <c r="H21" s="1089" t="str">
        <f t="shared" si="10"/>
        <v/>
      </c>
      <c r="I21" s="1089">
        <f t="shared" si="11"/>
        <v>0</v>
      </c>
      <c r="J21" s="1090">
        <f>IF(NOW()&gt;=DATE(YEAR(G$2),MONTH(G$2)+1,DAY(G$2)),SUMIFS(TF_SOTIEN,TF_DA,$B21,TF_THANG,G$2,TF_KM,$D21)/1000, M21)</f>
        <v>0</v>
      </c>
      <c r="K21" s="1089" t="str">
        <f t="shared" si="12"/>
        <v/>
      </c>
      <c r="L21" s="1089">
        <f t="shared" si="13"/>
        <v>0</v>
      </c>
      <c r="M21" s="1090">
        <f>IF(NOW()&gt;=DATE(YEAR(G$2),MONTH(G$2)+1,DAY(G$2)),SUMIFS(AC_SOTIEN,AC_DA,$B21,AC_THANG,G$2,AC_KM,$D21),SUMIFS(TF_SOTIEN,TF_DA,$B21,TF_THANG,G$2,TF_KM,$D21))/ 1000</f>
        <v>0</v>
      </c>
      <c r="N21" s="1089" t="str">
        <f t="shared" si="14"/>
        <v/>
      </c>
      <c r="O21" s="1089">
        <f t="shared" si="15"/>
        <v>0</v>
      </c>
      <c r="P21" s="1090">
        <f t="shared" si="7"/>
        <v>0</v>
      </c>
      <c r="Q21" s="1091" t="str">
        <f t="shared" si="1"/>
        <v/>
      </c>
      <c r="R21" s="1090">
        <f t="shared" si="8"/>
        <v>0</v>
      </c>
      <c r="S21" s="1091" t="str">
        <f t="shared" si="2"/>
        <v/>
      </c>
    </row>
    <row r="22" hidden="1" outlineLevel="1">
      <c r="A22" s="1086">
        <f t="shared" si="9"/>
        <v>3</v>
      </c>
      <c r="B22" s="1087" t="s">
        <v>533</v>
      </c>
      <c r="C22" s="1087" t="str">
        <f>IF(B22="","",VLOOKUP(B22,DM_DUAN,2,0))</f>
        <v>The sol city</v>
      </c>
      <c r="D22" s="1087" t="s">
        <v>187</v>
      </c>
      <c r="E22" s="1087"/>
      <c r="F22" s="1086">
        <v>2.0</v>
      </c>
      <c r="G22" s="1088">
        <f>SUMIFS(BP_SOTIEN,BP_DA,$B22,BP_KM,$D22,BP_THANG,$G$2)/1000</f>
        <v>0</v>
      </c>
      <c r="H22" s="1089" t="str">
        <f t="shared" si="10"/>
        <v/>
      </c>
      <c r="I22" s="1089">
        <f t="shared" si="11"/>
        <v>0</v>
      </c>
      <c r="J22" s="1090">
        <f>IF(NOW()&gt;=DATE(YEAR(G$2),MONTH(G$2)+1,DAY(G$2)),SUMIFS(TF_SOTIEN,TF_DA,$B22,TF_THANG,G$2,TF_KM,$D22)/1000, M22)</f>
        <v>0</v>
      </c>
      <c r="K22" s="1089" t="str">
        <f t="shared" si="12"/>
        <v/>
      </c>
      <c r="L22" s="1089">
        <f t="shared" si="13"/>
        <v>0</v>
      </c>
      <c r="M22" s="1090">
        <f>IF(NOW()&gt;=DATE(YEAR(G$2),MONTH(G$2)+1,DAY(G$2)),SUMIFS(AC_SOTIEN,AC_DA,$B22,AC_THANG,G$2,AC_KM,$D22),SUMIFS(TF_SOTIEN,TF_DA,$B22,TF_THANG,G$2,TF_KM,$D22))/ 1000</f>
        <v>0</v>
      </c>
      <c r="N22" s="1089" t="str">
        <f t="shared" si="14"/>
        <v/>
      </c>
      <c r="O22" s="1089">
        <f t="shared" si="15"/>
        <v>0</v>
      </c>
      <c r="P22" s="1090">
        <f t="shared" si="7"/>
        <v>0</v>
      </c>
      <c r="Q22" s="1091" t="str">
        <f t="shared" si="1"/>
        <v/>
      </c>
      <c r="R22" s="1090">
        <f t="shared" si="8"/>
        <v>0</v>
      </c>
      <c r="S22" s="1091" t="str">
        <f t="shared" si="2"/>
        <v/>
      </c>
    </row>
    <row r="23" outlineLevel="1">
      <c r="A23" s="1086">
        <f t="shared" si="9"/>
        <v>4</v>
      </c>
      <c r="B23" s="1087" t="s">
        <v>2067</v>
      </c>
      <c r="C23" s="1087" t="str">
        <f>IF(B23="","",VLOOKUP(B23,DM_DUAN,2,0))</f>
        <v>NAM PHONG</v>
      </c>
      <c r="D23" s="1087" t="s">
        <v>187</v>
      </c>
      <c r="E23" s="1087"/>
      <c r="F23" s="1086">
        <v>2.0</v>
      </c>
      <c r="G23" s="1088">
        <f>SUMIFS(BP_SOTIEN,BP_DA,$B23,BP_KM,$D23,BP_THANG,$G$2)/1000</f>
        <v>2400000</v>
      </c>
      <c r="H23" s="1089">
        <f t="shared" si="10"/>
        <v>0.12</v>
      </c>
      <c r="I23" s="1089">
        <f t="shared" si="11"/>
        <v>0.6</v>
      </c>
      <c r="J23" s="1090">
        <f>IF(NOW()&gt;=DATE(YEAR(G$2),MONTH(G$2)+1,DAY(G$2)),SUMIFS(TF_SOTIEN,TF_DA,$B23,TF_THANG,G$2,TF_KM,$D23)/1000, M23)</f>
        <v>0</v>
      </c>
      <c r="K23" s="1089" t="str">
        <f t="shared" si="12"/>
        <v/>
      </c>
      <c r="L23" s="1089">
        <f t="shared" si="13"/>
        <v>0</v>
      </c>
      <c r="M23" s="1090">
        <f>IF(NOW()&gt;=DATE(YEAR(G$2),MONTH(G$2)+1,DAY(G$2)),SUMIFS(AC_SOTIEN,AC_DA,$B23,AC_THANG,G$2,AC_KM,$D23),SUMIFS(TF_SOTIEN,TF_DA,$B23,TF_THANG,G$2,TF_KM,$D23))/ 1000</f>
        <v>0</v>
      </c>
      <c r="N23" s="1089" t="str">
        <f t="shared" si="14"/>
        <v/>
      </c>
      <c r="O23" s="1089">
        <f t="shared" si="15"/>
        <v>0</v>
      </c>
      <c r="P23" s="1090">
        <f t="shared" si="7"/>
        <v>-2400000</v>
      </c>
      <c r="Q23" s="1091">
        <f t="shared" si="1"/>
        <v>-1</v>
      </c>
      <c r="R23" s="1090">
        <f t="shared" si="8"/>
        <v>0</v>
      </c>
      <c r="S23" s="1091" t="str">
        <f t="shared" si="2"/>
        <v/>
      </c>
    </row>
    <row r="24" outlineLevel="1">
      <c r="A24" s="1086">
        <f t="shared" si="9"/>
        <v>5</v>
      </c>
      <c r="B24" s="656" t="s">
        <v>638</v>
      </c>
      <c r="C24" s="1087" t="str">
        <f>IF(B24="","",VLOOKUP(B24,DM_DUAN,2,0))</f>
        <v>Sản phẩm Phước Vinh</v>
      </c>
      <c r="D24" s="1087" t="s">
        <v>187</v>
      </c>
      <c r="E24" s="1087"/>
      <c r="F24" s="1086">
        <v>2.0</v>
      </c>
      <c r="G24" s="1088">
        <f>SUMIFS(BP_SOTIEN,BP_DA,$B24,BP_KM,$D24,BP_THANG,$G$2)/1000</f>
        <v>0</v>
      </c>
      <c r="H24" s="1089" t="str">
        <f t="shared" si="10"/>
        <v/>
      </c>
      <c r="I24" s="1089">
        <f t="shared" si="11"/>
        <v>0</v>
      </c>
      <c r="J24" s="1090">
        <f>IF(NOW()&gt;=DATE(YEAR(G$2),MONTH(G$2)+1,DAY(G$2)),SUMIFS(TF_SOTIEN,TF_DA,$B24,TF_THANG,G$2,TF_KM,$D24)/1000, M24)</f>
        <v>0</v>
      </c>
      <c r="K24" s="1089" t="str">
        <f t="shared" si="12"/>
        <v/>
      </c>
      <c r="L24" s="1089">
        <f t="shared" si="13"/>
        <v>0</v>
      </c>
      <c r="M24" s="1090">
        <f>IF(NOW()&gt;=DATE(YEAR(G$2),MONTH(G$2)+1,DAY(G$2)),SUMIFS(AC_SOTIEN,AC_DA,$B24,AC_THANG,G$2,AC_KM,$D24),SUMIFS(TF_SOTIEN,TF_DA,$B24,TF_THANG,G$2,TF_KM,$D24))/ 1000</f>
        <v>0</v>
      </c>
      <c r="N24" s="1089" t="str">
        <f t="shared" si="14"/>
        <v/>
      </c>
      <c r="O24" s="1089">
        <f t="shared" si="15"/>
        <v>0</v>
      </c>
      <c r="P24" s="1090">
        <f t="shared" si="7"/>
        <v>0</v>
      </c>
      <c r="Q24" s="1091" t="str">
        <f t="shared" si="1"/>
        <v/>
      </c>
      <c r="R24" s="1090">
        <f t="shared" si="8"/>
        <v>0</v>
      </c>
      <c r="S24" s="1091" t="str">
        <f t="shared" si="2"/>
        <v/>
      </c>
    </row>
    <row r="25" outlineLevel="1">
      <c r="A25" s="1086">
        <f t="shared" si="9"/>
        <v>6</v>
      </c>
      <c r="B25" s="1087" t="s">
        <v>2070</v>
      </c>
      <c r="C25" s="1087" t="str">
        <f>IF(B25="","",VLOOKUP(B25,DM_DUAN,2,0))</f>
        <v>KHANG VƯỢNG</v>
      </c>
      <c r="D25" s="1087" t="s">
        <v>187</v>
      </c>
      <c r="E25" s="1087"/>
      <c r="F25" s="1086">
        <v>2.0</v>
      </c>
      <c r="G25" s="1088">
        <f>SUMIFS(BP_SOTIEN,BP_DA,$B25,BP_KM,$D25,BP_THANG,$G$2)/1000</f>
        <v>0</v>
      </c>
      <c r="H25" s="1089" t="str">
        <f t="shared" si="10"/>
        <v/>
      </c>
      <c r="I25" s="1089">
        <f t="shared" si="11"/>
        <v>0</v>
      </c>
      <c r="J25" s="1090">
        <f>IF(NOW()&gt;=DATE(YEAR(G$2),MONTH(G$2)+1,DAY(G$2)),SUMIFS(TF_SOTIEN,TF_DA,$B25,TF_THANG,G$2,TF_KM,$D25)/1000, M25)</f>
        <v>0</v>
      </c>
      <c r="K25" s="1089" t="str">
        <f t="shared" si="12"/>
        <v/>
      </c>
      <c r="L25" s="1089">
        <f t="shared" si="13"/>
        <v>0</v>
      </c>
      <c r="M25" s="1090">
        <f>IF(NOW()&gt;=DATE(YEAR(G$2),MONTH(G$2)+1,DAY(G$2)),SUMIFS(AC_SOTIEN,AC_DA,$B25,AC_THANG,G$2,AC_KM,$D25),SUMIFS(TF_SOTIEN,TF_DA,$B25,TF_THANG,G$2,TF_KM,$D25))/ 1000</f>
        <v>0</v>
      </c>
      <c r="N25" s="1089" t="str">
        <f t="shared" si="14"/>
        <v/>
      </c>
      <c r="O25" s="1089">
        <f t="shared" si="15"/>
        <v>0</v>
      </c>
      <c r="P25" s="1090">
        <f t="shared" si="7"/>
        <v>0</v>
      </c>
      <c r="Q25" s="1091" t="str">
        <f t="shared" si="1"/>
        <v/>
      </c>
      <c r="R25" s="1090">
        <f t="shared" si="8"/>
        <v>0</v>
      </c>
      <c r="S25" s="1091" t="str">
        <f t="shared" si="2"/>
        <v/>
      </c>
    </row>
    <row r="26" outlineLevel="1">
      <c r="A26" s="1086">
        <f t="shared" si="9"/>
        <v>7</v>
      </c>
      <c r="B26" s="1087" t="s">
        <v>2072</v>
      </c>
      <c r="C26" s="1087" t="str">
        <f>IF(B26="","",VLOOKUP(B26,DM_DUAN,2,0))</f>
        <v>TRẦN ANH GROUP</v>
      </c>
      <c r="D26" s="1087" t="s">
        <v>187</v>
      </c>
      <c r="E26" s="1087"/>
      <c r="F26" s="1086">
        <v>2.0</v>
      </c>
      <c r="G26" s="1088">
        <f>SUMIFS(BP_SOTIEN,BP_DA,$B26,BP_KM,$D26,BP_THANG,$G$2)/1000</f>
        <v>0</v>
      </c>
      <c r="H26" s="1089" t="str">
        <f t="shared" si="10"/>
        <v/>
      </c>
      <c r="I26" s="1089">
        <f t="shared" si="11"/>
        <v>0</v>
      </c>
      <c r="J26" s="1090">
        <f>IF(NOW()&gt;=DATE(YEAR(G$2),MONTH(G$2)+1,DAY(G$2)),SUMIFS(TF_SOTIEN,TF_DA,$B26,TF_THANG,G$2,TF_KM,$D26)/1000, M26)</f>
        <v>0</v>
      </c>
      <c r="K26" s="1089" t="str">
        <f t="shared" si="12"/>
        <v/>
      </c>
      <c r="L26" s="1089">
        <f t="shared" si="13"/>
        <v>0</v>
      </c>
      <c r="M26" s="1090">
        <f>IF(NOW()&gt;=DATE(YEAR(G$2),MONTH(G$2)+1,DAY(G$2)),SUMIFS(AC_SOTIEN,AC_DA,$B26,AC_THANG,G$2,AC_KM,$D26),SUMIFS(TF_SOTIEN,TF_DA,$B26,TF_THANG,G$2,TF_KM,$D26))/ 1000</f>
        <v>0</v>
      </c>
      <c r="N26" s="1089" t="str">
        <f t="shared" si="14"/>
        <v/>
      </c>
      <c r="O26" s="1089">
        <f t="shared" si="15"/>
        <v>0</v>
      </c>
      <c r="P26" s="1090">
        <f t="shared" si="7"/>
        <v>0</v>
      </c>
      <c r="Q26" s="1091" t="str">
        <f t="shared" si="1"/>
        <v/>
      </c>
      <c r="R26" s="1090">
        <f t="shared" si="8"/>
        <v>0</v>
      </c>
      <c r="S26" s="1091" t="str">
        <f t="shared" si="2"/>
        <v/>
      </c>
    </row>
    <row r="27" outlineLevel="1">
      <c r="A27" s="1086">
        <f t="shared" si="9"/>
        <v>8</v>
      </c>
      <c r="B27" s="1087" t="s">
        <v>2073</v>
      </c>
      <c r="C27" s="1087" t="str">
        <f>IF(B27="","",VLOOKUP(B27,DM_DUAN,2,0))</f>
        <v>PHI TRƯỜNG</v>
      </c>
      <c r="D27" s="1087" t="s">
        <v>187</v>
      </c>
      <c r="E27" s="1087"/>
      <c r="F27" s="1086">
        <v>2.0</v>
      </c>
      <c r="G27" s="1088">
        <f>SUMIFS(BP_SOTIEN,BP_DA,$B27,BP_KM,$D27,BP_THANG,$G$2)/1000</f>
        <v>0</v>
      </c>
      <c r="H27" s="1089" t="str">
        <f t="shared" si="10"/>
        <v/>
      </c>
      <c r="I27" s="1089">
        <f t="shared" si="11"/>
        <v>0</v>
      </c>
      <c r="J27" s="1090">
        <f>IF(NOW()&gt;=DATE(YEAR(G$2),MONTH(G$2)+1,DAY(G$2)),SUMIFS(TF_SOTIEN,TF_DA,$B27,TF_THANG,G$2,TF_KM,$D27)/1000, M27)</f>
        <v>0</v>
      </c>
      <c r="K27" s="1089" t="str">
        <f t="shared" si="12"/>
        <v/>
      </c>
      <c r="L27" s="1089">
        <f t="shared" si="13"/>
        <v>0</v>
      </c>
      <c r="M27" s="1090">
        <f>IF(NOW()&gt;=DATE(YEAR(G$2),MONTH(G$2)+1,DAY(G$2)),SUMIFS(AC_SOTIEN,AC_DA,$B27,AC_THANG,G$2,AC_KM,$D27),SUMIFS(TF_SOTIEN,TF_DA,$B27,TF_THANG,G$2,TF_KM,$D27))/ 1000</f>
        <v>0</v>
      </c>
      <c r="N27" s="1089" t="str">
        <f t="shared" si="14"/>
        <v/>
      </c>
      <c r="O27" s="1089">
        <f t="shared" si="15"/>
        <v>0</v>
      </c>
      <c r="P27" s="1090">
        <f t="shared" si="7"/>
        <v>0</v>
      </c>
      <c r="Q27" s="1091" t="str">
        <f t="shared" si="1"/>
        <v/>
      </c>
      <c r="R27" s="1090">
        <f t="shared" si="8"/>
        <v>0</v>
      </c>
      <c r="S27" s="1091" t="str">
        <f t="shared" si="2"/>
        <v/>
      </c>
    </row>
    <row r="28" outlineLevel="1">
      <c r="A28" s="1086">
        <f t="shared" si="9"/>
        <v>9</v>
      </c>
      <c r="B28" s="1087" t="s">
        <v>2074</v>
      </c>
      <c r="C28" s="1087" t="str">
        <f>IF(B28="","",VLOOKUP(B28,DM_DUAN,2,0))</f>
        <v>HOÀNG CÁT</v>
      </c>
      <c r="D28" s="1087" t="s">
        <v>187</v>
      </c>
      <c r="E28" s="1087"/>
      <c r="F28" s="1086">
        <v>2.0</v>
      </c>
      <c r="G28" s="1088">
        <f>SUMIFS(BP_SOTIEN,BP_DA,$B28,BP_KM,$D28,BP_THANG,$G$2)/1000</f>
        <v>0</v>
      </c>
      <c r="H28" s="1089" t="str">
        <f t="shared" si="10"/>
        <v/>
      </c>
      <c r="I28" s="1089">
        <f t="shared" si="11"/>
        <v>0</v>
      </c>
      <c r="J28" s="1090">
        <f>IF(NOW()&gt;=DATE(YEAR(G$2),MONTH(G$2)+1,DAY(G$2)),SUMIFS(TF_SOTIEN,TF_DA,$B28,TF_THANG,G$2,TF_KM,$D28)/1000, M28)</f>
        <v>0</v>
      </c>
      <c r="K28" s="1089" t="str">
        <f t="shared" si="12"/>
        <v/>
      </c>
      <c r="L28" s="1089">
        <f t="shared" si="13"/>
        <v>0</v>
      </c>
      <c r="M28" s="1090">
        <f>IF(NOW()&gt;=DATE(YEAR(G$2),MONTH(G$2)+1,DAY(G$2)),SUMIFS(AC_SOTIEN,AC_DA,$B28,AC_THANG,G$2,AC_KM,$D28),SUMIFS(TF_SOTIEN,TF_DA,$B28,TF_THANG,G$2,TF_KM,$D28))/ 1000</f>
        <v>0</v>
      </c>
      <c r="N28" s="1089" t="str">
        <f t="shared" si="14"/>
        <v/>
      </c>
      <c r="O28" s="1089">
        <f t="shared" si="15"/>
        <v>0</v>
      </c>
      <c r="P28" s="1090">
        <f t="shared" si="7"/>
        <v>0</v>
      </c>
      <c r="Q28" s="1091" t="str">
        <f t="shared" si="1"/>
        <v/>
      </c>
      <c r="R28" s="1090">
        <f t="shared" si="8"/>
        <v>0</v>
      </c>
      <c r="S28" s="1091" t="str">
        <f t="shared" si="2"/>
        <v/>
      </c>
    </row>
    <row r="29" outlineLevel="1">
      <c r="A29" s="1086">
        <f t="shared" si="9"/>
        <v>10</v>
      </c>
      <c r="B29" s="656" t="s">
        <v>530</v>
      </c>
      <c r="C29" s="1087" t="str">
        <f>IF(B29="","",VLOOKUP(B29,DM_DUAN,2,0))</f>
        <v>Nhà vườn sinh thái</v>
      </c>
      <c r="D29" s="1087" t="s">
        <v>187</v>
      </c>
      <c r="E29" s="1087"/>
      <c r="F29" s="1086">
        <v>2.0</v>
      </c>
      <c r="G29" s="1088">
        <f>SUMIFS(BP_SOTIEN,BP_DA,$B29,BP_KM,$D29,BP_THANG,$G$2)/1000</f>
        <v>0</v>
      </c>
      <c r="H29" s="1089" t="str">
        <f t="shared" si="10"/>
        <v/>
      </c>
      <c r="I29" s="1089">
        <f t="shared" si="11"/>
        <v>0</v>
      </c>
      <c r="J29" s="1090">
        <f>IF(NOW()&gt;=DATE(YEAR(G$2),MONTH(G$2)+1,DAY(G$2)),SUMIFS(TF_SOTIEN,TF_DA,$B29,TF_THANG,G$2,TF_KM,$D29)/1000, M29)</f>
        <v>0</v>
      </c>
      <c r="K29" s="1089" t="str">
        <f t="shared" si="12"/>
        <v/>
      </c>
      <c r="L29" s="1089">
        <f t="shared" si="13"/>
        <v>0</v>
      </c>
      <c r="M29" s="1090">
        <f>IF(NOW()&gt;=DATE(YEAR(G$2),MONTH(G$2)+1,DAY(G$2)),SUMIFS(AC_SOTIEN,AC_DA,$B29,AC_THANG,G$2,AC_KM,$D29),SUMIFS(TF_SOTIEN,TF_DA,$B29,TF_THANG,G$2,TF_KM,$D29))/ 1000</f>
        <v>0</v>
      </c>
      <c r="N29" s="1089" t="str">
        <f t="shared" si="14"/>
        <v/>
      </c>
      <c r="O29" s="1089">
        <f t="shared" si="15"/>
        <v>0</v>
      </c>
      <c r="P29" s="1090">
        <f t="shared" si="7"/>
        <v>0</v>
      </c>
      <c r="Q29" s="1091" t="str">
        <f t="shared" si="1"/>
        <v/>
      </c>
      <c r="R29" s="1090">
        <f t="shared" si="8"/>
        <v>0</v>
      </c>
      <c r="S29" s="1091" t="str">
        <f t="shared" si="2"/>
        <v/>
      </c>
    </row>
    <row r="30">
      <c r="A30" s="1086">
        <f t="shared" si="9"/>
        <v>11</v>
      </c>
      <c r="B30" s="1087" t="s">
        <v>175</v>
      </c>
      <c r="C30" s="1087" t="str">
        <f>IF(B30="","",VLOOKUP(B30,DM_DUAN,2,0))</f>
        <v>Phước hội Hồ Tràm</v>
      </c>
      <c r="D30" s="1087" t="s">
        <v>187</v>
      </c>
      <c r="E30" s="1087"/>
      <c r="F30" s="1086">
        <v>2.0</v>
      </c>
      <c r="G30" s="1088">
        <f>SUMIFS(BP_SOTIEN,BP_DA,$B30,BP_KM,$D30,BP_THANG,$G$2)/1000</f>
        <v>1600000</v>
      </c>
      <c r="H30" s="1089">
        <f t="shared" si="10"/>
        <v>0.12</v>
      </c>
      <c r="I30" s="1089">
        <f t="shared" si="11"/>
        <v>0.4</v>
      </c>
      <c r="J30" s="1090">
        <f>IF(NOW()&gt;=DATE(YEAR(G$2),MONTH(G$2)+1,DAY(G$2)),SUMIFS(TF_SOTIEN,TF_DA,$B30,TF_THANG,G$2,TF_KM,$D30)/1000, M30)</f>
        <v>0</v>
      </c>
      <c r="K30" s="1089" t="str">
        <f t="shared" si="12"/>
        <v/>
      </c>
      <c r="L30" s="1089">
        <f t="shared" si="13"/>
        <v>0</v>
      </c>
      <c r="M30" s="1090">
        <f>IF(NOW()&gt;=DATE(YEAR(G$2),MONTH(G$2)+1,DAY(G$2)),SUMIFS(AC_SOTIEN,AC_DA,$B30,AC_THANG,G$2,AC_KM,$D30),SUMIFS(TF_SOTIEN,TF_DA,$B30,TF_THANG,G$2,TF_KM,$D30))/ 1000</f>
        <v>0</v>
      </c>
      <c r="N30" s="1089" t="str">
        <f t="shared" si="14"/>
        <v/>
      </c>
      <c r="O30" s="1089">
        <f t="shared" si="15"/>
        <v>0</v>
      </c>
      <c r="P30" s="1090">
        <f t="shared" si="7"/>
        <v>-1600000</v>
      </c>
      <c r="Q30" s="1091">
        <f t="shared" si="1"/>
        <v>-1</v>
      </c>
      <c r="R30" s="1090">
        <f t="shared" si="8"/>
        <v>0</v>
      </c>
      <c r="S30" s="1091" t="str">
        <f t="shared" si="2"/>
        <v/>
      </c>
    </row>
    <row r="31" hidden="1">
      <c r="A31" s="1086">
        <f t="shared" si="9"/>
        <v>12</v>
      </c>
      <c r="B31" s="656" t="s">
        <v>875</v>
      </c>
      <c r="C31" s="1087" t="str">
        <f>IF(B31="","",VLOOKUP(B31,DM_DUAN,2,0))</f>
        <v>Sản phẩm Long Khánh 2</v>
      </c>
      <c r="D31" s="1087" t="s">
        <v>187</v>
      </c>
      <c r="E31" s="1087"/>
      <c r="F31" s="1086">
        <v>2.0</v>
      </c>
      <c r="G31" s="1088">
        <f>SUMIFS(BP_SOTIEN,BP_DA,$B31,BP_KM,$D31,BP_THANG,$G$2)/1000</f>
        <v>0</v>
      </c>
      <c r="H31" s="1089" t="str">
        <f t="shared" si="10"/>
        <v/>
      </c>
      <c r="I31" s="1089">
        <f t="shared" si="11"/>
        <v>0</v>
      </c>
      <c r="J31" s="1090">
        <f>IF(NOW()&gt;=DATE(YEAR(G$2),MONTH(G$2)+1,DAY(G$2)),SUMIFS(TF_SOTIEN,TF_DA,$B31,TF_THANG,G$2,TF_KM,$D31)/1000, M31)</f>
        <v>0</v>
      </c>
      <c r="K31" s="1089" t="str">
        <f t="shared" si="12"/>
        <v/>
      </c>
      <c r="L31" s="1089">
        <f t="shared" si="13"/>
        <v>0</v>
      </c>
      <c r="M31" s="1090">
        <f>IF(NOW()&gt;=DATE(YEAR(G$2),MONTH(G$2)+1,DAY(G$2)),SUMIFS(AC_SOTIEN,AC_DA,$B31,AC_THANG,G$2,AC_KM,$D31),SUMIFS(TF_SOTIEN,TF_DA,$B31,TF_THANG,G$2,TF_KM,$D31))/ 1000</f>
        <v>0</v>
      </c>
      <c r="N31" s="1089" t="str">
        <f t="shared" si="14"/>
        <v/>
      </c>
      <c r="O31" s="1089">
        <f t="shared" si="15"/>
        <v>0</v>
      </c>
      <c r="P31" s="1090">
        <f t="shared" si="7"/>
        <v>0</v>
      </c>
      <c r="Q31" s="1091" t="str">
        <f t="shared" si="1"/>
        <v/>
      </c>
      <c r="R31" s="1090">
        <f t="shared" si="8"/>
        <v>0</v>
      </c>
      <c r="S31" s="1091" t="str">
        <f t="shared" si="2"/>
        <v/>
      </c>
    </row>
    <row r="32">
      <c r="A32" s="1086">
        <f t="shared" si="9"/>
        <v>13</v>
      </c>
      <c r="B32" s="656" t="s">
        <v>636</v>
      </c>
      <c r="C32" s="1087" t="str">
        <f>IF(B32="","",VLOOKUP(B32,DM_DUAN,2,0))</f>
        <v>Sản phẩm Long Khánh 3</v>
      </c>
      <c r="D32" s="1087" t="s">
        <v>187</v>
      </c>
      <c r="E32" s="1087"/>
      <c r="F32" s="1086">
        <v>2.0</v>
      </c>
      <c r="G32" s="1088">
        <f>SUMIFS(BP_SOTIEN,BP_DA,$B32,BP_KM,$D32,BP_THANG,$G$2)/1000</f>
        <v>0</v>
      </c>
      <c r="H32" s="1089" t="str">
        <f t="shared" si="10"/>
        <v/>
      </c>
      <c r="I32" s="1089">
        <f t="shared" si="11"/>
        <v>0</v>
      </c>
      <c r="J32" s="1090">
        <f>IF(NOW()&gt;=DATE(YEAR(G$2),MONTH(G$2)+1,DAY(G$2)),SUMIFS(TF_SOTIEN,TF_DA,$B32,TF_THANG,G$2,TF_KM,$D32)/1000, M32)</f>
        <v>0</v>
      </c>
      <c r="K32" s="1089" t="str">
        <f t="shared" si="12"/>
        <v/>
      </c>
      <c r="L32" s="1089">
        <f t="shared" si="13"/>
        <v>0</v>
      </c>
      <c r="M32" s="1090">
        <f>IF(NOW()&gt;=DATE(YEAR(G$2),MONTH(G$2)+1,DAY(G$2)),SUMIFS(AC_SOTIEN,AC_DA,$B32,AC_THANG,G$2,AC_KM,$D32),SUMIFS(TF_SOTIEN,TF_DA,$B32,TF_THANG,G$2,TF_KM,$D32))/ 1000</f>
        <v>0</v>
      </c>
      <c r="N32" s="1089" t="str">
        <f t="shared" si="14"/>
        <v/>
      </c>
      <c r="O32" s="1089">
        <f t="shared" si="15"/>
        <v>0</v>
      </c>
      <c r="P32" s="1090">
        <f t="shared" si="7"/>
        <v>0</v>
      </c>
      <c r="Q32" s="1091" t="str">
        <f t="shared" si="1"/>
        <v/>
      </c>
      <c r="R32" s="1090">
        <f t="shared" si="8"/>
        <v>0</v>
      </c>
      <c r="S32" s="1091" t="str">
        <f t="shared" si="2"/>
        <v/>
      </c>
    </row>
    <row r="33" hidden="1">
      <c r="A33" s="1086">
        <f t="shared" si="9"/>
        <v>14</v>
      </c>
      <c r="B33" s="656" t="s">
        <v>956</v>
      </c>
      <c r="C33" s="1087" t="str">
        <f>IF(B33="","",VLOOKUP(B33,DM_DUAN,2,0))</f>
        <v>KDC Lộc Ngãi</v>
      </c>
      <c r="D33" s="1087" t="s">
        <v>187</v>
      </c>
      <c r="E33" s="1087"/>
      <c r="F33" s="1086">
        <v>2.0</v>
      </c>
      <c r="G33" s="1088">
        <f>SUMIFS(BP_SOTIEN,BP_DA,$B33,BP_KM,$D33,BP_THANG,$G$2)/1000</f>
        <v>0</v>
      </c>
      <c r="H33" s="1089" t="str">
        <f t="shared" si="10"/>
        <v/>
      </c>
      <c r="I33" s="1089">
        <f t="shared" si="11"/>
        <v>0</v>
      </c>
      <c r="J33" s="1090">
        <f>IF(NOW()&gt;=DATE(YEAR(G$2),MONTH(G$2)+1,DAY(G$2)),SUMIFS(TF_SOTIEN,TF_DA,$B33,TF_THANG,G$2,TF_KM,$D33)/1000, M33)</f>
        <v>1494456.48</v>
      </c>
      <c r="K33" s="1089">
        <f t="shared" si="12"/>
        <v>0.1246959466</v>
      </c>
      <c r="L33" s="1089">
        <f t="shared" si="13"/>
        <v>1</v>
      </c>
      <c r="M33" s="1090">
        <f>IF(NOW()&gt;=DATE(YEAR(G$2),MONTH(G$2)+1,DAY(G$2)),SUMIFS(AC_SOTIEN,AC_DA,$B33,AC_THANG,G$2,AC_KM,$D33),SUMIFS(TF_SOTIEN,TF_DA,$B33,TF_THANG,G$2,TF_KM,$D33))/ 1000</f>
        <v>555572</v>
      </c>
      <c r="N33" s="1089">
        <f t="shared" si="14"/>
        <v>0.1438150708</v>
      </c>
      <c r="O33" s="1089">
        <f t="shared" si="15"/>
        <v>1</v>
      </c>
      <c r="P33" s="1090">
        <f t="shared" si="7"/>
        <v>555572</v>
      </c>
      <c r="Q33" s="1091" t="str">
        <f t="shared" si="1"/>
        <v/>
      </c>
      <c r="R33" s="1090">
        <f t="shared" si="8"/>
        <v>-938884.48</v>
      </c>
      <c r="S33" s="1091">
        <f t="shared" si="2"/>
        <v>-0.6282447783</v>
      </c>
    </row>
    <row r="34" collapsed="1">
      <c r="A34" s="1762" t="s">
        <v>2823</v>
      </c>
      <c r="B34" s="1763"/>
      <c r="C34" s="1763"/>
      <c r="D34" s="1763"/>
      <c r="E34" s="1763"/>
      <c r="F34" s="1763"/>
      <c r="G34" s="1764">
        <f>SUM(G35:G48)</f>
        <v>0</v>
      </c>
      <c r="H34" s="1765">
        <f t="shared" ref="H34:H121" si="16">IFERROR(G34/G$19,"")</f>
        <v>0</v>
      </c>
      <c r="I34" s="3"/>
      <c r="J34" s="1764">
        <f>SUM(J35:J48)</f>
        <v>0</v>
      </c>
      <c r="K34" s="1765">
        <f t="shared" ref="K34:K121" si="17">IFERROR(J34/J$19,"")</f>
        <v>0</v>
      </c>
      <c r="L34" s="3"/>
      <c r="M34" s="1764">
        <f>SUM(M35:M48)</f>
        <v>0</v>
      </c>
      <c r="N34" s="1765">
        <f t="shared" ref="N34:N121" si="18">IFERROR(M34/M$19,"")</f>
        <v>0</v>
      </c>
      <c r="O34" s="3"/>
      <c r="P34" s="1766">
        <f t="shared" si="7"/>
        <v>0</v>
      </c>
      <c r="Q34" s="1767" t="str">
        <f t="shared" si="1"/>
        <v/>
      </c>
      <c r="R34" s="1766">
        <f t="shared" si="8"/>
        <v>0</v>
      </c>
      <c r="S34" s="1767" t="str">
        <f t="shared" si="2"/>
        <v/>
      </c>
    </row>
    <row r="35" hidden="1" outlineLevel="1">
      <c r="A35" s="1086">
        <f t="shared" ref="A35:A48" si="19">IF(B35="","",COUNTA(B$35:B35))</f>
        <v>1</v>
      </c>
      <c r="B35" s="1087" t="s">
        <v>215</v>
      </c>
      <c r="C35" s="1087" t="str">
        <f>IF(B35="","",VLOOKUP(B35,DM_DUAN,2,0))</f>
        <v>Phước Đông Garden</v>
      </c>
      <c r="D35" s="1087" t="s">
        <v>2239</v>
      </c>
      <c r="E35" s="1087"/>
      <c r="F35" s="1086">
        <v>2.0</v>
      </c>
      <c r="G35" s="1088">
        <f>SUMIFS(BP_SOTIEN,BP_DA,$B35,BP_KM,$D35,BP_THANG,$G$2)/1000</f>
        <v>0</v>
      </c>
      <c r="H35" s="1089">
        <f t="shared" si="16"/>
        <v>0</v>
      </c>
      <c r="I35" s="1089" t="str">
        <f t="shared" ref="I35:I48" si="20">IFERROR(G35/G$34,"")</f>
        <v/>
      </c>
      <c r="J35" s="1090">
        <f>IF(NOW()&gt;=DATE(YEAR(G$2),MONTH(G$2)+1,DAY(G$2)),SUMIFS(TF_SOTIEN,TF_DA,$B35,TF_THANG,G$2,TF_KM,$D35)/1000, M35)</f>
        <v>0</v>
      </c>
      <c r="K35" s="1089">
        <f t="shared" si="17"/>
        <v>0</v>
      </c>
      <c r="L35" s="1089" t="str">
        <f t="shared" ref="L35:L48" si="21">IFERROR(J35/J$34,"")</f>
        <v/>
      </c>
      <c r="M35" s="1090">
        <f>IF(NOW()&gt;=DATE(YEAR(G$2),MONTH(G$2)+1,DAY(G$2)),SUMIFS(AC_SOTIEN,AC_DA,$B35,AC_THANG,G$2,AC_KM,$D35),SUMIFS(TF_SOTIEN,TF_DA,$B35,TF_THANG,G$2,TF_KM,$D35))/ 1000</f>
        <v>0</v>
      </c>
      <c r="N35" s="1089">
        <f t="shared" si="18"/>
        <v>0</v>
      </c>
      <c r="O35" s="1089" t="str">
        <f t="shared" ref="O35:O48" si="22">IFERROR(M35/M$34,"")</f>
        <v/>
      </c>
      <c r="P35" s="1090">
        <f t="shared" si="7"/>
        <v>0</v>
      </c>
      <c r="Q35" s="1091" t="str">
        <f t="shared" si="1"/>
        <v/>
      </c>
      <c r="R35" s="1090">
        <f t="shared" si="8"/>
        <v>0</v>
      </c>
      <c r="S35" s="1091" t="str">
        <f t="shared" si="2"/>
        <v/>
      </c>
    </row>
    <row r="36" hidden="1" outlineLevel="1">
      <c r="A36" s="1086">
        <f t="shared" si="19"/>
        <v>2</v>
      </c>
      <c r="B36" s="1087" t="s">
        <v>404</v>
      </c>
      <c r="C36" s="1087" t="str">
        <f>IF(B36="","",VLOOKUP(B36,DM_DUAN,2,0))</f>
        <v>Hamil ton Garden</v>
      </c>
      <c r="D36" s="1087" t="s">
        <v>2239</v>
      </c>
      <c r="E36" s="1087"/>
      <c r="F36" s="1086">
        <v>2.0</v>
      </c>
      <c r="G36" s="1088">
        <f>SUMIFS(BP_SOTIEN,BP_DA,$B36,BP_KM,$D36,BP_THANG,$G$2)/1000</f>
        <v>0</v>
      </c>
      <c r="H36" s="1089">
        <f t="shared" si="16"/>
        <v>0</v>
      </c>
      <c r="I36" s="1089" t="str">
        <f t="shared" si="20"/>
        <v/>
      </c>
      <c r="J36" s="1090">
        <f>IF(NOW()&gt;=DATE(YEAR(G$2),MONTH(G$2)+1,DAY(G$2)),SUMIFS(TF_SOTIEN,TF_DA,$B36,TF_THANG,G$2,TF_KM,$D36)/1000, M36)</f>
        <v>0</v>
      </c>
      <c r="K36" s="1089">
        <f t="shared" si="17"/>
        <v>0</v>
      </c>
      <c r="L36" s="1089" t="str">
        <f t="shared" si="21"/>
        <v/>
      </c>
      <c r="M36" s="1090">
        <f>IF(NOW()&gt;=DATE(YEAR(G$2),MONTH(G$2)+1,DAY(G$2)),SUMIFS(AC_SOTIEN,AC_DA,$B36,AC_THANG,G$2,AC_KM,$D36),SUMIFS(TF_SOTIEN,TF_DA,$B36,TF_THANG,G$2,TF_KM,$D36))/ 1000</f>
        <v>0</v>
      </c>
      <c r="N36" s="1089">
        <f t="shared" si="18"/>
        <v>0</v>
      </c>
      <c r="O36" s="1089" t="str">
        <f t="shared" si="22"/>
        <v/>
      </c>
      <c r="P36" s="1090">
        <f t="shared" si="7"/>
        <v>0</v>
      </c>
      <c r="Q36" s="1091" t="str">
        <f t="shared" si="1"/>
        <v/>
      </c>
      <c r="R36" s="1090">
        <f t="shared" si="8"/>
        <v>0</v>
      </c>
      <c r="S36" s="1091" t="str">
        <f t="shared" si="2"/>
        <v/>
      </c>
    </row>
    <row r="37" hidden="1" outlineLevel="1">
      <c r="A37" s="1086">
        <f t="shared" si="19"/>
        <v>3</v>
      </c>
      <c r="B37" s="1087" t="s">
        <v>533</v>
      </c>
      <c r="C37" s="1087" t="str">
        <f>IF(B37="","",VLOOKUP(B37,DM_DUAN,2,0))</f>
        <v>The sol city</v>
      </c>
      <c r="D37" s="1087" t="s">
        <v>2239</v>
      </c>
      <c r="E37" s="1087"/>
      <c r="F37" s="1086">
        <v>2.0</v>
      </c>
      <c r="G37" s="1088">
        <f>SUMIFS(BP_SOTIEN,BP_DA,$B37,BP_KM,$D37,BP_THANG,$G$2)/1000</f>
        <v>0</v>
      </c>
      <c r="H37" s="1089">
        <f t="shared" si="16"/>
        <v>0</v>
      </c>
      <c r="I37" s="1089" t="str">
        <f t="shared" si="20"/>
        <v/>
      </c>
      <c r="J37" s="1090">
        <f>IF(NOW()&gt;=DATE(YEAR(G$2),MONTH(G$2)+1,DAY(G$2)),SUMIFS(TF_SOTIEN,TF_DA,$B37,TF_THANG,G$2,TF_KM,$D37)/1000, M37)</f>
        <v>0</v>
      </c>
      <c r="K37" s="1089">
        <f t="shared" si="17"/>
        <v>0</v>
      </c>
      <c r="L37" s="1089" t="str">
        <f t="shared" si="21"/>
        <v/>
      </c>
      <c r="M37" s="1090">
        <f>IF(NOW()&gt;=DATE(YEAR(G$2),MONTH(G$2)+1,DAY(G$2)),SUMIFS(AC_SOTIEN,AC_DA,$B37,AC_THANG,G$2,AC_KM,$D37),SUMIFS(TF_SOTIEN,TF_DA,$B37,TF_THANG,G$2,TF_KM,$D37))/ 1000</f>
        <v>0</v>
      </c>
      <c r="N37" s="1089">
        <f t="shared" si="18"/>
        <v>0</v>
      </c>
      <c r="O37" s="1089" t="str">
        <f t="shared" si="22"/>
        <v/>
      </c>
      <c r="P37" s="1090">
        <f t="shared" si="7"/>
        <v>0</v>
      </c>
      <c r="Q37" s="1091" t="str">
        <f t="shared" si="1"/>
        <v/>
      </c>
      <c r="R37" s="1090">
        <f t="shared" si="8"/>
        <v>0</v>
      </c>
      <c r="S37" s="1091" t="str">
        <f t="shared" si="2"/>
        <v/>
      </c>
    </row>
    <row r="38" hidden="1" outlineLevel="1">
      <c r="A38" s="1086">
        <f t="shared" si="19"/>
        <v>4</v>
      </c>
      <c r="B38" s="1087" t="s">
        <v>175</v>
      </c>
      <c r="C38" s="1087" t="str">
        <f>IF(B38="","",VLOOKUP(B38,DM_DUAN,2,0))</f>
        <v>Phước hội Hồ Tràm</v>
      </c>
      <c r="D38" s="1087" t="s">
        <v>2239</v>
      </c>
      <c r="E38" s="1087"/>
      <c r="F38" s="1086">
        <v>2.0</v>
      </c>
      <c r="G38" s="1088">
        <f>SUMIFS(BP_SOTIEN,BP_DA,$B38,BP_KM,$D38,BP_THANG,$G$2)/1000</f>
        <v>0</v>
      </c>
      <c r="H38" s="1089">
        <f t="shared" si="16"/>
        <v>0</v>
      </c>
      <c r="I38" s="1089" t="str">
        <f t="shared" si="20"/>
        <v/>
      </c>
      <c r="J38" s="1090">
        <f>IF(NOW()&gt;=DATE(YEAR(G$2),MONTH(G$2)+1,DAY(G$2)),SUMIFS(TF_SOTIEN,TF_DA,$B38,TF_THANG,G$2,TF_KM,$D38)/1000, M38)</f>
        <v>0</v>
      </c>
      <c r="K38" s="1089">
        <f t="shared" si="17"/>
        <v>0</v>
      </c>
      <c r="L38" s="1089" t="str">
        <f t="shared" si="21"/>
        <v/>
      </c>
      <c r="M38" s="1090">
        <f>IF(NOW()&gt;=DATE(YEAR(G$2),MONTH(G$2)+1,DAY(G$2)),SUMIFS(AC_SOTIEN,AC_DA,$B38,AC_THANG,G$2,AC_KM,$D38),SUMIFS(TF_SOTIEN,TF_DA,$B38,TF_THANG,G$2,TF_KM,$D38))/ 1000</f>
        <v>0</v>
      </c>
      <c r="N38" s="1089">
        <f t="shared" si="18"/>
        <v>0</v>
      </c>
      <c r="O38" s="1089" t="str">
        <f t="shared" si="22"/>
        <v/>
      </c>
      <c r="P38" s="1090">
        <f t="shared" si="7"/>
        <v>0</v>
      </c>
      <c r="Q38" s="1091" t="str">
        <f t="shared" si="1"/>
        <v/>
      </c>
      <c r="R38" s="1090">
        <f t="shared" si="8"/>
        <v>0</v>
      </c>
      <c r="S38" s="1091" t="str">
        <f t="shared" si="2"/>
        <v/>
      </c>
    </row>
    <row r="39" hidden="1" outlineLevel="1">
      <c r="A39" s="1086">
        <f t="shared" si="19"/>
        <v>5</v>
      </c>
      <c r="B39" s="1087" t="s">
        <v>2067</v>
      </c>
      <c r="C39" s="1087" t="str">
        <f>IF(B39="","",VLOOKUP(B39,DM_DUAN,2,0))</f>
        <v>NAM PHONG</v>
      </c>
      <c r="D39" s="1087" t="s">
        <v>2239</v>
      </c>
      <c r="E39" s="1087"/>
      <c r="F39" s="1086">
        <v>2.0</v>
      </c>
      <c r="G39" s="1088">
        <f>SUMIFS(BP_SOTIEN,BP_DA,$B39,BP_KM,$D39,BP_THANG,$G$2)/1000</f>
        <v>0</v>
      </c>
      <c r="H39" s="1089">
        <f t="shared" si="16"/>
        <v>0</v>
      </c>
      <c r="I39" s="1089" t="str">
        <f t="shared" si="20"/>
        <v/>
      </c>
      <c r="J39" s="1090">
        <f>IF(NOW()&gt;=DATE(YEAR(G$2),MONTH(G$2)+1,DAY(G$2)),SUMIFS(TF_SOTIEN,TF_DA,$B39,TF_THANG,G$2,TF_KM,$D39)/1000, M39)</f>
        <v>0</v>
      </c>
      <c r="K39" s="1089">
        <f t="shared" si="17"/>
        <v>0</v>
      </c>
      <c r="L39" s="1089" t="str">
        <f t="shared" si="21"/>
        <v/>
      </c>
      <c r="M39" s="1090">
        <f>IF(NOW()&gt;=DATE(YEAR(G$2),MONTH(G$2)+1,DAY(G$2)),SUMIFS(AC_SOTIEN,AC_DA,$B39,AC_THANG,G$2,AC_KM,$D39),SUMIFS(TF_SOTIEN,TF_DA,$B39,TF_THANG,G$2,TF_KM,$D39))/ 1000</f>
        <v>0</v>
      </c>
      <c r="N39" s="1089">
        <f t="shared" si="18"/>
        <v>0</v>
      </c>
      <c r="O39" s="1089" t="str">
        <f t="shared" si="22"/>
        <v/>
      </c>
      <c r="P39" s="1090">
        <f t="shared" si="7"/>
        <v>0</v>
      </c>
      <c r="Q39" s="1091" t="str">
        <f t="shared" si="1"/>
        <v/>
      </c>
      <c r="R39" s="1090">
        <f t="shared" si="8"/>
        <v>0</v>
      </c>
      <c r="S39" s="1091" t="str">
        <f t="shared" si="2"/>
        <v/>
      </c>
    </row>
    <row r="40" hidden="1" outlineLevel="1">
      <c r="A40" s="1086">
        <f t="shared" si="19"/>
        <v>6</v>
      </c>
      <c r="B40" s="656" t="s">
        <v>638</v>
      </c>
      <c r="C40" s="1087" t="str">
        <f>IF(B40="","",VLOOKUP(B40,DM_DUAN,2,0))</f>
        <v>Sản phẩm Phước Vinh</v>
      </c>
      <c r="D40" s="1087" t="s">
        <v>2239</v>
      </c>
      <c r="E40" s="1087"/>
      <c r="F40" s="1086">
        <v>2.0</v>
      </c>
      <c r="G40" s="1088">
        <f>SUMIFS(BP_SOTIEN,BP_DA,$B40,BP_KM,$D40,BP_THANG,$G$2)/1000</f>
        <v>0</v>
      </c>
      <c r="H40" s="1089">
        <f t="shared" si="16"/>
        <v>0</v>
      </c>
      <c r="I40" s="1089" t="str">
        <f t="shared" si="20"/>
        <v/>
      </c>
      <c r="J40" s="1090">
        <f>IF(NOW()&gt;=DATE(YEAR(G$2),MONTH(G$2)+1,DAY(G$2)),SUMIFS(TF_SOTIEN,TF_DA,$B40,TF_THANG,G$2,TF_KM,$D40)/1000, M40)</f>
        <v>0</v>
      </c>
      <c r="K40" s="1089">
        <f t="shared" si="17"/>
        <v>0</v>
      </c>
      <c r="L40" s="1089" t="str">
        <f t="shared" si="21"/>
        <v/>
      </c>
      <c r="M40" s="1090">
        <f>IF(NOW()&gt;=DATE(YEAR(G$2),MONTH(G$2)+1,DAY(G$2)),SUMIFS(AC_SOTIEN,AC_DA,$B40,AC_THANG,G$2,AC_KM,$D40),SUMIFS(TF_SOTIEN,TF_DA,$B40,TF_THANG,G$2,TF_KM,$D40))/ 1000</f>
        <v>0</v>
      </c>
      <c r="N40" s="1089">
        <f t="shared" si="18"/>
        <v>0</v>
      </c>
      <c r="O40" s="1089" t="str">
        <f t="shared" si="22"/>
        <v/>
      </c>
      <c r="P40" s="1090">
        <f t="shared" si="7"/>
        <v>0</v>
      </c>
      <c r="Q40" s="1091" t="str">
        <f t="shared" si="1"/>
        <v/>
      </c>
      <c r="R40" s="1090">
        <f t="shared" si="8"/>
        <v>0</v>
      </c>
      <c r="S40" s="1091" t="str">
        <f t="shared" si="2"/>
        <v/>
      </c>
    </row>
    <row r="41" hidden="1" outlineLevel="1">
      <c r="A41" s="1086">
        <f t="shared" si="19"/>
        <v>7</v>
      </c>
      <c r="B41" s="1087" t="s">
        <v>2070</v>
      </c>
      <c r="C41" s="1087" t="str">
        <f>IF(B41="","",VLOOKUP(B41,DM_DUAN,2,0))</f>
        <v>KHANG VƯỢNG</v>
      </c>
      <c r="D41" s="1087" t="s">
        <v>2239</v>
      </c>
      <c r="E41" s="1087"/>
      <c r="F41" s="1086">
        <v>2.0</v>
      </c>
      <c r="G41" s="1088">
        <f>SUMIFS(BP_SOTIEN,BP_DA,$B41,BP_KM,$D41,BP_THANG,$G$2)/1000</f>
        <v>0</v>
      </c>
      <c r="H41" s="1089">
        <f t="shared" si="16"/>
        <v>0</v>
      </c>
      <c r="I41" s="1089" t="str">
        <f t="shared" si="20"/>
        <v/>
      </c>
      <c r="J41" s="1090">
        <f>IF(NOW()&gt;=DATE(YEAR(G$2),MONTH(G$2)+1,DAY(G$2)),SUMIFS(TF_SOTIEN,TF_DA,$B41,TF_THANG,G$2,TF_KM,$D41)/1000, M41)</f>
        <v>0</v>
      </c>
      <c r="K41" s="1089">
        <f t="shared" si="17"/>
        <v>0</v>
      </c>
      <c r="L41" s="1089" t="str">
        <f t="shared" si="21"/>
        <v/>
      </c>
      <c r="M41" s="1090">
        <f>IF(NOW()&gt;=DATE(YEAR(G$2),MONTH(G$2)+1,DAY(G$2)),SUMIFS(AC_SOTIEN,AC_DA,$B41,AC_THANG,G$2,AC_KM,$D41),SUMIFS(TF_SOTIEN,TF_DA,$B41,TF_THANG,G$2,TF_KM,$D41))/ 1000</f>
        <v>0</v>
      </c>
      <c r="N41" s="1089">
        <f t="shared" si="18"/>
        <v>0</v>
      </c>
      <c r="O41" s="1089" t="str">
        <f t="shared" si="22"/>
        <v/>
      </c>
      <c r="P41" s="1090">
        <f t="shared" si="7"/>
        <v>0</v>
      </c>
      <c r="Q41" s="1091" t="str">
        <f t="shared" si="1"/>
        <v/>
      </c>
      <c r="R41" s="1090">
        <f t="shared" si="8"/>
        <v>0</v>
      </c>
      <c r="S41" s="1091" t="str">
        <f t="shared" si="2"/>
        <v/>
      </c>
    </row>
    <row r="42" hidden="1" outlineLevel="1">
      <c r="A42" s="1086">
        <f t="shared" si="19"/>
        <v>8</v>
      </c>
      <c r="B42" s="1087" t="s">
        <v>2072</v>
      </c>
      <c r="C42" s="1087" t="str">
        <f>IF(B42="","",VLOOKUP(B42,DM_DUAN,2,0))</f>
        <v>TRẦN ANH GROUP</v>
      </c>
      <c r="D42" s="1087" t="s">
        <v>2239</v>
      </c>
      <c r="E42" s="1087"/>
      <c r="F42" s="1086">
        <v>2.0</v>
      </c>
      <c r="G42" s="1088">
        <f>SUMIFS(BP_SOTIEN,BP_DA,$B42,BP_KM,$D42,BP_THANG,$G$2)/1000</f>
        <v>0</v>
      </c>
      <c r="H42" s="1089">
        <f t="shared" si="16"/>
        <v>0</v>
      </c>
      <c r="I42" s="1089" t="str">
        <f t="shared" si="20"/>
        <v/>
      </c>
      <c r="J42" s="1090">
        <f>IF(NOW()&gt;=DATE(YEAR(G$2),MONTH(G$2)+1,DAY(G$2)),SUMIFS(TF_SOTIEN,TF_DA,$B42,TF_THANG,G$2,TF_KM,$D42)/1000, M42)</f>
        <v>0</v>
      </c>
      <c r="K42" s="1089">
        <f t="shared" si="17"/>
        <v>0</v>
      </c>
      <c r="L42" s="1089" t="str">
        <f t="shared" si="21"/>
        <v/>
      </c>
      <c r="M42" s="1090">
        <f>IF(NOW()&gt;=DATE(YEAR(G$2),MONTH(G$2)+1,DAY(G$2)),SUMIFS(AC_SOTIEN,AC_DA,$B42,AC_THANG,G$2,AC_KM,$D42),SUMIFS(TF_SOTIEN,TF_DA,$B42,TF_THANG,G$2,TF_KM,$D42))/ 1000</f>
        <v>0</v>
      </c>
      <c r="N42" s="1089">
        <f t="shared" si="18"/>
        <v>0</v>
      </c>
      <c r="O42" s="1089" t="str">
        <f t="shared" si="22"/>
        <v/>
      </c>
      <c r="P42" s="1090">
        <f t="shared" si="7"/>
        <v>0</v>
      </c>
      <c r="Q42" s="1091" t="str">
        <f t="shared" si="1"/>
        <v/>
      </c>
      <c r="R42" s="1090">
        <f t="shared" si="8"/>
        <v>0</v>
      </c>
      <c r="S42" s="1091" t="str">
        <f t="shared" si="2"/>
        <v/>
      </c>
    </row>
    <row r="43" hidden="1" outlineLevel="1">
      <c r="A43" s="1086">
        <f t="shared" si="19"/>
        <v>9</v>
      </c>
      <c r="B43" s="1087" t="s">
        <v>2073</v>
      </c>
      <c r="C43" s="1087" t="str">
        <f>IF(B43="","",VLOOKUP(B43,DM_DUAN,2,0))</f>
        <v>PHI TRƯỜNG</v>
      </c>
      <c r="D43" s="1087" t="s">
        <v>2239</v>
      </c>
      <c r="E43" s="1087"/>
      <c r="F43" s="1086">
        <v>2.0</v>
      </c>
      <c r="G43" s="1088">
        <f>SUMIFS(BP_SOTIEN,BP_DA,$B43,BP_KM,$D43,BP_THANG,$G$2)/1000</f>
        <v>0</v>
      </c>
      <c r="H43" s="1089">
        <f t="shared" si="16"/>
        <v>0</v>
      </c>
      <c r="I43" s="1089" t="str">
        <f t="shared" si="20"/>
        <v/>
      </c>
      <c r="J43" s="1090">
        <f>IF(NOW()&gt;=DATE(YEAR(G$2),MONTH(G$2)+1,DAY(G$2)),SUMIFS(TF_SOTIEN,TF_DA,$B43,TF_THANG,G$2,TF_KM,$D43)/1000, M43)</f>
        <v>0</v>
      </c>
      <c r="K43" s="1089">
        <f t="shared" si="17"/>
        <v>0</v>
      </c>
      <c r="L43" s="1089" t="str">
        <f t="shared" si="21"/>
        <v/>
      </c>
      <c r="M43" s="1090">
        <f>IF(NOW()&gt;=DATE(YEAR(G$2),MONTH(G$2)+1,DAY(G$2)),SUMIFS(AC_SOTIEN,AC_DA,$B43,AC_THANG,G$2,AC_KM,$D43),SUMIFS(TF_SOTIEN,TF_DA,$B43,TF_THANG,G$2,TF_KM,$D43))/ 1000</f>
        <v>0</v>
      </c>
      <c r="N43" s="1089">
        <f t="shared" si="18"/>
        <v>0</v>
      </c>
      <c r="O43" s="1089" t="str">
        <f t="shared" si="22"/>
        <v/>
      </c>
      <c r="P43" s="1090">
        <f t="shared" si="7"/>
        <v>0</v>
      </c>
      <c r="Q43" s="1091" t="str">
        <f t="shared" si="1"/>
        <v/>
      </c>
      <c r="R43" s="1090">
        <f t="shared" si="8"/>
        <v>0</v>
      </c>
      <c r="S43" s="1091" t="str">
        <f t="shared" si="2"/>
        <v/>
      </c>
    </row>
    <row r="44" hidden="1" outlineLevel="1">
      <c r="A44" s="1086">
        <f t="shared" si="19"/>
        <v>10</v>
      </c>
      <c r="B44" s="1087" t="s">
        <v>2074</v>
      </c>
      <c r="C44" s="1087" t="str">
        <f>IF(B44="","",VLOOKUP(B44,DM_DUAN,2,0))</f>
        <v>HOÀNG CÁT</v>
      </c>
      <c r="D44" s="1087" t="s">
        <v>2239</v>
      </c>
      <c r="E44" s="1087"/>
      <c r="F44" s="1086">
        <v>2.0</v>
      </c>
      <c r="G44" s="1088">
        <f>SUMIFS(BP_SOTIEN,BP_DA,$B44,BP_KM,$D44,BP_THANG,$G$2)/1000</f>
        <v>0</v>
      </c>
      <c r="H44" s="1089">
        <f t="shared" si="16"/>
        <v>0</v>
      </c>
      <c r="I44" s="1089" t="str">
        <f t="shared" si="20"/>
        <v/>
      </c>
      <c r="J44" s="1090">
        <f>IF(NOW()&gt;=DATE(YEAR(G$2),MONTH(G$2)+1,DAY(G$2)),SUMIFS(TF_SOTIEN,TF_DA,$B44,TF_THANG,G$2,TF_KM,$D44)/1000, M44)</f>
        <v>0</v>
      </c>
      <c r="K44" s="1089">
        <f t="shared" si="17"/>
        <v>0</v>
      </c>
      <c r="L44" s="1089" t="str">
        <f t="shared" si="21"/>
        <v/>
      </c>
      <c r="M44" s="1090">
        <f>IF(NOW()&gt;=DATE(YEAR(G$2),MONTH(G$2)+1,DAY(G$2)),SUMIFS(AC_SOTIEN,AC_DA,$B44,AC_THANG,G$2,AC_KM,$D44),SUMIFS(TF_SOTIEN,TF_DA,$B44,TF_THANG,G$2,TF_KM,$D44))/ 1000</f>
        <v>0</v>
      </c>
      <c r="N44" s="1089">
        <f t="shared" si="18"/>
        <v>0</v>
      </c>
      <c r="O44" s="1089" t="str">
        <f t="shared" si="22"/>
        <v/>
      </c>
      <c r="P44" s="1090">
        <f t="shared" si="7"/>
        <v>0</v>
      </c>
      <c r="Q44" s="1091" t="str">
        <f t="shared" si="1"/>
        <v/>
      </c>
      <c r="R44" s="1090">
        <f t="shared" si="8"/>
        <v>0</v>
      </c>
      <c r="S44" s="1091" t="str">
        <f t="shared" si="2"/>
        <v/>
      </c>
    </row>
    <row r="45" hidden="1" outlineLevel="1">
      <c r="A45" s="1086">
        <f t="shared" si="19"/>
        <v>11</v>
      </c>
      <c r="B45" s="656" t="s">
        <v>530</v>
      </c>
      <c r="C45" s="1087" t="str">
        <f>IF(B45="","",VLOOKUP(B45,DM_DUAN,2,0))</f>
        <v>Nhà vườn sinh thái</v>
      </c>
      <c r="D45" s="1087" t="s">
        <v>2239</v>
      </c>
      <c r="E45" s="1087"/>
      <c r="F45" s="1086">
        <v>2.0</v>
      </c>
      <c r="G45" s="1088">
        <f>SUMIFS(BP_SOTIEN,BP_DA,$B45,BP_KM,$D45,BP_THANG,$G$2)/1000</f>
        <v>0</v>
      </c>
      <c r="H45" s="1089">
        <f t="shared" si="16"/>
        <v>0</v>
      </c>
      <c r="I45" s="1089" t="str">
        <f t="shared" si="20"/>
        <v/>
      </c>
      <c r="J45" s="1090">
        <f>IF(NOW()&gt;=DATE(YEAR(G$2),MONTH(G$2)+1,DAY(G$2)),SUMIFS(TF_SOTIEN,TF_DA,$B45,TF_THANG,G$2,TF_KM,$D45)/1000, M45)</f>
        <v>0</v>
      </c>
      <c r="K45" s="1089">
        <f t="shared" si="17"/>
        <v>0</v>
      </c>
      <c r="L45" s="1089" t="str">
        <f t="shared" si="21"/>
        <v/>
      </c>
      <c r="M45" s="1090">
        <f>IF(NOW()&gt;=DATE(YEAR(G$2),MONTH(G$2)+1,DAY(G$2)),SUMIFS(AC_SOTIEN,AC_DA,$B45,AC_THANG,G$2,AC_KM,$D45),SUMIFS(TF_SOTIEN,TF_DA,$B45,TF_THANG,G$2,TF_KM,$D45))/ 1000</f>
        <v>0</v>
      </c>
      <c r="N45" s="1089">
        <f t="shared" si="18"/>
        <v>0</v>
      </c>
      <c r="O45" s="1089" t="str">
        <f t="shared" si="22"/>
        <v/>
      </c>
      <c r="P45" s="1090">
        <f t="shared" si="7"/>
        <v>0</v>
      </c>
      <c r="Q45" s="1091" t="str">
        <f t="shared" si="1"/>
        <v/>
      </c>
      <c r="R45" s="1090">
        <f t="shared" si="8"/>
        <v>0</v>
      </c>
      <c r="S45" s="1091" t="str">
        <f t="shared" si="2"/>
        <v/>
      </c>
    </row>
    <row r="46" hidden="1" outlineLevel="1">
      <c r="A46" s="1086">
        <f t="shared" si="19"/>
        <v>12</v>
      </c>
      <c r="B46" s="656" t="s">
        <v>875</v>
      </c>
      <c r="C46" s="1087" t="str">
        <f>IF(B46="","",VLOOKUP(B46,DM_DUAN,2,0))</f>
        <v>Sản phẩm Long Khánh 2</v>
      </c>
      <c r="D46" s="1087" t="s">
        <v>2239</v>
      </c>
      <c r="E46" s="1087"/>
      <c r="F46" s="1086">
        <v>2.0</v>
      </c>
      <c r="G46" s="1088">
        <f>SUMIFS(BP_SOTIEN,BP_DA,$B46,BP_KM,$D46,BP_THANG,$G$2)/1000</f>
        <v>0</v>
      </c>
      <c r="H46" s="1089">
        <f t="shared" si="16"/>
        <v>0</v>
      </c>
      <c r="I46" s="1089" t="str">
        <f t="shared" si="20"/>
        <v/>
      </c>
      <c r="J46" s="1090">
        <f>IF(NOW()&gt;=DATE(YEAR(G$2),MONTH(G$2)+1,DAY(G$2)),SUMIFS(TF_SOTIEN,TF_DA,$B46,TF_THANG,G$2,TF_KM,$D46)/1000, M46)</f>
        <v>0</v>
      </c>
      <c r="K46" s="1089">
        <f t="shared" si="17"/>
        <v>0</v>
      </c>
      <c r="L46" s="1089" t="str">
        <f t="shared" si="21"/>
        <v/>
      </c>
      <c r="M46" s="1090">
        <f>IF(NOW()&gt;=DATE(YEAR(G$2),MONTH(G$2)+1,DAY(G$2)),SUMIFS(AC_SOTIEN,AC_DA,$B46,AC_THANG,G$2,AC_KM,$D46),SUMIFS(TF_SOTIEN,TF_DA,$B46,TF_THANG,G$2,TF_KM,$D46))/ 1000</f>
        <v>0</v>
      </c>
      <c r="N46" s="1089">
        <f t="shared" si="18"/>
        <v>0</v>
      </c>
      <c r="O46" s="1089" t="str">
        <f t="shared" si="22"/>
        <v/>
      </c>
      <c r="P46" s="1090">
        <f t="shared" si="7"/>
        <v>0</v>
      </c>
      <c r="Q46" s="1091" t="str">
        <f t="shared" si="1"/>
        <v/>
      </c>
      <c r="R46" s="1090">
        <f t="shared" si="8"/>
        <v>0</v>
      </c>
      <c r="S46" s="1091" t="str">
        <f t="shared" si="2"/>
        <v/>
      </c>
    </row>
    <row r="47" hidden="1" outlineLevel="1">
      <c r="A47" s="1086">
        <f t="shared" si="19"/>
        <v>13</v>
      </c>
      <c r="B47" s="656" t="s">
        <v>636</v>
      </c>
      <c r="C47" s="1087" t="str">
        <f>IF(B47="","",VLOOKUP(B47,DM_DUAN,2,0))</f>
        <v>Sản phẩm Long Khánh 3</v>
      </c>
      <c r="D47" s="1087" t="s">
        <v>2239</v>
      </c>
      <c r="E47" s="1087"/>
      <c r="F47" s="1086">
        <v>2.0</v>
      </c>
      <c r="G47" s="1088">
        <f>SUMIFS(BP_SOTIEN,BP_DA,$B47,BP_KM,$D47,BP_THANG,$G$2)/1000</f>
        <v>0</v>
      </c>
      <c r="H47" s="1089">
        <f t="shared" si="16"/>
        <v>0</v>
      </c>
      <c r="I47" s="1089" t="str">
        <f t="shared" si="20"/>
        <v/>
      </c>
      <c r="J47" s="1090">
        <f>IF(NOW()&gt;=DATE(YEAR(G$2),MONTH(G$2)+1,DAY(G$2)),SUMIFS(TF_SOTIEN,TF_DA,$B47,TF_THANG,G$2,TF_KM,$D47)/1000, M47)</f>
        <v>0</v>
      </c>
      <c r="K47" s="1089">
        <f t="shared" si="17"/>
        <v>0</v>
      </c>
      <c r="L47" s="1089" t="str">
        <f t="shared" si="21"/>
        <v/>
      </c>
      <c r="M47" s="1090">
        <f>IF(NOW()&gt;=DATE(YEAR(G$2),MONTH(G$2)+1,DAY(G$2)),SUMIFS(AC_SOTIEN,AC_DA,$B47,AC_THANG,G$2,AC_KM,$D47),SUMIFS(TF_SOTIEN,TF_DA,$B47,TF_THANG,G$2,TF_KM,$D47))/ 1000</f>
        <v>0</v>
      </c>
      <c r="N47" s="1089">
        <f t="shared" si="18"/>
        <v>0</v>
      </c>
      <c r="O47" s="1089" t="str">
        <f t="shared" si="22"/>
        <v/>
      </c>
      <c r="P47" s="1090">
        <f t="shared" si="7"/>
        <v>0</v>
      </c>
      <c r="Q47" s="1091" t="str">
        <f t="shared" si="1"/>
        <v/>
      </c>
      <c r="R47" s="1090">
        <f t="shared" si="8"/>
        <v>0</v>
      </c>
      <c r="S47" s="1091" t="str">
        <f t="shared" si="2"/>
        <v/>
      </c>
    </row>
    <row r="48" hidden="1" outlineLevel="1">
      <c r="A48" s="737">
        <f t="shared" si="19"/>
        <v>14</v>
      </c>
      <c r="B48" s="656" t="s">
        <v>956</v>
      </c>
      <c r="C48" s="1087" t="str">
        <f>IF(B48="","",VLOOKUP(B48,DM_DUAN,2,0))</f>
        <v>KDC Lộc Ngãi</v>
      </c>
      <c r="D48" s="1087" t="s">
        <v>2239</v>
      </c>
      <c r="E48" s="737"/>
      <c r="F48" s="737"/>
      <c r="G48" s="1088">
        <f>SUMIFS(BP_SOTIEN,BP_DA,$B48,BP_KM,$D48,BP_THANG,$G$2)/1000</f>
        <v>0</v>
      </c>
      <c r="H48" s="1089">
        <f t="shared" si="16"/>
        <v>0</v>
      </c>
      <c r="I48" s="1089" t="str">
        <f t="shared" si="20"/>
        <v/>
      </c>
      <c r="J48" s="1090">
        <f>IF(NOW()&gt;=DATE(YEAR(G$2),MONTH(G$2)+1,DAY(G$2)),SUMIFS(TF_SOTIEN,TF_DA,$B48,TF_THANG,G$2,TF_KM,$D48)/1000, M48)</f>
        <v>0</v>
      </c>
      <c r="K48" s="1089">
        <f t="shared" si="17"/>
        <v>0</v>
      </c>
      <c r="L48" s="1089" t="str">
        <f t="shared" si="21"/>
        <v/>
      </c>
      <c r="M48" s="1090">
        <f>IF(NOW()&gt;=DATE(YEAR(G$2),MONTH(G$2)+1,DAY(G$2)),SUMIFS(AC_SOTIEN,AC_DA,$B48,AC_THANG,G$2,AC_KM,$D48),SUMIFS(TF_SOTIEN,TF_DA,$B48,TF_THANG,G$2,TF_KM,$D48))/ 1000</f>
        <v>0</v>
      </c>
      <c r="N48" s="1089">
        <f t="shared" si="18"/>
        <v>0</v>
      </c>
      <c r="O48" s="1089" t="str">
        <f t="shared" si="22"/>
        <v/>
      </c>
      <c r="P48" s="739">
        <f t="shared" si="7"/>
        <v>0</v>
      </c>
      <c r="Q48" s="1091" t="str">
        <f t="shared" si="1"/>
        <v/>
      </c>
      <c r="R48" s="739">
        <f t="shared" si="8"/>
        <v>0</v>
      </c>
      <c r="S48" s="1091" t="str">
        <f t="shared" si="2"/>
        <v/>
      </c>
    </row>
    <row r="49" hidden="1" outlineLevel="1">
      <c r="A49" s="1155" t="s">
        <v>2824</v>
      </c>
      <c r="B49" s="1156"/>
      <c r="C49" s="1156"/>
      <c r="D49" s="1156"/>
      <c r="E49" s="1156"/>
      <c r="F49" s="1156"/>
      <c r="G49" s="1158">
        <f>SUM(G50:G63)</f>
        <v>4000000</v>
      </c>
      <c r="H49" s="1159">
        <f t="shared" si="16"/>
        <v>1</v>
      </c>
      <c r="I49" s="3"/>
      <c r="J49" s="1160">
        <f>SUM(J50:J63)</f>
        <v>1494456.48</v>
      </c>
      <c r="K49" s="1159">
        <f t="shared" si="17"/>
        <v>1</v>
      </c>
      <c r="L49" s="3"/>
      <c r="M49" s="1160">
        <f>SUM(M50:M63)</f>
        <v>555572</v>
      </c>
      <c r="N49" s="1159">
        <f t="shared" si="18"/>
        <v>1</v>
      </c>
      <c r="O49" s="3"/>
      <c r="P49" s="1161">
        <f t="shared" si="7"/>
        <v>-3444428</v>
      </c>
      <c r="Q49" s="1162">
        <f t="shared" si="1"/>
        <v>-0.861107</v>
      </c>
      <c r="R49" s="1161">
        <f t="shared" si="8"/>
        <v>-938884.48</v>
      </c>
      <c r="S49" s="1164">
        <f t="shared" si="2"/>
        <v>-0.6282447783</v>
      </c>
    </row>
    <row r="50" hidden="1" outlineLevel="1">
      <c r="A50" s="1086">
        <f t="shared" ref="A50:A63" si="23">IF(B50="","",COUNTA(B$50:B50))</f>
        <v>1</v>
      </c>
      <c r="B50" s="1087" t="s">
        <v>215</v>
      </c>
      <c r="C50" s="1087" t="str">
        <f>IF(B50="","",VLOOKUP(B50,DM_DUAN,2,0))</f>
        <v>Phước Đông Garden</v>
      </c>
      <c r="D50" s="1087"/>
      <c r="E50" s="1087"/>
      <c r="F50" s="1086">
        <v>2.0</v>
      </c>
      <c r="G50" s="1088">
        <f t="shared" ref="G50:G63" si="24">SUMIF($B$20:$B$33,$B50,G$20:G$33)-SUMIF($B$35:$B$48,$B50,G$35:G$48)</f>
        <v>0</v>
      </c>
      <c r="H50" s="1091">
        <f t="shared" si="16"/>
        <v>0</v>
      </c>
      <c r="I50" s="1091">
        <f t="shared" ref="I50:I63" si="25">IFERROR(G50/G$49,"")</f>
        <v>0</v>
      </c>
      <c r="J50" s="1090">
        <f t="shared" ref="J50:J63" si="26">SUMIF($C$20:$C$33,$C50,J$20:J$33)-SUMIF($C$35:$C$48,$C50,J$35:J$48)</f>
        <v>0</v>
      </c>
      <c r="K50" s="1091">
        <f t="shared" si="17"/>
        <v>0</v>
      </c>
      <c r="L50" s="1091">
        <f t="shared" ref="L50:L63" si="27">IFERROR(J50/J$49,"")</f>
        <v>0</v>
      </c>
      <c r="M50" s="1090">
        <f t="shared" ref="M50:M63" si="28">SUMIF($C$20:$C$33,$C50,M$20:M$33)-SUMIF($C$35:$C$48,$C50,M$35:M$48)</f>
        <v>0</v>
      </c>
      <c r="N50" s="1091">
        <f t="shared" si="18"/>
        <v>0</v>
      </c>
      <c r="O50" s="1091">
        <f t="shared" ref="O50:O63" si="29">IFERROR(M50/M$49,"")</f>
        <v>0</v>
      </c>
      <c r="P50" s="1130">
        <f t="shared" si="7"/>
        <v>0</v>
      </c>
      <c r="Q50" s="1091" t="str">
        <f t="shared" si="1"/>
        <v/>
      </c>
      <c r="R50" s="1130">
        <f t="shared" si="8"/>
        <v>0</v>
      </c>
      <c r="S50" s="1091" t="str">
        <f t="shared" si="2"/>
        <v/>
      </c>
    </row>
    <row r="51" hidden="1" outlineLevel="1">
      <c r="A51" s="1086">
        <f t="shared" si="23"/>
        <v>2</v>
      </c>
      <c r="B51" s="1087" t="s">
        <v>404</v>
      </c>
      <c r="C51" s="1087" t="str">
        <f>IF(B51="","",VLOOKUP(B51,DM_DUAN,2,0))</f>
        <v>Hamil ton Garden</v>
      </c>
      <c r="D51" s="1087"/>
      <c r="E51" s="1087"/>
      <c r="F51" s="1086">
        <v>2.0</v>
      </c>
      <c r="G51" s="1088">
        <f t="shared" si="24"/>
        <v>0</v>
      </c>
      <c r="H51" s="1091">
        <f t="shared" si="16"/>
        <v>0</v>
      </c>
      <c r="I51" s="1091">
        <f t="shared" si="25"/>
        <v>0</v>
      </c>
      <c r="J51" s="1090">
        <f t="shared" si="26"/>
        <v>0</v>
      </c>
      <c r="K51" s="1091">
        <f t="shared" si="17"/>
        <v>0</v>
      </c>
      <c r="L51" s="1091">
        <f t="shared" si="27"/>
        <v>0</v>
      </c>
      <c r="M51" s="1090">
        <f t="shared" si="28"/>
        <v>0</v>
      </c>
      <c r="N51" s="1091">
        <f t="shared" si="18"/>
        <v>0</v>
      </c>
      <c r="O51" s="1091">
        <f t="shared" si="29"/>
        <v>0</v>
      </c>
      <c r="P51" s="1130">
        <f t="shared" si="7"/>
        <v>0</v>
      </c>
      <c r="Q51" s="1091" t="str">
        <f t="shared" si="1"/>
        <v/>
      </c>
      <c r="R51" s="1130">
        <f t="shared" si="8"/>
        <v>0</v>
      </c>
      <c r="S51" s="1091" t="str">
        <f t="shared" si="2"/>
        <v/>
      </c>
    </row>
    <row r="52" hidden="1" outlineLevel="1">
      <c r="A52" s="1086">
        <f t="shared" si="23"/>
        <v>3</v>
      </c>
      <c r="B52" s="1087" t="s">
        <v>533</v>
      </c>
      <c r="C52" s="1087" t="str">
        <f>IF(B52="","",VLOOKUP(B52,DM_DUAN,2,0))</f>
        <v>The sol city</v>
      </c>
      <c r="D52" s="1087"/>
      <c r="E52" s="1087"/>
      <c r="F52" s="1086">
        <v>2.0</v>
      </c>
      <c r="G52" s="1088">
        <f t="shared" si="24"/>
        <v>0</v>
      </c>
      <c r="H52" s="1091">
        <f t="shared" si="16"/>
        <v>0</v>
      </c>
      <c r="I52" s="1091">
        <f t="shared" si="25"/>
        <v>0</v>
      </c>
      <c r="J52" s="1090">
        <f t="shared" si="26"/>
        <v>0</v>
      </c>
      <c r="K52" s="1091">
        <f t="shared" si="17"/>
        <v>0</v>
      </c>
      <c r="L52" s="1091">
        <f t="shared" si="27"/>
        <v>0</v>
      </c>
      <c r="M52" s="1090">
        <f t="shared" si="28"/>
        <v>0</v>
      </c>
      <c r="N52" s="1091">
        <f t="shared" si="18"/>
        <v>0</v>
      </c>
      <c r="O52" s="1091">
        <f t="shared" si="29"/>
        <v>0</v>
      </c>
      <c r="P52" s="1130">
        <f t="shared" si="7"/>
        <v>0</v>
      </c>
      <c r="Q52" s="1091" t="str">
        <f t="shared" si="1"/>
        <v/>
      </c>
      <c r="R52" s="1130">
        <f t="shared" si="8"/>
        <v>0</v>
      </c>
      <c r="S52" s="1091" t="str">
        <f t="shared" si="2"/>
        <v/>
      </c>
    </row>
    <row r="53" hidden="1" outlineLevel="1">
      <c r="A53" s="1086">
        <f t="shared" si="23"/>
        <v>4</v>
      </c>
      <c r="B53" s="1087" t="s">
        <v>175</v>
      </c>
      <c r="C53" s="1087" t="str">
        <f>IF(B53="","",VLOOKUP(B53,DM_DUAN,2,0))</f>
        <v>Phước hội Hồ Tràm</v>
      </c>
      <c r="D53" s="1087"/>
      <c r="E53" s="1087"/>
      <c r="F53" s="1086">
        <v>2.0</v>
      </c>
      <c r="G53" s="1088">
        <f t="shared" si="24"/>
        <v>1600000</v>
      </c>
      <c r="H53" s="1091">
        <f t="shared" si="16"/>
        <v>0.4</v>
      </c>
      <c r="I53" s="1091">
        <f t="shared" si="25"/>
        <v>0.4</v>
      </c>
      <c r="J53" s="1090">
        <f t="shared" si="26"/>
        <v>0</v>
      </c>
      <c r="K53" s="1091">
        <f t="shared" si="17"/>
        <v>0</v>
      </c>
      <c r="L53" s="1091">
        <f t="shared" si="27"/>
        <v>0</v>
      </c>
      <c r="M53" s="1090">
        <f t="shared" si="28"/>
        <v>0</v>
      </c>
      <c r="N53" s="1091">
        <f t="shared" si="18"/>
        <v>0</v>
      </c>
      <c r="O53" s="1091">
        <f t="shared" si="29"/>
        <v>0</v>
      </c>
      <c r="P53" s="1130">
        <f t="shared" si="7"/>
        <v>-1600000</v>
      </c>
      <c r="Q53" s="1132">
        <f t="shared" si="1"/>
        <v>-1</v>
      </c>
      <c r="R53" s="1130">
        <f t="shared" si="8"/>
        <v>0</v>
      </c>
      <c r="S53" s="1091" t="str">
        <f t="shared" si="2"/>
        <v/>
      </c>
    </row>
    <row r="54" hidden="1" outlineLevel="1">
      <c r="A54" s="1086">
        <f t="shared" si="23"/>
        <v>5</v>
      </c>
      <c r="B54" s="1087" t="s">
        <v>2067</v>
      </c>
      <c r="C54" s="1087" t="str">
        <f>IF(B54="","",VLOOKUP(B54,DM_DUAN,2,0))</f>
        <v>NAM PHONG</v>
      </c>
      <c r="D54" s="1087"/>
      <c r="E54" s="1087"/>
      <c r="F54" s="1086">
        <v>2.0</v>
      </c>
      <c r="G54" s="1088">
        <f t="shared" si="24"/>
        <v>2400000</v>
      </c>
      <c r="H54" s="1091">
        <f t="shared" si="16"/>
        <v>0.6</v>
      </c>
      <c r="I54" s="1091">
        <f t="shared" si="25"/>
        <v>0.6</v>
      </c>
      <c r="J54" s="1090">
        <f t="shared" si="26"/>
        <v>0</v>
      </c>
      <c r="K54" s="1091">
        <f t="shared" si="17"/>
        <v>0</v>
      </c>
      <c r="L54" s="1091">
        <f t="shared" si="27"/>
        <v>0</v>
      </c>
      <c r="M54" s="1090">
        <f t="shared" si="28"/>
        <v>0</v>
      </c>
      <c r="N54" s="1091">
        <f t="shared" si="18"/>
        <v>0</v>
      </c>
      <c r="O54" s="1091">
        <f t="shared" si="29"/>
        <v>0</v>
      </c>
      <c r="P54" s="1130">
        <f t="shared" si="7"/>
        <v>-2400000</v>
      </c>
      <c r="Q54" s="1091">
        <f t="shared" si="1"/>
        <v>-1</v>
      </c>
      <c r="R54" s="1130">
        <f t="shared" si="8"/>
        <v>0</v>
      </c>
      <c r="S54" s="1091" t="str">
        <f t="shared" si="2"/>
        <v/>
      </c>
    </row>
    <row r="55" hidden="1" outlineLevel="1">
      <c r="A55" s="1086">
        <f t="shared" si="23"/>
        <v>6</v>
      </c>
      <c r="B55" s="656" t="s">
        <v>638</v>
      </c>
      <c r="C55" s="1087" t="str">
        <f>IF(B55="","",VLOOKUP(B55,DM_DUAN,2,0))</f>
        <v>Sản phẩm Phước Vinh</v>
      </c>
      <c r="D55" s="1087"/>
      <c r="E55" s="1087"/>
      <c r="F55" s="1086">
        <v>2.0</v>
      </c>
      <c r="G55" s="1088">
        <f t="shared" si="24"/>
        <v>0</v>
      </c>
      <c r="H55" s="1091">
        <f t="shared" si="16"/>
        <v>0</v>
      </c>
      <c r="I55" s="1091">
        <f t="shared" si="25"/>
        <v>0</v>
      </c>
      <c r="J55" s="1090">
        <f t="shared" si="26"/>
        <v>0</v>
      </c>
      <c r="K55" s="1091">
        <f t="shared" si="17"/>
        <v>0</v>
      </c>
      <c r="L55" s="1091">
        <f t="shared" si="27"/>
        <v>0</v>
      </c>
      <c r="M55" s="1090">
        <f t="shared" si="28"/>
        <v>0</v>
      </c>
      <c r="N55" s="1091">
        <f t="shared" si="18"/>
        <v>0</v>
      </c>
      <c r="O55" s="1091">
        <f t="shared" si="29"/>
        <v>0</v>
      </c>
      <c r="P55" s="1130">
        <f t="shared" si="7"/>
        <v>0</v>
      </c>
      <c r="Q55" s="1091" t="str">
        <f t="shared" si="1"/>
        <v/>
      </c>
      <c r="R55" s="1130">
        <f t="shared" si="8"/>
        <v>0</v>
      </c>
      <c r="S55" s="1091" t="str">
        <f t="shared" si="2"/>
        <v/>
      </c>
    </row>
    <row r="56" hidden="1" outlineLevel="1">
      <c r="A56" s="1086">
        <f t="shared" si="23"/>
        <v>7</v>
      </c>
      <c r="B56" s="1087" t="s">
        <v>2070</v>
      </c>
      <c r="C56" s="1087" t="str">
        <f>IF(B56="","",VLOOKUP(B56,DM_DUAN,2,0))</f>
        <v>KHANG VƯỢNG</v>
      </c>
      <c r="D56" s="1087"/>
      <c r="E56" s="1087"/>
      <c r="F56" s="1086">
        <v>2.0</v>
      </c>
      <c r="G56" s="1088">
        <f t="shared" si="24"/>
        <v>0</v>
      </c>
      <c r="H56" s="1091">
        <f t="shared" si="16"/>
        <v>0</v>
      </c>
      <c r="I56" s="1091">
        <f t="shared" si="25"/>
        <v>0</v>
      </c>
      <c r="J56" s="1090">
        <f t="shared" si="26"/>
        <v>0</v>
      </c>
      <c r="K56" s="1091">
        <f t="shared" si="17"/>
        <v>0</v>
      </c>
      <c r="L56" s="1091">
        <f t="shared" si="27"/>
        <v>0</v>
      </c>
      <c r="M56" s="1090">
        <f t="shared" si="28"/>
        <v>0</v>
      </c>
      <c r="N56" s="1091">
        <f t="shared" si="18"/>
        <v>0</v>
      </c>
      <c r="O56" s="1091">
        <f t="shared" si="29"/>
        <v>0</v>
      </c>
      <c r="P56" s="1130">
        <f t="shared" si="7"/>
        <v>0</v>
      </c>
      <c r="Q56" s="1091" t="str">
        <f t="shared" si="1"/>
        <v/>
      </c>
      <c r="R56" s="1130">
        <f t="shared" si="8"/>
        <v>0</v>
      </c>
      <c r="S56" s="1091" t="str">
        <f t="shared" si="2"/>
        <v/>
      </c>
    </row>
    <row r="57" hidden="1" outlineLevel="1">
      <c r="A57" s="1086">
        <f t="shared" si="23"/>
        <v>8</v>
      </c>
      <c r="B57" s="1087" t="s">
        <v>2072</v>
      </c>
      <c r="C57" s="1087" t="str">
        <f>IF(B57="","",VLOOKUP(B57,DM_DUAN,2,0))</f>
        <v>TRẦN ANH GROUP</v>
      </c>
      <c r="D57" s="1087"/>
      <c r="E57" s="1087"/>
      <c r="F57" s="1086">
        <v>2.0</v>
      </c>
      <c r="G57" s="1088">
        <f t="shared" si="24"/>
        <v>0</v>
      </c>
      <c r="H57" s="1091">
        <f t="shared" si="16"/>
        <v>0</v>
      </c>
      <c r="I57" s="1091">
        <f t="shared" si="25"/>
        <v>0</v>
      </c>
      <c r="J57" s="1090">
        <f t="shared" si="26"/>
        <v>0</v>
      </c>
      <c r="K57" s="1091">
        <f t="shared" si="17"/>
        <v>0</v>
      </c>
      <c r="L57" s="1091">
        <f t="shared" si="27"/>
        <v>0</v>
      </c>
      <c r="M57" s="1090">
        <f t="shared" si="28"/>
        <v>0</v>
      </c>
      <c r="N57" s="1091">
        <f t="shared" si="18"/>
        <v>0</v>
      </c>
      <c r="O57" s="1091">
        <f t="shared" si="29"/>
        <v>0</v>
      </c>
      <c r="P57" s="1130">
        <f t="shared" si="7"/>
        <v>0</v>
      </c>
      <c r="Q57" s="1091" t="str">
        <f t="shared" si="1"/>
        <v/>
      </c>
      <c r="R57" s="1130">
        <f t="shared" si="8"/>
        <v>0</v>
      </c>
      <c r="S57" s="1091" t="str">
        <f t="shared" si="2"/>
        <v/>
      </c>
    </row>
    <row r="58" hidden="1" outlineLevel="1">
      <c r="A58" s="1086">
        <f t="shared" si="23"/>
        <v>9</v>
      </c>
      <c r="B58" s="1087" t="s">
        <v>2073</v>
      </c>
      <c r="C58" s="1087" t="str">
        <f>IF(B58="","",VLOOKUP(B58,DM_DUAN,2,0))</f>
        <v>PHI TRƯỜNG</v>
      </c>
      <c r="D58" s="1087"/>
      <c r="E58" s="1087"/>
      <c r="F58" s="1086">
        <v>2.0</v>
      </c>
      <c r="G58" s="1088">
        <f t="shared" si="24"/>
        <v>0</v>
      </c>
      <c r="H58" s="1091">
        <f t="shared" si="16"/>
        <v>0</v>
      </c>
      <c r="I58" s="1091">
        <f t="shared" si="25"/>
        <v>0</v>
      </c>
      <c r="J58" s="1090">
        <f t="shared" si="26"/>
        <v>0</v>
      </c>
      <c r="K58" s="1091">
        <f t="shared" si="17"/>
        <v>0</v>
      </c>
      <c r="L58" s="1091">
        <f t="shared" si="27"/>
        <v>0</v>
      </c>
      <c r="M58" s="1090">
        <f t="shared" si="28"/>
        <v>0</v>
      </c>
      <c r="N58" s="1091">
        <f t="shared" si="18"/>
        <v>0</v>
      </c>
      <c r="O58" s="1091">
        <f t="shared" si="29"/>
        <v>0</v>
      </c>
      <c r="P58" s="1130">
        <f t="shared" si="7"/>
        <v>0</v>
      </c>
      <c r="Q58" s="1091" t="str">
        <f t="shared" si="1"/>
        <v/>
      </c>
      <c r="R58" s="1130">
        <f t="shared" si="8"/>
        <v>0</v>
      </c>
      <c r="S58" s="1091" t="str">
        <f t="shared" si="2"/>
        <v/>
      </c>
    </row>
    <row r="59" hidden="1" outlineLevel="1">
      <c r="A59" s="1086">
        <f t="shared" si="23"/>
        <v>10</v>
      </c>
      <c r="B59" s="1087" t="s">
        <v>2074</v>
      </c>
      <c r="C59" s="1087" t="str">
        <f>IF(B59="","",VLOOKUP(B59,DM_DUAN,2,0))</f>
        <v>HOÀNG CÁT</v>
      </c>
      <c r="D59" s="1087"/>
      <c r="E59" s="1087"/>
      <c r="F59" s="1086">
        <v>2.0</v>
      </c>
      <c r="G59" s="1088">
        <f t="shared" si="24"/>
        <v>0</v>
      </c>
      <c r="H59" s="1091">
        <f t="shared" si="16"/>
        <v>0</v>
      </c>
      <c r="I59" s="1091">
        <f t="shared" si="25"/>
        <v>0</v>
      </c>
      <c r="J59" s="1090">
        <f t="shared" si="26"/>
        <v>0</v>
      </c>
      <c r="K59" s="1091">
        <f t="shared" si="17"/>
        <v>0</v>
      </c>
      <c r="L59" s="1091">
        <f t="shared" si="27"/>
        <v>0</v>
      </c>
      <c r="M59" s="1090">
        <f t="shared" si="28"/>
        <v>0</v>
      </c>
      <c r="N59" s="1091">
        <f t="shared" si="18"/>
        <v>0</v>
      </c>
      <c r="O59" s="1091">
        <f t="shared" si="29"/>
        <v>0</v>
      </c>
      <c r="P59" s="1130">
        <f t="shared" si="7"/>
        <v>0</v>
      </c>
      <c r="Q59" s="1091" t="str">
        <f t="shared" si="1"/>
        <v/>
      </c>
      <c r="R59" s="1130">
        <f t="shared" si="8"/>
        <v>0</v>
      </c>
      <c r="S59" s="1091" t="str">
        <f t="shared" si="2"/>
        <v/>
      </c>
    </row>
    <row r="60" hidden="1" outlineLevel="1">
      <c r="A60" s="1086">
        <f t="shared" si="23"/>
        <v>11</v>
      </c>
      <c r="B60" s="656" t="s">
        <v>530</v>
      </c>
      <c r="C60" s="1087" t="str">
        <f>IF(B60="","",VLOOKUP(B60,DM_DUAN,2,0))</f>
        <v>Nhà vườn sinh thái</v>
      </c>
      <c r="D60" s="1087"/>
      <c r="E60" s="1087"/>
      <c r="F60" s="1086">
        <v>2.0</v>
      </c>
      <c r="G60" s="1088">
        <f t="shared" si="24"/>
        <v>0</v>
      </c>
      <c r="H60" s="1091">
        <f t="shared" si="16"/>
        <v>0</v>
      </c>
      <c r="I60" s="1091">
        <f t="shared" si="25"/>
        <v>0</v>
      </c>
      <c r="J60" s="1090">
        <f t="shared" si="26"/>
        <v>0</v>
      </c>
      <c r="K60" s="1091">
        <f t="shared" si="17"/>
        <v>0</v>
      </c>
      <c r="L60" s="1091">
        <f t="shared" si="27"/>
        <v>0</v>
      </c>
      <c r="M60" s="1090">
        <f t="shared" si="28"/>
        <v>0</v>
      </c>
      <c r="N60" s="1091">
        <f t="shared" si="18"/>
        <v>0</v>
      </c>
      <c r="O60" s="1091">
        <f t="shared" si="29"/>
        <v>0</v>
      </c>
      <c r="P60" s="1130">
        <f t="shared" si="7"/>
        <v>0</v>
      </c>
      <c r="Q60" s="1091" t="str">
        <f t="shared" si="1"/>
        <v/>
      </c>
      <c r="R60" s="1130">
        <f t="shared" si="8"/>
        <v>0</v>
      </c>
      <c r="S60" s="1091" t="str">
        <f t="shared" si="2"/>
        <v/>
      </c>
    </row>
    <row r="61" hidden="1" outlineLevel="1">
      <c r="A61" s="1086">
        <f t="shared" si="23"/>
        <v>12</v>
      </c>
      <c r="B61" s="656" t="s">
        <v>875</v>
      </c>
      <c r="C61" s="1087" t="str">
        <f>IF(B61="","",VLOOKUP(B61,DM_DUAN,2,0))</f>
        <v>Sản phẩm Long Khánh 2</v>
      </c>
      <c r="D61" s="1087"/>
      <c r="E61" s="1087"/>
      <c r="F61" s="1086">
        <v>2.0</v>
      </c>
      <c r="G61" s="1088">
        <f t="shared" si="24"/>
        <v>0</v>
      </c>
      <c r="H61" s="1091">
        <f t="shared" si="16"/>
        <v>0</v>
      </c>
      <c r="I61" s="1091">
        <f t="shared" si="25"/>
        <v>0</v>
      </c>
      <c r="J61" s="1090">
        <f t="shared" si="26"/>
        <v>0</v>
      </c>
      <c r="K61" s="1091">
        <f t="shared" si="17"/>
        <v>0</v>
      </c>
      <c r="L61" s="1091">
        <f t="shared" si="27"/>
        <v>0</v>
      </c>
      <c r="M61" s="1090">
        <f t="shared" si="28"/>
        <v>0</v>
      </c>
      <c r="N61" s="1091">
        <f t="shared" si="18"/>
        <v>0</v>
      </c>
      <c r="O61" s="1091">
        <f t="shared" si="29"/>
        <v>0</v>
      </c>
      <c r="P61" s="1130">
        <f t="shared" si="7"/>
        <v>0</v>
      </c>
      <c r="Q61" s="1091" t="str">
        <f t="shared" si="1"/>
        <v/>
      </c>
      <c r="R61" s="1130">
        <f t="shared" si="8"/>
        <v>0</v>
      </c>
      <c r="S61" s="1091" t="str">
        <f t="shared" si="2"/>
        <v/>
      </c>
    </row>
    <row r="62" hidden="1" outlineLevel="1">
      <c r="A62" s="1086">
        <f t="shared" si="23"/>
        <v>13</v>
      </c>
      <c r="B62" s="656" t="s">
        <v>636</v>
      </c>
      <c r="C62" s="1087" t="str">
        <f>IF(B62="","",VLOOKUP(B62,DM_DUAN,2,0))</f>
        <v>Sản phẩm Long Khánh 3</v>
      </c>
      <c r="D62" s="1087"/>
      <c r="E62" s="1087"/>
      <c r="F62" s="1086">
        <v>2.0</v>
      </c>
      <c r="G62" s="1088">
        <f t="shared" si="24"/>
        <v>0</v>
      </c>
      <c r="H62" s="1091">
        <f t="shared" si="16"/>
        <v>0</v>
      </c>
      <c r="I62" s="1091">
        <f t="shared" si="25"/>
        <v>0</v>
      </c>
      <c r="J62" s="1090">
        <f t="shared" si="26"/>
        <v>0</v>
      </c>
      <c r="K62" s="1091">
        <f t="shared" si="17"/>
        <v>0</v>
      </c>
      <c r="L62" s="1091">
        <f t="shared" si="27"/>
        <v>0</v>
      </c>
      <c r="M62" s="1090">
        <f t="shared" si="28"/>
        <v>0</v>
      </c>
      <c r="N62" s="1091">
        <f t="shared" si="18"/>
        <v>0</v>
      </c>
      <c r="O62" s="1091">
        <f t="shared" si="29"/>
        <v>0</v>
      </c>
      <c r="P62" s="1130">
        <f t="shared" si="7"/>
        <v>0</v>
      </c>
      <c r="Q62" s="1091" t="str">
        <f t="shared" si="1"/>
        <v/>
      </c>
      <c r="R62" s="1130">
        <f t="shared" si="8"/>
        <v>0</v>
      </c>
      <c r="S62" s="1091" t="str">
        <f t="shared" si="2"/>
        <v/>
      </c>
    </row>
    <row r="63" hidden="1" outlineLevel="1">
      <c r="A63" s="1086">
        <f t="shared" si="23"/>
        <v>14</v>
      </c>
      <c r="B63" s="656" t="s">
        <v>956</v>
      </c>
      <c r="C63" s="1087" t="str">
        <f>IF(B63="","",VLOOKUP(B63,DM_DUAN,2,0))</f>
        <v>KDC Lộc Ngãi</v>
      </c>
      <c r="D63" s="1087"/>
      <c r="E63" s="1087"/>
      <c r="F63" s="1086">
        <v>2.0</v>
      </c>
      <c r="G63" s="1088">
        <f t="shared" si="24"/>
        <v>0</v>
      </c>
      <c r="H63" s="1091">
        <f t="shared" si="16"/>
        <v>0</v>
      </c>
      <c r="I63" s="1091">
        <f t="shared" si="25"/>
        <v>0</v>
      </c>
      <c r="J63" s="1090">
        <f t="shared" si="26"/>
        <v>1494456.48</v>
      </c>
      <c r="K63" s="1091">
        <f t="shared" si="17"/>
        <v>1</v>
      </c>
      <c r="L63" s="1091">
        <f t="shared" si="27"/>
        <v>1</v>
      </c>
      <c r="M63" s="1090">
        <f t="shared" si="28"/>
        <v>555572</v>
      </c>
      <c r="N63" s="1091">
        <f t="shared" si="18"/>
        <v>1</v>
      </c>
      <c r="O63" s="1091">
        <f t="shared" si="29"/>
        <v>1</v>
      </c>
      <c r="P63" s="1130">
        <f t="shared" si="7"/>
        <v>555572</v>
      </c>
      <c r="Q63" s="1091" t="str">
        <f t="shared" si="1"/>
        <v/>
      </c>
      <c r="R63" s="1130">
        <f t="shared" si="8"/>
        <v>-938884.48</v>
      </c>
      <c r="S63" s="1091">
        <f t="shared" si="2"/>
        <v>-0.6282447783</v>
      </c>
    </row>
    <row r="64">
      <c r="A64" s="1134" t="s">
        <v>2825</v>
      </c>
      <c r="B64" s="1135"/>
      <c r="C64" s="1135"/>
      <c r="D64" s="1135" t="s">
        <v>2076</v>
      </c>
      <c r="E64" s="1135"/>
      <c r="F64" s="1136">
        <v>1.0</v>
      </c>
      <c r="G64" s="1137">
        <f>SUMIFS(BP_SOTIEN,BP_THANG,G$2,BP_KM,$D64)/1000</f>
        <v>0</v>
      </c>
      <c r="H64" s="1138">
        <f t="shared" si="16"/>
        <v>0</v>
      </c>
      <c r="I64" s="3"/>
      <c r="J64" s="1139">
        <f>IF(NOW()&gt;=DATE(YEAR(G$2),MONTH(G$2)+1,DAY(G$2)),SUMIFS(TF_SOTIEN,TF_THANG,G$2,TF_KM,$D64)/1000, M64)</f>
        <v>0</v>
      </c>
      <c r="K64" s="1138">
        <f t="shared" si="17"/>
        <v>0</v>
      </c>
      <c r="L64" s="3"/>
      <c r="M64" s="1139">
        <f>IF(NOW()&gt;=DATE(YEAR(G$2),MONTH(G$2)+1,DAY(G$2)),SUMIFS(AC_SOTIEN,AC_THANG,G$2,AC_KM,$D64),SUMIFS(TF_SOTIEN,TF_THANG,G$2,TF_KM,$D64))/ 1000</f>
        <v>0</v>
      </c>
      <c r="N64" s="1138">
        <f t="shared" si="18"/>
        <v>0</v>
      </c>
      <c r="O64" s="3"/>
      <c r="P64" s="1139">
        <f t="shared" si="7"/>
        <v>0</v>
      </c>
      <c r="Q64" s="1140" t="str">
        <f t="shared" si="1"/>
        <v/>
      </c>
      <c r="R64" s="1139">
        <f t="shared" si="8"/>
        <v>0</v>
      </c>
      <c r="S64" s="1140" t="str">
        <f t="shared" si="2"/>
        <v/>
      </c>
    </row>
    <row r="65">
      <c r="A65" s="1762" t="s">
        <v>2826</v>
      </c>
      <c r="B65" s="1763"/>
      <c r="C65" s="1763"/>
      <c r="D65" s="1763" t="s">
        <v>2083</v>
      </c>
      <c r="E65" s="1763"/>
      <c r="F65" s="1775">
        <v>1.0</v>
      </c>
      <c r="G65" s="1764">
        <f>SUMIFS(BP_SOTIEN,BP_THANG,G$2,BP_KM,$D65)/1000</f>
        <v>0</v>
      </c>
      <c r="H65" s="1767">
        <f t="shared" si="16"/>
        <v>0</v>
      </c>
      <c r="I65" s="1767"/>
      <c r="J65" s="1764">
        <f>IF(NOW()&gt;=DATE(YEAR(G$2),MONTH(G$2)+1,DAY(G$2)),SUMIFS(TF_SOTIEN,TF_THANG,G$2,TF_KM,$E65)/1000, M65)</f>
        <v>0</v>
      </c>
      <c r="K65" s="1767">
        <f t="shared" si="17"/>
        <v>0</v>
      </c>
      <c r="L65" s="1767"/>
      <c r="M65" s="1764">
        <f>IF(NOW()&gt;=DATE(YEAR(G$2),MONTH(G$2)+1,DAY(G$2)),SUMIFS(AC_SOTIEN,AC_THANG,G$2,AC_KM,$D65),SUMIFS(TF_SOTIEN,TF_THANG,G$2,TF_KM,$D65))/ 1000</f>
        <v>0</v>
      </c>
      <c r="N65" s="1767">
        <f t="shared" si="18"/>
        <v>0</v>
      </c>
      <c r="O65" s="1767">
        <f t="shared" ref="O65:O66" si="30">IFERROR(M65/M$113,"")</f>
        <v>0</v>
      </c>
      <c r="P65" s="1764">
        <f t="shared" si="7"/>
        <v>0</v>
      </c>
      <c r="Q65" s="1767" t="str">
        <f t="shared" si="1"/>
        <v/>
      </c>
      <c r="R65" s="1764">
        <f t="shared" si="8"/>
        <v>0</v>
      </c>
      <c r="S65" s="1767" t="str">
        <f t="shared" si="2"/>
        <v/>
      </c>
    </row>
    <row r="66" collapsed="1">
      <c r="A66" s="1762" t="s">
        <v>2827</v>
      </c>
      <c r="B66" s="1763"/>
      <c r="C66" s="1763"/>
      <c r="D66" s="1763"/>
      <c r="E66" s="1763"/>
      <c r="F66" s="1775">
        <v>1.0</v>
      </c>
      <c r="G66" s="1764">
        <f>SUMIF($F$67:$F$83,2,G$67:G$83)</f>
        <v>7710170</v>
      </c>
      <c r="H66" s="1767">
        <f t="shared" si="16"/>
        <v>1.9275425</v>
      </c>
      <c r="I66" s="1767">
        <f>IFERROR(G66/G$113,"")</f>
        <v>0.9517319597</v>
      </c>
      <c r="J66" s="1764">
        <f>SUMIF($F$67:$F$83,2,J$67:J$83)</f>
        <v>789356.936</v>
      </c>
      <c r="K66" s="1767">
        <f t="shared" si="17"/>
        <v>0.5281899785</v>
      </c>
      <c r="L66" s="1767">
        <f>IFERROR(J66/J$113,"")</f>
        <v>0.7476030004</v>
      </c>
      <c r="M66" s="1764">
        <f>SUMIF($F$67:$F$83,2,M$67:M$83)</f>
        <v>537626.524</v>
      </c>
      <c r="N66" s="1767">
        <f t="shared" si="18"/>
        <v>0.9676990993</v>
      </c>
      <c r="O66" s="1767">
        <f t="shared" si="30"/>
        <v>0.6819980701</v>
      </c>
      <c r="P66" s="1766">
        <f t="shared" si="7"/>
        <v>-7172543.476</v>
      </c>
      <c r="Q66" s="1776">
        <f t="shared" si="1"/>
        <v>-0.9302704708</v>
      </c>
      <c r="R66" s="1766">
        <f t="shared" si="8"/>
        <v>-251730.412</v>
      </c>
      <c r="S66" s="1776">
        <f t="shared" si="2"/>
        <v>-0.318905682</v>
      </c>
    </row>
    <row r="67" hidden="1" outlineLevel="1">
      <c r="A67" s="1777"/>
      <c r="B67" s="1777"/>
      <c r="C67" s="1777" t="s">
        <v>2828</v>
      </c>
      <c r="D67" s="1777"/>
      <c r="E67" s="1778">
        <v>641.0</v>
      </c>
      <c r="F67" s="1778">
        <v>2.0</v>
      </c>
      <c r="G67" s="1779">
        <f>SUM(G68:G71)</f>
        <v>4941666</v>
      </c>
      <c r="H67" s="1780">
        <f t="shared" si="16"/>
        <v>1.2354165</v>
      </c>
      <c r="I67" s="1780">
        <f>IFERROR(G67/G$66,"")</f>
        <v>0.6409282804</v>
      </c>
      <c r="J67" s="1779">
        <f>SUM(J68:J71)</f>
        <v>577596.936</v>
      </c>
      <c r="K67" s="1780">
        <f t="shared" si="17"/>
        <v>0.3864929784</v>
      </c>
      <c r="L67" s="1780">
        <f>IFERROR(J67/J$66,"")</f>
        <v>0.7317309948</v>
      </c>
      <c r="M67" s="1779">
        <f>SUM(M68:M71)</f>
        <v>375961.524</v>
      </c>
      <c r="N67" s="1780">
        <f t="shared" si="18"/>
        <v>0.6767107126</v>
      </c>
      <c r="O67" s="1780">
        <f>IFERROR(M67/M$66,"")</f>
        <v>0.6992986901</v>
      </c>
      <c r="P67" s="1781">
        <f t="shared" si="7"/>
        <v>-4565704.476</v>
      </c>
      <c r="Q67" s="1782">
        <f t="shared" si="1"/>
        <v>-0.9239200861</v>
      </c>
      <c r="R67" s="1781">
        <f t="shared" si="8"/>
        <v>-201635.412</v>
      </c>
      <c r="S67" s="1782">
        <f t="shared" si="2"/>
        <v>-0.3490936316</v>
      </c>
    </row>
    <row r="68" hidden="1" outlineLevel="1">
      <c r="A68" s="1783"/>
      <c r="B68" s="1783"/>
      <c r="C68" s="1783" t="s">
        <v>2829</v>
      </c>
      <c r="D68" s="1783" t="s">
        <v>255</v>
      </c>
      <c r="E68" s="1783"/>
      <c r="F68" s="1784">
        <v>3.0</v>
      </c>
      <c r="G68" s="1785">
        <f>SUMIFS(BP_SOTIEN,BP_THANG,G$2,BP_KM,$D68)/1000</f>
        <v>0</v>
      </c>
      <c r="H68" s="1786">
        <f t="shared" si="16"/>
        <v>0</v>
      </c>
      <c r="I68" s="1786"/>
      <c r="J68" s="1785">
        <f>IF(NOW()&gt;=DATE(YEAR(G$2),MONTH(G$2)+1,DAY(G$2)),SUMIFS(TF_SOTIEN,TF_THANG,G$2,TF_KM,$D68)/1000, M68)</f>
        <v>0</v>
      </c>
      <c r="K68" s="1786">
        <f t="shared" si="17"/>
        <v>0</v>
      </c>
      <c r="L68" s="1786"/>
      <c r="M68" s="1785">
        <f>IF(NOW()&gt;=DATE(YEAR(G$2),MONTH(G$2)+1,DAY(G$2)),SUMIFS(AC_SOTIEN,AC_THANG,G$2,AC_KM,$D68),SUMIFS(TF_SOTIEN,TF_THANG,G$2,TF_KM,$D68))/ 1000</f>
        <v>179446.524</v>
      </c>
      <c r="N68" s="1786">
        <f t="shared" si="18"/>
        <v>0.3229941826</v>
      </c>
      <c r="O68" s="1786"/>
      <c r="P68" s="1785">
        <f t="shared" si="7"/>
        <v>179446.524</v>
      </c>
      <c r="Q68" s="1786" t="str">
        <f t="shared" si="1"/>
        <v/>
      </c>
      <c r="R68" s="1785">
        <f t="shared" si="8"/>
        <v>179446.524</v>
      </c>
      <c r="S68" s="1786" t="str">
        <f t="shared" si="2"/>
        <v/>
      </c>
    </row>
    <row r="69" hidden="1" outlineLevel="1">
      <c r="A69" s="1783"/>
      <c r="B69" s="1783"/>
      <c r="C69" s="1783" t="s">
        <v>2830</v>
      </c>
      <c r="D69" s="1783" t="s">
        <v>190</v>
      </c>
      <c r="E69" s="1784">
        <v>641.0</v>
      </c>
      <c r="F69" s="1784">
        <v>3.0</v>
      </c>
      <c r="G69" s="1785">
        <f>SUMIFS(BP_SOTIEN,BP_THANG,G$2,BP_KM,$D69)/1000</f>
        <v>3900000</v>
      </c>
      <c r="H69" s="1786">
        <f t="shared" si="16"/>
        <v>0.975</v>
      </c>
      <c r="I69" s="1786"/>
      <c r="J69" s="1785">
        <f>IF(NOW()&gt;=DATE(YEAR(G$2),MONTH(G$2)+1,DAY(G$2)),SUMIFS(TF_SOTIEN,TF_THANG,G$2,TF_KM,$D69)/1000, M69)</f>
        <v>523056.12</v>
      </c>
      <c r="K69" s="1786">
        <f t="shared" si="17"/>
        <v>0.349997559</v>
      </c>
      <c r="L69" s="1786"/>
      <c r="M69" s="1785">
        <f>IF(NOW()&gt;=DATE(YEAR(G$2),MONTH(G$2)+1,DAY(G$2)),SUMIFS(AC_SOTIEN,AC_THANG,G$2,AC_KM,$D69),SUMIFS(TF_SOTIEN,TF_THANG,G$2,TF_KM,$D69))/ 1000</f>
        <v>182943</v>
      </c>
      <c r="N69" s="1786">
        <f t="shared" si="18"/>
        <v>0.3292876531</v>
      </c>
      <c r="O69" s="1786"/>
      <c r="P69" s="1785">
        <f t="shared" si="7"/>
        <v>-3717057</v>
      </c>
      <c r="Q69" s="1786">
        <f t="shared" si="1"/>
        <v>-0.9530915385</v>
      </c>
      <c r="R69" s="1785">
        <f t="shared" si="8"/>
        <v>-340113.12</v>
      </c>
      <c r="S69" s="1786">
        <f t="shared" si="2"/>
        <v>-0.6502421193</v>
      </c>
    </row>
    <row r="70" hidden="1" outlineLevel="1">
      <c r="A70" s="1783"/>
      <c r="B70" s="1783"/>
      <c r="C70" s="1783" t="s">
        <v>2831</v>
      </c>
      <c r="D70" s="1783" t="s">
        <v>194</v>
      </c>
      <c r="E70" s="1784">
        <v>641.0</v>
      </c>
      <c r="F70" s="1784">
        <v>3.0</v>
      </c>
      <c r="G70" s="1785">
        <f>SUMIFS(BP_SOTIEN,BP_THANG,G$2,BP_KM,$D70)/1000</f>
        <v>1040000</v>
      </c>
      <c r="H70" s="1786">
        <f t="shared" si="16"/>
        <v>0.26</v>
      </c>
      <c r="I70" s="1786"/>
      <c r="J70" s="1785">
        <f>IF(NOW()&gt;=DATE(YEAR(G$2),MONTH(G$2)+1,DAY(G$2)),SUMIFS(TF_SOTIEN,TF_THANG,G$2,TF_KM,$D70)/1000, M70)</f>
        <v>47940.816</v>
      </c>
      <c r="K70" s="1786">
        <f t="shared" si="17"/>
        <v>0.03207909808</v>
      </c>
      <c r="L70" s="1786"/>
      <c r="M70" s="1785">
        <f>IF(NOW()&gt;=DATE(YEAR(G$2),MONTH(G$2)+1,DAY(G$2)),SUMIFS(AC_SOTIEN,AC_THANG,G$2,AC_KM,$D70),SUMIFS(TF_SOTIEN,TF_THANG,G$2,TF_KM,$D70))/ 1000</f>
        <v>0</v>
      </c>
      <c r="N70" s="1786">
        <f t="shared" si="18"/>
        <v>0</v>
      </c>
      <c r="O70" s="1786"/>
      <c r="P70" s="1785">
        <f t="shared" si="7"/>
        <v>-1040000</v>
      </c>
      <c r="Q70" s="1786">
        <f t="shared" si="1"/>
        <v>-1</v>
      </c>
      <c r="R70" s="1785">
        <f t="shared" si="8"/>
        <v>-47940.816</v>
      </c>
      <c r="S70" s="1786">
        <f t="shared" si="2"/>
        <v>-1</v>
      </c>
    </row>
    <row r="71" hidden="1" outlineLevel="1">
      <c r="A71" s="1783"/>
      <c r="B71" s="1783"/>
      <c r="C71" s="1783" t="s">
        <v>2832</v>
      </c>
      <c r="D71" s="1783" t="s">
        <v>374</v>
      </c>
      <c r="E71" s="1784">
        <v>641.0</v>
      </c>
      <c r="F71" s="1784">
        <v>3.0</v>
      </c>
      <c r="G71" s="1785">
        <f>SUMIFS(BP_SOTIEN,BP_THANG,G$2,BP_KM,$D71)/1000</f>
        <v>1666</v>
      </c>
      <c r="H71" s="1786">
        <f t="shared" si="16"/>
        <v>0.0004165</v>
      </c>
      <c r="I71" s="1786"/>
      <c r="J71" s="1785">
        <f>IF(NOW()&gt;=DATE(YEAR(G$2),MONTH(G$2)+1,DAY(G$2)),SUMIFS(TF_SOTIEN,TF_THANG,G$2,TF_KM,$D71)/1000, M71)</f>
        <v>6600</v>
      </c>
      <c r="K71" s="1786">
        <f t="shared" si="17"/>
        <v>0.00441632131</v>
      </c>
      <c r="L71" s="1786"/>
      <c r="M71" s="1785">
        <f>IF(NOW()&gt;=DATE(YEAR(G$2),MONTH(G$2)+1,DAY(G$2)),SUMIFS(AC_SOTIEN,AC_THANG,G$2,AC_KM,$D71),SUMIFS(TF_SOTIEN,TF_THANG,G$2,TF_KM,$D71))/ 1000</f>
        <v>13572</v>
      </c>
      <c r="N71" s="1786">
        <f t="shared" si="18"/>
        <v>0.02442887691</v>
      </c>
      <c r="O71" s="1786"/>
      <c r="P71" s="1785">
        <f t="shared" si="7"/>
        <v>11906</v>
      </c>
      <c r="Q71" s="1786">
        <f t="shared" si="1"/>
        <v>7.146458583</v>
      </c>
      <c r="R71" s="1785">
        <f t="shared" si="8"/>
        <v>6972</v>
      </c>
      <c r="S71" s="1786">
        <f t="shared" si="2"/>
        <v>1.056363636</v>
      </c>
    </row>
    <row r="72" hidden="1" outlineLevel="1">
      <c r="A72" s="1777"/>
      <c r="B72" s="1777"/>
      <c r="C72" s="1777" t="s">
        <v>2833</v>
      </c>
      <c r="D72" s="1777" t="s">
        <v>169</v>
      </c>
      <c r="E72" s="1777"/>
      <c r="F72" s="1778">
        <v>2.0</v>
      </c>
      <c r="G72" s="1779">
        <f>SUMIFS(BP_SOTIEN,BP_THANG,G$2,BP_KM,$D72)/1000</f>
        <v>10643</v>
      </c>
      <c r="H72" s="1786">
        <f t="shared" si="16"/>
        <v>0.00266075</v>
      </c>
      <c r="I72" s="1786"/>
      <c r="J72" s="1779">
        <f>IF(NOW()&gt;=DATE(YEAR(G$2),MONTH(G$2)+1,DAY(G$2)),SUMIFS(TF_SOTIEN,TF_THANG,G$2,TF_KM,$D72)/1000, M72)</f>
        <v>56760</v>
      </c>
      <c r="K72" s="1786">
        <f t="shared" si="17"/>
        <v>0.03798036327</v>
      </c>
      <c r="L72" s="1786"/>
      <c r="M72" s="1779">
        <f>IF(NOW()&gt;=DATE(YEAR(G$2),MONTH(G$2)+1,DAY(G$2)),SUMIFS(AC_SOTIEN,AC_THANG,G$2,AC_KM,$D72),SUMIFS(TF_SOTIEN,TF_THANG,G$2,TF_KM,$D72))/ 1000</f>
        <v>80133.999</v>
      </c>
      <c r="N72" s="1786">
        <f t="shared" si="18"/>
        <v>0.1442369288</v>
      </c>
      <c r="O72" s="1786">
        <f t="shared" ref="O72:O83" si="31">IFERROR(M72/M$66,"")</f>
        <v>0.149051424</v>
      </c>
      <c r="P72" s="1779">
        <f t="shared" si="7"/>
        <v>69490.999</v>
      </c>
      <c r="Q72" s="1786">
        <f t="shared" si="1"/>
        <v>6.52926797</v>
      </c>
      <c r="R72" s="1779">
        <f t="shared" si="8"/>
        <v>23373.999</v>
      </c>
      <c r="S72" s="1786">
        <f t="shared" si="2"/>
        <v>0.4118040698</v>
      </c>
    </row>
    <row r="73" hidden="1" outlineLevel="1">
      <c r="A73" s="1777"/>
      <c r="B73" s="1777"/>
      <c r="C73" s="1777" t="s">
        <v>2834</v>
      </c>
      <c r="D73" s="1777" t="s">
        <v>174</v>
      </c>
      <c r="E73" s="1778">
        <v>641.0</v>
      </c>
      <c r="F73" s="1778">
        <v>2.0</v>
      </c>
      <c r="G73" s="1779">
        <f>SUMIFS(BP_SOTIEN,BP_THANG,G$2,BP_KM,$D73)/1000</f>
        <v>40861</v>
      </c>
      <c r="H73" s="1786">
        <f t="shared" si="16"/>
        <v>0.01021525</v>
      </c>
      <c r="I73" s="1786"/>
      <c r="J73" s="1779">
        <f>IF(NOW()&gt;=DATE(YEAR(G$2),MONTH(G$2)+1,DAY(G$2)),SUMIFS(TF_SOTIEN,TF_THANG,G$2,TF_KM,$D73)/1000, M73)</f>
        <v>104000</v>
      </c>
      <c r="K73" s="1786">
        <f t="shared" si="17"/>
        <v>0.06959051762</v>
      </c>
      <c r="L73" s="1786"/>
      <c r="M73" s="1779">
        <f>IF(NOW()&gt;=DATE(YEAR(G$2),MONTH(G$2)+1,DAY(G$2)),SUMIFS(AC_SOTIEN,AC_THANG,G$2,AC_KM,$D73),SUMIFS(TF_SOTIEN,TF_THANG,G$2,TF_KM,$D73))/ 1000</f>
        <v>29452.001</v>
      </c>
      <c r="N73" s="1786">
        <f t="shared" si="18"/>
        <v>0.05301203264</v>
      </c>
      <c r="O73" s="1786">
        <f t="shared" si="31"/>
        <v>0.05478152525</v>
      </c>
      <c r="P73" s="1779">
        <f t="shared" si="7"/>
        <v>-11408.999</v>
      </c>
      <c r="Q73" s="1786">
        <f t="shared" si="1"/>
        <v>-0.2792148748</v>
      </c>
      <c r="R73" s="1779">
        <f t="shared" si="8"/>
        <v>-74547.999</v>
      </c>
      <c r="S73" s="1786">
        <f t="shared" si="2"/>
        <v>-0.7168076827</v>
      </c>
    </row>
    <row r="74" hidden="1" outlineLevel="1">
      <c r="A74" s="1777"/>
      <c r="B74" s="1777"/>
      <c r="C74" s="1777" t="s">
        <v>2835</v>
      </c>
      <c r="D74" s="1777" t="s">
        <v>2836</v>
      </c>
      <c r="E74" s="1777"/>
      <c r="F74" s="1778">
        <v>2.0</v>
      </c>
      <c r="G74" s="1779">
        <f>SUMIFS(BP_SOTIEN,BP_THANG,G$2,BP_KM,$D74)/1000</f>
        <v>0</v>
      </c>
      <c r="H74" s="1786">
        <f t="shared" si="16"/>
        <v>0</v>
      </c>
      <c r="I74" s="1786"/>
      <c r="J74" s="1779">
        <f>IF(NOW()&gt;=DATE(YEAR(G$2),MONTH(G$2)+1,DAY(G$2)),SUMIFS(TF_SOTIEN,TF_THANG,G$2,TF_KM,$D74)/1000, M74)</f>
        <v>0</v>
      </c>
      <c r="K74" s="1786">
        <f t="shared" si="17"/>
        <v>0</v>
      </c>
      <c r="L74" s="1786"/>
      <c r="M74" s="1779">
        <f>IF(NOW()&gt;=DATE(YEAR(G$2),MONTH(G$2)+1,DAY(G$2)),SUMIFS(AC_SOTIEN,AC_THANG,G$2,AC_KM,$D74),SUMIFS(TF_SOTIEN,TF_THANG,G$2,TF_KM,$D74))/ 1000</f>
        <v>0</v>
      </c>
      <c r="N74" s="1786">
        <f t="shared" si="18"/>
        <v>0</v>
      </c>
      <c r="O74" s="1786">
        <f t="shared" si="31"/>
        <v>0</v>
      </c>
      <c r="P74" s="1779">
        <f t="shared" si="7"/>
        <v>0</v>
      </c>
      <c r="Q74" s="1786" t="str">
        <f t="shared" si="1"/>
        <v/>
      </c>
      <c r="R74" s="1779">
        <f t="shared" si="8"/>
        <v>0</v>
      </c>
      <c r="S74" s="1786" t="str">
        <f t="shared" si="2"/>
        <v/>
      </c>
    </row>
    <row r="75" hidden="1" outlineLevel="1">
      <c r="A75" s="1777"/>
      <c r="B75" s="1777"/>
      <c r="C75" s="1777" t="s">
        <v>2091</v>
      </c>
      <c r="D75" s="1777" t="s">
        <v>203</v>
      </c>
      <c r="E75" s="1777"/>
      <c r="F75" s="1778">
        <v>2.0</v>
      </c>
      <c r="G75" s="1779">
        <f>SUM(G76:G79)</f>
        <v>1417000</v>
      </c>
      <c r="H75" s="1786">
        <f t="shared" si="16"/>
        <v>0.35425</v>
      </c>
      <c r="I75" s="1786"/>
      <c r="J75" s="1779">
        <f>SUM(J76:J79)</f>
        <v>1000</v>
      </c>
      <c r="K75" s="1786">
        <f t="shared" si="17"/>
        <v>0.0006691395925</v>
      </c>
      <c r="L75" s="1786"/>
      <c r="M75" s="1779">
        <f>SUM(M76:M79)</f>
        <v>38179</v>
      </c>
      <c r="N75" s="1786">
        <f t="shared" si="18"/>
        <v>0.06872016588</v>
      </c>
      <c r="O75" s="1786">
        <f t="shared" si="31"/>
        <v>0.07101398145</v>
      </c>
      <c r="P75" s="1779">
        <f t="shared" si="7"/>
        <v>-1378821</v>
      </c>
      <c r="Q75" s="1786">
        <f t="shared" si="1"/>
        <v>-0.9730564573</v>
      </c>
      <c r="R75" s="1779">
        <f t="shared" si="8"/>
        <v>37179</v>
      </c>
      <c r="S75" s="1786">
        <f t="shared" si="2"/>
        <v>37.179</v>
      </c>
    </row>
    <row r="76" hidden="1" outlineLevel="1">
      <c r="A76" s="1783"/>
      <c r="B76" s="1783"/>
      <c r="C76" s="1864" t="s">
        <v>2838</v>
      </c>
      <c r="D76" s="1864" t="s">
        <v>612</v>
      </c>
      <c r="E76" s="1783"/>
      <c r="F76" s="1784">
        <v>3.0</v>
      </c>
      <c r="G76" s="1785">
        <f>SUMIFS(BP_SOTIEN,BP_THANG,G$2,BP_KM,$D76)/1000</f>
        <v>0</v>
      </c>
      <c r="H76" s="1786">
        <f t="shared" si="16"/>
        <v>0</v>
      </c>
      <c r="I76" s="1786"/>
      <c r="J76" s="1785">
        <f>IF(NOW()&gt;=DATE(YEAR(G$2),MONTH(G$2)+1,DAY(G$2)),SUMIFS(TF_SOTIEN,TF_THANG,G$2,TF_KM,$D76)/1000, M76)</f>
        <v>0</v>
      </c>
      <c r="K76" s="1786">
        <f t="shared" si="17"/>
        <v>0</v>
      </c>
      <c r="L76" s="1786"/>
      <c r="M76" s="1785">
        <f>IF(NOW()&gt;=DATE(YEAR(G$2),MONTH(G$2)+1,DAY(G$2)),SUMIFS(AC_SOTIEN,AC_THANG,G$2,AC_KM,$D76),SUMIFS(TF_SOTIEN,TF_THANG,G$2,TF_KM,$D76))/ 1000</f>
        <v>21000</v>
      </c>
      <c r="N76" s="1786">
        <f t="shared" si="18"/>
        <v>0.03779888115</v>
      </c>
      <c r="O76" s="1786">
        <f t="shared" si="31"/>
        <v>0.03906057284</v>
      </c>
      <c r="P76" s="1785">
        <f t="shared" si="7"/>
        <v>21000</v>
      </c>
      <c r="Q76" s="1786" t="str">
        <f t="shared" si="1"/>
        <v/>
      </c>
      <c r="R76" s="1785">
        <f t="shared" si="8"/>
        <v>21000</v>
      </c>
      <c r="S76" s="1786" t="str">
        <f t="shared" si="2"/>
        <v/>
      </c>
    </row>
    <row r="77" hidden="1" outlineLevel="1">
      <c r="A77" s="1783"/>
      <c r="B77" s="1783"/>
      <c r="C77" s="1864" t="s">
        <v>2839</v>
      </c>
      <c r="D77" s="1864" t="s">
        <v>1170</v>
      </c>
      <c r="E77" s="1783"/>
      <c r="F77" s="1784">
        <v>3.0</v>
      </c>
      <c r="G77" s="1785">
        <f>SUMIFS(BP_SOTIEN,BP_THANG,G$2,BP_KM,$D77)/1000</f>
        <v>130000</v>
      </c>
      <c r="H77" s="1786">
        <f t="shared" si="16"/>
        <v>0.0325</v>
      </c>
      <c r="I77" s="1786"/>
      <c r="J77" s="1785">
        <f>IF(NOW()&gt;=DATE(YEAR(G$2),MONTH(G$2)+1,DAY(G$2)),SUMIFS(TF_SOTIEN,TF_THANG,G$2,TF_KM,$D77)/1000, M77)</f>
        <v>0</v>
      </c>
      <c r="K77" s="1786">
        <f t="shared" si="17"/>
        <v>0</v>
      </c>
      <c r="L77" s="1786"/>
      <c r="M77" s="1785">
        <f>IF(NOW()&gt;=DATE(YEAR(G$2),MONTH(G$2)+1,DAY(G$2)),SUMIFS(AC_SOTIEN,AC_THANG,G$2,AC_KM,$D77),SUMIFS(TF_SOTIEN,TF_THANG,G$2,TF_KM,$D77))/ 1000</f>
        <v>14979</v>
      </c>
      <c r="N77" s="1786">
        <f t="shared" si="18"/>
        <v>0.02696140194</v>
      </c>
      <c r="O77" s="1786">
        <f t="shared" si="31"/>
        <v>0.0278613486</v>
      </c>
      <c r="P77" s="1785">
        <f t="shared" si="7"/>
        <v>-115021</v>
      </c>
      <c r="Q77" s="1786">
        <f t="shared" si="1"/>
        <v>-0.8847769231</v>
      </c>
      <c r="R77" s="1785">
        <f t="shared" si="8"/>
        <v>14979</v>
      </c>
      <c r="S77" s="1786" t="str">
        <f t="shared" si="2"/>
        <v/>
      </c>
    </row>
    <row r="78" hidden="1" outlineLevel="1">
      <c r="A78" s="1783"/>
      <c r="B78" s="1783"/>
      <c r="C78" s="1864" t="s">
        <v>2840</v>
      </c>
      <c r="D78" s="1864" t="s">
        <v>1142</v>
      </c>
      <c r="E78" s="1783"/>
      <c r="F78" s="1784">
        <v>3.0</v>
      </c>
      <c r="G78" s="1785">
        <f>SUMIFS(BP_SOTIEN,BP_THANG,G$2,BP_KM,$D78)/1000</f>
        <v>1248000</v>
      </c>
      <c r="H78" s="1786">
        <f t="shared" si="16"/>
        <v>0.312</v>
      </c>
      <c r="I78" s="1786"/>
      <c r="J78" s="1785">
        <f>IF(NOW()&gt;=DATE(YEAR(G$2),MONTH(G$2)+1,DAY(G$2)),SUMIFS(TF_SOTIEN,TF_THANG,G$2,TF_KM,$D78)/1000, M78)</f>
        <v>1000</v>
      </c>
      <c r="K78" s="1786">
        <f t="shared" si="17"/>
        <v>0.0006691395925</v>
      </c>
      <c r="L78" s="1786"/>
      <c r="M78" s="1785">
        <f>IF(NOW()&gt;=DATE(YEAR(G$2),MONTH(G$2)+1,DAY(G$2)),SUMIFS(AC_SOTIEN,AC_THANG,G$2,AC_KM,$D78),SUMIFS(TF_SOTIEN,TF_THANG,G$2,TF_KM,$D78))/ 1000</f>
        <v>2200</v>
      </c>
      <c r="N78" s="1786">
        <f t="shared" si="18"/>
        <v>0.003959882787</v>
      </c>
      <c r="O78" s="1786">
        <f t="shared" si="31"/>
        <v>0.004092060012</v>
      </c>
      <c r="P78" s="1785">
        <f t="shared" si="7"/>
        <v>-1245800</v>
      </c>
      <c r="Q78" s="1786">
        <f t="shared" si="1"/>
        <v>-0.9982371795</v>
      </c>
      <c r="R78" s="1785">
        <f t="shared" si="8"/>
        <v>1200</v>
      </c>
      <c r="S78" s="1786">
        <f t="shared" si="2"/>
        <v>1.2</v>
      </c>
    </row>
    <row r="79" hidden="1" outlineLevel="1">
      <c r="A79" s="1783"/>
      <c r="B79" s="1783"/>
      <c r="C79" s="1864" t="s">
        <v>2841</v>
      </c>
      <c r="D79" s="1864" t="s">
        <v>2243</v>
      </c>
      <c r="E79" s="1783"/>
      <c r="F79" s="1784">
        <v>3.0</v>
      </c>
      <c r="G79" s="1785">
        <f>SUMIFS(BP_SOTIEN,BP_THANG,G$2,BP_KM,$D79)/1000</f>
        <v>39000</v>
      </c>
      <c r="H79" s="1786">
        <f t="shared" si="16"/>
        <v>0.00975</v>
      </c>
      <c r="I79" s="1786"/>
      <c r="J79" s="1785">
        <f>IF(NOW()&gt;=DATE(YEAR(G$2),MONTH(G$2)+1,DAY(G$2)),SUMIFS(TF_SOTIEN,TF_THANG,G$2,TF_KM,$D79)/1000, M79)</f>
        <v>0</v>
      </c>
      <c r="K79" s="1786">
        <f t="shared" si="17"/>
        <v>0</v>
      </c>
      <c r="L79" s="1786"/>
      <c r="M79" s="1785">
        <f>IF(NOW()&gt;=DATE(YEAR(G$2),MONTH(G$2)+1,DAY(G$2)),SUMIFS(AC_SOTIEN,AC_THANG,G$2,AC_KM,$D79),SUMIFS(TF_SOTIEN,TF_THANG,G$2,TF_KM,$D79))/ 1000</f>
        <v>0</v>
      </c>
      <c r="N79" s="1786">
        <f t="shared" si="18"/>
        <v>0</v>
      </c>
      <c r="O79" s="1786">
        <f t="shared" si="31"/>
        <v>0</v>
      </c>
      <c r="P79" s="1785">
        <f t="shared" si="7"/>
        <v>-39000</v>
      </c>
      <c r="Q79" s="1786">
        <f t="shared" si="1"/>
        <v>-1</v>
      </c>
      <c r="R79" s="1785">
        <f t="shared" si="8"/>
        <v>0</v>
      </c>
      <c r="S79" s="1786" t="str">
        <f t="shared" si="2"/>
        <v/>
      </c>
    </row>
    <row r="80" hidden="1" outlineLevel="1">
      <c r="A80" s="1777"/>
      <c r="B80" s="1777"/>
      <c r="C80" s="1777" t="s">
        <v>2842</v>
      </c>
      <c r="D80" s="1777" t="s">
        <v>734</v>
      </c>
      <c r="E80" s="1777"/>
      <c r="F80" s="1778">
        <v>2.0</v>
      </c>
      <c r="G80" s="1779">
        <f>SUMIFS(BP_SOTIEN,BP_THANG,G$2,BP_KM,$D80)/1000</f>
        <v>0</v>
      </c>
      <c r="H80" s="1786">
        <f t="shared" si="16"/>
        <v>0</v>
      </c>
      <c r="I80" s="1786"/>
      <c r="J80" s="1779">
        <f>IF(NOW()&gt;=DATE(YEAR(G$2),MONTH(G$2)+1,DAY(G$2)),SUMIFS(TF_SOTIEN,TF_THANG,G$2,TF_KM,$D80)/1000, M80)</f>
        <v>0</v>
      </c>
      <c r="K80" s="1786">
        <f t="shared" si="17"/>
        <v>0</v>
      </c>
      <c r="L80" s="1786"/>
      <c r="M80" s="1779">
        <f>IF(NOW()&gt;=DATE(YEAR(G$2),MONTH(G$2)+1,DAY(G$2)),SUMIFS(AC_SOTIEN,AC_THANG,G$2,AC_KM,$D80),SUMIFS(TF_SOTIEN,TF_THANG,G$2,TF_KM,$D80))/ 1000</f>
        <v>0</v>
      </c>
      <c r="N80" s="1786">
        <f t="shared" si="18"/>
        <v>0</v>
      </c>
      <c r="O80" s="1786">
        <f t="shared" si="31"/>
        <v>0</v>
      </c>
      <c r="P80" s="1779">
        <f t="shared" si="7"/>
        <v>0</v>
      </c>
      <c r="Q80" s="1786" t="str">
        <f t="shared" si="1"/>
        <v/>
      </c>
      <c r="R80" s="1779">
        <f t="shared" si="8"/>
        <v>0</v>
      </c>
      <c r="S80" s="1786" t="str">
        <f t="shared" si="2"/>
        <v/>
      </c>
    </row>
    <row r="81" hidden="1" outlineLevel="1">
      <c r="A81" s="1783"/>
      <c r="B81" s="1783"/>
      <c r="C81" s="1864" t="s">
        <v>2843</v>
      </c>
      <c r="D81" s="1864" t="s">
        <v>201</v>
      </c>
      <c r="E81" s="1783"/>
      <c r="F81" s="1778">
        <v>2.0</v>
      </c>
      <c r="G81" s="1785">
        <f>SUMIFS(BP_SOTIEN,BP_THANG,G$2,BP_KM,$D81)/1000</f>
        <v>0</v>
      </c>
      <c r="H81" s="1786">
        <f t="shared" si="16"/>
        <v>0</v>
      </c>
      <c r="I81" s="1786"/>
      <c r="J81" s="1785">
        <f>IF(NOW()&gt;=DATE(YEAR(G$2),MONTH(G$2)+1,DAY(G$2)),SUMIFS(TF_SOTIEN,TF_THANG,G$2,TF_KM,$D81)/1000, M81)</f>
        <v>0</v>
      </c>
      <c r="K81" s="1786">
        <f t="shared" si="17"/>
        <v>0</v>
      </c>
      <c r="L81" s="1786"/>
      <c r="M81" s="1785">
        <f>IF(NOW()&gt;=DATE(YEAR(G$2),MONTH(G$2)+1,DAY(G$2)),SUMIFS(AC_SOTIEN,AC_THANG,G$2,AC_KM,$D81),SUMIFS(TF_SOTIEN,TF_THANG,G$2,TF_KM,$D81))/ 1000</f>
        <v>4000</v>
      </c>
      <c r="N81" s="1786">
        <f t="shared" si="18"/>
        <v>0.007199786886</v>
      </c>
      <c r="O81" s="1786">
        <f t="shared" si="31"/>
        <v>0.007440109112</v>
      </c>
      <c r="P81" s="1785">
        <f t="shared" si="7"/>
        <v>4000</v>
      </c>
      <c r="Q81" s="1786" t="str">
        <f t="shared" si="1"/>
        <v/>
      </c>
      <c r="R81" s="1785">
        <f t="shared" si="8"/>
        <v>4000</v>
      </c>
      <c r="S81" s="1786" t="str">
        <f t="shared" si="2"/>
        <v/>
      </c>
    </row>
    <row r="82" hidden="1" outlineLevel="1">
      <c r="A82" s="1783"/>
      <c r="B82" s="1783"/>
      <c r="C82" s="1783"/>
      <c r="D82" s="1783"/>
      <c r="E82" s="1783"/>
      <c r="F82" s="1784">
        <v>3.0</v>
      </c>
      <c r="G82" s="1785">
        <f>SUMIFS(BP_SOTIEN,BP_THANG,G$2,BP_KM,$D82)/1000</f>
        <v>0</v>
      </c>
      <c r="H82" s="1786">
        <f t="shared" si="16"/>
        <v>0</v>
      </c>
      <c r="I82" s="1786"/>
      <c r="J82" s="1785">
        <f>IF(NOW()&gt;=DATE(YEAR(G$2),MONTH(G$2)+1,DAY(G$2)),SUMIFS(TF_SOTIEN,TF_THANG,G$2,TF_KM,$D82)/1000, M82)</f>
        <v>0</v>
      </c>
      <c r="K82" s="1786">
        <f t="shared" si="17"/>
        <v>0</v>
      </c>
      <c r="L82" s="1786"/>
      <c r="M82" s="1785">
        <f>IF(NOW()&gt;=DATE(YEAR(G$2),MONTH(G$2)+1,DAY(G$2)),SUMIFS(AC_SOTIEN,AC_THANG,G$2,AC_KM,$D82),SUMIFS(TF_SOTIEN,TF_THANG,G$2,TF_KM,$D82))/ 1000</f>
        <v>0</v>
      </c>
      <c r="N82" s="1786">
        <f t="shared" si="18"/>
        <v>0</v>
      </c>
      <c r="O82" s="1786">
        <f t="shared" si="31"/>
        <v>0</v>
      </c>
      <c r="P82" s="1785">
        <f t="shared" si="7"/>
        <v>0</v>
      </c>
      <c r="Q82" s="1786" t="str">
        <f t="shared" si="1"/>
        <v/>
      </c>
      <c r="R82" s="1785">
        <f t="shared" si="8"/>
        <v>0</v>
      </c>
      <c r="S82" s="1786" t="str">
        <f t="shared" si="2"/>
        <v/>
      </c>
    </row>
    <row r="83" hidden="1" outlineLevel="1">
      <c r="A83" s="1777"/>
      <c r="B83" s="1777"/>
      <c r="C83" s="1777" t="s">
        <v>2245</v>
      </c>
      <c r="D83" s="1777" t="s">
        <v>181</v>
      </c>
      <c r="E83" s="1777"/>
      <c r="F83" s="1778">
        <v>2.0</v>
      </c>
      <c r="G83" s="1779">
        <f>SUMIFS(BP_SOTIEN,BP_THANG,G$2,BP_KM,$D83)/1000</f>
        <v>1300000</v>
      </c>
      <c r="H83" s="1780">
        <f t="shared" si="16"/>
        <v>0.325</v>
      </c>
      <c r="I83" s="1780"/>
      <c r="J83" s="1779">
        <f>IF(NOW()&gt;=DATE(YEAR(G$2),MONTH(G$2)+1,DAY(G$2)),SUMIFS(TF_SOTIEN,TF_THANG,G$2,TF_KM,$D83)/1000, M83)</f>
        <v>50000</v>
      </c>
      <c r="K83" s="1780">
        <f t="shared" si="17"/>
        <v>0.03345697962</v>
      </c>
      <c r="L83" s="1780"/>
      <c r="M83" s="1779">
        <f>IF(NOW()&gt;=DATE(YEAR(G$2),MONTH(G$2)+1,DAY(G$2)),SUMIFS(AC_SOTIEN,AC_THANG,G$2,AC_KM,$D83),SUMIFS(TF_SOTIEN,TF_THANG,G$2,TF_KM,$D83))/ 1000</f>
        <v>9900</v>
      </c>
      <c r="N83" s="1780">
        <f t="shared" si="18"/>
        <v>0.01781947254</v>
      </c>
      <c r="O83" s="1780">
        <f t="shared" si="31"/>
        <v>0.01841427005</v>
      </c>
      <c r="P83" s="1779">
        <f t="shared" si="7"/>
        <v>-1290100</v>
      </c>
      <c r="Q83" s="1780">
        <f t="shared" si="1"/>
        <v>-0.9923846154</v>
      </c>
      <c r="R83" s="1779">
        <f t="shared" si="8"/>
        <v>-40100</v>
      </c>
      <c r="S83" s="1780">
        <f t="shared" si="2"/>
        <v>-0.802</v>
      </c>
    </row>
    <row r="84">
      <c r="A84" s="1787" t="s">
        <v>3949</v>
      </c>
      <c r="B84" s="1763"/>
      <c r="C84" s="1763"/>
      <c r="D84" s="1763"/>
      <c r="E84" s="1763"/>
      <c r="F84" s="1775">
        <v>1.0</v>
      </c>
      <c r="G84" s="1764">
        <f>G85+G92+G93+G111+G112</f>
        <v>391029</v>
      </c>
      <c r="H84" s="1767">
        <f t="shared" si="16"/>
        <v>0.09775725</v>
      </c>
      <c r="I84" s="1767">
        <f>IFERROR(G84/G$113,"")</f>
        <v>0.04826804032</v>
      </c>
      <c r="J84" s="1764">
        <f>J85+J92+J93+J111+J112</f>
        <v>266493.476</v>
      </c>
      <c r="K84" s="1767">
        <f t="shared" si="17"/>
        <v>0.1783213359</v>
      </c>
      <c r="L84" s="1767">
        <f>IFERROR(J84/J$113,"")</f>
        <v>0.2523969996</v>
      </c>
      <c r="M84" s="1764">
        <f>M85+M92+M93+M111+M112</f>
        <v>250684.393</v>
      </c>
      <c r="N84" s="1767">
        <f t="shared" si="18"/>
        <v>0.4512185513</v>
      </c>
      <c r="O84" s="1767">
        <f>IFERROR(M84/M$113,"")</f>
        <v>0.3180019299</v>
      </c>
      <c r="P84" s="1766">
        <f t="shared" si="7"/>
        <v>-140344.607</v>
      </c>
      <c r="Q84" s="1776">
        <f t="shared" si="1"/>
        <v>-0.3589109938</v>
      </c>
      <c r="R84" s="1766">
        <f t="shared" si="8"/>
        <v>-15809.083</v>
      </c>
      <c r="S84" s="1776">
        <f t="shared" si="2"/>
        <v>-0.0593225892</v>
      </c>
    </row>
    <row r="85" outlineLevel="1">
      <c r="A85" s="1777"/>
      <c r="B85" s="1777"/>
      <c r="C85" s="1777" t="s">
        <v>2845</v>
      </c>
      <c r="D85" s="1777"/>
      <c r="E85" s="1778">
        <v>642.0</v>
      </c>
      <c r="F85" s="1778">
        <v>2.0</v>
      </c>
      <c r="G85" s="1779">
        <f>SUM(G86:G91)</f>
        <v>327061</v>
      </c>
      <c r="H85" s="1780">
        <f t="shared" si="16"/>
        <v>0.08176525</v>
      </c>
      <c r="I85" s="1780">
        <f>IFERROR(G85/G$84,"")</f>
        <v>0.8364111102</v>
      </c>
      <c r="J85" s="1779">
        <f>SUM(J86:J91)</f>
        <v>198545</v>
      </c>
      <c r="K85" s="1780">
        <f t="shared" si="17"/>
        <v>0.1328543204</v>
      </c>
      <c r="L85" s="1780">
        <f>IFERROR(J85/J$84,"")</f>
        <v>0.7450276194</v>
      </c>
      <c r="M85" s="1779">
        <f>SUM(M86:M91)</f>
        <v>178717.768</v>
      </c>
      <c r="N85" s="1780">
        <f t="shared" si="18"/>
        <v>0.3216824606</v>
      </c>
      <c r="O85" s="1780">
        <f t="shared" ref="O85:O93" si="32">IFERROR(M85/M$84,"")</f>
        <v>0.7129194038</v>
      </c>
      <c r="P85" s="1781">
        <f t="shared" si="7"/>
        <v>-148343.232</v>
      </c>
      <c r="Q85" s="1782">
        <f t="shared" si="1"/>
        <v>-0.4535644176</v>
      </c>
      <c r="R85" s="1781">
        <f t="shared" si="8"/>
        <v>-19827.232</v>
      </c>
      <c r="S85" s="1782">
        <f t="shared" si="2"/>
        <v>-0.09986266086</v>
      </c>
    </row>
    <row r="86" outlineLevel="1">
      <c r="A86" s="1783"/>
      <c r="B86" s="1783"/>
      <c r="C86" s="1783" t="s">
        <v>2846</v>
      </c>
      <c r="D86" s="1783" t="s">
        <v>293</v>
      </c>
      <c r="E86" s="1783"/>
      <c r="F86" s="1784">
        <v>3.0</v>
      </c>
      <c r="G86" s="1785">
        <f>SUMIFS(BP_SOTIEN,BP_THANG,G$2,BP_KM,$D86)/1000</f>
        <v>0</v>
      </c>
      <c r="H86" s="1786">
        <f t="shared" si="16"/>
        <v>0</v>
      </c>
      <c r="I86" s="1786"/>
      <c r="J86" s="1785">
        <f>IF(NOW()&gt;=DATE(YEAR(G$2),MONTH(G$2)+1,DAY(G$2)),SUMIFS(TF_SOTIEN,TF_THANG,G$2,TF_KM,$D86)/1000, M86)</f>
        <v>84000</v>
      </c>
      <c r="K86" s="1786">
        <f t="shared" si="17"/>
        <v>0.05620772577</v>
      </c>
      <c r="L86" s="1786"/>
      <c r="M86" s="1785">
        <f>IF(NOW()&gt;=DATE(YEAR(G$2),MONTH(G$2)+1,DAY(G$2)),SUMIFS(AC_SOTIEN,AC_THANG,G$2,AC_KM,$D86),SUMIFS(TF_SOTIEN,TF_THANG,G$2,TF_KM,$D86))/ 1000</f>
        <v>42000</v>
      </c>
      <c r="N86" s="1786">
        <f t="shared" si="18"/>
        <v>0.07559776231</v>
      </c>
      <c r="O86" s="1786">
        <f t="shared" si="32"/>
        <v>0.1675413435</v>
      </c>
      <c r="P86" s="1785">
        <f t="shared" si="7"/>
        <v>42000</v>
      </c>
      <c r="Q86" s="1786" t="str">
        <f t="shared" si="1"/>
        <v/>
      </c>
      <c r="R86" s="1785">
        <f t="shared" si="8"/>
        <v>-42000</v>
      </c>
      <c r="S86" s="1786">
        <f t="shared" si="2"/>
        <v>-0.5</v>
      </c>
    </row>
    <row r="87" outlineLevel="1">
      <c r="A87" s="1783"/>
      <c r="B87" s="1783"/>
      <c r="C87" s="1783" t="s">
        <v>2847</v>
      </c>
      <c r="D87" s="1783" t="s">
        <v>267</v>
      </c>
      <c r="E87" s="1783"/>
      <c r="F87" s="1784">
        <v>3.0</v>
      </c>
      <c r="G87" s="1785">
        <f>SUMIFS(BP_SOTIEN,BP_THANG,G$2,BP_KM,$D87)/1000</f>
        <v>318400</v>
      </c>
      <c r="H87" s="1786">
        <f t="shared" si="16"/>
        <v>0.0796</v>
      </c>
      <c r="I87" s="1786"/>
      <c r="J87" s="1785">
        <f>IF(NOW()&gt;=DATE(YEAR(G$2),MONTH(G$2)+1,DAY(G$2)),SUMIFS(TF_SOTIEN,TF_THANG,G$2,TF_KM,$D87)/1000, M87)</f>
        <v>109745</v>
      </c>
      <c r="K87" s="1786">
        <f t="shared" si="17"/>
        <v>0.07343472458</v>
      </c>
      <c r="L87" s="1786"/>
      <c r="M87" s="1785">
        <f>IF(NOW()&gt;=DATE(YEAR(G$2),MONTH(G$2)+1,DAY(G$2)),SUMIFS(AC_SOTIEN,AC_THANG,G$2,AC_KM,$D87),SUMIFS(TF_SOTIEN,TF_THANG,G$2,TF_KM,$D87))/ 1000</f>
        <v>110960.768</v>
      </c>
      <c r="N87" s="1786">
        <f t="shared" si="18"/>
        <v>0.1997234706</v>
      </c>
      <c r="O87" s="1786">
        <f t="shared" si="32"/>
        <v>0.4426313368</v>
      </c>
      <c r="P87" s="1785">
        <f t="shared" si="7"/>
        <v>-207439.232</v>
      </c>
      <c r="Q87" s="1786">
        <f t="shared" si="1"/>
        <v>-0.6515051256</v>
      </c>
      <c r="R87" s="1785">
        <f t="shared" si="8"/>
        <v>1215.768</v>
      </c>
      <c r="S87" s="1786">
        <f t="shared" si="2"/>
        <v>0.01107811745</v>
      </c>
    </row>
    <row r="88" outlineLevel="1">
      <c r="A88" s="1783"/>
      <c r="B88" s="1783"/>
      <c r="C88" s="1783" t="s">
        <v>2848</v>
      </c>
      <c r="D88" s="1783" t="s">
        <v>1211</v>
      </c>
      <c r="E88" s="1783"/>
      <c r="F88" s="1784">
        <v>3.0</v>
      </c>
      <c r="G88" s="1785">
        <f>SUMIFS(BP_SOTIEN,BP_THANG,G$2,BP_KM,$D88)/1000</f>
        <v>0</v>
      </c>
      <c r="H88" s="1786">
        <f t="shared" si="16"/>
        <v>0</v>
      </c>
      <c r="I88" s="1786"/>
      <c r="J88" s="1785">
        <f>IF(NOW()&gt;=DATE(YEAR(G$2),MONTH(G$2)+1,DAY(G$2)),SUMIFS(TF_SOTIEN,TF_THANG,G$2,TF_KM,$D88)/1000, M88)</f>
        <v>0</v>
      </c>
      <c r="K88" s="1786">
        <f t="shared" si="17"/>
        <v>0</v>
      </c>
      <c r="L88" s="1786"/>
      <c r="M88" s="1785">
        <f>IF(NOW()&gt;=DATE(YEAR(G$2),MONTH(G$2)+1,DAY(G$2)),SUMIFS(AC_SOTIEN,AC_THANG,G$2,AC_KM,$D88),SUMIFS(TF_SOTIEN,TF_THANG,G$2,TF_KM,$D88))/ 1000</f>
        <v>18000</v>
      </c>
      <c r="N88" s="1786">
        <f t="shared" si="18"/>
        <v>0.03239904099</v>
      </c>
      <c r="O88" s="1786">
        <f t="shared" si="32"/>
        <v>0.07180343293</v>
      </c>
      <c r="P88" s="1785">
        <f t="shared" si="7"/>
        <v>18000</v>
      </c>
      <c r="Q88" s="1786" t="str">
        <f t="shared" si="1"/>
        <v/>
      </c>
      <c r="R88" s="1785">
        <f t="shared" si="8"/>
        <v>18000</v>
      </c>
      <c r="S88" s="1786" t="str">
        <f t="shared" si="2"/>
        <v/>
      </c>
    </row>
    <row r="89" outlineLevel="1">
      <c r="A89" s="1783"/>
      <c r="B89" s="1783"/>
      <c r="C89" s="1783" t="s">
        <v>2849</v>
      </c>
      <c r="D89" s="1783" t="s">
        <v>2850</v>
      </c>
      <c r="E89" s="1783"/>
      <c r="F89" s="1784">
        <v>3.0</v>
      </c>
      <c r="G89" s="1785">
        <f>SUMIFS(BP_SOTIEN,BP_THANG,G$2,BP_KM,$D89)/1000</f>
        <v>0</v>
      </c>
      <c r="H89" s="1786">
        <f t="shared" si="16"/>
        <v>0</v>
      </c>
      <c r="I89" s="1786"/>
      <c r="J89" s="1785">
        <f>IF(NOW()&gt;=DATE(YEAR(G$2),MONTH(G$2)+1,DAY(G$2)),SUMIFS(TF_SOTIEN,TF_THANG,G$2,TF_KM,$D89)/1000, M89)</f>
        <v>0</v>
      </c>
      <c r="K89" s="1786">
        <f t="shared" si="17"/>
        <v>0</v>
      </c>
      <c r="L89" s="1786"/>
      <c r="M89" s="1785">
        <f>IF(NOW()&gt;=DATE(YEAR(G$2),MONTH(G$2)+1,DAY(G$2)),SUMIFS(AC_SOTIEN,AC_THANG,G$2,AC_KM,$D89),SUMIFS(TF_SOTIEN,TF_THANG,G$2,TF_KM,$D89))/ 1000</f>
        <v>0</v>
      </c>
      <c r="N89" s="1786">
        <f t="shared" si="18"/>
        <v>0</v>
      </c>
      <c r="O89" s="1786">
        <f t="shared" si="32"/>
        <v>0</v>
      </c>
      <c r="P89" s="1785">
        <f t="shared" si="7"/>
        <v>0</v>
      </c>
      <c r="Q89" s="1786" t="str">
        <f t="shared" si="1"/>
        <v/>
      </c>
      <c r="R89" s="1785">
        <f t="shared" si="8"/>
        <v>0</v>
      </c>
      <c r="S89" s="1786" t="str">
        <f t="shared" si="2"/>
        <v/>
      </c>
    </row>
    <row r="90" outlineLevel="1">
      <c r="A90" s="1783"/>
      <c r="B90" s="1783"/>
      <c r="C90" s="1783" t="s">
        <v>2851</v>
      </c>
      <c r="D90" s="1783" t="s">
        <v>1273</v>
      </c>
      <c r="E90" s="1783"/>
      <c r="F90" s="1784">
        <v>3.0</v>
      </c>
      <c r="G90" s="1785">
        <f>SUMIFS(BP_SOTIEN,BP_THANG,G$2,BP_KM,$D90)/1000</f>
        <v>328</v>
      </c>
      <c r="H90" s="1786">
        <f t="shared" si="16"/>
        <v>0.000082</v>
      </c>
      <c r="I90" s="1786"/>
      <c r="J90" s="1785">
        <f>IF(NOW()&gt;=DATE(YEAR(G$2),MONTH(G$2)+1,DAY(G$2)),SUMIFS(TF_SOTIEN,TF_THANG,G$2,TF_KM,$D90)/1000, M90)</f>
        <v>4800</v>
      </c>
      <c r="K90" s="1786">
        <f t="shared" si="17"/>
        <v>0.003211870044</v>
      </c>
      <c r="L90" s="1786"/>
      <c r="M90" s="1785">
        <f>IF(NOW()&gt;=DATE(YEAR(G$2),MONTH(G$2)+1,DAY(G$2)),SUMIFS(AC_SOTIEN,AC_THANG,G$2,AC_KM,$D90),SUMIFS(TF_SOTIEN,TF_THANG,G$2,TF_KM,$D90))/ 1000</f>
        <v>6720</v>
      </c>
      <c r="N90" s="1786">
        <f t="shared" si="18"/>
        <v>0.01209564197</v>
      </c>
      <c r="O90" s="1786">
        <f t="shared" si="32"/>
        <v>0.02680661496</v>
      </c>
      <c r="P90" s="1785">
        <f t="shared" si="7"/>
        <v>6392</v>
      </c>
      <c r="Q90" s="1786">
        <f t="shared" si="1"/>
        <v>19.48780488</v>
      </c>
      <c r="R90" s="1785">
        <f t="shared" si="8"/>
        <v>1920</v>
      </c>
      <c r="S90" s="1786">
        <f t="shared" si="2"/>
        <v>0.4</v>
      </c>
    </row>
    <row r="91" outlineLevel="1">
      <c r="A91" s="1783"/>
      <c r="B91" s="1783"/>
      <c r="C91" s="1783" t="s">
        <v>2852</v>
      </c>
      <c r="D91" s="1783" t="s">
        <v>1153</v>
      </c>
      <c r="E91" s="1783"/>
      <c r="F91" s="1784">
        <v>3.0</v>
      </c>
      <c r="G91" s="1785">
        <f>SUMIFS(BP_SOTIEN,BP_THANG,G$2,BP_KM,$D91)/1000</f>
        <v>8333</v>
      </c>
      <c r="H91" s="1786">
        <f t="shared" si="16"/>
        <v>0.00208325</v>
      </c>
      <c r="I91" s="1786"/>
      <c r="J91" s="1785">
        <f>IF(NOW()&gt;=DATE(YEAR(G$2),MONTH(G$2)+1,DAY(G$2)),SUMIFS(TF_SOTIEN,TF_THANG,G$2,TF_KM,$D91)/1000, M91)</f>
        <v>0</v>
      </c>
      <c r="K91" s="1786">
        <f t="shared" si="17"/>
        <v>0</v>
      </c>
      <c r="L91" s="1786"/>
      <c r="M91" s="1785">
        <f>IF(NOW()&gt;=DATE(YEAR(G$2),MONTH(G$2)+1,DAY(G$2)),SUMIFS(AC_SOTIEN,AC_THANG,G$2,AC_KM,$D91),SUMIFS(TF_SOTIEN,TF_THANG,G$2,TF_KM,$D91))/ 1000</f>
        <v>1037</v>
      </c>
      <c r="N91" s="1786">
        <f t="shared" si="18"/>
        <v>0.00186654475</v>
      </c>
      <c r="O91" s="1786">
        <f t="shared" si="32"/>
        <v>0.004136675553</v>
      </c>
      <c r="P91" s="1785">
        <f t="shared" si="7"/>
        <v>-7296</v>
      </c>
      <c r="Q91" s="1786">
        <f t="shared" si="1"/>
        <v>-0.8755550222</v>
      </c>
      <c r="R91" s="1785">
        <f t="shared" si="8"/>
        <v>1037</v>
      </c>
      <c r="S91" s="1786" t="str">
        <f t="shared" si="2"/>
        <v/>
      </c>
    </row>
    <row r="92" outlineLevel="1">
      <c r="A92" s="1777"/>
      <c r="B92" s="1777"/>
      <c r="C92" s="1777" t="s">
        <v>2853</v>
      </c>
      <c r="D92" s="1777" t="s">
        <v>270</v>
      </c>
      <c r="E92" s="1778">
        <v>642.0</v>
      </c>
      <c r="F92" s="1778">
        <v>2.0</v>
      </c>
      <c r="G92" s="1779">
        <f>SUMIFS(BP_SOTIEN,BP_THANG,G$2,BP_KM,$D92)/1000</f>
        <v>45143</v>
      </c>
      <c r="H92" s="1786">
        <f t="shared" si="16"/>
        <v>0.01128575</v>
      </c>
      <c r="I92" s="1786"/>
      <c r="J92" s="1779">
        <f>IF(NOW()&gt;=DATE(YEAR(G$2),MONTH(G$2)+1,DAY(G$2)),SUMIFS(TF_SOTIEN,TF_THANG,G$2,TF_KM,$D92)/1000, M92)</f>
        <v>48666.666</v>
      </c>
      <c r="K92" s="1786">
        <f t="shared" si="17"/>
        <v>0.03256479305</v>
      </c>
      <c r="L92" s="1786"/>
      <c r="M92" s="1779">
        <f>IF(NOW()&gt;=DATE(YEAR(G$2),MONTH(G$2)+1,DAY(G$2)),SUMIFS(AC_SOTIEN,AC_THANG,G$2,AC_KM,$D92),SUMIFS(TF_SOTIEN,TF_THANG,G$2,TF_KM,$D92))/ 1000</f>
        <v>48333</v>
      </c>
      <c r="N92" s="1786">
        <f t="shared" si="18"/>
        <v>0.08699682489</v>
      </c>
      <c r="O92" s="1786">
        <f t="shared" si="32"/>
        <v>0.1928041847</v>
      </c>
      <c r="P92" s="1779">
        <f t="shared" si="7"/>
        <v>3190</v>
      </c>
      <c r="Q92" s="1786">
        <f t="shared" si="1"/>
        <v>0.07066433334</v>
      </c>
      <c r="R92" s="1779">
        <f t="shared" si="8"/>
        <v>-333.666</v>
      </c>
      <c r="S92" s="1786">
        <f t="shared" si="2"/>
        <v>-0.006856150779</v>
      </c>
    </row>
    <row r="93" outlineLevel="1">
      <c r="A93" s="1777"/>
      <c r="B93" s="1777"/>
      <c r="C93" s="1777" t="s">
        <v>2854</v>
      </c>
      <c r="D93" s="1777"/>
      <c r="E93" s="1778">
        <v>642.0</v>
      </c>
      <c r="F93" s="1778">
        <v>2.0</v>
      </c>
      <c r="G93" s="1779">
        <f>SUM(G94:G110)</f>
        <v>18825</v>
      </c>
      <c r="H93" s="1786">
        <f t="shared" si="16"/>
        <v>0.00470625</v>
      </c>
      <c r="I93" s="1786">
        <f>IFERROR(G93/G$84,"")</f>
        <v>0.0481422094</v>
      </c>
      <c r="J93" s="1779">
        <f>SUM(J94:J110)</f>
        <v>19281.81</v>
      </c>
      <c r="K93" s="1786">
        <f t="shared" si="17"/>
        <v>0.01290222249</v>
      </c>
      <c r="L93" s="1786">
        <f>IFERROR(J93/J$84,"")</f>
        <v>0.07235377875</v>
      </c>
      <c r="M93" s="1779">
        <f>SUM(M94:M110)</f>
        <v>18092.625</v>
      </c>
      <c r="N93" s="1786">
        <f t="shared" si="18"/>
        <v>0.03256576105</v>
      </c>
      <c r="O93" s="1786">
        <f t="shared" si="32"/>
        <v>0.07217292143</v>
      </c>
      <c r="P93" s="1781">
        <f t="shared" si="7"/>
        <v>-732.375</v>
      </c>
      <c r="Q93" s="1782">
        <f t="shared" si="1"/>
        <v>-0.03890438247</v>
      </c>
      <c r="R93" s="1781">
        <f t="shared" si="8"/>
        <v>-1189.185</v>
      </c>
      <c r="S93" s="1782">
        <f t="shared" si="2"/>
        <v>-0.06167392999</v>
      </c>
    </row>
    <row r="94" outlineLevel="1">
      <c r="A94" s="1783"/>
      <c r="B94" s="1783"/>
      <c r="C94" s="1783" t="s">
        <v>2855</v>
      </c>
      <c r="D94" s="1783" t="s">
        <v>2215</v>
      </c>
      <c r="E94" s="1783"/>
      <c r="F94" s="1784">
        <v>3.0</v>
      </c>
      <c r="G94" s="1785">
        <f>SUMIFS(BP_SOTIEN,BP_THANG,G$2,BP_KM,$D94)/1000</f>
        <v>43</v>
      </c>
      <c r="H94" s="1786">
        <f t="shared" si="16"/>
        <v>0.00001075</v>
      </c>
      <c r="I94" s="1786"/>
      <c r="J94" s="1785">
        <f>IF(NOW()&gt;=DATE(YEAR(G$2),MONTH(G$2)+1,DAY(G$2)),SUMIFS(TF_SOTIEN,TF_THANG,G$2,TF_KM,$D94)/1000, M94)</f>
        <v>0</v>
      </c>
      <c r="K94" s="1786">
        <f t="shared" si="17"/>
        <v>0</v>
      </c>
      <c r="L94" s="1786"/>
      <c r="M94" s="1785">
        <f>IF(NOW()&gt;=DATE(YEAR(G$2),MONTH(G$2)+1,DAY(G$2)),SUMIFS(AC_SOTIEN,AC_THANG,G$2,AC_KM,$D94),SUMIFS(TF_SOTIEN,TF_THANG,G$2,TF_KM,$D94))/ 1000</f>
        <v>0</v>
      </c>
      <c r="N94" s="1786">
        <f t="shared" si="18"/>
        <v>0</v>
      </c>
      <c r="O94" s="1786">
        <f t="shared" ref="O94:O110" si="33">IFERROR(M94/M$93,"")</f>
        <v>0</v>
      </c>
      <c r="P94" s="1785">
        <f t="shared" si="7"/>
        <v>-43</v>
      </c>
      <c r="Q94" s="1786">
        <f t="shared" si="1"/>
        <v>-1</v>
      </c>
      <c r="R94" s="1785">
        <f t="shared" si="8"/>
        <v>0</v>
      </c>
      <c r="S94" s="1786" t="str">
        <f t="shared" si="2"/>
        <v/>
      </c>
    </row>
    <row r="95" outlineLevel="1">
      <c r="A95" s="1783"/>
      <c r="B95" s="1783"/>
      <c r="C95" s="1783" t="s">
        <v>2856</v>
      </c>
      <c r="D95" s="1783" t="s">
        <v>419</v>
      </c>
      <c r="E95" s="1783"/>
      <c r="F95" s="1784">
        <v>3.0</v>
      </c>
      <c r="G95" s="1785">
        <f>SUMIFS(BP_SOTIEN,BP_THANG,G$2,BP_KM,$D95)/1000</f>
        <v>166</v>
      </c>
      <c r="H95" s="1786">
        <f t="shared" si="16"/>
        <v>0.0000415</v>
      </c>
      <c r="I95" s="1786"/>
      <c r="J95" s="1785">
        <f>IF(NOW()&gt;=DATE(YEAR(G$2),MONTH(G$2)+1,DAY(G$2)),SUMIFS(TF_SOTIEN,TF_THANG,G$2,TF_KM,$D95)/1000, M95)</f>
        <v>166</v>
      </c>
      <c r="K95" s="1786">
        <f t="shared" si="17"/>
        <v>0.0001110771724</v>
      </c>
      <c r="L95" s="1786"/>
      <c r="M95" s="1785">
        <f>IF(NOW()&gt;=DATE(YEAR(G$2),MONTH(G$2)+1,DAY(G$2)),SUMIFS(AC_SOTIEN,AC_THANG,G$2,AC_KM,$D95),SUMIFS(TF_SOTIEN,TF_THANG,G$2,TF_KM,$D95))/ 1000</f>
        <v>0</v>
      </c>
      <c r="N95" s="1786">
        <f t="shared" si="18"/>
        <v>0</v>
      </c>
      <c r="O95" s="1786">
        <f t="shared" si="33"/>
        <v>0</v>
      </c>
      <c r="P95" s="1785">
        <f t="shared" si="7"/>
        <v>-166</v>
      </c>
      <c r="Q95" s="1786">
        <f t="shared" si="1"/>
        <v>-1</v>
      </c>
      <c r="R95" s="1785">
        <f t="shared" si="8"/>
        <v>-166</v>
      </c>
      <c r="S95" s="1786">
        <f t="shared" si="2"/>
        <v>-1</v>
      </c>
    </row>
    <row r="96" outlineLevel="1">
      <c r="A96" s="1783"/>
      <c r="B96" s="1783"/>
      <c r="C96" s="1783" t="s">
        <v>2857</v>
      </c>
      <c r="D96" s="1783" t="s">
        <v>573</v>
      </c>
      <c r="E96" s="1783"/>
      <c r="F96" s="1784">
        <v>3.0</v>
      </c>
      <c r="G96" s="1785">
        <f>SUMIFS(BP_SOTIEN,BP_THANG,G$2,BP_KM,$D96)/1000</f>
        <v>250</v>
      </c>
      <c r="H96" s="1786">
        <f t="shared" si="16"/>
        <v>0.0000625</v>
      </c>
      <c r="I96" s="1786"/>
      <c r="J96" s="1785">
        <f>IF(NOW()&gt;=DATE(YEAR(G$2),MONTH(G$2)+1,DAY(G$2)),SUMIFS(TF_SOTIEN,TF_THANG,G$2,TF_KM,$D96)/1000, M96)</f>
        <v>0</v>
      </c>
      <c r="K96" s="1786">
        <f t="shared" si="17"/>
        <v>0</v>
      </c>
      <c r="L96" s="1786"/>
      <c r="M96" s="1785">
        <f>IF(NOW()&gt;=DATE(YEAR(G$2),MONTH(G$2)+1,DAY(G$2)),SUMIFS(AC_SOTIEN,AC_THANG,G$2,AC_KM,$D96),SUMIFS(TF_SOTIEN,TF_THANG,G$2,TF_KM,$D96))/ 1000</f>
        <v>0</v>
      </c>
      <c r="N96" s="1786">
        <f t="shared" si="18"/>
        <v>0</v>
      </c>
      <c r="O96" s="1786">
        <f t="shared" si="33"/>
        <v>0</v>
      </c>
      <c r="P96" s="1785">
        <f t="shared" si="7"/>
        <v>-250</v>
      </c>
      <c r="Q96" s="1786">
        <f t="shared" si="1"/>
        <v>-1</v>
      </c>
      <c r="R96" s="1785">
        <f t="shared" si="8"/>
        <v>0</v>
      </c>
      <c r="S96" s="1786" t="str">
        <f t="shared" si="2"/>
        <v/>
      </c>
    </row>
    <row r="97" outlineLevel="1">
      <c r="A97" s="1783"/>
      <c r="B97" s="1783"/>
      <c r="C97" s="1783" t="s">
        <v>2858</v>
      </c>
      <c r="D97" s="1783" t="s">
        <v>2220</v>
      </c>
      <c r="E97" s="1783"/>
      <c r="F97" s="1784">
        <v>3.0</v>
      </c>
      <c r="G97" s="1785">
        <f>SUMIFS(BP_SOTIEN,BP_THANG,G$2,BP_KM,$D97)/1000</f>
        <v>416</v>
      </c>
      <c r="H97" s="1786">
        <f t="shared" si="16"/>
        <v>0.000104</v>
      </c>
      <c r="I97" s="1786"/>
      <c r="J97" s="1785">
        <f>IF(NOW()&gt;=DATE(YEAR(G$2),MONTH(G$2)+1,DAY(G$2)),SUMIFS(TF_SOTIEN,TF_THANG,G$2,TF_KM,$D97)/1000, M97)</f>
        <v>416</v>
      </c>
      <c r="K97" s="1786">
        <f t="shared" si="17"/>
        <v>0.0002783620705</v>
      </c>
      <c r="L97" s="1786"/>
      <c r="M97" s="1785">
        <f>IF(NOW()&gt;=DATE(YEAR(G$2),MONTH(G$2)+1,DAY(G$2)),SUMIFS(AC_SOTIEN,AC_THANG,G$2,AC_KM,$D97),SUMIFS(TF_SOTIEN,TF_THANG,G$2,TF_KM,$D97))/ 1000</f>
        <v>0</v>
      </c>
      <c r="N97" s="1786">
        <f t="shared" si="18"/>
        <v>0</v>
      </c>
      <c r="O97" s="1786">
        <f t="shared" si="33"/>
        <v>0</v>
      </c>
      <c r="P97" s="1785">
        <f t="shared" si="7"/>
        <v>-416</v>
      </c>
      <c r="Q97" s="1786">
        <f t="shared" si="1"/>
        <v>-1</v>
      </c>
      <c r="R97" s="1785">
        <f t="shared" si="8"/>
        <v>-416</v>
      </c>
      <c r="S97" s="1786">
        <f t="shared" si="2"/>
        <v>-1</v>
      </c>
    </row>
    <row r="98" outlineLevel="1">
      <c r="A98" s="1783"/>
      <c r="B98" s="1783"/>
      <c r="C98" s="1783" t="s">
        <v>2859</v>
      </c>
      <c r="D98" s="1783" t="s">
        <v>2236</v>
      </c>
      <c r="E98" s="1783"/>
      <c r="F98" s="1784">
        <v>3.0</v>
      </c>
      <c r="G98" s="1785">
        <f>SUMIFS(BP_SOTIEN,BP_THANG,G$2,BP_KM,$D98)/1000</f>
        <v>1666</v>
      </c>
      <c r="H98" s="1786">
        <f t="shared" si="16"/>
        <v>0.0004165</v>
      </c>
      <c r="I98" s="1786"/>
      <c r="J98" s="1785">
        <f>IF(NOW()&gt;=DATE(YEAR(G$2),MONTH(G$2)+1,DAY(G$2)),SUMIFS(TF_SOTIEN,TF_THANG,G$2,TF_KM,$D98)/1000, M98)</f>
        <v>1666</v>
      </c>
      <c r="K98" s="1786">
        <f t="shared" si="17"/>
        <v>0.001114786561</v>
      </c>
      <c r="L98" s="1786"/>
      <c r="M98" s="1785">
        <f>IF(NOW()&gt;=DATE(YEAR(G$2),MONTH(G$2)+1,DAY(G$2)),SUMIFS(AC_SOTIEN,AC_THANG,G$2,AC_KM,$D98),SUMIFS(TF_SOTIEN,TF_THANG,G$2,TF_KM,$D98))/ 1000</f>
        <v>0</v>
      </c>
      <c r="N98" s="1786">
        <f t="shared" si="18"/>
        <v>0</v>
      </c>
      <c r="O98" s="1786">
        <f t="shared" si="33"/>
        <v>0</v>
      </c>
      <c r="P98" s="1785">
        <f t="shared" si="7"/>
        <v>-1666</v>
      </c>
      <c r="Q98" s="1786">
        <f t="shared" si="1"/>
        <v>-1</v>
      </c>
      <c r="R98" s="1785">
        <f t="shared" si="8"/>
        <v>-1666</v>
      </c>
      <c r="S98" s="1786">
        <f t="shared" si="2"/>
        <v>-1</v>
      </c>
    </row>
    <row r="99" outlineLevel="1">
      <c r="A99" s="1783"/>
      <c r="B99" s="1783"/>
      <c r="C99" s="1783" t="s">
        <v>2860</v>
      </c>
      <c r="D99" s="1783" t="s">
        <v>413</v>
      </c>
      <c r="E99" s="1783"/>
      <c r="F99" s="1784">
        <v>3.0</v>
      </c>
      <c r="G99" s="1785">
        <f>SUMIFS(BP_SOTIEN,BP_THANG,G$2,BP_KM,$D99)/1000</f>
        <v>0</v>
      </c>
      <c r="H99" s="1786">
        <f t="shared" si="16"/>
        <v>0</v>
      </c>
      <c r="I99" s="1786"/>
      <c r="J99" s="1785">
        <f>IF(NOW()&gt;=DATE(YEAR(G$2),MONTH(G$2)+1,DAY(G$2)),SUMIFS(TF_SOTIEN,TF_THANG,G$2,TF_KM,$D99)/1000, M99)</f>
        <v>0</v>
      </c>
      <c r="K99" s="1786">
        <f t="shared" si="17"/>
        <v>0</v>
      </c>
      <c r="L99" s="1786"/>
      <c r="M99" s="1785">
        <f>IF(NOW()&gt;=DATE(YEAR(G$2),MONTH(G$2)+1,DAY(G$2)),SUMIFS(AC_SOTIEN,AC_THANG,G$2,AC_KM,$D99),SUMIFS(TF_SOTIEN,TF_THANG,G$2,TF_KM,$D99))/ 1000</f>
        <v>3050</v>
      </c>
      <c r="N99" s="1786">
        <f t="shared" si="18"/>
        <v>0.005489837501</v>
      </c>
      <c r="O99" s="1786">
        <f t="shared" si="33"/>
        <v>0.1685769754</v>
      </c>
      <c r="P99" s="1785">
        <f t="shared" si="7"/>
        <v>3050</v>
      </c>
      <c r="Q99" s="1786" t="str">
        <f t="shared" si="1"/>
        <v/>
      </c>
      <c r="R99" s="1785">
        <f t="shared" si="8"/>
        <v>3050</v>
      </c>
      <c r="S99" s="1786" t="str">
        <f t="shared" si="2"/>
        <v/>
      </c>
    </row>
    <row r="100" outlineLevel="1">
      <c r="A100" s="1783"/>
      <c r="B100" s="1783"/>
      <c r="C100" s="1783" t="s">
        <v>2861</v>
      </c>
      <c r="D100" s="1783" t="s">
        <v>262</v>
      </c>
      <c r="E100" s="1783"/>
      <c r="F100" s="1784">
        <v>3.0</v>
      </c>
      <c r="G100" s="1785">
        <f>SUMIFS(BP_SOTIEN,BP_THANG,G$2,BP_KM,$D100)/1000</f>
        <v>833</v>
      </c>
      <c r="H100" s="1786">
        <f t="shared" si="16"/>
        <v>0.00020825</v>
      </c>
      <c r="I100" s="1786"/>
      <c r="J100" s="1785">
        <f>IF(NOW()&gt;=DATE(YEAR(G$2),MONTH(G$2)+1,DAY(G$2)),SUMIFS(TF_SOTIEN,TF_THANG,G$2,TF_KM,$D100)/1000, M100)</f>
        <v>1971.81</v>
      </c>
      <c r="K100" s="1786">
        <f t="shared" si="17"/>
        <v>0.00131941614</v>
      </c>
      <c r="L100" s="1786"/>
      <c r="M100" s="1785">
        <f>IF(NOW()&gt;=DATE(YEAR(G$2),MONTH(G$2)+1,DAY(G$2)),SUMIFS(AC_SOTIEN,AC_THANG,G$2,AC_KM,$D100),SUMIFS(TF_SOTIEN,TF_THANG,G$2,TF_KM,$D100))/ 1000</f>
        <v>1971.811</v>
      </c>
      <c r="N100" s="1786">
        <f t="shared" si="18"/>
        <v>0.003549154745</v>
      </c>
      <c r="O100" s="1786">
        <f t="shared" si="33"/>
        <v>0.1089842408</v>
      </c>
      <c r="P100" s="1785">
        <f t="shared" si="7"/>
        <v>1138.811</v>
      </c>
      <c r="Q100" s="1786">
        <f t="shared" si="1"/>
        <v>1.367120048</v>
      </c>
      <c r="R100" s="1785">
        <f t="shared" si="8"/>
        <v>0.001</v>
      </c>
      <c r="S100" s="1786">
        <f t="shared" si="2"/>
        <v>0.0000005071482546</v>
      </c>
    </row>
    <row r="101" outlineLevel="1">
      <c r="A101" s="1783"/>
      <c r="B101" s="1783"/>
      <c r="C101" s="1783" t="s">
        <v>2862</v>
      </c>
      <c r="D101" s="1783" t="s">
        <v>2223</v>
      </c>
      <c r="E101" s="1783"/>
      <c r="F101" s="1784">
        <v>3.0</v>
      </c>
      <c r="G101" s="1785">
        <f>SUMIFS(BP_SOTIEN,BP_THANG,G$2,BP_KM,$D101)/1000</f>
        <v>4166</v>
      </c>
      <c r="H101" s="1786">
        <f t="shared" si="16"/>
        <v>0.0010415</v>
      </c>
      <c r="I101" s="1786"/>
      <c r="J101" s="1785">
        <f>IF(NOW()&gt;=DATE(YEAR(G$2),MONTH(G$2)+1,DAY(G$2)),SUMIFS(TF_SOTIEN,TF_THANG,G$2,TF_KM,$D101)/1000, M101)</f>
        <v>4166</v>
      </c>
      <c r="K101" s="1786">
        <f t="shared" si="17"/>
        <v>0.002787635542</v>
      </c>
      <c r="L101" s="1786"/>
      <c r="M101" s="1785">
        <f>IF(NOW()&gt;=DATE(YEAR(G$2),MONTH(G$2)+1,DAY(G$2)),SUMIFS(AC_SOTIEN,AC_THANG,G$2,AC_KM,$D101),SUMIFS(TF_SOTIEN,TF_THANG,G$2,TF_KM,$D101))/ 1000</f>
        <v>0</v>
      </c>
      <c r="N101" s="1786">
        <f t="shared" si="18"/>
        <v>0</v>
      </c>
      <c r="O101" s="1786">
        <f t="shared" si="33"/>
        <v>0</v>
      </c>
      <c r="P101" s="1785">
        <f t="shared" si="7"/>
        <v>-4166</v>
      </c>
      <c r="Q101" s="1786">
        <f t="shared" si="1"/>
        <v>-1</v>
      </c>
      <c r="R101" s="1785">
        <f t="shared" si="8"/>
        <v>-4166</v>
      </c>
      <c r="S101" s="1786">
        <f t="shared" si="2"/>
        <v>-1</v>
      </c>
    </row>
    <row r="102" outlineLevel="1">
      <c r="A102" s="1783"/>
      <c r="B102" s="1783"/>
      <c r="C102" s="1783" t="s">
        <v>2863</v>
      </c>
      <c r="D102" s="1783" t="s">
        <v>272</v>
      </c>
      <c r="E102" s="1783"/>
      <c r="F102" s="1784">
        <v>3.0</v>
      </c>
      <c r="G102" s="1785">
        <f>SUMIFS(BP_SOTIEN,BP_THANG,G$2,BP_KM,$D102)/1000</f>
        <v>6666</v>
      </c>
      <c r="H102" s="1786">
        <f t="shared" si="16"/>
        <v>0.0016665</v>
      </c>
      <c r="I102" s="1786"/>
      <c r="J102" s="1785">
        <f>IF(NOW()&gt;=DATE(YEAR(G$2),MONTH(G$2)+1,DAY(G$2)),SUMIFS(TF_SOTIEN,TF_THANG,G$2,TF_KM,$D102)/1000, M102)</f>
        <v>6666</v>
      </c>
      <c r="K102" s="1786">
        <f t="shared" si="17"/>
        <v>0.004460484523</v>
      </c>
      <c r="L102" s="1786"/>
      <c r="M102" s="1785">
        <f>IF(NOW()&gt;=DATE(YEAR(G$2),MONTH(G$2)+1,DAY(G$2)),SUMIFS(AC_SOTIEN,AC_THANG,G$2,AC_KM,$D102),SUMIFS(TF_SOTIEN,TF_THANG,G$2,TF_KM,$D102))/ 1000</f>
        <v>8868.815</v>
      </c>
      <c r="N102" s="1786">
        <f t="shared" si="18"/>
        <v>0.01596339448</v>
      </c>
      <c r="O102" s="1786">
        <f t="shared" si="33"/>
        <v>0.4901895109</v>
      </c>
      <c r="P102" s="1785">
        <f t="shared" si="7"/>
        <v>2202.815</v>
      </c>
      <c r="Q102" s="1786">
        <f t="shared" si="1"/>
        <v>0.3304552955</v>
      </c>
      <c r="R102" s="1785">
        <f t="shared" si="8"/>
        <v>2202.815</v>
      </c>
      <c r="S102" s="1786">
        <f t="shared" si="2"/>
        <v>0.3304552955</v>
      </c>
    </row>
    <row r="103" outlineLevel="1">
      <c r="A103" s="1783"/>
      <c r="B103" s="1783"/>
      <c r="C103" s="1783" t="s">
        <v>2864</v>
      </c>
      <c r="D103" s="1783" t="s">
        <v>219</v>
      </c>
      <c r="E103" s="1783"/>
      <c r="F103" s="1784">
        <v>3.0</v>
      </c>
      <c r="G103" s="1785">
        <f>SUMIFS(BP_SOTIEN,BP_THANG,G$2,BP_KM,$D103)/1000</f>
        <v>0</v>
      </c>
      <c r="H103" s="1786">
        <f t="shared" si="16"/>
        <v>0</v>
      </c>
      <c r="I103" s="1786"/>
      <c r="J103" s="1785">
        <f>IF(NOW()&gt;=DATE(YEAR(G$2),MONTH(G$2)+1,DAY(G$2)),SUMIFS(TF_SOTIEN,TF_THANG,G$2,TF_KM,$D103)/1000, M103)</f>
        <v>0</v>
      </c>
      <c r="K103" s="1786">
        <f t="shared" si="17"/>
        <v>0</v>
      </c>
      <c r="L103" s="1786"/>
      <c r="M103" s="1785">
        <f>IF(NOW()&gt;=DATE(YEAR(G$2),MONTH(G$2)+1,DAY(G$2)),SUMIFS(AC_SOTIEN,AC_THANG,G$2,AC_KM,$D103),SUMIFS(TF_SOTIEN,TF_THANG,G$2,TF_KM,$D103))/ 1000</f>
        <v>540</v>
      </c>
      <c r="N103" s="1786">
        <f t="shared" si="18"/>
        <v>0.0009719712297</v>
      </c>
      <c r="O103" s="1786">
        <f t="shared" si="33"/>
        <v>0.02984641532</v>
      </c>
      <c r="P103" s="1785">
        <f t="shared" si="7"/>
        <v>540</v>
      </c>
      <c r="Q103" s="1786" t="str">
        <f t="shared" si="1"/>
        <v/>
      </c>
      <c r="R103" s="1785">
        <f t="shared" si="8"/>
        <v>540</v>
      </c>
      <c r="S103" s="1786" t="str">
        <f t="shared" si="2"/>
        <v/>
      </c>
    </row>
    <row r="104" outlineLevel="1">
      <c r="A104" s="1783"/>
      <c r="B104" s="1783"/>
      <c r="C104" s="1783" t="s">
        <v>2865</v>
      </c>
      <c r="D104" s="1783" t="s">
        <v>222</v>
      </c>
      <c r="E104" s="1783"/>
      <c r="F104" s="1784">
        <v>3.0</v>
      </c>
      <c r="G104" s="1785">
        <f>SUMIFS(BP_SOTIEN,BP_THANG,G$2,BP_KM,$D104)/1000</f>
        <v>416</v>
      </c>
      <c r="H104" s="1786">
        <f t="shared" si="16"/>
        <v>0.000104</v>
      </c>
      <c r="I104" s="1786"/>
      <c r="J104" s="1785">
        <f>IF(NOW()&gt;=DATE(YEAR(G$2),MONTH(G$2)+1,DAY(G$2)),SUMIFS(TF_SOTIEN,TF_THANG,G$2,TF_KM,$D104)/1000, M104)</f>
        <v>650</v>
      </c>
      <c r="K104" s="1786">
        <f t="shared" si="17"/>
        <v>0.0004349407351</v>
      </c>
      <c r="L104" s="1786"/>
      <c r="M104" s="1785">
        <f>IF(NOW()&gt;=DATE(YEAR(G$2),MONTH(G$2)+1,DAY(G$2)),SUMIFS(AC_SOTIEN,AC_THANG,G$2,AC_KM,$D104),SUMIFS(TF_SOTIEN,TF_THANG,G$2,TF_KM,$D104))/ 1000</f>
        <v>625.999</v>
      </c>
      <c r="N104" s="1786">
        <f t="shared" si="18"/>
        <v>0.001126764848</v>
      </c>
      <c r="O104" s="1786">
        <f t="shared" si="33"/>
        <v>0.03459967805</v>
      </c>
      <c r="P104" s="1785">
        <f t="shared" si="7"/>
        <v>209.999</v>
      </c>
      <c r="Q104" s="1786">
        <f t="shared" si="1"/>
        <v>0.5048052885</v>
      </c>
      <c r="R104" s="1785">
        <f t="shared" si="8"/>
        <v>-24.001</v>
      </c>
      <c r="S104" s="1786">
        <f t="shared" si="2"/>
        <v>-0.03692461538</v>
      </c>
    </row>
    <row r="105" outlineLevel="1">
      <c r="A105" s="1783"/>
      <c r="B105" s="1783"/>
      <c r="C105" s="1783" t="s">
        <v>2866</v>
      </c>
      <c r="D105" s="1783" t="s">
        <v>410</v>
      </c>
      <c r="E105" s="1783"/>
      <c r="F105" s="1784">
        <v>3.0</v>
      </c>
      <c r="G105" s="1785">
        <f>SUMIFS(BP_SOTIEN,BP_THANG,G$2,BP_KM,$D105)/1000</f>
        <v>1250</v>
      </c>
      <c r="H105" s="1786">
        <f t="shared" si="16"/>
        <v>0.0003125</v>
      </c>
      <c r="I105" s="1786"/>
      <c r="J105" s="1785">
        <f>IF(NOW()&gt;=DATE(YEAR(G$2),MONTH(G$2)+1,DAY(G$2)),SUMIFS(TF_SOTIEN,TF_THANG,G$2,TF_KM,$D105)/1000, M105)</f>
        <v>1250</v>
      </c>
      <c r="K105" s="1786">
        <f t="shared" si="17"/>
        <v>0.0008364244906</v>
      </c>
      <c r="L105" s="1786"/>
      <c r="M105" s="1785">
        <f>IF(NOW()&gt;=DATE(YEAR(G$2),MONTH(G$2)+1,DAY(G$2)),SUMIFS(AC_SOTIEN,AC_THANG,G$2,AC_KM,$D105),SUMIFS(TF_SOTIEN,TF_THANG,G$2,TF_KM,$D105))/ 1000</f>
        <v>96</v>
      </c>
      <c r="N105" s="1786">
        <f t="shared" si="18"/>
        <v>0.0001727948853</v>
      </c>
      <c r="O105" s="1786">
        <f t="shared" si="33"/>
        <v>0.00530602939</v>
      </c>
      <c r="P105" s="1785">
        <f t="shared" si="7"/>
        <v>-1154</v>
      </c>
      <c r="Q105" s="1786">
        <f t="shared" si="1"/>
        <v>-0.9232</v>
      </c>
      <c r="R105" s="1785">
        <f t="shared" si="8"/>
        <v>-1154</v>
      </c>
      <c r="S105" s="1786">
        <f t="shared" si="2"/>
        <v>-0.9232</v>
      </c>
    </row>
    <row r="106" outlineLevel="1">
      <c r="A106" s="1783"/>
      <c r="B106" s="1783"/>
      <c r="C106" s="1783" t="s">
        <v>2867</v>
      </c>
      <c r="D106" s="1783" t="s">
        <v>226</v>
      </c>
      <c r="E106" s="1783"/>
      <c r="F106" s="1784">
        <v>3.0</v>
      </c>
      <c r="G106" s="1785">
        <f>SUMIFS(BP_SOTIEN,BP_THANG,G$2,BP_KM,$D106)/1000</f>
        <v>1250</v>
      </c>
      <c r="H106" s="1786">
        <f t="shared" si="16"/>
        <v>0.0003125</v>
      </c>
      <c r="I106" s="1786"/>
      <c r="J106" s="1785">
        <f>IF(NOW()&gt;=DATE(YEAR(G$2),MONTH(G$2)+1,DAY(G$2)),SUMIFS(TF_SOTIEN,TF_THANG,G$2,TF_KM,$D106)/1000, M106)</f>
        <v>1250</v>
      </c>
      <c r="K106" s="1786">
        <f t="shared" si="17"/>
        <v>0.0008364244906</v>
      </c>
      <c r="L106" s="1786"/>
      <c r="M106" s="1785">
        <f>IF(NOW()&gt;=DATE(YEAR(G$2),MONTH(G$2)+1,DAY(G$2)),SUMIFS(AC_SOTIEN,AC_THANG,G$2,AC_KM,$D106),SUMIFS(TF_SOTIEN,TF_THANG,G$2,TF_KM,$D106))/ 1000</f>
        <v>600</v>
      </c>
      <c r="N106" s="1786">
        <f t="shared" si="18"/>
        <v>0.001079968033</v>
      </c>
      <c r="O106" s="1786">
        <f t="shared" si="33"/>
        <v>0.03316268369</v>
      </c>
      <c r="P106" s="1785">
        <f t="shared" si="7"/>
        <v>-650</v>
      </c>
      <c r="Q106" s="1786">
        <f t="shared" si="1"/>
        <v>-0.52</v>
      </c>
      <c r="R106" s="1785">
        <f t="shared" si="8"/>
        <v>-650</v>
      </c>
      <c r="S106" s="1786">
        <f t="shared" si="2"/>
        <v>-0.52</v>
      </c>
    </row>
    <row r="107" outlineLevel="1">
      <c r="A107" s="1783"/>
      <c r="B107" s="1783"/>
      <c r="C107" s="744" t="s">
        <v>2868</v>
      </c>
      <c r="D107" s="744" t="s">
        <v>206</v>
      </c>
      <c r="E107" s="1783"/>
      <c r="F107" s="1784">
        <v>3.0</v>
      </c>
      <c r="G107" s="1785">
        <f>SUMIFS(BP_SOTIEN,BP_THANG,G$2,BP_KM,$D107)/1000</f>
        <v>1703</v>
      </c>
      <c r="H107" s="1786">
        <f t="shared" si="16"/>
        <v>0.00042575</v>
      </c>
      <c r="I107" s="1786"/>
      <c r="J107" s="1785">
        <f>IF(NOW()&gt;=DATE(YEAR(G$2),MONTH(G$2)+1,DAY(G$2)),SUMIFS(TF_SOTIEN,TF_THANG,G$2,TF_KM,$D107)/1000, M107)</f>
        <v>1080</v>
      </c>
      <c r="K107" s="1786">
        <f t="shared" si="17"/>
        <v>0.0007226707599</v>
      </c>
      <c r="L107" s="1786"/>
      <c r="M107" s="1785">
        <f>IF(NOW()&gt;=DATE(YEAR(G$2),MONTH(G$2)+1,DAY(G$2)),SUMIFS(AC_SOTIEN,AC_THANG,G$2,AC_KM,$D107),SUMIFS(TF_SOTIEN,TF_THANG,G$2,TF_KM,$D107))/ 1000</f>
        <v>1080</v>
      </c>
      <c r="N107" s="1786">
        <f t="shared" si="18"/>
        <v>0.001943942459</v>
      </c>
      <c r="O107" s="1786">
        <f t="shared" si="33"/>
        <v>0.05969283064</v>
      </c>
      <c r="P107" s="1785">
        <f t="shared" si="7"/>
        <v>-623</v>
      </c>
      <c r="Q107" s="1786">
        <f t="shared" si="1"/>
        <v>-0.3658250147</v>
      </c>
      <c r="R107" s="1785">
        <f t="shared" si="8"/>
        <v>0</v>
      </c>
      <c r="S107" s="1786">
        <f t="shared" si="2"/>
        <v>0</v>
      </c>
    </row>
    <row r="108" outlineLevel="1">
      <c r="A108" s="1783"/>
      <c r="B108" s="1783"/>
      <c r="C108" s="1148" t="s">
        <v>2869</v>
      </c>
      <c r="D108" s="1148" t="s">
        <v>377</v>
      </c>
      <c r="E108" s="1783"/>
      <c r="F108" s="1784">
        <v>3.0</v>
      </c>
      <c r="G108" s="1785">
        <f>SUMIFS(BP_SOTIEN,BP_THANG,G$2,BP_KM,$D108)/1000</f>
        <v>0</v>
      </c>
      <c r="H108" s="1786">
        <f t="shared" si="16"/>
        <v>0</v>
      </c>
      <c r="I108" s="1786"/>
      <c r="J108" s="1785">
        <f>IF(NOW()&gt;=DATE(YEAR(G$2),MONTH(G$2)+1,DAY(G$2)),SUMIFS(TF_SOTIEN,TF_THANG,G$2,TF_KM,$D108)/1000, M108)</f>
        <v>0</v>
      </c>
      <c r="K108" s="1786">
        <f t="shared" si="17"/>
        <v>0</v>
      </c>
      <c r="L108" s="1786"/>
      <c r="M108" s="1785">
        <f>IF(NOW()&gt;=DATE(YEAR(G$2),MONTH(G$2)+1,DAY(G$2)),SUMIFS(AC_SOTIEN,AC_THANG,G$2,AC_KM,$D108),SUMIFS(TF_SOTIEN,TF_THANG,G$2,TF_KM,$D108))/ 1000</f>
        <v>1260</v>
      </c>
      <c r="N108" s="1786">
        <f t="shared" si="18"/>
        <v>0.002267932869</v>
      </c>
      <c r="O108" s="1786">
        <f t="shared" si="33"/>
        <v>0.06964163575</v>
      </c>
      <c r="P108" s="1785">
        <f t="shared" si="7"/>
        <v>1260</v>
      </c>
      <c r="Q108" s="1786" t="str">
        <f t="shared" si="1"/>
        <v/>
      </c>
      <c r="R108" s="1785">
        <f t="shared" si="8"/>
        <v>1260</v>
      </c>
      <c r="S108" s="1786" t="str">
        <f t="shared" si="2"/>
        <v/>
      </c>
    </row>
    <row r="109" outlineLevel="1">
      <c r="A109" s="1783"/>
      <c r="B109" s="1783"/>
      <c r="C109" s="1783" t="s">
        <v>2870</v>
      </c>
      <c r="D109" s="1783" t="s">
        <v>307</v>
      </c>
      <c r="E109" s="1783"/>
      <c r="F109" s="1784">
        <v>3.0</v>
      </c>
      <c r="G109" s="1785">
        <f>SUMIFS(BP_SOTIEN,BP_THANG,G$2,BP_KM,$D109)/1000</f>
        <v>0</v>
      </c>
      <c r="H109" s="1786">
        <f t="shared" si="16"/>
        <v>0</v>
      </c>
      <c r="I109" s="1786"/>
      <c r="J109" s="1785">
        <f>IF(NOW()&gt;=DATE(YEAR(G$2),MONTH(G$2)+1,DAY(G$2)),SUMIFS(TF_SOTIEN,TF_THANG,G$2,TF_KM,$D109)/1000, M109)</f>
        <v>0</v>
      </c>
      <c r="K109" s="1786">
        <f t="shared" si="17"/>
        <v>0</v>
      </c>
      <c r="L109" s="1786"/>
      <c r="M109" s="1785">
        <f>IF(NOW()&gt;=DATE(YEAR(G$2),MONTH(G$2)+1,DAY(G$2)),SUMIFS(AC_SOTIEN,AC_THANG,G$2,AC_KM,$D109),SUMIFS(TF_SOTIEN,TF_THANG,G$2,TF_KM,$D109))/ 1000</f>
        <v>0</v>
      </c>
      <c r="N109" s="1786">
        <f t="shared" si="18"/>
        <v>0</v>
      </c>
      <c r="O109" s="1786">
        <f t="shared" si="33"/>
        <v>0</v>
      </c>
      <c r="P109" s="1785">
        <f t="shared" si="7"/>
        <v>0</v>
      </c>
      <c r="Q109" s="1786" t="str">
        <f t="shared" si="1"/>
        <v/>
      </c>
      <c r="R109" s="1785">
        <f t="shared" si="8"/>
        <v>0</v>
      </c>
      <c r="S109" s="1786" t="str">
        <f t="shared" si="2"/>
        <v/>
      </c>
    </row>
    <row r="110" outlineLevel="1">
      <c r="A110" s="1783"/>
      <c r="B110" s="1783"/>
      <c r="C110" s="1783"/>
      <c r="D110" s="1783"/>
      <c r="E110" s="1783"/>
      <c r="F110" s="1784">
        <v>3.0</v>
      </c>
      <c r="G110" s="1785">
        <f>SUMIFS(BP_SOTIEN,BP_THANG,G$2,BP_KM,$D110)/1000</f>
        <v>0</v>
      </c>
      <c r="H110" s="1786">
        <f t="shared" si="16"/>
        <v>0</v>
      </c>
      <c r="I110" s="1786"/>
      <c r="J110" s="1785">
        <f>IF(NOW()&gt;=DATE(YEAR(G$2),MONTH(G$2)+1,DAY(G$2)),SUMIFS(TF_SOTIEN,TF_THANG,G$2,TF_KM,$D110)/1000, M110)</f>
        <v>0</v>
      </c>
      <c r="K110" s="1786">
        <f t="shared" si="17"/>
        <v>0</v>
      </c>
      <c r="L110" s="1786"/>
      <c r="M110" s="1785">
        <f>IF(NOW()&gt;=DATE(YEAR(G$2),MONTH(G$2)+1,DAY(G$2)),SUMIFS(AC_SOTIEN,AC_THANG,G$2,AC_KM,$D110),SUMIFS(TF_SOTIEN,TF_THANG,G$2,TF_KM,$D110))/ 1000</f>
        <v>0</v>
      </c>
      <c r="N110" s="1786">
        <f t="shared" si="18"/>
        <v>0</v>
      </c>
      <c r="O110" s="1786">
        <f t="shared" si="33"/>
        <v>0</v>
      </c>
      <c r="P110" s="1785">
        <f t="shared" si="7"/>
        <v>0</v>
      </c>
      <c r="Q110" s="1786" t="str">
        <f t="shared" si="1"/>
        <v/>
      </c>
      <c r="R110" s="1785">
        <f t="shared" si="8"/>
        <v>0</v>
      </c>
      <c r="S110" s="1786" t="str">
        <f t="shared" si="2"/>
        <v/>
      </c>
    </row>
    <row r="111" outlineLevel="1">
      <c r="A111" s="1777"/>
      <c r="B111" s="1777"/>
      <c r="C111" s="1777" t="s">
        <v>2871</v>
      </c>
      <c r="D111" s="1777" t="s">
        <v>2872</v>
      </c>
      <c r="E111" s="1778">
        <v>642.0</v>
      </c>
      <c r="F111" s="1778">
        <v>2.0</v>
      </c>
      <c r="G111" s="1779">
        <f>SUMIFS(BP_SOTIEN,BP_THANG,G$2,BP_KM,$D111)/1000</f>
        <v>0</v>
      </c>
      <c r="H111" s="1780">
        <f t="shared" si="16"/>
        <v>0</v>
      </c>
      <c r="I111" s="1780"/>
      <c r="J111" s="1779">
        <f>IF(NOW()&gt;=DATE(YEAR(G$2),MONTH(G$2)+1,DAY(G$2)),SUMIFS(TF_SOTIEN,TF_THANG,G$2,TF_KM,$D111)/1000, M111)</f>
        <v>0</v>
      </c>
      <c r="K111" s="1780">
        <f t="shared" si="17"/>
        <v>0</v>
      </c>
      <c r="L111" s="1780"/>
      <c r="M111" s="1779">
        <f>IF(NOW()&gt;=DATE(YEAR(G$2),MONTH(G$2)+1,DAY(G$2)),SUMIFS(AC_SOTIEN,AC_THANG,G$2,AC_KM,$D111),SUMIFS(TF_SOTIEN,TF_THANG,G$2,TF_KM,$D111))/ 1000</f>
        <v>0</v>
      </c>
      <c r="N111" s="1780">
        <f t="shared" si="18"/>
        <v>0</v>
      </c>
      <c r="O111" s="1780">
        <f t="shared" ref="O111:O112" si="34">IFERROR(M111/M$84,"")</f>
        <v>0</v>
      </c>
      <c r="P111" s="1779">
        <f t="shared" si="7"/>
        <v>0</v>
      </c>
      <c r="Q111" s="1780" t="str">
        <f t="shared" si="1"/>
        <v/>
      </c>
      <c r="R111" s="1779">
        <f t="shared" si="8"/>
        <v>0</v>
      </c>
      <c r="S111" s="1780" t="str">
        <f t="shared" si="2"/>
        <v/>
      </c>
    </row>
    <row r="112" outlineLevel="1">
      <c r="A112" s="1777"/>
      <c r="B112" s="1777"/>
      <c r="C112" s="1777" t="s">
        <v>2873</v>
      </c>
      <c r="D112" s="1777" t="s">
        <v>382</v>
      </c>
      <c r="E112" s="1778">
        <v>642.0</v>
      </c>
      <c r="F112" s="1778">
        <v>2.0</v>
      </c>
      <c r="G112" s="1779">
        <f>SUMIFS(BP_SOTIEN,BP_THANG,G$2,BP_KM,$D112)/1000</f>
        <v>0</v>
      </c>
      <c r="H112" s="1780">
        <f t="shared" si="16"/>
        <v>0</v>
      </c>
      <c r="I112" s="1780"/>
      <c r="J112" s="1779">
        <f>IF(NOW()&gt;=DATE(YEAR(G$2),MONTH(G$2)+1,DAY(G$2)),SUMIFS(TF_SOTIEN,TF_THANG,G$2,TF_KM,$D112)/1000, M112)</f>
        <v>0</v>
      </c>
      <c r="K112" s="1780">
        <f t="shared" si="17"/>
        <v>0</v>
      </c>
      <c r="L112" s="1780"/>
      <c r="M112" s="1779">
        <f>IF(NOW()&gt;=DATE(YEAR(G$2),MONTH(G$2)+1,DAY(G$2)),SUMIFS(AC_SOTIEN,AC_THANG,G$2,AC_KM,$D112),SUMIFS(TF_SOTIEN,TF_THANG,G$2,TF_KM,$D112))/ 1000</f>
        <v>5541</v>
      </c>
      <c r="N112" s="1780">
        <f t="shared" si="18"/>
        <v>0.009973504784</v>
      </c>
      <c r="O112" s="1780">
        <f t="shared" si="34"/>
        <v>0.0221034901</v>
      </c>
      <c r="P112" s="1779">
        <f t="shared" si="7"/>
        <v>5541</v>
      </c>
      <c r="Q112" s="1780" t="str">
        <f t="shared" si="1"/>
        <v/>
      </c>
      <c r="R112" s="1779">
        <f t="shared" si="8"/>
        <v>5541</v>
      </c>
      <c r="S112" s="1780" t="str">
        <f t="shared" si="2"/>
        <v/>
      </c>
    </row>
    <row r="113">
      <c r="A113" s="1762" t="s">
        <v>2874</v>
      </c>
      <c r="B113" s="1763"/>
      <c r="C113" s="1763"/>
      <c r="D113" s="1763"/>
      <c r="E113" s="1763"/>
      <c r="F113" s="1763"/>
      <c r="G113" s="1764">
        <f>G84+G66+G65</f>
        <v>8101199</v>
      </c>
      <c r="H113" s="1765">
        <f t="shared" si="16"/>
        <v>2.02529975</v>
      </c>
      <c r="I113" s="3"/>
      <c r="J113" s="1764">
        <f>J84+J66+J65</f>
        <v>1055850.412</v>
      </c>
      <c r="K113" s="1765">
        <f t="shared" si="17"/>
        <v>0.7065113144</v>
      </c>
      <c r="L113" s="3"/>
      <c r="M113" s="1764">
        <f>M84+M66+M65</f>
        <v>788310.917</v>
      </c>
      <c r="N113" s="1765">
        <f t="shared" si="18"/>
        <v>1.418917651</v>
      </c>
      <c r="O113" s="3"/>
      <c r="P113" s="1766">
        <f t="shared" si="7"/>
        <v>-7312888.083</v>
      </c>
      <c r="Q113" s="1776">
        <f t="shared" si="1"/>
        <v>-0.9026920685</v>
      </c>
      <c r="R113" s="1766">
        <f t="shared" si="8"/>
        <v>-267539.495</v>
      </c>
      <c r="S113" s="1776">
        <f t="shared" si="2"/>
        <v>-0.2533876882</v>
      </c>
    </row>
    <row r="114">
      <c r="A114" s="1155" t="s">
        <v>2875</v>
      </c>
      <c r="B114" s="1156"/>
      <c r="C114" s="1156"/>
      <c r="D114" s="1156"/>
      <c r="E114" s="1156"/>
      <c r="F114" s="1157">
        <v>1.0</v>
      </c>
      <c r="G114" s="1158">
        <f>G49+G64-G113</f>
        <v>-4101199</v>
      </c>
      <c r="H114" s="1159">
        <f t="shared" si="16"/>
        <v>-1.02529975</v>
      </c>
      <c r="I114" s="3"/>
      <c r="J114" s="1160">
        <f>J49+J64-J113</f>
        <v>438606.068</v>
      </c>
      <c r="K114" s="1159">
        <f t="shared" si="17"/>
        <v>0.2934886856</v>
      </c>
      <c r="L114" s="3"/>
      <c r="M114" s="1160">
        <f>M49+M64-M113</f>
        <v>-232738.917</v>
      </c>
      <c r="N114" s="1159">
        <f t="shared" si="18"/>
        <v>-0.4189176506</v>
      </c>
      <c r="O114" s="3"/>
      <c r="P114" s="1161">
        <f t="shared" si="7"/>
        <v>3868460.083</v>
      </c>
      <c r="Q114" s="1162">
        <f t="shared" si="1"/>
        <v>-0.9432510061</v>
      </c>
      <c r="R114" s="1161">
        <f t="shared" si="8"/>
        <v>-671344.985</v>
      </c>
      <c r="S114" s="1162">
        <f t="shared" si="2"/>
        <v>-1.530633144</v>
      </c>
    </row>
    <row r="115">
      <c r="A115" s="1135"/>
      <c r="B115" s="1135"/>
      <c r="C115" s="1135" t="s">
        <v>2876</v>
      </c>
      <c r="D115" s="1135" t="s">
        <v>2877</v>
      </c>
      <c r="E115" s="1136">
        <v>711.0</v>
      </c>
      <c r="F115" s="1136">
        <v>2.0</v>
      </c>
      <c r="G115" s="1137">
        <f>SUMIFS(BP_SOTIEN,BP_THANG,G$2,BP_KM,$D115)/1000</f>
        <v>0</v>
      </c>
      <c r="H115" s="1138">
        <f t="shared" si="16"/>
        <v>0</v>
      </c>
      <c r="I115" s="3"/>
      <c r="J115" s="1139">
        <f>IF(NOW()&gt;=DATE(YEAR(G$2),MONTH(G$2)+1,DAY(G$2)),SUMIFS(TF_SOTIEN,TF_THANG,G$2,TF_KM,$D115)/1000, M115)</f>
        <v>0</v>
      </c>
      <c r="K115" s="1138">
        <f t="shared" si="17"/>
        <v>0</v>
      </c>
      <c r="L115" s="3"/>
      <c r="M115" s="1139">
        <f>IF(NOW()&gt;=DATE(YEAR(G$2),MONTH(G$2)+1,DAY(G$2)),SUMIFS(AC_SOTIEN,AC_THANG,G$2,AC_KM,$D115),SUMIFS(TF_SOTIEN,TF_THANG,G$2,TF_KM,$D115))/ 1000</f>
        <v>0</v>
      </c>
      <c r="N115" s="1138">
        <f t="shared" si="18"/>
        <v>0</v>
      </c>
      <c r="O115" s="3"/>
      <c r="P115" s="1163">
        <f t="shared" si="7"/>
        <v>0</v>
      </c>
      <c r="Q115" s="1140" t="str">
        <f t="shared" si="1"/>
        <v/>
      </c>
      <c r="R115" s="1163">
        <f t="shared" si="8"/>
        <v>0</v>
      </c>
      <c r="S115" s="1140" t="str">
        <f t="shared" si="2"/>
        <v/>
      </c>
    </row>
    <row r="116">
      <c r="A116" s="1763"/>
      <c r="B116" s="1763"/>
      <c r="C116" s="1763" t="s">
        <v>2090</v>
      </c>
      <c r="D116" s="1763" t="s">
        <v>380</v>
      </c>
      <c r="E116" s="1775">
        <v>811.0</v>
      </c>
      <c r="F116" s="1775">
        <v>2.0</v>
      </c>
      <c r="G116" s="1764">
        <f>SUMIFS(BP_SOTIEN,BP_THANG,G$2,BP_KM,$D116)/1000</f>
        <v>4165</v>
      </c>
      <c r="H116" s="1765">
        <f t="shared" si="16"/>
        <v>0.00104125</v>
      </c>
      <c r="I116" s="3"/>
      <c r="J116" s="1764">
        <f>IF(NOW()&gt;=DATE(YEAR(G$2),MONTH(G$2)+1,DAY(G$2)),SUMIFS(TF_SOTIEN,TF_THANG,G$2,TF_KM,$D116)/1000, M116)</f>
        <v>4165</v>
      </c>
      <c r="K116" s="1765">
        <f t="shared" si="17"/>
        <v>0.002786966403</v>
      </c>
      <c r="L116" s="3"/>
      <c r="M116" s="1764">
        <f>IF(NOW()&gt;=DATE(YEAR(G$2),MONTH(G$2)+1,DAY(G$2)),SUMIFS(AC_SOTIEN,AC_THANG,G$2,AC_KM,$D116),SUMIFS(TF_SOTIEN,TF_THANG,G$2,TF_KM,$D116))/ 1000</f>
        <v>0</v>
      </c>
      <c r="N116" s="1765">
        <f t="shared" si="18"/>
        <v>0</v>
      </c>
      <c r="O116" s="3"/>
      <c r="P116" s="1766">
        <f t="shared" si="7"/>
        <v>-4165</v>
      </c>
      <c r="Q116" s="1767">
        <f t="shared" si="1"/>
        <v>-1</v>
      </c>
      <c r="R116" s="1766">
        <f t="shared" si="8"/>
        <v>-4165</v>
      </c>
      <c r="S116" s="1776">
        <f t="shared" si="2"/>
        <v>-1</v>
      </c>
    </row>
    <row r="117">
      <c r="A117" s="1156"/>
      <c r="B117" s="1156"/>
      <c r="C117" s="1156" t="s">
        <v>2878</v>
      </c>
      <c r="D117" s="1156"/>
      <c r="E117" s="1156"/>
      <c r="F117" s="1156"/>
      <c r="G117" s="1158">
        <f>G115-G116</f>
        <v>-4165</v>
      </c>
      <c r="H117" s="1159">
        <f t="shared" si="16"/>
        <v>-0.00104125</v>
      </c>
      <c r="I117" s="3"/>
      <c r="J117" s="1160">
        <f>J115-J116</f>
        <v>-4165</v>
      </c>
      <c r="K117" s="1159">
        <f t="shared" si="17"/>
        <v>-0.002786966403</v>
      </c>
      <c r="L117" s="3"/>
      <c r="M117" s="1160">
        <f>M115-M116</f>
        <v>0</v>
      </c>
      <c r="N117" s="1159">
        <f t="shared" si="18"/>
        <v>0</v>
      </c>
      <c r="O117" s="3"/>
      <c r="P117" s="1161">
        <f t="shared" si="7"/>
        <v>4165</v>
      </c>
      <c r="Q117" s="1164">
        <f t="shared" si="1"/>
        <v>-1</v>
      </c>
      <c r="R117" s="1161">
        <f t="shared" si="8"/>
        <v>4165</v>
      </c>
      <c r="S117" s="1162">
        <f t="shared" si="2"/>
        <v>-1</v>
      </c>
    </row>
    <row r="118">
      <c r="A118" s="1155" t="s">
        <v>2879</v>
      </c>
      <c r="B118" s="1156"/>
      <c r="C118" s="1156"/>
      <c r="D118" s="1156"/>
      <c r="E118" s="1156"/>
      <c r="F118" s="1156"/>
      <c r="G118" s="1158">
        <f>G114+G117</f>
        <v>-4105364</v>
      </c>
      <c r="H118" s="1159">
        <f t="shared" si="16"/>
        <v>-1.026341</v>
      </c>
      <c r="I118" s="3"/>
      <c r="J118" s="1160">
        <f>J114+J117</f>
        <v>434441.068</v>
      </c>
      <c r="K118" s="1159">
        <f t="shared" si="17"/>
        <v>0.2907017192</v>
      </c>
      <c r="L118" s="3"/>
      <c r="M118" s="1160">
        <f>M114+M117</f>
        <v>-232738.917</v>
      </c>
      <c r="N118" s="1159">
        <f t="shared" si="18"/>
        <v>-0.4189176506</v>
      </c>
      <c r="O118" s="3"/>
      <c r="P118" s="1161">
        <f t="shared" si="7"/>
        <v>3872625.083</v>
      </c>
      <c r="Q118" s="1162">
        <f t="shared" si="1"/>
        <v>-0.9433085795</v>
      </c>
      <c r="R118" s="1161">
        <f t="shared" si="8"/>
        <v>-667179.985</v>
      </c>
      <c r="S118" s="1162">
        <f t="shared" si="2"/>
        <v>-1.535720341</v>
      </c>
    </row>
    <row r="119">
      <c r="A119" s="1762" t="s">
        <v>2880</v>
      </c>
      <c r="B119" s="1763"/>
      <c r="C119" s="1763"/>
      <c r="D119" s="1763" t="s">
        <v>2881</v>
      </c>
      <c r="E119" s="1763"/>
      <c r="F119" s="1775">
        <v>1.0</v>
      </c>
      <c r="G119" s="1865" t="str">
        <f>IF(G118&gt;0,G118*0.14,"")</f>
        <v/>
      </c>
      <c r="H119" s="1765">
        <f t="shared" si="16"/>
        <v>0</v>
      </c>
      <c r="I119" s="3"/>
      <c r="J119" s="1865">
        <f>IF(J118&gt;0,J118*0.14,"")</f>
        <v>60821.74952</v>
      </c>
      <c r="K119" s="1765">
        <f t="shared" si="17"/>
        <v>0.04069824069</v>
      </c>
      <c r="L119" s="3"/>
      <c r="M119" s="1865" t="str">
        <f>IF(M118&gt;0,M118*0.14,"")</f>
        <v/>
      </c>
      <c r="N119" s="1765">
        <f t="shared" si="18"/>
        <v>0</v>
      </c>
      <c r="O119" s="3"/>
      <c r="P119" s="1766">
        <f t="shared" si="7"/>
        <v>0</v>
      </c>
      <c r="Q119" s="1776" t="str">
        <f t="shared" si="1"/>
        <v/>
      </c>
      <c r="R119" s="1766">
        <f t="shared" si="8"/>
        <v>-60821.74952</v>
      </c>
      <c r="S119" s="1767">
        <f t="shared" si="2"/>
        <v>-1</v>
      </c>
    </row>
    <row r="120">
      <c r="A120" s="1798" t="s">
        <v>2882</v>
      </c>
      <c r="B120" s="1799"/>
      <c r="C120" s="1799"/>
      <c r="D120" s="1799"/>
      <c r="E120" s="1799"/>
      <c r="F120" s="1799"/>
      <c r="G120" s="1800">
        <f>G118-G119</f>
        <v>-4105364</v>
      </c>
      <c r="H120" s="1801">
        <f t="shared" si="16"/>
        <v>-1.026341</v>
      </c>
      <c r="I120" s="235"/>
      <c r="J120" s="1802">
        <f>J118-J119</f>
        <v>373619.3185</v>
      </c>
      <c r="K120" s="1801">
        <f t="shared" si="17"/>
        <v>0.2500034785</v>
      </c>
      <c r="L120" s="235"/>
      <c r="M120" s="1802">
        <f>M118-M119</f>
        <v>-232738.917</v>
      </c>
      <c r="N120" s="1801">
        <f t="shared" si="18"/>
        <v>-0.4189176506</v>
      </c>
      <c r="O120" s="235"/>
      <c r="P120" s="1803">
        <f t="shared" si="7"/>
        <v>3872625.083</v>
      </c>
      <c r="Q120" s="1804">
        <f t="shared" si="1"/>
        <v>-0.9433085795</v>
      </c>
      <c r="R120" s="1803">
        <f t="shared" si="8"/>
        <v>-606358.2355</v>
      </c>
      <c r="S120" s="1804">
        <f t="shared" si="2"/>
        <v>-1.622930629</v>
      </c>
    </row>
    <row r="121" outlineLevel="1">
      <c r="A121" s="1777"/>
      <c r="B121" s="1777"/>
      <c r="C121" s="1777" t="s">
        <v>2091</v>
      </c>
      <c r="D121" s="1777" t="s">
        <v>203</v>
      </c>
      <c r="E121" s="1777"/>
      <c r="F121" s="1778">
        <v>2.0</v>
      </c>
      <c r="G121" s="1779">
        <f>SUMIFS(BP_SOTIEN,BP_THANG,G$2,BP_KM,$D121)/1000</f>
        <v>0</v>
      </c>
      <c r="H121" s="1786">
        <f t="shared" si="16"/>
        <v>0</v>
      </c>
      <c r="I121" s="1786"/>
      <c r="J121" s="1779">
        <f>IF(NOW()&gt;=DATE(YEAR(G$2),MONTH(G$2)+1,DAY(G$2)),SUMIFS(TF_SOTIEN,TF_THANG,G$2,TF_KM,$D121)/1000, M121)</f>
        <v>0</v>
      </c>
      <c r="K121" s="1786">
        <f t="shared" si="17"/>
        <v>0</v>
      </c>
      <c r="L121" s="1786"/>
      <c r="M121" s="1779">
        <f>IF(NOW()&gt;=DATE(YEAR(G$2),MONTH(G$2)+1,DAY(G$2)),SUMIFS(AC_SOTIEN,AC_THANG,G$2,AC_KM,$D121),SUMIFS(TF_SOTIEN,TF_THANG,G$2,TF_KM,$D121))/ 1000</f>
        <v>42028.16</v>
      </c>
      <c r="N121" s="1786">
        <f t="shared" si="18"/>
        <v>0.07564844881</v>
      </c>
      <c r="O121" s="1786">
        <f>IFERROR(M121/M$66,"")</f>
        <v>0.07817352404</v>
      </c>
      <c r="P121" s="1779">
        <f t="shared" si="7"/>
        <v>42028.16</v>
      </c>
      <c r="Q121" s="1786" t="str">
        <f t="shared" si="1"/>
        <v/>
      </c>
      <c r="R121" s="1779">
        <f t="shared" si="8"/>
        <v>42028.16</v>
      </c>
      <c r="S121" s="1786" t="str">
        <f t="shared" si="2"/>
        <v/>
      </c>
    </row>
    <row r="122">
      <c r="A122" s="1866"/>
      <c r="B122" s="1867"/>
      <c r="C122" s="1867"/>
      <c r="D122" s="1867"/>
      <c r="E122" s="1867"/>
      <c r="F122" s="1867"/>
      <c r="G122" s="1868"/>
      <c r="H122" s="1869"/>
      <c r="I122" s="1869"/>
      <c r="J122" s="1870"/>
      <c r="K122" s="1869"/>
      <c r="L122" s="1869"/>
      <c r="M122" s="1870"/>
      <c r="N122" s="1869"/>
      <c r="O122" s="1869"/>
      <c r="P122" s="1871"/>
      <c r="Q122" s="1872"/>
      <c r="R122" s="1871"/>
      <c r="S122" s="1872"/>
    </row>
    <row r="123">
      <c r="A123" s="1866"/>
      <c r="B123" s="1867"/>
      <c r="C123" s="1867"/>
      <c r="D123" s="1867"/>
      <c r="E123" s="1867"/>
      <c r="F123" s="1867"/>
      <c r="G123" s="1873"/>
      <c r="H123" s="1874"/>
      <c r="I123" s="1874"/>
      <c r="J123" s="1870"/>
      <c r="K123" s="1869"/>
      <c r="L123" s="1869"/>
      <c r="M123" s="1870"/>
      <c r="N123" s="1869"/>
      <c r="O123" s="1869"/>
      <c r="P123" s="1871"/>
      <c r="Q123" s="1872"/>
      <c r="R123" s="1871"/>
      <c r="S123" s="1872"/>
    </row>
    <row r="124">
      <c r="A124" s="1866"/>
      <c r="B124" s="1867"/>
      <c r="C124" s="1867"/>
      <c r="D124" s="1867"/>
      <c r="E124" s="1867"/>
      <c r="F124" s="1867"/>
      <c r="G124" s="1873"/>
      <c r="H124" s="1874"/>
      <c r="I124" s="1874"/>
      <c r="J124" s="1870"/>
      <c r="K124" s="1869"/>
      <c r="L124" s="1869"/>
      <c r="M124" s="1870"/>
      <c r="N124" s="1869"/>
      <c r="O124" s="1869"/>
      <c r="P124" s="1871"/>
      <c r="Q124" s="1872"/>
      <c r="R124" s="1871"/>
      <c r="S124" s="1872"/>
    </row>
    <row r="125">
      <c r="A125" s="1866"/>
      <c r="B125" s="1867"/>
      <c r="C125" s="1867"/>
      <c r="D125" s="1867"/>
      <c r="E125" s="1867"/>
      <c r="F125" s="1867"/>
      <c r="G125" s="1873"/>
      <c r="H125" s="1874"/>
      <c r="I125" s="1874"/>
      <c r="J125" s="1870"/>
      <c r="K125" s="1869"/>
      <c r="L125" s="1869"/>
      <c r="M125" s="1870"/>
      <c r="N125" s="1869"/>
      <c r="O125" s="1869"/>
      <c r="P125" s="1871"/>
      <c r="Q125" s="1872"/>
      <c r="R125" s="1871"/>
      <c r="S125" s="1872"/>
    </row>
    <row r="126">
      <c r="A126" s="1866"/>
      <c r="B126" s="1867"/>
      <c r="C126" s="1867"/>
      <c r="D126" s="1867"/>
      <c r="E126" s="1867"/>
      <c r="F126" s="1867"/>
      <c r="G126" s="1873"/>
      <c r="H126" s="1874"/>
      <c r="I126" s="1874"/>
      <c r="J126" s="1870"/>
      <c r="K126" s="1869"/>
      <c r="L126" s="1869"/>
      <c r="M126" s="1870"/>
      <c r="N126" s="1869"/>
      <c r="O126" s="1869"/>
      <c r="P126" s="1871"/>
      <c r="Q126" s="1872"/>
      <c r="R126" s="1871"/>
      <c r="S126" s="1872"/>
    </row>
    <row r="127">
      <c r="A127" s="1866"/>
      <c r="B127" s="1867"/>
      <c r="C127" s="1867"/>
      <c r="D127" s="1867"/>
      <c r="E127" s="1867"/>
      <c r="F127" s="1867"/>
      <c r="G127" s="1873"/>
      <c r="H127" s="1874"/>
      <c r="I127" s="1874"/>
      <c r="J127" s="1870"/>
      <c r="K127" s="1869"/>
      <c r="L127" s="1869"/>
      <c r="M127" s="1870"/>
      <c r="N127" s="1869"/>
      <c r="O127" s="1869"/>
      <c r="P127" s="1871"/>
      <c r="Q127" s="1872"/>
      <c r="R127" s="1871"/>
      <c r="S127" s="1872"/>
    </row>
    <row r="128">
      <c r="A128" s="1866"/>
      <c r="B128" s="1867"/>
      <c r="C128" s="1867"/>
      <c r="D128" s="1867"/>
      <c r="E128" s="1867"/>
      <c r="F128" s="1867"/>
      <c r="G128" s="1873"/>
      <c r="H128" s="1874"/>
      <c r="I128" s="1874"/>
      <c r="J128" s="1870"/>
      <c r="K128" s="1869"/>
      <c r="L128" s="1869"/>
      <c r="M128" s="1870"/>
      <c r="N128" s="1869"/>
      <c r="O128" s="1869"/>
      <c r="P128" s="1871"/>
      <c r="Q128" s="1872"/>
      <c r="R128" s="1871"/>
      <c r="S128" s="1872"/>
    </row>
    <row r="129">
      <c r="A129" s="1866"/>
      <c r="B129" s="1867"/>
      <c r="C129" s="1867"/>
      <c r="D129" s="1867"/>
      <c r="E129" s="1867"/>
      <c r="F129" s="1867"/>
      <c r="G129" s="1873"/>
      <c r="H129" s="1874"/>
      <c r="I129" s="1874"/>
      <c r="J129" s="1870"/>
      <c r="K129" s="1869"/>
      <c r="L129" s="1869"/>
      <c r="M129" s="1870"/>
      <c r="N129" s="1869"/>
      <c r="O129" s="1869"/>
      <c r="P129" s="1871"/>
      <c r="Q129" s="1872"/>
      <c r="R129" s="1871"/>
      <c r="S129" s="1872"/>
    </row>
    <row r="130">
      <c r="A130" s="1866"/>
      <c r="B130" s="1867"/>
      <c r="C130" s="1867"/>
      <c r="D130" s="1867"/>
      <c r="E130" s="1867"/>
      <c r="F130" s="1867"/>
      <c r="G130" s="1873"/>
      <c r="H130" s="1874"/>
      <c r="I130" s="1874"/>
      <c r="J130" s="1870"/>
      <c r="K130" s="1869"/>
      <c r="L130" s="1869"/>
      <c r="M130" s="1870"/>
      <c r="N130" s="1869"/>
      <c r="O130" s="1869"/>
      <c r="P130" s="1871"/>
      <c r="Q130" s="1872"/>
      <c r="R130" s="1871"/>
      <c r="S130" s="1872"/>
    </row>
    <row r="131">
      <c r="A131" s="1866"/>
      <c r="B131" s="1867"/>
      <c r="C131" s="1867"/>
      <c r="D131" s="1867"/>
      <c r="E131" s="1867"/>
      <c r="F131" s="1867"/>
      <c r="G131" s="1873"/>
      <c r="H131" s="1874"/>
      <c r="I131" s="1874"/>
      <c r="J131" s="1870"/>
      <c r="K131" s="1869"/>
      <c r="L131" s="1869"/>
      <c r="M131" s="1870"/>
      <c r="N131" s="1869"/>
      <c r="O131" s="1869"/>
      <c r="P131" s="1871"/>
      <c r="Q131" s="1872"/>
      <c r="R131" s="1871"/>
      <c r="S131" s="1872"/>
    </row>
    <row r="132">
      <c r="A132" s="1866"/>
      <c r="B132" s="1867"/>
      <c r="C132" s="1867"/>
      <c r="D132" s="1867"/>
      <c r="E132" s="1867"/>
      <c r="F132" s="1867"/>
      <c r="G132" s="1873"/>
      <c r="H132" s="1874"/>
      <c r="I132" s="1874"/>
      <c r="J132" s="1870"/>
      <c r="K132" s="1869"/>
      <c r="L132" s="1869"/>
      <c r="M132" s="1870"/>
      <c r="N132" s="1869"/>
      <c r="O132" s="1869"/>
      <c r="P132" s="1871"/>
      <c r="Q132" s="1872"/>
      <c r="R132" s="1871"/>
      <c r="S132" s="1872"/>
    </row>
    <row r="133">
      <c r="A133" s="1866"/>
      <c r="B133" s="1867"/>
      <c r="C133" s="1867"/>
      <c r="D133" s="1867"/>
      <c r="E133" s="1867"/>
      <c r="F133" s="1867"/>
      <c r="G133" s="1873"/>
      <c r="H133" s="1874"/>
      <c r="I133" s="1874"/>
      <c r="J133" s="1870"/>
      <c r="K133" s="1869"/>
      <c r="L133" s="1869"/>
      <c r="M133" s="1870"/>
      <c r="N133" s="1869"/>
      <c r="O133" s="1869"/>
      <c r="P133" s="1871"/>
      <c r="Q133" s="1872"/>
      <c r="R133" s="1871"/>
      <c r="S133" s="1872"/>
    </row>
    <row r="134">
      <c r="A134" s="1866"/>
      <c r="B134" s="1867"/>
      <c r="C134" s="1867"/>
      <c r="D134" s="1867"/>
      <c r="E134" s="1867"/>
      <c r="F134" s="1867"/>
      <c r="G134" s="1873"/>
      <c r="H134" s="1874"/>
      <c r="I134" s="1874"/>
      <c r="J134" s="1870"/>
      <c r="K134" s="1869"/>
      <c r="L134" s="1869"/>
      <c r="M134" s="1870"/>
      <c r="N134" s="1869"/>
      <c r="O134" s="1869"/>
      <c r="P134" s="1871"/>
      <c r="Q134" s="1872"/>
      <c r="R134" s="1871"/>
      <c r="S134" s="1872"/>
    </row>
    <row r="135">
      <c r="A135" s="1866"/>
      <c r="B135" s="1867"/>
      <c r="C135" s="1867"/>
      <c r="D135" s="1867"/>
      <c r="E135" s="1867"/>
      <c r="F135" s="1867"/>
      <c r="G135" s="1873"/>
      <c r="H135" s="1874"/>
      <c r="I135" s="1874"/>
      <c r="J135" s="1870"/>
      <c r="K135" s="1869"/>
      <c r="L135" s="1869"/>
      <c r="M135" s="1870"/>
      <c r="N135" s="1869"/>
      <c r="O135" s="1869"/>
      <c r="P135" s="1871"/>
      <c r="Q135" s="1872"/>
      <c r="R135" s="1871"/>
      <c r="S135" s="1872"/>
    </row>
    <row r="136">
      <c r="A136" s="1866"/>
      <c r="B136" s="1867"/>
      <c r="C136" s="1867"/>
      <c r="D136" s="1867"/>
      <c r="E136" s="1867"/>
      <c r="F136" s="1867"/>
      <c r="G136" s="1873"/>
      <c r="H136" s="1874"/>
      <c r="I136" s="1874"/>
      <c r="J136" s="1870"/>
      <c r="K136" s="1869"/>
      <c r="L136" s="1869"/>
      <c r="M136" s="1870"/>
      <c r="N136" s="1869"/>
      <c r="O136" s="1869"/>
      <c r="P136" s="1871"/>
      <c r="Q136" s="1872"/>
      <c r="R136" s="1871"/>
      <c r="S136" s="1872"/>
    </row>
    <row r="137">
      <c r="A137" s="1866"/>
      <c r="B137" s="1867"/>
      <c r="C137" s="1867"/>
      <c r="D137" s="1867"/>
      <c r="E137" s="1867"/>
      <c r="F137" s="1867"/>
      <c r="G137" s="1873"/>
      <c r="H137" s="1874"/>
      <c r="I137" s="1874"/>
      <c r="J137" s="1870"/>
      <c r="K137" s="1869"/>
      <c r="L137" s="1869"/>
      <c r="M137" s="1870"/>
      <c r="N137" s="1869"/>
      <c r="O137" s="1869"/>
      <c r="P137" s="1871"/>
      <c r="Q137" s="1872"/>
      <c r="R137" s="1871"/>
      <c r="S137" s="1872"/>
    </row>
    <row r="138">
      <c r="A138" s="1866"/>
      <c r="B138" s="1867"/>
      <c r="C138" s="1867"/>
      <c r="D138" s="1867"/>
      <c r="E138" s="1867"/>
      <c r="F138" s="1867"/>
      <c r="G138" s="1873" t="s">
        <v>2813</v>
      </c>
      <c r="H138" s="1874" t="s">
        <v>2814</v>
      </c>
      <c r="I138" s="1874" t="s">
        <v>2815</v>
      </c>
      <c r="J138" s="1870"/>
      <c r="K138" s="1869"/>
      <c r="L138" s="1869"/>
      <c r="M138" s="1870"/>
      <c r="N138" s="1869"/>
      <c r="O138" s="1869"/>
      <c r="P138" s="1871"/>
      <c r="Q138" s="1872"/>
      <c r="R138" s="1871"/>
      <c r="S138" s="1872"/>
    </row>
    <row r="139">
      <c r="A139" s="1866"/>
      <c r="B139" s="1867"/>
      <c r="C139" s="1820" t="s">
        <v>2818</v>
      </c>
      <c r="D139" s="1867"/>
      <c r="E139" s="1867"/>
      <c r="F139" s="1867"/>
      <c r="G139" s="1875">
        <f>G4</f>
        <v>33333333.33</v>
      </c>
      <c r="H139" s="1875">
        <f>J4</f>
        <v>11984804</v>
      </c>
      <c r="I139" s="1875">
        <f>M4</f>
        <v>3863100</v>
      </c>
      <c r="J139" s="1870"/>
      <c r="K139" s="1869"/>
      <c r="L139" s="1869"/>
      <c r="M139" s="1870"/>
      <c r="N139" s="1869"/>
      <c r="O139" s="1869"/>
      <c r="P139" s="1871"/>
      <c r="Q139" s="1872"/>
      <c r="R139" s="1871"/>
      <c r="S139" s="1872"/>
    </row>
    <row r="140">
      <c r="A140" s="1866"/>
      <c r="B140" s="1867"/>
      <c r="C140" s="98" t="s">
        <v>3951</v>
      </c>
      <c r="G140" s="1876">
        <v>1.0</v>
      </c>
      <c r="H140" s="1877">
        <f t="shared" ref="H140:I140" si="35">H139/$G139</f>
        <v>0.35954412</v>
      </c>
      <c r="I140" s="1877">
        <f t="shared" si="35"/>
        <v>0.115893</v>
      </c>
      <c r="J140" s="1870"/>
      <c r="K140" s="1869"/>
      <c r="L140" s="1869"/>
      <c r="M140" s="1870"/>
      <c r="N140" s="1869"/>
      <c r="O140" s="1869"/>
      <c r="P140" s="1871"/>
      <c r="Q140" s="1872"/>
      <c r="R140" s="1871"/>
      <c r="S140" s="1872"/>
    </row>
    <row r="141">
      <c r="A141" s="1866"/>
      <c r="B141" s="1867"/>
      <c r="G141" s="1873" t="s">
        <v>2813</v>
      </c>
      <c r="H141" s="1874" t="s">
        <v>2814</v>
      </c>
      <c r="I141" s="1874" t="s">
        <v>2815</v>
      </c>
      <c r="J141" s="1870"/>
      <c r="K141" s="1869"/>
      <c r="L141" s="1869"/>
      <c r="M141" s="1870"/>
      <c r="N141" s="1869"/>
      <c r="O141" s="1869"/>
      <c r="P141" s="1871"/>
      <c r="Q141" s="1872"/>
      <c r="R141" s="1871"/>
      <c r="S141" s="1872"/>
    </row>
    <row r="142">
      <c r="A142" s="1866"/>
      <c r="B142" s="1867"/>
      <c r="C142" s="1820" t="s">
        <v>2822</v>
      </c>
      <c r="D142" s="1867"/>
      <c r="E142" s="1867"/>
      <c r="F142" s="1867"/>
      <c r="G142" s="1875">
        <f>G19</f>
        <v>4000000</v>
      </c>
      <c r="H142" s="1875">
        <f>J19</f>
        <v>1494456.48</v>
      </c>
      <c r="I142" s="1875">
        <f>M19</f>
        <v>555572</v>
      </c>
      <c r="J142" s="1870"/>
      <c r="K142" s="1869"/>
      <c r="L142" s="1869"/>
      <c r="M142" s="1870"/>
      <c r="N142" s="1869"/>
      <c r="O142" s="1869"/>
      <c r="P142" s="1871"/>
      <c r="Q142" s="1872"/>
      <c r="R142" s="1871"/>
      <c r="S142" s="1872"/>
    </row>
    <row r="143">
      <c r="A143" s="1866"/>
      <c r="B143" s="1867"/>
      <c r="C143" s="98" t="s">
        <v>3951</v>
      </c>
      <c r="G143" s="1876">
        <v>1.0</v>
      </c>
      <c r="H143" s="1877">
        <f t="shared" ref="H143:I143" si="36">H142/$G142</f>
        <v>0.37361412</v>
      </c>
      <c r="I143" s="1877">
        <f t="shared" si="36"/>
        <v>0.138893</v>
      </c>
      <c r="J143" s="1870"/>
      <c r="K143" s="1869"/>
      <c r="L143" s="1869"/>
      <c r="M143" s="1870"/>
      <c r="N143" s="1869"/>
      <c r="O143" s="1869"/>
      <c r="P143" s="1871"/>
      <c r="Q143" s="1872"/>
      <c r="R143" s="1871"/>
      <c r="S143" s="1872"/>
    </row>
    <row r="144">
      <c r="A144" s="1866"/>
      <c r="B144" s="1867"/>
      <c r="C144" s="1135" t="s">
        <v>2876</v>
      </c>
      <c r="D144" s="1867"/>
      <c r="E144" s="1867"/>
      <c r="F144" s="1867"/>
      <c r="G144" s="1875">
        <f>G115</f>
        <v>0</v>
      </c>
      <c r="H144" s="1875">
        <f>J115</f>
        <v>0</v>
      </c>
      <c r="I144" s="1875">
        <f>M115</f>
        <v>0</v>
      </c>
      <c r="J144" s="1870"/>
      <c r="K144" s="1869"/>
      <c r="L144" s="1869"/>
      <c r="M144" s="1870"/>
      <c r="N144" s="1869"/>
      <c r="O144" s="1869"/>
      <c r="P144" s="1871"/>
      <c r="Q144" s="1872"/>
      <c r="R144" s="1871"/>
      <c r="S144" s="1872"/>
    </row>
    <row r="145">
      <c r="A145" s="1866"/>
      <c r="B145" s="1867"/>
      <c r="C145" s="1762" t="s">
        <v>2826</v>
      </c>
      <c r="D145" s="1867"/>
      <c r="E145" s="1867"/>
      <c r="F145" s="1867"/>
      <c r="G145" s="1875">
        <f>G65</f>
        <v>0</v>
      </c>
      <c r="H145" s="1875">
        <f>J65</f>
        <v>0</v>
      </c>
      <c r="I145" s="1875">
        <f>M65</f>
        <v>0</v>
      </c>
      <c r="J145" s="1870"/>
      <c r="K145" s="1869"/>
      <c r="L145" s="1869"/>
      <c r="M145" s="1870"/>
      <c r="N145" s="1869"/>
      <c r="O145" s="1869"/>
      <c r="P145" s="1871"/>
      <c r="Q145" s="1872"/>
      <c r="R145" s="1871"/>
      <c r="S145" s="1872"/>
    </row>
    <row r="146">
      <c r="A146" s="1866"/>
      <c r="B146" s="1867"/>
      <c r="G146" s="1873" t="s">
        <v>2813</v>
      </c>
      <c r="H146" s="1874" t="s">
        <v>2814</v>
      </c>
      <c r="I146" s="1874" t="s">
        <v>2815</v>
      </c>
      <c r="J146" s="1870"/>
      <c r="K146" s="1869"/>
      <c r="L146" s="1869"/>
      <c r="M146" s="1870"/>
      <c r="N146" s="1869"/>
      <c r="O146" s="1869"/>
      <c r="P146" s="1871"/>
      <c r="Q146" s="1872"/>
      <c r="R146" s="1871"/>
      <c r="S146" s="1872"/>
    </row>
    <row r="147">
      <c r="A147" s="1866"/>
      <c r="B147" s="1867"/>
      <c r="C147" s="1762" t="s">
        <v>2827</v>
      </c>
      <c r="D147" s="1867"/>
      <c r="E147" s="1867"/>
      <c r="F147" s="1867"/>
      <c r="G147" s="1878">
        <f>G66</f>
        <v>7710170</v>
      </c>
      <c r="H147" s="1878">
        <f>J66</f>
        <v>789356.936</v>
      </c>
      <c r="I147" s="1878">
        <f>M66</f>
        <v>537626.524</v>
      </c>
      <c r="J147" s="1870"/>
      <c r="K147" s="1869"/>
      <c r="L147" s="1869"/>
      <c r="M147" s="1870"/>
      <c r="N147" s="1869"/>
      <c r="O147" s="1869"/>
      <c r="P147" s="1871"/>
      <c r="Q147" s="1872"/>
      <c r="R147" s="1871"/>
      <c r="S147" s="1872"/>
    </row>
    <row r="148">
      <c r="A148" s="1866"/>
      <c r="B148" s="1867"/>
      <c r="C148" s="1879" t="s">
        <v>3952</v>
      </c>
      <c r="G148" s="1880">
        <f>H66</f>
        <v>1.9275425</v>
      </c>
      <c r="H148" s="1880">
        <f>K66</f>
        <v>0.5281899785</v>
      </c>
      <c r="I148" s="1880">
        <f>N66</f>
        <v>0.9676990993</v>
      </c>
      <c r="J148" s="1870"/>
      <c r="K148" s="1869"/>
      <c r="L148" s="1869"/>
      <c r="M148" s="1870"/>
      <c r="N148" s="1869"/>
      <c r="O148" s="1869"/>
      <c r="P148" s="1871"/>
      <c r="Q148" s="1872"/>
      <c r="R148" s="1871"/>
      <c r="S148" s="1872"/>
    </row>
    <row r="149">
      <c r="A149" s="1866"/>
      <c r="B149" s="1867"/>
      <c r="G149" s="1873" t="s">
        <v>2813</v>
      </c>
      <c r="H149" s="1874" t="s">
        <v>2814</v>
      </c>
      <c r="I149" s="1874" t="s">
        <v>2815</v>
      </c>
      <c r="J149" s="1881"/>
      <c r="K149" s="1869"/>
      <c r="L149" s="1869"/>
      <c r="M149" s="1870"/>
      <c r="N149" s="1869"/>
      <c r="O149" s="1869"/>
      <c r="P149" s="1871"/>
      <c r="Q149" s="1872"/>
      <c r="R149" s="1871"/>
      <c r="S149" s="1872"/>
    </row>
    <row r="150">
      <c r="A150" s="1866"/>
      <c r="B150" s="1867"/>
      <c r="C150" s="1787" t="s">
        <v>3949</v>
      </c>
      <c r="D150" s="1867"/>
      <c r="E150" s="1867"/>
      <c r="F150" s="1867"/>
      <c r="G150" s="1878">
        <f>G84</f>
        <v>391029</v>
      </c>
      <c r="H150" s="1878">
        <f>J84</f>
        <v>266493.476</v>
      </c>
      <c r="I150" s="1878">
        <f>M84</f>
        <v>250684.393</v>
      </c>
      <c r="J150" s="1870"/>
      <c r="K150" s="1869"/>
      <c r="L150" s="1869"/>
      <c r="M150" s="1870"/>
      <c r="N150" s="1869"/>
      <c r="O150" s="1869"/>
      <c r="P150" s="1871"/>
      <c r="Q150" s="1872"/>
      <c r="R150" s="1871"/>
      <c r="S150" s="1872"/>
    </row>
    <row r="151">
      <c r="A151" s="1866"/>
      <c r="B151" s="1867"/>
      <c r="C151" s="1879" t="s">
        <v>3952</v>
      </c>
      <c r="G151" s="1880">
        <f>H84</f>
        <v>0.09775725</v>
      </c>
      <c r="H151" s="1880">
        <f>K84</f>
        <v>0.1783213359</v>
      </c>
      <c r="I151" s="1880">
        <f>N84</f>
        <v>0.4512185513</v>
      </c>
      <c r="J151" s="1870"/>
      <c r="K151" s="1869"/>
      <c r="L151" s="1869"/>
      <c r="M151" s="1870"/>
      <c r="N151" s="1869"/>
      <c r="O151" s="1869"/>
      <c r="P151" s="1871"/>
      <c r="Q151" s="1872"/>
      <c r="R151" s="1871"/>
      <c r="S151" s="1872"/>
    </row>
    <row r="152">
      <c r="A152" s="1866"/>
      <c r="B152" s="1867"/>
      <c r="C152" s="1763" t="s">
        <v>2090</v>
      </c>
      <c r="D152" s="1867"/>
      <c r="E152" s="1867"/>
      <c r="F152" s="1867"/>
      <c r="G152" s="1875">
        <f>G116</f>
        <v>4165</v>
      </c>
      <c r="H152" s="1875">
        <f>J116</f>
        <v>4165</v>
      </c>
      <c r="I152" s="1875">
        <f>M116</f>
        <v>0</v>
      </c>
      <c r="J152" s="1870"/>
      <c r="K152" s="1869"/>
      <c r="L152" s="1869"/>
      <c r="M152" s="1870"/>
      <c r="N152" s="1869"/>
      <c r="O152" s="1869"/>
      <c r="P152" s="1871"/>
      <c r="Q152" s="1872"/>
      <c r="R152" s="1871"/>
      <c r="S152" s="1872"/>
    </row>
    <row r="153">
      <c r="A153" s="1866"/>
      <c r="B153" s="1867"/>
      <c r="C153" s="1155" t="s">
        <v>2879</v>
      </c>
      <c r="D153" s="1867"/>
      <c r="E153" s="1867"/>
      <c r="F153" s="1867"/>
      <c r="G153" s="1875">
        <f t="shared" ref="G153:G154" si="37">G118</f>
        <v>-4105364</v>
      </c>
      <c r="H153" s="1875">
        <f t="shared" ref="H153:H154" si="38">J118</f>
        <v>434441.068</v>
      </c>
      <c r="I153" s="1875">
        <f t="shared" ref="I153:I154" si="39">M118</f>
        <v>-232738.917</v>
      </c>
      <c r="J153" s="1870"/>
      <c r="K153" s="1869"/>
      <c r="L153" s="1869"/>
      <c r="M153" s="1870"/>
      <c r="N153" s="1869"/>
      <c r="O153" s="1869"/>
      <c r="P153" s="1871"/>
      <c r="Q153" s="1872"/>
      <c r="R153" s="1871"/>
      <c r="S153" s="1872"/>
    </row>
    <row r="154">
      <c r="A154" s="1866"/>
      <c r="B154" s="1867"/>
      <c r="C154" s="1787" t="s">
        <v>3950</v>
      </c>
      <c r="D154" s="1867"/>
      <c r="E154" s="1867"/>
      <c r="F154" s="1867"/>
      <c r="G154" s="1875" t="str">
        <f t="shared" si="37"/>
        <v/>
      </c>
      <c r="H154" s="1875">
        <f t="shared" si="38"/>
        <v>60821.74952</v>
      </c>
      <c r="I154" s="1875" t="str">
        <f t="shared" si="39"/>
        <v/>
      </c>
      <c r="J154" s="1870"/>
      <c r="K154" s="1869"/>
      <c r="L154" s="1869"/>
      <c r="M154" s="1870"/>
      <c r="N154" s="1869"/>
      <c r="O154" s="1869"/>
      <c r="P154" s="1871"/>
      <c r="Q154" s="1872"/>
      <c r="R154" s="1871"/>
      <c r="S154" s="1872"/>
    </row>
    <row r="155">
      <c r="A155" s="1866"/>
      <c r="B155" s="1867"/>
      <c r="G155" s="1873" t="s">
        <v>2813</v>
      </c>
      <c r="H155" s="1874" t="s">
        <v>2814</v>
      </c>
      <c r="I155" s="1874" t="s">
        <v>2815</v>
      </c>
      <c r="J155" s="1870"/>
      <c r="K155" s="1869"/>
      <c r="L155" s="1869"/>
      <c r="M155" s="1870"/>
      <c r="N155" s="1869"/>
      <c r="O155" s="1869"/>
      <c r="P155" s="1871"/>
      <c r="Q155" s="1872"/>
      <c r="R155" s="1871"/>
      <c r="S155" s="1872"/>
    </row>
    <row r="156">
      <c r="A156" s="1866"/>
      <c r="B156" s="1867"/>
      <c r="C156" s="1798" t="s">
        <v>2882</v>
      </c>
      <c r="D156" s="1867"/>
      <c r="E156" s="1867"/>
      <c r="F156" s="1867"/>
      <c r="G156" s="1875">
        <f>G120</f>
        <v>-4105364</v>
      </c>
      <c r="H156" s="1875">
        <f>J120</f>
        <v>373619.3185</v>
      </c>
      <c r="I156" s="1875">
        <f>M120</f>
        <v>-232738.917</v>
      </c>
      <c r="J156" s="1870"/>
      <c r="K156" s="1869"/>
      <c r="L156" s="1869"/>
      <c r="M156" s="1870"/>
      <c r="N156" s="1869"/>
      <c r="O156" s="1869"/>
      <c r="P156" s="1871"/>
      <c r="Q156" s="1872"/>
      <c r="R156" s="1871"/>
      <c r="S156" s="1872"/>
    </row>
    <row r="157">
      <c r="A157" s="1866"/>
      <c r="B157" s="1867"/>
      <c r="C157" s="1879" t="s">
        <v>3952</v>
      </c>
      <c r="D157" s="1867"/>
      <c r="E157" s="1867"/>
      <c r="F157" s="1867"/>
      <c r="G157" s="1869">
        <f>H120</f>
        <v>-1.026341</v>
      </c>
      <c r="H157" s="1869">
        <f>K120</f>
        <v>0.2500034785</v>
      </c>
      <c r="I157" s="1869">
        <f>N120</f>
        <v>-0.4189176506</v>
      </c>
      <c r="J157" s="1870"/>
      <c r="K157" s="1869"/>
      <c r="L157" s="1869"/>
      <c r="M157" s="1870"/>
      <c r="N157" s="1869"/>
      <c r="O157" s="1869"/>
      <c r="P157" s="1871"/>
      <c r="Q157" s="1872"/>
      <c r="R157" s="1871"/>
      <c r="S157" s="1872"/>
    </row>
    <row r="158">
      <c r="A158" s="1866"/>
      <c r="B158" s="1867"/>
    </row>
  </sheetData>
  <mergeCells count="84">
    <mergeCell ref="N10:O10"/>
    <mergeCell ref="N11:O11"/>
    <mergeCell ref="N12:O12"/>
    <mergeCell ref="N13:O13"/>
    <mergeCell ref="N14:O14"/>
    <mergeCell ref="N15:O15"/>
    <mergeCell ref="N16:O16"/>
    <mergeCell ref="N17:O17"/>
    <mergeCell ref="N18:O18"/>
    <mergeCell ref="H34:I34"/>
    <mergeCell ref="K34:L34"/>
    <mergeCell ref="N34:O34"/>
    <mergeCell ref="K49:L49"/>
    <mergeCell ref="N49:O49"/>
    <mergeCell ref="K113:L113"/>
    <mergeCell ref="K114:L114"/>
    <mergeCell ref="K115:L115"/>
    <mergeCell ref="K116:L116"/>
    <mergeCell ref="K117:L117"/>
    <mergeCell ref="K118:L118"/>
    <mergeCell ref="K119:L119"/>
    <mergeCell ref="K120:L120"/>
    <mergeCell ref="H114:I114"/>
    <mergeCell ref="H115:I115"/>
    <mergeCell ref="H116:I116"/>
    <mergeCell ref="H117:I117"/>
    <mergeCell ref="H118:I118"/>
    <mergeCell ref="H119:I119"/>
    <mergeCell ref="H120:I120"/>
    <mergeCell ref="N115:O115"/>
    <mergeCell ref="N116:O116"/>
    <mergeCell ref="N117:O117"/>
    <mergeCell ref="N118:O118"/>
    <mergeCell ref="N119:O119"/>
    <mergeCell ref="N120:O120"/>
    <mergeCell ref="H49:I49"/>
    <mergeCell ref="H64:I64"/>
    <mergeCell ref="K64:L64"/>
    <mergeCell ref="N64:O64"/>
    <mergeCell ref="H113:I113"/>
    <mergeCell ref="N113:O113"/>
    <mergeCell ref="N114:O114"/>
    <mergeCell ref="A2:A3"/>
    <mergeCell ref="B2:B3"/>
    <mergeCell ref="C2:C3"/>
    <mergeCell ref="G2:S2"/>
    <mergeCell ref="G3:I3"/>
    <mergeCell ref="J3:L3"/>
    <mergeCell ref="M3:O3"/>
    <mergeCell ref="P3:Q3"/>
    <mergeCell ref="R3:S3"/>
    <mergeCell ref="H5:I5"/>
    <mergeCell ref="K5:L5"/>
    <mergeCell ref="N5:O5"/>
    <mergeCell ref="K6:L6"/>
    <mergeCell ref="N6:O6"/>
    <mergeCell ref="H6:I6"/>
    <mergeCell ref="H7:I7"/>
    <mergeCell ref="K7:L7"/>
    <mergeCell ref="N7:O7"/>
    <mergeCell ref="H8:I8"/>
    <mergeCell ref="N8:O8"/>
    <mergeCell ref="N9:O9"/>
    <mergeCell ref="K15:L15"/>
    <mergeCell ref="K16:L16"/>
    <mergeCell ref="K17:L17"/>
    <mergeCell ref="K18:L18"/>
    <mergeCell ref="K8:L8"/>
    <mergeCell ref="K9:L9"/>
    <mergeCell ref="K10:L10"/>
    <mergeCell ref="K11:L11"/>
    <mergeCell ref="K12:L12"/>
    <mergeCell ref="K13:L13"/>
    <mergeCell ref="K14:L14"/>
    <mergeCell ref="H16:I16"/>
    <mergeCell ref="H17:I17"/>
    <mergeCell ref="H18:I18"/>
    <mergeCell ref="H9:I9"/>
    <mergeCell ref="H10:I10"/>
    <mergeCell ref="H11:I11"/>
    <mergeCell ref="H12:I12"/>
    <mergeCell ref="H13:I13"/>
    <mergeCell ref="H14:I14"/>
    <mergeCell ref="H15:I15"/>
  </mergeCells>
  <conditionalFormatting sqref="A1:A158 B1:B4 C1:D106 E1:L157 M1:M2 N1:O157 P1:Q2 R1:S157 M4:M157 P4:Q157 B19:B158 C109:D157">
    <cfRule type="cellIs" dxfId="16" priority="1" operator="lessThan">
      <formula>0</formula>
    </cfRule>
  </conditionalFormatting>
  <dataValidations>
    <dataValidation type="list" allowBlank="1" showErrorMessage="1" sqref="B5:B18 B20:B33 B35:B48 B50:B63">
      <formula1>MA_DUAN</formula1>
    </dataValidation>
    <dataValidation type="list" allowBlank="1" showErrorMessage="1" sqref="G2">
      <formula1>'THAM CHIẾU'!$D$3:$D$14</formula1>
    </dataValidation>
    <dataValidation type="list" allowBlank="1" showErrorMessage="1" sqref="D107:D108">
      <formula1>MA_KM</formula1>
    </dataValidation>
  </dataValidations>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34.57"/>
    <col customWidth="1" min="7" max="7" width="138.14"/>
  </cols>
  <sheetData>
    <row r="1">
      <c r="B1" s="1882" t="s">
        <v>137</v>
      </c>
      <c r="C1" s="1883" t="s">
        <v>2900</v>
      </c>
      <c r="D1" s="1883" t="s">
        <v>2901</v>
      </c>
      <c r="E1" s="1883" t="s">
        <v>2902</v>
      </c>
      <c r="F1" s="1884" t="s">
        <v>2807</v>
      </c>
      <c r="G1" s="1208"/>
    </row>
    <row r="2" ht="21.0" customHeight="1">
      <c r="A2" s="1087" t="str">
        <f>BCTH_AC!C3</f>
        <v>PHUOCDONG</v>
      </c>
      <c r="B2" s="1885" t="str">
        <f>VLOOKUP(A2,DM_DUAN,2,0)</f>
        <v>Phước Đông Garden</v>
      </c>
      <c r="C2" s="1886">
        <f>HLOOKUP(C$1,BCTH_AC!$1:$17,ROW(C2)+1,0)</f>
        <v>0</v>
      </c>
      <c r="D2" s="1886">
        <f>HLOOKUP(D$1,BCTH_AC!$1:$17,ROW(D2)+1,0)</f>
        <v>0</v>
      </c>
      <c r="E2" s="1886">
        <f>HLOOKUP(E$1,BCTH_AC!$1:$17,ROW(E2)+1,0)</f>
        <v>0</v>
      </c>
      <c r="F2" s="1887">
        <f>HLOOKUP(F$1,BCTH_AC!$1:$17,ROW(F2)+1,0)</f>
        <v>0</v>
      </c>
    </row>
    <row r="3" ht="21.0" customHeight="1">
      <c r="A3" s="1087" t="str">
        <f>BCTH_AC!C4</f>
        <v>HAMILTON</v>
      </c>
      <c r="B3" s="1885" t="str">
        <f>VLOOKUP(A3,DM_DUAN,2,0)</f>
        <v>Hamil ton Garden</v>
      </c>
      <c r="C3" s="1886">
        <f>HLOOKUP(C$1,BCTH_AC!$1:$17,ROW(C3)+1,0)</f>
        <v>0</v>
      </c>
      <c r="D3" s="1886">
        <f>HLOOKUP(D$1,BCTH_AC!$1:$17,ROW(D3)+1,0)</f>
        <v>0</v>
      </c>
      <c r="E3" s="1886">
        <f>HLOOKUP(E$1,BCTH_AC!$1:$17,ROW(E3)+1,0)</f>
        <v>0</v>
      </c>
      <c r="F3" s="1887">
        <f>HLOOKUP(F$1,BCTH_AC!$1:$17,ROW(F3)+1,0)</f>
        <v>0</v>
      </c>
    </row>
    <row r="4" ht="21.0" customHeight="1">
      <c r="A4" s="1087" t="str">
        <f>BCTH_AC!C5</f>
        <v>THESOLCITY</v>
      </c>
      <c r="B4" s="1885" t="str">
        <f>VLOOKUP(A4,DM_DUAN,2,0)</f>
        <v>The sol city</v>
      </c>
      <c r="C4" s="1886">
        <f>HLOOKUP(C$1,BCTH_AC!$1:$17,ROW(C4)+1,0)</f>
        <v>0</v>
      </c>
      <c r="D4" s="1886">
        <f>HLOOKUP(D$1,BCTH_AC!$1:$17,ROW(D4)+1,0)</f>
        <v>0</v>
      </c>
      <c r="E4" s="1886">
        <f>HLOOKUP(E$1,BCTH_AC!$1:$17,ROW(E4)+1,0)</f>
        <v>0</v>
      </c>
      <c r="F4" s="1887">
        <f>HLOOKUP(F$1,BCTH_AC!$1:$17,ROW(F4)+1,0)</f>
        <v>0</v>
      </c>
    </row>
    <row r="5" ht="21.0" customHeight="1">
      <c r="A5" s="1087" t="str">
        <f>BCTH_AC!C6</f>
        <v>PHUOCHOI</v>
      </c>
      <c r="B5" s="1885" t="str">
        <f>VLOOKUP(A5,DM_DUAN,2,0)</f>
        <v>Phước hội Hồ Tràm</v>
      </c>
      <c r="C5" s="1886">
        <f>HLOOKUP(C$1,BCTH_AC!$1:$17,ROW(C5)+1,0)</f>
        <v>0</v>
      </c>
      <c r="D5" s="1886">
        <f>HLOOKUP(D$1,BCTH_AC!$1:$17,ROW(D5)+1,0)</f>
        <v>0</v>
      </c>
      <c r="E5" s="1886">
        <f>HLOOKUP(E$1,BCTH_AC!$1:$17,ROW(E5)+1,0)</f>
        <v>0</v>
      </c>
      <c r="F5" s="1887">
        <f>HLOOKUP(F$1,BCTH_AC!$1:$17,ROW(F5)+1,0)</f>
        <v>0</v>
      </c>
    </row>
    <row r="6" ht="21.0" customHeight="1">
      <c r="A6" s="1087" t="str">
        <f>BCTH_AC!C7</f>
        <v>NAMPHONG</v>
      </c>
      <c r="B6" s="1885" t="str">
        <f>VLOOKUP(A6,DM_DUAN,2,0)</f>
        <v>NAM PHONG</v>
      </c>
      <c r="C6" s="1886">
        <f>HLOOKUP(C$1,BCTH_AC!$1:$17,ROW(C6)+1,0)</f>
        <v>0</v>
      </c>
      <c r="D6" s="1886">
        <f>HLOOKUP(D$1,BCTH_AC!$1:$17,ROW(D6)+1,0)</f>
        <v>0</v>
      </c>
      <c r="E6" s="1886">
        <f>HLOOKUP(E$1,BCTH_AC!$1:$17,ROW(E6)+1,0)</f>
        <v>0</v>
      </c>
      <c r="F6" s="1887">
        <f>HLOOKUP(F$1,BCTH_AC!$1:$17,ROW(F6)+1,0)</f>
        <v>0</v>
      </c>
    </row>
    <row r="7" ht="21.0" customHeight="1">
      <c r="A7" s="1087" t="str">
        <f>BCTH_AC!C8</f>
        <v>PHUOCVINH</v>
      </c>
      <c r="B7" s="1885" t="str">
        <f>VLOOKUP(A7,DM_DUAN,2,0)</f>
        <v>Sản phẩm Phước Vinh</v>
      </c>
      <c r="C7" s="1886">
        <f>HLOOKUP(C$1,BCTH_AC!$1:$17,ROW(C7)+1,0)</f>
        <v>7885000</v>
      </c>
      <c r="D7" s="1886">
        <f>HLOOKUP(D$1,BCTH_AC!$1:$17,ROW(D7)+1,0)</f>
        <v>0</v>
      </c>
      <c r="E7" s="1886">
        <f>HLOOKUP(E$1,BCTH_AC!$1:$17,ROW(E7)+1,0)</f>
        <v>0</v>
      </c>
      <c r="F7" s="1887">
        <f>HLOOKUP(F$1,BCTH_AC!$1:$17,ROW(F7)+1,0)</f>
        <v>7885000</v>
      </c>
    </row>
    <row r="8" ht="21.0" customHeight="1">
      <c r="A8" s="1087" t="str">
        <f>BCTH_AC!C9</f>
        <v>KHANGVUONG</v>
      </c>
      <c r="B8" s="1885" t="str">
        <f>VLOOKUP(A8,DM_DUAN,2,0)</f>
        <v>KHANG VƯỢNG</v>
      </c>
      <c r="C8" s="1886">
        <f>HLOOKUP(C$1,BCTH_AC!$1:$17,ROW(C8)+1,0)</f>
        <v>0</v>
      </c>
      <c r="D8" s="1886">
        <f>HLOOKUP(D$1,BCTH_AC!$1:$17,ROW(D8)+1,0)</f>
        <v>0</v>
      </c>
      <c r="E8" s="1886">
        <f>HLOOKUP(E$1,BCTH_AC!$1:$17,ROW(E8)+1,0)</f>
        <v>0</v>
      </c>
      <c r="F8" s="1887">
        <f>HLOOKUP(F$1,BCTH_AC!$1:$17,ROW(F8)+1,0)</f>
        <v>0</v>
      </c>
    </row>
    <row r="9" ht="21.0" customHeight="1">
      <c r="A9" s="1087" t="str">
        <f>BCTH_AC!C10</f>
        <v>TRANANH</v>
      </c>
      <c r="B9" s="1885" t="str">
        <f>VLOOKUP(A9,DM_DUAN,2,0)</f>
        <v>TRẦN ANH GROUP</v>
      </c>
      <c r="C9" s="1886">
        <f>HLOOKUP(C$1,BCTH_AC!$1:$17,ROW(C9)+1,0)</f>
        <v>0</v>
      </c>
      <c r="D9" s="1886">
        <f>HLOOKUP(D$1,BCTH_AC!$1:$17,ROW(D9)+1,0)</f>
        <v>0</v>
      </c>
      <c r="E9" s="1886">
        <f>HLOOKUP(E$1,BCTH_AC!$1:$17,ROW(E9)+1,0)</f>
        <v>0</v>
      </c>
      <c r="F9" s="1887">
        <f>HLOOKUP(F$1,BCTH_AC!$1:$17,ROW(F9)+1,0)</f>
        <v>0</v>
      </c>
    </row>
    <row r="10" ht="21.0" customHeight="1">
      <c r="A10" s="1087" t="str">
        <f>BCTH_AC!C11</f>
        <v>PHITRUONG</v>
      </c>
      <c r="B10" s="1885" t="str">
        <f>VLOOKUP(A10,DM_DUAN,2,0)</f>
        <v>PHI TRƯỜNG</v>
      </c>
      <c r="C10" s="1886">
        <f>HLOOKUP(C$1,BCTH_AC!$1:$17,ROW(C10)+1,0)</f>
        <v>0</v>
      </c>
      <c r="D10" s="1886">
        <f>HLOOKUP(D$1,BCTH_AC!$1:$17,ROW(D10)+1,0)</f>
        <v>0</v>
      </c>
      <c r="E10" s="1886">
        <f>HLOOKUP(E$1,BCTH_AC!$1:$17,ROW(E10)+1,0)</f>
        <v>0</v>
      </c>
      <c r="F10" s="1887">
        <f>HLOOKUP(F$1,BCTH_AC!$1:$17,ROW(F10)+1,0)</f>
        <v>0</v>
      </c>
    </row>
    <row r="11" ht="21.0" customHeight="1">
      <c r="A11" s="1087" t="str">
        <f>BCTH_AC!C12</f>
        <v>HOANGCAT</v>
      </c>
      <c r="B11" s="1885" t="str">
        <f>VLOOKUP(A11,DM_DUAN,2,0)</f>
        <v>HOÀNG CÁT</v>
      </c>
      <c r="C11" s="1886">
        <f>HLOOKUP(C$1,BCTH_AC!$1:$17,ROW(C11)+1,0)</f>
        <v>0</v>
      </c>
      <c r="D11" s="1886">
        <f>HLOOKUP(D$1,BCTH_AC!$1:$17,ROW(D11)+1,0)</f>
        <v>0</v>
      </c>
      <c r="E11" s="1886">
        <f>HLOOKUP(E$1,BCTH_AC!$1:$17,ROW(E11)+1,0)</f>
        <v>0</v>
      </c>
      <c r="F11" s="1887">
        <f>HLOOKUP(F$1,BCTH_AC!$1:$17,ROW(F11)+1,0)</f>
        <v>0</v>
      </c>
    </row>
    <row r="12" ht="21.0" customHeight="1">
      <c r="A12" s="1087" t="str">
        <f>BCTH_AC!C13</f>
        <v>DATDO</v>
      </c>
      <c r="B12" s="1885" t="str">
        <f>VLOOKUP(A12,DM_DUAN,2,0)</f>
        <v>Nhà vườn sinh thái</v>
      </c>
      <c r="C12" s="1886">
        <f>HLOOKUP(C$1,BCTH_AC!$1:$17,ROW(C12)+1,0)</f>
        <v>8043670</v>
      </c>
      <c r="D12" s="1886">
        <f>HLOOKUP(D$1,BCTH_AC!$1:$17,ROW(D12)+1,0)</f>
        <v>0</v>
      </c>
      <c r="E12" s="1886">
        <f>HLOOKUP(E$1,BCTH_AC!$1:$17,ROW(E12)+1,0)</f>
        <v>0</v>
      </c>
      <c r="F12" s="1887">
        <f>HLOOKUP(F$1,BCTH_AC!$1:$17,ROW(F12)+1,0)</f>
        <v>8043670</v>
      </c>
    </row>
    <row r="13" ht="21.0" customHeight="1">
      <c r="A13" s="1087" t="str">
        <f>BCTH_AC!C14</f>
        <v>LONGKHANH2</v>
      </c>
      <c r="B13" s="1885" t="str">
        <f>VLOOKUP(A13,DM_DUAN,2,0)</f>
        <v>Sản phẩm Long Khánh 2</v>
      </c>
      <c r="C13" s="1886">
        <f>HLOOKUP(C$1,BCTH_AC!$1:$17,ROW(C13)+1,0)</f>
        <v>0</v>
      </c>
      <c r="D13" s="1886">
        <f>HLOOKUP(D$1,BCTH_AC!$1:$17,ROW(D13)+1,0)</f>
        <v>0</v>
      </c>
      <c r="E13" s="1886">
        <f>HLOOKUP(E$1,BCTH_AC!$1:$17,ROW(E13)+1,0)</f>
        <v>0</v>
      </c>
      <c r="F13" s="1887">
        <f>HLOOKUP(F$1,BCTH_AC!$1:$17,ROW(F13)+1,0)</f>
        <v>0</v>
      </c>
    </row>
    <row r="14" ht="21.0" customHeight="1">
      <c r="A14" s="1087" t="str">
        <f>BCTH_AC!C15</f>
        <v>LONGKHANH3</v>
      </c>
      <c r="B14" s="1885" t="str">
        <f>VLOOKUP(A14,DM_DUAN,2,0)</f>
        <v>Sản phẩm Long Khánh 3</v>
      </c>
      <c r="C14" s="1886">
        <f>HLOOKUP(C$1,BCTH_AC!$1:$17,ROW(C14)+1,0)</f>
        <v>2244000</v>
      </c>
      <c r="D14" s="1886">
        <f>HLOOKUP(D$1,BCTH_AC!$1:$17,ROW(D14)+1,0)</f>
        <v>0</v>
      </c>
      <c r="E14" s="1886">
        <f>HLOOKUP(E$1,BCTH_AC!$1:$17,ROW(E14)+1,0)</f>
        <v>0</v>
      </c>
      <c r="F14" s="1887">
        <f>HLOOKUP(F$1,BCTH_AC!$1:$17,ROW(F14)+1,0)</f>
        <v>2244000</v>
      </c>
    </row>
    <row r="15" ht="21.0" customHeight="1">
      <c r="A15" s="1087" t="str">
        <f>BCTH_AC!C16</f>
        <v>LOCNGAI</v>
      </c>
      <c r="B15" s="1885" t="str">
        <f>VLOOKUP(A15,DM_DUAN,2,0)</f>
        <v>KDC Lộc Ngãi</v>
      </c>
      <c r="C15" s="1886">
        <f>HLOOKUP(C$1,BCTH_AC!$1:$17,ROW(C15)+1,0)</f>
        <v>0</v>
      </c>
      <c r="D15" s="1886">
        <f>HLOOKUP(D$1,BCTH_AC!$1:$17,ROW(D15)+1,0)</f>
        <v>3863100</v>
      </c>
      <c r="E15" s="1886">
        <f>HLOOKUP(E$1,BCTH_AC!$1:$17,ROW(E15)+1,0)</f>
        <v>1218200</v>
      </c>
      <c r="F15" s="1887">
        <f>HLOOKUP(F$1,BCTH_AC!$1:$17,ROW(F15)+1,0)</f>
        <v>5081300</v>
      </c>
    </row>
    <row r="16" ht="21.0" customHeight="1">
      <c r="B16" s="1882" t="s">
        <v>3953</v>
      </c>
      <c r="C16" s="1887">
        <f t="shared" ref="C16:F16" si="1">SUM(C2:C15)</f>
        <v>18172670</v>
      </c>
      <c r="D16" s="1887">
        <f t="shared" si="1"/>
        <v>3863100</v>
      </c>
      <c r="E16" s="1887">
        <f t="shared" si="1"/>
        <v>1218200</v>
      </c>
      <c r="F16" s="1887">
        <f t="shared" si="1"/>
        <v>23253970</v>
      </c>
    </row>
    <row r="17">
      <c r="F17" s="188"/>
    </row>
    <row r="18">
      <c r="F18" s="188"/>
    </row>
    <row r="19">
      <c r="B19" s="1882" t="s">
        <v>137</v>
      </c>
      <c r="C19" s="1888" t="str">
        <f t="shared" ref="C19:F19" si="2">C$1</f>
        <v>04/2022</v>
      </c>
      <c r="D19" s="1888" t="str">
        <f t="shared" si="2"/>
        <v>05/2022</v>
      </c>
      <c r="E19" s="1888" t="str">
        <f t="shared" si="2"/>
        <v>06/2022</v>
      </c>
      <c r="F19" s="1884" t="str">
        <f t="shared" si="2"/>
        <v>QUÝ II</v>
      </c>
      <c r="G19" s="1208"/>
    </row>
    <row r="20" ht="21.0" customHeight="1">
      <c r="A20" s="1087" t="str">
        <f>BCTH_AC!C19</f>
        <v>PHUOCDONG</v>
      </c>
      <c r="B20" s="1889" t="str">
        <f>VLOOKUP(A20,DM_DUAN,2,0)</f>
        <v>Phước Đông Garden</v>
      </c>
      <c r="C20" s="1886">
        <f>HLOOKUP(C$1,BCTH_AC!$1:$33,ROW(C20)-1,0)</f>
        <v>0</v>
      </c>
      <c r="D20" s="1886">
        <f>HLOOKUP(D$1,BCTH_AC!$1:$33,ROW(D20)-1,0)</f>
        <v>0</v>
      </c>
      <c r="E20" s="1886">
        <f>HLOOKUP(E$1,BCTH_AC!$1:$33,ROW(E20)-1,0)</f>
        <v>0</v>
      </c>
      <c r="F20" s="1887">
        <f>HLOOKUP(F$1,BCTH_AC!$1:$33,ROW(F20)-1,0)</f>
        <v>0</v>
      </c>
    </row>
    <row r="21" ht="21.0" customHeight="1">
      <c r="A21" s="1087" t="str">
        <f>BCTH_AC!C20</f>
        <v>HAMILTON</v>
      </c>
      <c r="B21" s="1889" t="str">
        <f>VLOOKUP(A21,DM_DUAN,2,0)</f>
        <v>Hamil ton Garden</v>
      </c>
      <c r="C21" s="1886">
        <f>HLOOKUP(C$1,BCTH_AC!$1:$33,ROW(C21)-1,0)</f>
        <v>0</v>
      </c>
      <c r="D21" s="1886">
        <f>HLOOKUP(D$1,BCTH_AC!$1:$33,ROW(D21)-1,0)</f>
        <v>0</v>
      </c>
      <c r="E21" s="1886">
        <f>HLOOKUP(E$1,BCTH_AC!$1:$33,ROW(E21)-1,0)</f>
        <v>0</v>
      </c>
      <c r="F21" s="1887">
        <f>HLOOKUP(F$1,BCTH_AC!$1:$33,ROW(F21)-1,0)</f>
        <v>0</v>
      </c>
    </row>
    <row r="22" ht="21.0" customHeight="1">
      <c r="A22" s="1087" t="str">
        <f>BCTH_AC!C21</f>
        <v>THESOLCITY</v>
      </c>
      <c r="B22" s="1889" t="str">
        <f>VLOOKUP(A22,DM_DUAN,2,0)</f>
        <v>The sol city</v>
      </c>
      <c r="C22" s="1886">
        <f>HLOOKUP(C$1,BCTH_AC!$1:$33,ROW(C22)-1,0)</f>
        <v>0</v>
      </c>
      <c r="D22" s="1886">
        <f>HLOOKUP(D$1,BCTH_AC!$1:$33,ROW(D22)-1,0)</f>
        <v>0</v>
      </c>
      <c r="E22" s="1886">
        <f>HLOOKUP(E$1,BCTH_AC!$1:$33,ROW(E22)-1,0)</f>
        <v>0</v>
      </c>
      <c r="F22" s="1887">
        <f>HLOOKUP(F$1,BCTH_AC!$1:$33,ROW(F22)-1,0)</f>
        <v>0</v>
      </c>
    </row>
    <row r="23" ht="21.0" customHeight="1">
      <c r="A23" s="1087" t="str">
        <f>BCTH_AC!C22</f>
        <v>PHUOCHOI</v>
      </c>
      <c r="B23" s="1889" t="str">
        <f>VLOOKUP(A23,DM_DUAN,2,0)</f>
        <v>Phước hội Hồ Tràm</v>
      </c>
      <c r="C23" s="1886">
        <f>HLOOKUP(C$1,BCTH_AC!$1:$33,ROW(C23)-1,0)</f>
        <v>0</v>
      </c>
      <c r="D23" s="1886">
        <f>HLOOKUP(D$1,BCTH_AC!$1:$33,ROW(D23)-1,0)</f>
        <v>0</v>
      </c>
      <c r="E23" s="1886">
        <f>HLOOKUP(E$1,BCTH_AC!$1:$33,ROW(E23)-1,0)</f>
        <v>0</v>
      </c>
      <c r="F23" s="1887">
        <f>HLOOKUP(F$1,BCTH_AC!$1:$33,ROW(F23)-1,0)</f>
        <v>0</v>
      </c>
    </row>
    <row r="24" ht="21.0" customHeight="1">
      <c r="A24" s="1087" t="str">
        <f>BCTH_AC!C23</f>
        <v>NAMPHONG</v>
      </c>
      <c r="B24" s="1889" t="str">
        <f>VLOOKUP(A24,DM_DUAN,2,0)</f>
        <v>NAM PHONG</v>
      </c>
      <c r="C24" s="1886">
        <f>HLOOKUP(C$1,BCTH_AC!$1:$33,ROW(C24)-1,0)</f>
        <v>0</v>
      </c>
      <c r="D24" s="1886">
        <f>HLOOKUP(D$1,BCTH_AC!$1:$33,ROW(D24)-1,0)</f>
        <v>0</v>
      </c>
      <c r="E24" s="1886">
        <f>HLOOKUP(E$1,BCTH_AC!$1:$33,ROW(E24)-1,0)</f>
        <v>0</v>
      </c>
      <c r="F24" s="1887">
        <f>HLOOKUP(F$1,BCTH_AC!$1:$33,ROW(F24)-1,0)</f>
        <v>0</v>
      </c>
    </row>
    <row r="25" ht="21.0" customHeight="1">
      <c r="A25" s="1087" t="str">
        <f>BCTH_AC!C24</f>
        <v>PHUOCVINH</v>
      </c>
      <c r="B25" s="1889" t="str">
        <f>VLOOKUP(A25,DM_DUAN,2,0)</f>
        <v>Sản phẩm Phước Vinh</v>
      </c>
      <c r="C25" s="1886">
        <f>HLOOKUP(C$1,BCTH_AC!$1:$33,ROW(C25)-1,0)</f>
        <v>1559000</v>
      </c>
      <c r="D25" s="1886">
        <f>HLOOKUP(D$1,BCTH_AC!$1:$33,ROW(D25)-1,0)</f>
        <v>0</v>
      </c>
      <c r="E25" s="1886">
        <f>HLOOKUP(E$1,BCTH_AC!$1:$33,ROW(E25)-1,0)</f>
        <v>0</v>
      </c>
      <c r="F25" s="1887">
        <f>HLOOKUP(F$1,BCTH_AC!$1:$33,ROW(F25)-1,0)</f>
        <v>1559000</v>
      </c>
    </row>
    <row r="26" ht="21.0" customHeight="1">
      <c r="A26" s="1087" t="str">
        <f>BCTH_AC!C25</f>
        <v>KHANGVUONG</v>
      </c>
      <c r="B26" s="1889" t="str">
        <f>VLOOKUP(A26,DM_DUAN,2,0)</f>
        <v>KHANG VƯỢNG</v>
      </c>
      <c r="C26" s="1886">
        <f>HLOOKUP(C$1,BCTH_AC!$1:$33,ROW(C26)-1,0)</f>
        <v>0</v>
      </c>
      <c r="D26" s="1886">
        <f>HLOOKUP(D$1,BCTH_AC!$1:$33,ROW(D26)-1,0)</f>
        <v>0</v>
      </c>
      <c r="E26" s="1886">
        <f>HLOOKUP(E$1,BCTH_AC!$1:$33,ROW(E26)-1,0)</f>
        <v>0</v>
      </c>
      <c r="F26" s="1887">
        <f>HLOOKUP(F$1,BCTH_AC!$1:$33,ROW(F26)-1,0)</f>
        <v>0</v>
      </c>
    </row>
    <row r="27" ht="21.0" customHeight="1">
      <c r="A27" s="1087" t="str">
        <f>BCTH_AC!C26</f>
        <v>TRANANH</v>
      </c>
      <c r="B27" s="1889" t="str">
        <f>VLOOKUP(A27,DM_DUAN,2,0)</f>
        <v>TRẦN ANH GROUP</v>
      </c>
      <c r="C27" s="1886">
        <f>HLOOKUP(C$1,BCTH_AC!$1:$33,ROW(C27)-1,0)</f>
        <v>0</v>
      </c>
      <c r="D27" s="1886">
        <f>HLOOKUP(D$1,BCTH_AC!$1:$33,ROW(D27)-1,0)</f>
        <v>0</v>
      </c>
      <c r="E27" s="1886">
        <f>HLOOKUP(E$1,BCTH_AC!$1:$33,ROW(E27)-1,0)</f>
        <v>0</v>
      </c>
      <c r="F27" s="1887">
        <f>HLOOKUP(F$1,BCTH_AC!$1:$33,ROW(F27)-1,0)</f>
        <v>0</v>
      </c>
    </row>
    <row r="28" ht="21.0" customHeight="1">
      <c r="A28" s="1087" t="str">
        <f>BCTH_AC!C27</f>
        <v>PHITRUONG</v>
      </c>
      <c r="B28" s="1889" t="str">
        <f>VLOOKUP(A28,DM_DUAN,2,0)</f>
        <v>PHI TRƯỜNG</v>
      </c>
      <c r="C28" s="1886">
        <f>HLOOKUP(C$1,BCTH_AC!$1:$33,ROW(C28)-1,0)</f>
        <v>0</v>
      </c>
      <c r="D28" s="1886">
        <f>HLOOKUP(D$1,BCTH_AC!$1:$33,ROW(D28)-1,0)</f>
        <v>0</v>
      </c>
      <c r="E28" s="1886">
        <f>HLOOKUP(E$1,BCTH_AC!$1:$33,ROW(E28)-1,0)</f>
        <v>0</v>
      </c>
      <c r="F28" s="1887">
        <f>HLOOKUP(F$1,BCTH_AC!$1:$33,ROW(F28)-1,0)</f>
        <v>0</v>
      </c>
    </row>
    <row r="29" ht="21.0" customHeight="1">
      <c r="A29" s="1087" t="str">
        <f>BCTH_AC!C28</f>
        <v>HOANGCAT</v>
      </c>
      <c r="B29" s="1889" t="str">
        <f>VLOOKUP(A29,DM_DUAN,2,0)</f>
        <v>HOÀNG CÁT</v>
      </c>
      <c r="C29" s="1886">
        <f>HLOOKUP(C$1,BCTH_AC!$1:$33,ROW(C29)-1,0)</f>
        <v>0</v>
      </c>
      <c r="D29" s="1886">
        <f>HLOOKUP(D$1,BCTH_AC!$1:$33,ROW(D29)-1,0)</f>
        <v>0</v>
      </c>
      <c r="E29" s="1886">
        <f>HLOOKUP(E$1,BCTH_AC!$1:$33,ROW(E29)-1,0)</f>
        <v>0</v>
      </c>
      <c r="F29" s="1887">
        <f>HLOOKUP(F$1,BCTH_AC!$1:$33,ROW(F29)-1,0)</f>
        <v>0</v>
      </c>
    </row>
    <row r="30" ht="21.0" customHeight="1">
      <c r="A30" s="1087" t="str">
        <f>BCTH_AC!C29</f>
        <v>DATDO</v>
      </c>
      <c r="B30" s="1889" t="str">
        <f>VLOOKUP(A30,DM_DUAN,2,0)</f>
        <v>Nhà vườn sinh thái</v>
      </c>
      <c r="C30" s="1886">
        <f>HLOOKUP(C$1,BCTH_AC!$1:$33,ROW(C30)-1,0)</f>
        <v>677000</v>
      </c>
      <c r="D30" s="1886">
        <f>HLOOKUP(D$1,BCTH_AC!$1:$33,ROW(D30)-1,0)</f>
        <v>0</v>
      </c>
      <c r="E30" s="1886">
        <f>HLOOKUP(E$1,BCTH_AC!$1:$33,ROW(E30)-1,0)</f>
        <v>0</v>
      </c>
      <c r="F30" s="1887">
        <f>HLOOKUP(F$1,BCTH_AC!$1:$33,ROW(F30)-1,0)</f>
        <v>677000</v>
      </c>
    </row>
    <row r="31" ht="21.0" customHeight="1">
      <c r="A31" s="1087" t="str">
        <f>BCTH_AC!C30</f>
        <v>LONGKHANH2</v>
      </c>
      <c r="B31" s="1889" t="str">
        <f>VLOOKUP(A31,DM_DUAN,2,0)</f>
        <v>Sản phẩm Long Khánh 2</v>
      </c>
      <c r="C31" s="1886">
        <f>HLOOKUP(C$1,BCTH_AC!$1:$33,ROW(C31)-1,0)</f>
        <v>0</v>
      </c>
      <c r="D31" s="1886">
        <f>HLOOKUP(D$1,BCTH_AC!$1:$33,ROW(D31)-1,0)</f>
        <v>0</v>
      </c>
      <c r="E31" s="1886">
        <f>HLOOKUP(E$1,BCTH_AC!$1:$33,ROW(E31)-1,0)</f>
        <v>0</v>
      </c>
      <c r="F31" s="1887">
        <f>HLOOKUP(F$1,BCTH_AC!$1:$33,ROW(F31)-1,0)</f>
        <v>0</v>
      </c>
    </row>
    <row r="32" ht="21.0" customHeight="1">
      <c r="A32" s="1087" t="str">
        <f>BCTH_AC!C30</f>
        <v>LONGKHANH2</v>
      </c>
      <c r="B32" s="1889" t="str">
        <f>VLOOKUP(A32,DM_DUAN,2,0)</f>
        <v>Sản phẩm Long Khánh 2</v>
      </c>
      <c r="C32" s="1886">
        <f>HLOOKUP(C$1,BCTH_AC!$1:$33,ROW(C32)-1,0)</f>
        <v>365040</v>
      </c>
      <c r="D32" s="1886">
        <f>HLOOKUP(D$1,BCTH_AC!$1:$33,ROW(D32)-1,0)</f>
        <v>0</v>
      </c>
      <c r="E32" s="1886">
        <f>HLOOKUP(E$1,BCTH_AC!$1:$33,ROW(E32)-1,0)</f>
        <v>0</v>
      </c>
      <c r="F32" s="1887">
        <f>HLOOKUP(F$1,BCTH_AC!$1:$33,ROW(F32)-1,0)</f>
        <v>365040</v>
      </c>
    </row>
    <row r="33" ht="21.0" customHeight="1">
      <c r="A33" s="1890" t="s">
        <v>956</v>
      </c>
      <c r="B33" s="1889" t="str">
        <f>VLOOKUP(A33,DM_DUAN,2,0)</f>
        <v>KDC Lộc Ngãi</v>
      </c>
      <c r="C33" s="1886">
        <f>HLOOKUP(C$1,BCTH_AC!$1:$33,ROW(C33)-1,0)</f>
        <v>0</v>
      </c>
      <c r="D33" s="1886">
        <f>HLOOKUP(D$1,BCTH_AC!$1:$33,ROW(D33)-1,0)</f>
        <v>555572</v>
      </c>
      <c r="E33" s="1886">
        <f>HLOOKUP(E$1,BCTH_AC!$1:$33,ROW(E33)-1,0)</f>
        <v>0</v>
      </c>
      <c r="F33" s="1887">
        <f>HLOOKUP(F$1,BCTH_AC!$1:$33,ROW(F33)-1,0)</f>
        <v>555572</v>
      </c>
    </row>
    <row r="34">
      <c r="B34" s="1882" t="s">
        <v>3953</v>
      </c>
      <c r="C34" s="1891">
        <f t="shared" ref="C34:F34" si="3">SUM(C20:C33)</f>
        <v>2601040</v>
      </c>
      <c r="D34" s="1891">
        <f t="shared" si="3"/>
        <v>555572</v>
      </c>
      <c r="E34" s="1891">
        <f t="shared" si="3"/>
        <v>0</v>
      </c>
      <c r="F34" s="1891">
        <f t="shared" si="3"/>
        <v>3156612</v>
      </c>
    </row>
    <row r="35">
      <c r="F35" s="188"/>
    </row>
    <row r="36" ht="35.25" customHeight="1">
      <c r="B36" s="1892" t="s">
        <v>1837</v>
      </c>
      <c r="C36" s="1888" t="str">
        <f t="shared" ref="C36:F36" si="4">C$1</f>
        <v>04/2022</v>
      </c>
      <c r="D36" s="1888" t="str">
        <f t="shared" si="4"/>
        <v>05/2022</v>
      </c>
      <c r="E36" s="1888" t="str">
        <f t="shared" si="4"/>
        <v>06/2022</v>
      </c>
      <c r="F36" s="1884" t="str">
        <f t="shared" si="4"/>
        <v>QUÝ II</v>
      </c>
    </row>
    <row r="37" ht="35.25" customHeight="1">
      <c r="B37" s="1893" t="s">
        <v>2826</v>
      </c>
      <c r="C37" s="1886">
        <f>HLOOKUP(C$1,BCTH_AC!$1:$120,ROW(C37)+30,0)</f>
        <v>0</v>
      </c>
      <c r="D37" s="1886">
        <f>HLOOKUP(D$1,BCTH_AC!$1:$120,ROW(D37)+30,0)</f>
        <v>0</v>
      </c>
      <c r="E37" s="1886">
        <f>HLOOKUP(E$1,BCTH_AC!$1:$120,ROW(E37)+30,0)</f>
        <v>0</v>
      </c>
      <c r="F37" s="1894">
        <f>HLOOKUP(F$1,BCTH_AC!$1:$120,ROW(F37)+30,0)</f>
        <v>0</v>
      </c>
    </row>
    <row r="38" ht="35.25" customHeight="1">
      <c r="B38" s="1893" t="s">
        <v>2827</v>
      </c>
      <c r="C38" s="1886">
        <f>HLOOKUP(C$1,BCTH_AC!$1:$120,ROW(C38)+30,0)</f>
        <v>1185113.083</v>
      </c>
      <c r="D38" s="1886">
        <f>HLOOKUP(D$1,BCTH_AC!$1:$120,ROW(D38)+30,0)</f>
        <v>537626.524</v>
      </c>
      <c r="E38" s="1886">
        <f>HLOOKUP(E$1,BCTH_AC!$1:$120,ROW(E38)+30,0)</f>
        <v>0</v>
      </c>
      <c r="F38" s="1894">
        <f>HLOOKUP(F$1,BCTH_AC!$1:$120,ROW(F38)+30,0)</f>
        <v>1722739.607</v>
      </c>
    </row>
    <row r="39" ht="35.25" customHeight="1">
      <c r="B39" s="1895" t="s">
        <v>3949</v>
      </c>
      <c r="C39" s="1886">
        <f>HLOOKUP(C$1,BCTH_AC!$1:$120,ROW(C39)+41,0)</f>
        <v>0</v>
      </c>
      <c r="D39" s="1886">
        <f>HLOOKUP(D$1,BCTH_AC!$1:$120,ROW(D39)+41,0)</f>
        <v>2200</v>
      </c>
      <c r="E39" s="1886">
        <f>HLOOKUP(E$1,BCTH_AC!$1:$120,ROW(E39)+41,0)</f>
        <v>0</v>
      </c>
      <c r="F39" s="1894">
        <f>HLOOKUP(F$1,BCTH_AC!$1:$120,ROW(F39)+41,0)</f>
        <v>2200</v>
      </c>
    </row>
    <row r="40" ht="35.25" customHeight="1">
      <c r="B40" s="1895" t="s">
        <v>2090</v>
      </c>
      <c r="C40" s="1886">
        <f>HLOOKUP(C$1,BCTH_AC!$1:$120,ROW(C40)+71,0)</f>
        <v>0</v>
      </c>
      <c r="D40" s="1886">
        <f>HLOOKUP(D$1,BCTH_AC!$1:$120,ROW(D40)+71,0)</f>
        <v>0</v>
      </c>
      <c r="E40" s="1886">
        <f>HLOOKUP(E$1,BCTH_AC!$1:$120,ROW(E40)+71,0)</f>
        <v>0</v>
      </c>
      <c r="F40" s="1894">
        <f>HLOOKUP(F$1,BCTH_AC!$1:$120,ROW(F40)+71,0)</f>
        <v>0</v>
      </c>
    </row>
    <row r="41" ht="35.25" customHeight="1">
      <c r="B41" s="1892" t="s">
        <v>3953</v>
      </c>
      <c r="C41" s="1894">
        <f t="shared" ref="C41:F41" si="5">SUM(C37:C40)</f>
        <v>1185113.083</v>
      </c>
      <c r="D41" s="1894">
        <f t="shared" si="5"/>
        <v>539826.524</v>
      </c>
      <c r="E41" s="1894">
        <f t="shared" si="5"/>
        <v>0</v>
      </c>
      <c r="F41" s="1894">
        <f t="shared" si="5"/>
        <v>1724939.607</v>
      </c>
    </row>
    <row r="42">
      <c r="F42" s="188"/>
    </row>
    <row r="43" ht="42.0" customHeight="1">
      <c r="B43" s="1892" t="s">
        <v>1837</v>
      </c>
      <c r="C43" s="1888" t="str">
        <f t="shared" ref="C43:F43" si="6">C$1</f>
        <v>04/2022</v>
      </c>
      <c r="D43" s="1888" t="str">
        <f t="shared" si="6"/>
        <v>05/2022</v>
      </c>
      <c r="E43" s="1888" t="str">
        <f t="shared" si="6"/>
        <v>06/2022</v>
      </c>
      <c r="F43" s="1884" t="str">
        <f t="shared" si="6"/>
        <v>QUÝ II</v>
      </c>
    </row>
    <row r="44" ht="42.0" customHeight="1">
      <c r="B44" s="1896" t="s">
        <v>2879</v>
      </c>
      <c r="C44" s="1886">
        <f>HLOOKUP(C$1,BCTH_AC!$1:$120,ROW(C44)+74,0)</f>
        <v>1203938.909</v>
      </c>
      <c r="D44" s="1886">
        <f>HLOOKUP(D$1,BCTH_AC!$1:$120,ROW(D44)+74,0)</f>
        <v>-233998.917</v>
      </c>
      <c r="E44" s="1886">
        <f>HLOOKUP(E$1,BCTH_AC!$1:$120,ROW(E44)+74,0)</f>
        <v>0</v>
      </c>
      <c r="F44" s="1894">
        <f t="shared" ref="F44:F45" si="7">SUM(C44:E44)</f>
        <v>969939.992</v>
      </c>
    </row>
    <row r="45" ht="42.0" customHeight="1">
      <c r="B45" s="1896" t="s">
        <v>2882</v>
      </c>
      <c r="C45" s="1886">
        <f>HLOOKUP(C$1,BCTH_AC!$1:$120,ROW(C45)+75,0)</f>
        <v>1035387.462</v>
      </c>
      <c r="D45" s="1886">
        <f>HLOOKUP(D$1,BCTH_AC!$1:$120,ROW(D45)+75,0)</f>
        <v>-233998.917</v>
      </c>
      <c r="E45" s="1886">
        <f>HLOOKUP(E$1,BCTH_AC!$1:$120,ROW(E45)+75,0)</f>
        <v>0</v>
      </c>
      <c r="F45" s="1894">
        <f t="shared" si="7"/>
        <v>801388.5447</v>
      </c>
    </row>
    <row r="46" ht="42.0" customHeight="1">
      <c r="B46" s="1892"/>
      <c r="C46" s="1897"/>
      <c r="D46" s="1897"/>
      <c r="E46" s="1897"/>
      <c r="F46" s="1897"/>
    </row>
    <row r="47">
      <c r="F47" s="188"/>
    </row>
    <row r="48">
      <c r="F48" s="188"/>
    </row>
    <row r="49">
      <c r="F49" s="188"/>
    </row>
    <row r="50">
      <c r="F50" s="188"/>
    </row>
    <row r="51">
      <c r="F51" s="188"/>
    </row>
    <row r="52">
      <c r="F52" s="188"/>
    </row>
    <row r="53">
      <c r="F53" s="188"/>
    </row>
    <row r="54">
      <c r="F54" s="188"/>
    </row>
    <row r="55">
      <c r="F55" s="188"/>
    </row>
    <row r="56">
      <c r="F56" s="188"/>
    </row>
    <row r="57">
      <c r="F57" s="188"/>
    </row>
    <row r="58">
      <c r="F58" s="188"/>
    </row>
    <row r="59">
      <c r="F59" s="188"/>
    </row>
  </sheetData>
  <dataValidations>
    <dataValidation type="list" allowBlank="1" showErrorMessage="1" sqref="A2:A15 A20:A33">
      <formula1>MA_DUAN</formula1>
    </dataValidation>
    <dataValidation type="list" allowBlank="1" showErrorMessage="1" sqref="C1:G1 C19:G19 C36:F36 C43:F43">
      <formula1>THANG</formula1>
    </dataValidation>
  </dataValidations>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43"/>
    <col customWidth="1" min="2" max="2" width="16.71"/>
    <col customWidth="1" min="3" max="3" width="7.29"/>
    <col customWidth="1" min="4" max="4" width="17.0"/>
    <col customWidth="1" min="5" max="5" width="6.57"/>
    <col customWidth="1" min="6" max="6" width="16.57"/>
    <col customWidth="1" min="7" max="7" width="6.71"/>
    <col customWidth="1" min="8" max="8" width="16.43"/>
    <col customWidth="1" min="9" max="9" width="6.71"/>
    <col customWidth="1" min="10" max="10" width="14.29"/>
    <col customWidth="1" min="11" max="11" width="6.71"/>
    <col customWidth="1" min="12" max="12" width="14.86"/>
    <col customWidth="1" min="13" max="13" width="6.71"/>
    <col customWidth="1" min="14" max="15" width="15.86"/>
  </cols>
  <sheetData>
    <row r="1">
      <c r="A1" s="1898" t="s">
        <v>2901</v>
      </c>
      <c r="B1" s="1025"/>
      <c r="C1" s="1025"/>
      <c r="D1" s="1025"/>
      <c r="E1" s="1025"/>
      <c r="F1" s="1025"/>
      <c r="G1" s="1025"/>
      <c r="H1" s="1025"/>
      <c r="I1" s="1025"/>
      <c r="J1" s="1025"/>
      <c r="K1" s="1025"/>
      <c r="L1" s="1025"/>
      <c r="M1" s="1026"/>
      <c r="N1" s="1899" t="s">
        <v>2092</v>
      </c>
      <c r="O1" s="1900">
        <f>'P&amp;L'!II118</f>
        <v>-1.063788</v>
      </c>
    </row>
    <row r="2">
      <c r="A2" s="1901"/>
      <c r="B2" s="1902" t="s">
        <v>198</v>
      </c>
      <c r="C2" s="1903"/>
      <c r="D2" s="1904" t="s">
        <v>187</v>
      </c>
      <c r="E2" s="1905"/>
      <c r="F2" s="1904" t="s">
        <v>2085</v>
      </c>
      <c r="G2" s="1903"/>
      <c r="H2" s="1906" t="s">
        <v>2087</v>
      </c>
      <c r="I2" s="1903"/>
      <c r="J2" s="1903"/>
      <c r="K2" s="1907"/>
      <c r="L2" s="1908"/>
      <c r="M2" s="1909"/>
      <c r="N2" s="1910"/>
      <c r="O2" s="1910"/>
    </row>
    <row r="3">
      <c r="A3" s="1911" t="s">
        <v>143</v>
      </c>
      <c r="B3" s="1912" t="s">
        <v>2065</v>
      </c>
      <c r="C3" s="1911" t="s">
        <v>3954</v>
      </c>
      <c r="D3" s="1911" t="s">
        <v>2247</v>
      </c>
      <c r="E3" s="1911" t="s">
        <v>3955</v>
      </c>
      <c r="F3" s="1911" t="s">
        <v>3956</v>
      </c>
      <c r="G3" s="1911" t="s">
        <v>3957</v>
      </c>
      <c r="H3" s="1912" t="s">
        <v>3958</v>
      </c>
      <c r="I3" s="1911" t="s">
        <v>3957</v>
      </c>
      <c r="J3" s="1913" t="s">
        <v>2080</v>
      </c>
      <c r="K3" s="1911" t="s">
        <v>3957</v>
      </c>
      <c r="L3" s="1912" t="s">
        <v>3959</v>
      </c>
      <c r="M3" s="1911" t="s">
        <v>3957</v>
      </c>
      <c r="N3" s="1913" t="s">
        <v>3960</v>
      </c>
      <c r="O3" s="1914"/>
    </row>
    <row r="4">
      <c r="A4" s="1915" t="str">
        <f>IFERROR(__xludf.DUMMYFUNCTION("UNIQUE(QUERY(AC,""Select S Where C  = '""&amp;'S4'!$G$2&amp;""'""),0)"),"")</f>
        <v/>
      </c>
      <c r="B4" s="1916">
        <f>SUMIFS(AC_SOTIEN,AC_THANG,$A$1,AC_DOI,$A4,AC_KM,B$2)/1000</f>
        <v>0</v>
      </c>
      <c r="C4" s="1917" t="str">
        <f t="shared" ref="C4:C9" si="1">B4/B$10</f>
        <v>#DIV/0!</v>
      </c>
      <c r="D4" s="1916">
        <f>SUMIFS(AC_SOTIEN,AC_THANG,$A$1,AC_DOI,$A4,AC_KM,D$2)/1000</f>
        <v>0</v>
      </c>
      <c r="E4" s="1917" t="str">
        <f t="shared" ref="E4:E10" si="2">IFERROR(D4/B4,"")</f>
        <v/>
      </c>
      <c r="F4" s="1916">
        <f>SUMIFS(AC_SOTIEN,AC_THANG,$A$1,AC_DOI,$A4,AC_NHOMQL,F$2)/1000</f>
        <v>0</v>
      </c>
      <c r="G4" s="1917" t="str">
        <f t="shared" ref="G4:G9" si="3">IF(D4&gt;0,F4/D4,G$10)</f>
        <v/>
      </c>
      <c r="H4" s="1916">
        <f>SUMIFS(AC_SOTIEN,AC_THANG,$A$1,AC_DOI,$A4,AC_NHOMQL,H$2)/1000</f>
        <v>0</v>
      </c>
      <c r="I4" s="1917" t="str">
        <f t="shared" ref="I4:I9" si="4">IF(E4&gt;0,H4/D4,$I$10)</f>
        <v/>
      </c>
      <c r="J4" s="1918">
        <f t="shared" ref="J4:J9" si="5">F4+H4</f>
        <v>0</v>
      </c>
      <c r="K4" s="1917" t="str">
        <f t="shared" ref="K4:K10" si="6">IFERROR(J4/$D4,"")</f>
        <v/>
      </c>
      <c r="L4" s="1919">
        <f t="shared" ref="L4:L10" si="7">D4-F4-H4</f>
        <v>0</v>
      </c>
      <c r="M4" s="1917" t="str">
        <f t="shared" ref="M4:M10" si="8">IFERROR(L4/$D4,"")</f>
        <v/>
      </c>
      <c r="N4" s="1918" t="str">
        <f t="shared" ref="N4:N9" si="9">IF(E4&gt;0,J4/E4,J4/$E$10)</f>
        <v>#DIV/0!</v>
      </c>
      <c r="O4" s="1918"/>
    </row>
    <row r="5">
      <c r="A5" s="1915" t="str">
        <f>IFERROR(__xludf.DUMMYFUNCTION("""COMPUTED_VALUE"""),"CLOUDLAND")</f>
        <v>CLOUDLAND</v>
      </c>
      <c r="B5" s="1916">
        <f>SUMIFS(AC_SOTIEN,AC_THANG,$A$1,AC_DOI,$A5,AC_KM,B$2)/1000</f>
        <v>0</v>
      </c>
      <c r="C5" s="1917" t="str">
        <f t="shared" si="1"/>
        <v>#DIV/0!</v>
      </c>
      <c r="D5" s="1916">
        <f>SUMIFS(AC_SOTIEN,AC_THANG,$A$1,AC_DOI,$A5,AC_KM,D$2)/1000</f>
        <v>0</v>
      </c>
      <c r="E5" s="1917" t="str">
        <f t="shared" si="2"/>
        <v/>
      </c>
      <c r="F5" s="1916">
        <f>SUMIFS(AC_SOTIEN,AC_THANG,$A$1,AC_DOI,$A5,AC_NHOMQL,F$2)/1000</f>
        <v>0</v>
      </c>
      <c r="G5" s="1917" t="str">
        <f t="shared" si="3"/>
        <v/>
      </c>
      <c r="H5" s="1916">
        <f>SUMIFS(AC_SOTIEN,AC_THANG,$A$1,AC_DOI,$A5,AC_NHOMQL,H$2)/1000</f>
        <v>0</v>
      </c>
      <c r="I5" s="1917" t="str">
        <f t="shared" si="4"/>
        <v/>
      </c>
      <c r="J5" s="1918">
        <f t="shared" si="5"/>
        <v>0</v>
      </c>
      <c r="K5" s="1917" t="str">
        <f t="shared" si="6"/>
        <v/>
      </c>
      <c r="L5" s="1919">
        <f t="shared" si="7"/>
        <v>0</v>
      </c>
      <c r="M5" s="1917" t="str">
        <f t="shared" si="8"/>
        <v/>
      </c>
      <c r="N5" s="1918" t="str">
        <f t="shared" si="9"/>
        <v>#DIV/0!</v>
      </c>
      <c r="O5" s="1918"/>
    </row>
    <row r="6">
      <c r="A6" s="1915"/>
      <c r="B6" s="1916">
        <f>SUMIFS(AC_SOTIEN,AC_THANG,$A$1,AC_DOI,$A6,AC_KM,B$2)/1000</f>
        <v>0</v>
      </c>
      <c r="C6" s="1917" t="str">
        <f t="shared" si="1"/>
        <v>#DIV/0!</v>
      </c>
      <c r="D6" s="1916">
        <f>SUMIFS(AC_SOTIEN,AC_THANG,$A$1,AC_DOI,$A6,AC_KM,D$2)/1000</f>
        <v>0</v>
      </c>
      <c r="E6" s="1917" t="str">
        <f t="shared" si="2"/>
        <v/>
      </c>
      <c r="F6" s="1916">
        <f>SUMIFS(AC_SOTIEN,AC_THANG,$A$1,AC_DOI,$A6,AC_NHOMQL,F$2)/1000</f>
        <v>0</v>
      </c>
      <c r="G6" s="1917" t="str">
        <f t="shared" si="3"/>
        <v/>
      </c>
      <c r="H6" s="1916">
        <f>SUMIFS(AC_SOTIEN,AC_THANG,$A$1,AC_DOI,$A6,AC_NHOMQL,H$2)/1000</f>
        <v>0</v>
      </c>
      <c r="I6" s="1917" t="str">
        <f t="shared" si="4"/>
        <v/>
      </c>
      <c r="J6" s="1918">
        <f t="shared" si="5"/>
        <v>0</v>
      </c>
      <c r="K6" s="1917" t="str">
        <f t="shared" si="6"/>
        <v/>
      </c>
      <c r="L6" s="1919">
        <f t="shared" si="7"/>
        <v>0</v>
      </c>
      <c r="M6" s="1917" t="str">
        <f t="shared" si="8"/>
        <v/>
      </c>
      <c r="N6" s="1918" t="str">
        <f t="shared" si="9"/>
        <v>#DIV/0!</v>
      </c>
      <c r="O6" s="1918"/>
    </row>
    <row r="7">
      <c r="A7" s="1915"/>
      <c r="B7" s="1916">
        <f>SUMIFS(AC_SOTIEN,AC_THANG,$A$1,AC_DOI,$A7,AC_KM,B$2)/1000</f>
        <v>0</v>
      </c>
      <c r="C7" s="1917" t="str">
        <f t="shared" si="1"/>
        <v>#DIV/0!</v>
      </c>
      <c r="D7" s="1916">
        <f>SUMIFS(AC_SOTIEN,AC_THANG,$A$1,AC_DOI,$A7,AC_KM,D$2)/1000</f>
        <v>0</v>
      </c>
      <c r="E7" s="1917" t="str">
        <f t="shared" si="2"/>
        <v/>
      </c>
      <c r="F7" s="1916">
        <f>SUMIFS(AC_SOTIEN,AC_THANG,$A$1,AC_DOI,$A7,AC_NHOMQL,F$2)/1000</f>
        <v>0</v>
      </c>
      <c r="G7" s="1917" t="str">
        <f t="shared" si="3"/>
        <v/>
      </c>
      <c r="H7" s="1916">
        <f>SUMIFS(AC_SOTIEN,AC_THANG,$A$1,AC_DOI,$A7,AC_NHOMQL,H$2)/1000</f>
        <v>0</v>
      </c>
      <c r="I7" s="1917" t="str">
        <f t="shared" si="4"/>
        <v/>
      </c>
      <c r="J7" s="1918">
        <f t="shared" si="5"/>
        <v>0</v>
      </c>
      <c r="K7" s="1917" t="str">
        <f t="shared" si="6"/>
        <v/>
      </c>
      <c r="L7" s="1919">
        <f t="shared" si="7"/>
        <v>0</v>
      </c>
      <c r="M7" s="1917" t="str">
        <f t="shared" si="8"/>
        <v/>
      </c>
      <c r="N7" s="1918" t="str">
        <f t="shared" si="9"/>
        <v>#DIV/0!</v>
      </c>
      <c r="O7" s="1918"/>
    </row>
    <row r="8">
      <c r="A8" s="1915"/>
      <c r="B8" s="1916">
        <f>SUMIFS(AC_SOTIEN,AC_THANG,$A$1,AC_DOI,$A8,AC_KM,B$2)/1000</f>
        <v>0</v>
      </c>
      <c r="C8" s="1917" t="str">
        <f t="shared" si="1"/>
        <v>#DIV/0!</v>
      </c>
      <c r="D8" s="1916">
        <f>SUMIFS(AC_SOTIEN,AC_THANG,$A$1,AC_DOI,$A8,AC_KM,D$2)/1000</f>
        <v>0</v>
      </c>
      <c r="E8" s="1917" t="str">
        <f t="shared" si="2"/>
        <v/>
      </c>
      <c r="F8" s="1916">
        <f>SUMIFS(AC_SOTIEN,AC_THANG,$A$1,AC_DOI,$A8,AC_NHOMQL,F$2)/1000</f>
        <v>0</v>
      </c>
      <c r="G8" s="1917" t="str">
        <f t="shared" si="3"/>
        <v/>
      </c>
      <c r="H8" s="1916">
        <f>SUMIFS(AC_SOTIEN,AC_THANG,$A$1,AC_DOI,$A8,AC_NHOMQL,H$2)/1000</f>
        <v>0</v>
      </c>
      <c r="I8" s="1917" t="str">
        <f t="shared" si="4"/>
        <v/>
      </c>
      <c r="J8" s="1918">
        <f t="shared" si="5"/>
        <v>0</v>
      </c>
      <c r="K8" s="1917" t="str">
        <f t="shared" si="6"/>
        <v/>
      </c>
      <c r="L8" s="1919">
        <f t="shared" si="7"/>
        <v>0</v>
      </c>
      <c r="M8" s="1917" t="str">
        <f t="shared" si="8"/>
        <v/>
      </c>
      <c r="N8" s="1918" t="str">
        <f t="shared" si="9"/>
        <v>#DIV/0!</v>
      </c>
      <c r="O8" s="1918"/>
    </row>
    <row r="9">
      <c r="A9" s="1915"/>
      <c r="B9" s="1916">
        <f>SUMIFS(AC_SOTIEN,AC_THANG,$A$1,AC_DOI,$A9,AC_KM,B$2)/1000</f>
        <v>0</v>
      </c>
      <c r="C9" s="1917" t="str">
        <f t="shared" si="1"/>
        <v>#DIV/0!</v>
      </c>
      <c r="D9" s="1916">
        <f>SUMIFS(AC_SOTIEN,AC_THANG,$A$1,AC_DOI,$A9,AC_KM,D$2)/1000</f>
        <v>0</v>
      </c>
      <c r="E9" s="1917" t="str">
        <f t="shared" si="2"/>
        <v/>
      </c>
      <c r="F9" s="1916">
        <f>SUMIFS(AC_SOTIEN,AC_THANG,$A$1,AC_DOI,$A9,AC_NHOMQL,F$2)/1000</f>
        <v>0</v>
      </c>
      <c r="G9" s="1917" t="str">
        <f t="shared" si="3"/>
        <v/>
      </c>
      <c r="H9" s="1916">
        <f>SUMIFS(AC_SOTIEN,AC_THANG,$A$1,AC_DOI,$A9,AC_NHOMQL,H$2)/1000</f>
        <v>0</v>
      </c>
      <c r="I9" s="1917" t="str">
        <f t="shared" si="4"/>
        <v/>
      </c>
      <c r="J9" s="1918">
        <f t="shared" si="5"/>
        <v>0</v>
      </c>
      <c r="K9" s="1917" t="str">
        <f t="shared" si="6"/>
        <v/>
      </c>
      <c r="L9" s="1919">
        <f t="shared" si="7"/>
        <v>0</v>
      </c>
      <c r="M9" s="1917" t="str">
        <f t="shared" si="8"/>
        <v/>
      </c>
      <c r="N9" s="1918" t="str">
        <f t="shared" si="9"/>
        <v>#DIV/0!</v>
      </c>
      <c r="O9" s="1918"/>
    </row>
    <row r="10">
      <c r="A10" s="1920" t="s">
        <v>3953</v>
      </c>
      <c r="B10" s="1916">
        <f t="shared" ref="B10:D10" si="10">SUM(B4:B9)</f>
        <v>0</v>
      </c>
      <c r="C10" s="1917" t="str">
        <f t="shared" si="10"/>
        <v>#DIV/0!</v>
      </c>
      <c r="D10" s="1916">
        <f t="shared" si="10"/>
        <v>0</v>
      </c>
      <c r="E10" s="1917" t="str">
        <f t="shared" si="2"/>
        <v/>
      </c>
      <c r="F10" s="1916">
        <f>SUM(F4:F9)</f>
        <v>0</v>
      </c>
      <c r="G10" s="1917" t="str">
        <f>IFERROR(F10/$D10,"")</f>
        <v/>
      </c>
      <c r="H10" s="1916">
        <f>SUM(H4:H9)</f>
        <v>0</v>
      </c>
      <c r="I10" s="1917" t="str">
        <f>IFERROR(H10/$D10,"")</f>
        <v/>
      </c>
      <c r="J10" s="1916">
        <f>SUM(J4:J9)</f>
        <v>0</v>
      </c>
      <c r="K10" s="1917" t="str">
        <f t="shared" si="6"/>
        <v/>
      </c>
      <c r="L10" s="1919">
        <f t="shared" si="7"/>
        <v>0</v>
      </c>
      <c r="M10" s="1917" t="str">
        <f t="shared" si="8"/>
        <v/>
      </c>
      <c r="N10" s="1918" t="str">
        <f>SUM(N4:N9)</f>
        <v>#DIV/0!</v>
      </c>
      <c r="O10" s="1918"/>
    </row>
    <row r="11">
      <c r="A11" s="1921"/>
      <c r="B11" s="1921"/>
      <c r="C11" s="1921"/>
      <c r="D11" s="1921"/>
      <c r="E11" s="1921"/>
      <c r="F11" s="1921"/>
      <c r="G11" s="1921"/>
      <c r="H11" s="1921"/>
      <c r="I11" s="1921"/>
      <c r="J11" s="1921"/>
      <c r="K11" s="1921"/>
      <c r="L11" s="1921"/>
      <c r="M11" s="1921"/>
      <c r="N11" s="1921"/>
      <c r="O11" s="1921"/>
    </row>
    <row r="12">
      <c r="A12" s="1922"/>
      <c r="B12" s="1922"/>
      <c r="C12" s="1922"/>
      <c r="D12" s="1922"/>
      <c r="E12" s="1922"/>
      <c r="F12" s="1922"/>
      <c r="G12" s="1922"/>
      <c r="H12" s="1922"/>
      <c r="I12" s="1922"/>
      <c r="J12" s="1922"/>
      <c r="K12" s="1922"/>
      <c r="L12" s="1922"/>
      <c r="M12" s="1922"/>
      <c r="N12" s="1922"/>
      <c r="O12" s="1922"/>
    </row>
    <row r="13">
      <c r="A13" s="1922"/>
      <c r="B13" s="1922"/>
      <c r="C13" s="1922"/>
      <c r="D13" s="1922"/>
      <c r="E13" s="1922"/>
      <c r="F13" s="1922"/>
      <c r="G13" s="1922"/>
      <c r="H13" s="1922"/>
      <c r="I13" s="1922"/>
      <c r="J13" s="1922"/>
      <c r="K13" s="1922"/>
      <c r="L13" s="1922"/>
      <c r="M13" s="1922"/>
      <c r="N13" s="1922"/>
      <c r="O13" s="1922"/>
    </row>
    <row r="14">
      <c r="A14" s="1922"/>
      <c r="B14" s="1922"/>
      <c r="C14" s="1922"/>
      <c r="D14" s="1922"/>
      <c r="E14" s="1922"/>
      <c r="F14" s="1922"/>
      <c r="G14" s="1922"/>
      <c r="H14" s="1922"/>
      <c r="I14" s="1922"/>
      <c r="J14" s="1922"/>
      <c r="K14" s="1922"/>
      <c r="L14" s="1922"/>
      <c r="M14" s="1922"/>
      <c r="N14" s="1922"/>
      <c r="O14" s="1922"/>
    </row>
    <row r="15">
      <c r="A15" s="1922"/>
      <c r="B15" s="1922"/>
      <c r="C15" s="1922"/>
      <c r="D15" s="1922"/>
      <c r="E15" s="1922"/>
      <c r="F15" s="1922"/>
      <c r="G15" s="1922"/>
      <c r="H15" s="1922"/>
      <c r="I15" s="1922"/>
      <c r="J15" s="1922"/>
      <c r="K15" s="1922"/>
      <c r="L15" s="1922"/>
      <c r="M15" s="1922"/>
      <c r="N15" s="1922"/>
      <c r="O15" s="1922"/>
    </row>
    <row r="16">
      <c r="A16" s="1922"/>
      <c r="B16" s="1922"/>
      <c r="C16" s="1922"/>
      <c r="D16" s="1922"/>
      <c r="E16" s="1922"/>
      <c r="F16" s="1922"/>
      <c r="G16" s="1922"/>
      <c r="H16" s="1922"/>
      <c r="I16" s="1922"/>
      <c r="J16" s="1922"/>
      <c r="K16" s="1922"/>
      <c r="L16" s="1922"/>
      <c r="M16" s="1922"/>
      <c r="N16" s="1922"/>
      <c r="O16" s="1922"/>
    </row>
    <row r="17">
      <c r="A17" s="1922"/>
      <c r="B17" s="1922"/>
      <c r="C17" s="1922"/>
      <c r="D17" s="1922"/>
      <c r="E17" s="1922"/>
      <c r="F17" s="1922"/>
      <c r="G17" s="1922"/>
      <c r="H17" s="1922"/>
      <c r="I17" s="1922"/>
      <c r="J17" s="1922"/>
      <c r="K17" s="1922"/>
      <c r="L17" s="1922"/>
      <c r="M17" s="1922"/>
      <c r="N17" s="1922"/>
      <c r="O17" s="1922"/>
    </row>
    <row r="18">
      <c r="A18" s="1922"/>
      <c r="B18" s="1922"/>
      <c r="C18" s="1922"/>
      <c r="D18" s="1922"/>
      <c r="E18" s="1922"/>
      <c r="F18" s="1922"/>
      <c r="G18" s="1922"/>
      <c r="H18" s="1922"/>
      <c r="I18" s="1922"/>
      <c r="J18" s="1922"/>
      <c r="K18" s="1922"/>
      <c r="L18" s="1922"/>
      <c r="M18" s="1922"/>
      <c r="N18" s="1922"/>
      <c r="O18" s="1922"/>
    </row>
    <row r="19">
      <c r="A19" s="1922"/>
      <c r="B19" s="1922"/>
      <c r="C19" s="1922"/>
      <c r="D19" s="1922"/>
      <c r="E19" s="1922"/>
      <c r="F19" s="1922"/>
      <c r="G19" s="1922"/>
      <c r="H19" s="1922"/>
      <c r="I19" s="1922"/>
      <c r="J19" s="1922"/>
      <c r="K19" s="1922"/>
      <c r="L19" s="1922"/>
      <c r="M19" s="1922"/>
      <c r="N19" s="1922"/>
      <c r="O19" s="1922"/>
    </row>
    <row r="20">
      <c r="A20" s="1922"/>
      <c r="B20" s="1922"/>
      <c r="C20" s="1922"/>
      <c r="D20" s="1922"/>
      <c r="E20" s="1922"/>
      <c r="F20" s="1922"/>
      <c r="G20" s="1922"/>
      <c r="H20" s="1922"/>
      <c r="I20" s="1922"/>
      <c r="J20" s="1922"/>
      <c r="K20" s="1922"/>
      <c r="L20" s="1922"/>
      <c r="M20" s="1922"/>
      <c r="N20" s="1922"/>
      <c r="O20" s="1922"/>
    </row>
    <row r="21">
      <c r="A21" s="1922"/>
      <c r="B21" s="1922"/>
      <c r="C21" s="1922"/>
      <c r="D21" s="1922"/>
      <c r="E21" s="1922"/>
      <c r="F21" s="1922"/>
      <c r="G21" s="1922"/>
      <c r="H21" s="1922"/>
      <c r="I21" s="1922"/>
      <c r="J21" s="1922"/>
      <c r="K21" s="1922"/>
      <c r="L21" s="1922"/>
      <c r="M21" s="1922"/>
      <c r="N21" s="1922"/>
      <c r="O21" s="1922"/>
    </row>
    <row r="22">
      <c r="A22" s="1922"/>
      <c r="B22" s="1922"/>
      <c r="C22" s="1922"/>
      <c r="D22" s="1922"/>
      <c r="E22" s="1922"/>
      <c r="F22" s="1922"/>
      <c r="G22" s="1922"/>
      <c r="H22" s="1922"/>
      <c r="I22" s="1922"/>
      <c r="J22" s="1922"/>
      <c r="K22" s="1922"/>
      <c r="L22" s="1922"/>
      <c r="M22" s="1922"/>
      <c r="N22" s="1922"/>
      <c r="O22" s="1922"/>
    </row>
    <row r="23">
      <c r="A23" s="1922"/>
      <c r="B23" s="1922"/>
      <c r="C23" s="1922"/>
      <c r="D23" s="1922"/>
      <c r="E23" s="1922"/>
      <c r="F23" s="1922"/>
      <c r="G23" s="1922"/>
      <c r="H23" s="1922"/>
      <c r="I23" s="1922"/>
      <c r="J23" s="1922"/>
      <c r="K23" s="1922"/>
      <c r="L23" s="1922"/>
      <c r="M23" s="1922"/>
      <c r="N23" s="1922"/>
      <c r="O23" s="1922"/>
    </row>
    <row r="24">
      <c r="A24" s="1922"/>
      <c r="B24" s="1922"/>
      <c r="C24" s="1922"/>
      <c r="D24" s="1922"/>
      <c r="E24" s="1922"/>
      <c r="F24" s="1922"/>
      <c r="G24" s="1922"/>
      <c r="H24" s="1922"/>
      <c r="I24" s="1922"/>
      <c r="J24" s="1922"/>
      <c r="K24" s="1922"/>
      <c r="L24" s="1922"/>
      <c r="M24" s="1922"/>
      <c r="N24" s="1922"/>
      <c r="O24" s="1922"/>
    </row>
    <row r="25">
      <c r="A25" s="1922"/>
      <c r="B25" s="1922"/>
      <c r="C25" s="1922"/>
      <c r="D25" s="1922"/>
      <c r="E25" s="1922"/>
      <c r="F25" s="1922"/>
      <c r="G25" s="1922"/>
      <c r="H25" s="1922"/>
      <c r="I25" s="1922"/>
      <c r="J25" s="1922"/>
      <c r="K25" s="1922"/>
      <c r="L25" s="1922"/>
      <c r="M25" s="1922"/>
      <c r="N25" s="1922"/>
      <c r="O25" s="1922"/>
    </row>
    <row r="26">
      <c r="A26" s="1922"/>
      <c r="B26" s="1922"/>
      <c r="C26" s="1922"/>
      <c r="D26" s="1922"/>
      <c r="E26" s="1922"/>
      <c r="F26" s="1922"/>
      <c r="G26" s="1922"/>
      <c r="H26" s="1922"/>
      <c r="I26" s="1922"/>
      <c r="J26" s="1922"/>
      <c r="K26" s="1922"/>
      <c r="L26" s="1922"/>
      <c r="M26" s="1922"/>
      <c r="N26" s="1922"/>
      <c r="O26" s="1922"/>
    </row>
    <row r="27">
      <c r="A27" s="1922"/>
      <c r="B27" s="1922"/>
      <c r="C27" s="1922"/>
      <c r="D27" s="1922"/>
      <c r="E27" s="1922"/>
      <c r="F27" s="1922"/>
      <c r="G27" s="1922"/>
      <c r="H27" s="1922"/>
      <c r="I27" s="1922"/>
      <c r="J27" s="1922"/>
      <c r="K27" s="1922"/>
      <c r="L27" s="1922"/>
      <c r="M27" s="1922"/>
      <c r="N27" s="1922"/>
      <c r="O27" s="1922"/>
    </row>
    <row r="28">
      <c r="A28" s="1922"/>
      <c r="B28" s="1922"/>
      <c r="C28" s="1922"/>
      <c r="D28" s="1922"/>
      <c r="E28" s="1922"/>
      <c r="F28" s="1922"/>
      <c r="G28" s="1922"/>
      <c r="H28" s="1922"/>
      <c r="I28" s="1922"/>
      <c r="J28" s="1922"/>
      <c r="K28" s="1922"/>
      <c r="L28" s="1922"/>
      <c r="M28" s="1922"/>
      <c r="N28" s="1922"/>
      <c r="O28" s="1922"/>
    </row>
    <row r="29">
      <c r="A29" s="1922"/>
      <c r="B29" s="1922"/>
      <c r="C29" s="1922"/>
      <c r="D29" s="1922"/>
      <c r="E29" s="1922"/>
      <c r="F29" s="1922"/>
      <c r="G29" s="1922"/>
      <c r="H29" s="1922"/>
      <c r="I29" s="1922"/>
      <c r="J29" s="1922"/>
      <c r="K29" s="1922"/>
      <c r="L29" s="1922"/>
      <c r="M29" s="1922"/>
      <c r="N29" s="1922"/>
      <c r="O29" s="1922"/>
    </row>
    <row r="30">
      <c r="A30" s="1922"/>
      <c r="B30" s="1922"/>
      <c r="C30" s="1922"/>
      <c r="D30" s="1922"/>
      <c r="E30" s="1922"/>
      <c r="F30" s="1922"/>
      <c r="G30" s="1922"/>
      <c r="H30" s="1922"/>
      <c r="I30" s="1922"/>
      <c r="J30" s="1922"/>
      <c r="K30" s="1922"/>
      <c r="L30" s="1922"/>
      <c r="M30" s="1922"/>
      <c r="N30" s="1922"/>
      <c r="O30" s="1922"/>
    </row>
    <row r="31">
      <c r="A31" s="1922"/>
      <c r="B31" s="1922"/>
      <c r="C31" s="1922"/>
      <c r="D31" s="1922"/>
      <c r="E31" s="1922"/>
      <c r="F31" s="1922"/>
      <c r="G31" s="1922"/>
      <c r="H31" s="1922"/>
      <c r="I31" s="1922"/>
      <c r="J31" s="1922"/>
      <c r="K31" s="1922"/>
      <c r="L31" s="1922"/>
      <c r="M31" s="1922"/>
      <c r="N31" s="1922"/>
      <c r="O31" s="1922"/>
    </row>
    <row r="32">
      <c r="A32" s="1922"/>
      <c r="B32" s="1922"/>
      <c r="C32" s="1922"/>
      <c r="D32" s="1922"/>
      <c r="E32" s="1922"/>
      <c r="F32" s="1922"/>
      <c r="G32" s="1922"/>
      <c r="H32" s="1922"/>
      <c r="I32" s="1922"/>
      <c r="J32" s="1922"/>
      <c r="K32" s="1922"/>
      <c r="L32" s="1922"/>
      <c r="M32" s="1922"/>
      <c r="N32" s="1922"/>
      <c r="O32" s="1922"/>
    </row>
    <row r="33">
      <c r="A33" s="1922"/>
      <c r="B33" s="1922"/>
      <c r="C33" s="1922"/>
      <c r="D33" s="1922"/>
      <c r="E33" s="1922"/>
      <c r="F33" s="1922"/>
      <c r="G33" s="1922"/>
      <c r="H33" s="1922"/>
      <c r="I33" s="1922"/>
      <c r="J33" s="1922"/>
      <c r="K33" s="1922"/>
      <c r="L33" s="1922"/>
      <c r="M33" s="1922"/>
      <c r="N33" s="1922"/>
      <c r="O33" s="1922"/>
    </row>
    <row r="34">
      <c r="A34" s="1922"/>
      <c r="B34" s="1922"/>
      <c r="C34" s="1922"/>
      <c r="D34" s="1922"/>
      <c r="E34" s="1922"/>
      <c r="F34" s="1922"/>
      <c r="G34" s="1922"/>
      <c r="H34" s="1922"/>
      <c r="I34" s="1922"/>
      <c r="J34" s="1922"/>
      <c r="K34" s="1922"/>
      <c r="L34" s="1922"/>
      <c r="M34" s="1922"/>
      <c r="N34" s="1922"/>
      <c r="O34" s="1922"/>
    </row>
    <row r="35">
      <c r="A35" s="1922"/>
      <c r="B35" s="1922"/>
      <c r="C35" s="1922"/>
      <c r="D35" s="1922"/>
      <c r="E35" s="1922"/>
      <c r="F35" s="1922"/>
      <c r="G35" s="1922"/>
      <c r="H35" s="1922"/>
      <c r="I35" s="1922"/>
      <c r="J35" s="1922"/>
      <c r="K35" s="1922"/>
      <c r="L35" s="1922"/>
      <c r="M35" s="1922"/>
      <c r="N35" s="1922"/>
      <c r="O35" s="1922"/>
    </row>
    <row r="36">
      <c r="A36" s="1922"/>
      <c r="B36" s="1922"/>
      <c r="C36" s="1922"/>
      <c r="D36" s="1922"/>
      <c r="E36" s="1922"/>
      <c r="F36" s="1922"/>
      <c r="G36" s="1922"/>
      <c r="H36" s="1922"/>
      <c r="I36" s="1922"/>
      <c r="J36" s="1922"/>
      <c r="K36" s="1922"/>
      <c r="L36" s="1922"/>
      <c r="M36" s="1922"/>
      <c r="N36" s="1922"/>
      <c r="O36" s="1922"/>
    </row>
    <row r="37">
      <c r="A37" s="1922"/>
      <c r="B37" s="1922"/>
      <c r="C37" s="1922"/>
      <c r="D37" s="1922"/>
      <c r="E37" s="1922"/>
      <c r="F37" s="1922"/>
      <c r="G37" s="1922"/>
      <c r="H37" s="1922"/>
      <c r="I37" s="1922"/>
      <c r="J37" s="1922"/>
      <c r="K37" s="1922"/>
      <c r="L37" s="1922"/>
      <c r="M37" s="1922"/>
      <c r="N37" s="1922"/>
      <c r="O37" s="1922"/>
    </row>
    <row r="38">
      <c r="A38" s="1922"/>
      <c r="B38" s="1922"/>
      <c r="C38" s="1922"/>
      <c r="D38" s="1922"/>
      <c r="E38" s="1922"/>
      <c r="F38" s="1922"/>
      <c r="G38" s="1922"/>
      <c r="H38" s="1922"/>
      <c r="I38" s="1922"/>
      <c r="J38" s="1922"/>
      <c r="K38" s="1922"/>
      <c r="L38" s="1922"/>
      <c r="M38" s="1922"/>
      <c r="N38" s="1922"/>
      <c r="O38" s="1922"/>
    </row>
    <row r="39">
      <c r="A39" s="1922"/>
      <c r="B39" s="1922"/>
      <c r="C39" s="1922"/>
      <c r="D39" s="1922"/>
      <c r="E39" s="1922"/>
      <c r="F39" s="1922"/>
      <c r="G39" s="1922"/>
      <c r="H39" s="1922"/>
      <c r="I39" s="1922"/>
      <c r="J39" s="1922"/>
      <c r="K39" s="1922"/>
      <c r="L39" s="1922"/>
      <c r="M39" s="1922"/>
      <c r="N39" s="1922"/>
      <c r="O39" s="1922"/>
    </row>
    <row r="40">
      <c r="A40" s="1922"/>
      <c r="B40" s="1922"/>
      <c r="C40" s="1922"/>
      <c r="D40" s="1922"/>
      <c r="E40" s="1922"/>
      <c r="F40" s="1922"/>
      <c r="G40" s="1922"/>
      <c r="H40" s="1922"/>
      <c r="I40" s="1922"/>
      <c r="J40" s="1922"/>
      <c r="K40" s="1922"/>
      <c r="L40" s="1922"/>
      <c r="M40" s="1922"/>
      <c r="N40" s="1922"/>
      <c r="O40" s="1922"/>
    </row>
    <row r="41">
      <c r="A41" s="1922"/>
      <c r="B41" s="1922"/>
      <c r="C41" s="1922"/>
      <c r="D41" s="1922"/>
      <c r="E41" s="1922"/>
      <c r="F41" s="1922"/>
      <c r="G41" s="1922"/>
      <c r="H41" s="1922"/>
      <c r="I41" s="1922"/>
      <c r="J41" s="1922"/>
      <c r="K41" s="1922"/>
      <c r="L41" s="1922"/>
      <c r="M41" s="1922"/>
      <c r="N41" s="1922"/>
      <c r="O41" s="1922"/>
    </row>
    <row r="42">
      <c r="A42" s="1922"/>
      <c r="B42" s="1922"/>
      <c r="C42" s="1922"/>
      <c r="D42" s="1922"/>
      <c r="E42" s="1922"/>
      <c r="F42" s="1922"/>
      <c r="G42" s="1922"/>
      <c r="H42" s="1922"/>
      <c r="I42" s="1922"/>
      <c r="J42" s="1922"/>
      <c r="K42" s="1922"/>
      <c r="L42" s="1922"/>
      <c r="M42" s="1922"/>
      <c r="N42" s="1922"/>
      <c r="O42" s="1922"/>
    </row>
    <row r="43">
      <c r="A43" s="1922"/>
      <c r="B43" s="1922"/>
      <c r="C43" s="1922"/>
      <c r="D43" s="1922"/>
      <c r="E43" s="1922"/>
      <c r="F43" s="1922"/>
      <c r="G43" s="1922"/>
      <c r="H43" s="1922"/>
      <c r="I43" s="1922"/>
      <c r="J43" s="1922"/>
      <c r="K43" s="1922"/>
      <c r="L43" s="1922"/>
      <c r="M43" s="1922"/>
      <c r="N43" s="1922"/>
      <c r="O43" s="1922"/>
    </row>
    <row r="44">
      <c r="A44" s="1922"/>
      <c r="B44" s="1922"/>
      <c r="C44" s="1922"/>
      <c r="D44" s="1922"/>
      <c r="E44" s="1922"/>
      <c r="F44" s="1922"/>
      <c r="G44" s="1922"/>
      <c r="H44" s="1922"/>
      <c r="I44" s="1922"/>
      <c r="J44" s="1922"/>
      <c r="K44" s="1922"/>
      <c r="L44" s="1922"/>
      <c r="M44" s="1922"/>
      <c r="N44" s="1922"/>
      <c r="O44" s="1922"/>
    </row>
    <row r="45">
      <c r="A45" s="1922"/>
      <c r="B45" s="1922"/>
      <c r="C45" s="1922"/>
      <c r="D45" s="1922"/>
      <c r="E45" s="1922"/>
      <c r="F45" s="1922"/>
      <c r="G45" s="1922"/>
      <c r="H45" s="1922"/>
      <c r="I45" s="1922"/>
      <c r="J45" s="1922"/>
      <c r="K45" s="1922"/>
      <c r="L45" s="1922"/>
      <c r="M45" s="1922"/>
      <c r="N45" s="1922"/>
      <c r="O45" s="1922"/>
    </row>
    <row r="46">
      <c r="A46" s="1922"/>
      <c r="B46" s="1922"/>
      <c r="C46" s="1922"/>
      <c r="D46" s="1922"/>
      <c r="E46" s="1922"/>
      <c r="F46" s="1922"/>
      <c r="G46" s="1922"/>
      <c r="H46" s="1922"/>
      <c r="I46" s="1922"/>
      <c r="J46" s="1922"/>
      <c r="K46" s="1922"/>
      <c r="L46" s="1922"/>
      <c r="M46" s="1922"/>
      <c r="N46" s="1922"/>
      <c r="O46" s="1922"/>
    </row>
    <row r="47">
      <c r="A47" s="1922"/>
      <c r="B47" s="1922"/>
      <c r="C47" s="1922"/>
      <c r="D47" s="1922"/>
      <c r="E47" s="1922"/>
      <c r="F47" s="1922"/>
      <c r="G47" s="1922"/>
      <c r="H47" s="1922"/>
      <c r="I47" s="1922"/>
      <c r="J47" s="1922"/>
      <c r="K47" s="1922"/>
      <c r="L47" s="1922"/>
      <c r="M47" s="1922"/>
      <c r="N47" s="1922"/>
      <c r="O47" s="1922"/>
    </row>
    <row r="48">
      <c r="A48" s="1901"/>
      <c r="B48" s="1902" t="s">
        <v>198</v>
      </c>
      <c r="C48" s="1903"/>
      <c r="D48" s="1904" t="s">
        <v>187</v>
      </c>
      <c r="E48" s="1905"/>
      <c r="F48" s="1904" t="s">
        <v>2085</v>
      </c>
      <c r="G48" s="1903"/>
      <c r="H48" s="1906" t="s">
        <v>2087</v>
      </c>
      <c r="I48" s="1903"/>
      <c r="J48" s="1903"/>
      <c r="K48" s="1907"/>
      <c r="L48" s="1908"/>
      <c r="M48" s="1909"/>
      <c r="N48" s="1910"/>
      <c r="O48" s="1910"/>
    </row>
    <row r="49">
      <c r="A49" s="1923" t="s">
        <v>137</v>
      </c>
      <c r="B49" s="1912" t="s">
        <v>2065</v>
      </c>
      <c r="C49" s="1911" t="s">
        <v>3954</v>
      </c>
      <c r="D49" s="1911" t="s">
        <v>2247</v>
      </c>
      <c r="E49" s="1911" t="s">
        <v>3955</v>
      </c>
      <c r="F49" s="1911" t="s">
        <v>3956</v>
      </c>
      <c r="G49" s="1911" t="s">
        <v>3957</v>
      </c>
      <c r="H49" s="1912" t="s">
        <v>3958</v>
      </c>
      <c r="I49" s="1911" t="s">
        <v>3957</v>
      </c>
      <c r="J49" s="1913" t="s">
        <v>2080</v>
      </c>
      <c r="K49" s="1911" t="s">
        <v>3957</v>
      </c>
      <c r="L49" s="1912" t="s">
        <v>3959</v>
      </c>
      <c r="M49" s="1911" t="s">
        <v>3957</v>
      </c>
      <c r="N49" s="1922"/>
      <c r="O49" s="1922"/>
    </row>
    <row r="50">
      <c r="A50" s="1915" t="str">
        <f>IFERROR(__xludf.DUMMYFUNCTION("UNIQUE(QUERY(AC,""Select P Where C  = '""&amp;'S4'!$G$2&amp;""'""),0)"),"")</f>
        <v/>
      </c>
      <c r="B50" s="1916">
        <f>SUMIFS(AC_SOTIEN,AC_THANG,$A$1,AC_DA,$A50,AC_KM,B$2)/1000</f>
        <v>0</v>
      </c>
      <c r="C50" s="1917" t="str">
        <f t="shared" ref="C50:C59" si="11">B50/B$10</f>
        <v>#DIV/0!</v>
      </c>
      <c r="D50" s="1916">
        <f>SUMIFS(AC_SOTIEN,AC_THANG,$A$1,AC_DA,$A50,AC_KM,D$2)/1000</f>
        <v>0</v>
      </c>
      <c r="E50" s="1917" t="str">
        <f t="shared" ref="E50:E60" si="12">IFERROR(D50/B50,"")</f>
        <v/>
      </c>
      <c r="F50" s="1916">
        <f>SUMIFS(AC_SOTIEN,AC_THANG,$A$1,AC_DA,$A50,AC_NHOMQL,F$2)/1000</f>
        <v>0</v>
      </c>
      <c r="G50" s="1917">
        <f t="shared" ref="G50:G59" si="13">IF(D50&gt;0,F50/D50,0)</f>
        <v>0</v>
      </c>
      <c r="H50" s="1916">
        <f>SUMIFS(AC_SOTIEN,AC_THANG,$A$1,AC_DA,$A50,AC_NHOMQL,H$2)/1000</f>
        <v>0</v>
      </c>
      <c r="I50" s="1917">
        <f t="shared" ref="I50:I59" si="14">IF(E50&gt;0,H50/D50,0)</f>
        <v>0</v>
      </c>
      <c r="J50" s="1918">
        <f t="shared" ref="J50:J59" si="15">F50+H50</f>
        <v>0</v>
      </c>
      <c r="K50" s="1917" t="str">
        <f t="shared" ref="K50:K60" si="16">IFERROR(J50/$D50,"")</f>
        <v/>
      </c>
      <c r="L50" s="1919">
        <f t="shared" ref="L50:L60" si="17">D50-F50-H50</f>
        <v>0</v>
      </c>
      <c r="M50" s="1917" t="str">
        <f t="shared" ref="M50:M60" si="18">IFERROR(L50/$D50,"")</f>
        <v/>
      </c>
      <c r="N50" s="1922"/>
      <c r="O50" s="1922"/>
    </row>
    <row r="51">
      <c r="A51" s="1915">
        <f>IFERROR(__xludf.DUMMYFUNCTION("""COMPUTED_VALUE"""),511.0)</f>
        <v>511</v>
      </c>
      <c r="B51" s="1916">
        <f>SUMIFS(AC_SOTIEN,AC_THANG,$A$1,AC_DA,$A51,AC_KM,B$2)/1000</f>
        <v>0</v>
      </c>
      <c r="C51" s="1917" t="str">
        <f t="shared" si="11"/>
        <v>#DIV/0!</v>
      </c>
      <c r="D51" s="1916">
        <f>SUMIFS(AC_SOTIEN,AC_THANG,$A$1,AC_DA,$A51,AC_KM,D$2)/1000</f>
        <v>0</v>
      </c>
      <c r="E51" s="1917" t="str">
        <f t="shared" si="12"/>
        <v/>
      </c>
      <c r="F51" s="1916">
        <f>SUMIFS(AC_SOTIEN,AC_THANG,$A$1,AC_DA,$A51,AC_NHOMQL,F$2)/1000</f>
        <v>0</v>
      </c>
      <c r="G51" s="1917">
        <f t="shared" si="13"/>
        <v>0</v>
      </c>
      <c r="H51" s="1916">
        <f>SUMIFS(AC_SOTIEN,AC_THANG,$A$1,AC_DA,$A51,AC_NHOMQL,H$2)/1000</f>
        <v>0</v>
      </c>
      <c r="I51" s="1917">
        <f t="shared" si="14"/>
        <v>0</v>
      </c>
      <c r="J51" s="1918">
        <f t="shared" si="15"/>
        <v>0</v>
      </c>
      <c r="K51" s="1917" t="str">
        <f t="shared" si="16"/>
        <v/>
      </c>
      <c r="L51" s="1919">
        <f t="shared" si="17"/>
        <v>0</v>
      </c>
      <c r="M51" s="1917" t="str">
        <f t="shared" si="18"/>
        <v/>
      </c>
      <c r="N51" s="1922"/>
      <c r="O51" s="1922"/>
    </row>
    <row r="52">
      <c r="A52" s="1915">
        <f>IFERROR(__xludf.DUMMYFUNCTION("""COMPUTED_VALUE"""),642.0)</f>
        <v>642</v>
      </c>
      <c r="B52" s="1916">
        <f>SUMIFS(AC_SOTIEN,AC_THANG,$A$1,AC_DA,$A52,AC_KM,B$2)/1000</f>
        <v>0</v>
      </c>
      <c r="C52" s="1917" t="str">
        <f t="shared" si="11"/>
        <v>#DIV/0!</v>
      </c>
      <c r="D52" s="1916">
        <f>SUMIFS(AC_SOTIEN,AC_THANG,$A$1,AC_DA,$A52,AC_KM,D$2)/1000</f>
        <v>0</v>
      </c>
      <c r="E52" s="1917" t="str">
        <f t="shared" si="12"/>
        <v/>
      </c>
      <c r="F52" s="1916">
        <f>SUMIFS(AC_SOTIEN,AC_THANG,$A$1,AC_DA,$A52,AC_NHOMQL,F$2)/1000</f>
        <v>0</v>
      </c>
      <c r="G52" s="1917">
        <f t="shared" si="13"/>
        <v>0</v>
      </c>
      <c r="H52" s="1916">
        <f>SUMIFS(AC_SOTIEN,AC_THANG,$A$1,AC_DA,$A52,AC_NHOMQL,H$2)/1000</f>
        <v>0</v>
      </c>
      <c r="I52" s="1917">
        <f t="shared" si="14"/>
        <v>0</v>
      </c>
      <c r="J52" s="1918">
        <f t="shared" si="15"/>
        <v>0</v>
      </c>
      <c r="K52" s="1917" t="str">
        <f t="shared" si="16"/>
        <v/>
      </c>
      <c r="L52" s="1919">
        <f t="shared" si="17"/>
        <v>0</v>
      </c>
      <c r="M52" s="1917" t="str">
        <f t="shared" si="18"/>
        <v/>
      </c>
      <c r="N52" s="1922"/>
      <c r="O52" s="1922"/>
    </row>
    <row r="53">
      <c r="A53" s="1915"/>
      <c r="B53" s="1916">
        <f>SUMIFS(AC_SOTIEN,AC_THANG,$A$1,AC_DA,$A53,AC_KM,B$2)/1000</f>
        <v>0</v>
      </c>
      <c r="C53" s="1917" t="str">
        <f t="shared" si="11"/>
        <v>#DIV/0!</v>
      </c>
      <c r="D53" s="1916">
        <f>SUMIFS(AC_SOTIEN,AC_THANG,$A$1,AC_DA,$A53,AC_KM,D$2)/1000</f>
        <v>0</v>
      </c>
      <c r="E53" s="1917" t="str">
        <f t="shared" si="12"/>
        <v/>
      </c>
      <c r="F53" s="1916">
        <f>SUMIFS(AC_SOTIEN,AC_THANG,$A$1,AC_DA,$A53,AC_NHOMQL,F$2)/1000</f>
        <v>0</v>
      </c>
      <c r="G53" s="1917">
        <f t="shared" si="13"/>
        <v>0</v>
      </c>
      <c r="H53" s="1916">
        <f>SUMIFS(AC_SOTIEN,AC_THANG,$A$1,AC_DA,$A53,AC_NHOMQL,H$2)/1000</f>
        <v>0</v>
      </c>
      <c r="I53" s="1917">
        <f t="shared" si="14"/>
        <v>0</v>
      </c>
      <c r="J53" s="1918">
        <f t="shared" si="15"/>
        <v>0</v>
      </c>
      <c r="K53" s="1917" t="str">
        <f t="shared" si="16"/>
        <v/>
      </c>
      <c r="L53" s="1919">
        <f t="shared" si="17"/>
        <v>0</v>
      </c>
      <c r="M53" s="1917" t="str">
        <f t="shared" si="18"/>
        <v/>
      </c>
      <c r="N53" s="1922"/>
      <c r="O53" s="1922"/>
    </row>
    <row r="54">
      <c r="A54" s="1915"/>
      <c r="B54" s="1916">
        <f>SUMIFS(AC_SOTIEN,AC_THANG,$A$1,AC_DA,$A54,AC_KM,B$2)/1000</f>
        <v>0</v>
      </c>
      <c r="C54" s="1917" t="str">
        <f t="shared" si="11"/>
        <v>#DIV/0!</v>
      </c>
      <c r="D54" s="1916">
        <f>SUMIFS(AC_SOTIEN,AC_THANG,$A$1,AC_DA,$A54,AC_KM,D$2)/1000</f>
        <v>0</v>
      </c>
      <c r="E54" s="1917" t="str">
        <f t="shared" si="12"/>
        <v/>
      </c>
      <c r="F54" s="1916">
        <f>SUMIFS(AC_SOTIEN,AC_THANG,$A$1,AC_DA,$A54,AC_NHOMQL,F$2)/1000</f>
        <v>0</v>
      </c>
      <c r="G54" s="1917">
        <f t="shared" si="13"/>
        <v>0</v>
      </c>
      <c r="H54" s="1916">
        <f>SUMIFS(AC_SOTIEN,AC_THANG,$A$1,AC_DA,$A54,AC_NHOMQL,H$2)/1000</f>
        <v>0</v>
      </c>
      <c r="I54" s="1917">
        <f t="shared" si="14"/>
        <v>0</v>
      </c>
      <c r="J54" s="1918">
        <f t="shared" si="15"/>
        <v>0</v>
      </c>
      <c r="K54" s="1917" t="str">
        <f t="shared" si="16"/>
        <v/>
      </c>
      <c r="L54" s="1919">
        <f t="shared" si="17"/>
        <v>0</v>
      </c>
      <c r="M54" s="1917" t="str">
        <f t="shared" si="18"/>
        <v/>
      </c>
      <c r="N54" s="1922"/>
      <c r="O54" s="1922"/>
    </row>
    <row r="55">
      <c r="A55" s="1915"/>
      <c r="B55" s="1916">
        <f>SUMIFS(AC_SOTIEN,AC_THANG,$A$1,AC_DA,$A55,AC_KM,B$2)/1000</f>
        <v>0</v>
      </c>
      <c r="C55" s="1917" t="str">
        <f t="shared" si="11"/>
        <v>#DIV/0!</v>
      </c>
      <c r="D55" s="1916">
        <f>SUMIFS(AC_SOTIEN,AC_THANG,$A$1,AC_DA,$A55,AC_KM,D$2)/1000</f>
        <v>0</v>
      </c>
      <c r="E55" s="1917" t="str">
        <f t="shared" si="12"/>
        <v/>
      </c>
      <c r="F55" s="1916">
        <f>SUMIFS(AC_SOTIEN,AC_THANG,$A$1,AC_DA,$A55,AC_NHOMQL,F$2)/1000</f>
        <v>0</v>
      </c>
      <c r="G55" s="1917">
        <f t="shared" si="13"/>
        <v>0</v>
      </c>
      <c r="H55" s="1916">
        <f>SUMIFS(AC_SOTIEN,AC_THANG,$A$1,AC_DA,$A55,AC_NHOMQL,H$2)/1000</f>
        <v>0</v>
      </c>
      <c r="I55" s="1917">
        <f t="shared" si="14"/>
        <v>0</v>
      </c>
      <c r="J55" s="1918">
        <f t="shared" si="15"/>
        <v>0</v>
      </c>
      <c r="K55" s="1917" t="str">
        <f t="shared" si="16"/>
        <v/>
      </c>
      <c r="L55" s="1919">
        <f t="shared" si="17"/>
        <v>0</v>
      </c>
      <c r="M55" s="1917" t="str">
        <f t="shared" si="18"/>
        <v/>
      </c>
      <c r="N55" s="1922"/>
      <c r="O55" s="1922"/>
    </row>
    <row r="56">
      <c r="A56" s="1915"/>
      <c r="B56" s="1916">
        <f>SUMIFS(AC_SOTIEN,AC_THANG,$A$1,AC_DA,$A56,AC_KM,B$2)/1000</f>
        <v>0</v>
      </c>
      <c r="C56" s="1917" t="str">
        <f t="shared" si="11"/>
        <v>#DIV/0!</v>
      </c>
      <c r="D56" s="1916">
        <f>SUMIFS(AC_SOTIEN,AC_THANG,$A$1,AC_DA,$A56,AC_KM,D$2)/1000</f>
        <v>0</v>
      </c>
      <c r="E56" s="1917" t="str">
        <f t="shared" si="12"/>
        <v/>
      </c>
      <c r="F56" s="1916">
        <f>SUMIFS(AC_SOTIEN,AC_THANG,$A$1,AC_DA,$A56,AC_NHOMQL,F$2)/1000</f>
        <v>0</v>
      </c>
      <c r="G56" s="1917">
        <f t="shared" si="13"/>
        <v>0</v>
      </c>
      <c r="H56" s="1916">
        <f>SUMIFS(AC_SOTIEN,AC_THANG,$A$1,AC_DA,$A56,AC_NHOMQL,H$2)/1000</f>
        <v>0</v>
      </c>
      <c r="I56" s="1917">
        <f t="shared" si="14"/>
        <v>0</v>
      </c>
      <c r="J56" s="1918">
        <f t="shared" si="15"/>
        <v>0</v>
      </c>
      <c r="K56" s="1917" t="str">
        <f t="shared" si="16"/>
        <v/>
      </c>
      <c r="L56" s="1919">
        <f t="shared" si="17"/>
        <v>0</v>
      </c>
      <c r="M56" s="1917" t="str">
        <f t="shared" si="18"/>
        <v/>
      </c>
      <c r="N56" s="1922"/>
      <c r="O56" s="1922"/>
    </row>
    <row r="57">
      <c r="A57" s="1915"/>
      <c r="B57" s="1916">
        <f>SUMIFS(AC_SOTIEN,AC_THANG,$A$1,AC_DA,$A57,AC_KM,B$2)/1000</f>
        <v>0</v>
      </c>
      <c r="C57" s="1917" t="str">
        <f t="shared" si="11"/>
        <v>#DIV/0!</v>
      </c>
      <c r="D57" s="1916">
        <f>SUMIFS(AC_SOTIEN,AC_THANG,$A$1,AC_DA,$A57,AC_KM,D$2)/1000</f>
        <v>0</v>
      </c>
      <c r="E57" s="1917" t="str">
        <f t="shared" si="12"/>
        <v/>
      </c>
      <c r="F57" s="1916">
        <f>SUMIFS(AC_SOTIEN,AC_THANG,$A$1,AC_DA,$A57,AC_NHOMQL,F$2)/1000</f>
        <v>0</v>
      </c>
      <c r="G57" s="1917">
        <f t="shared" si="13"/>
        <v>0</v>
      </c>
      <c r="H57" s="1916">
        <f>SUMIFS(AC_SOTIEN,AC_THANG,$A$1,AC_DA,$A57,AC_NHOMQL,H$2)/1000</f>
        <v>0</v>
      </c>
      <c r="I57" s="1917">
        <f t="shared" si="14"/>
        <v>0</v>
      </c>
      <c r="J57" s="1918">
        <f t="shared" si="15"/>
        <v>0</v>
      </c>
      <c r="K57" s="1917" t="str">
        <f t="shared" si="16"/>
        <v/>
      </c>
      <c r="L57" s="1919">
        <f t="shared" si="17"/>
        <v>0</v>
      </c>
      <c r="M57" s="1917" t="str">
        <f t="shared" si="18"/>
        <v/>
      </c>
      <c r="N57" s="1922"/>
      <c r="O57" s="1922"/>
    </row>
    <row r="58">
      <c r="A58" s="1915"/>
      <c r="B58" s="1916">
        <f>SUMIFS(AC_SOTIEN,AC_THANG,$A$1,AC_DA,$A58,AC_KM,B$2)/1000</f>
        <v>0</v>
      </c>
      <c r="C58" s="1917" t="str">
        <f t="shared" si="11"/>
        <v>#DIV/0!</v>
      </c>
      <c r="D58" s="1916">
        <f>SUMIFS(AC_SOTIEN,AC_THANG,$A$1,AC_DA,$A58,AC_KM,D$2)/1000</f>
        <v>0</v>
      </c>
      <c r="E58" s="1917" t="str">
        <f t="shared" si="12"/>
        <v/>
      </c>
      <c r="F58" s="1916">
        <f>SUMIFS(AC_SOTIEN,AC_THANG,$A$1,AC_DA,$A58,AC_NHOMQL,F$2)/1000</f>
        <v>0</v>
      </c>
      <c r="G58" s="1917">
        <f t="shared" si="13"/>
        <v>0</v>
      </c>
      <c r="H58" s="1916">
        <f>SUMIFS(AC_SOTIEN,AC_THANG,$A$1,AC_DA,$A58,AC_NHOMQL,H$2)/1000</f>
        <v>0</v>
      </c>
      <c r="I58" s="1917">
        <f t="shared" si="14"/>
        <v>0</v>
      </c>
      <c r="J58" s="1918">
        <f t="shared" si="15"/>
        <v>0</v>
      </c>
      <c r="K58" s="1917" t="str">
        <f t="shared" si="16"/>
        <v/>
      </c>
      <c r="L58" s="1919">
        <f t="shared" si="17"/>
        <v>0</v>
      </c>
      <c r="M58" s="1917" t="str">
        <f t="shared" si="18"/>
        <v/>
      </c>
      <c r="N58" s="1922"/>
      <c r="O58" s="1922"/>
    </row>
    <row r="59">
      <c r="A59" s="1915"/>
      <c r="B59" s="1916">
        <f>SUMIFS(AC_SOTIEN,AC_THANG,$A$1,AC_DA,$A59,AC_KM,B$2)/1000</f>
        <v>0</v>
      </c>
      <c r="C59" s="1917" t="str">
        <f t="shared" si="11"/>
        <v>#DIV/0!</v>
      </c>
      <c r="D59" s="1916">
        <f>SUMIFS(AC_SOTIEN,AC_THANG,$A$1,AC_DA,$A59,AC_KM,D$2)/1000</f>
        <v>0</v>
      </c>
      <c r="E59" s="1917" t="str">
        <f t="shared" si="12"/>
        <v/>
      </c>
      <c r="F59" s="1916">
        <f>SUMIFS(AC_SOTIEN,AC_THANG,$A$1,AC_DA,$A59,AC_NHOMQL,F$2)/1000</f>
        <v>0</v>
      </c>
      <c r="G59" s="1917">
        <f t="shared" si="13"/>
        <v>0</v>
      </c>
      <c r="H59" s="1916">
        <f>SUMIFS(AC_SOTIEN,AC_THANG,$A$1,AC_DA,$A59,AC_NHOMQL,H$2)/1000</f>
        <v>0</v>
      </c>
      <c r="I59" s="1917">
        <f t="shared" si="14"/>
        <v>0</v>
      </c>
      <c r="J59" s="1918">
        <f t="shared" si="15"/>
        <v>0</v>
      </c>
      <c r="K59" s="1917" t="str">
        <f t="shared" si="16"/>
        <v/>
      </c>
      <c r="L59" s="1919">
        <f t="shared" si="17"/>
        <v>0</v>
      </c>
      <c r="M59" s="1917" t="str">
        <f t="shared" si="18"/>
        <v/>
      </c>
      <c r="N59" s="1922"/>
      <c r="O59" s="1922"/>
    </row>
    <row r="60">
      <c r="A60" s="1920" t="s">
        <v>3953</v>
      </c>
      <c r="B60" s="1916">
        <f t="shared" ref="B60:D60" si="19">SUM(B50:B59)</f>
        <v>0</v>
      </c>
      <c r="C60" s="1917" t="str">
        <f t="shared" si="19"/>
        <v>#DIV/0!</v>
      </c>
      <c r="D60" s="1916">
        <f t="shared" si="19"/>
        <v>0</v>
      </c>
      <c r="E60" s="1917" t="str">
        <f t="shared" si="12"/>
        <v/>
      </c>
      <c r="F60" s="1916">
        <f>SUM(F50:F59)</f>
        <v>0</v>
      </c>
      <c r="G60" s="1917" t="str">
        <f>IFERROR(F60/$D60,"")</f>
        <v/>
      </c>
      <c r="H60" s="1916">
        <f>SUM(H50:H59)</f>
        <v>0</v>
      </c>
      <c r="I60" s="1917" t="str">
        <f>IFERROR(H60/$D60,"")</f>
        <v/>
      </c>
      <c r="J60" s="1916">
        <f>SUM(J50:J59)</f>
        <v>0</v>
      </c>
      <c r="K60" s="1917" t="str">
        <f t="shared" si="16"/>
        <v/>
      </c>
      <c r="L60" s="1919">
        <f t="shared" si="17"/>
        <v>0</v>
      </c>
      <c r="M60" s="1917" t="str">
        <f t="shared" si="18"/>
        <v/>
      </c>
      <c r="N60" s="1922"/>
      <c r="O60" s="1922"/>
    </row>
    <row r="61">
      <c r="A61" s="1922"/>
      <c r="B61" s="1922"/>
      <c r="C61" s="1922"/>
      <c r="D61" s="1922"/>
      <c r="E61" s="1922"/>
      <c r="F61" s="1922"/>
      <c r="G61" s="1922"/>
      <c r="H61" s="1922"/>
      <c r="I61" s="1922"/>
      <c r="J61" s="1922"/>
      <c r="K61" s="1922"/>
      <c r="L61" s="1922"/>
      <c r="M61" s="1922"/>
      <c r="N61" s="1922"/>
      <c r="O61" s="1922"/>
    </row>
    <row r="62">
      <c r="A62" s="1922"/>
      <c r="B62" s="1922"/>
      <c r="C62" s="1922"/>
      <c r="D62" s="1922"/>
      <c r="E62" s="1922"/>
      <c r="F62" s="1922"/>
      <c r="G62" s="1922"/>
      <c r="H62" s="1922"/>
      <c r="I62" s="1922"/>
      <c r="J62" s="1922"/>
      <c r="K62" s="1922"/>
      <c r="L62" s="1922"/>
      <c r="M62" s="1922"/>
      <c r="N62" s="1922"/>
      <c r="O62" s="1922"/>
    </row>
    <row r="63">
      <c r="A63" s="1922"/>
      <c r="B63" s="1922"/>
      <c r="C63" s="1922"/>
      <c r="D63" s="1922"/>
      <c r="E63" s="1922"/>
      <c r="F63" s="1922"/>
      <c r="G63" s="1922"/>
      <c r="H63" s="1922"/>
      <c r="I63" s="1922"/>
      <c r="J63" s="1922"/>
      <c r="K63" s="1922"/>
      <c r="L63" s="1922"/>
      <c r="M63" s="1922"/>
      <c r="N63" s="1922"/>
      <c r="O63" s="1922"/>
    </row>
    <row r="64">
      <c r="A64" s="1922"/>
      <c r="B64" s="1922"/>
      <c r="C64" s="1922"/>
      <c r="D64" s="1922"/>
      <c r="E64" s="1922"/>
      <c r="F64" s="1922"/>
      <c r="G64" s="1922"/>
      <c r="H64" s="1922"/>
      <c r="I64" s="1922"/>
      <c r="J64" s="1922"/>
      <c r="K64" s="1922"/>
      <c r="L64" s="1922"/>
      <c r="M64" s="1922"/>
      <c r="N64" s="1922"/>
      <c r="O64" s="1922"/>
    </row>
    <row r="65">
      <c r="A65" s="1922"/>
      <c r="B65" s="1922"/>
      <c r="C65" s="1922"/>
      <c r="D65" s="1922"/>
      <c r="E65" s="1922"/>
      <c r="F65" s="1922"/>
      <c r="G65" s="1922"/>
      <c r="H65" s="1922"/>
      <c r="I65" s="1922"/>
      <c r="J65" s="1922"/>
      <c r="K65" s="1922"/>
      <c r="L65" s="1922"/>
      <c r="M65" s="1922"/>
      <c r="N65" s="1922"/>
      <c r="O65" s="1922"/>
    </row>
    <row r="66">
      <c r="A66" s="1922"/>
      <c r="B66" s="1922"/>
      <c r="C66" s="1922"/>
      <c r="D66" s="1922"/>
      <c r="E66" s="1922"/>
      <c r="F66" s="1922"/>
      <c r="G66" s="1922"/>
      <c r="H66" s="1922"/>
      <c r="I66" s="1922"/>
      <c r="J66" s="1922"/>
      <c r="K66" s="1922"/>
      <c r="L66" s="1922"/>
      <c r="M66" s="1922"/>
      <c r="N66" s="1922"/>
      <c r="O66" s="1922"/>
    </row>
    <row r="67">
      <c r="A67" s="1922"/>
      <c r="B67" s="1922"/>
      <c r="C67" s="1922"/>
      <c r="D67" s="1922"/>
      <c r="E67" s="1922"/>
      <c r="F67" s="1922"/>
      <c r="G67" s="1922"/>
      <c r="H67" s="1922"/>
      <c r="I67" s="1922"/>
      <c r="J67" s="1922"/>
      <c r="K67" s="1922"/>
      <c r="L67" s="1922"/>
      <c r="M67" s="1922"/>
      <c r="N67" s="1922"/>
      <c r="O67" s="1922"/>
    </row>
    <row r="68">
      <c r="A68" s="1922"/>
      <c r="B68" s="1922"/>
      <c r="C68" s="1922"/>
      <c r="D68" s="1922"/>
      <c r="E68" s="1922"/>
      <c r="F68" s="1922"/>
      <c r="G68" s="1922"/>
      <c r="H68" s="1922"/>
      <c r="I68" s="1922"/>
      <c r="J68" s="1922"/>
      <c r="K68" s="1922"/>
      <c r="L68" s="1922"/>
      <c r="M68" s="1922"/>
      <c r="N68" s="1922"/>
      <c r="O68" s="1922"/>
    </row>
    <row r="69">
      <c r="A69" s="1922"/>
      <c r="B69" s="1922"/>
      <c r="C69" s="1922"/>
      <c r="D69" s="1922"/>
      <c r="E69" s="1922"/>
      <c r="F69" s="1922"/>
      <c r="G69" s="1922"/>
      <c r="H69" s="1922"/>
      <c r="I69" s="1922"/>
      <c r="J69" s="1922"/>
      <c r="K69" s="1922"/>
      <c r="L69" s="1922"/>
      <c r="M69" s="1922"/>
      <c r="N69" s="1922"/>
      <c r="O69" s="1922"/>
    </row>
    <row r="70">
      <c r="A70" s="1922"/>
      <c r="B70" s="1922"/>
      <c r="C70" s="1922"/>
      <c r="D70" s="1922"/>
      <c r="E70" s="1922"/>
      <c r="F70" s="1922"/>
      <c r="G70" s="1922"/>
      <c r="H70" s="1922"/>
      <c r="I70" s="1922"/>
      <c r="J70" s="1922"/>
      <c r="K70" s="1922"/>
      <c r="L70" s="1922"/>
      <c r="M70" s="1922"/>
      <c r="N70" s="1922"/>
      <c r="O70" s="1922"/>
    </row>
    <row r="71">
      <c r="A71" s="1922"/>
      <c r="B71" s="1922"/>
      <c r="C71" s="1922"/>
      <c r="D71" s="1922"/>
      <c r="E71" s="1922"/>
      <c r="F71" s="1922"/>
      <c r="G71" s="1922"/>
      <c r="H71" s="1922"/>
      <c r="I71" s="1922"/>
      <c r="J71" s="1922"/>
      <c r="K71" s="1922"/>
      <c r="L71" s="1922"/>
      <c r="M71" s="1922"/>
      <c r="N71" s="1922"/>
      <c r="O71" s="1922"/>
    </row>
    <row r="72">
      <c r="A72" s="1922"/>
      <c r="B72" s="1922"/>
      <c r="C72" s="1922"/>
      <c r="D72" s="1922"/>
      <c r="E72" s="1922"/>
      <c r="F72" s="1922"/>
      <c r="G72" s="1922"/>
      <c r="H72" s="1922"/>
      <c r="I72" s="1922"/>
      <c r="J72" s="1922"/>
      <c r="K72" s="1922"/>
      <c r="L72" s="1922"/>
      <c r="M72" s="1922"/>
      <c r="N72" s="1922"/>
      <c r="O72" s="1922"/>
    </row>
    <row r="73">
      <c r="A73" s="1922"/>
      <c r="B73" s="1922"/>
      <c r="C73" s="1922"/>
      <c r="D73" s="1922"/>
      <c r="E73" s="1922"/>
      <c r="F73" s="1922"/>
      <c r="G73" s="1922"/>
      <c r="H73" s="1922"/>
      <c r="I73" s="1922"/>
      <c r="J73" s="1922"/>
      <c r="K73" s="1922"/>
      <c r="L73" s="1922"/>
      <c r="M73" s="1922"/>
      <c r="N73" s="1922"/>
      <c r="O73" s="1922"/>
    </row>
    <row r="74">
      <c r="A74" s="1922"/>
      <c r="B74" s="1922"/>
      <c r="C74" s="1922"/>
      <c r="D74" s="1922"/>
      <c r="E74" s="1922"/>
      <c r="F74" s="1922"/>
      <c r="G74" s="1922"/>
      <c r="H74" s="1922"/>
      <c r="I74" s="1922"/>
      <c r="J74" s="1922"/>
      <c r="K74" s="1922"/>
      <c r="L74" s="1922"/>
      <c r="M74" s="1922"/>
      <c r="N74" s="1922"/>
      <c r="O74" s="1922"/>
    </row>
    <row r="75">
      <c r="A75" s="1922"/>
      <c r="B75" s="1922"/>
      <c r="C75" s="1922"/>
      <c r="D75" s="1922"/>
      <c r="E75" s="1922"/>
      <c r="F75" s="1922"/>
      <c r="G75" s="1922"/>
      <c r="H75" s="1922"/>
      <c r="I75" s="1922"/>
      <c r="J75" s="1922"/>
      <c r="K75" s="1922"/>
      <c r="L75" s="1922"/>
      <c r="M75" s="1922"/>
      <c r="N75" s="1922"/>
      <c r="O75" s="1922"/>
    </row>
    <row r="76">
      <c r="A76" s="1922"/>
      <c r="B76" s="1922"/>
      <c r="C76" s="1922"/>
      <c r="D76" s="1922"/>
      <c r="E76" s="1922"/>
      <c r="F76" s="1922"/>
      <c r="G76" s="1922"/>
      <c r="H76" s="1922"/>
      <c r="I76" s="1922"/>
      <c r="J76" s="1922"/>
      <c r="K76" s="1922"/>
      <c r="L76" s="1922"/>
      <c r="M76" s="1922"/>
      <c r="N76" s="1922"/>
      <c r="O76" s="1922"/>
    </row>
    <row r="77">
      <c r="A77" s="1922"/>
      <c r="B77" s="1922"/>
      <c r="C77" s="1922"/>
      <c r="D77" s="1922"/>
      <c r="E77" s="1922"/>
      <c r="F77" s="1922"/>
      <c r="G77" s="1922"/>
      <c r="H77" s="1922"/>
      <c r="I77" s="1922"/>
      <c r="J77" s="1922"/>
      <c r="K77" s="1922"/>
      <c r="L77" s="1922"/>
      <c r="M77" s="1922"/>
      <c r="N77" s="1922"/>
      <c r="O77" s="1922"/>
    </row>
    <row r="78">
      <c r="A78" s="1922"/>
      <c r="B78" s="1922"/>
      <c r="C78" s="1922"/>
      <c r="D78" s="1922"/>
      <c r="E78" s="1922"/>
      <c r="F78" s="1922"/>
      <c r="G78" s="1922"/>
      <c r="H78" s="1922"/>
      <c r="I78" s="1922"/>
      <c r="J78" s="1922"/>
      <c r="K78" s="1922"/>
      <c r="L78" s="1922"/>
      <c r="M78" s="1922"/>
      <c r="N78" s="1922"/>
      <c r="O78" s="1922"/>
    </row>
    <row r="79">
      <c r="A79" s="1922"/>
      <c r="B79" s="1922"/>
      <c r="C79" s="1922"/>
      <c r="D79" s="1922"/>
      <c r="E79" s="1922"/>
      <c r="F79" s="1922"/>
      <c r="G79" s="1922"/>
      <c r="H79" s="1922"/>
      <c r="I79" s="1922"/>
      <c r="J79" s="1922"/>
      <c r="K79" s="1922"/>
      <c r="L79" s="1922"/>
      <c r="M79" s="1922"/>
      <c r="N79" s="1922"/>
      <c r="O79" s="1922"/>
    </row>
    <row r="80">
      <c r="A80" s="1922"/>
      <c r="B80" s="1922"/>
      <c r="C80" s="1922"/>
      <c r="D80" s="1922"/>
      <c r="E80" s="1922"/>
      <c r="F80" s="1922"/>
      <c r="G80" s="1922"/>
      <c r="H80" s="1922"/>
      <c r="I80" s="1922"/>
      <c r="J80" s="1922"/>
      <c r="K80" s="1922"/>
      <c r="L80" s="1922"/>
      <c r="M80" s="1922"/>
      <c r="N80" s="1922"/>
      <c r="O80" s="1922"/>
    </row>
    <row r="81">
      <c r="A81" s="1922"/>
      <c r="B81" s="1922"/>
      <c r="C81" s="1922"/>
      <c r="D81" s="1922"/>
      <c r="E81" s="1922"/>
      <c r="F81" s="1922"/>
      <c r="G81" s="1922"/>
      <c r="H81" s="1922"/>
      <c r="I81" s="1922"/>
      <c r="J81" s="1922"/>
      <c r="K81" s="1922"/>
      <c r="L81" s="1922"/>
      <c r="M81" s="1922"/>
      <c r="N81" s="1922"/>
      <c r="O81" s="1922"/>
    </row>
    <row r="82">
      <c r="A82" s="1922"/>
      <c r="B82" s="1922"/>
      <c r="C82" s="1922"/>
      <c r="D82" s="1922"/>
      <c r="E82" s="1922"/>
      <c r="F82" s="1922"/>
      <c r="G82" s="1922"/>
      <c r="H82" s="1922"/>
      <c r="I82" s="1922"/>
      <c r="J82" s="1922"/>
      <c r="K82" s="1922"/>
      <c r="L82" s="1922"/>
      <c r="M82" s="1922"/>
      <c r="N82" s="1922"/>
      <c r="O82" s="1922"/>
    </row>
    <row r="83">
      <c r="A83" s="1922"/>
      <c r="B83" s="1922"/>
      <c r="C83" s="1922"/>
      <c r="D83" s="1922"/>
      <c r="E83" s="1922"/>
      <c r="F83" s="1922"/>
      <c r="G83" s="1922"/>
      <c r="H83" s="1922"/>
      <c r="I83" s="1922"/>
      <c r="J83" s="1922"/>
      <c r="K83" s="1922"/>
      <c r="L83" s="1922"/>
      <c r="M83" s="1922"/>
      <c r="N83" s="1922"/>
      <c r="O83" s="1922"/>
    </row>
    <row r="84">
      <c r="A84" s="1922"/>
      <c r="B84" s="1922"/>
      <c r="C84" s="1922"/>
      <c r="D84" s="1922"/>
      <c r="E84" s="1922"/>
      <c r="F84" s="1922"/>
      <c r="G84" s="1922"/>
      <c r="H84" s="1922"/>
      <c r="I84" s="1922"/>
      <c r="J84" s="1922"/>
      <c r="K84" s="1922"/>
      <c r="L84" s="1922"/>
      <c r="M84" s="1922"/>
      <c r="N84" s="1922"/>
      <c r="O84" s="1922"/>
    </row>
    <row r="85">
      <c r="A85" s="1922"/>
      <c r="B85" s="1922"/>
      <c r="C85" s="1922"/>
      <c r="D85" s="1922"/>
      <c r="E85" s="1922"/>
      <c r="F85" s="1922"/>
      <c r="G85" s="1922"/>
      <c r="H85" s="1922"/>
      <c r="I85" s="1922"/>
      <c r="J85" s="1922"/>
      <c r="K85" s="1922"/>
      <c r="L85" s="1922"/>
      <c r="M85" s="1922"/>
      <c r="N85" s="1922"/>
      <c r="O85" s="1922"/>
    </row>
    <row r="86">
      <c r="A86" s="1922"/>
      <c r="B86" s="1922"/>
      <c r="C86" s="1922"/>
      <c r="D86" s="1922"/>
      <c r="E86" s="1922"/>
      <c r="F86" s="1922"/>
      <c r="G86" s="1922"/>
      <c r="H86" s="1922"/>
      <c r="I86" s="1922"/>
      <c r="J86" s="1922"/>
      <c r="K86" s="1922"/>
      <c r="L86" s="1922"/>
      <c r="M86" s="1922"/>
      <c r="N86" s="1922"/>
      <c r="O86" s="1922"/>
    </row>
    <row r="87">
      <c r="A87" s="1922"/>
      <c r="B87" s="1922"/>
      <c r="C87" s="1922"/>
      <c r="D87" s="1922"/>
      <c r="E87" s="1922"/>
      <c r="F87" s="1922"/>
      <c r="G87" s="1922"/>
      <c r="H87" s="1922"/>
      <c r="I87" s="1922"/>
      <c r="J87" s="1922"/>
      <c r="K87" s="1922"/>
      <c r="L87" s="1922"/>
      <c r="M87" s="1922"/>
      <c r="N87" s="1922"/>
      <c r="O87" s="1922"/>
    </row>
    <row r="88">
      <c r="A88" s="1922"/>
      <c r="B88" s="1922"/>
      <c r="C88" s="1922"/>
      <c r="D88" s="1922"/>
      <c r="E88" s="1922"/>
      <c r="F88" s="1922"/>
      <c r="G88" s="1922"/>
      <c r="H88" s="1922"/>
      <c r="I88" s="1922"/>
      <c r="J88" s="1922"/>
      <c r="K88" s="1922"/>
      <c r="L88" s="1922"/>
      <c r="M88" s="1922"/>
      <c r="N88" s="1922"/>
      <c r="O88" s="1922"/>
    </row>
    <row r="89">
      <c r="A89" s="1922"/>
      <c r="B89" s="1922"/>
      <c r="C89" s="1922"/>
      <c r="D89" s="1922"/>
      <c r="E89" s="1922"/>
      <c r="F89" s="1922"/>
      <c r="G89" s="1922"/>
      <c r="H89" s="1922"/>
      <c r="I89" s="1922"/>
      <c r="J89" s="1922"/>
      <c r="K89" s="1922"/>
      <c r="L89" s="1922"/>
      <c r="M89" s="1922"/>
      <c r="N89" s="1922"/>
      <c r="O89" s="1922"/>
    </row>
    <row r="90">
      <c r="A90" s="1922"/>
      <c r="B90" s="1922"/>
      <c r="C90" s="1922"/>
      <c r="D90" s="1922"/>
      <c r="E90" s="1922"/>
      <c r="F90" s="1922"/>
      <c r="G90" s="1922"/>
      <c r="H90" s="1922"/>
      <c r="I90" s="1922"/>
      <c r="J90" s="1922"/>
      <c r="K90" s="1922"/>
      <c r="L90" s="1922"/>
      <c r="M90" s="1922"/>
      <c r="N90" s="1922"/>
      <c r="O90" s="1922"/>
    </row>
    <row r="91">
      <c r="A91" s="1922"/>
      <c r="B91" s="1922"/>
      <c r="C91" s="1922"/>
      <c r="D91" s="1922"/>
      <c r="E91" s="1922"/>
      <c r="F91" s="1922"/>
      <c r="G91" s="1922"/>
      <c r="H91" s="1922"/>
      <c r="I91" s="1922"/>
      <c r="J91" s="1922"/>
      <c r="K91" s="1922"/>
      <c r="L91" s="1922"/>
      <c r="M91" s="1922"/>
      <c r="N91" s="1922"/>
      <c r="O91" s="1922"/>
    </row>
    <row r="92">
      <c r="A92" s="1922"/>
      <c r="B92" s="1922"/>
      <c r="C92" s="1922"/>
      <c r="D92" s="1922"/>
      <c r="E92" s="1922"/>
      <c r="F92" s="1922"/>
      <c r="G92" s="1922"/>
      <c r="H92" s="1922"/>
      <c r="I92" s="1922"/>
      <c r="J92" s="1922"/>
      <c r="K92" s="1922"/>
      <c r="L92" s="1922"/>
      <c r="M92" s="1922"/>
      <c r="N92" s="1922"/>
      <c r="O92" s="1922"/>
    </row>
    <row r="93">
      <c r="A93" s="1922"/>
      <c r="B93" s="1922"/>
      <c r="C93" s="1922"/>
      <c r="D93" s="1922"/>
      <c r="E93" s="1922"/>
      <c r="F93" s="1922"/>
      <c r="G93" s="1922"/>
      <c r="H93" s="1922"/>
      <c r="I93" s="1922"/>
      <c r="J93" s="1922"/>
      <c r="K93" s="1922"/>
      <c r="L93" s="1922"/>
      <c r="M93" s="1922"/>
      <c r="N93" s="1922"/>
      <c r="O93" s="1922"/>
    </row>
    <row r="94">
      <c r="A94" s="1922"/>
      <c r="B94" s="1922"/>
      <c r="C94" s="1922"/>
      <c r="D94" s="1922"/>
      <c r="E94" s="1922"/>
      <c r="F94" s="1922"/>
      <c r="G94" s="1922"/>
      <c r="H94" s="1922"/>
      <c r="I94" s="1922"/>
      <c r="J94" s="1922"/>
      <c r="K94" s="1922"/>
      <c r="L94" s="1922"/>
      <c r="M94" s="1922"/>
      <c r="N94" s="1922"/>
      <c r="O94" s="1922"/>
    </row>
    <row r="95">
      <c r="A95" s="1922"/>
      <c r="B95" s="1922"/>
      <c r="C95" s="1922"/>
      <c r="D95" s="1922"/>
      <c r="E95" s="1922"/>
      <c r="F95" s="1922"/>
      <c r="G95" s="1922"/>
      <c r="H95" s="1922"/>
      <c r="I95" s="1922"/>
      <c r="J95" s="1922"/>
      <c r="K95" s="1922"/>
      <c r="L95" s="1922"/>
      <c r="M95" s="1922"/>
      <c r="N95" s="1922"/>
      <c r="O95" s="1922"/>
    </row>
    <row r="96">
      <c r="A96" s="1922"/>
      <c r="B96" s="1922"/>
      <c r="C96" s="1922"/>
      <c r="D96" s="1922"/>
      <c r="E96" s="1922"/>
      <c r="F96" s="1922"/>
      <c r="G96" s="1922"/>
      <c r="H96" s="1922"/>
      <c r="I96" s="1922"/>
      <c r="J96" s="1922"/>
      <c r="K96" s="1922"/>
      <c r="L96" s="1922"/>
      <c r="M96" s="1922"/>
      <c r="N96" s="1922"/>
      <c r="O96" s="1922"/>
    </row>
    <row r="97">
      <c r="A97" s="1922"/>
      <c r="B97" s="1922"/>
      <c r="C97" s="1922"/>
      <c r="D97" s="1922"/>
      <c r="E97" s="1922"/>
      <c r="F97" s="1922"/>
      <c r="G97" s="1922"/>
      <c r="H97" s="1922"/>
      <c r="I97" s="1922"/>
      <c r="J97" s="1922"/>
      <c r="K97" s="1922"/>
      <c r="L97" s="1922"/>
      <c r="M97" s="1922"/>
      <c r="N97" s="1922"/>
      <c r="O97" s="1922"/>
    </row>
    <row r="98">
      <c r="A98" s="1922"/>
      <c r="B98" s="1922"/>
      <c r="C98" s="1922"/>
      <c r="D98" s="1922"/>
      <c r="E98" s="1922"/>
      <c r="F98" s="1922"/>
      <c r="G98" s="1922"/>
      <c r="H98" s="1922"/>
      <c r="I98" s="1922"/>
      <c r="J98" s="1922"/>
      <c r="K98" s="1922"/>
      <c r="L98" s="1922"/>
      <c r="M98" s="1922"/>
      <c r="N98" s="1922"/>
      <c r="O98" s="1922"/>
    </row>
    <row r="99">
      <c r="A99" s="1922"/>
      <c r="B99" s="1922"/>
      <c r="C99" s="1922"/>
      <c r="D99" s="1922"/>
      <c r="E99" s="1922"/>
      <c r="F99" s="1922"/>
      <c r="G99" s="1922"/>
      <c r="H99" s="1922"/>
      <c r="I99" s="1922"/>
      <c r="J99" s="1922"/>
      <c r="K99" s="1922"/>
      <c r="L99" s="1922"/>
      <c r="M99" s="1922"/>
      <c r="N99" s="1922"/>
      <c r="O99" s="1922"/>
    </row>
    <row r="100">
      <c r="A100" s="1922"/>
      <c r="B100" s="1922"/>
      <c r="C100" s="1922"/>
      <c r="D100" s="1922"/>
      <c r="E100" s="1922"/>
      <c r="F100" s="1922"/>
      <c r="G100" s="1922"/>
      <c r="H100" s="1922"/>
      <c r="I100" s="1922"/>
      <c r="J100" s="1922"/>
      <c r="K100" s="1922"/>
      <c r="L100" s="1922"/>
      <c r="M100" s="1922"/>
      <c r="N100" s="1922"/>
      <c r="O100" s="1922"/>
    </row>
    <row r="101">
      <c r="A101" s="1922"/>
      <c r="B101" s="1922"/>
      <c r="C101" s="1922"/>
      <c r="D101" s="1922"/>
      <c r="E101" s="1922"/>
      <c r="F101" s="1922"/>
      <c r="G101" s="1922"/>
      <c r="H101" s="1922"/>
      <c r="I101" s="1922"/>
      <c r="J101" s="1922"/>
      <c r="K101" s="1922"/>
      <c r="L101" s="1922"/>
      <c r="M101" s="1922"/>
      <c r="N101" s="1922"/>
      <c r="O101" s="1922"/>
    </row>
    <row r="102">
      <c r="A102" s="1922"/>
      <c r="B102" s="1922"/>
      <c r="C102" s="1922"/>
      <c r="D102" s="1922"/>
      <c r="E102" s="1922"/>
      <c r="F102" s="1922"/>
      <c r="G102" s="1922"/>
      <c r="H102" s="1922"/>
      <c r="I102" s="1922"/>
      <c r="J102" s="1922"/>
      <c r="K102" s="1922"/>
      <c r="L102" s="1922"/>
      <c r="M102" s="1922"/>
      <c r="N102" s="1922"/>
      <c r="O102" s="1922"/>
    </row>
    <row r="103">
      <c r="A103" s="1922"/>
      <c r="B103" s="1922"/>
      <c r="C103" s="1922"/>
      <c r="D103" s="1922"/>
      <c r="E103" s="1922"/>
      <c r="F103" s="1922"/>
      <c r="G103" s="1922"/>
      <c r="H103" s="1922"/>
      <c r="I103" s="1922"/>
      <c r="J103" s="1922"/>
      <c r="K103" s="1922"/>
      <c r="L103" s="1922"/>
      <c r="M103" s="1922"/>
      <c r="N103" s="1922"/>
      <c r="O103" s="1922"/>
    </row>
    <row r="104">
      <c r="A104" s="1922"/>
      <c r="B104" s="1922"/>
      <c r="C104" s="1922"/>
      <c r="D104" s="1922"/>
      <c r="E104" s="1922"/>
      <c r="F104" s="1922"/>
      <c r="G104" s="1922"/>
      <c r="H104" s="1922"/>
      <c r="I104" s="1922"/>
      <c r="J104" s="1922"/>
      <c r="K104" s="1922"/>
      <c r="L104" s="1922"/>
      <c r="M104" s="1922"/>
      <c r="N104" s="1922"/>
      <c r="O104" s="1922"/>
    </row>
    <row r="105">
      <c r="A105" s="1922"/>
      <c r="B105" s="1922"/>
      <c r="C105" s="1922"/>
      <c r="D105" s="1922"/>
      <c r="E105" s="1922"/>
      <c r="F105" s="1922"/>
      <c r="G105" s="1922"/>
      <c r="H105" s="1922"/>
      <c r="I105" s="1922"/>
      <c r="J105" s="1922"/>
      <c r="K105" s="1922"/>
      <c r="L105" s="1922"/>
      <c r="M105" s="1922"/>
      <c r="N105" s="1922"/>
      <c r="O105" s="1922"/>
    </row>
    <row r="106">
      <c r="A106" s="1922"/>
      <c r="B106" s="1922"/>
      <c r="C106" s="1922"/>
      <c r="D106" s="1922"/>
      <c r="E106" s="1922"/>
      <c r="F106" s="1922"/>
      <c r="G106" s="1922"/>
      <c r="H106" s="1922"/>
      <c r="I106" s="1922"/>
      <c r="J106" s="1922"/>
      <c r="K106" s="1922"/>
      <c r="L106" s="1922"/>
      <c r="M106" s="1922"/>
      <c r="N106" s="1922"/>
      <c r="O106" s="1922"/>
    </row>
    <row r="107">
      <c r="A107" s="1922"/>
      <c r="B107" s="1922"/>
      <c r="C107" s="1922"/>
      <c r="D107" s="1922"/>
      <c r="E107" s="1922"/>
      <c r="F107" s="1922"/>
      <c r="G107" s="1922"/>
      <c r="H107" s="1922"/>
      <c r="I107" s="1922"/>
      <c r="J107" s="1922"/>
      <c r="K107" s="1922"/>
      <c r="L107" s="1922"/>
      <c r="M107" s="1922"/>
      <c r="N107" s="1922"/>
      <c r="O107" s="1922"/>
    </row>
    <row r="108">
      <c r="A108" s="1922"/>
      <c r="B108" s="1922"/>
      <c r="C108" s="1922"/>
      <c r="D108" s="1922"/>
      <c r="E108" s="1922"/>
      <c r="F108" s="1922"/>
      <c r="G108" s="1922"/>
      <c r="H108" s="1922"/>
      <c r="I108" s="1922"/>
      <c r="J108" s="1922"/>
      <c r="K108" s="1922"/>
      <c r="L108" s="1922"/>
      <c r="M108" s="1922"/>
      <c r="N108" s="1922"/>
      <c r="O108" s="1922"/>
    </row>
    <row r="109">
      <c r="A109" s="1922"/>
      <c r="B109" s="1922"/>
      <c r="C109" s="1922"/>
      <c r="D109" s="1922"/>
      <c r="E109" s="1922"/>
      <c r="F109" s="1922"/>
      <c r="G109" s="1922"/>
      <c r="H109" s="1922"/>
      <c r="I109" s="1922"/>
      <c r="J109" s="1922"/>
      <c r="K109" s="1922"/>
      <c r="L109" s="1922"/>
      <c r="M109" s="1922"/>
      <c r="N109" s="1922"/>
      <c r="O109" s="1922"/>
    </row>
    <row r="110">
      <c r="A110" s="1922"/>
      <c r="B110" s="1922"/>
      <c r="C110" s="1922"/>
      <c r="D110" s="1922"/>
      <c r="E110" s="1922"/>
      <c r="F110" s="1922"/>
      <c r="G110" s="1922"/>
      <c r="H110" s="1922"/>
      <c r="I110" s="1922"/>
      <c r="J110" s="1922"/>
      <c r="K110" s="1922"/>
      <c r="L110" s="1922"/>
      <c r="M110" s="1922"/>
      <c r="N110" s="1922"/>
      <c r="O110" s="1922"/>
    </row>
    <row r="111">
      <c r="A111" s="1922"/>
      <c r="B111" s="1922"/>
      <c r="C111" s="1922"/>
      <c r="D111" s="1922"/>
      <c r="E111" s="1922"/>
      <c r="F111" s="1922"/>
      <c r="G111" s="1922"/>
      <c r="H111" s="1922"/>
      <c r="I111" s="1922"/>
      <c r="J111" s="1922"/>
      <c r="K111" s="1922"/>
      <c r="L111" s="1922"/>
      <c r="M111" s="1922"/>
      <c r="N111" s="1922"/>
      <c r="O111" s="1922"/>
    </row>
    <row r="112">
      <c r="A112" s="1922"/>
      <c r="B112" s="1922"/>
      <c r="C112" s="1922"/>
      <c r="D112" s="1922"/>
      <c r="E112" s="1922"/>
      <c r="F112" s="1922"/>
      <c r="G112" s="1922"/>
      <c r="H112" s="1922"/>
      <c r="I112" s="1922"/>
      <c r="J112" s="1922"/>
      <c r="K112" s="1922"/>
      <c r="L112" s="1922"/>
      <c r="M112" s="1922"/>
      <c r="N112" s="1922"/>
      <c r="O112" s="1922"/>
    </row>
    <row r="113">
      <c r="A113" s="1922"/>
      <c r="B113" s="1922"/>
      <c r="C113" s="1922"/>
      <c r="D113" s="1922"/>
      <c r="E113" s="1922"/>
      <c r="F113" s="1922"/>
      <c r="G113" s="1922"/>
      <c r="H113" s="1922"/>
      <c r="I113" s="1922"/>
      <c r="J113" s="1922"/>
      <c r="K113" s="1922"/>
      <c r="L113" s="1922"/>
      <c r="M113" s="1922"/>
      <c r="N113" s="1922"/>
      <c r="O113" s="1922"/>
    </row>
    <row r="114">
      <c r="A114" s="1922"/>
      <c r="B114" s="1922"/>
      <c r="C114" s="1922"/>
      <c r="D114" s="1922"/>
      <c r="E114" s="1922"/>
      <c r="F114" s="1922"/>
      <c r="G114" s="1922"/>
      <c r="H114" s="1922"/>
      <c r="I114" s="1922"/>
      <c r="J114" s="1922"/>
      <c r="K114" s="1922"/>
      <c r="L114" s="1922"/>
      <c r="M114" s="1922"/>
      <c r="N114" s="1922"/>
      <c r="O114" s="1922"/>
    </row>
    <row r="115">
      <c r="A115" s="1922"/>
      <c r="B115" s="1922"/>
      <c r="C115" s="1922"/>
      <c r="D115" s="1922"/>
      <c r="E115" s="1922"/>
      <c r="F115" s="1922"/>
      <c r="G115" s="1922"/>
      <c r="H115" s="1922"/>
      <c r="I115" s="1922"/>
      <c r="J115" s="1922"/>
      <c r="K115" s="1922"/>
      <c r="L115" s="1922"/>
      <c r="M115" s="1922"/>
      <c r="N115" s="1922"/>
      <c r="O115" s="1922"/>
    </row>
    <row r="116">
      <c r="A116" s="1922"/>
      <c r="B116" s="1922"/>
      <c r="C116" s="1922"/>
      <c r="D116" s="1922"/>
      <c r="E116" s="1922"/>
      <c r="F116" s="1922"/>
      <c r="G116" s="1922"/>
      <c r="H116" s="1922"/>
      <c r="I116" s="1922"/>
      <c r="J116" s="1922"/>
      <c r="K116" s="1922"/>
      <c r="L116" s="1922"/>
      <c r="M116" s="1922"/>
      <c r="N116" s="1922"/>
      <c r="O116" s="1922"/>
    </row>
    <row r="117">
      <c r="A117" s="1922"/>
      <c r="B117" s="1922"/>
      <c r="C117" s="1922"/>
      <c r="D117" s="1922"/>
      <c r="E117" s="1922"/>
      <c r="F117" s="1922"/>
      <c r="G117" s="1922"/>
      <c r="H117" s="1922"/>
      <c r="I117" s="1922"/>
      <c r="J117" s="1922"/>
      <c r="K117" s="1922"/>
      <c r="L117" s="1922"/>
      <c r="M117" s="1922"/>
      <c r="N117" s="1922"/>
      <c r="O117" s="1922"/>
    </row>
    <row r="118">
      <c r="A118" s="1922"/>
      <c r="B118" s="1922"/>
      <c r="C118" s="1922"/>
      <c r="D118" s="1922"/>
      <c r="E118" s="1922"/>
      <c r="F118" s="1922"/>
      <c r="G118" s="1922"/>
      <c r="H118" s="1922"/>
      <c r="I118" s="1922"/>
      <c r="J118" s="1922"/>
      <c r="K118" s="1922"/>
      <c r="L118" s="1922"/>
      <c r="M118" s="1922"/>
      <c r="N118" s="1922"/>
      <c r="O118" s="1922"/>
    </row>
    <row r="119">
      <c r="A119" s="1922"/>
      <c r="B119" s="1922"/>
      <c r="C119" s="1922"/>
      <c r="D119" s="1922"/>
      <c r="E119" s="1922"/>
      <c r="F119" s="1922"/>
      <c r="G119" s="1922"/>
      <c r="H119" s="1922"/>
      <c r="I119" s="1922"/>
      <c r="J119" s="1922"/>
      <c r="K119" s="1922"/>
      <c r="L119" s="1922"/>
      <c r="M119" s="1922"/>
      <c r="N119" s="1922"/>
      <c r="O119" s="1922"/>
    </row>
    <row r="120">
      <c r="A120" s="1922"/>
      <c r="B120" s="1922"/>
      <c r="C120" s="1922"/>
      <c r="D120" s="1922"/>
      <c r="E120" s="1922"/>
      <c r="F120" s="1922"/>
      <c r="G120" s="1922"/>
      <c r="H120" s="1922"/>
      <c r="I120" s="1922"/>
      <c r="J120" s="1922"/>
      <c r="K120" s="1922"/>
      <c r="L120" s="1922"/>
      <c r="M120" s="1922"/>
      <c r="N120" s="1922"/>
      <c r="O120" s="1922"/>
    </row>
    <row r="121">
      <c r="A121" s="1922"/>
      <c r="B121" s="1922"/>
      <c r="C121" s="1922"/>
      <c r="D121" s="1922"/>
      <c r="E121" s="1922"/>
      <c r="F121" s="1922"/>
      <c r="G121" s="1922"/>
      <c r="H121" s="1922"/>
      <c r="I121" s="1922"/>
      <c r="J121" s="1922"/>
      <c r="K121" s="1922"/>
      <c r="L121" s="1922"/>
      <c r="M121" s="1922"/>
      <c r="N121" s="1922"/>
      <c r="O121" s="1922"/>
    </row>
    <row r="122">
      <c r="A122" s="1922"/>
      <c r="B122" s="1922"/>
      <c r="C122" s="1922"/>
      <c r="D122" s="1922"/>
      <c r="E122" s="1922"/>
      <c r="F122" s="1922"/>
      <c r="G122" s="1922"/>
      <c r="H122" s="1922"/>
      <c r="I122" s="1922"/>
      <c r="J122" s="1922"/>
      <c r="K122" s="1922"/>
      <c r="L122" s="1922"/>
      <c r="M122" s="1922"/>
      <c r="N122" s="1922"/>
      <c r="O122" s="1922"/>
    </row>
    <row r="123">
      <c r="A123" s="1922"/>
      <c r="B123" s="1922"/>
      <c r="C123" s="1922"/>
      <c r="D123" s="1922"/>
      <c r="E123" s="1922"/>
      <c r="F123" s="1922"/>
      <c r="G123" s="1922"/>
      <c r="H123" s="1922"/>
      <c r="I123" s="1922"/>
      <c r="J123" s="1922"/>
      <c r="K123" s="1922"/>
      <c r="L123" s="1922"/>
      <c r="M123" s="1922"/>
      <c r="N123" s="1922"/>
      <c r="O123" s="1922"/>
    </row>
    <row r="124">
      <c r="A124" s="1922"/>
      <c r="B124" s="1922"/>
      <c r="C124" s="1922"/>
      <c r="D124" s="1922"/>
      <c r="E124" s="1922"/>
      <c r="F124" s="1922"/>
      <c r="G124" s="1922"/>
      <c r="H124" s="1922"/>
      <c r="I124" s="1922"/>
      <c r="J124" s="1922"/>
      <c r="K124" s="1922"/>
      <c r="L124" s="1922"/>
      <c r="M124" s="1922"/>
      <c r="N124" s="1922"/>
      <c r="O124" s="1922"/>
    </row>
    <row r="125">
      <c r="A125" s="1922"/>
      <c r="B125" s="1922"/>
      <c r="C125" s="1922"/>
      <c r="D125" s="1922"/>
      <c r="E125" s="1922"/>
      <c r="F125" s="1922"/>
      <c r="G125" s="1922"/>
      <c r="H125" s="1922"/>
      <c r="I125" s="1922"/>
      <c r="J125" s="1922"/>
      <c r="K125" s="1922"/>
      <c r="L125" s="1922"/>
      <c r="M125" s="1922"/>
      <c r="N125" s="1922"/>
      <c r="O125" s="1922"/>
    </row>
    <row r="126">
      <c r="A126" s="1922"/>
      <c r="B126" s="1922"/>
      <c r="C126" s="1922"/>
      <c r="D126" s="1922"/>
      <c r="E126" s="1922"/>
      <c r="F126" s="1922"/>
      <c r="G126" s="1922"/>
      <c r="H126" s="1922"/>
      <c r="I126" s="1922"/>
      <c r="J126" s="1922"/>
      <c r="K126" s="1922"/>
      <c r="L126" s="1922"/>
      <c r="M126" s="1922"/>
      <c r="N126" s="1922"/>
      <c r="O126" s="1922"/>
    </row>
    <row r="127">
      <c r="A127" s="1922"/>
      <c r="B127" s="1922"/>
      <c r="C127" s="1922"/>
      <c r="D127" s="1922"/>
      <c r="E127" s="1922"/>
      <c r="F127" s="1922"/>
      <c r="G127" s="1922"/>
      <c r="H127" s="1922"/>
      <c r="I127" s="1922"/>
      <c r="J127" s="1922"/>
      <c r="K127" s="1922"/>
      <c r="L127" s="1922"/>
      <c r="M127" s="1922"/>
      <c r="N127" s="1922"/>
      <c r="O127" s="1922"/>
    </row>
    <row r="128">
      <c r="A128" s="1922"/>
      <c r="B128" s="1922"/>
      <c r="C128" s="1922"/>
      <c r="D128" s="1922"/>
      <c r="E128" s="1922"/>
      <c r="F128" s="1922"/>
      <c r="G128" s="1922"/>
      <c r="H128" s="1922"/>
      <c r="I128" s="1922"/>
      <c r="J128" s="1922"/>
      <c r="K128" s="1922"/>
      <c r="L128" s="1922"/>
      <c r="M128" s="1922"/>
      <c r="N128" s="1922"/>
      <c r="O128" s="1922"/>
    </row>
    <row r="129">
      <c r="A129" s="1922"/>
      <c r="B129" s="1922"/>
      <c r="C129" s="1922"/>
      <c r="D129" s="1922"/>
      <c r="E129" s="1922"/>
      <c r="F129" s="1922"/>
      <c r="G129" s="1922"/>
      <c r="H129" s="1922"/>
      <c r="I129" s="1922"/>
      <c r="J129" s="1922"/>
      <c r="K129" s="1922"/>
      <c r="L129" s="1922"/>
      <c r="M129" s="1922"/>
      <c r="N129" s="1922"/>
      <c r="O129" s="1922"/>
    </row>
    <row r="130">
      <c r="A130" s="1922"/>
      <c r="B130" s="1922"/>
      <c r="C130" s="1922"/>
      <c r="D130" s="1922"/>
      <c r="E130" s="1922"/>
      <c r="F130" s="1922"/>
      <c r="G130" s="1922"/>
      <c r="H130" s="1922"/>
      <c r="I130" s="1922"/>
      <c r="J130" s="1922"/>
      <c r="K130" s="1922"/>
      <c r="L130" s="1922"/>
      <c r="M130" s="1922"/>
      <c r="N130" s="1922"/>
      <c r="O130" s="1922"/>
    </row>
    <row r="131">
      <c r="A131" s="1922"/>
      <c r="B131" s="1922"/>
      <c r="C131" s="1922"/>
      <c r="D131" s="1922"/>
      <c r="E131" s="1922"/>
      <c r="F131" s="1922"/>
      <c r="G131" s="1922"/>
      <c r="H131" s="1922"/>
      <c r="I131" s="1922"/>
      <c r="J131" s="1922"/>
      <c r="K131" s="1922"/>
      <c r="L131" s="1922"/>
      <c r="M131" s="1922"/>
      <c r="N131" s="1922"/>
      <c r="O131" s="1922"/>
    </row>
    <row r="132">
      <c r="A132" s="1922"/>
      <c r="B132" s="1922"/>
      <c r="C132" s="1922"/>
      <c r="D132" s="1922"/>
      <c r="E132" s="1922"/>
      <c r="F132" s="1922"/>
      <c r="G132" s="1922"/>
      <c r="H132" s="1922"/>
      <c r="I132" s="1922"/>
      <c r="J132" s="1922"/>
      <c r="K132" s="1922"/>
      <c r="L132" s="1922"/>
      <c r="M132" s="1922"/>
      <c r="N132" s="1922"/>
      <c r="O132" s="1922"/>
    </row>
    <row r="133">
      <c r="A133" s="1922"/>
      <c r="B133" s="1922"/>
      <c r="C133" s="1922"/>
      <c r="D133" s="1922"/>
      <c r="E133" s="1922"/>
      <c r="F133" s="1922"/>
      <c r="G133" s="1922"/>
      <c r="H133" s="1922"/>
      <c r="I133" s="1922"/>
      <c r="J133" s="1922"/>
      <c r="K133" s="1922"/>
      <c r="L133" s="1922"/>
      <c r="M133" s="1922"/>
      <c r="N133" s="1922"/>
      <c r="O133" s="1922"/>
    </row>
    <row r="134">
      <c r="A134" s="1922"/>
      <c r="B134" s="1922"/>
      <c r="C134" s="1922"/>
      <c r="D134" s="1922"/>
      <c r="E134" s="1922"/>
      <c r="F134" s="1922"/>
      <c r="G134" s="1922"/>
      <c r="H134" s="1922"/>
      <c r="I134" s="1922"/>
      <c r="J134" s="1922"/>
      <c r="K134" s="1922"/>
      <c r="L134" s="1922"/>
      <c r="M134" s="1922"/>
      <c r="N134" s="1922"/>
      <c r="O134" s="1922"/>
    </row>
  </sheetData>
  <mergeCells count="1">
    <mergeCell ref="A1:M1"/>
  </mergeCells>
  <conditionalFormatting sqref="A2:O10 A48:M60 N48:O48">
    <cfRule type="cellIs" dxfId="16" priority="1" operator="lessThan">
      <formula>0</formula>
    </cfRule>
  </conditionalFormatting>
  <conditionalFormatting sqref="A1:M1">
    <cfRule type="cellIs" dxfId="16" priority="2" operator="lessThan">
      <formula>0</formula>
    </cfRule>
  </conditionalFormatting>
  <dataValidations>
    <dataValidation type="list" allowBlank="1" showErrorMessage="1" sqref="A1">
      <formula1>'THAM CHIẾU'!$D$3:$D$14</formula1>
    </dataValidation>
    <dataValidation type="list" allowBlank="1" showErrorMessage="1" sqref="B2:E2 B48:E48">
      <formula1>MA_KM</formula1>
    </dataValidation>
    <dataValidation type="list" allowBlank="1" showErrorMessage="1" sqref="F2:H2 F48:H48">
      <formula1>AC_NHOMQL</formula1>
    </dataValidation>
  </dataValidations>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4.43" defaultRowHeight="15.0"/>
  <cols>
    <col customWidth="1" min="1" max="1" width="6.57"/>
    <col customWidth="1" min="2" max="2" width="49.0"/>
    <col customWidth="1" min="3" max="5" width="6.86"/>
  </cols>
  <sheetData>
    <row r="1">
      <c r="A1" s="1924" t="s">
        <v>3961</v>
      </c>
      <c r="B1" s="454"/>
      <c r="C1" s="3"/>
      <c r="D1" s="1925"/>
      <c r="E1" s="1925"/>
      <c r="F1" s="1926">
        <f t="shared" ref="F1:X1" si="1">COLUMN()-2</f>
        <v>4</v>
      </c>
      <c r="G1" s="1926">
        <f t="shared" si="1"/>
        <v>5</v>
      </c>
      <c r="H1" s="1926">
        <f t="shared" si="1"/>
        <v>6</v>
      </c>
      <c r="I1" s="1926">
        <f t="shared" si="1"/>
        <v>7</v>
      </c>
      <c r="J1" s="1926">
        <f t="shared" si="1"/>
        <v>8</v>
      </c>
      <c r="K1" s="1926">
        <f t="shared" si="1"/>
        <v>9</v>
      </c>
      <c r="L1" s="1926">
        <f t="shared" si="1"/>
        <v>10</v>
      </c>
      <c r="M1" s="1926">
        <f t="shared" si="1"/>
        <v>11</v>
      </c>
      <c r="N1" s="1926">
        <f t="shared" si="1"/>
        <v>12</v>
      </c>
      <c r="O1" s="1926">
        <f t="shared" si="1"/>
        <v>13</v>
      </c>
      <c r="P1" s="1926">
        <f t="shared" si="1"/>
        <v>14</v>
      </c>
      <c r="Q1" s="1926">
        <f t="shared" si="1"/>
        <v>15</v>
      </c>
      <c r="R1" s="1926">
        <f t="shared" si="1"/>
        <v>16</v>
      </c>
      <c r="S1" s="1926">
        <f t="shared" si="1"/>
        <v>17</v>
      </c>
      <c r="T1" s="1926">
        <f t="shared" si="1"/>
        <v>18</v>
      </c>
      <c r="U1" s="1926">
        <f t="shared" si="1"/>
        <v>19</v>
      </c>
      <c r="V1" s="1926">
        <f t="shared" si="1"/>
        <v>20</v>
      </c>
      <c r="W1" s="1926">
        <f t="shared" si="1"/>
        <v>21</v>
      </c>
      <c r="X1" s="1926">
        <f t="shared" si="1"/>
        <v>22</v>
      </c>
      <c r="Y1" s="1927"/>
    </row>
    <row r="2">
      <c r="A2" s="1928" t="s">
        <v>34</v>
      </c>
      <c r="B2" s="1929" t="s">
        <v>2936</v>
      </c>
      <c r="C2" s="1930" t="s">
        <v>3217</v>
      </c>
      <c r="D2" s="1930" t="s">
        <v>3962</v>
      </c>
      <c r="E2" s="1931" t="s">
        <v>3963</v>
      </c>
      <c r="F2" s="1932" t="s">
        <v>2895</v>
      </c>
      <c r="G2" s="1933" t="s">
        <v>2808</v>
      </c>
      <c r="H2" s="1933" t="s">
        <v>2811</v>
      </c>
      <c r="I2" s="1934" t="s">
        <v>2806</v>
      </c>
      <c r="J2" s="1934" t="s">
        <v>2807</v>
      </c>
      <c r="K2" s="1934" t="s">
        <v>2809</v>
      </c>
      <c r="L2" s="1934" t="s">
        <v>2810</v>
      </c>
      <c r="M2" s="1935" t="str">
        <f>'THAM CHIẾU'!M3</f>
        <v>DOANH THU BÁN HÀNG</v>
      </c>
      <c r="N2" s="1935" t="str">
        <f>'THAM CHIẾU'!M4</f>
        <v>DOANH THU TÀI CHÍNH</v>
      </c>
      <c r="O2" s="1935" t="str">
        <f>'THAM CHIẾU'!M5</f>
        <v>CHI PHÍ GIÁ VỐN</v>
      </c>
      <c r="P2" s="1935" t="str">
        <f>'THAM CHIẾU'!M6</f>
        <v>CHI PHÍ GIÁ VỐN</v>
      </c>
      <c r="Q2" s="1935" t="str">
        <f>'THAM CHIẾU'!M7</f>
        <v>CHI PHÍ GIÁ VỐN</v>
      </c>
      <c r="R2" s="1935" t="str">
        <f>'THAM CHIẾU'!M8</f>
        <v>CHI PHÍ GIÁ VỐN</v>
      </c>
      <c r="S2" s="1935" t="str">
        <f>'THAM CHIẾU'!M9</f>
        <v>CHI PHÍ GIÁ VỐN</v>
      </c>
      <c r="T2" s="1935" t="str">
        <f>'THAM CHIẾU'!M10</f>
        <v>CHI PHÍ GIÁ VỐN</v>
      </c>
      <c r="U2" s="1935" t="str">
        <f>'THAM CHIẾU'!M11</f>
        <v>CHI PHÍ GIÁ VỐN</v>
      </c>
      <c r="V2" s="1935" t="str">
        <f>'THAM CHIẾU'!M12</f>
        <v>CHI PHÍ GIÁ VỐN</v>
      </c>
      <c r="W2" s="1935" t="str">
        <f>'THAM CHIẾU'!M13</f>
        <v>CHI PHÍ GIÁ VỐN</v>
      </c>
      <c r="X2" s="1935" t="str">
        <f>'THAM CHIẾU'!M14</f>
        <v>CHI PHÍ GIÁ VỐN</v>
      </c>
      <c r="Y2" s="1936"/>
    </row>
    <row r="3">
      <c r="A3" s="1509">
        <v>1.0</v>
      </c>
      <c r="B3" s="1937" t="s">
        <v>2941</v>
      </c>
      <c r="C3" s="1938" t="s">
        <v>3964</v>
      </c>
      <c r="D3" s="1937" t="s">
        <v>2214</v>
      </c>
      <c r="E3" s="1939" t="s">
        <v>2942</v>
      </c>
      <c r="F3" s="1940" t="str">
        <f t="shared" ref="F3:F28" si="3">G3+H3</f>
        <v>#N/A</v>
      </c>
      <c r="G3" s="1941" t="str">
        <f t="shared" ref="G3:G26" si="4">J3+I3</f>
        <v>#N/A</v>
      </c>
      <c r="H3" s="1941" t="str">
        <f t="shared" ref="H3:H26" si="5">L3+K3</f>
        <v>#N/A</v>
      </c>
      <c r="I3" s="1942" t="str">
        <f t="shared" ref="I3:I26" si="6">SUM(M3:O3)</f>
        <v>#N/A</v>
      </c>
      <c r="J3" s="1942" t="str">
        <f t="shared" ref="J3:J26" si="7">SUM(P3:R3)</f>
        <v>#N/A</v>
      </c>
      <c r="K3" s="1942" t="str">
        <f t="shared" ref="K3:K26" si="8">SUM(S3:U3)</f>
        <v>#N/A</v>
      </c>
      <c r="L3" s="1942" t="str">
        <f t="shared" ref="L3:L26" si="9">SUM(V3:X3)</f>
        <v>#N/A</v>
      </c>
      <c r="M3" s="1943" t="str">
        <f t="shared" ref="M3:X3" si="2">M4</f>
        <v>#N/A</v>
      </c>
      <c r="N3" s="1943" t="str">
        <f t="shared" si="2"/>
        <v>#N/A</v>
      </c>
      <c r="O3" s="1943" t="str">
        <f t="shared" si="2"/>
        <v>#N/A</v>
      </c>
      <c r="P3" s="1943" t="str">
        <f t="shared" si="2"/>
        <v>#N/A</v>
      </c>
      <c r="Q3" s="1943" t="str">
        <f t="shared" si="2"/>
        <v>#N/A</v>
      </c>
      <c r="R3" s="1943" t="str">
        <f t="shared" si="2"/>
        <v>#N/A</v>
      </c>
      <c r="S3" s="1943" t="str">
        <f t="shared" si="2"/>
        <v>#N/A</v>
      </c>
      <c r="T3" s="1943" t="str">
        <f t="shared" si="2"/>
        <v>#N/A</v>
      </c>
      <c r="U3" s="1943" t="str">
        <f t="shared" si="2"/>
        <v>#N/A</v>
      </c>
      <c r="V3" s="1943" t="str">
        <f t="shared" si="2"/>
        <v>#N/A</v>
      </c>
      <c r="W3" s="1943" t="str">
        <f t="shared" si="2"/>
        <v>#N/A</v>
      </c>
      <c r="X3" s="1943" t="str">
        <f t="shared" si="2"/>
        <v>#N/A</v>
      </c>
      <c r="Y3" s="1944"/>
    </row>
    <row r="4">
      <c r="A4" s="1945">
        <v>5.0</v>
      </c>
      <c r="B4" s="1946" t="s">
        <v>3965</v>
      </c>
      <c r="C4" s="1946" t="s">
        <v>2214</v>
      </c>
      <c r="D4" s="1946" t="s">
        <v>2942</v>
      </c>
      <c r="E4" s="1946">
        <v>911.0</v>
      </c>
      <c r="F4" s="1940" t="str">
        <f t="shared" si="3"/>
        <v>#N/A</v>
      </c>
      <c r="G4" s="1941" t="str">
        <f t="shared" si="4"/>
        <v>#N/A</v>
      </c>
      <c r="H4" s="1941" t="str">
        <f t="shared" si="5"/>
        <v>#N/A</v>
      </c>
      <c r="I4" s="1942" t="str">
        <f t="shared" si="6"/>
        <v>#N/A</v>
      </c>
      <c r="J4" s="1942" t="str">
        <f t="shared" si="7"/>
        <v>#N/A</v>
      </c>
      <c r="K4" s="1942" t="str">
        <f t="shared" si="8"/>
        <v>#N/A</v>
      </c>
      <c r="L4" s="1942" t="str">
        <f t="shared" si="9"/>
        <v>#N/A</v>
      </c>
      <c r="M4" s="1947" t="str">
        <f t="shared" ref="M4:X4" si="10">SUMIFS(PS_SOTIEN,PS_TKCO,$E4,PS_TKNO,$D4,PS_MONTH,M$2)</f>
        <v>#N/A</v>
      </c>
      <c r="N4" s="1947" t="str">
        <f t="shared" si="10"/>
        <v>#N/A</v>
      </c>
      <c r="O4" s="1947" t="str">
        <f t="shared" si="10"/>
        <v>#N/A</v>
      </c>
      <c r="P4" s="1947" t="str">
        <f t="shared" si="10"/>
        <v>#N/A</v>
      </c>
      <c r="Q4" s="1947" t="str">
        <f t="shared" si="10"/>
        <v>#N/A</v>
      </c>
      <c r="R4" s="1947" t="str">
        <f t="shared" si="10"/>
        <v>#N/A</v>
      </c>
      <c r="S4" s="1947" t="str">
        <f t="shared" si="10"/>
        <v>#N/A</v>
      </c>
      <c r="T4" s="1947" t="str">
        <f t="shared" si="10"/>
        <v>#N/A</v>
      </c>
      <c r="U4" s="1947" t="str">
        <f t="shared" si="10"/>
        <v>#N/A</v>
      </c>
      <c r="V4" s="1947" t="str">
        <f t="shared" si="10"/>
        <v>#N/A</v>
      </c>
      <c r="W4" s="1947" t="str">
        <f t="shared" si="10"/>
        <v>#N/A</v>
      </c>
      <c r="X4" s="1947" t="str">
        <f t="shared" si="10"/>
        <v>#N/A</v>
      </c>
      <c r="Y4" s="1944"/>
    </row>
    <row r="5">
      <c r="A5" s="1509">
        <v>15.0</v>
      </c>
      <c r="B5" s="1937" t="s">
        <v>2944</v>
      </c>
      <c r="C5" s="1938" t="s">
        <v>3966</v>
      </c>
      <c r="D5" s="1937" t="s">
        <v>2943</v>
      </c>
      <c r="E5" s="1946">
        <v>521.0</v>
      </c>
      <c r="F5" s="1940" t="str">
        <f t="shared" si="3"/>
        <v>#N/A</v>
      </c>
      <c r="G5" s="1941" t="str">
        <f t="shared" si="4"/>
        <v>#N/A</v>
      </c>
      <c r="H5" s="1941" t="str">
        <f t="shared" si="5"/>
        <v>#N/A</v>
      </c>
      <c r="I5" s="1942" t="str">
        <f t="shared" si="6"/>
        <v>#N/A</v>
      </c>
      <c r="J5" s="1942" t="str">
        <f t="shared" si="7"/>
        <v>#N/A</v>
      </c>
      <c r="K5" s="1942" t="str">
        <f t="shared" si="8"/>
        <v>#N/A</v>
      </c>
      <c r="L5" s="1942" t="str">
        <f t="shared" si="9"/>
        <v>#N/A</v>
      </c>
      <c r="M5" s="1943" t="str">
        <f t="shared" ref="M5:X5" si="11">SUMIFS(PS_SOTIEN,PS_TKCO,$E5,PS_TKNO,$D5,PS_MONTH,M$2)</f>
        <v>#N/A</v>
      </c>
      <c r="N5" s="1943" t="str">
        <f t="shared" si="11"/>
        <v>#N/A</v>
      </c>
      <c r="O5" s="1943" t="str">
        <f t="shared" si="11"/>
        <v>#N/A</v>
      </c>
      <c r="P5" s="1943" t="str">
        <f t="shared" si="11"/>
        <v>#N/A</v>
      </c>
      <c r="Q5" s="1943" t="str">
        <f t="shared" si="11"/>
        <v>#N/A</v>
      </c>
      <c r="R5" s="1943" t="str">
        <f t="shared" si="11"/>
        <v>#N/A</v>
      </c>
      <c r="S5" s="1943" t="str">
        <f t="shared" si="11"/>
        <v>#N/A</v>
      </c>
      <c r="T5" s="1943" t="str">
        <f t="shared" si="11"/>
        <v>#N/A</v>
      </c>
      <c r="U5" s="1943" t="str">
        <f t="shared" si="11"/>
        <v>#N/A</v>
      </c>
      <c r="V5" s="1943" t="str">
        <f t="shared" si="11"/>
        <v>#N/A</v>
      </c>
      <c r="W5" s="1943" t="str">
        <f t="shared" si="11"/>
        <v>#N/A</v>
      </c>
      <c r="X5" s="1943" t="str">
        <f t="shared" si="11"/>
        <v>#N/A</v>
      </c>
      <c r="Y5" s="1944"/>
    </row>
    <row r="6">
      <c r="A6" s="1509">
        <v>50.0</v>
      </c>
      <c r="B6" s="1937" t="s">
        <v>2946</v>
      </c>
      <c r="C6" s="1938" t="s">
        <v>3967</v>
      </c>
      <c r="D6" s="1937" t="s">
        <v>2214</v>
      </c>
      <c r="E6" s="1939" t="s">
        <v>2214</v>
      </c>
      <c r="F6" s="1940" t="str">
        <f t="shared" si="3"/>
        <v>#N/A</v>
      </c>
      <c r="G6" s="1941" t="str">
        <f t="shared" si="4"/>
        <v>#N/A</v>
      </c>
      <c r="H6" s="1941" t="str">
        <f t="shared" si="5"/>
        <v>#N/A</v>
      </c>
      <c r="I6" s="1942" t="str">
        <f t="shared" si="6"/>
        <v>#N/A</v>
      </c>
      <c r="J6" s="1942" t="str">
        <f t="shared" si="7"/>
        <v>#N/A</v>
      </c>
      <c r="K6" s="1942" t="str">
        <f t="shared" si="8"/>
        <v>#N/A</v>
      </c>
      <c r="L6" s="1942" t="str">
        <f t="shared" si="9"/>
        <v>#N/A</v>
      </c>
      <c r="M6" s="1943" t="str">
        <f t="shared" ref="M6:X6" si="12">M3-M5</f>
        <v>#N/A</v>
      </c>
      <c r="N6" s="1943" t="str">
        <f t="shared" si="12"/>
        <v>#N/A</v>
      </c>
      <c r="O6" s="1943" t="str">
        <f t="shared" si="12"/>
        <v>#N/A</v>
      </c>
      <c r="P6" s="1943" t="str">
        <f t="shared" si="12"/>
        <v>#N/A</v>
      </c>
      <c r="Q6" s="1943" t="str">
        <f t="shared" si="12"/>
        <v>#N/A</v>
      </c>
      <c r="R6" s="1943" t="str">
        <f t="shared" si="12"/>
        <v>#N/A</v>
      </c>
      <c r="S6" s="1943" t="str">
        <f t="shared" si="12"/>
        <v>#N/A</v>
      </c>
      <c r="T6" s="1943" t="str">
        <f t="shared" si="12"/>
        <v>#N/A</v>
      </c>
      <c r="U6" s="1943" t="str">
        <f t="shared" si="12"/>
        <v>#N/A</v>
      </c>
      <c r="V6" s="1943" t="str">
        <f t="shared" si="12"/>
        <v>#N/A</v>
      </c>
      <c r="W6" s="1943" t="str">
        <f t="shared" si="12"/>
        <v>#N/A</v>
      </c>
      <c r="X6" s="1943" t="str">
        <f t="shared" si="12"/>
        <v>#N/A</v>
      </c>
      <c r="Y6" s="1944"/>
    </row>
    <row r="7">
      <c r="A7" s="1509">
        <v>55.0</v>
      </c>
      <c r="B7" s="1948" t="s">
        <v>2947</v>
      </c>
      <c r="C7" s="1949" t="s">
        <v>3968</v>
      </c>
      <c r="D7" s="1948" t="s">
        <v>2943</v>
      </c>
      <c r="E7" s="1950" t="s">
        <v>2948</v>
      </c>
      <c r="F7" s="1940" t="str">
        <f t="shared" si="3"/>
        <v>#N/A</v>
      </c>
      <c r="G7" s="1941" t="str">
        <f t="shared" si="4"/>
        <v>#N/A</v>
      </c>
      <c r="H7" s="1941" t="str">
        <f t="shared" si="5"/>
        <v>#N/A</v>
      </c>
      <c r="I7" s="1942" t="str">
        <f t="shared" si="6"/>
        <v>#N/A</v>
      </c>
      <c r="J7" s="1942" t="str">
        <f t="shared" si="7"/>
        <v>#N/A</v>
      </c>
      <c r="K7" s="1942" t="str">
        <f t="shared" si="8"/>
        <v>#N/A</v>
      </c>
      <c r="L7" s="1942" t="str">
        <f t="shared" si="9"/>
        <v>#N/A</v>
      </c>
      <c r="M7" s="1943" t="str">
        <f t="shared" ref="M7:X7" si="13">SUMIFS(PS_SOTIEN,PS_TKCO,$E7,PS_TKNO,$D7,PS_MONTH,M$2)</f>
        <v>#N/A</v>
      </c>
      <c r="N7" s="1943" t="str">
        <f t="shared" si="13"/>
        <v>#N/A</v>
      </c>
      <c r="O7" s="1943" t="str">
        <f t="shared" si="13"/>
        <v>#N/A</v>
      </c>
      <c r="P7" s="1943" t="str">
        <f t="shared" si="13"/>
        <v>#N/A</v>
      </c>
      <c r="Q7" s="1943" t="str">
        <f t="shared" si="13"/>
        <v>#N/A</v>
      </c>
      <c r="R7" s="1943" t="str">
        <f t="shared" si="13"/>
        <v>#N/A</v>
      </c>
      <c r="S7" s="1943" t="str">
        <f t="shared" si="13"/>
        <v>#N/A</v>
      </c>
      <c r="T7" s="1943" t="str">
        <f t="shared" si="13"/>
        <v>#N/A</v>
      </c>
      <c r="U7" s="1943" t="str">
        <f t="shared" si="13"/>
        <v>#N/A</v>
      </c>
      <c r="V7" s="1943" t="str">
        <f t="shared" si="13"/>
        <v>#N/A</v>
      </c>
      <c r="W7" s="1943" t="str">
        <f t="shared" si="13"/>
        <v>#N/A</v>
      </c>
      <c r="X7" s="1943" t="str">
        <f t="shared" si="13"/>
        <v>#N/A</v>
      </c>
      <c r="Y7" s="1944"/>
    </row>
    <row r="8">
      <c r="A8" s="1509">
        <v>60.0</v>
      </c>
      <c r="B8" s="1937" t="s">
        <v>2949</v>
      </c>
      <c r="C8" s="1938" t="s">
        <v>3969</v>
      </c>
      <c r="D8" s="1937" t="s">
        <v>2214</v>
      </c>
      <c r="E8" s="1939" t="s">
        <v>2214</v>
      </c>
      <c r="F8" s="1940" t="str">
        <f t="shared" si="3"/>
        <v>#N/A</v>
      </c>
      <c r="G8" s="1941" t="str">
        <f t="shared" si="4"/>
        <v>#N/A</v>
      </c>
      <c r="H8" s="1941" t="str">
        <f t="shared" si="5"/>
        <v>#N/A</v>
      </c>
      <c r="I8" s="1942" t="str">
        <f t="shared" si="6"/>
        <v>#N/A</v>
      </c>
      <c r="J8" s="1942" t="str">
        <f t="shared" si="7"/>
        <v>#N/A</v>
      </c>
      <c r="K8" s="1942" t="str">
        <f t="shared" si="8"/>
        <v>#N/A</v>
      </c>
      <c r="L8" s="1942" t="str">
        <f t="shared" si="9"/>
        <v>#N/A</v>
      </c>
      <c r="M8" s="1943" t="str">
        <f t="shared" ref="M8:X8" si="14">M6-M7</f>
        <v>#N/A</v>
      </c>
      <c r="N8" s="1943" t="str">
        <f t="shared" si="14"/>
        <v>#N/A</v>
      </c>
      <c r="O8" s="1943" t="str">
        <f t="shared" si="14"/>
        <v>#N/A</v>
      </c>
      <c r="P8" s="1943" t="str">
        <f t="shared" si="14"/>
        <v>#N/A</v>
      </c>
      <c r="Q8" s="1943" t="str">
        <f t="shared" si="14"/>
        <v>#N/A</v>
      </c>
      <c r="R8" s="1943" t="str">
        <f t="shared" si="14"/>
        <v>#N/A</v>
      </c>
      <c r="S8" s="1943" t="str">
        <f t="shared" si="14"/>
        <v>#N/A</v>
      </c>
      <c r="T8" s="1943" t="str">
        <f t="shared" si="14"/>
        <v>#N/A</v>
      </c>
      <c r="U8" s="1943" t="str">
        <f t="shared" si="14"/>
        <v>#N/A</v>
      </c>
      <c r="V8" s="1943" t="str">
        <f t="shared" si="14"/>
        <v>#N/A</v>
      </c>
      <c r="W8" s="1943" t="str">
        <f t="shared" si="14"/>
        <v>#N/A</v>
      </c>
      <c r="X8" s="1943" t="str">
        <f t="shared" si="14"/>
        <v>#N/A</v>
      </c>
      <c r="Y8" s="1944"/>
    </row>
    <row r="9">
      <c r="A9" s="1509">
        <v>65.0</v>
      </c>
      <c r="B9" s="1937" t="s">
        <v>2950</v>
      </c>
      <c r="C9" s="1938" t="s">
        <v>3970</v>
      </c>
      <c r="D9" s="1937" t="s">
        <v>2951</v>
      </c>
      <c r="E9" s="1937" t="s">
        <v>2943</v>
      </c>
      <c r="F9" s="1940" t="str">
        <f t="shared" si="3"/>
        <v>#N/A</v>
      </c>
      <c r="G9" s="1941" t="str">
        <f t="shared" si="4"/>
        <v>#N/A</v>
      </c>
      <c r="H9" s="1941" t="str">
        <f t="shared" si="5"/>
        <v>#N/A</v>
      </c>
      <c r="I9" s="1942" t="str">
        <f t="shared" si="6"/>
        <v>#N/A</v>
      </c>
      <c r="J9" s="1942" t="str">
        <f t="shared" si="7"/>
        <v>#N/A</v>
      </c>
      <c r="K9" s="1942" t="str">
        <f t="shared" si="8"/>
        <v>#N/A</v>
      </c>
      <c r="L9" s="1942" t="str">
        <f t="shared" si="9"/>
        <v>#N/A</v>
      </c>
      <c r="M9" s="1943" t="str">
        <f t="shared" ref="M9:X9" si="15">SUMIFS(PS_SOTIEN,PS_TKCO,$E9,PS_TKNO,$D9,PS_MONTH,M$2)</f>
        <v>#N/A</v>
      </c>
      <c r="N9" s="1943" t="str">
        <f t="shared" si="15"/>
        <v>#N/A</v>
      </c>
      <c r="O9" s="1943" t="str">
        <f t="shared" si="15"/>
        <v>#N/A</v>
      </c>
      <c r="P9" s="1943" t="str">
        <f t="shared" si="15"/>
        <v>#N/A</v>
      </c>
      <c r="Q9" s="1943" t="str">
        <f t="shared" si="15"/>
        <v>#N/A</v>
      </c>
      <c r="R9" s="1943" t="str">
        <f t="shared" si="15"/>
        <v>#N/A</v>
      </c>
      <c r="S9" s="1943" t="str">
        <f t="shared" si="15"/>
        <v>#N/A</v>
      </c>
      <c r="T9" s="1943" t="str">
        <f t="shared" si="15"/>
        <v>#N/A</v>
      </c>
      <c r="U9" s="1943" t="str">
        <f t="shared" si="15"/>
        <v>#N/A</v>
      </c>
      <c r="V9" s="1943" t="str">
        <f t="shared" si="15"/>
        <v>#N/A</v>
      </c>
      <c r="W9" s="1943" t="str">
        <f t="shared" si="15"/>
        <v>#N/A</v>
      </c>
      <c r="X9" s="1943" t="str">
        <f t="shared" si="15"/>
        <v>#N/A</v>
      </c>
      <c r="Y9" s="1944"/>
    </row>
    <row r="10">
      <c r="A10" s="1509">
        <v>70.0</v>
      </c>
      <c r="B10" s="1937" t="s">
        <v>2952</v>
      </c>
      <c r="C10" s="1938" t="s">
        <v>3971</v>
      </c>
      <c r="D10" s="1937" t="s">
        <v>2943</v>
      </c>
      <c r="E10" s="1939" t="s">
        <v>2953</v>
      </c>
      <c r="F10" s="1940" t="str">
        <f t="shared" si="3"/>
        <v>#N/A</v>
      </c>
      <c r="G10" s="1941" t="str">
        <f t="shared" si="4"/>
        <v>#N/A</v>
      </c>
      <c r="H10" s="1941" t="str">
        <f t="shared" si="5"/>
        <v>#N/A</v>
      </c>
      <c r="I10" s="1942" t="str">
        <f t="shared" si="6"/>
        <v>#N/A</v>
      </c>
      <c r="J10" s="1942" t="str">
        <f t="shared" si="7"/>
        <v>#N/A</v>
      </c>
      <c r="K10" s="1942" t="str">
        <f t="shared" si="8"/>
        <v>#N/A</v>
      </c>
      <c r="L10" s="1942" t="str">
        <f t="shared" si="9"/>
        <v>#N/A</v>
      </c>
      <c r="M10" s="1943" t="str">
        <f t="shared" ref="M10:X10" si="16">SUMIFS(PS_SOTIEN,PS_TKCO,$E10,PS_TKNO,$D10,PS_MONTH,M$2)</f>
        <v>#N/A</v>
      </c>
      <c r="N10" s="1943" t="str">
        <f t="shared" si="16"/>
        <v>#N/A</v>
      </c>
      <c r="O10" s="1943" t="str">
        <f t="shared" si="16"/>
        <v>#N/A</v>
      </c>
      <c r="P10" s="1943" t="str">
        <f t="shared" si="16"/>
        <v>#N/A</v>
      </c>
      <c r="Q10" s="1943" t="str">
        <f t="shared" si="16"/>
        <v>#N/A</v>
      </c>
      <c r="R10" s="1943" t="str">
        <f t="shared" si="16"/>
        <v>#N/A</v>
      </c>
      <c r="S10" s="1943" t="str">
        <f t="shared" si="16"/>
        <v>#N/A</v>
      </c>
      <c r="T10" s="1943" t="str">
        <f t="shared" si="16"/>
        <v>#N/A</v>
      </c>
      <c r="U10" s="1943" t="str">
        <f t="shared" si="16"/>
        <v>#N/A</v>
      </c>
      <c r="V10" s="1943" t="str">
        <f t="shared" si="16"/>
        <v>#N/A</v>
      </c>
      <c r="W10" s="1943" t="str">
        <f t="shared" si="16"/>
        <v>#N/A</v>
      </c>
      <c r="X10" s="1943" t="str">
        <f t="shared" si="16"/>
        <v>#N/A</v>
      </c>
      <c r="Y10" s="1944"/>
    </row>
    <row r="11">
      <c r="A11" s="1945">
        <v>75.0</v>
      </c>
      <c r="B11" s="1946" t="s">
        <v>3972</v>
      </c>
      <c r="C11" s="1946" t="s">
        <v>3973</v>
      </c>
      <c r="D11" s="1946" t="s">
        <v>2943</v>
      </c>
      <c r="E11" s="1951">
        <v>6354.0</v>
      </c>
      <c r="F11" s="1940" t="str">
        <f t="shared" si="3"/>
        <v>#N/A</v>
      </c>
      <c r="G11" s="1941" t="str">
        <f t="shared" si="4"/>
        <v>#N/A</v>
      </c>
      <c r="H11" s="1941" t="str">
        <f t="shared" si="5"/>
        <v>#N/A</v>
      </c>
      <c r="I11" s="1942" t="str">
        <f t="shared" si="6"/>
        <v>#N/A</v>
      </c>
      <c r="J11" s="1942" t="str">
        <f t="shared" si="7"/>
        <v>#N/A</v>
      </c>
      <c r="K11" s="1942" t="str">
        <f t="shared" si="8"/>
        <v>#N/A</v>
      </c>
      <c r="L11" s="1942" t="str">
        <f t="shared" si="9"/>
        <v>#N/A</v>
      </c>
      <c r="M11" s="1947" t="str">
        <f t="shared" ref="M11:X11" si="17">SUMIFS(PS_SOTIEN,PS_TKCO,$E11,PS_TKNO,$D11,PS_MONTH,M$2)</f>
        <v>#N/A</v>
      </c>
      <c r="N11" s="1947" t="str">
        <f t="shared" si="17"/>
        <v>#N/A</v>
      </c>
      <c r="O11" s="1947" t="str">
        <f t="shared" si="17"/>
        <v>#N/A</v>
      </c>
      <c r="P11" s="1947" t="str">
        <f t="shared" si="17"/>
        <v>#N/A</v>
      </c>
      <c r="Q11" s="1947" t="str">
        <f t="shared" si="17"/>
        <v>#N/A</v>
      </c>
      <c r="R11" s="1947" t="str">
        <f t="shared" si="17"/>
        <v>#N/A</v>
      </c>
      <c r="S11" s="1947" t="str">
        <f t="shared" si="17"/>
        <v>#N/A</v>
      </c>
      <c r="T11" s="1947" t="str">
        <f t="shared" si="17"/>
        <v>#N/A</v>
      </c>
      <c r="U11" s="1947" t="str">
        <f t="shared" si="17"/>
        <v>#N/A</v>
      </c>
      <c r="V11" s="1947" t="str">
        <f t="shared" si="17"/>
        <v>#N/A</v>
      </c>
      <c r="W11" s="1947" t="str">
        <f t="shared" si="17"/>
        <v>#N/A</v>
      </c>
      <c r="X11" s="1947" t="str">
        <f t="shared" si="17"/>
        <v>#N/A</v>
      </c>
      <c r="Y11" s="1944"/>
    </row>
    <row r="12">
      <c r="A12" s="1509">
        <v>80.0</v>
      </c>
      <c r="B12" s="1937" t="s">
        <v>2954</v>
      </c>
      <c r="C12" s="1938" t="s">
        <v>3974</v>
      </c>
      <c r="D12" s="1937" t="s">
        <v>2943</v>
      </c>
      <c r="E12" s="1939" t="s">
        <v>2955</v>
      </c>
      <c r="F12" s="1940" t="str">
        <f t="shared" si="3"/>
        <v>#N/A</v>
      </c>
      <c r="G12" s="1941" t="str">
        <f t="shared" si="4"/>
        <v>#N/A</v>
      </c>
      <c r="H12" s="1941" t="str">
        <f t="shared" si="5"/>
        <v>#N/A</v>
      </c>
      <c r="I12" s="1942" t="str">
        <f t="shared" si="6"/>
        <v>#N/A</v>
      </c>
      <c r="J12" s="1942" t="str">
        <f t="shared" si="7"/>
        <v>#N/A</v>
      </c>
      <c r="K12" s="1942" t="str">
        <f t="shared" si="8"/>
        <v>#N/A</v>
      </c>
      <c r="L12" s="1942" t="str">
        <f t="shared" si="9"/>
        <v>#N/A</v>
      </c>
      <c r="M12" s="1943" t="str">
        <f t="shared" ref="M12:X12" si="18">SUMIFS(PS_SOTIEN,PS_TKCO,$E12,PS_TKNO,$D12,PS_MONTH,M$2)</f>
        <v>#N/A</v>
      </c>
      <c r="N12" s="1943" t="str">
        <f t="shared" si="18"/>
        <v>#N/A</v>
      </c>
      <c r="O12" s="1943" t="str">
        <f t="shared" si="18"/>
        <v>#N/A</v>
      </c>
      <c r="P12" s="1943" t="str">
        <f t="shared" si="18"/>
        <v>#N/A</v>
      </c>
      <c r="Q12" s="1943" t="str">
        <f t="shared" si="18"/>
        <v>#N/A</v>
      </c>
      <c r="R12" s="1943" t="str">
        <f t="shared" si="18"/>
        <v>#N/A</v>
      </c>
      <c r="S12" s="1943" t="str">
        <f t="shared" si="18"/>
        <v>#N/A</v>
      </c>
      <c r="T12" s="1943" t="str">
        <f t="shared" si="18"/>
        <v>#N/A</v>
      </c>
      <c r="U12" s="1943" t="str">
        <f t="shared" si="18"/>
        <v>#N/A</v>
      </c>
      <c r="V12" s="1943" t="str">
        <f t="shared" si="18"/>
        <v>#N/A</v>
      </c>
      <c r="W12" s="1943" t="str">
        <f t="shared" si="18"/>
        <v>#N/A</v>
      </c>
      <c r="X12" s="1943" t="str">
        <f t="shared" si="18"/>
        <v>#N/A</v>
      </c>
      <c r="Y12" s="1944"/>
    </row>
    <row r="13">
      <c r="A13" s="1509">
        <v>85.0</v>
      </c>
      <c r="B13" s="1937" t="s">
        <v>2956</v>
      </c>
      <c r="C13" s="1938" t="s">
        <v>3975</v>
      </c>
      <c r="D13" s="1937" t="s">
        <v>2943</v>
      </c>
      <c r="E13" s="1939" t="s">
        <v>1874</v>
      </c>
      <c r="F13" s="1940" t="str">
        <f t="shared" si="3"/>
        <v>#N/A</v>
      </c>
      <c r="G13" s="1941" t="str">
        <f t="shared" si="4"/>
        <v>#N/A</v>
      </c>
      <c r="H13" s="1941" t="str">
        <f t="shared" si="5"/>
        <v>#N/A</v>
      </c>
      <c r="I13" s="1942" t="str">
        <f t="shared" si="6"/>
        <v>#N/A</v>
      </c>
      <c r="J13" s="1942" t="str">
        <f t="shared" si="7"/>
        <v>#N/A</v>
      </c>
      <c r="K13" s="1942" t="str">
        <f t="shared" si="8"/>
        <v>#N/A</v>
      </c>
      <c r="L13" s="1942" t="str">
        <f t="shared" si="9"/>
        <v>#N/A</v>
      </c>
      <c r="M13" s="1943" t="str">
        <f t="shared" ref="M13:X13" si="19">SUMIFS(PS_SOTIEN,PS_TKCO,$E13,PS_TKNO,$D13,PS_MONTH,M$2)</f>
        <v>#N/A</v>
      </c>
      <c r="N13" s="1943" t="str">
        <f t="shared" si="19"/>
        <v>#N/A</v>
      </c>
      <c r="O13" s="1943" t="str">
        <f t="shared" si="19"/>
        <v>#N/A</v>
      </c>
      <c r="P13" s="1943" t="str">
        <f t="shared" si="19"/>
        <v>#N/A</v>
      </c>
      <c r="Q13" s="1943" t="str">
        <f t="shared" si="19"/>
        <v>#N/A</v>
      </c>
      <c r="R13" s="1943" t="str">
        <f t="shared" si="19"/>
        <v>#N/A</v>
      </c>
      <c r="S13" s="1943" t="str">
        <f t="shared" si="19"/>
        <v>#N/A</v>
      </c>
      <c r="T13" s="1943" t="str">
        <f t="shared" si="19"/>
        <v>#N/A</v>
      </c>
      <c r="U13" s="1943" t="str">
        <f t="shared" si="19"/>
        <v>#N/A</v>
      </c>
      <c r="V13" s="1943" t="str">
        <f t="shared" si="19"/>
        <v>#N/A</v>
      </c>
      <c r="W13" s="1943" t="str">
        <f t="shared" si="19"/>
        <v>#N/A</v>
      </c>
      <c r="X13" s="1943" t="str">
        <f t="shared" si="19"/>
        <v>#N/A</v>
      </c>
      <c r="Y13" s="1944"/>
    </row>
    <row r="14">
      <c r="A14" s="1509">
        <v>90.0</v>
      </c>
      <c r="B14" s="1937" t="s">
        <v>2957</v>
      </c>
      <c r="C14" s="1938" t="s">
        <v>3976</v>
      </c>
      <c r="D14" s="1937" t="s">
        <v>2214</v>
      </c>
      <c r="E14" s="1939" t="s">
        <v>2214</v>
      </c>
      <c r="F14" s="1940" t="str">
        <f t="shared" si="3"/>
        <v>#N/A</v>
      </c>
      <c r="G14" s="1941" t="str">
        <f t="shared" si="4"/>
        <v>#N/A</v>
      </c>
      <c r="H14" s="1941" t="str">
        <f t="shared" si="5"/>
        <v>#N/A</v>
      </c>
      <c r="I14" s="1942" t="str">
        <f t="shared" si="6"/>
        <v>#N/A</v>
      </c>
      <c r="J14" s="1942" t="str">
        <f t="shared" si="7"/>
        <v>#N/A</v>
      </c>
      <c r="K14" s="1942" t="str">
        <f t="shared" si="8"/>
        <v>#N/A</v>
      </c>
      <c r="L14" s="1942" t="str">
        <f t="shared" si="9"/>
        <v>#N/A</v>
      </c>
      <c r="M14" s="1947" t="str">
        <f t="shared" ref="M14:X14" si="20">M8+M9-M10-M12-M13</f>
        <v>#N/A</v>
      </c>
      <c r="N14" s="1947" t="str">
        <f t="shared" si="20"/>
        <v>#N/A</v>
      </c>
      <c r="O14" s="1947" t="str">
        <f t="shared" si="20"/>
        <v>#N/A</v>
      </c>
      <c r="P14" s="1947" t="str">
        <f t="shared" si="20"/>
        <v>#N/A</v>
      </c>
      <c r="Q14" s="1947" t="str">
        <f t="shared" si="20"/>
        <v>#N/A</v>
      </c>
      <c r="R14" s="1947" t="str">
        <f t="shared" si="20"/>
        <v>#N/A</v>
      </c>
      <c r="S14" s="1947" t="str">
        <f t="shared" si="20"/>
        <v>#N/A</v>
      </c>
      <c r="T14" s="1947" t="str">
        <f t="shared" si="20"/>
        <v>#N/A</v>
      </c>
      <c r="U14" s="1947" t="str">
        <f t="shared" si="20"/>
        <v>#N/A</v>
      </c>
      <c r="V14" s="1947" t="str">
        <f t="shared" si="20"/>
        <v>#N/A</v>
      </c>
      <c r="W14" s="1947" t="str">
        <f t="shared" si="20"/>
        <v>#N/A</v>
      </c>
      <c r="X14" s="1947" t="str">
        <f t="shared" si="20"/>
        <v>#N/A</v>
      </c>
      <c r="Y14" s="1944"/>
    </row>
    <row r="15">
      <c r="A15" s="1509">
        <v>93.0</v>
      </c>
      <c r="B15" s="1937" t="s">
        <v>2958</v>
      </c>
      <c r="C15" s="1938" t="s">
        <v>3977</v>
      </c>
      <c r="D15" s="1937" t="s">
        <v>2959</v>
      </c>
      <c r="E15" s="1939" t="s">
        <v>2943</v>
      </c>
      <c r="F15" s="1940" t="str">
        <f t="shared" si="3"/>
        <v>#N/A</v>
      </c>
      <c r="G15" s="1941" t="str">
        <f t="shared" si="4"/>
        <v>#N/A</v>
      </c>
      <c r="H15" s="1941" t="str">
        <f t="shared" si="5"/>
        <v>#N/A</v>
      </c>
      <c r="I15" s="1942" t="str">
        <f t="shared" si="6"/>
        <v>#N/A</v>
      </c>
      <c r="J15" s="1942" t="str">
        <f t="shared" si="7"/>
        <v>#N/A</v>
      </c>
      <c r="K15" s="1942" t="str">
        <f t="shared" si="8"/>
        <v>#N/A</v>
      </c>
      <c r="L15" s="1942" t="str">
        <f t="shared" si="9"/>
        <v>#N/A</v>
      </c>
      <c r="M15" s="1943" t="str">
        <f t="shared" ref="M15:X15" si="21">SUMIFS(PS_SOTIEN,PS_TKCO,$E15,PS_TKNO,$D15,PS_MONTH,M$2)</f>
        <v>#N/A</v>
      </c>
      <c r="N15" s="1943" t="str">
        <f t="shared" si="21"/>
        <v>#N/A</v>
      </c>
      <c r="O15" s="1943" t="str">
        <f t="shared" si="21"/>
        <v>#N/A</v>
      </c>
      <c r="P15" s="1943" t="str">
        <f t="shared" si="21"/>
        <v>#N/A</v>
      </c>
      <c r="Q15" s="1943" t="str">
        <f t="shared" si="21"/>
        <v>#N/A</v>
      </c>
      <c r="R15" s="1943" t="str">
        <f t="shared" si="21"/>
        <v>#N/A</v>
      </c>
      <c r="S15" s="1943" t="str">
        <f t="shared" si="21"/>
        <v>#N/A</v>
      </c>
      <c r="T15" s="1943" t="str">
        <f t="shared" si="21"/>
        <v>#N/A</v>
      </c>
      <c r="U15" s="1943" t="str">
        <f t="shared" si="21"/>
        <v>#N/A</v>
      </c>
      <c r="V15" s="1943" t="str">
        <f t="shared" si="21"/>
        <v>#N/A</v>
      </c>
      <c r="W15" s="1943" t="str">
        <f t="shared" si="21"/>
        <v>#N/A</v>
      </c>
      <c r="X15" s="1943" t="str">
        <f t="shared" si="21"/>
        <v>#N/A</v>
      </c>
      <c r="Y15" s="1944"/>
    </row>
    <row r="16">
      <c r="A16" s="1509">
        <v>95.0</v>
      </c>
      <c r="B16" s="1937" t="s">
        <v>2960</v>
      </c>
      <c r="C16" s="1938" t="s">
        <v>3978</v>
      </c>
      <c r="D16" s="1937" t="s">
        <v>2943</v>
      </c>
      <c r="E16" s="1939" t="s">
        <v>2961</v>
      </c>
      <c r="F16" s="1940" t="str">
        <f t="shared" si="3"/>
        <v>#N/A</v>
      </c>
      <c r="G16" s="1941" t="str">
        <f t="shared" si="4"/>
        <v>#N/A</v>
      </c>
      <c r="H16" s="1941" t="str">
        <f t="shared" si="5"/>
        <v>#N/A</v>
      </c>
      <c r="I16" s="1942" t="str">
        <f t="shared" si="6"/>
        <v>#N/A</v>
      </c>
      <c r="J16" s="1942" t="str">
        <f t="shared" si="7"/>
        <v>#N/A</v>
      </c>
      <c r="K16" s="1942" t="str">
        <f t="shared" si="8"/>
        <v>#N/A</v>
      </c>
      <c r="L16" s="1942" t="str">
        <f t="shared" si="9"/>
        <v>#N/A</v>
      </c>
      <c r="M16" s="1943" t="str">
        <f t="shared" ref="M16:X16" si="22">SUMIFS(PS_SOTIEN,PS_TKCO,$E16,PS_TKNO,$D16,PS_MONTH,M$2)</f>
        <v>#N/A</v>
      </c>
      <c r="N16" s="1943" t="str">
        <f t="shared" si="22"/>
        <v>#N/A</v>
      </c>
      <c r="O16" s="1943" t="str">
        <f t="shared" si="22"/>
        <v>#N/A</v>
      </c>
      <c r="P16" s="1943" t="str">
        <f t="shared" si="22"/>
        <v>#N/A</v>
      </c>
      <c r="Q16" s="1943" t="str">
        <f t="shared" si="22"/>
        <v>#N/A</v>
      </c>
      <c r="R16" s="1943" t="str">
        <f t="shared" si="22"/>
        <v>#N/A</v>
      </c>
      <c r="S16" s="1943" t="str">
        <f t="shared" si="22"/>
        <v>#N/A</v>
      </c>
      <c r="T16" s="1943" t="str">
        <f t="shared" si="22"/>
        <v>#N/A</v>
      </c>
      <c r="U16" s="1943" t="str">
        <f t="shared" si="22"/>
        <v>#N/A</v>
      </c>
      <c r="V16" s="1943" t="str">
        <f t="shared" si="22"/>
        <v>#N/A</v>
      </c>
      <c r="W16" s="1943" t="str">
        <f t="shared" si="22"/>
        <v>#N/A</v>
      </c>
      <c r="X16" s="1943" t="str">
        <f t="shared" si="22"/>
        <v>#N/A</v>
      </c>
      <c r="Y16" s="1944"/>
    </row>
    <row r="17">
      <c r="A17" s="1509">
        <v>100.0</v>
      </c>
      <c r="B17" s="1937" t="s">
        <v>2962</v>
      </c>
      <c r="C17" s="1938" t="s">
        <v>3979</v>
      </c>
      <c r="D17" s="1937" t="s">
        <v>2214</v>
      </c>
      <c r="E17" s="1939" t="s">
        <v>2214</v>
      </c>
      <c r="F17" s="1940" t="str">
        <f t="shared" si="3"/>
        <v>#N/A</v>
      </c>
      <c r="G17" s="1941" t="str">
        <f t="shared" si="4"/>
        <v>#N/A</v>
      </c>
      <c r="H17" s="1941" t="str">
        <f t="shared" si="5"/>
        <v>#N/A</v>
      </c>
      <c r="I17" s="1942" t="str">
        <f t="shared" si="6"/>
        <v>#N/A</v>
      </c>
      <c r="J17" s="1942" t="str">
        <f t="shared" si="7"/>
        <v>#N/A</v>
      </c>
      <c r="K17" s="1942" t="str">
        <f t="shared" si="8"/>
        <v>#N/A</v>
      </c>
      <c r="L17" s="1942" t="str">
        <f t="shared" si="9"/>
        <v>#N/A</v>
      </c>
      <c r="M17" s="1947" t="str">
        <f t="shared" ref="M17:X17" si="23">M15-M16</f>
        <v>#N/A</v>
      </c>
      <c r="N17" s="1947" t="str">
        <f t="shared" si="23"/>
        <v>#N/A</v>
      </c>
      <c r="O17" s="1947" t="str">
        <f t="shared" si="23"/>
        <v>#N/A</v>
      </c>
      <c r="P17" s="1947" t="str">
        <f t="shared" si="23"/>
        <v>#N/A</v>
      </c>
      <c r="Q17" s="1947" t="str">
        <f t="shared" si="23"/>
        <v>#N/A</v>
      </c>
      <c r="R17" s="1947" t="str">
        <f t="shared" si="23"/>
        <v>#N/A</v>
      </c>
      <c r="S17" s="1947" t="str">
        <f t="shared" si="23"/>
        <v>#N/A</v>
      </c>
      <c r="T17" s="1947" t="str">
        <f t="shared" si="23"/>
        <v>#N/A</v>
      </c>
      <c r="U17" s="1947" t="str">
        <f t="shared" si="23"/>
        <v>#N/A</v>
      </c>
      <c r="V17" s="1947" t="str">
        <f t="shared" si="23"/>
        <v>#N/A</v>
      </c>
      <c r="W17" s="1947" t="str">
        <f t="shared" si="23"/>
        <v>#N/A</v>
      </c>
      <c r="X17" s="1947" t="str">
        <f t="shared" si="23"/>
        <v>#N/A</v>
      </c>
      <c r="Y17" s="1944"/>
    </row>
    <row r="18">
      <c r="A18" s="1509">
        <v>105.0</v>
      </c>
      <c r="B18" s="1937" t="s">
        <v>2963</v>
      </c>
      <c r="C18" s="1938" t="s">
        <v>3980</v>
      </c>
      <c r="D18" s="1937" t="s">
        <v>2214</v>
      </c>
      <c r="E18" s="1939" t="s">
        <v>2214</v>
      </c>
      <c r="F18" s="1940" t="str">
        <f t="shared" si="3"/>
        <v>#N/A</v>
      </c>
      <c r="G18" s="1941" t="str">
        <f t="shared" si="4"/>
        <v>#N/A</v>
      </c>
      <c r="H18" s="1941" t="str">
        <f t="shared" si="5"/>
        <v>#N/A</v>
      </c>
      <c r="I18" s="1942" t="str">
        <f t="shared" si="6"/>
        <v>#N/A</v>
      </c>
      <c r="J18" s="1942" t="str">
        <f t="shared" si="7"/>
        <v>#N/A</v>
      </c>
      <c r="K18" s="1942" t="str">
        <f t="shared" si="8"/>
        <v>#N/A</v>
      </c>
      <c r="L18" s="1942" t="str">
        <f t="shared" si="9"/>
        <v>#N/A</v>
      </c>
      <c r="M18" s="1947" t="str">
        <f t="shared" ref="M18:X18" si="24">M17+M14</f>
        <v>#N/A</v>
      </c>
      <c r="N18" s="1947" t="str">
        <f t="shared" si="24"/>
        <v>#N/A</v>
      </c>
      <c r="O18" s="1947" t="str">
        <f t="shared" si="24"/>
        <v>#N/A</v>
      </c>
      <c r="P18" s="1947" t="str">
        <f t="shared" si="24"/>
        <v>#N/A</v>
      </c>
      <c r="Q18" s="1947" t="str">
        <f t="shared" si="24"/>
        <v>#N/A</v>
      </c>
      <c r="R18" s="1947" t="str">
        <f t="shared" si="24"/>
        <v>#N/A</v>
      </c>
      <c r="S18" s="1947" t="str">
        <f t="shared" si="24"/>
        <v>#N/A</v>
      </c>
      <c r="T18" s="1947" t="str">
        <f t="shared" si="24"/>
        <v>#N/A</v>
      </c>
      <c r="U18" s="1947" t="str">
        <f t="shared" si="24"/>
        <v>#N/A</v>
      </c>
      <c r="V18" s="1947" t="str">
        <f t="shared" si="24"/>
        <v>#N/A</v>
      </c>
      <c r="W18" s="1947" t="str">
        <f t="shared" si="24"/>
        <v>#N/A</v>
      </c>
      <c r="X18" s="1947" t="str">
        <f t="shared" si="24"/>
        <v>#N/A</v>
      </c>
      <c r="Y18" s="1944"/>
    </row>
    <row r="19">
      <c r="A19" s="1509">
        <v>115.0</v>
      </c>
      <c r="B19" s="1937" t="s">
        <v>3981</v>
      </c>
      <c r="C19" s="1938" t="s">
        <v>3982</v>
      </c>
      <c r="D19" s="1937" t="s">
        <v>2214</v>
      </c>
      <c r="E19" s="1939" t="s">
        <v>2214</v>
      </c>
      <c r="F19" s="1940" t="str">
        <f t="shared" si="3"/>
        <v>#N/A</v>
      </c>
      <c r="G19" s="1941" t="str">
        <f t="shared" si="4"/>
        <v>#N/A</v>
      </c>
      <c r="H19" s="1941" t="str">
        <f t="shared" si="5"/>
        <v>#N/A</v>
      </c>
      <c r="I19" s="1942" t="str">
        <f t="shared" si="6"/>
        <v>#N/A</v>
      </c>
      <c r="J19" s="1942" t="str">
        <f t="shared" si="7"/>
        <v>#N/A</v>
      </c>
      <c r="K19" s="1942" t="str">
        <f t="shared" si="8"/>
        <v>#N/A</v>
      </c>
      <c r="L19" s="1942" t="str">
        <f t="shared" si="9"/>
        <v>#N/A</v>
      </c>
      <c r="M19" s="1947" t="str">
        <f t="shared" ref="M19:X19" si="25">SUMIFS(PS_SOTIEN,PS_TKCO,$E19,PS_TKNO,$D19,PS_MONTH,M$2)</f>
        <v>#N/A</v>
      </c>
      <c r="N19" s="1947" t="str">
        <f t="shared" si="25"/>
        <v>#N/A</v>
      </c>
      <c r="O19" s="1947" t="str">
        <f t="shared" si="25"/>
        <v>#N/A</v>
      </c>
      <c r="P19" s="1947" t="str">
        <f t="shared" si="25"/>
        <v>#N/A</v>
      </c>
      <c r="Q19" s="1947" t="str">
        <f t="shared" si="25"/>
        <v>#N/A</v>
      </c>
      <c r="R19" s="1947" t="str">
        <f t="shared" si="25"/>
        <v>#N/A</v>
      </c>
      <c r="S19" s="1947" t="str">
        <f t="shared" si="25"/>
        <v>#N/A</v>
      </c>
      <c r="T19" s="1947" t="str">
        <f t="shared" si="25"/>
        <v>#N/A</v>
      </c>
      <c r="U19" s="1947" t="str">
        <f t="shared" si="25"/>
        <v>#N/A</v>
      </c>
      <c r="V19" s="1947" t="str">
        <f t="shared" si="25"/>
        <v>#N/A</v>
      </c>
      <c r="W19" s="1947" t="str">
        <f t="shared" si="25"/>
        <v>#N/A</v>
      </c>
      <c r="X19" s="1947" t="str">
        <f t="shared" si="25"/>
        <v>#N/A</v>
      </c>
      <c r="Y19" s="1944"/>
    </row>
    <row r="20">
      <c r="A20" s="1952">
        <v>117.0</v>
      </c>
      <c r="B20" s="1953" t="s">
        <v>3983</v>
      </c>
      <c r="C20" s="1946" t="s">
        <v>2214</v>
      </c>
      <c r="D20" s="1953" t="s">
        <v>2943</v>
      </c>
      <c r="E20" s="1954" t="s">
        <v>3984</v>
      </c>
      <c r="F20" s="1940">
        <f t="shared" si="3"/>
        <v>0</v>
      </c>
      <c r="G20" s="1941">
        <f t="shared" si="4"/>
        <v>0</v>
      </c>
      <c r="H20" s="1941">
        <f t="shared" si="5"/>
        <v>0</v>
      </c>
      <c r="I20" s="1942">
        <f t="shared" si="6"/>
        <v>0</v>
      </c>
      <c r="J20" s="1942">
        <f t="shared" si="7"/>
        <v>0</v>
      </c>
      <c r="K20" s="1942">
        <f t="shared" si="8"/>
        <v>0</v>
      </c>
      <c r="L20" s="1942">
        <f t="shared" si="9"/>
        <v>0</v>
      </c>
      <c r="M20" s="1955"/>
      <c r="N20" s="1955"/>
      <c r="O20" s="1955"/>
      <c r="P20" s="1955"/>
      <c r="Q20" s="1955"/>
      <c r="R20" s="1955"/>
      <c r="S20" s="1955"/>
      <c r="T20" s="1955"/>
      <c r="U20" s="1955"/>
      <c r="V20" s="1955"/>
      <c r="W20" s="1955"/>
      <c r="X20" s="1955"/>
      <c r="Y20" s="1944"/>
    </row>
    <row r="21">
      <c r="A21" s="1952">
        <v>119.0</v>
      </c>
      <c r="B21" s="1953" t="s">
        <v>3985</v>
      </c>
      <c r="C21" s="1946" t="s">
        <v>2214</v>
      </c>
      <c r="D21" s="1953" t="s">
        <v>3984</v>
      </c>
      <c r="E21" s="1954" t="s">
        <v>2943</v>
      </c>
      <c r="F21" s="1940">
        <f t="shared" si="3"/>
        <v>0</v>
      </c>
      <c r="G21" s="1941">
        <f t="shared" si="4"/>
        <v>0</v>
      </c>
      <c r="H21" s="1941">
        <f t="shared" si="5"/>
        <v>0</v>
      </c>
      <c r="I21" s="1942">
        <f t="shared" si="6"/>
        <v>0</v>
      </c>
      <c r="J21" s="1942">
        <f t="shared" si="7"/>
        <v>0</v>
      </c>
      <c r="K21" s="1942">
        <f t="shared" si="8"/>
        <v>0</v>
      </c>
      <c r="L21" s="1942">
        <f t="shared" si="9"/>
        <v>0</v>
      </c>
      <c r="M21" s="1955"/>
      <c r="N21" s="1955"/>
      <c r="O21" s="1955"/>
      <c r="P21" s="1955"/>
      <c r="Q21" s="1955"/>
      <c r="R21" s="1955"/>
      <c r="S21" s="1955"/>
      <c r="T21" s="1955"/>
      <c r="U21" s="1955"/>
      <c r="V21" s="1955"/>
      <c r="W21" s="1955"/>
      <c r="X21" s="1955"/>
      <c r="Y21" s="1944"/>
    </row>
    <row r="22">
      <c r="A22" s="1509">
        <v>120.0</v>
      </c>
      <c r="B22" s="1937" t="s">
        <v>3986</v>
      </c>
      <c r="C22" s="1938" t="s">
        <v>3987</v>
      </c>
      <c r="D22" s="1937" t="s">
        <v>2214</v>
      </c>
      <c r="E22" s="1939" t="s">
        <v>2214</v>
      </c>
      <c r="F22" s="1940">
        <f t="shared" si="3"/>
        <v>0</v>
      </c>
      <c r="G22" s="1941">
        <f t="shared" si="4"/>
        <v>0</v>
      </c>
      <c r="H22" s="1941">
        <f t="shared" si="5"/>
        <v>0</v>
      </c>
      <c r="I22" s="1942">
        <f t="shared" si="6"/>
        <v>0</v>
      </c>
      <c r="J22" s="1942">
        <f t="shared" si="7"/>
        <v>0</v>
      </c>
      <c r="K22" s="1942">
        <f t="shared" si="8"/>
        <v>0</v>
      </c>
      <c r="L22" s="1942">
        <f t="shared" si="9"/>
        <v>0</v>
      </c>
      <c r="M22" s="1947">
        <f t="shared" ref="M22:X22" si="26">M23-M24</f>
        <v>0</v>
      </c>
      <c r="N22" s="1947">
        <f t="shared" si="26"/>
        <v>0</v>
      </c>
      <c r="O22" s="1947">
        <f t="shared" si="26"/>
        <v>0</v>
      </c>
      <c r="P22" s="1947">
        <f t="shared" si="26"/>
        <v>0</v>
      </c>
      <c r="Q22" s="1947">
        <f t="shared" si="26"/>
        <v>0</v>
      </c>
      <c r="R22" s="1947">
        <f t="shared" si="26"/>
        <v>0</v>
      </c>
      <c r="S22" s="1947">
        <f t="shared" si="26"/>
        <v>0</v>
      </c>
      <c r="T22" s="1947">
        <f t="shared" si="26"/>
        <v>0</v>
      </c>
      <c r="U22" s="1947">
        <f t="shared" si="26"/>
        <v>0</v>
      </c>
      <c r="V22" s="1947">
        <f t="shared" si="26"/>
        <v>0</v>
      </c>
      <c r="W22" s="1947">
        <f t="shared" si="26"/>
        <v>0</v>
      </c>
      <c r="X22" s="1947">
        <f t="shared" si="26"/>
        <v>0</v>
      </c>
      <c r="Y22" s="1944"/>
    </row>
    <row r="23">
      <c r="A23" s="1952">
        <v>122.0</v>
      </c>
      <c r="B23" s="1953" t="s">
        <v>3988</v>
      </c>
      <c r="C23" s="1946" t="s">
        <v>2214</v>
      </c>
      <c r="D23" s="1953" t="s">
        <v>2943</v>
      </c>
      <c r="E23" s="1956">
        <v>8212.0</v>
      </c>
      <c r="F23" s="1940">
        <f t="shared" si="3"/>
        <v>0</v>
      </c>
      <c r="G23" s="1941">
        <f t="shared" si="4"/>
        <v>0</v>
      </c>
      <c r="H23" s="1941">
        <f t="shared" si="5"/>
        <v>0</v>
      </c>
      <c r="I23" s="1942">
        <f t="shared" si="6"/>
        <v>0</v>
      </c>
      <c r="J23" s="1942">
        <f t="shared" si="7"/>
        <v>0</v>
      </c>
      <c r="K23" s="1942">
        <f t="shared" si="8"/>
        <v>0</v>
      </c>
      <c r="L23" s="1942">
        <f t="shared" si="9"/>
        <v>0</v>
      </c>
      <c r="M23" s="1955"/>
      <c r="N23" s="1955"/>
      <c r="O23" s="1955"/>
      <c r="P23" s="1955"/>
      <c r="Q23" s="1955"/>
      <c r="R23" s="1955"/>
      <c r="S23" s="1955"/>
      <c r="T23" s="1955"/>
      <c r="U23" s="1955"/>
      <c r="V23" s="1955"/>
      <c r="W23" s="1955"/>
      <c r="X23" s="1955"/>
      <c r="Y23" s="1944"/>
    </row>
    <row r="24">
      <c r="A24" s="1952">
        <v>124.0</v>
      </c>
      <c r="B24" s="1953" t="s">
        <v>3989</v>
      </c>
      <c r="C24" s="1946" t="s">
        <v>2214</v>
      </c>
      <c r="D24" s="1956">
        <v>8212.0</v>
      </c>
      <c r="E24" s="1954" t="s">
        <v>2943</v>
      </c>
      <c r="F24" s="1940">
        <f t="shared" si="3"/>
        <v>0</v>
      </c>
      <c r="G24" s="1941">
        <f t="shared" si="4"/>
        <v>0</v>
      </c>
      <c r="H24" s="1941">
        <f t="shared" si="5"/>
        <v>0</v>
      </c>
      <c r="I24" s="1942">
        <f t="shared" si="6"/>
        <v>0</v>
      </c>
      <c r="J24" s="1942">
        <f t="shared" si="7"/>
        <v>0</v>
      </c>
      <c r="K24" s="1942">
        <f t="shared" si="8"/>
        <v>0</v>
      </c>
      <c r="L24" s="1942">
        <f t="shared" si="9"/>
        <v>0</v>
      </c>
      <c r="M24" s="1955"/>
      <c r="N24" s="1955"/>
      <c r="O24" s="1955"/>
      <c r="P24" s="1955"/>
      <c r="Q24" s="1955"/>
      <c r="R24" s="1955"/>
      <c r="S24" s="1955"/>
      <c r="T24" s="1955"/>
      <c r="U24" s="1955"/>
      <c r="V24" s="1955"/>
      <c r="W24" s="1955"/>
      <c r="X24" s="1955"/>
      <c r="Y24" s="1944"/>
    </row>
    <row r="25">
      <c r="A25" s="1509">
        <v>125.0</v>
      </c>
      <c r="B25" s="1957" t="s">
        <v>2966</v>
      </c>
      <c r="C25" s="1958" t="s">
        <v>3990</v>
      </c>
      <c r="D25" s="1957" t="s">
        <v>2214</v>
      </c>
      <c r="E25" s="1959" t="s">
        <v>2214</v>
      </c>
      <c r="F25" s="1940" t="str">
        <f t="shared" si="3"/>
        <v>#N/A</v>
      </c>
      <c r="G25" s="1941" t="str">
        <f t="shared" si="4"/>
        <v>#N/A</v>
      </c>
      <c r="H25" s="1941" t="str">
        <f t="shared" si="5"/>
        <v>#N/A</v>
      </c>
      <c r="I25" s="1942" t="str">
        <f t="shared" si="6"/>
        <v>#N/A</v>
      </c>
      <c r="J25" s="1942" t="str">
        <f t="shared" si="7"/>
        <v>#N/A</v>
      </c>
      <c r="K25" s="1942" t="str">
        <f t="shared" si="8"/>
        <v>#N/A</v>
      </c>
      <c r="L25" s="1942" t="str">
        <f t="shared" si="9"/>
        <v>#N/A</v>
      </c>
      <c r="M25" s="1960" t="str">
        <f t="shared" ref="M25:X25" si="27">M18-M19-M22</f>
        <v>#N/A</v>
      </c>
      <c r="N25" s="1960" t="str">
        <f t="shared" si="27"/>
        <v>#N/A</v>
      </c>
      <c r="O25" s="1960" t="str">
        <f t="shared" si="27"/>
        <v>#N/A</v>
      </c>
      <c r="P25" s="1960" t="str">
        <f t="shared" si="27"/>
        <v>#N/A</v>
      </c>
      <c r="Q25" s="1960" t="str">
        <f t="shared" si="27"/>
        <v>#N/A</v>
      </c>
      <c r="R25" s="1960" t="str">
        <f t="shared" si="27"/>
        <v>#N/A</v>
      </c>
      <c r="S25" s="1960" t="str">
        <f t="shared" si="27"/>
        <v>#N/A</v>
      </c>
      <c r="T25" s="1960" t="str">
        <f t="shared" si="27"/>
        <v>#N/A</v>
      </c>
      <c r="U25" s="1960" t="str">
        <f t="shared" si="27"/>
        <v>#N/A</v>
      </c>
      <c r="V25" s="1960" t="str">
        <f t="shared" si="27"/>
        <v>#N/A</v>
      </c>
      <c r="W25" s="1960" t="str">
        <f t="shared" si="27"/>
        <v>#N/A</v>
      </c>
      <c r="X25" s="1960" t="str">
        <f t="shared" si="27"/>
        <v>#N/A</v>
      </c>
      <c r="Y25" s="1944"/>
    </row>
    <row r="26">
      <c r="A26" s="1509">
        <v>130.0</v>
      </c>
      <c r="B26" s="1937" t="s">
        <v>3991</v>
      </c>
      <c r="C26" s="1938" t="s">
        <v>3992</v>
      </c>
      <c r="D26" s="1937" t="s">
        <v>2214</v>
      </c>
      <c r="E26" s="1961" t="s">
        <v>2214</v>
      </c>
      <c r="F26" s="1940">
        <f t="shared" si="3"/>
        <v>0</v>
      </c>
      <c r="G26" s="1941">
        <f t="shared" si="4"/>
        <v>0</v>
      </c>
      <c r="H26" s="1941">
        <f t="shared" si="5"/>
        <v>0</v>
      </c>
      <c r="I26" s="1942">
        <f t="shared" si="6"/>
        <v>0</v>
      </c>
      <c r="J26" s="1942">
        <f t="shared" si="7"/>
        <v>0</v>
      </c>
      <c r="K26" s="1942">
        <f t="shared" si="8"/>
        <v>0</v>
      </c>
      <c r="L26" s="1942">
        <f t="shared" si="9"/>
        <v>0</v>
      </c>
      <c r="M26" s="1955"/>
      <c r="N26" s="1955"/>
      <c r="O26" s="1955"/>
      <c r="P26" s="1955"/>
      <c r="Q26" s="1955"/>
      <c r="R26" s="1955"/>
      <c r="S26" s="1955"/>
      <c r="T26" s="1955"/>
      <c r="U26" s="1955"/>
      <c r="V26" s="1955"/>
      <c r="W26" s="1955"/>
      <c r="X26" s="1955"/>
      <c r="Y26" s="1944"/>
    </row>
    <row r="27">
      <c r="A27" s="1509">
        <v>135.0</v>
      </c>
      <c r="B27" s="1937" t="s">
        <v>3993</v>
      </c>
      <c r="C27" s="1938" t="s">
        <v>3994</v>
      </c>
      <c r="D27" s="1937" t="s">
        <v>2214</v>
      </c>
      <c r="E27" s="1961" t="s">
        <v>2214</v>
      </c>
      <c r="F27" s="1940">
        <f t="shared" si="3"/>
        <v>0</v>
      </c>
      <c r="G27" s="1962"/>
      <c r="H27" s="1962"/>
      <c r="I27" s="1963"/>
      <c r="J27" s="1963"/>
      <c r="K27" s="1963"/>
      <c r="L27" s="1963"/>
      <c r="M27" s="1955"/>
      <c r="N27" s="1955"/>
      <c r="O27" s="1955"/>
      <c r="P27" s="1955"/>
      <c r="Q27" s="1955"/>
      <c r="R27" s="1955"/>
      <c r="S27" s="1955"/>
      <c r="T27" s="1955"/>
      <c r="U27" s="1955"/>
      <c r="V27" s="1955"/>
      <c r="W27" s="1955"/>
      <c r="X27" s="1955"/>
      <c r="Y27" s="1944"/>
    </row>
    <row r="28">
      <c r="A28" s="1964"/>
      <c r="B28" s="1965" t="s">
        <v>3995</v>
      </c>
      <c r="C28" s="1966" t="s">
        <v>3996</v>
      </c>
      <c r="D28" s="1967"/>
      <c r="E28" s="1968"/>
      <c r="F28" s="1969" t="str">
        <f t="shared" si="3"/>
        <v>#N/A</v>
      </c>
      <c r="G28" s="1970" t="str">
        <f t="shared" ref="G28:X28" si="28">G7+G10+G12+G13+G16</f>
        <v>#N/A</v>
      </c>
      <c r="H28" s="1970" t="str">
        <f t="shared" si="28"/>
        <v>#N/A</v>
      </c>
      <c r="I28" s="1970" t="str">
        <f t="shared" si="28"/>
        <v>#N/A</v>
      </c>
      <c r="J28" s="1970" t="str">
        <f t="shared" si="28"/>
        <v>#N/A</v>
      </c>
      <c r="K28" s="1970" t="str">
        <f t="shared" si="28"/>
        <v>#N/A</v>
      </c>
      <c r="L28" s="1970" t="str">
        <f t="shared" si="28"/>
        <v>#N/A</v>
      </c>
      <c r="M28" s="1970" t="str">
        <f t="shared" si="28"/>
        <v>#N/A</v>
      </c>
      <c r="N28" s="1970" t="str">
        <f t="shared" si="28"/>
        <v>#N/A</v>
      </c>
      <c r="O28" s="1970" t="str">
        <f t="shared" si="28"/>
        <v>#N/A</v>
      </c>
      <c r="P28" s="1970" t="str">
        <f t="shared" si="28"/>
        <v>#N/A</v>
      </c>
      <c r="Q28" s="1970" t="str">
        <f t="shared" si="28"/>
        <v>#N/A</v>
      </c>
      <c r="R28" s="1970" t="str">
        <f t="shared" si="28"/>
        <v>#N/A</v>
      </c>
      <c r="S28" s="1970" t="str">
        <f t="shared" si="28"/>
        <v>#N/A</v>
      </c>
      <c r="T28" s="1970" t="str">
        <f t="shared" si="28"/>
        <v>#N/A</v>
      </c>
      <c r="U28" s="1970" t="str">
        <f t="shared" si="28"/>
        <v>#N/A</v>
      </c>
      <c r="V28" s="1970" t="str">
        <f t="shared" si="28"/>
        <v>#N/A</v>
      </c>
      <c r="W28" s="1970" t="str">
        <f t="shared" si="28"/>
        <v>#N/A</v>
      </c>
      <c r="X28" s="1970" t="str">
        <f t="shared" si="28"/>
        <v>#N/A</v>
      </c>
      <c r="Y28" s="1971"/>
    </row>
    <row r="29">
      <c r="A29" s="1972"/>
      <c r="B29" s="1973"/>
      <c r="C29" s="1974"/>
      <c r="D29" s="1946"/>
      <c r="E29" s="1961"/>
      <c r="F29" s="1971"/>
      <c r="G29" s="1955"/>
      <c r="H29" s="1971"/>
      <c r="I29" s="1955"/>
      <c r="J29" s="1955"/>
      <c r="K29" s="1971"/>
      <c r="L29" s="1971"/>
      <c r="M29" s="1955"/>
      <c r="N29" s="1955"/>
      <c r="O29" s="1955"/>
      <c r="P29" s="1955"/>
      <c r="Q29" s="1955"/>
      <c r="R29" s="1955"/>
      <c r="S29" s="1955"/>
      <c r="T29" s="1955"/>
      <c r="U29" s="1955"/>
      <c r="V29" s="1971"/>
      <c r="W29" s="1971"/>
      <c r="X29" s="1971"/>
      <c r="Y29" s="1971"/>
    </row>
    <row r="30">
      <c r="A30" s="1975"/>
      <c r="B30" s="1975"/>
      <c r="C30" s="1976"/>
      <c r="D30" s="1975"/>
      <c r="E30" s="1976"/>
      <c r="F30" s="1955"/>
      <c r="G30" s="1977"/>
      <c r="H30" s="1955"/>
      <c r="I30" s="1978"/>
      <c r="J30" s="1977"/>
      <c r="K30" s="1971"/>
      <c r="L30" s="1955"/>
      <c r="M30" s="1978"/>
      <c r="N30" s="1978"/>
      <c r="O30" s="1978"/>
      <c r="P30" s="1978"/>
      <c r="Q30" s="1977"/>
      <c r="R30" s="1977"/>
      <c r="S30" s="1977"/>
      <c r="T30" s="1977"/>
      <c r="U30" s="1977"/>
      <c r="V30" s="1971"/>
      <c r="W30" s="1971"/>
      <c r="X30" s="1971"/>
      <c r="Y30" s="1971"/>
    </row>
    <row r="31">
      <c r="A31" s="1979" t="s">
        <v>3997</v>
      </c>
      <c r="B31" s="454"/>
      <c r="C31" s="454"/>
      <c r="D31" s="454"/>
      <c r="E31" s="3"/>
      <c r="F31" s="1955"/>
      <c r="G31" s="1977"/>
      <c r="H31" s="1971"/>
      <c r="I31" s="1980"/>
      <c r="J31" s="1977"/>
      <c r="K31" s="1971"/>
      <c r="L31" s="1971"/>
      <c r="M31" s="1980"/>
      <c r="N31" s="1980"/>
      <c r="O31" s="1980"/>
      <c r="P31" s="1980"/>
      <c r="Q31" s="1977"/>
      <c r="R31" s="1977"/>
      <c r="S31" s="1977"/>
      <c r="T31" s="1977"/>
      <c r="U31" s="1977"/>
      <c r="V31" s="1971"/>
      <c r="W31" s="1971"/>
      <c r="X31" s="1971"/>
      <c r="Y31" s="1971"/>
    </row>
    <row r="32">
      <c r="A32" s="1981"/>
      <c r="B32" s="1981"/>
      <c r="C32" s="1982"/>
      <c r="D32" s="1981"/>
      <c r="E32" s="1982"/>
      <c r="F32" s="1955"/>
      <c r="G32" s="1983"/>
      <c r="H32" s="1955"/>
      <c r="I32" s="1983"/>
      <c r="J32" s="1983"/>
      <c r="K32" s="1983"/>
      <c r="L32" s="1955"/>
      <c r="M32" s="1984">
        <v>44227.0</v>
      </c>
      <c r="N32" s="1984">
        <v>44255.0</v>
      </c>
      <c r="O32" s="1984">
        <v>44286.0</v>
      </c>
      <c r="P32" s="1984">
        <v>44316.0</v>
      </c>
      <c r="Q32" s="1984">
        <v>44347.0</v>
      </c>
      <c r="R32" s="1984">
        <v>44377.0</v>
      </c>
      <c r="S32" s="1984">
        <v>44408.0</v>
      </c>
      <c r="T32" s="1984">
        <v>44439.0</v>
      </c>
      <c r="U32" s="1984">
        <v>44469.0</v>
      </c>
      <c r="V32" s="1984">
        <v>44500.0</v>
      </c>
      <c r="W32" s="1984">
        <v>44530.0</v>
      </c>
      <c r="X32" s="1984">
        <v>44561.0</v>
      </c>
      <c r="Y32" s="1971"/>
    </row>
    <row r="33">
      <c r="A33" s="1985" t="s">
        <v>1526</v>
      </c>
      <c r="B33" s="1986" t="s">
        <v>2936</v>
      </c>
      <c r="C33" s="1986" t="s">
        <v>3217</v>
      </c>
      <c r="D33" s="1987" t="s">
        <v>1841</v>
      </c>
      <c r="E33" s="1986" t="s">
        <v>1838</v>
      </c>
      <c r="F33" s="1988" t="str">
        <f t="shared" ref="F33:X33" si="29">F2</f>
        <v>NĂM 2022</v>
      </c>
      <c r="G33" s="1988" t="str">
        <f t="shared" si="29"/>
        <v>1H</v>
      </c>
      <c r="H33" s="1988" t="str">
        <f t="shared" si="29"/>
        <v>2H</v>
      </c>
      <c r="I33" s="1988" t="str">
        <f t="shared" si="29"/>
        <v>QUÝ I</v>
      </c>
      <c r="J33" s="1988" t="str">
        <f t="shared" si="29"/>
        <v>QUÝ II</v>
      </c>
      <c r="K33" s="1988" t="str">
        <f t="shared" si="29"/>
        <v>QUÝ III</v>
      </c>
      <c r="L33" s="1988" t="str">
        <f t="shared" si="29"/>
        <v>QUÝ IV</v>
      </c>
      <c r="M33" s="1988" t="str">
        <f t="shared" si="29"/>
        <v>DOANH THU BÁN HÀNG</v>
      </c>
      <c r="N33" s="1988" t="str">
        <f t="shared" si="29"/>
        <v>DOANH THU TÀI CHÍNH</v>
      </c>
      <c r="O33" s="1988" t="str">
        <f t="shared" si="29"/>
        <v>CHI PHÍ GIÁ VỐN</v>
      </c>
      <c r="P33" s="1988" t="str">
        <f t="shared" si="29"/>
        <v>CHI PHÍ GIÁ VỐN</v>
      </c>
      <c r="Q33" s="1988" t="str">
        <f t="shared" si="29"/>
        <v>CHI PHÍ GIÁ VỐN</v>
      </c>
      <c r="R33" s="1988" t="str">
        <f t="shared" si="29"/>
        <v>CHI PHÍ GIÁ VỐN</v>
      </c>
      <c r="S33" s="1988" t="str">
        <f t="shared" si="29"/>
        <v>CHI PHÍ GIÁ VỐN</v>
      </c>
      <c r="T33" s="1988" t="str">
        <f t="shared" si="29"/>
        <v>CHI PHÍ GIÁ VỐN</v>
      </c>
      <c r="U33" s="1988" t="str">
        <f t="shared" si="29"/>
        <v>CHI PHÍ GIÁ VỐN</v>
      </c>
      <c r="V33" s="1988" t="str">
        <f t="shared" si="29"/>
        <v>CHI PHÍ GIÁ VỐN</v>
      </c>
      <c r="W33" s="1988" t="str">
        <f t="shared" si="29"/>
        <v>CHI PHÍ GIÁ VỐN</v>
      </c>
      <c r="X33" s="1988" t="str">
        <f t="shared" si="29"/>
        <v>CHI PHÍ GIÁ VỐN</v>
      </c>
      <c r="Y33" s="1989">
        <f>ROW()</f>
        <v>33</v>
      </c>
    </row>
    <row r="34">
      <c r="A34" s="1509">
        <v>5.0</v>
      </c>
      <c r="B34" s="1510" t="s">
        <v>3221</v>
      </c>
      <c r="C34" s="1511" t="s">
        <v>3222</v>
      </c>
      <c r="D34" s="1512" t="s">
        <v>3223</v>
      </c>
      <c r="E34" s="1513" t="s">
        <v>2214</v>
      </c>
      <c r="F34" s="1990" t="str">
        <f t="shared" ref="F34:F218" si="31">H34</f>
        <v>#N/A</v>
      </c>
      <c r="G34" s="1990" t="str">
        <f t="shared" ref="G34:G218" si="32">J34</f>
        <v>#N/A</v>
      </c>
      <c r="H34" s="1990" t="str">
        <f t="shared" ref="H34:H218" si="33">L34</f>
        <v>#N/A</v>
      </c>
      <c r="I34" s="1990" t="str">
        <f t="shared" ref="I34:I218" si="34">O34</f>
        <v>#N/A</v>
      </c>
      <c r="J34" s="1990" t="str">
        <f t="shared" ref="J34:J218" si="35">R34</f>
        <v>#N/A</v>
      </c>
      <c r="K34" s="1990" t="str">
        <f t="shared" ref="K34:K218" si="36">U34</f>
        <v>#N/A</v>
      </c>
      <c r="L34" s="1990" t="str">
        <f t="shared" ref="L34:L218" si="37">X34</f>
        <v>#N/A</v>
      </c>
      <c r="M34" s="1990" t="str">
        <f t="shared" ref="M34:X34" si="30">M35+M45+M52+M70+M81</f>
        <v>#N/A</v>
      </c>
      <c r="N34" s="1990" t="str">
        <f t="shared" si="30"/>
        <v>#N/A</v>
      </c>
      <c r="O34" s="1990" t="str">
        <f t="shared" si="30"/>
        <v>#N/A</v>
      </c>
      <c r="P34" s="1990" t="str">
        <f t="shared" si="30"/>
        <v>#N/A</v>
      </c>
      <c r="Q34" s="1990" t="str">
        <f t="shared" si="30"/>
        <v>#N/A</v>
      </c>
      <c r="R34" s="1990" t="str">
        <f t="shared" si="30"/>
        <v>#N/A</v>
      </c>
      <c r="S34" s="1990" t="str">
        <f t="shared" si="30"/>
        <v>#N/A</v>
      </c>
      <c r="T34" s="1990" t="str">
        <f t="shared" si="30"/>
        <v>#N/A</v>
      </c>
      <c r="U34" s="1990" t="str">
        <f t="shared" si="30"/>
        <v>#N/A</v>
      </c>
      <c r="V34" s="1990" t="str">
        <f t="shared" si="30"/>
        <v>#N/A</v>
      </c>
      <c r="W34" s="1990" t="str">
        <f t="shared" si="30"/>
        <v>#N/A</v>
      </c>
      <c r="X34" s="1990" t="str">
        <f t="shared" si="30"/>
        <v>#N/A</v>
      </c>
      <c r="Y34" s="1989">
        <f t="shared" ref="Y34:Y193" si="39">ROW()-$Y$33</f>
        <v>1</v>
      </c>
    </row>
    <row r="35">
      <c r="A35" s="1520">
        <v>10.0</v>
      </c>
      <c r="B35" s="1521" t="s">
        <v>3224</v>
      </c>
      <c r="C35" s="1522" t="s">
        <v>3225</v>
      </c>
      <c r="D35" s="1523" t="s">
        <v>3226</v>
      </c>
      <c r="E35" s="1524" t="s">
        <v>2214</v>
      </c>
      <c r="F35" s="1991" t="str">
        <f t="shared" si="31"/>
        <v>#N/A</v>
      </c>
      <c r="G35" s="1991" t="str">
        <f t="shared" si="32"/>
        <v>#N/A</v>
      </c>
      <c r="H35" s="1991" t="str">
        <f t="shared" si="33"/>
        <v>#N/A</v>
      </c>
      <c r="I35" s="1991" t="str">
        <f t="shared" si="34"/>
        <v>#N/A</v>
      </c>
      <c r="J35" s="1991" t="str">
        <f t="shared" si="35"/>
        <v>#N/A</v>
      </c>
      <c r="K35" s="1991" t="str">
        <f t="shared" si="36"/>
        <v>#N/A</v>
      </c>
      <c r="L35" s="1991" t="str">
        <f t="shared" si="37"/>
        <v>#N/A</v>
      </c>
      <c r="M35" s="1991" t="str">
        <f t="shared" ref="M35:X35" si="38">M36+M42</f>
        <v>#N/A</v>
      </c>
      <c r="N35" s="1991" t="str">
        <f t="shared" si="38"/>
        <v>#N/A</v>
      </c>
      <c r="O35" s="1991" t="str">
        <f t="shared" si="38"/>
        <v>#N/A</v>
      </c>
      <c r="P35" s="1991" t="str">
        <f t="shared" si="38"/>
        <v>#N/A</v>
      </c>
      <c r="Q35" s="1991" t="str">
        <f t="shared" si="38"/>
        <v>#N/A</v>
      </c>
      <c r="R35" s="1991" t="str">
        <f t="shared" si="38"/>
        <v>#N/A</v>
      </c>
      <c r="S35" s="1991" t="str">
        <f t="shared" si="38"/>
        <v>#N/A</v>
      </c>
      <c r="T35" s="1991" t="str">
        <f t="shared" si="38"/>
        <v>#N/A</v>
      </c>
      <c r="U35" s="1991" t="str">
        <f t="shared" si="38"/>
        <v>#N/A</v>
      </c>
      <c r="V35" s="1991" t="str">
        <f t="shared" si="38"/>
        <v>#N/A</v>
      </c>
      <c r="W35" s="1991" t="str">
        <f t="shared" si="38"/>
        <v>#N/A</v>
      </c>
      <c r="X35" s="1991" t="str">
        <f t="shared" si="38"/>
        <v>#N/A</v>
      </c>
      <c r="Y35" s="1989">
        <f t="shared" si="39"/>
        <v>2</v>
      </c>
    </row>
    <row r="36">
      <c r="A36" s="1533">
        <v>15.0</v>
      </c>
      <c r="B36" s="1534" t="s">
        <v>3227</v>
      </c>
      <c r="C36" s="1524" t="s">
        <v>2980</v>
      </c>
      <c r="D36" s="1535" t="s">
        <v>3228</v>
      </c>
      <c r="E36" s="1524" t="s">
        <v>2214</v>
      </c>
      <c r="F36" s="1990" t="str">
        <f t="shared" si="31"/>
        <v>#N/A</v>
      </c>
      <c r="G36" s="1990" t="str">
        <f t="shared" si="32"/>
        <v>#N/A</v>
      </c>
      <c r="H36" s="1990" t="str">
        <f t="shared" si="33"/>
        <v>#N/A</v>
      </c>
      <c r="I36" s="1990" t="str">
        <f t="shared" si="34"/>
        <v>#N/A</v>
      </c>
      <c r="J36" s="1990" t="str">
        <f t="shared" si="35"/>
        <v>#N/A</v>
      </c>
      <c r="K36" s="1990" t="str">
        <f t="shared" si="36"/>
        <v>#N/A</v>
      </c>
      <c r="L36" s="1990" t="str">
        <f t="shared" si="37"/>
        <v>#N/A</v>
      </c>
      <c r="M36" s="1990" t="str">
        <f t="shared" ref="M36:X36" si="40">SUM(M37:M39)</f>
        <v>#N/A</v>
      </c>
      <c r="N36" s="1990" t="str">
        <f t="shared" si="40"/>
        <v>#N/A</v>
      </c>
      <c r="O36" s="1990" t="str">
        <f t="shared" si="40"/>
        <v>#N/A</v>
      </c>
      <c r="P36" s="1990" t="str">
        <f t="shared" si="40"/>
        <v>#N/A</v>
      </c>
      <c r="Q36" s="1990" t="str">
        <f t="shared" si="40"/>
        <v>#N/A</v>
      </c>
      <c r="R36" s="1990" t="str">
        <f t="shared" si="40"/>
        <v>#N/A</v>
      </c>
      <c r="S36" s="1990" t="str">
        <f t="shared" si="40"/>
        <v>#N/A</v>
      </c>
      <c r="T36" s="1990" t="str">
        <f t="shared" si="40"/>
        <v>#N/A</v>
      </c>
      <c r="U36" s="1990" t="str">
        <f t="shared" si="40"/>
        <v>#N/A</v>
      </c>
      <c r="V36" s="1990" t="str">
        <f t="shared" si="40"/>
        <v>#N/A</v>
      </c>
      <c r="W36" s="1990" t="str">
        <f t="shared" si="40"/>
        <v>#N/A</v>
      </c>
      <c r="X36" s="1990" t="str">
        <f t="shared" si="40"/>
        <v>#N/A</v>
      </c>
      <c r="Y36" s="1989">
        <f t="shared" si="39"/>
        <v>3</v>
      </c>
    </row>
    <row r="37">
      <c r="A37" s="1533">
        <v>20.0</v>
      </c>
      <c r="B37" s="1534" t="s">
        <v>3229</v>
      </c>
      <c r="C37" s="1524" t="s">
        <v>2214</v>
      </c>
      <c r="D37" s="1535" t="s">
        <v>2214</v>
      </c>
      <c r="E37" s="1543" t="s">
        <v>1328</v>
      </c>
      <c r="F37" s="1990" t="str">
        <f t="shared" si="31"/>
        <v>#N/A</v>
      </c>
      <c r="G37" s="1990" t="str">
        <f t="shared" si="32"/>
        <v>#N/A</v>
      </c>
      <c r="H37" s="1990" t="str">
        <f t="shared" si="33"/>
        <v>#N/A</v>
      </c>
      <c r="I37" s="1990" t="str">
        <f t="shared" si="34"/>
        <v>#N/A</v>
      </c>
      <c r="J37" s="1990" t="str">
        <f t="shared" si="35"/>
        <v>#N/A</v>
      </c>
      <c r="K37" s="1990" t="str">
        <f t="shared" si="36"/>
        <v>#N/A</v>
      </c>
      <c r="L37" s="1990" t="str">
        <f t="shared" si="37"/>
        <v>#N/A</v>
      </c>
      <c r="M37" s="1990" t="str">
        <f t="shared" ref="M37:O37" si="41">(SUMIF(MA_TAIKHOAN,$E37,SDNDK)+SUMIFS(PS_SOTIEN,PS_TKNO,$E37,PS_NGAY,"&lt;="&amp;M$1))-(SUMIF(MA_TAIKHOAN,$E37,SDCDK)+SUMIFs(PS_SOTIEN,PS_TKCO,$E37,PS_NGAY,"&lt;="&amp;M$1))</f>
        <v>#N/A</v>
      </c>
      <c r="N37" s="1990" t="str">
        <f t="shared" si="41"/>
        <v>#N/A</v>
      </c>
      <c r="O37" s="1990" t="str">
        <f t="shared" si="41"/>
        <v>#N/A</v>
      </c>
      <c r="P37" s="1990" t="str">
        <f t="shared" ref="P37:P38" si="45">(SUMIF(MA_TAIKHOAN,$E37,SDNDK)+SUMIFS(PS_SOTIEN,PS_TKNO,$E37,PS_NGAY,"&lt;="&amp;I$1))-(SUMIF(MA_TAIKHOAN,$E37,SDCDK)+SUMIFs(PS_SOTIEN,PS_TKCO,$E37,PS_NGAY,"&lt;="&amp;I$1))</f>
        <v>#N/A</v>
      </c>
      <c r="Q37" s="1990" t="str">
        <f t="shared" ref="Q37:S37" si="42">(SUMIF(MA_TAIKHOAN,$E37,SDNDK)+SUMIFS(PS_SOTIEN,PS_TKNO,$E37,PS_NGAY,"&lt;="&amp;P$1))-(SUMIF(MA_TAIKHOAN,$E37,SDCDK)+SUMIFs(PS_SOTIEN,PS_TKCO,$E37,PS_NGAY,"&lt;="&amp;P$1))</f>
        <v>#N/A</v>
      </c>
      <c r="R37" s="1990" t="str">
        <f t="shared" si="42"/>
        <v>#N/A</v>
      </c>
      <c r="S37" s="1990" t="str">
        <f t="shared" si="42"/>
        <v>#N/A</v>
      </c>
      <c r="T37" s="1990" t="str">
        <f t="shared" ref="T37:T38" si="47">(SUMIF(MA_TAIKHOAN,$E37,SDNDK)+SUMIFS(PS_SOTIEN,PS_TKNO,$E37,PS_NGAY,"&lt;="&amp;J$1))-(SUMIF(MA_TAIKHOAN,$E37,SDCDK)+SUMIFs(PS_SOTIEN,PS_TKCO,$E37,PS_NGAY,"&lt;="&amp;J$1))</f>
        <v>#N/A</v>
      </c>
      <c r="U37" s="1990" t="str">
        <f t="shared" ref="U37:U38" si="48">(SUMIF(MA_TAIKHOAN,$E37,SDNDK)+SUMIFS(PS_SOTIEN,PS_TKNO,$E37,PS_NGAY,"&lt;="&amp;G$1))-(SUMIF(MA_TAIKHOAN,$E37,SDCDK)+SUMIFs(PS_SOTIEN,PS_TKCO,$E37,PS_NGAY,"&lt;="&amp;G$1))</f>
        <v>#N/A</v>
      </c>
      <c r="V37" s="1990" t="str">
        <f t="shared" ref="V37:X37" si="43">(SUMIF(MA_TAIKHOAN,$E37,SDNDK)+SUMIFS(PS_SOTIEN,PS_TKNO,$E37,PS_NGAY,"&lt;="&amp;S$1))-(SUMIF(MA_TAIKHOAN,$E37,SDCDK)+SUMIFs(PS_SOTIEN,PS_TKCO,$E37,PS_NGAY,"&lt;="&amp;S$1))</f>
        <v>#N/A</v>
      </c>
      <c r="W37" s="1990" t="str">
        <f t="shared" si="43"/>
        <v>#N/A</v>
      </c>
      <c r="X37" s="1990" t="str">
        <f t="shared" si="43"/>
        <v>#N/A</v>
      </c>
      <c r="Y37" s="1989">
        <f t="shared" si="39"/>
        <v>4</v>
      </c>
    </row>
    <row r="38">
      <c r="A38" s="1533">
        <v>25.0</v>
      </c>
      <c r="B38" s="1534" t="s">
        <v>3230</v>
      </c>
      <c r="C38" s="1524" t="s">
        <v>2214</v>
      </c>
      <c r="D38" s="1535" t="s">
        <v>2214</v>
      </c>
      <c r="E38" s="1524" t="s">
        <v>2991</v>
      </c>
      <c r="F38" s="1990" t="str">
        <f t="shared" si="31"/>
        <v>#N/A</v>
      </c>
      <c r="G38" s="1990" t="str">
        <f t="shared" si="32"/>
        <v>#N/A</v>
      </c>
      <c r="H38" s="1990" t="str">
        <f t="shared" si="33"/>
        <v>#N/A</v>
      </c>
      <c r="I38" s="1990" t="str">
        <f t="shared" si="34"/>
        <v>#N/A</v>
      </c>
      <c r="J38" s="1990" t="str">
        <f t="shared" si="35"/>
        <v>#N/A</v>
      </c>
      <c r="K38" s="1990" t="str">
        <f t="shared" si="36"/>
        <v>#N/A</v>
      </c>
      <c r="L38" s="1990" t="str">
        <f t="shared" si="37"/>
        <v>#N/A</v>
      </c>
      <c r="M38" s="1990" t="str">
        <f t="shared" ref="M38:O38" si="44">(SUMIF(MA_TAIKHOAN,$E38,SDNDK)+SUMIFS(PS_SOTIEN,PS_TKNO,$E38,PS_NGAY,"&lt;="&amp;M$1))-(SUMIF(MA_TAIKHOAN,$E38,SDCDK)+SUMIFs(PS_SOTIEN,PS_TKCO,$E38,PS_NGAY,"&lt;="&amp;M$1))</f>
        <v>#N/A</v>
      </c>
      <c r="N38" s="1990" t="str">
        <f t="shared" si="44"/>
        <v>#N/A</v>
      </c>
      <c r="O38" s="1990" t="str">
        <f t="shared" si="44"/>
        <v>#N/A</v>
      </c>
      <c r="P38" s="1990" t="str">
        <f t="shared" si="45"/>
        <v>#N/A</v>
      </c>
      <c r="Q38" s="1990" t="str">
        <f t="shared" ref="Q38:S38" si="46">(SUMIF(MA_TAIKHOAN,$E38,SDNDK)+SUMIFS(PS_SOTIEN,PS_TKNO,$E38,PS_NGAY,"&lt;="&amp;P$1))-(SUMIF(MA_TAIKHOAN,$E38,SDCDK)+SUMIFs(PS_SOTIEN,PS_TKCO,$E38,PS_NGAY,"&lt;="&amp;P$1))</f>
        <v>#N/A</v>
      </c>
      <c r="R38" s="1990" t="str">
        <f t="shared" si="46"/>
        <v>#N/A</v>
      </c>
      <c r="S38" s="1990" t="str">
        <f t="shared" si="46"/>
        <v>#N/A</v>
      </c>
      <c r="T38" s="1990" t="str">
        <f t="shared" si="47"/>
        <v>#N/A</v>
      </c>
      <c r="U38" s="1990" t="str">
        <f t="shared" si="48"/>
        <v>#N/A</v>
      </c>
      <c r="V38" s="1990" t="str">
        <f t="shared" ref="V38:X38" si="49">(SUMIF(MA_TAIKHOAN,$E38,SDNDK)+SUMIFS(PS_SOTIEN,PS_TKNO,$E38,PS_NGAY,"&lt;="&amp;S$1))-(SUMIF(MA_TAIKHOAN,$E38,SDCDK)+SUMIFs(PS_SOTIEN,PS_TKCO,$E38,PS_NGAY,"&lt;="&amp;S$1))</f>
        <v>#N/A</v>
      </c>
      <c r="W38" s="1990" t="str">
        <f t="shared" si="49"/>
        <v>#N/A</v>
      </c>
      <c r="X38" s="1990" t="str">
        <f t="shared" si="49"/>
        <v>#N/A</v>
      </c>
      <c r="Y38" s="1989">
        <f t="shared" si="39"/>
        <v>5</v>
      </c>
    </row>
    <row r="39">
      <c r="A39" s="1533">
        <v>30.0</v>
      </c>
      <c r="B39" s="1534" t="s">
        <v>3231</v>
      </c>
      <c r="C39" s="1524" t="s">
        <v>2214</v>
      </c>
      <c r="D39" s="1535" t="s">
        <v>2214</v>
      </c>
      <c r="E39" s="1524" t="s">
        <v>2987</v>
      </c>
      <c r="F39" s="1990" t="str">
        <f t="shared" si="31"/>
        <v>#N/A</v>
      </c>
      <c r="G39" s="1990" t="str">
        <f t="shared" si="32"/>
        <v>#N/A</v>
      </c>
      <c r="H39" s="1990" t="str">
        <f t="shared" si="33"/>
        <v>#N/A</v>
      </c>
      <c r="I39" s="1990" t="str">
        <f t="shared" si="34"/>
        <v>#N/A</v>
      </c>
      <c r="J39" s="1990" t="str">
        <f t="shared" si="35"/>
        <v>#N/A</v>
      </c>
      <c r="K39" s="1990" t="str">
        <f t="shared" si="36"/>
        <v>#N/A</v>
      </c>
      <c r="L39" s="1990" t="str">
        <f t="shared" si="37"/>
        <v>#N/A</v>
      </c>
      <c r="M39" s="1990" t="str">
        <f t="shared" ref="M39:X39" si="50">SUM(M40:M41)</f>
        <v>#N/A</v>
      </c>
      <c r="N39" s="1990" t="str">
        <f t="shared" si="50"/>
        <v>#N/A</v>
      </c>
      <c r="O39" s="1990" t="str">
        <f t="shared" si="50"/>
        <v>#N/A</v>
      </c>
      <c r="P39" s="1990" t="str">
        <f t="shared" si="50"/>
        <v>#N/A</v>
      </c>
      <c r="Q39" s="1990" t="str">
        <f t="shared" si="50"/>
        <v>#N/A</v>
      </c>
      <c r="R39" s="1990" t="str">
        <f t="shared" si="50"/>
        <v>#N/A</v>
      </c>
      <c r="S39" s="1990" t="str">
        <f t="shared" si="50"/>
        <v>#N/A</v>
      </c>
      <c r="T39" s="1990" t="str">
        <f t="shared" si="50"/>
        <v>#N/A</v>
      </c>
      <c r="U39" s="1990" t="str">
        <f t="shared" si="50"/>
        <v>#N/A</v>
      </c>
      <c r="V39" s="1990" t="str">
        <f t="shared" si="50"/>
        <v>#N/A</v>
      </c>
      <c r="W39" s="1990" t="str">
        <f t="shared" si="50"/>
        <v>#N/A</v>
      </c>
      <c r="X39" s="1990" t="str">
        <f t="shared" si="50"/>
        <v>#N/A</v>
      </c>
      <c r="Y39" s="1989">
        <f t="shared" si="39"/>
        <v>6</v>
      </c>
    </row>
    <row r="40">
      <c r="A40" s="1544"/>
      <c r="B40" s="1545" t="s">
        <v>3998</v>
      </c>
      <c r="C40" s="1524" t="s">
        <v>2214</v>
      </c>
      <c r="D40" s="1524" t="s">
        <v>2214</v>
      </c>
      <c r="E40" s="1546" t="s">
        <v>3999</v>
      </c>
      <c r="F40" s="1992" t="str">
        <f t="shared" si="31"/>
        <v>#N/A</v>
      </c>
      <c r="G40" s="1992" t="str">
        <f t="shared" si="32"/>
        <v>#N/A</v>
      </c>
      <c r="H40" s="1992" t="str">
        <f t="shared" si="33"/>
        <v>#N/A</v>
      </c>
      <c r="I40" s="1992" t="str">
        <f t="shared" si="34"/>
        <v>#N/A</v>
      </c>
      <c r="J40" s="1992" t="str">
        <f t="shared" si="35"/>
        <v>#N/A</v>
      </c>
      <c r="K40" s="1992" t="str">
        <f t="shared" si="36"/>
        <v>#N/A</v>
      </c>
      <c r="L40" s="1992" t="str">
        <f t="shared" si="37"/>
        <v>#N/A</v>
      </c>
      <c r="M40" s="1992" t="str">
        <f t="shared" ref="M40:O40" si="51">(SUMIF(MA_TAIKHOAN,$E40,SDNDK)+SUMIFS(PS_SOTIEN,PS_TKNO,$E40,PS_NGAY,"&lt;="&amp;M$1))-(SUMIF(MA_TAIKHOAN,$E40,SDCDK)+SUMIFs(PS_SOTIEN,PS_TKCO,$E40,PS_NGAY,"&lt;="&amp;M$1))</f>
        <v>#N/A</v>
      </c>
      <c r="N40" s="1992" t="str">
        <f t="shared" si="51"/>
        <v>#N/A</v>
      </c>
      <c r="O40" s="1992" t="str">
        <f t="shared" si="51"/>
        <v>#N/A</v>
      </c>
      <c r="P40" s="1992" t="str">
        <f t="shared" ref="P40:P41" si="55">(SUMIF(MA_TAIKHOAN,$E40,SDNDK)+SUMIFS(PS_SOTIEN,PS_TKNO,$E40,PS_NGAY,"&lt;="&amp;I$1))-(SUMIF(MA_TAIKHOAN,$E40,SDCDK)+SUMIFs(PS_SOTIEN,PS_TKCO,$E40,PS_NGAY,"&lt;="&amp;I$1))</f>
        <v>#N/A</v>
      </c>
      <c r="Q40" s="1992" t="str">
        <f t="shared" ref="Q40:S40" si="52">(SUMIF(MA_TAIKHOAN,$E40,SDNDK)+SUMIFS(PS_SOTIEN,PS_TKNO,$E40,PS_NGAY,"&lt;="&amp;P$1))-(SUMIF(MA_TAIKHOAN,$E40,SDCDK)+SUMIFs(PS_SOTIEN,PS_TKCO,$E40,PS_NGAY,"&lt;="&amp;P$1))</f>
        <v>#N/A</v>
      </c>
      <c r="R40" s="1992" t="str">
        <f t="shared" si="52"/>
        <v>#N/A</v>
      </c>
      <c r="S40" s="1992" t="str">
        <f t="shared" si="52"/>
        <v>#N/A</v>
      </c>
      <c r="T40" s="1992" t="str">
        <f t="shared" ref="T40:T41" si="57">(SUMIF(MA_TAIKHOAN,$E40,SDNDK)+SUMIFS(PS_SOTIEN,PS_TKNO,$E40,PS_NGAY,"&lt;="&amp;J$1))-(SUMIF(MA_TAIKHOAN,$E40,SDCDK)+SUMIFs(PS_SOTIEN,PS_TKCO,$E40,PS_NGAY,"&lt;="&amp;J$1))</f>
        <v>#N/A</v>
      </c>
      <c r="U40" s="1992" t="str">
        <f t="shared" ref="U40:U41" si="58">(SUMIF(MA_TAIKHOAN,$E40,SDNDK)+SUMIFS(PS_SOTIEN,PS_TKNO,$E40,PS_NGAY,"&lt;="&amp;G$1))-(SUMIF(MA_TAIKHOAN,$E40,SDCDK)+SUMIFs(PS_SOTIEN,PS_TKCO,$E40,PS_NGAY,"&lt;="&amp;G$1))</f>
        <v>#N/A</v>
      </c>
      <c r="V40" s="1992" t="str">
        <f t="shared" ref="V40:X40" si="53">(SUMIF(MA_TAIKHOAN,$E40,SDNDK)+SUMIFS(PS_SOTIEN,PS_TKNO,$E40,PS_NGAY,"&lt;="&amp;S$1))-(SUMIF(MA_TAIKHOAN,$E40,SDCDK)+SUMIFs(PS_SOTIEN,PS_TKCO,$E40,PS_NGAY,"&lt;="&amp;S$1))</f>
        <v>#N/A</v>
      </c>
      <c r="W40" s="1992" t="str">
        <f t="shared" si="53"/>
        <v>#N/A</v>
      </c>
      <c r="X40" s="1992" t="str">
        <f t="shared" si="53"/>
        <v>#N/A</v>
      </c>
      <c r="Y40" s="1989">
        <f t="shared" si="39"/>
        <v>7</v>
      </c>
    </row>
    <row r="41">
      <c r="A41" s="1544"/>
      <c r="B41" s="1545" t="s">
        <v>4000</v>
      </c>
      <c r="C41" s="1524" t="s">
        <v>2214</v>
      </c>
      <c r="D41" s="1524" t="s">
        <v>2214</v>
      </c>
      <c r="E41" s="1546" t="s">
        <v>4001</v>
      </c>
      <c r="F41" s="1992" t="str">
        <f t="shared" si="31"/>
        <v>#N/A</v>
      </c>
      <c r="G41" s="1992" t="str">
        <f t="shared" si="32"/>
        <v>#N/A</v>
      </c>
      <c r="H41" s="1992" t="str">
        <f t="shared" si="33"/>
        <v>#N/A</v>
      </c>
      <c r="I41" s="1992" t="str">
        <f t="shared" si="34"/>
        <v>#N/A</v>
      </c>
      <c r="J41" s="1992" t="str">
        <f t="shared" si="35"/>
        <v>#N/A</v>
      </c>
      <c r="K41" s="1992" t="str">
        <f t="shared" si="36"/>
        <v>#N/A</v>
      </c>
      <c r="L41" s="1992" t="str">
        <f t="shared" si="37"/>
        <v>#N/A</v>
      </c>
      <c r="M41" s="1992" t="str">
        <f t="shared" ref="M41:O41" si="54">(SUMIF(MA_TAIKHOAN,$E41,SDNDK)+SUMIFS(PS_SOTIEN,PS_TKNO,$E41,PS_NGAY,"&lt;="&amp;M$1))-(SUMIF(MA_TAIKHOAN,$E41,SDCDK)+SUMIFs(PS_SOTIEN,PS_TKCO,$E41,PS_NGAY,"&lt;="&amp;M$1))</f>
        <v>#N/A</v>
      </c>
      <c r="N41" s="1992" t="str">
        <f t="shared" si="54"/>
        <v>#N/A</v>
      </c>
      <c r="O41" s="1992" t="str">
        <f t="shared" si="54"/>
        <v>#N/A</v>
      </c>
      <c r="P41" s="1992" t="str">
        <f t="shared" si="55"/>
        <v>#N/A</v>
      </c>
      <c r="Q41" s="1992" t="str">
        <f t="shared" ref="Q41:S41" si="56">(SUMIF(MA_TAIKHOAN,$E41,SDNDK)+SUMIFS(PS_SOTIEN,PS_TKNO,$E41,PS_NGAY,"&lt;="&amp;P$1))-(SUMIF(MA_TAIKHOAN,$E41,SDCDK)+SUMIFs(PS_SOTIEN,PS_TKCO,$E41,PS_NGAY,"&lt;="&amp;P$1))</f>
        <v>#N/A</v>
      </c>
      <c r="R41" s="1992" t="str">
        <f t="shared" si="56"/>
        <v>#N/A</v>
      </c>
      <c r="S41" s="1992" t="str">
        <f t="shared" si="56"/>
        <v>#N/A</v>
      </c>
      <c r="T41" s="1992" t="str">
        <f t="shared" si="57"/>
        <v>#N/A</v>
      </c>
      <c r="U41" s="1992" t="str">
        <f t="shared" si="58"/>
        <v>#N/A</v>
      </c>
      <c r="V41" s="1992" t="str">
        <f t="shared" ref="V41:X41" si="59">(SUMIF(MA_TAIKHOAN,$E41,SDNDK)+SUMIFS(PS_SOTIEN,PS_TKNO,$E41,PS_NGAY,"&lt;="&amp;S$1))-(SUMIF(MA_TAIKHOAN,$E41,SDCDK)+SUMIFs(PS_SOTIEN,PS_TKCO,$E41,PS_NGAY,"&lt;="&amp;S$1))</f>
        <v>#N/A</v>
      </c>
      <c r="W41" s="1992" t="str">
        <f t="shared" si="59"/>
        <v>#N/A</v>
      </c>
      <c r="X41" s="1992" t="str">
        <f t="shared" si="59"/>
        <v>#N/A</v>
      </c>
      <c r="Y41" s="1989">
        <f t="shared" si="39"/>
        <v>8</v>
      </c>
    </row>
    <row r="42">
      <c r="A42" s="1533">
        <v>35.0</v>
      </c>
      <c r="B42" s="1534" t="s">
        <v>3232</v>
      </c>
      <c r="C42" s="1524" t="s">
        <v>2987</v>
      </c>
      <c r="D42" s="1535" t="s">
        <v>3233</v>
      </c>
      <c r="E42" s="1524" t="s">
        <v>2214</v>
      </c>
      <c r="F42" s="1990" t="str">
        <f t="shared" si="31"/>
        <v>#N/A</v>
      </c>
      <c r="G42" s="1990" t="str">
        <f t="shared" si="32"/>
        <v>#N/A</v>
      </c>
      <c r="H42" s="1990" t="str">
        <f t="shared" si="33"/>
        <v>#N/A</v>
      </c>
      <c r="I42" s="1990" t="str">
        <f t="shared" si="34"/>
        <v>#N/A</v>
      </c>
      <c r="J42" s="1990" t="str">
        <f t="shared" si="35"/>
        <v>#N/A</v>
      </c>
      <c r="K42" s="1990" t="str">
        <f t="shared" si="36"/>
        <v>#N/A</v>
      </c>
      <c r="L42" s="1990" t="str">
        <f t="shared" si="37"/>
        <v>#N/A</v>
      </c>
      <c r="M42" s="1990" t="str">
        <f t="shared" ref="M42:X42" si="60">SUM(M43:M44)</f>
        <v>#N/A</v>
      </c>
      <c r="N42" s="1990" t="str">
        <f t="shared" si="60"/>
        <v>#N/A</v>
      </c>
      <c r="O42" s="1990" t="str">
        <f t="shared" si="60"/>
        <v>#N/A</v>
      </c>
      <c r="P42" s="1990" t="str">
        <f t="shared" si="60"/>
        <v>#N/A</v>
      </c>
      <c r="Q42" s="1990" t="str">
        <f t="shared" si="60"/>
        <v>#N/A</v>
      </c>
      <c r="R42" s="1990" t="str">
        <f t="shared" si="60"/>
        <v>#N/A</v>
      </c>
      <c r="S42" s="1990" t="str">
        <f t="shared" si="60"/>
        <v>#N/A</v>
      </c>
      <c r="T42" s="1990" t="str">
        <f t="shared" si="60"/>
        <v>#N/A</v>
      </c>
      <c r="U42" s="1990" t="str">
        <f t="shared" si="60"/>
        <v>#N/A</v>
      </c>
      <c r="V42" s="1990" t="str">
        <f t="shared" si="60"/>
        <v>#N/A</v>
      </c>
      <c r="W42" s="1990" t="str">
        <f t="shared" si="60"/>
        <v>#N/A</v>
      </c>
      <c r="X42" s="1990" t="str">
        <f t="shared" si="60"/>
        <v>#N/A</v>
      </c>
      <c r="Y42" s="1989">
        <f t="shared" si="39"/>
        <v>9</v>
      </c>
    </row>
    <row r="43">
      <c r="A43" s="1533">
        <v>40.0</v>
      </c>
      <c r="B43" s="1548" t="s">
        <v>3234</v>
      </c>
      <c r="C43" s="1524" t="s">
        <v>2214</v>
      </c>
      <c r="D43" s="1535" t="s">
        <v>2214</v>
      </c>
      <c r="E43" s="1524" t="s">
        <v>3235</v>
      </c>
      <c r="F43" s="1992" t="str">
        <f t="shared" si="31"/>
        <v>#N/A</v>
      </c>
      <c r="G43" s="1992" t="str">
        <f t="shared" si="32"/>
        <v>#N/A</v>
      </c>
      <c r="H43" s="1992" t="str">
        <f t="shared" si="33"/>
        <v>#N/A</v>
      </c>
      <c r="I43" s="1992" t="str">
        <f t="shared" si="34"/>
        <v>#N/A</v>
      </c>
      <c r="J43" s="1992" t="str">
        <f t="shared" si="35"/>
        <v>#N/A</v>
      </c>
      <c r="K43" s="1992" t="str">
        <f t="shared" si="36"/>
        <v>#N/A</v>
      </c>
      <c r="L43" s="1992" t="str">
        <f t="shared" si="37"/>
        <v>#N/A</v>
      </c>
      <c r="M43" s="1992" t="str">
        <f t="shared" ref="M43:O43" si="61">(SUMIF(MA_TAIKHOAN,$E43,SDNDK)+SUMIFS(PS_SOTIEN,PS_TKNO,$E43,PS_NGAY,"&lt;="&amp;M$1))-(SUMIF(MA_TAIKHOAN,$E43,SDCDK)+SUMIFs(PS_SOTIEN,PS_TKCO,$E43,PS_NGAY,"&lt;="&amp;M$1))</f>
        <v>#N/A</v>
      </c>
      <c r="N43" s="1992" t="str">
        <f t="shared" si="61"/>
        <v>#N/A</v>
      </c>
      <c r="O43" s="1992" t="str">
        <f t="shared" si="61"/>
        <v>#N/A</v>
      </c>
      <c r="P43" s="1992" t="str">
        <f t="shared" ref="P43:P44" si="65">(SUMIF(MA_TAIKHOAN,$E43,SDNDK)+SUMIFS(PS_SOTIEN,PS_TKNO,$E43,PS_NGAY,"&lt;="&amp;I$1))-(SUMIF(MA_TAIKHOAN,$E43,SDCDK)+SUMIFs(PS_SOTIEN,PS_TKCO,$E43,PS_NGAY,"&lt;="&amp;I$1))</f>
        <v>#N/A</v>
      </c>
      <c r="Q43" s="1992" t="str">
        <f t="shared" ref="Q43:S43" si="62">(SUMIF(MA_TAIKHOAN,$E43,SDNDK)+SUMIFS(PS_SOTIEN,PS_TKNO,$E43,PS_NGAY,"&lt;="&amp;P$1))-(SUMIF(MA_TAIKHOAN,$E43,SDCDK)+SUMIFs(PS_SOTIEN,PS_TKCO,$E43,PS_NGAY,"&lt;="&amp;P$1))</f>
        <v>#N/A</v>
      </c>
      <c r="R43" s="1992" t="str">
        <f t="shared" si="62"/>
        <v>#N/A</v>
      </c>
      <c r="S43" s="1992" t="str">
        <f t="shared" si="62"/>
        <v>#N/A</v>
      </c>
      <c r="T43" s="1992" t="str">
        <f t="shared" ref="T43:T44" si="67">(SUMIF(MA_TAIKHOAN,$E43,SDNDK)+SUMIFS(PS_SOTIEN,PS_TKNO,$E43,PS_NGAY,"&lt;="&amp;J$1))-(SUMIF(MA_TAIKHOAN,$E43,SDCDK)+SUMIFs(PS_SOTIEN,PS_TKCO,$E43,PS_NGAY,"&lt;="&amp;J$1))</f>
        <v>#N/A</v>
      </c>
      <c r="U43" s="1992" t="str">
        <f t="shared" ref="U43:U44" si="68">(SUMIF(MA_TAIKHOAN,$E43,SDNDK)+SUMIFS(PS_SOTIEN,PS_TKNO,$E43,PS_NGAY,"&lt;="&amp;G$1))-(SUMIF(MA_TAIKHOAN,$E43,SDCDK)+SUMIFs(PS_SOTIEN,PS_TKCO,$E43,PS_NGAY,"&lt;="&amp;G$1))</f>
        <v>#N/A</v>
      </c>
      <c r="V43" s="1992" t="str">
        <f t="shared" ref="V43:X43" si="63">(SUMIF(MA_TAIKHOAN,$E43,SDNDK)+SUMIFS(PS_SOTIEN,PS_TKNO,$E43,PS_NGAY,"&lt;="&amp;S$1))-(SUMIF(MA_TAIKHOAN,$E43,SDCDK)+SUMIFs(PS_SOTIEN,PS_TKCO,$E43,PS_NGAY,"&lt;="&amp;S$1))</f>
        <v>#N/A</v>
      </c>
      <c r="W43" s="1992" t="str">
        <f t="shared" si="63"/>
        <v>#N/A</v>
      </c>
      <c r="X43" s="1992" t="str">
        <f t="shared" si="63"/>
        <v>#N/A</v>
      </c>
      <c r="Y43" s="1989">
        <f t="shared" si="39"/>
        <v>10</v>
      </c>
    </row>
    <row r="44">
      <c r="A44" s="1533">
        <v>45.0</v>
      </c>
      <c r="B44" s="1548" t="s">
        <v>3236</v>
      </c>
      <c r="C44" s="1524" t="s">
        <v>2214</v>
      </c>
      <c r="D44" s="1535" t="s">
        <v>2214</v>
      </c>
      <c r="E44" s="1524" t="s">
        <v>3237</v>
      </c>
      <c r="F44" s="1992" t="str">
        <f t="shared" si="31"/>
        <v>#N/A</v>
      </c>
      <c r="G44" s="1992" t="str">
        <f t="shared" si="32"/>
        <v>#N/A</v>
      </c>
      <c r="H44" s="1992" t="str">
        <f t="shared" si="33"/>
        <v>#N/A</v>
      </c>
      <c r="I44" s="1992" t="str">
        <f t="shared" si="34"/>
        <v>#N/A</v>
      </c>
      <c r="J44" s="1992" t="str">
        <f t="shared" si="35"/>
        <v>#N/A</v>
      </c>
      <c r="K44" s="1992" t="str">
        <f t="shared" si="36"/>
        <v>#N/A</v>
      </c>
      <c r="L44" s="1992" t="str">
        <f t="shared" si="37"/>
        <v>#N/A</v>
      </c>
      <c r="M44" s="1992" t="str">
        <f t="shared" ref="M44:O44" si="64">(SUMIF(MA_TAIKHOAN,$E44,SDNDK)+SUMIFS(PS_SOTIEN,PS_TKNO,$E44,PS_NGAY,"&lt;="&amp;M$1))-(SUMIF(MA_TAIKHOAN,$E44,SDCDK)+SUMIFs(PS_SOTIEN,PS_TKCO,$E44,PS_NGAY,"&lt;="&amp;M$1))</f>
        <v>#N/A</v>
      </c>
      <c r="N44" s="1992" t="str">
        <f t="shared" si="64"/>
        <v>#N/A</v>
      </c>
      <c r="O44" s="1992" t="str">
        <f t="shared" si="64"/>
        <v>#N/A</v>
      </c>
      <c r="P44" s="1992" t="str">
        <f t="shared" si="65"/>
        <v>#N/A</v>
      </c>
      <c r="Q44" s="1992" t="str">
        <f t="shared" ref="Q44:S44" si="66">(SUMIF(MA_TAIKHOAN,$E44,SDNDK)+SUMIFS(PS_SOTIEN,PS_TKNO,$E44,PS_NGAY,"&lt;="&amp;P$1))-(SUMIF(MA_TAIKHOAN,$E44,SDCDK)+SUMIFs(PS_SOTIEN,PS_TKCO,$E44,PS_NGAY,"&lt;="&amp;P$1))</f>
        <v>#N/A</v>
      </c>
      <c r="R44" s="1992" t="str">
        <f t="shared" si="66"/>
        <v>#N/A</v>
      </c>
      <c r="S44" s="1992" t="str">
        <f t="shared" si="66"/>
        <v>#N/A</v>
      </c>
      <c r="T44" s="1992" t="str">
        <f t="shared" si="67"/>
        <v>#N/A</v>
      </c>
      <c r="U44" s="1992" t="str">
        <f t="shared" si="68"/>
        <v>#N/A</v>
      </c>
      <c r="V44" s="1992" t="str">
        <f t="shared" ref="V44:X44" si="69">(SUMIF(MA_TAIKHOAN,$E44,SDNDK)+SUMIFS(PS_SOTIEN,PS_TKNO,$E44,PS_NGAY,"&lt;="&amp;S$1))-(SUMIF(MA_TAIKHOAN,$E44,SDCDK)+SUMIFs(PS_SOTIEN,PS_TKCO,$E44,PS_NGAY,"&lt;="&amp;S$1))</f>
        <v>#N/A</v>
      </c>
      <c r="W44" s="1992" t="str">
        <f t="shared" si="69"/>
        <v>#N/A</v>
      </c>
      <c r="X44" s="1992" t="str">
        <f t="shared" si="69"/>
        <v>#N/A</v>
      </c>
      <c r="Y44" s="1989">
        <f t="shared" si="39"/>
        <v>11</v>
      </c>
    </row>
    <row r="45">
      <c r="A45" s="1520">
        <v>50.0</v>
      </c>
      <c r="B45" s="1521" t="s">
        <v>3238</v>
      </c>
      <c r="C45" s="1522" t="s">
        <v>3239</v>
      </c>
      <c r="D45" s="1523" t="s">
        <v>3240</v>
      </c>
      <c r="E45" s="1524" t="s">
        <v>2214</v>
      </c>
      <c r="F45" s="1991" t="str">
        <f t="shared" si="31"/>
        <v>#N/A</v>
      </c>
      <c r="G45" s="1991" t="str">
        <f t="shared" si="32"/>
        <v>#N/A</v>
      </c>
      <c r="H45" s="1991" t="str">
        <f t="shared" si="33"/>
        <v>#N/A</v>
      </c>
      <c r="I45" s="1991" t="str">
        <f t="shared" si="34"/>
        <v>#N/A</v>
      </c>
      <c r="J45" s="1991" t="str">
        <f t="shared" si="35"/>
        <v>#N/A</v>
      </c>
      <c r="K45" s="1991" t="str">
        <f t="shared" si="36"/>
        <v>#N/A</v>
      </c>
      <c r="L45" s="1991" t="str">
        <f t="shared" si="37"/>
        <v>#N/A</v>
      </c>
      <c r="M45" s="1991" t="str">
        <f t="shared" ref="M45:X45" si="70">SUM(M46:M48)</f>
        <v>#N/A</v>
      </c>
      <c r="N45" s="1991" t="str">
        <f t="shared" si="70"/>
        <v>#N/A</v>
      </c>
      <c r="O45" s="1991" t="str">
        <f t="shared" si="70"/>
        <v>#N/A</v>
      </c>
      <c r="P45" s="1991" t="str">
        <f t="shared" si="70"/>
        <v>#N/A</v>
      </c>
      <c r="Q45" s="1991" t="str">
        <f t="shared" si="70"/>
        <v>#N/A</v>
      </c>
      <c r="R45" s="1991" t="str">
        <f t="shared" si="70"/>
        <v>#N/A</v>
      </c>
      <c r="S45" s="1991" t="str">
        <f t="shared" si="70"/>
        <v>#N/A</v>
      </c>
      <c r="T45" s="1991" t="str">
        <f t="shared" si="70"/>
        <v>#N/A</v>
      </c>
      <c r="U45" s="1991" t="str">
        <f t="shared" si="70"/>
        <v>#N/A</v>
      </c>
      <c r="V45" s="1991" t="str">
        <f t="shared" si="70"/>
        <v>#N/A</v>
      </c>
      <c r="W45" s="1991" t="str">
        <f t="shared" si="70"/>
        <v>#N/A</v>
      </c>
      <c r="X45" s="1991" t="str">
        <f t="shared" si="70"/>
        <v>#N/A</v>
      </c>
      <c r="Y45" s="1989">
        <f t="shared" si="39"/>
        <v>12</v>
      </c>
    </row>
    <row r="46">
      <c r="A46" s="1533">
        <v>55.0</v>
      </c>
      <c r="B46" s="1534" t="s">
        <v>3241</v>
      </c>
      <c r="C46" s="1524" t="s">
        <v>2995</v>
      </c>
      <c r="D46" s="1535" t="s">
        <v>2214</v>
      </c>
      <c r="E46" s="1524" t="s">
        <v>2995</v>
      </c>
      <c r="F46" s="1993" t="str">
        <f t="shared" si="31"/>
        <v>#N/A</v>
      </c>
      <c r="G46" s="1993" t="str">
        <f t="shared" si="32"/>
        <v>#N/A</v>
      </c>
      <c r="H46" s="1993" t="str">
        <f t="shared" si="33"/>
        <v>#N/A</v>
      </c>
      <c r="I46" s="1993" t="str">
        <f t="shared" si="34"/>
        <v>#N/A</v>
      </c>
      <c r="J46" s="1993" t="str">
        <f t="shared" si="35"/>
        <v>#N/A</v>
      </c>
      <c r="K46" s="1993" t="str">
        <f t="shared" si="36"/>
        <v>#N/A</v>
      </c>
      <c r="L46" s="1993" t="str">
        <f t="shared" si="37"/>
        <v>#N/A</v>
      </c>
      <c r="M46" s="1993" t="str">
        <f t="shared" ref="M46:O46" si="71">(SUMIF(MA_TAIKHOAN,$E46,SDNDK)+SUMIFS(PS_SOTIEN,PS_TKNO,$E46,PS_NGAY,"&lt;="&amp;M$1))-(SUMIF(MA_TAIKHOAN,$E46,SDCDK)+SUMIFs(PS_SOTIEN,PS_TKCO,$E46,PS_NGAY,"&lt;="&amp;M$1))</f>
        <v>#N/A</v>
      </c>
      <c r="N46" s="1993" t="str">
        <f t="shared" si="71"/>
        <v>#N/A</v>
      </c>
      <c r="O46" s="1993" t="str">
        <f t="shared" si="71"/>
        <v>#N/A</v>
      </c>
      <c r="P46" s="1993" t="str">
        <f t="shared" ref="P46:P47" si="75">(SUMIF(MA_TAIKHOAN,$E46,SDNDK)+SUMIFS(PS_SOTIEN,PS_TKNO,$E46,PS_NGAY,"&lt;="&amp;I$1))-(SUMIF(MA_TAIKHOAN,$E46,SDCDK)+SUMIFs(PS_SOTIEN,PS_TKCO,$E46,PS_NGAY,"&lt;="&amp;I$1))</f>
        <v>#N/A</v>
      </c>
      <c r="Q46" s="1993" t="str">
        <f t="shared" ref="Q46:S46" si="72">(SUMIF(MA_TAIKHOAN,$E46,SDNDK)+SUMIFS(PS_SOTIEN,PS_TKNO,$E46,PS_NGAY,"&lt;="&amp;P$1))-(SUMIF(MA_TAIKHOAN,$E46,SDCDK)+SUMIFs(PS_SOTIEN,PS_TKCO,$E46,PS_NGAY,"&lt;="&amp;P$1))</f>
        <v>#N/A</v>
      </c>
      <c r="R46" s="1993" t="str">
        <f t="shared" si="72"/>
        <v>#N/A</v>
      </c>
      <c r="S46" s="1993" t="str">
        <f t="shared" si="72"/>
        <v>#N/A</v>
      </c>
      <c r="T46" s="1993" t="str">
        <f t="shared" ref="T46:T47" si="77">(SUMIF(MA_TAIKHOAN,$E46,SDNDK)+SUMIFS(PS_SOTIEN,PS_TKNO,$E46,PS_NGAY,"&lt;="&amp;J$1))-(SUMIF(MA_TAIKHOAN,$E46,SDCDK)+SUMIFs(PS_SOTIEN,PS_TKCO,$E46,PS_NGAY,"&lt;="&amp;J$1))</f>
        <v>#N/A</v>
      </c>
      <c r="U46" s="1993" t="str">
        <f t="shared" ref="U46:U47" si="78">(SUMIF(MA_TAIKHOAN,$E46,SDNDK)+SUMIFS(PS_SOTIEN,PS_TKNO,$E46,PS_NGAY,"&lt;="&amp;G$1))-(SUMIF(MA_TAIKHOAN,$E46,SDCDK)+SUMIFs(PS_SOTIEN,PS_TKCO,$E46,PS_NGAY,"&lt;="&amp;G$1))</f>
        <v>#N/A</v>
      </c>
      <c r="V46" s="1993" t="str">
        <f t="shared" ref="V46:X46" si="73">(SUMIF(MA_TAIKHOAN,$E46,SDNDK)+SUMIFS(PS_SOTIEN,PS_TKNO,$E46,PS_NGAY,"&lt;="&amp;S$1))-(SUMIF(MA_TAIKHOAN,$E46,SDCDK)+SUMIFs(PS_SOTIEN,PS_TKCO,$E46,PS_NGAY,"&lt;="&amp;S$1))</f>
        <v>#N/A</v>
      </c>
      <c r="W46" s="1993" t="str">
        <f t="shared" si="73"/>
        <v>#N/A</v>
      </c>
      <c r="X46" s="1993" t="str">
        <f t="shared" si="73"/>
        <v>#N/A</v>
      </c>
      <c r="Y46" s="1989">
        <f t="shared" si="39"/>
        <v>13</v>
      </c>
    </row>
    <row r="47">
      <c r="A47" s="1533">
        <v>60.0</v>
      </c>
      <c r="B47" s="1534" t="s">
        <v>3242</v>
      </c>
      <c r="C47" s="1524" t="s">
        <v>3243</v>
      </c>
      <c r="D47" s="1535" t="s">
        <v>2214</v>
      </c>
      <c r="E47" s="1524" t="s">
        <v>1394</v>
      </c>
      <c r="F47" s="1993" t="str">
        <f t="shared" si="31"/>
        <v>#N/A</v>
      </c>
      <c r="G47" s="1993" t="str">
        <f t="shared" si="32"/>
        <v>#N/A</v>
      </c>
      <c r="H47" s="1993" t="str">
        <f t="shared" si="33"/>
        <v>#N/A</v>
      </c>
      <c r="I47" s="1993" t="str">
        <f t="shared" si="34"/>
        <v>#N/A</v>
      </c>
      <c r="J47" s="1993" t="str">
        <f t="shared" si="35"/>
        <v>#N/A</v>
      </c>
      <c r="K47" s="1993" t="str">
        <f t="shared" si="36"/>
        <v>#N/A</v>
      </c>
      <c r="L47" s="1993" t="str">
        <f t="shared" si="37"/>
        <v>#N/A</v>
      </c>
      <c r="M47" s="1993" t="str">
        <f t="shared" ref="M47:O47" si="74">(SUMIF(MA_TAIKHOAN,$E47,SDNDK)+SUMIFS(PS_SOTIEN,PS_TKNO,$E47,PS_NGAY,"&lt;="&amp;M$1))-(SUMIF(MA_TAIKHOAN,$E47,SDCDK)+SUMIFs(PS_SOTIEN,PS_TKCO,$E47,PS_NGAY,"&lt;="&amp;M$1))</f>
        <v>#N/A</v>
      </c>
      <c r="N47" s="1993" t="str">
        <f t="shared" si="74"/>
        <v>#N/A</v>
      </c>
      <c r="O47" s="1993" t="str">
        <f t="shared" si="74"/>
        <v>#N/A</v>
      </c>
      <c r="P47" s="1993" t="str">
        <f t="shared" si="75"/>
        <v>#N/A</v>
      </c>
      <c r="Q47" s="1993" t="str">
        <f t="shared" ref="Q47:S47" si="76">(SUMIF(MA_TAIKHOAN,$E47,SDNDK)+SUMIFS(PS_SOTIEN,PS_TKNO,$E47,PS_NGAY,"&lt;="&amp;P$1))-(SUMIF(MA_TAIKHOAN,$E47,SDCDK)+SUMIFs(PS_SOTIEN,PS_TKCO,$E47,PS_NGAY,"&lt;="&amp;P$1))</f>
        <v>#N/A</v>
      </c>
      <c r="R47" s="1993" t="str">
        <f t="shared" si="76"/>
        <v>#N/A</v>
      </c>
      <c r="S47" s="1993" t="str">
        <f t="shared" si="76"/>
        <v>#N/A</v>
      </c>
      <c r="T47" s="1993" t="str">
        <f t="shared" si="77"/>
        <v>#N/A</v>
      </c>
      <c r="U47" s="1993" t="str">
        <f t="shared" si="78"/>
        <v>#N/A</v>
      </c>
      <c r="V47" s="1993" t="str">
        <f t="shared" ref="V47:X47" si="79">(SUMIF(MA_TAIKHOAN,$E47,SDNDK)+SUMIFS(PS_SOTIEN,PS_TKNO,$E47,PS_NGAY,"&lt;="&amp;S$1))-(SUMIF(MA_TAIKHOAN,$E47,SDCDK)+SUMIFs(PS_SOTIEN,PS_TKCO,$E47,PS_NGAY,"&lt;="&amp;S$1))</f>
        <v>#N/A</v>
      </c>
      <c r="W47" s="1993" t="str">
        <f t="shared" si="79"/>
        <v>#N/A</v>
      </c>
      <c r="X47" s="1993" t="str">
        <f t="shared" si="79"/>
        <v>#N/A</v>
      </c>
      <c r="Y47" s="1989">
        <f t="shared" si="39"/>
        <v>14</v>
      </c>
    </row>
    <row r="48">
      <c r="A48" s="1533">
        <v>65.0</v>
      </c>
      <c r="B48" s="1534" t="s">
        <v>3244</v>
      </c>
      <c r="C48" s="1524" t="s">
        <v>3245</v>
      </c>
      <c r="D48" s="1535" t="s">
        <v>3246</v>
      </c>
      <c r="E48" s="1524" t="s">
        <v>2214</v>
      </c>
      <c r="F48" s="1990" t="str">
        <f t="shared" si="31"/>
        <v>#N/A</v>
      </c>
      <c r="G48" s="1990" t="str">
        <f t="shared" si="32"/>
        <v>#N/A</v>
      </c>
      <c r="H48" s="1990" t="str">
        <f t="shared" si="33"/>
        <v>#N/A</v>
      </c>
      <c r="I48" s="1990" t="str">
        <f t="shared" si="34"/>
        <v>#N/A</v>
      </c>
      <c r="J48" s="1990" t="str">
        <f t="shared" si="35"/>
        <v>#N/A</v>
      </c>
      <c r="K48" s="1990" t="str">
        <f t="shared" si="36"/>
        <v>#N/A</v>
      </c>
      <c r="L48" s="1990" t="str">
        <f t="shared" si="37"/>
        <v>#N/A</v>
      </c>
      <c r="M48" s="1990" t="str">
        <f t="shared" ref="M48:X48" si="80">SUM(M49:M51)</f>
        <v>#N/A</v>
      </c>
      <c r="N48" s="1990" t="str">
        <f t="shared" si="80"/>
        <v>#N/A</v>
      </c>
      <c r="O48" s="1990" t="str">
        <f t="shared" si="80"/>
        <v>#N/A</v>
      </c>
      <c r="P48" s="1990" t="str">
        <f t="shared" si="80"/>
        <v>#N/A</v>
      </c>
      <c r="Q48" s="1990" t="str">
        <f t="shared" si="80"/>
        <v>#N/A</v>
      </c>
      <c r="R48" s="1990" t="str">
        <f t="shared" si="80"/>
        <v>#N/A</v>
      </c>
      <c r="S48" s="1990" t="str">
        <f t="shared" si="80"/>
        <v>#N/A</v>
      </c>
      <c r="T48" s="1990" t="str">
        <f t="shared" si="80"/>
        <v>#N/A</v>
      </c>
      <c r="U48" s="1990" t="str">
        <f t="shared" si="80"/>
        <v>#N/A</v>
      </c>
      <c r="V48" s="1990" t="str">
        <f t="shared" si="80"/>
        <v>#N/A</v>
      </c>
      <c r="W48" s="1990" t="str">
        <f t="shared" si="80"/>
        <v>#N/A</v>
      </c>
      <c r="X48" s="1990" t="str">
        <f t="shared" si="80"/>
        <v>#N/A</v>
      </c>
      <c r="Y48" s="1989">
        <f t="shared" si="39"/>
        <v>15</v>
      </c>
    </row>
    <row r="49">
      <c r="A49" s="1533">
        <v>70.0</v>
      </c>
      <c r="B49" s="1534" t="s">
        <v>3247</v>
      </c>
      <c r="C49" s="1524" t="s">
        <v>2214</v>
      </c>
      <c r="D49" s="1535" t="s">
        <v>2214</v>
      </c>
      <c r="E49" s="1524" t="s">
        <v>3248</v>
      </c>
      <c r="F49" s="1992" t="str">
        <f t="shared" si="31"/>
        <v>#N/A</v>
      </c>
      <c r="G49" s="1992" t="str">
        <f t="shared" si="32"/>
        <v>#N/A</v>
      </c>
      <c r="H49" s="1992" t="str">
        <f t="shared" si="33"/>
        <v>#N/A</v>
      </c>
      <c r="I49" s="1992" t="str">
        <f t="shared" si="34"/>
        <v>#N/A</v>
      </c>
      <c r="J49" s="1992" t="str">
        <f t="shared" si="35"/>
        <v>#N/A</v>
      </c>
      <c r="K49" s="1992" t="str">
        <f t="shared" si="36"/>
        <v>#N/A</v>
      </c>
      <c r="L49" s="1992" t="str">
        <f t="shared" si="37"/>
        <v>#N/A</v>
      </c>
      <c r="M49" s="1992" t="str">
        <f t="shared" ref="M49:O49" si="81">(SUMIF(MA_TAIKHOAN,$E49,SDNDK)+SUMIFS(PS_SOTIEN,PS_TKNO,$E49,PS_NGAY,"&lt;="&amp;M$1))-(SUMIF(MA_TAIKHOAN,$E49,SDCDK)+SUMIFs(PS_SOTIEN,PS_TKCO,$E49,PS_NGAY,"&lt;="&amp;M$1))</f>
        <v>#N/A</v>
      </c>
      <c r="N49" s="1992" t="str">
        <f t="shared" si="81"/>
        <v>#N/A</v>
      </c>
      <c r="O49" s="1992" t="str">
        <f t="shared" si="81"/>
        <v>#N/A</v>
      </c>
      <c r="P49" s="1992" t="str">
        <f t="shared" ref="P49:P51" si="85">(SUMIF(MA_TAIKHOAN,$E49,SDNDK)+SUMIFS(PS_SOTIEN,PS_TKNO,$E49,PS_NGAY,"&lt;="&amp;I$1))-(SUMIF(MA_TAIKHOAN,$E49,SDCDK)+SUMIFs(PS_SOTIEN,PS_TKCO,$E49,PS_NGAY,"&lt;="&amp;I$1))</f>
        <v>#N/A</v>
      </c>
      <c r="Q49" s="1992" t="str">
        <f t="shared" ref="Q49:S49" si="82">(SUMIF(MA_TAIKHOAN,$E49,SDNDK)+SUMIFS(PS_SOTIEN,PS_TKNO,$E49,PS_NGAY,"&lt;="&amp;P$1))-(SUMIF(MA_TAIKHOAN,$E49,SDCDK)+SUMIFs(PS_SOTIEN,PS_TKCO,$E49,PS_NGAY,"&lt;="&amp;P$1))</f>
        <v>#N/A</v>
      </c>
      <c r="R49" s="1992" t="str">
        <f t="shared" si="82"/>
        <v>#N/A</v>
      </c>
      <c r="S49" s="1992" t="str">
        <f t="shared" si="82"/>
        <v>#N/A</v>
      </c>
      <c r="T49" s="1992" t="str">
        <f t="shared" ref="T49:T51" si="87">(SUMIF(MA_TAIKHOAN,$E49,SDNDK)+SUMIFS(PS_SOTIEN,PS_TKNO,$E49,PS_NGAY,"&lt;="&amp;J$1))-(SUMIF(MA_TAIKHOAN,$E49,SDCDK)+SUMIFs(PS_SOTIEN,PS_TKCO,$E49,PS_NGAY,"&lt;="&amp;J$1))</f>
        <v>#N/A</v>
      </c>
      <c r="U49" s="1992" t="str">
        <f t="shared" ref="U49:U51" si="88">(SUMIF(MA_TAIKHOAN,$E49,SDNDK)+SUMIFS(PS_SOTIEN,PS_TKNO,$E49,PS_NGAY,"&lt;="&amp;G$1))-(SUMIF(MA_TAIKHOAN,$E49,SDCDK)+SUMIFs(PS_SOTIEN,PS_TKCO,$E49,PS_NGAY,"&lt;="&amp;G$1))</f>
        <v>#N/A</v>
      </c>
      <c r="V49" s="1992" t="str">
        <f t="shared" ref="V49:X49" si="83">(SUMIF(MA_TAIKHOAN,$E49,SDNDK)+SUMIFS(PS_SOTIEN,PS_TKNO,$E49,PS_NGAY,"&lt;="&amp;S$1))-(SUMIF(MA_TAIKHOAN,$E49,SDCDK)+SUMIFs(PS_SOTIEN,PS_TKCO,$E49,PS_NGAY,"&lt;="&amp;S$1))</f>
        <v>#N/A</v>
      </c>
      <c r="W49" s="1992" t="str">
        <f t="shared" si="83"/>
        <v>#N/A</v>
      </c>
      <c r="X49" s="1992" t="str">
        <f t="shared" si="83"/>
        <v>#N/A</v>
      </c>
      <c r="Y49" s="1989">
        <f t="shared" si="39"/>
        <v>16</v>
      </c>
    </row>
    <row r="50">
      <c r="A50" s="1533">
        <v>75.0</v>
      </c>
      <c r="B50" s="1534" t="s">
        <v>3249</v>
      </c>
      <c r="C50" s="1524" t="s">
        <v>2214</v>
      </c>
      <c r="D50" s="1535" t="s">
        <v>2214</v>
      </c>
      <c r="E50" s="1524" t="s">
        <v>3250</v>
      </c>
      <c r="F50" s="1992" t="str">
        <f t="shared" si="31"/>
        <v>#N/A</v>
      </c>
      <c r="G50" s="1992" t="str">
        <f t="shared" si="32"/>
        <v>#N/A</v>
      </c>
      <c r="H50" s="1992" t="str">
        <f t="shared" si="33"/>
        <v>#N/A</v>
      </c>
      <c r="I50" s="1992" t="str">
        <f t="shared" si="34"/>
        <v>#N/A</v>
      </c>
      <c r="J50" s="1992" t="str">
        <f t="shared" si="35"/>
        <v>#N/A</v>
      </c>
      <c r="K50" s="1992" t="str">
        <f t="shared" si="36"/>
        <v>#N/A</v>
      </c>
      <c r="L50" s="1992" t="str">
        <f t="shared" si="37"/>
        <v>#N/A</v>
      </c>
      <c r="M50" s="1992" t="str">
        <f t="shared" ref="M50:O50" si="84">(SUMIF(MA_TAIKHOAN,$E50,SDNDK)+SUMIFS(PS_SOTIEN,PS_TKNO,$E50,PS_NGAY,"&lt;="&amp;M$1))-(SUMIF(MA_TAIKHOAN,$E50,SDCDK)+SUMIFs(PS_SOTIEN,PS_TKCO,$E50,PS_NGAY,"&lt;="&amp;M$1))</f>
        <v>#N/A</v>
      </c>
      <c r="N50" s="1992" t="str">
        <f t="shared" si="84"/>
        <v>#N/A</v>
      </c>
      <c r="O50" s="1992" t="str">
        <f t="shared" si="84"/>
        <v>#N/A</v>
      </c>
      <c r="P50" s="1992" t="str">
        <f t="shared" si="85"/>
        <v>#N/A</v>
      </c>
      <c r="Q50" s="1992" t="str">
        <f t="shared" ref="Q50:S50" si="86">(SUMIF(MA_TAIKHOAN,$E50,SDNDK)+SUMIFS(PS_SOTIEN,PS_TKNO,$E50,PS_NGAY,"&lt;="&amp;P$1))-(SUMIF(MA_TAIKHOAN,$E50,SDCDK)+SUMIFs(PS_SOTIEN,PS_TKCO,$E50,PS_NGAY,"&lt;="&amp;P$1))</f>
        <v>#N/A</v>
      </c>
      <c r="R50" s="1992" t="str">
        <f t="shared" si="86"/>
        <v>#N/A</v>
      </c>
      <c r="S50" s="1992" t="str">
        <f t="shared" si="86"/>
        <v>#N/A</v>
      </c>
      <c r="T50" s="1992" t="str">
        <f t="shared" si="87"/>
        <v>#N/A</v>
      </c>
      <c r="U50" s="1992" t="str">
        <f t="shared" si="88"/>
        <v>#N/A</v>
      </c>
      <c r="V50" s="1992" t="str">
        <f t="shared" ref="V50:X50" si="89">(SUMIF(MA_TAIKHOAN,$E50,SDNDK)+SUMIFS(PS_SOTIEN,PS_TKNO,$E50,PS_NGAY,"&lt;="&amp;S$1))-(SUMIF(MA_TAIKHOAN,$E50,SDCDK)+SUMIFs(PS_SOTIEN,PS_TKCO,$E50,PS_NGAY,"&lt;="&amp;S$1))</f>
        <v>#N/A</v>
      </c>
      <c r="W50" s="1992" t="str">
        <f t="shared" si="89"/>
        <v>#N/A</v>
      </c>
      <c r="X50" s="1992" t="str">
        <f t="shared" si="89"/>
        <v>#N/A</v>
      </c>
      <c r="Y50" s="1989">
        <f t="shared" si="39"/>
        <v>17</v>
      </c>
    </row>
    <row r="51">
      <c r="A51" s="1533">
        <v>80.0</v>
      </c>
      <c r="B51" s="1534" t="s">
        <v>3251</v>
      </c>
      <c r="C51" s="1524" t="s">
        <v>2214</v>
      </c>
      <c r="D51" s="1535" t="s">
        <v>2214</v>
      </c>
      <c r="E51" s="1524" t="s">
        <v>3252</v>
      </c>
      <c r="F51" s="1992" t="str">
        <f t="shared" si="31"/>
        <v>#N/A</v>
      </c>
      <c r="G51" s="1992" t="str">
        <f t="shared" si="32"/>
        <v>#N/A</v>
      </c>
      <c r="H51" s="1992" t="str">
        <f t="shared" si="33"/>
        <v>#N/A</v>
      </c>
      <c r="I51" s="1992" t="str">
        <f t="shared" si="34"/>
        <v>#N/A</v>
      </c>
      <c r="J51" s="1992" t="str">
        <f t="shared" si="35"/>
        <v>#N/A</v>
      </c>
      <c r="K51" s="1992" t="str">
        <f t="shared" si="36"/>
        <v>#N/A</v>
      </c>
      <c r="L51" s="1992" t="str">
        <f t="shared" si="37"/>
        <v>#N/A</v>
      </c>
      <c r="M51" s="1992" t="str">
        <f t="shared" ref="M51:O51" si="90">(SUMIF(MA_TAIKHOAN,$E51,SDNDK)+SUMIFS(PS_SOTIEN,PS_TKNO,$E51,PS_NGAY,"&lt;="&amp;M$1))-(SUMIF(MA_TAIKHOAN,$E51,SDCDK)+SUMIFs(PS_SOTIEN,PS_TKCO,$E51,PS_NGAY,"&lt;="&amp;M$1))</f>
        <v>#N/A</v>
      </c>
      <c r="N51" s="1992" t="str">
        <f t="shared" si="90"/>
        <v>#N/A</v>
      </c>
      <c r="O51" s="1992" t="str">
        <f t="shared" si="90"/>
        <v>#N/A</v>
      </c>
      <c r="P51" s="1992" t="str">
        <f t="shared" si="85"/>
        <v>#N/A</v>
      </c>
      <c r="Q51" s="1992" t="str">
        <f t="shared" ref="Q51:S51" si="91">(SUMIF(MA_TAIKHOAN,$E51,SDNDK)+SUMIFS(PS_SOTIEN,PS_TKNO,$E51,PS_NGAY,"&lt;="&amp;P$1))-(SUMIF(MA_TAIKHOAN,$E51,SDCDK)+SUMIFs(PS_SOTIEN,PS_TKCO,$E51,PS_NGAY,"&lt;="&amp;P$1))</f>
        <v>#N/A</v>
      </c>
      <c r="R51" s="1992" t="str">
        <f t="shared" si="91"/>
        <v>#N/A</v>
      </c>
      <c r="S51" s="1992" t="str">
        <f t="shared" si="91"/>
        <v>#N/A</v>
      </c>
      <c r="T51" s="1992" t="str">
        <f t="shared" si="87"/>
        <v>#N/A</v>
      </c>
      <c r="U51" s="1992" t="str">
        <f t="shared" si="88"/>
        <v>#N/A</v>
      </c>
      <c r="V51" s="1992" t="str">
        <f t="shared" ref="V51:X51" si="92">(SUMIF(MA_TAIKHOAN,$E51,SDNDK)+SUMIFS(PS_SOTIEN,PS_TKNO,$E51,PS_NGAY,"&lt;="&amp;S$1))-(SUMIF(MA_TAIKHOAN,$E51,SDCDK)+SUMIFs(PS_SOTIEN,PS_TKCO,$E51,PS_NGAY,"&lt;="&amp;S$1))</f>
        <v>#N/A</v>
      </c>
      <c r="W51" s="1992" t="str">
        <f t="shared" si="92"/>
        <v>#N/A</v>
      </c>
      <c r="X51" s="1992" t="str">
        <f t="shared" si="92"/>
        <v>#N/A</v>
      </c>
      <c r="Y51" s="1989">
        <f t="shared" si="39"/>
        <v>18</v>
      </c>
    </row>
    <row r="52">
      <c r="A52" s="1520">
        <v>85.0</v>
      </c>
      <c r="B52" s="1521" t="s">
        <v>3253</v>
      </c>
      <c r="C52" s="1522" t="s">
        <v>3254</v>
      </c>
      <c r="D52" s="1523" t="s">
        <v>3255</v>
      </c>
      <c r="E52" s="1524"/>
      <c r="F52" s="1990" t="str">
        <f t="shared" si="31"/>
        <v>#N/A</v>
      </c>
      <c r="G52" s="1990" t="str">
        <f t="shared" si="32"/>
        <v>#N/A</v>
      </c>
      <c r="H52" s="1990" t="str">
        <f t="shared" si="33"/>
        <v>#N/A</v>
      </c>
      <c r="I52" s="1990" t="str">
        <f t="shared" si="34"/>
        <v>#N/A</v>
      </c>
      <c r="J52" s="1990" t="str">
        <f t="shared" si="35"/>
        <v>#N/A</v>
      </c>
      <c r="K52" s="1990" t="str">
        <f t="shared" si="36"/>
        <v>#N/A</v>
      </c>
      <c r="L52" s="1990" t="str">
        <f t="shared" si="37"/>
        <v>#N/A</v>
      </c>
      <c r="M52" s="1990" t="str">
        <f t="shared" ref="M52:X52" si="93">SUM(M53:M55)+SUM(M59:M61)+M68+M69</f>
        <v>#N/A</v>
      </c>
      <c r="N52" s="1990" t="str">
        <f t="shared" si="93"/>
        <v>#N/A</v>
      </c>
      <c r="O52" s="1990" t="str">
        <f t="shared" si="93"/>
        <v>#N/A</v>
      </c>
      <c r="P52" s="1990" t="str">
        <f t="shared" si="93"/>
        <v>#N/A</v>
      </c>
      <c r="Q52" s="1990" t="str">
        <f t="shared" si="93"/>
        <v>#N/A</v>
      </c>
      <c r="R52" s="1990" t="str">
        <f t="shared" si="93"/>
        <v>#N/A</v>
      </c>
      <c r="S52" s="1990" t="str">
        <f t="shared" si="93"/>
        <v>#N/A</v>
      </c>
      <c r="T52" s="1990" t="str">
        <f t="shared" si="93"/>
        <v>#N/A</v>
      </c>
      <c r="U52" s="1990" t="str">
        <f t="shared" si="93"/>
        <v>#N/A</v>
      </c>
      <c r="V52" s="1990" t="str">
        <f t="shared" si="93"/>
        <v>#N/A</v>
      </c>
      <c r="W52" s="1990" t="str">
        <f t="shared" si="93"/>
        <v>#N/A</v>
      </c>
      <c r="X52" s="1990" t="str">
        <f t="shared" si="93"/>
        <v>#N/A</v>
      </c>
      <c r="Y52" s="1989">
        <f t="shared" si="39"/>
        <v>19</v>
      </c>
    </row>
    <row r="53">
      <c r="A53" s="1533">
        <v>90.0</v>
      </c>
      <c r="B53" s="1534" t="s">
        <v>3256</v>
      </c>
      <c r="C53" s="1524" t="s">
        <v>3010</v>
      </c>
      <c r="D53" s="1535" t="s">
        <v>2214</v>
      </c>
      <c r="E53" s="1543" t="s">
        <v>3010</v>
      </c>
      <c r="F53" s="1993" t="str">
        <f t="shared" si="31"/>
        <v>#N/A</v>
      </c>
      <c r="G53" s="1993" t="str">
        <f t="shared" si="32"/>
        <v>#N/A</v>
      </c>
      <c r="H53" s="1993" t="str">
        <f t="shared" si="33"/>
        <v>#N/A</v>
      </c>
      <c r="I53" s="1993" t="str">
        <f t="shared" si="34"/>
        <v>#N/A</v>
      </c>
      <c r="J53" s="1993" t="str">
        <f t="shared" si="35"/>
        <v>#N/A</v>
      </c>
      <c r="K53" s="1993" t="str">
        <f t="shared" si="36"/>
        <v>#N/A</v>
      </c>
      <c r="L53" s="1993" t="str">
        <f t="shared" si="37"/>
        <v>#N/A</v>
      </c>
      <c r="M53" s="1993" t="str">
        <f t="shared" ref="M53:O53" si="94">(SUMIF(MA_TAIKHOAN,$E53,SDNDK)+SUMIFS(PS_SOTIEN,PS_TKNO,$E53,PS_NGAY,"&lt;="&amp;M$1))-(SUMIF(MA_TAIKHOAN,$E53,SDCDK)+SUMIFs(PS_SOTIEN,PS_TKCO,$E53,PS_NGAY,"&lt;="&amp;M$1))</f>
        <v>#N/A</v>
      </c>
      <c r="N53" s="1993" t="str">
        <f t="shared" si="94"/>
        <v>#N/A</v>
      </c>
      <c r="O53" s="1993" t="str">
        <f t="shared" si="94"/>
        <v>#N/A</v>
      </c>
      <c r="P53" s="1993" t="str">
        <f t="shared" ref="P53:P54" si="98">(SUMIF(MA_TAIKHOAN,$E53,SDNDK)+SUMIFS(PS_SOTIEN,PS_TKNO,$E53,PS_NGAY,"&lt;="&amp;I$1))-(SUMIF(MA_TAIKHOAN,$E53,SDCDK)+SUMIFs(PS_SOTIEN,PS_TKCO,$E53,PS_NGAY,"&lt;="&amp;I$1))</f>
        <v>#N/A</v>
      </c>
      <c r="Q53" s="1993" t="str">
        <f t="shared" ref="Q53:S53" si="95">(SUMIF(MA_TAIKHOAN,$E53,SDNDK)+SUMIFS(PS_SOTIEN,PS_TKNO,$E53,PS_NGAY,"&lt;="&amp;P$1))-(SUMIF(MA_TAIKHOAN,$E53,SDCDK)+SUMIFs(PS_SOTIEN,PS_TKCO,$E53,PS_NGAY,"&lt;="&amp;P$1))</f>
        <v>#N/A</v>
      </c>
      <c r="R53" s="1993" t="str">
        <f t="shared" si="95"/>
        <v>#N/A</v>
      </c>
      <c r="S53" s="1993" t="str">
        <f t="shared" si="95"/>
        <v>#N/A</v>
      </c>
      <c r="T53" s="1993" t="str">
        <f t="shared" ref="T53:T54" si="100">(SUMIF(MA_TAIKHOAN,$E53,SDNDK)+SUMIFS(PS_SOTIEN,PS_TKNO,$E53,PS_NGAY,"&lt;="&amp;J$1))-(SUMIF(MA_TAIKHOAN,$E53,SDCDK)+SUMIFs(PS_SOTIEN,PS_TKCO,$E53,PS_NGAY,"&lt;="&amp;J$1))</f>
        <v>#N/A</v>
      </c>
      <c r="U53" s="1993" t="str">
        <f t="shared" ref="U53:U54" si="101">(SUMIF(MA_TAIKHOAN,$E53,SDNDK)+SUMIFS(PS_SOTIEN,PS_TKNO,$E53,PS_NGAY,"&lt;="&amp;G$1))-(SUMIF(MA_TAIKHOAN,$E53,SDCDK)+SUMIFs(PS_SOTIEN,PS_TKCO,$E53,PS_NGAY,"&lt;="&amp;G$1))</f>
        <v>#N/A</v>
      </c>
      <c r="V53" s="1993" t="str">
        <f t="shared" ref="V53:X53" si="96">(SUMIF(MA_TAIKHOAN,$E53,SDNDK)+SUMIFS(PS_SOTIEN,PS_TKNO,$E53,PS_NGAY,"&lt;="&amp;S$1))-(SUMIF(MA_TAIKHOAN,$E53,SDCDK)+SUMIFs(PS_SOTIEN,PS_TKCO,$E53,PS_NGAY,"&lt;="&amp;S$1))</f>
        <v>#N/A</v>
      </c>
      <c r="W53" s="1993" t="str">
        <f t="shared" si="96"/>
        <v>#N/A</v>
      </c>
      <c r="X53" s="1993" t="str">
        <f t="shared" si="96"/>
        <v>#N/A</v>
      </c>
      <c r="Y53" s="1989">
        <f t="shared" si="39"/>
        <v>20</v>
      </c>
    </row>
    <row r="54">
      <c r="A54" s="1533">
        <v>95.0</v>
      </c>
      <c r="B54" s="1534" t="s">
        <v>3257</v>
      </c>
      <c r="C54" s="1524" t="s">
        <v>3258</v>
      </c>
      <c r="D54" s="1535" t="s">
        <v>2214</v>
      </c>
      <c r="E54" s="1524" t="s">
        <v>1810</v>
      </c>
      <c r="F54" s="1993" t="str">
        <f t="shared" si="31"/>
        <v>#N/A</v>
      </c>
      <c r="G54" s="1993" t="str">
        <f t="shared" si="32"/>
        <v>#N/A</v>
      </c>
      <c r="H54" s="1993" t="str">
        <f t="shared" si="33"/>
        <v>#N/A</v>
      </c>
      <c r="I54" s="1993" t="str">
        <f t="shared" si="34"/>
        <v>#N/A</v>
      </c>
      <c r="J54" s="1993" t="str">
        <f t="shared" si="35"/>
        <v>#N/A</v>
      </c>
      <c r="K54" s="1993" t="str">
        <f t="shared" si="36"/>
        <v>#N/A</v>
      </c>
      <c r="L54" s="1993" t="str">
        <f t="shared" si="37"/>
        <v>#N/A</v>
      </c>
      <c r="M54" s="1993" t="str">
        <f t="shared" ref="M54:O54" si="97">(SUMIF(MA_TAIKHOAN,$E54,SDNDK)+SUMIFS(PS_SOTIEN,PS_TKNO,$E54,PS_NGAY,"&lt;="&amp;M$1))-(SUMIF(MA_TAIKHOAN,$E54,SDCDK)+SUMIFs(PS_SOTIEN,PS_TKCO,$E54,PS_NGAY,"&lt;="&amp;M$1))</f>
        <v>#N/A</v>
      </c>
      <c r="N54" s="1993" t="str">
        <f t="shared" si="97"/>
        <v>#N/A</v>
      </c>
      <c r="O54" s="1993" t="str">
        <f t="shared" si="97"/>
        <v>#N/A</v>
      </c>
      <c r="P54" s="1993" t="str">
        <f t="shared" si="98"/>
        <v>#N/A</v>
      </c>
      <c r="Q54" s="1993" t="str">
        <f t="shared" ref="Q54:S54" si="99">(SUMIF(MA_TAIKHOAN,$E54,SDNDK)+SUMIFS(PS_SOTIEN,PS_TKNO,$E54,PS_NGAY,"&lt;="&amp;P$1))-(SUMIF(MA_TAIKHOAN,$E54,SDCDK)+SUMIFs(PS_SOTIEN,PS_TKCO,$E54,PS_NGAY,"&lt;="&amp;P$1))</f>
        <v>#N/A</v>
      </c>
      <c r="R54" s="1993" t="str">
        <f t="shared" si="99"/>
        <v>#N/A</v>
      </c>
      <c r="S54" s="1993" t="str">
        <f t="shared" si="99"/>
        <v>#N/A</v>
      </c>
      <c r="T54" s="1993" t="str">
        <f t="shared" si="100"/>
        <v>#N/A</v>
      </c>
      <c r="U54" s="1993" t="str">
        <f t="shared" si="101"/>
        <v>#N/A</v>
      </c>
      <c r="V54" s="1993" t="str">
        <f t="shared" ref="V54:X54" si="102">(SUMIF(MA_TAIKHOAN,$E54,SDNDK)+SUMIFS(PS_SOTIEN,PS_TKNO,$E54,PS_NGAY,"&lt;="&amp;S$1))-(SUMIF(MA_TAIKHOAN,$E54,SDCDK)+SUMIFs(PS_SOTIEN,PS_TKCO,$E54,PS_NGAY,"&lt;="&amp;S$1))</f>
        <v>#N/A</v>
      </c>
      <c r="W54" s="1993" t="str">
        <f t="shared" si="102"/>
        <v>#N/A</v>
      </c>
      <c r="X54" s="1993" t="str">
        <f t="shared" si="102"/>
        <v>#N/A</v>
      </c>
      <c r="Y54" s="1989">
        <f t="shared" si="39"/>
        <v>21</v>
      </c>
    </row>
    <row r="55">
      <c r="A55" s="1533">
        <v>100.0</v>
      </c>
      <c r="B55" s="1534" t="s">
        <v>3259</v>
      </c>
      <c r="C55" s="1524" t="s">
        <v>1890</v>
      </c>
      <c r="D55" s="1535" t="s">
        <v>3260</v>
      </c>
      <c r="E55" s="1524" t="s">
        <v>2214</v>
      </c>
      <c r="F55" s="1990" t="str">
        <f t="shared" si="31"/>
        <v>#N/A</v>
      </c>
      <c r="G55" s="1990" t="str">
        <f t="shared" si="32"/>
        <v>#N/A</v>
      </c>
      <c r="H55" s="1990" t="str">
        <f t="shared" si="33"/>
        <v>#N/A</v>
      </c>
      <c r="I55" s="1990" t="str">
        <f t="shared" si="34"/>
        <v>#N/A</v>
      </c>
      <c r="J55" s="1990" t="str">
        <f t="shared" si="35"/>
        <v>#N/A</v>
      </c>
      <c r="K55" s="1990" t="str">
        <f t="shared" si="36"/>
        <v>#N/A</v>
      </c>
      <c r="L55" s="1990" t="str">
        <f t="shared" si="37"/>
        <v>#N/A</v>
      </c>
      <c r="M55" s="1990" t="str">
        <f t="shared" ref="M55:X55" si="103">SUM(M56:M58)</f>
        <v>#N/A</v>
      </c>
      <c r="N55" s="1990" t="str">
        <f t="shared" si="103"/>
        <v>#N/A</v>
      </c>
      <c r="O55" s="1990" t="str">
        <f t="shared" si="103"/>
        <v>#N/A</v>
      </c>
      <c r="P55" s="1990" t="str">
        <f t="shared" si="103"/>
        <v>#N/A</v>
      </c>
      <c r="Q55" s="1990" t="str">
        <f t="shared" si="103"/>
        <v>#N/A</v>
      </c>
      <c r="R55" s="1990" t="str">
        <f t="shared" si="103"/>
        <v>#N/A</v>
      </c>
      <c r="S55" s="1990" t="str">
        <f t="shared" si="103"/>
        <v>#N/A</v>
      </c>
      <c r="T55" s="1990" t="str">
        <f t="shared" si="103"/>
        <v>#N/A</v>
      </c>
      <c r="U55" s="1990" t="str">
        <f t="shared" si="103"/>
        <v>#N/A</v>
      </c>
      <c r="V55" s="1990" t="str">
        <f t="shared" si="103"/>
        <v>#N/A</v>
      </c>
      <c r="W55" s="1990" t="str">
        <f t="shared" si="103"/>
        <v>#N/A</v>
      </c>
      <c r="X55" s="1990" t="str">
        <f t="shared" si="103"/>
        <v>#N/A</v>
      </c>
      <c r="Y55" s="1989">
        <f t="shared" si="39"/>
        <v>22</v>
      </c>
    </row>
    <row r="56">
      <c r="A56" s="1533">
        <v>105.0</v>
      </c>
      <c r="B56" s="1534" t="s">
        <v>3261</v>
      </c>
      <c r="C56" s="1524" t="s">
        <v>2214</v>
      </c>
      <c r="D56" s="1535" t="s">
        <v>2214</v>
      </c>
      <c r="E56" s="1524" t="s">
        <v>3020</v>
      </c>
      <c r="F56" s="1992" t="str">
        <f t="shared" si="31"/>
        <v>#N/A</v>
      </c>
      <c r="G56" s="1992" t="str">
        <f t="shared" si="32"/>
        <v>#N/A</v>
      </c>
      <c r="H56" s="1992" t="str">
        <f t="shared" si="33"/>
        <v>#N/A</v>
      </c>
      <c r="I56" s="1992" t="str">
        <f t="shared" si="34"/>
        <v>#N/A</v>
      </c>
      <c r="J56" s="1992" t="str">
        <f t="shared" si="35"/>
        <v>#N/A</v>
      </c>
      <c r="K56" s="1992" t="str">
        <f t="shared" si="36"/>
        <v>#N/A</v>
      </c>
      <c r="L56" s="1992" t="str">
        <f t="shared" si="37"/>
        <v>#N/A</v>
      </c>
      <c r="M56" s="1992" t="str">
        <f t="shared" ref="M56:O56" si="104">(SUMIF(MA_TAIKHOAN,$E56,SDNDK)+SUMIFS(PS_SOTIEN,PS_TKNO,$E56,PS_NGAY,"&lt;="&amp;M$1))-(SUMIF(MA_TAIKHOAN,$E56,SDCDK)+SUMIFs(PS_SOTIEN,PS_TKCO,$E56,PS_NGAY,"&lt;="&amp;M$1))</f>
        <v>#N/A</v>
      </c>
      <c r="N56" s="1992" t="str">
        <f t="shared" si="104"/>
        <v>#N/A</v>
      </c>
      <c r="O56" s="1992" t="str">
        <f t="shared" si="104"/>
        <v>#N/A</v>
      </c>
      <c r="P56" s="1992" t="str">
        <f t="shared" ref="P56:P60" si="108">(SUMIF(MA_TAIKHOAN,$E56,SDNDK)+SUMIFS(PS_SOTIEN,PS_TKNO,$E56,PS_NGAY,"&lt;="&amp;I$1))-(SUMIF(MA_TAIKHOAN,$E56,SDCDK)+SUMIFs(PS_SOTIEN,PS_TKCO,$E56,PS_NGAY,"&lt;="&amp;I$1))</f>
        <v>#N/A</v>
      </c>
      <c r="Q56" s="1992" t="str">
        <f t="shared" ref="Q56:S56" si="105">(SUMIF(MA_TAIKHOAN,$E56,SDNDK)+SUMIFS(PS_SOTIEN,PS_TKNO,$E56,PS_NGAY,"&lt;="&amp;P$1))-(SUMIF(MA_TAIKHOAN,$E56,SDCDK)+SUMIFs(PS_SOTIEN,PS_TKCO,$E56,PS_NGAY,"&lt;="&amp;P$1))</f>
        <v>#N/A</v>
      </c>
      <c r="R56" s="1992" t="str">
        <f t="shared" si="105"/>
        <v>#N/A</v>
      </c>
      <c r="S56" s="1992" t="str">
        <f t="shared" si="105"/>
        <v>#N/A</v>
      </c>
      <c r="T56" s="1992" t="str">
        <f t="shared" ref="T56:T60" si="110">(SUMIF(MA_TAIKHOAN,$E56,SDNDK)+SUMIFS(PS_SOTIEN,PS_TKNO,$E56,PS_NGAY,"&lt;="&amp;J$1))-(SUMIF(MA_TAIKHOAN,$E56,SDCDK)+SUMIFs(PS_SOTIEN,PS_TKCO,$E56,PS_NGAY,"&lt;="&amp;J$1))</f>
        <v>#N/A</v>
      </c>
      <c r="U56" s="1992" t="str">
        <f t="shared" ref="U56:U60" si="111">(SUMIF(MA_TAIKHOAN,$E56,SDNDK)+SUMIFS(PS_SOTIEN,PS_TKNO,$E56,PS_NGAY,"&lt;="&amp;G$1))-(SUMIF(MA_TAIKHOAN,$E56,SDCDK)+SUMIFs(PS_SOTIEN,PS_TKCO,$E56,PS_NGAY,"&lt;="&amp;G$1))</f>
        <v>#N/A</v>
      </c>
      <c r="V56" s="1992" t="str">
        <f t="shared" ref="V56:X56" si="106">(SUMIF(MA_TAIKHOAN,$E56,SDNDK)+SUMIFS(PS_SOTIEN,PS_TKNO,$E56,PS_NGAY,"&lt;="&amp;S$1))-(SUMIF(MA_TAIKHOAN,$E56,SDCDK)+SUMIFs(PS_SOTIEN,PS_TKCO,$E56,PS_NGAY,"&lt;="&amp;S$1))</f>
        <v>#N/A</v>
      </c>
      <c r="W56" s="1992" t="str">
        <f t="shared" si="106"/>
        <v>#N/A</v>
      </c>
      <c r="X56" s="1992" t="str">
        <f t="shared" si="106"/>
        <v>#N/A</v>
      </c>
      <c r="Y56" s="1989">
        <f t="shared" si="39"/>
        <v>23</v>
      </c>
    </row>
    <row r="57">
      <c r="A57" s="1533">
        <v>110.0</v>
      </c>
      <c r="B57" s="1534" t="s">
        <v>3262</v>
      </c>
      <c r="C57" s="1524" t="s">
        <v>2214</v>
      </c>
      <c r="D57" s="1535" t="s">
        <v>2214</v>
      </c>
      <c r="E57" s="1524" t="s">
        <v>3022</v>
      </c>
      <c r="F57" s="1992" t="str">
        <f t="shared" si="31"/>
        <v>#N/A</v>
      </c>
      <c r="G57" s="1992" t="str">
        <f t="shared" si="32"/>
        <v>#N/A</v>
      </c>
      <c r="H57" s="1992" t="str">
        <f t="shared" si="33"/>
        <v>#N/A</v>
      </c>
      <c r="I57" s="1992" t="str">
        <f t="shared" si="34"/>
        <v>#N/A</v>
      </c>
      <c r="J57" s="1992" t="str">
        <f t="shared" si="35"/>
        <v>#N/A</v>
      </c>
      <c r="K57" s="1992" t="str">
        <f t="shared" si="36"/>
        <v>#N/A</v>
      </c>
      <c r="L57" s="1992" t="str">
        <f t="shared" si="37"/>
        <v>#N/A</v>
      </c>
      <c r="M57" s="1992" t="str">
        <f t="shared" ref="M57:O57" si="107">(SUMIF(MA_TAIKHOAN,$E57,SDNDK)+SUMIFS(PS_SOTIEN,PS_TKNO,$E57,PS_NGAY,"&lt;="&amp;M$1))-(SUMIF(MA_TAIKHOAN,$E57,SDCDK)+SUMIFs(PS_SOTIEN,PS_TKCO,$E57,PS_NGAY,"&lt;="&amp;M$1))</f>
        <v>#N/A</v>
      </c>
      <c r="N57" s="1992" t="str">
        <f t="shared" si="107"/>
        <v>#N/A</v>
      </c>
      <c r="O57" s="1992" t="str">
        <f t="shared" si="107"/>
        <v>#N/A</v>
      </c>
      <c r="P57" s="1992" t="str">
        <f t="shared" si="108"/>
        <v>#N/A</v>
      </c>
      <c r="Q57" s="1992" t="str">
        <f t="shared" ref="Q57:S57" si="109">(SUMIF(MA_TAIKHOAN,$E57,SDNDK)+SUMIFS(PS_SOTIEN,PS_TKNO,$E57,PS_NGAY,"&lt;="&amp;P$1))-(SUMIF(MA_TAIKHOAN,$E57,SDCDK)+SUMIFs(PS_SOTIEN,PS_TKCO,$E57,PS_NGAY,"&lt;="&amp;P$1))</f>
        <v>#N/A</v>
      </c>
      <c r="R57" s="1992" t="str">
        <f t="shared" si="109"/>
        <v>#N/A</v>
      </c>
      <c r="S57" s="1992" t="str">
        <f t="shared" si="109"/>
        <v>#N/A</v>
      </c>
      <c r="T57" s="1992" t="str">
        <f t="shared" si="110"/>
        <v>#N/A</v>
      </c>
      <c r="U57" s="1992" t="str">
        <f t="shared" si="111"/>
        <v>#N/A</v>
      </c>
      <c r="V57" s="1992" t="str">
        <f t="shared" ref="V57:X57" si="112">(SUMIF(MA_TAIKHOAN,$E57,SDNDK)+SUMIFS(PS_SOTIEN,PS_TKNO,$E57,PS_NGAY,"&lt;="&amp;S$1))-(SUMIF(MA_TAIKHOAN,$E57,SDCDK)+SUMIFs(PS_SOTIEN,PS_TKCO,$E57,PS_NGAY,"&lt;="&amp;S$1))</f>
        <v>#N/A</v>
      </c>
      <c r="W57" s="1992" t="str">
        <f t="shared" si="112"/>
        <v>#N/A</v>
      </c>
      <c r="X57" s="1992" t="str">
        <f t="shared" si="112"/>
        <v>#N/A</v>
      </c>
      <c r="Y57" s="1989">
        <f t="shared" si="39"/>
        <v>24</v>
      </c>
    </row>
    <row r="58">
      <c r="A58" s="1533">
        <v>115.0</v>
      </c>
      <c r="B58" s="1534" t="s">
        <v>3263</v>
      </c>
      <c r="C58" s="1524" t="s">
        <v>2214</v>
      </c>
      <c r="D58" s="1535" t="s">
        <v>2214</v>
      </c>
      <c r="E58" s="1524" t="s">
        <v>1353</v>
      </c>
      <c r="F58" s="1992" t="str">
        <f t="shared" si="31"/>
        <v>#N/A</v>
      </c>
      <c r="G58" s="1992" t="str">
        <f t="shared" si="32"/>
        <v>#N/A</v>
      </c>
      <c r="H58" s="1992" t="str">
        <f t="shared" si="33"/>
        <v>#N/A</v>
      </c>
      <c r="I58" s="1992" t="str">
        <f t="shared" si="34"/>
        <v>#N/A</v>
      </c>
      <c r="J58" s="1992" t="str">
        <f t="shared" si="35"/>
        <v>#N/A</v>
      </c>
      <c r="K58" s="1992" t="str">
        <f t="shared" si="36"/>
        <v>#N/A</v>
      </c>
      <c r="L58" s="1992" t="str">
        <f t="shared" si="37"/>
        <v>#N/A</v>
      </c>
      <c r="M58" s="1992" t="str">
        <f t="shared" ref="M58:O58" si="113">(SUMIF(MA_TAIKHOAN,$E58,SDNDK)+SUMIFS(PS_SOTIEN,PS_TKNO,$E58,PS_NGAY,"&lt;="&amp;M$1))-(SUMIF(MA_TAIKHOAN,$E58,SDCDK)+SUMIFs(PS_SOTIEN,PS_TKCO,$E58,PS_NGAY,"&lt;="&amp;M$1))</f>
        <v>#N/A</v>
      </c>
      <c r="N58" s="1992" t="str">
        <f t="shared" si="113"/>
        <v>#N/A</v>
      </c>
      <c r="O58" s="1992" t="str">
        <f t="shared" si="113"/>
        <v>#N/A</v>
      </c>
      <c r="P58" s="1992" t="str">
        <f t="shared" si="108"/>
        <v>#N/A</v>
      </c>
      <c r="Q58" s="1992" t="str">
        <f t="shared" ref="Q58:S58" si="114">(SUMIF(MA_TAIKHOAN,$E58,SDNDK)+SUMIFS(PS_SOTIEN,PS_TKNO,$E58,PS_NGAY,"&lt;="&amp;P$1))-(SUMIF(MA_TAIKHOAN,$E58,SDCDK)+SUMIFs(PS_SOTIEN,PS_TKCO,$E58,PS_NGAY,"&lt;="&amp;P$1))</f>
        <v>#N/A</v>
      </c>
      <c r="R58" s="1992" t="str">
        <f t="shared" si="114"/>
        <v>#N/A</v>
      </c>
      <c r="S58" s="1992" t="str">
        <f t="shared" si="114"/>
        <v>#N/A</v>
      </c>
      <c r="T58" s="1992" t="str">
        <f t="shared" si="110"/>
        <v>#N/A</v>
      </c>
      <c r="U58" s="1992" t="str">
        <f t="shared" si="111"/>
        <v>#N/A</v>
      </c>
      <c r="V58" s="1992" t="str">
        <f t="shared" ref="V58:X58" si="115">(SUMIF(MA_TAIKHOAN,$E58,SDNDK)+SUMIFS(PS_SOTIEN,PS_TKNO,$E58,PS_NGAY,"&lt;="&amp;S$1))-(SUMIF(MA_TAIKHOAN,$E58,SDCDK)+SUMIFs(PS_SOTIEN,PS_TKCO,$E58,PS_NGAY,"&lt;="&amp;S$1))</f>
        <v>#N/A</v>
      </c>
      <c r="W58" s="1992" t="str">
        <f t="shared" si="115"/>
        <v>#N/A</v>
      </c>
      <c r="X58" s="1992" t="str">
        <f t="shared" si="115"/>
        <v>#N/A</v>
      </c>
      <c r="Y58" s="1989">
        <f t="shared" si="39"/>
        <v>25</v>
      </c>
    </row>
    <row r="59">
      <c r="A59" s="1533">
        <v>120.0</v>
      </c>
      <c r="B59" s="1534" t="s">
        <v>3264</v>
      </c>
      <c r="C59" s="1524" t="s">
        <v>3265</v>
      </c>
      <c r="D59" s="1535" t="s">
        <v>2214</v>
      </c>
      <c r="E59" s="1524" t="s">
        <v>3122</v>
      </c>
      <c r="F59" s="1993" t="str">
        <f t="shared" si="31"/>
        <v>#N/A</v>
      </c>
      <c r="G59" s="1993" t="str">
        <f t="shared" si="32"/>
        <v>#N/A</v>
      </c>
      <c r="H59" s="1993" t="str">
        <f t="shared" si="33"/>
        <v>#N/A</v>
      </c>
      <c r="I59" s="1993" t="str">
        <f t="shared" si="34"/>
        <v>#N/A</v>
      </c>
      <c r="J59" s="1993" t="str">
        <f t="shared" si="35"/>
        <v>#N/A</v>
      </c>
      <c r="K59" s="1993" t="str">
        <f t="shared" si="36"/>
        <v>#N/A</v>
      </c>
      <c r="L59" s="1993" t="str">
        <f t="shared" si="37"/>
        <v>#N/A</v>
      </c>
      <c r="M59" s="1993" t="str">
        <f t="shared" ref="M59:O59" si="116">(SUMIF(MA_TAIKHOAN,$E59,SDNDK)+SUMIFS(PS_SOTIEN,PS_TKNO,$E59,PS_NGAY,"&lt;="&amp;M$1))-(SUMIF(MA_TAIKHOAN,$E59,SDCDK)+SUMIFs(PS_SOTIEN,PS_TKCO,$E59,PS_NGAY,"&lt;="&amp;M$1))</f>
        <v>#N/A</v>
      </c>
      <c r="N59" s="1993" t="str">
        <f t="shared" si="116"/>
        <v>#N/A</v>
      </c>
      <c r="O59" s="1993" t="str">
        <f t="shared" si="116"/>
        <v>#N/A</v>
      </c>
      <c r="P59" s="1993" t="str">
        <f t="shared" si="108"/>
        <v>#N/A</v>
      </c>
      <c r="Q59" s="1993" t="str">
        <f t="shared" ref="Q59:S59" si="117">(SUMIF(MA_TAIKHOAN,$E59,SDNDK)+SUMIFS(PS_SOTIEN,PS_TKNO,$E59,PS_NGAY,"&lt;="&amp;P$1))-(SUMIF(MA_TAIKHOAN,$E59,SDCDK)+SUMIFs(PS_SOTIEN,PS_TKCO,$E59,PS_NGAY,"&lt;="&amp;P$1))</f>
        <v>#N/A</v>
      </c>
      <c r="R59" s="1993" t="str">
        <f t="shared" si="117"/>
        <v>#N/A</v>
      </c>
      <c r="S59" s="1993" t="str">
        <f t="shared" si="117"/>
        <v>#N/A</v>
      </c>
      <c r="T59" s="1993" t="str">
        <f t="shared" si="110"/>
        <v>#N/A</v>
      </c>
      <c r="U59" s="1993" t="str">
        <f t="shared" si="111"/>
        <v>#N/A</v>
      </c>
      <c r="V59" s="1993" t="str">
        <f t="shared" ref="V59:X59" si="118">(SUMIF(MA_TAIKHOAN,$E59,SDNDK)+SUMIFS(PS_SOTIEN,PS_TKNO,$E59,PS_NGAY,"&lt;="&amp;S$1))-(SUMIF(MA_TAIKHOAN,$E59,SDCDK)+SUMIFs(PS_SOTIEN,PS_TKCO,$E59,PS_NGAY,"&lt;="&amp;S$1))</f>
        <v>#N/A</v>
      </c>
      <c r="W59" s="1993" t="str">
        <f t="shared" si="118"/>
        <v>#N/A</v>
      </c>
      <c r="X59" s="1993" t="str">
        <f t="shared" si="118"/>
        <v>#N/A</v>
      </c>
      <c r="Y59" s="1989">
        <f t="shared" si="39"/>
        <v>26</v>
      </c>
    </row>
    <row r="60">
      <c r="A60" s="1533">
        <v>125.0</v>
      </c>
      <c r="B60" s="1534" t="s">
        <v>3266</v>
      </c>
      <c r="C60" s="1524" t="s">
        <v>3267</v>
      </c>
      <c r="D60" s="1535" t="s">
        <v>2214</v>
      </c>
      <c r="E60" s="1524" t="s">
        <v>3268</v>
      </c>
      <c r="F60" s="1993" t="str">
        <f t="shared" si="31"/>
        <v>#N/A</v>
      </c>
      <c r="G60" s="1993" t="str">
        <f t="shared" si="32"/>
        <v>#N/A</v>
      </c>
      <c r="H60" s="1993" t="str">
        <f t="shared" si="33"/>
        <v>#N/A</v>
      </c>
      <c r="I60" s="1993" t="str">
        <f t="shared" si="34"/>
        <v>#N/A</v>
      </c>
      <c r="J60" s="1993" t="str">
        <f t="shared" si="35"/>
        <v>#N/A</v>
      </c>
      <c r="K60" s="1993" t="str">
        <f t="shared" si="36"/>
        <v>#N/A</v>
      </c>
      <c r="L60" s="1993" t="str">
        <f t="shared" si="37"/>
        <v>#N/A</v>
      </c>
      <c r="M60" s="1993" t="str">
        <f t="shared" ref="M60:O60" si="119">(SUMIF(MA_TAIKHOAN,$E60,SDNDK)+SUMIFS(PS_SOTIEN,PS_TKNO,$E60,PS_NGAY,"&lt;="&amp;M$1))-(SUMIF(MA_TAIKHOAN,$E60,SDCDK)+SUMIFs(PS_SOTIEN,PS_TKCO,$E60,PS_NGAY,"&lt;="&amp;M$1))</f>
        <v>#N/A</v>
      </c>
      <c r="N60" s="1993" t="str">
        <f t="shared" si="119"/>
        <v>#N/A</v>
      </c>
      <c r="O60" s="1993" t="str">
        <f t="shared" si="119"/>
        <v>#N/A</v>
      </c>
      <c r="P60" s="1993" t="str">
        <f t="shared" si="108"/>
        <v>#N/A</v>
      </c>
      <c r="Q60" s="1993" t="str">
        <f t="shared" ref="Q60:S60" si="120">(SUMIF(MA_TAIKHOAN,$E60,SDNDK)+SUMIFS(PS_SOTIEN,PS_TKNO,$E60,PS_NGAY,"&lt;="&amp;P$1))-(SUMIF(MA_TAIKHOAN,$E60,SDCDK)+SUMIFs(PS_SOTIEN,PS_TKCO,$E60,PS_NGAY,"&lt;="&amp;P$1))</f>
        <v>#N/A</v>
      </c>
      <c r="R60" s="1993" t="str">
        <f t="shared" si="120"/>
        <v>#N/A</v>
      </c>
      <c r="S60" s="1993" t="str">
        <f t="shared" si="120"/>
        <v>#N/A</v>
      </c>
      <c r="T60" s="1993" t="str">
        <f t="shared" si="110"/>
        <v>#N/A</v>
      </c>
      <c r="U60" s="1993" t="str">
        <f t="shared" si="111"/>
        <v>#N/A</v>
      </c>
      <c r="V60" s="1993" t="str">
        <f t="shared" ref="V60:X60" si="121">(SUMIF(MA_TAIKHOAN,$E60,SDNDK)+SUMIFS(PS_SOTIEN,PS_TKNO,$E60,PS_NGAY,"&lt;="&amp;S$1))-(SUMIF(MA_TAIKHOAN,$E60,SDCDK)+SUMIFs(PS_SOTIEN,PS_TKCO,$E60,PS_NGAY,"&lt;="&amp;S$1))</f>
        <v>#N/A</v>
      </c>
      <c r="W60" s="1993" t="str">
        <f t="shared" si="121"/>
        <v>#N/A</v>
      </c>
      <c r="X60" s="1993" t="str">
        <f t="shared" si="121"/>
        <v>#N/A</v>
      </c>
      <c r="Y60" s="1989">
        <f t="shared" si="39"/>
        <v>27</v>
      </c>
    </row>
    <row r="61">
      <c r="A61" s="1533">
        <v>130.0</v>
      </c>
      <c r="B61" s="1534" t="s">
        <v>3269</v>
      </c>
      <c r="C61" s="1524" t="s">
        <v>3017</v>
      </c>
      <c r="D61" s="1535" t="s">
        <v>3270</v>
      </c>
      <c r="E61" s="1524" t="s">
        <v>2214</v>
      </c>
      <c r="F61" s="1990" t="str">
        <f t="shared" si="31"/>
        <v>#N/A</v>
      </c>
      <c r="G61" s="1990" t="str">
        <f t="shared" si="32"/>
        <v>#N/A</v>
      </c>
      <c r="H61" s="1990" t="str">
        <f t="shared" si="33"/>
        <v>#N/A</v>
      </c>
      <c r="I61" s="1990" t="str">
        <f t="shared" si="34"/>
        <v>#N/A</v>
      </c>
      <c r="J61" s="1990" t="str">
        <f t="shared" si="35"/>
        <v>#N/A</v>
      </c>
      <c r="K61" s="1990" t="str">
        <f t="shared" si="36"/>
        <v>#N/A</v>
      </c>
      <c r="L61" s="1990" t="str">
        <f t="shared" si="37"/>
        <v>#N/A</v>
      </c>
      <c r="M61" s="1990" t="str">
        <f t="shared" ref="M61:X61" si="122">SUM(M62:M67)</f>
        <v>#N/A</v>
      </c>
      <c r="N61" s="1990" t="str">
        <f t="shared" si="122"/>
        <v>#N/A</v>
      </c>
      <c r="O61" s="1990" t="str">
        <f t="shared" si="122"/>
        <v>#N/A</v>
      </c>
      <c r="P61" s="1990" t="str">
        <f t="shared" si="122"/>
        <v>#N/A</v>
      </c>
      <c r="Q61" s="1990" t="str">
        <f t="shared" si="122"/>
        <v>#N/A</v>
      </c>
      <c r="R61" s="1990" t="str">
        <f t="shared" si="122"/>
        <v>#N/A</v>
      </c>
      <c r="S61" s="1990" t="str">
        <f t="shared" si="122"/>
        <v>#N/A</v>
      </c>
      <c r="T61" s="1990" t="str">
        <f t="shared" si="122"/>
        <v>#N/A</v>
      </c>
      <c r="U61" s="1990" t="str">
        <f t="shared" si="122"/>
        <v>#N/A</v>
      </c>
      <c r="V61" s="1990" t="str">
        <f t="shared" si="122"/>
        <v>#N/A</v>
      </c>
      <c r="W61" s="1990" t="str">
        <f t="shared" si="122"/>
        <v>#N/A</v>
      </c>
      <c r="X61" s="1990" t="str">
        <f t="shared" si="122"/>
        <v>#N/A</v>
      </c>
      <c r="Y61" s="1989">
        <f t="shared" si="39"/>
        <v>28</v>
      </c>
    </row>
    <row r="62">
      <c r="A62" s="1533">
        <v>135.0</v>
      </c>
      <c r="B62" s="1534" t="s">
        <v>3271</v>
      </c>
      <c r="C62" s="1524" t="s">
        <v>2214</v>
      </c>
      <c r="D62" s="1535" t="s">
        <v>2214</v>
      </c>
      <c r="E62" s="1524" t="s">
        <v>3024</v>
      </c>
      <c r="F62" s="1992" t="str">
        <f t="shared" si="31"/>
        <v>#N/A</v>
      </c>
      <c r="G62" s="1992" t="str">
        <f t="shared" si="32"/>
        <v>#N/A</v>
      </c>
      <c r="H62" s="1992" t="str">
        <f t="shared" si="33"/>
        <v>#N/A</v>
      </c>
      <c r="I62" s="1992" t="str">
        <f t="shared" si="34"/>
        <v>#N/A</v>
      </c>
      <c r="J62" s="1992" t="str">
        <f t="shared" si="35"/>
        <v>#N/A</v>
      </c>
      <c r="K62" s="1992" t="str">
        <f t="shared" si="36"/>
        <v>#N/A</v>
      </c>
      <c r="L62" s="1992" t="str">
        <f t="shared" si="37"/>
        <v>#N/A</v>
      </c>
      <c r="M62" s="1992" t="str">
        <f t="shared" ref="M62:O62" si="123">(SUMIF(MA_TAIKHOAN,$E62,SDNDK)+SUMIFS(PS_SOTIEN,PS_TKNO,$E62,PS_NGAY,"&lt;="&amp;M$1))-(SUMIF(MA_TAIKHOAN,$E62,SDCDK)+SUMIFs(PS_SOTIEN,PS_TKCO,$E62,PS_NGAY,"&lt;="&amp;M$1))</f>
        <v>#N/A</v>
      </c>
      <c r="N62" s="1992" t="str">
        <f t="shared" si="123"/>
        <v>#N/A</v>
      </c>
      <c r="O62" s="1992" t="str">
        <f t="shared" si="123"/>
        <v>#N/A</v>
      </c>
      <c r="P62" s="1992" t="str">
        <f t="shared" ref="P62:P69" si="127">(SUMIF(MA_TAIKHOAN,$E62,SDNDK)+SUMIFS(PS_SOTIEN,PS_TKNO,$E62,PS_NGAY,"&lt;="&amp;I$1))-(SUMIF(MA_TAIKHOAN,$E62,SDCDK)+SUMIFs(PS_SOTIEN,PS_TKCO,$E62,PS_NGAY,"&lt;="&amp;I$1))</f>
        <v>#N/A</v>
      </c>
      <c r="Q62" s="1992" t="str">
        <f t="shared" ref="Q62:S62" si="124">(SUMIF(MA_TAIKHOAN,$E62,SDNDK)+SUMIFS(PS_SOTIEN,PS_TKNO,$E62,PS_NGAY,"&lt;="&amp;P$1))-(SUMIF(MA_TAIKHOAN,$E62,SDCDK)+SUMIFs(PS_SOTIEN,PS_TKCO,$E62,PS_NGAY,"&lt;="&amp;P$1))</f>
        <v>#N/A</v>
      </c>
      <c r="R62" s="1992" t="str">
        <f t="shared" si="124"/>
        <v>#N/A</v>
      </c>
      <c r="S62" s="1992" t="str">
        <f t="shared" si="124"/>
        <v>#N/A</v>
      </c>
      <c r="T62" s="1992" t="str">
        <f t="shared" ref="T62:T69" si="129">(SUMIF(MA_TAIKHOAN,$E62,SDNDK)+SUMIFS(PS_SOTIEN,PS_TKNO,$E62,PS_NGAY,"&lt;="&amp;J$1))-(SUMIF(MA_TAIKHOAN,$E62,SDCDK)+SUMIFs(PS_SOTIEN,PS_TKCO,$E62,PS_NGAY,"&lt;="&amp;J$1))</f>
        <v>#N/A</v>
      </c>
      <c r="U62" s="1992" t="str">
        <f t="shared" ref="U62:U69" si="130">(SUMIF(MA_TAIKHOAN,$E62,SDNDK)+SUMIFS(PS_SOTIEN,PS_TKNO,$E62,PS_NGAY,"&lt;="&amp;G$1))-(SUMIF(MA_TAIKHOAN,$E62,SDCDK)+SUMIFs(PS_SOTIEN,PS_TKCO,$E62,PS_NGAY,"&lt;="&amp;G$1))</f>
        <v>#N/A</v>
      </c>
      <c r="V62" s="1992" t="str">
        <f t="shared" ref="V62:X62" si="125">(SUMIF(MA_TAIKHOAN,$E62,SDNDK)+SUMIFS(PS_SOTIEN,PS_TKNO,$E62,PS_NGAY,"&lt;="&amp;S$1))-(SUMIF(MA_TAIKHOAN,$E62,SDCDK)+SUMIFs(PS_SOTIEN,PS_TKCO,$E62,PS_NGAY,"&lt;="&amp;S$1))</f>
        <v>#N/A</v>
      </c>
      <c r="W62" s="1992" t="str">
        <f t="shared" si="125"/>
        <v>#N/A</v>
      </c>
      <c r="X62" s="1992" t="str">
        <f t="shared" si="125"/>
        <v>#N/A</v>
      </c>
      <c r="Y62" s="1989">
        <f t="shared" si="39"/>
        <v>29</v>
      </c>
    </row>
    <row r="63">
      <c r="A63" s="1533">
        <v>140.0</v>
      </c>
      <c r="B63" s="1534" t="s">
        <v>3272</v>
      </c>
      <c r="C63" s="1524" t="s">
        <v>2214</v>
      </c>
      <c r="D63" s="1535" t="s">
        <v>2214</v>
      </c>
      <c r="E63" s="1524" t="s">
        <v>1360</v>
      </c>
      <c r="F63" s="1992" t="str">
        <f t="shared" si="31"/>
        <v>#N/A</v>
      </c>
      <c r="G63" s="1992" t="str">
        <f t="shared" si="32"/>
        <v>#N/A</v>
      </c>
      <c r="H63" s="1992" t="str">
        <f t="shared" si="33"/>
        <v>#N/A</v>
      </c>
      <c r="I63" s="1992" t="str">
        <f t="shared" si="34"/>
        <v>#N/A</v>
      </c>
      <c r="J63" s="1992" t="str">
        <f t="shared" si="35"/>
        <v>#N/A</v>
      </c>
      <c r="K63" s="1992" t="str">
        <f t="shared" si="36"/>
        <v>#N/A</v>
      </c>
      <c r="L63" s="1992" t="str">
        <f t="shared" si="37"/>
        <v>#N/A</v>
      </c>
      <c r="M63" s="1992" t="str">
        <f t="shared" ref="M63:O63" si="126">(SUMIF(MA_TAIKHOAN,$E63,SDNDK)+SUMIFS(PS_SOTIEN,PS_TKNO,$E63,PS_NGAY,"&lt;="&amp;M$1))-(SUMIF(MA_TAIKHOAN,$E63,SDCDK)+SUMIFs(PS_SOTIEN,PS_TKCO,$E63,PS_NGAY,"&lt;="&amp;M$1))</f>
        <v>#N/A</v>
      </c>
      <c r="N63" s="1992" t="str">
        <f t="shared" si="126"/>
        <v>#N/A</v>
      </c>
      <c r="O63" s="1992" t="str">
        <f t="shared" si="126"/>
        <v>#N/A</v>
      </c>
      <c r="P63" s="1992" t="str">
        <f t="shared" si="127"/>
        <v>#N/A</v>
      </c>
      <c r="Q63" s="1992" t="str">
        <f t="shared" ref="Q63:S63" si="128">(SUMIF(MA_TAIKHOAN,$E63,SDNDK)+SUMIFS(PS_SOTIEN,PS_TKNO,$E63,PS_NGAY,"&lt;="&amp;P$1))-(SUMIF(MA_TAIKHOAN,$E63,SDCDK)+SUMIFs(PS_SOTIEN,PS_TKCO,$E63,PS_NGAY,"&lt;="&amp;P$1))</f>
        <v>#N/A</v>
      </c>
      <c r="R63" s="1992" t="str">
        <f t="shared" si="128"/>
        <v>#N/A</v>
      </c>
      <c r="S63" s="1992" t="str">
        <f t="shared" si="128"/>
        <v>#N/A</v>
      </c>
      <c r="T63" s="1992" t="str">
        <f t="shared" si="129"/>
        <v>#N/A</v>
      </c>
      <c r="U63" s="1992" t="str">
        <f t="shared" si="130"/>
        <v>#N/A</v>
      </c>
      <c r="V63" s="1992" t="str">
        <f t="shared" ref="V63:X63" si="131">(SUMIF(MA_TAIKHOAN,$E63,SDNDK)+SUMIFS(PS_SOTIEN,PS_TKNO,$E63,PS_NGAY,"&lt;="&amp;S$1))-(SUMIF(MA_TAIKHOAN,$E63,SDCDK)+SUMIFs(PS_SOTIEN,PS_TKCO,$E63,PS_NGAY,"&lt;="&amp;S$1))</f>
        <v>#N/A</v>
      </c>
      <c r="W63" s="1992" t="str">
        <f t="shared" si="131"/>
        <v>#N/A</v>
      </c>
      <c r="X63" s="1992" t="str">
        <f t="shared" si="131"/>
        <v>#N/A</v>
      </c>
      <c r="Y63" s="1989">
        <f t="shared" si="39"/>
        <v>30</v>
      </c>
    </row>
    <row r="64">
      <c r="A64" s="1533">
        <v>145.0</v>
      </c>
      <c r="B64" s="1534" t="s">
        <v>3273</v>
      </c>
      <c r="C64" s="1524" t="s">
        <v>2214</v>
      </c>
      <c r="D64" s="1535" t="s">
        <v>2214</v>
      </c>
      <c r="E64" s="1524" t="s">
        <v>3106</v>
      </c>
      <c r="F64" s="1992" t="str">
        <f t="shared" si="31"/>
        <v>#N/A</v>
      </c>
      <c r="G64" s="1992" t="str">
        <f t="shared" si="32"/>
        <v>#N/A</v>
      </c>
      <c r="H64" s="1992" t="str">
        <f t="shared" si="33"/>
        <v>#N/A</v>
      </c>
      <c r="I64" s="1992" t="str">
        <f t="shared" si="34"/>
        <v>#N/A</v>
      </c>
      <c r="J64" s="1992" t="str">
        <f t="shared" si="35"/>
        <v>#N/A</v>
      </c>
      <c r="K64" s="1992" t="str">
        <f t="shared" si="36"/>
        <v>#N/A</v>
      </c>
      <c r="L64" s="1992" t="str">
        <f t="shared" si="37"/>
        <v>#N/A</v>
      </c>
      <c r="M64" s="1992" t="str">
        <f t="shared" ref="M64:O64" si="132">(SUMIF(MA_TAIKHOAN,$E64,SDNDK)+SUMIFS(PS_SOTIEN,PS_TKNO,$E64,PS_NGAY,"&lt;="&amp;M$1))-(SUMIF(MA_TAIKHOAN,$E64,SDCDK)+SUMIFs(PS_SOTIEN,PS_TKCO,$E64,PS_NGAY,"&lt;="&amp;M$1))</f>
        <v>#N/A</v>
      </c>
      <c r="N64" s="1992" t="str">
        <f t="shared" si="132"/>
        <v>#N/A</v>
      </c>
      <c r="O64" s="1992" t="str">
        <f t="shared" si="132"/>
        <v>#N/A</v>
      </c>
      <c r="P64" s="1992" t="str">
        <f t="shared" si="127"/>
        <v>#N/A</v>
      </c>
      <c r="Q64" s="1992" t="str">
        <f t="shared" ref="Q64:S64" si="133">(SUMIF(MA_TAIKHOAN,$E64,SDNDK)+SUMIFS(PS_SOTIEN,PS_TKNO,$E64,PS_NGAY,"&lt;="&amp;P$1))-(SUMIF(MA_TAIKHOAN,$E64,SDCDK)+SUMIFs(PS_SOTIEN,PS_TKCO,$E64,PS_NGAY,"&lt;="&amp;P$1))</f>
        <v>#N/A</v>
      </c>
      <c r="R64" s="1992" t="str">
        <f t="shared" si="133"/>
        <v>#N/A</v>
      </c>
      <c r="S64" s="1992" t="str">
        <f t="shared" si="133"/>
        <v>#N/A</v>
      </c>
      <c r="T64" s="1992" t="str">
        <f t="shared" si="129"/>
        <v>#N/A</v>
      </c>
      <c r="U64" s="1992" t="str">
        <f t="shared" si="130"/>
        <v>#N/A</v>
      </c>
      <c r="V64" s="1992" t="str">
        <f t="shared" ref="V64:X64" si="134">(SUMIF(MA_TAIKHOAN,$E64,SDNDK)+SUMIFS(PS_SOTIEN,PS_TKNO,$E64,PS_NGAY,"&lt;="&amp;S$1))-(SUMIF(MA_TAIKHOAN,$E64,SDCDK)+SUMIFs(PS_SOTIEN,PS_TKCO,$E64,PS_NGAY,"&lt;="&amp;S$1))</f>
        <v>#N/A</v>
      </c>
      <c r="W64" s="1992" t="str">
        <f t="shared" si="134"/>
        <v>#N/A</v>
      </c>
      <c r="X64" s="1992" t="str">
        <f t="shared" si="134"/>
        <v>#N/A</v>
      </c>
      <c r="Y64" s="1989">
        <f t="shared" si="39"/>
        <v>31</v>
      </c>
    </row>
    <row r="65">
      <c r="A65" s="1533">
        <v>150.0</v>
      </c>
      <c r="B65" s="1534" t="s">
        <v>3274</v>
      </c>
      <c r="C65" s="1524" t="s">
        <v>2214</v>
      </c>
      <c r="D65" s="1535" t="s">
        <v>2214</v>
      </c>
      <c r="E65" s="1543" t="s">
        <v>3124</v>
      </c>
      <c r="F65" s="1992" t="str">
        <f t="shared" si="31"/>
        <v>#N/A</v>
      </c>
      <c r="G65" s="1992" t="str">
        <f t="shared" si="32"/>
        <v>#N/A</v>
      </c>
      <c r="H65" s="1992" t="str">
        <f t="shared" si="33"/>
        <v>#N/A</v>
      </c>
      <c r="I65" s="1992" t="str">
        <f t="shared" si="34"/>
        <v>#N/A</v>
      </c>
      <c r="J65" s="1992" t="str">
        <f t="shared" si="35"/>
        <v>#N/A</v>
      </c>
      <c r="K65" s="1992" t="str">
        <f t="shared" si="36"/>
        <v>#N/A</v>
      </c>
      <c r="L65" s="1992" t="str">
        <f t="shared" si="37"/>
        <v>#N/A</v>
      </c>
      <c r="M65" s="1992" t="str">
        <f t="shared" ref="M65:O65" si="135">(SUMIF(MA_TAIKHOAN,$E65,SDNDK)+SUMIFS(PS_SOTIEN,PS_TKNO,$E65,PS_NGAY,"&lt;="&amp;M$1))-(SUMIF(MA_TAIKHOAN,$E65,SDCDK)+SUMIFs(PS_SOTIEN,PS_TKCO,$E65,PS_NGAY,"&lt;="&amp;M$1))</f>
        <v>#N/A</v>
      </c>
      <c r="N65" s="1992" t="str">
        <f t="shared" si="135"/>
        <v>#N/A</v>
      </c>
      <c r="O65" s="1992" t="str">
        <f t="shared" si="135"/>
        <v>#N/A</v>
      </c>
      <c r="P65" s="1992" t="str">
        <f t="shared" si="127"/>
        <v>#N/A</v>
      </c>
      <c r="Q65" s="1992" t="str">
        <f t="shared" ref="Q65:S65" si="136">(SUMIF(MA_TAIKHOAN,$E65,SDNDK)+SUMIFS(PS_SOTIEN,PS_TKNO,$E65,PS_NGAY,"&lt;="&amp;P$1))-(SUMIF(MA_TAIKHOAN,$E65,SDCDK)+SUMIFs(PS_SOTIEN,PS_TKCO,$E65,PS_NGAY,"&lt;="&amp;P$1))</f>
        <v>#N/A</v>
      </c>
      <c r="R65" s="1992" t="str">
        <f t="shared" si="136"/>
        <v>#N/A</v>
      </c>
      <c r="S65" s="1992" t="str">
        <f t="shared" si="136"/>
        <v>#N/A</v>
      </c>
      <c r="T65" s="1992" t="str">
        <f t="shared" si="129"/>
        <v>#N/A</v>
      </c>
      <c r="U65" s="1992" t="str">
        <f t="shared" si="130"/>
        <v>#N/A</v>
      </c>
      <c r="V65" s="1992" t="str">
        <f t="shared" ref="V65:X65" si="137">(SUMIF(MA_TAIKHOAN,$E65,SDNDK)+SUMIFS(PS_SOTIEN,PS_TKNO,$E65,PS_NGAY,"&lt;="&amp;S$1))-(SUMIF(MA_TAIKHOAN,$E65,SDCDK)+SUMIFs(PS_SOTIEN,PS_TKCO,$E65,PS_NGAY,"&lt;="&amp;S$1))</f>
        <v>#N/A</v>
      </c>
      <c r="W65" s="1992" t="str">
        <f t="shared" si="137"/>
        <v>#N/A</v>
      </c>
      <c r="X65" s="1992" t="str">
        <f t="shared" si="137"/>
        <v>#N/A</v>
      </c>
      <c r="Y65" s="1989">
        <f t="shared" si="39"/>
        <v>32</v>
      </c>
    </row>
    <row r="66">
      <c r="A66" s="1533">
        <v>155.0</v>
      </c>
      <c r="B66" s="1534" t="s">
        <v>3275</v>
      </c>
      <c r="C66" s="1524" t="s">
        <v>2214</v>
      </c>
      <c r="D66" s="1535" t="s">
        <v>2214</v>
      </c>
      <c r="E66" s="1524" t="s">
        <v>3026</v>
      </c>
      <c r="F66" s="1992" t="str">
        <f t="shared" si="31"/>
        <v>#N/A</v>
      </c>
      <c r="G66" s="1992" t="str">
        <f t="shared" si="32"/>
        <v>#N/A</v>
      </c>
      <c r="H66" s="1992" t="str">
        <f t="shared" si="33"/>
        <v>#N/A</v>
      </c>
      <c r="I66" s="1992" t="str">
        <f t="shared" si="34"/>
        <v>#N/A</v>
      </c>
      <c r="J66" s="1992" t="str">
        <f t="shared" si="35"/>
        <v>#N/A</v>
      </c>
      <c r="K66" s="1992" t="str">
        <f t="shared" si="36"/>
        <v>#N/A</v>
      </c>
      <c r="L66" s="1992" t="str">
        <f t="shared" si="37"/>
        <v>#N/A</v>
      </c>
      <c r="M66" s="1992" t="str">
        <f t="shared" ref="M66:O66" si="138">(SUMIF(MA_TAIKHOAN,$E66,SDNDK)+SUMIFS(PS_SOTIEN,PS_TKNO,$E66,PS_NGAY,"&lt;="&amp;M$1))-(SUMIF(MA_TAIKHOAN,$E66,SDCDK)+SUMIFs(PS_SOTIEN,PS_TKCO,$E66,PS_NGAY,"&lt;="&amp;M$1))</f>
        <v>#N/A</v>
      </c>
      <c r="N66" s="1992" t="str">
        <f t="shared" si="138"/>
        <v>#N/A</v>
      </c>
      <c r="O66" s="1992" t="str">
        <f t="shared" si="138"/>
        <v>#N/A</v>
      </c>
      <c r="P66" s="1992" t="str">
        <f t="shared" si="127"/>
        <v>#N/A</v>
      </c>
      <c r="Q66" s="1992" t="str">
        <f t="shared" ref="Q66:S66" si="139">(SUMIF(MA_TAIKHOAN,$E66,SDNDK)+SUMIFS(PS_SOTIEN,PS_TKNO,$E66,PS_NGAY,"&lt;="&amp;P$1))-(SUMIF(MA_TAIKHOAN,$E66,SDCDK)+SUMIFs(PS_SOTIEN,PS_TKCO,$E66,PS_NGAY,"&lt;="&amp;P$1))</f>
        <v>#N/A</v>
      </c>
      <c r="R66" s="1992" t="str">
        <f t="shared" si="139"/>
        <v>#N/A</v>
      </c>
      <c r="S66" s="1992" t="str">
        <f t="shared" si="139"/>
        <v>#N/A</v>
      </c>
      <c r="T66" s="1992" t="str">
        <f t="shared" si="129"/>
        <v>#N/A</v>
      </c>
      <c r="U66" s="1992" t="str">
        <f t="shared" si="130"/>
        <v>#N/A</v>
      </c>
      <c r="V66" s="1992" t="str">
        <f t="shared" ref="V66:X66" si="140">(SUMIF(MA_TAIKHOAN,$E66,SDNDK)+SUMIFS(PS_SOTIEN,PS_TKNO,$E66,PS_NGAY,"&lt;="&amp;S$1))-(SUMIF(MA_TAIKHOAN,$E66,SDCDK)+SUMIFs(PS_SOTIEN,PS_TKCO,$E66,PS_NGAY,"&lt;="&amp;S$1))</f>
        <v>#N/A</v>
      </c>
      <c r="W66" s="1992" t="str">
        <f t="shared" si="140"/>
        <v>#N/A</v>
      </c>
      <c r="X66" s="1992" t="str">
        <f t="shared" si="140"/>
        <v>#N/A</v>
      </c>
      <c r="Y66" s="1989">
        <f t="shared" si="39"/>
        <v>33</v>
      </c>
    </row>
    <row r="67">
      <c r="A67" s="1533">
        <v>160.0</v>
      </c>
      <c r="B67" s="1534" t="s">
        <v>3276</v>
      </c>
      <c r="C67" s="1524" t="s">
        <v>2214</v>
      </c>
      <c r="D67" s="1535" t="s">
        <v>2214</v>
      </c>
      <c r="E67" s="1524" t="s">
        <v>3103</v>
      </c>
      <c r="F67" s="1993" t="str">
        <f t="shared" si="31"/>
        <v>#N/A</v>
      </c>
      <c r="G67" s="1993" t="str">
        <f t="shared" si="32"/>
        <v>#N/A</v>
      </c>
      <c r="H67" s="1993" t="str">
        <f t="shared" si="33"/>
        <v>#N/A</v>
      </c>
      <c r="I67" s="1993" t="str">
        <f t="shared" si="34"/>
        <v>#N/A</v>
      </c>
      <c r="J67" s="1993" t="str">
        <f t="shared" si="35"/>
        <v>#N/A</v>
      </c>
      <c r="K67" s="1993" t="str">
        <f t="shared" si="36"/>
        <v>#N/A</v>
      </c>
      <c r="L67" s="1993" t="str">
        <f t="shared" si="37"/>
        <v>#N/A</v>
      </c>
      <c r="M67" s="1993" t="str">
        <f t="shared" ref="M67:O67" si="141">(SUMIF(MA_TAIKHOAN,$E67,SDNDK)+SUMIFS(PS_SOTIEN,PS_TKNO,$E67,PS_NGAY,"&lt;="&amp;M$1))-(SUMIF(MA_TAIKHOAN,$E67,SDCDK)+SUMIFs(PS_SOTIEN,PS_TKCO,$E67,PS_NGAY,"&lt;="&amp;M$1))</f>
        <v>#N/A</v>
      </c>
      <c r="N67" s="1993" t="str">
        <f t="shared" si="141"/>
        <v>#N/A</v>
      </c>
      <c r="O67" s="1993" t="str">
        <f t="shared" si="141"/>
        <v>#N/A</v>
      </c>
      <c r="P67" s="1993" t="str">
        <f t="shared" si="127"/>
        <v>#N/A</v>
      </c>
      <c r="Q67" s="1993" t="str">
        <f t="shared" ref="Q67:S67" si="142">(SUMIF(MA_TAIKHOAN,$E67,SDNDK)+SUMIFS(PS_SOTIEN,PS_TKNO,$E67,PS_NGAY,"&lt;="&amp;P$1))-(SUMIF(MA_TAIKHOAN,$E67,SDCDK)+SUMIFs(PS_SOTIEN,PS_TKCO,$E67,PS_NGAY,"&lt;="&amp;P$1))</f>
        <v>#N/A</v>
      </c>
      <c r="R67" s="1993" t="str">
        <f t="shared" si="142"/>
        <v>#N/A</v>
      </c>
      <c r="S67" s="1993" t="str">
        <f t="shared" si="142"/>
        <v>#N/A</v>
      </c>
      <c r="T67" s="1993" t="str">
        <f t="shared" si="129"/>
        <v>#N/A</v>
      </c>
      <c r="U67" s="1993" t="str">
        <f t="shared" si="130"/>
        <v>#N/A</v>
      </c>
      <c r="V67" s="1993" t="str">
        <f t="shared" ref="V67:X67" si="143">(SUMIF(MA_TAIKHOAN,$E67,SDNDK)+SUMIFS(PS_SOTIEN,PS_TKNO,$E67,PS_NGAY,"&lt;="&amp;S$1))-(SUMIF(MA_TAIKHOAN,$E67,SDCDK)+SUMIFs(PS_SOTIEN,PS_TKCO,$E67,PS_NGAY,"&lt;="&amp;S$1))</f>
        <v>#N/A</v>
      </c>
      <c r="W67" s="1993" t="str">
        <f t="shared" si="143"/>
        <v>#N/A</v>
      </c>
      <c r="X67" s="1993" t="str">
        <f t="shared" si="143"/>
        <v>#N/A</v>
      </c>
      <c r="Y67" s="1989">
        <f t="shared" si="39"/>
        <v>34</v>
      </c>
    </row>
    <row r="68">
      <c r="A68" s="1533">
        <v>165.0</v>
      </c>
      <c r="B68" s="1534" t="s">
        <v>3277</v>
      </c>
      <c r="C68" s="1524" t="s">
        <v>3278</v>
      </c>
      <c r="D68" s="1535" t="s">
        <v>2214</v>
      </c>
      <c r="E68" s="1524" t="s">
        <v>1398</v>
      </c>
      <c r="F68" s="1993" t="str">
        <f t="shared" si="31"/>
        <v>#N/A</v>
      </c>
      <c r="G68" s="1993" t="str">
        <f t="shared" si="32"/>
        <v>#N/A</v>
      </c>
      <c r="H68" s="1993" t="str">
        <f t="shared" si="33"/>
        <v>#N/A</v>
      </c>
      <c r="I68" s="1993" t="str">
        <f t="shared" si="34"/>
        <v>#N/A</v>
      </c>
      <c r="J68" s="1993" t="str">
        <f t="shared" si="35"/>
        <v>#N/A</v>
      </c>
      <c r="K68" s="1993" t="str">
        <f t="shared" si="36"/>
        <v>#N/A</v>
      </c>
      <c r="L68" s="1993" t="str">
        <f t="shared" si="37"/>
        <v>#N/A</v>
      </c>
      <c r="M68" s="1993" t="str">
        <f t="shared" ref="M68:O68" si="144">(SUMIF(MA_TAIKHOAN,$E68,SDNDK)+SUMIFS(PS_SOTIEN,PS_TKNO,$E68,PS_NGAY,"&lt;="&amp;M$1))-(SUMIF(MA_TAIKHOAN,$E68,SDCDK)+SUMIFs(PS_SOTIEN,PS_TKCO,$E68,PS_NGAY,"&lt;="&amp;M$1))</f>
        <v>#N/A</v>
      </c>
      <c r="N68" s="1993" t="str">
        <f t="shared" si="144"/>
        <v>#N/A</v>
      </c>
      <c r="O68" s="1993" t="str">
        <f t="shared" si="144"/>
        <v>#N/A</v>
      </c>
      <c r="P68" s="1993" t="str">
        <f t="shared" si="127"/>
        <v>#N/A</v>
      </c>
      <c r="Q68" s="1993" t="str">
        <f t="shared" ref="Q68:S68" si="145">(SUMIF(MA_TAIKHOAN,$E68,SDNDK)+SUMIFS(PS_SOTIEN,PS_TKNO,$E68,PS_NGAY,"&lt;="&amp;P$1))-(SUMIF(MA_TAIKHOAN,$E68,SDCDK)+SUMIFs(PS_SOTIEN,PS_TKCO,$E68,PS_NGAY,"&lt;="&amp;P$1))</f>
        <v>#N/A</v>
      </c>
      <c r="R68" s="1993" t="str">
        <f t="shared" si="145"/>
        <v>#N/A</v>
      </c>
      <c r="S68" s="1993" t="str">
        <f t="shared" si="145"/>
        <v>#N/A</v>
      </c>
      <c r="T68" s="1993" t="str">
        <f t="shared" si="129"/>
        <v>#N/A</v>
      </c>
      <c r="U68" s="1993" t="str">
        <f t="shared" si="130"/>
        <v>#N/A</v>
      </c>
      <c r="V68" s="1993" t="str">
        <f t="shared" ref="V68:X68" si="146">(SUMIF(MA_TAIKHOAN,$E68,SDNDK)+SUMIFS(PS_SOTIEN,PS_TKNO,$E68,PS_NGAY,"&lt;="&amp;S$1))-(SUMIF(MA_TAIKHOAN,$E68,SDCDK)+SUMIFs(PS_SOTIEN,PS_TKCO,$E68,PS_NGAY,"&lt;="&amp;S$1))</f>
        <v>#N/A</v>
      </c>
      <c r="W68" s="1993" t="str">
        <f t="shared" si="146"/>
        <v>#N/A</v>
      </c>
      <c r="X68" s="1993" t="str">
        <f t="shared" si="146"/>
        <v>#N/A</v>
      </c>
      <c r="Y68" s="1989">
        <f t="shared" si="39"/>
        <v>35</v>
      </c>
    </row>
    <row r="69">
      <c r="A69" s="1533">
        <v>170.0</v>
      </c>
      <c r="B69" s="1534" t="s">
        <v>3279</v>
      </c>
      <c r="C69" s="1524" t="s">
        <v>3280</v>
      </c>
      <c r="D69" s="1535" t="s">
        <v>2214</v>
      </c>
      <c r="E69" s="1524" t="s">
        <v>1356</v>
      </c>
      <c r="F69" s="1993" t="str">
        <f t="shared" si="31"/>
        <v>#N/A</v>
      </c>
      <c r="G69" s="1993" t="str">
        <f t="shared" si="32"/>
        <v>#N/A</v>
      </c>
      <c r="H69" s="1993" t="str">
        <f t="shared" si="33"/>
        <v>#N/A</v>
      </c>
      <c r="I69" s="1993" t="str">
        <f t="shared" si="34"/>
        <v>#N/A</v>
      </c>
      <c r="J69" s="1993" t="str">
        <f t="shared" si="35"/>
        <v>#N/A</v>
      </c>
      <c r="K69" s="1993" t="str">
        <f t="shared" si="36"/>
        <v>#N/A</v>
      </c>
      <c r="L69" s="1993" t="str">
        <f t="shared" si="37"/>
        <v>#N/A</v>
      </c>
      <c r="M69" s="1993" t="str">
        <f t="shared" ref="M69:O69" si="147">(SUMIF(MA_TAIKHOAN,$E69,SDNDK)+SUMIFS(PS_SOTIEN,PS_TKNO,$E69,PS_NGAY,"&lt;="&amp;M$1))-(SUMIF(MA_TAIKHOAN,$E69,SDCDK)+SUMIFs(PS_SOTIEN,PS_TKCO,$E69,PS_NGAY,"&lt;="&amp;M$1))</f>
        <v>#N/A</v>
      </c>
      <c r="N69" s="1993" t="str">
        <f t="shared" si="147"/>
        <v>#N/A</v>
      </c>
      <c r="O69" s="1993" t="str">
        <f t="shared" si="147"/>
        <v>#N/A</v>
      </c>
      <c r="P69" s="1993" t="str">
        <f t="shared" si="127"/>
        <v>#N/A</v>
      </c>
      <c r="Q69" s="1993" t="str">
        <f t="shared" ref="Q69:S69" si="148">(SUMIF(MA_TAIKHOAN,$E69,SDNDK)+SUMIFS(PS_SOTIEN,PS_TKNO,$E69,PS_NGAY,"&lt;="&amp;P$1))-(SUMIF(MA_TAIKHOAN,$E69,SDCDK)+SUMIFs(PS_SOTIEN,PS_TKCO,$E69,PS_NGAY,"&lt;="&amp;P$1))</f>
        <v>#N/A</v>
      </c>
      <c r="R69" s="1993" t="str">
        <f t="shared" si="148"/>
        <v>#N/A</v>
      </c>
      <c r="S69" s="1993" t="str">
        <f t="shared" si="148"/>
        <v>#N/A</v>
      </c>
      <c r="T69" s="1993" t="str">
        <f t="shared" si="129"/>
        <v>#N/A</v>
      </c>
      <c r="U69" s="1993" t="str">
        <f t="shared" si="130"/>
        <v>#N/A</v>
      </c>
      <c r="V69" s="1993" t="str">
        <f t="shared" ref="V69:X69" si="149">(SUMIF(MA_TAIKHOAN,$E69,SDNDK)+SUMIFS(PS_SOTIEN,PS_TKNO,$E69,PS_NGAY,"&lt;="&amp;S$1))-(SUMIF(MA_TAIKHOAN,$E69,SDCDK)+SUMIFs(PS_SOTIEN,PS_TKCO,$E69,PS_NGAY,"&lt;="&amp;S$1))</f>
        <v>#N/A</v>
      </c>
      <c r="W69" s="1993" t="str">
        <f t="shared" si="149"/>
        <v>#N/A</v>
      </c>
      <c r="X69" s="1993" t="str">
        <f t="shared" si="149"/>
        <v>#N/A</v>
      </c>
      <c r="Y69" s="1989">
        <f t="shared" si="39"/>
        <v>36</v>
      </c>
    </row>
    <row r="70">
      <c r="A70" s="1520">
        <v>175.0</v>
      </c>
      <c r="B70" s="1521" t="s">
        <v>3281</v>
      </c>
      <c r="C70" s="1522" t="s">
        <v>3282</v>
      </c>
      <c r="D70" s="1523" t="s">
        <v>3283</v>
      </c>
      <c r="E70" s="1524" t="s">
        <v>2214</v>
      </c>
      <c r="F70" s="1991" t="str">
        <f t="shared" si="31"/>
        <v>#N/A</v>
      </c>
      <c r="G70" s="1991" t="str">
        <f t="shared" si="32"/>
        <v>#N/A</v>
      </c>
      <c r="H70" s="1991" t="str">
        <f t="shared" si="33"/>
        <v>#N/A</v>
      </c>
      <c r="I70" s="1991" t="str">
        <f t="shared" si="34"/>
        <v>#N/A</v>
      </c>
      <c r="J70" s="1991" t="str">
        <f t="shared" si="35"/>
        <v>#N/A</v>
      </c>
      <c r="K70" s="1991" t="str">
        <f t="shared" si="36"/>
        <v>#N/A</v>
      </c>
      <c r="L70" s="1991" t="str">
        <f t="shared" si="37"/>
        <v>#N/A</v>
      </c>
      <c r="M70" s="1991" t="str">
        <f t="shared" ref="M70:X70" si="150">M71+M80</f>
        <v>#N/A</v>
      </c>
      <c r="N70" s="1991" t="str">
        <f t="shared" si="150"/>
        <v>#N/A</v>
      </c>
      <c r="O70" s="1991" t="str">
        <f t="shared" si="150"/>
        <v>#N/A</v>
      </c>
      <c r="P70" s="1991" t="str">
        <f t="shared" si="150"/>
        <v>#N/A</v>
      </c>
      <c r="Q70" s="1991" t="str">
        <f t="shared" si="150"/>
        <v>#N/A</v>
      </c>
      <c r="R70" s="1991" t="str">
        <f t="shared" si="150"/>
        <v>#N/A</v>
      </c>
      <c r="S70" s="1991" t="str">
        <f t="shared" si="150"/>
        <v>#N/A</v>
      </c>
      <c r="T70" s="1991" t="str">
        <f t="shared" si="150"/>
        <v>#N/A</v>
      </c>
      <c r="U70" s="1991" t="str">
        <f t="shared" si="150"/>
        <v>#N/A</v>
      </c>
      <c r="V70" s="1991" t="str">
        <f t="shared" si="150"/>
        <v>#N/A</v>
      </c>
      <c r="W70" s="1991" t="str">
        <f t="shared" si="150"/>
        <v>#N/A</v>
      </c>
      <c r="X70" s="1991" t="str">
        <f t="shared" si="150"/>
        <v>#N/A</v>
      </c>
      <c r="Y70" s="1989">
        <f t="shared" si="39"/>
        <v>37</v>
      </c>
    </row>
    <row r="71">
      <c r="A71" s="1533">
        <v>180.0</v>
      </c>
      <c r="B71" s="1534" t="s">
        <v>3284</v>
      </c>
      <c r="C71" s="1524" t="s">
        <v>3026</v>
      </c>
      <c r="D71" s="1535" t="s">
        <v>3285</v>
      </c>
      <c r="E71" s="1524" t="s">
        <v>2214</v>
      </c>
      <c r="F71" s="1990" t="str">
        <f t="shared" si="31"/>
        <v>#N/A</v>
      </c>
      <c r="G71" s="1990" t="str">
        <f t="shared" si="32"/>
        <v>#N/A</v>
      </c>
      <c r="H71" s="1990" t="str">
        <f t="shared" si="33"/>
        <v>#N/A</v>
      </c>
      <c r="I71" s="1990" t="str">
        <f t="shared" si="34"/>
        <v>#N/A</v>
      </c>
      <c r="J71" s="1990" t="str">
        <f t="shared" si="35"/>
        <v>#N/A</v>
      </c>
      <c r="K71" s="1990" t="str">
        <f t="shared" si="36"/>
        <v>#N/A</v>
      </c>
      <c r="L71" s="1990" t="str">
        <f t="shared" si="37"/>
        <v>#N/A</v>
      </c>
      <c r="M71" s="1990" t="str">
        <f t="shared" ref="M71:X71" si="151">SUM(M72:M79)</f>
        <v>#N/A</v>
      </c>
      <c r="N71" s="1990" t="str">
        <f t="shared" si="151"/>
        <v>#N/A</v>
      </c>
      <c r="O71" s="1990" t="str">
        <f t="shared" si="151"/>
        <v>#N/A</v>
      </c>
      <c r="P71" s="1990" t="str">
        <f t="shared" si="151"/>
        <v>#N/A</v>
      </c>
      <c r="Q71" s="1990" t="str">
        <f t="shared" si="151"/>
        <v>#N/A</v>
      </c>
      <c r="R71" s="1990" t="str">
        <f t="shared" si="151"/>
        <v>#N/A</v>
      </c>
      <c r="S71" s="1990" t="str">
        <f t="shared" si="151"/>
        <v>#N/A</v>
      </c>
      <c r="T71" s="1990" t="str">
        <f t="shared" si="151"/>
        <v>#N/A</v>
      </c>
      <c r="U71" s="1990" t="str">
        <f t="shared" si="151"/>
        <v>#N/A</v>
      </c>
      <c r="V71" s="1990" t="str">
        <f t="shared" si="151"/>
        <v>#N/A</v>
      </c>
      <c r="W71" s="1990" t="str">
        <f t="shared" si="151"/>
        <v>#N/A</v>
      </c>
      <c r="X71" s="1990" t="str">
        <f t="shared" si="151"/>
        <v>#N/A</v>
      </c>
      <c r="Y71" s="1989">
        <f t="shared" si="39"/>
        <v>38</v>
      </c>
    </row>
    <row r="72">
      <c r="A72" s="1533">
        <v>185.0</v>
      </c>
      <c r="B72" s="1534" t="s">
        <v>3286</v>
      </c>
      <c r="C72" s="1524" t="s">
        <v>2214</v>
      </c>
      <c r="D72" s="1535" t="s">
        <v>2214</v>
      </c>
      <c r="E72" s="1524" t="s">
        <v>3027</v>
      </c>
      <c r="F72" s="1992" t="str">
        <f t="shared" si="31"/>
        <v>#N/A</v>
      </c>
      <c r="G72" s="1992" t="str">
        <f t="shared" si="32"/>
        <v>#N/A</v>
      </c>
      <c r="H72" s="1992" t="str">
        <f t="shared" si="33"/>
        <v>#N/A</v>
      </c>
      <c r="I72" s="1992" t="str">
        <f t="shared" si="34"/>
        <v>#N/A</v>
      </c>
      <c r="J72" s="1992" t="str">
        <f t="shared" si="35"/>
        <v>#N/A</v>
      </c>
      <c r="K72" s="1992" t="str">
        <f t="shared" si="36"/>
        <v>#N/A</v>
      </c>
      <c r="L72" s="1992" t="str">
        <f t="shared" si="37"/>
        <v>#N/A</v>
      </c>
      <c r="M72" s="1992" t="str">
        <f t="shared" ref="M72:O72" si="152">(SUMIF(MA_TAIKHOAN,$E72,SDNDK)+SUMIFS(PS_SOTIEN,PS_TKNO,$E72,PS_NGAY,"&lt;="&amp;M$1))-(SUMIF(MA_TAIKHOAN,$E72,SDCDK)+SUMIFs(PS_SOTIEN,PS_TKCO,$E72,PS_NGAY,"&lt;="&amp;M$1))</f>
        <v>#N/A</v>
      </c>
      <c r="N72" s="1992" t="str">
        <f t="shared" si="152"/>
        <v>#N/A</v>
      </c>
      <c r="O72" s="1992" t="str">
        <f t="shared" si="152"/>
        <v>#N/A</v>
      </c>
      <c r="P72" s="1992" t="str">
        <f t="shared" ref="P72:P79" si="156">(SUMIF(MA_TAIKHOAN,$E72,SDNDK)+SUMIFS(PS_SOTIEN,PS_TKNO,$E72,PS_NGAY,"&lt;="&amp;I$1))-(SUMIF(MA_TAIKHOAN,$E72,SDCDK)+SUMIFs(PS_SOTIEN,PS_TKCO,$E72,PS_NGAY,"&lt;="&amp;I$1))</f>
        <v>#N/A</v>
      </c>
      <c r="Q72" s="1992" t="str">
        <f t="shared" ref="Q72:S72" si="153">(SUMIF(MA_TAIKHOAN,$E72,SDNDK)+SUMIFS(PS_SOTIEN,PS_TKNO,$E72,PS_NGAY,"&lt;="&amp;P$1))-(SUMIF(MA_TAIKHOAN,$E72,SDCDK)+SUMIFs(PS_SOTIEN,PS_TKCO,$E72,PS_NGAY,"&lt;="&amp;P$1))</f>
        <v>#N/A</v>
      </c>
      <c r="R72" s="1992" t="str">
        <f t="shared" si="153"/>
        <v>#N/A</v>
      </c>
      <c r="S72" s="1992" t="str">
        <f t="shared" si="153"/>
        <v>#N/A</v>
      </c>
      <c r="T72" s="1992" t="str">
        <f t="shared" ref="T72:T79" si="158">(SUMIF(MA_TAIKHOAN,$E72,SDNDK)+SUMIFS(PS_SOTIEN,PS_TKNO,$E72,PS_NGAY,"&lt;="&amp;J$1))-(SUMIF(MA_TAIKHOAN,$E72,SDCDK)+SUMIFs(PS_SOTIEN,PS_TKCO,$E72,PS_NGAY,"&lt;="&amp;J$1))</f>
        <v>#N/A</v>
      </c>
      <c r="U72" s="1992" t="str">
        <f t="shared" ref="U72:U79" si="159">(SUMIF(MA_TAIKHOAN,$E72,SDNDK)+SUMIFS(PS_SOTIEN,PS_TKNO,$E72,PS_NGAY,"&lt;="&amp;G$1))-(SUMIF(MA_TAIKHOAN,$E72,SDCDK)+SUMIFs(PS_SOTIEN,PS_TKCO,$E72,PS_NGAY,"&lt;="&amp;G$1))</f>
        <v>#N/A</v>
      </c>
      <c r="V72" s="1992" t="str">
        <f t="shared" ref="V72:X72" si="154">(SUMIF(MA_TAIKHOAN,$E72,SDNDK)+SUMIFS(PS_SOTIEN,PS_TKNO,$E72,PS_NGAY,"&lt;="&amp;S$1))-(SUMIF(MA_TAIKHOAN,$E72,SDCDK)+SUMIFs(PS_SOTIEN,PS_TKCO,$E72,PS_NGAY,"&lt;="&amp;S$1))</f>
        <v>#N/A</v>
      </c>
      <c r="W72" s="1992" t="str">
        <f t="shared" si="154"/>
        <v>#N/A</v>
      </c>
      <c r="X72" s="1992" t="str">
        <f t="shared" si="154"/>
        <v>#N/A</v>
      </c>
      <c r="Y72" s="1989">
        <f t="shared" si="39"/>
        <v>39</v>
      </c>
    </row>
    <row r="73">
      <c r="A73" s="1533">
        <v>190.0</v>
      </c>
      <c r="B73" s="1534" t="s">
        <v>3287</v>
      </c>
      <c r="C73" s="1524" t="s">
        <v>2214</v>
      </c>
      <c r="D73" s="1535" t="s">
        <v>2214</v>
      </c>
      <c r="E73" s="1524" t="s">
        <v>3028</v>
      </c>
      <c r="F73" s="1992" t="str">
        <f t="shared" si="31"/>
        <v>#N/A</v>
      </c>
      <c r="G73" s="1992" t="str">
        <f t="shared" si="32"/>
        <v>#N/A</v>
      </c>
      <c r="H73" s="1992" t="str">
        <f t="shared" si="33"/>
        <v>#N/A</v>
      </c>
      <c r="I73" s="1992" t="str">
        <f t="shared" si="34"/>
        <v>#N/A</v>
      </c>
      <c r="J73" s="1992" t="str">
        <f t="shared" si="35"/>
        <v>#N/A</v>
      </c>
      <c r="K73" s="1992" t="str">
        <f t="shared" si="36"/>
        <v>#N/A</v>
      </c>
      <c r="L73" s="1992" t="str">
        <f t="shared" si="37"/>
        <v>#N/A</v>
      </c>
      <c r="M73" s="1992" t="str">
        <f t="shared" ref="M73:O73" si="155">(SUMIF(MA_TAIKHOAN,$E73,SDNDK)+SUMIFS(PS_SOTIEN,PS_TKNO,$E73,PS_NGAY,"&lt;="&amp;M$1))-(SUMIF(MA_TAIKHOAN,$E73,SDCDK)+SUMIFs(PS_SOTIEN,PS_TKCO,$E73,PS_NGAY,"&lt;="&amp;M$1))</f>
        <v>#N/A</v>
      </c>
      <c r="N73" s="1992" t="str">
        <f t="shared" si="155"/>
        <v>#N/A</v>
      </c>
      <c r="O73" s="1992" t="str">
        <f t="shared" si="155"/>
        <v>#N/A</v>
      </c>
      <c r="P73" s="1992" t="str">
        <f t="shared" si="156"/>
        <v>#N/A</v>
      </c>
      <c r="Q73" s="1992" t="str">
        <f t="shared" ref="Q73:S73" si="157">(SUMIF(MA_TAIKHOAN,$E73,SDNDK)+SUMIFS(PS_SOTIEN,PS_TKNO,$E73,PS_NGAY,"&lt;="&amp;P$1))-(SUMIF(MA_TAIKHOAN,$E73,SDCDK)+SUMIFs(PS_SOTIEN,PS_TKCO,$E73,PS_NGAY,"&lt;="&amp;P$1))</f>
        <v>#N/A</v>
      </c>
      <c r="R73" s="1992" t="str">
        <f t="shared" si="157"/>
        <v>#N/A</v>
      </c>
      <c r="S73" s="1992" t="str">
        <f t="shared" si="157"/>
        <v>#N/A</v>
      </c>
      <c r="T73" s="1992" t="str">
        <f t="shared" si="158"/>
        <v>#N/A</v>
      </c>
      <c r="U73" s="1992" t="str">
        <f t="shared" si="159"/>
        <v>#N/A</v>
      </c>
      <c r="V73" s="1992" t="str">
        <f t="shared" ref="V73:X73" si="160">(SUMIF(MA_TAIKHOAN,$E73,SDNDK)+SUMIFS(PS_SOTIEN,PS_TKNO,$E73,PS_NGAY,"&lt;="&amp;S$1))-(SUMIF(MA_TAIKHOAN,$E73,SDCDK)+SUMIFs(PS_SOTIEN,PS_TKCO,$E73,PS_NGAY,"&lt;="&amp;S$1))</f>
        <v>#N/A</v>
      </c>
      <c r="W73" s="1992" t="str">
        <f t="shared" si="160"/>
        <v>#N/A</v>
      </c>
      <c r="X73" s="1992" t="str">
        <f t="shared" si="160"/>
        <v>#N/A</v>
      </c>
      <c r="Y73" s="1989">
        <f t="shared" si="39"/>
        <v>40</v>
      </c>
    </row>
    <row r="74">
      <c r="A74" s="1533">
        <v>195.0</v>
      </c>
      <c r="B74" s="1534" t="s">
        <v>3288</v>
      </c>
      <c r="C74" s="1524" t="s">
        <v>2214</v>
      </c>
      <c r="D74" s="1535" t="s">
        <v>2214</v>
      </c>
      <c r="E74" s="1524" t="s">
        <v>3029</v>
      </c>
      <c r="F74" s="1992" t="str">
        <f t="shared" si="31"/>
        <v>#N/A</v>
      </c>
      <c r="G74" s="1992" t="str">
        <f t="shared" si="32"/>
        <v>#N/A</v>
      </c>
      <c r="H74" s="1992" t="str">
        <f t="shared" si="33"/>
        <v>#N/A</v>
      </c>
      <c r="I74" s="1992" t="str">
        <f t="shared" si="34"/>
        <v>#N/A</v>
      </c>
      <c r="J74" s="1992" t="str">
        <f t="shared" si="35"/>
        <v>#N/A</v>
      </c>
      <c r="K74" s="1992" t="str">
        <f t="shared" si="36"/>
        <v>#N/A</v>
      </c>
      <c r="L74" s="1992" t="str">
        <f t="shared" si="37"/>
        <v>#N/A</v>
      </c>
      <c r="M74" s="1992" t="str">
        <f t="shared" ref="M74:O74" si="161">(SUMIF(MA_TAIKHOAN,$E74,SDNDK)+SUMIFS(PS_SOTIEN,PS_TKNO,$E74,PS_NGAY,"&lt;="&amp;M$1))-(SUMIF(MA_TAIKHOAN,$E74,SDCDK)+SUMIFs(PS_SOTIEN,PS_TKCO,$E74,PS_NGAY,"&lt;="&amp;M$1))</f>
        <v>#N/A</v>
      </c>
      <c r="N74" s="1992" t="str">
        <f t="shared" si="161"/>
        <v>#N/A</v>
      </c>
      <c r="O74" s="1992" t="str">
        <f t="shared" si="161"/>
        <v>#N/A</v>
      </c>
      <c r="P74" s="1992" t="str">
        <f t="shared" si="156"/>
        <v>#N/A</v>
      </c>
      <c r="Q74" s="1992" t="str">
        <f t="shared" ref="Q74:S74" si="162">(SUMIF(MA_TAIKHOAN,$E74,SDNDK)+SUMIFS(PS_SOTIEN,PS_TKNO,$E74,PS_NGAY,"&lt;="&amp;P$1))-(SUMIF(MA_TAIKHOAN,$E74,SDCDK)+SUMIFs(PS_SOTIEN,PS_TKCO,$E74,PS_NGAY,"&lt;="&amp;P$1))</f>
        <v>#N/A</v>
      </c>
      <c r="R74" s="1992" t="str">
        <f t="shared" si="162"/>
        <v>#N/A</v>
      </c>
      <c r="S74" s="1992" t="str">
        <f t="shared" si="162"/>
        <v>#N/A</v>
      </c>
      <c r="T74" s="1992" t="str">
        <f t="shared" si="158"/>
        <v>#N/A</v>
      </c>
      <c r="U74" s="1992" t="str">
        <f t="shared" si="159"/>
        <v>#N/A</v>
      </c>
      <c r="V74" s="1992" t="str">
        <f t="shared" ref="V74:X74" si="163">(SUMIF(MA_TAIKHOAN,$E74,SDNDK)+SUMIFS(PS_SOTIEN,PS_TKNO,$E74,PS_NGAY,"&lt;="&amp;S$1))-(SUMIF(MA_TAIKHOAN,$E74,SDCDK)+SUMIFs(PS_SOTIEN,PS_TKCO,$E74,PS_NGAY,"&lt;="&amp;S$1))</f>
        <v>#N/A</v>
      </c>
      <c r="W74" s="1992" t="str">
        <f t="shared" si="163"/>
        <v>#N/A</v>
      </c>
      <c r="X74" s="1992" t="str">
        <f t="shared" si="163"/>
        <v>#N/A</v>
      </c>
      <c r="Y74" s="1989">
        <f t="shared" si="39"/>
        <v>41</v>
      </c>
    </row>
    <row r="75">
      <c r="A75" s="1533">
        <v>200.0</v>
      </c>
      <c r="B75" s="1534" t="s">
        <v>3289</v>
      </c>
      <c r="C75" s="1524" t="s">
        <v>2214</v>
      </c>
      <c r="D75" s="1535" t="s">
        <v>2214</v>
      </c>
      <c r="E75" s="1524" t="s">
        <v>1875</v>
      </c>
      <c r="F75" s="1992" t="str">
        <f t="shared" si="31"/>
        <v>#N/A</v>
      </c>
      <c r="G75" s="1992" t="str">
        <f t="shared" si="32"/>
        <v>#N/A</v>
      </c>
      <c r="H75" s="1992" t="str">
        <f t="shared" si="33"/>
        <v>#N/A</v>
      </c>
      <c r="I75" s="1992" t="str">
        <f t="shared" si="34"/>
        <v>#N/A</v>
      </c>
      <c r="J75" s="1992" t="str">
        <f t="shared" si="35"/>
        <v>#N/A</v>
      </c>
      <c r="K75" s="1992" t="str">
        <f t="shared" si="36"/>
        <v>#N/A</v>
      </c>
      <c r="L75" s="1992" t="str">
        <f t="shared" si="37"/>
        <v>#N/A</v>
      </c>
      <c r="M75" s="1992" t="str">
        <f t="shared" ref="M75:O75" si="164">(SUMIF(MA_TAIKHOAN,$E75,SDNDK)+SUMIFS(PS_SOTIEN,PS_TKNO,$E75,PS_NGAY,"&lt;="&amp;M$1))-(SUMIF(MA_TAIKHOAN,$E75,SDCDK)+SUMIFs(PS_SOTIEN,PS_TKCO,$E75,PS_NGAY,"&lt;="&amp;M$1))</f>
        <v>#N/A</v>
      </c>
      <c r="N75" s="1992" t="str">
        <f t="shared" si="164"/>
        <v>#N/A</v>
      </c>
      <c r="O75" s="1992" t="str">
        <f t="shared" si="164"/>
        <v>#N/A</v>
      </c>
      <c r="P75" s="1992" t="str">
        <f t="shared" si="156"/>
        <v>#N/A</v>
      </c>
      <c r="Q75" s="1992" t="str">
        <f t="shared" ref="Q75:S75" si="165">(SUMIF(MA_TAIKHOAN,$E75,SDNDK)+SUMIFS(PS_SOTIEN,PS_TKNO,$E75,PS_NGAY,"&lt;="&amp;P$1))-(SUMIF(MA_TAIKHOAN,$E75,SDCDK)+SUMIFs(PS_SOTIEN,PS_TKCO,$E75,PS_NGAY,"&lt;="&amp;P$1))</f>
        <v>#N/A</v>
      </c>
      <c r="R75" s="1992" t="str">
        <f t="shared" si="165"/>
        <v>#N/A</v>
      </c>
      <c r="S75" s="1992" t="str">
        <f t="shared" si="165"/>
        <v>#N/A</v>
      </c>
      <c r="T75" s="1992" t="str">
        <f t="shared" si="158"/>
        <v>#N/A</v>
      </c>
      <c r="U75" s="1992" t="str">
        <f t="shared" si="159"/>
        <v>#N/A</v>
      </c>
      <c r="V75" s="1992" t="str">
        <f t="shared" ref="V75:X75" si="166">(SUMIF(MA_TAIKHOAN,$E75,SDNDK)+SUMIFS(PS_SOTIEN,PS_TKNO,$E75,PS_NGAY,"&lt;="&amp;S$1))-(SUMIF(MA_TAIKHOAN,$E75,SDCDK)+SUMIFs(PS_SOTIEN,PS_TKCO,$E75,PS_NGAY,"&lt;="&amp;S$1))</f>
        <v>#N/A</v>
      </c>
      <c r="W75" s="1992" t="str">
        <f t="shared" si="166"/>
        <v>#N/A</v>
      </c>
      <c r="X75" s="1992" t="str">
        <f t="shared" si="166"/>
        <v>#N/A</v>
      </c>
      <c r="Y75" s="1989">
        <f t="shared" si="39"/>
        <v>42</v>
      </c>
    </row>
    <row r="76">
      <c r="A76" s="1533">
        <v>205.0</v>
      </c>
      <c r="B76" s="1534" t="s">
        <v>3290</v>
      </c>
      <c r="C76" s="1524" t="s">
        <v>2214</v>
      </c>
      <c r="D76" s="1535" t="s">
        <v>2214</v>
      </c>
      <c r="E76" s="1524" t="s">
        <v>3037</v>
      </c>
      <c r="F76" s="1992" t="str">
        <f t="shared" si="31"/>
        <v>#N/A</v>
      </c>
      <c r="G76" s="1992" t="str">
        <f t="shared" si="32"/>
        <v>#N/A</v>
      </c>
      <c r="H76" s="1992" t="str">
        <f t="shared" si="33"/>
        <v>#N/A</v>
      </c>
      <c r="I76" s="1992" t="str">
        <f t="shared" si="34"/>
        <v>#N/A</v>
      </c>
      <c r="J76" s="1992" t="str">
        <f t="shared" si="35"/>
        <v>#N/A</v>
      </c>
      <c r="K76" s="1992" t="str">
        <f t="shared" si="36"/>
        <v>#N/A</v>
      </c>
      <c r="L76" s="1992" t="str">
        <f t="shared" si="37"/>
        <v>#N/A</v>
      </c>
      <c r="M76" s="1992" t="str">
        <f t="shared" ref="M76:O76" si="167">(SUMIF(MA_TAIKHOAN,$E76,SDNDK)+SUMIFS(PS_SOTIEN,PS_TKNO,$E76,PS_NGAY,"&lt;="&amp;M$1))-(SUMIF(MA_TAIKHOAN,$E76,SDCDK)+SUMIFs(PS_SOTIEN,PS_TKCO,$E76,PS_NGAY,"&lt;="&amp;M$1))</f>
        <v>#N/A</v>
      </c>
      <c r="N76" s="1992" t="str">
        <f t="shared" si="167"/>
        <v>#N/A</v>
      </c>
      <c r="O76" s="1992" t="str">
        <f t="shared" si="167"/>
        <v>#N/A</v>
      </c>
      <c r="P76" s="1992" t="str">
        <f t="shared" si="156"/>
        <v>#N/A</v>
      </c>
      <c r="Q76" s="1992" t="str">
        <f t="shared" ref="Q76:S76" si="168">(SUMIF(MA_TAIKHOAN,$E76,SDNDK)+SUMIFS(PS_SOTIEN,PS_TKNO,$E76,PS_NGAY,"&lt;="&amp;P$1))-(SUMIF(MA_TAIKHOAN,$E76,SDCDK)+SUMIFs(PS_SOTIEN,PS_TKCO,$E76,PS_NGAY,"&lt;="&amp;P$1))</f>
        <v>#N/A</v>
      </c>
      <c r="R76" s="1992" t="str">
        <f t="shared" si="168"/>
        <v>#N/A</v>
      </c>
      <c r="S76" s="1992" t="str">
        <f t="shared" si="168"/>
        <v>#N/A</v>
      </c>
      <c r="T76" s="1992" t="str">
        <f t="shared" si="158"/>
        <v>#N/A</v>
      </c>
      <c r="U76" s="1992" t="str">
        <f t="shared" si="159"/>
        <v>#N/A</v>
      </c>
      <c r="V76" s="1992" t="str">
        <f t="shared" ref="V76:X76" si="169">(SUMIF(MA_TAIKHOAN,$E76,SDNDK)+SUMIFS(PS_SOTIEN,PS_TKNO,$E76,PS_NGAY,"&lt;="&amp;S$1))-(SUMIF(MA_TAIKHOAN,$E76,SDCDK)+SUMIFs(PS_SOTIEN,PS_TKCO,$E76,PS_NGAY,"&lt;="&amp;S$1))</f>
        <v>#N/A</v>
      </c>
      <c r="W76" s="1992" t="str">
        <f t="shared" si="169"/>
        <v>#N/A</v>
      </c>
      <c r="X76" s="1992" t="str">
        <f t="shared" si="169"/>
        <v>#N/A</v>
      </c>
      <c r="Y76" s="1989">
        <f t="shared" si="39"/>
        <v>43</v>
      </c>
    </row>
    <row r="77">
      <c r="A77" s="1533">
        <v>210.0</v>
      </c>
      <c r="B77" s="1534" t="s">
        <v>3291</v>
      </c>
      <c r="C77" s="1524" t="s">
        <v>2214</v>
      </c>
      <c r="D77" s="1535" t="s">
        <v>2214</v>
      </c>
      <c r="E77" s="1524" t="s">
        <v>3043</v>
      </c>
      <c r="F77" s="1992" t="str">
        <f t="shared" si="31"/>
        <v>#N/A</v>
      </c>
      <c r="G77" s="1992" t="str">
        <f t="shared" si="32"/>
        <v>#N/A</v>
      </c>
      <c r="H77" s="1992" t="str">
        <f t="shared" si="33"/>
        <v>#N/A</v>
      </c>
      <c r="I77" s="1992" t="str">
        <f t="shared" si="34"/>
        <v>#N/A</v>
      </c>
      <c r="J77" s="1992" t="str">
        <f t="shared" si="35"/>
        <v>#N/A</v>
      </c>
      <c r="K77" s="1992" t="str">
        <f t="shared" si="36"/>
        <v>#N/A</v>
      </c>
      <c r="L77" s="1992" t="str">
        <f t="shared" si="37"/>
        <v>#N/A</v>
      </c>
      <c r="M77" s="1992" t="str">
        <f t="shared" ref="M77:O77" si="170">(SUMIF(MA_TAIKHOAN,$E77,SDNDK)+SUMIFS(PS_SOTIEN,PS_TKNO,$E77,PS_NGAY,"&lt;="&amp;M$1))-(SUMIF(MA_TAIKHOAN,$E77,SDCDK)+SUMIFs(PS_SOTIEN,PS_TKCO,$E77,PS_NGAY,"&lt;="&amp;M$1))</f>
        <v>#N/A</v>
      </c>
      <c r="N77" s="1992" t="str">
        <f t="shared" si="170"/>
        <v>#N/A</v>
      </c>
      <c r="O77" s="1992" t="str">
        <f t="shared" si="170"/>
        <v>#N/A</v>
      </c>
      <c r="P77" s="1992" t="str">
        <f t="shared" si="156"/>
        <v>#N/A</v>
      </c>
      <c r="Q77" s="1992" t="str">
        <f t="shared" ref="Q77:S77" si="171">(SUMIF(MA_TAIKHOAN,$E77,SDNDK)+SUMIFS(PS_SOTIEN,PS_TKNO,$E77,PS_NGAY,"&lt;="&amp;P$1))-(SUMIF(MA_TAIKHOAN,$E77,SDCDK)+SUMIFs(PS_SOTIEN,PS_TKCO,$E77,PS_NGAY,"&lt;="&amp;P$1))</f>
        <v>#N/A</v>
      </c>
      <c r="R77" s="1992" t="str">
        <f t="shared" si="171"/>
        <v>#N/A</v>
      </c>
      <c r="S77" s="1992" t="str">
        <f t="shared" si="171"/>
        <v>#N/A</v>
      </c>
      <c r="T77" s="1992" t="str">
        <f t="shared" si="158"/>
        <v>#N/A</v>
      </c>
      <c r="U77" s="1992" t="str">
        <f t="shared" si="159"/>
        <v>#N/A</v>
      </c>
      <c r="V77" s="1992" t="str">
        <f t="shared" ref="V77:X77" si="172">(SUMIF(MA_TAIKHOAN,$E77,SDNDK)+SUMIFS(PS_SOTIEN,PS_TKNO,$E77,PS_NGAY,"&lt;="&amp;S$1))-(SUMIF(MA_TAIKHOAN,$E77,SDCDK)+SUMIFs(PS_SOTIEN,PS_TKCO,$E77,PS_NGAY,"&lt;="&amp;S$1))</f>
        <v>#N/A</v>
      </c>
      <c r="W77" s="1992" t="str">
        <f t="shared" si="172"/>
        <v>#N/A</v>
      </c>
      <c r="X77" s="1992" t="str">
        <f t="shared" si="172"/>
        <v>#N/A</v>
      </c>
      <c r="Y77" s="1989">
        <f t="shared" si="39"/>
        <v>44</v>
      </c>
    </row>
    <row r="78">
      <c r="A78" s="1533">
        <v>215.0</v>
      </c>
      <c r="B78" s="1534" t="s">
        <v>3292</v>
      </c>
      <c r="C78" s="1524" t="s">
        <v>2214</v>
      </c>
      <c r="D78" s="1535" t="s">
        <v>2214</v>
      </c>
      <c r="E78" s="1524" t="s">
        <v>3050</v>
      </c>
      <c r="F78" s="1992" t="str">
        <f t="shared" si="31"/>
        <v>#N/A</v>
      </c>
      <c r="G78" s="1992" t="str">
        <f t="shared" si="32"/>
        <v>#N/A</v>
      </c>
      <c r="H78" s="1992" t="str">
        <f t="shared" si="33"/>
        <v>#N/A</v>
      </c>
      <c r="I78" s="1992" t="str">
        <f t="shared" si="34"/>
        <v>#N/A</v>
      </c>
      <c r="J78" s="1992" t="str">
        <f t="shared" si="35"/>
        <v>#N/A</v>
      </c>
      <c r="K78" s="1992" t="str">
        <f t="shared" si="36"/>
        <v>#N/A</v>
      </c>
      <c r="L78" s="1992" t="str">
        <f t="shared" si="37"/>
        <v>#N/A</v>
      </c>
      <c r="M78" s="1992" t="str">
        <f t="shared" ref="M78:O78" si="173">(SUMIF(MA_TAIKHOAN,$E78,SDNDK)+SUMIFS(PS_SOTIEN,PS_TKNO,$E78,PS_NGAY,"&lt;="&amp;M$1))-(SUMIF(MA_TAIKHOAN,$E78,SDCDK)+SUMIFs(PS_SOTIEN,PS_TKCO,$E78,PS_NGAY,"&lt;="&amp;M$1))</f>
        <v>#N/A</v>
      </c>
      <c r="N78" s="1992" t="str">
        <f t="shared" si="173"/>
        <v>#N/A</v>
      </c>
      <c r="O78" s="1992" t="str">
        <f t="shared" si="173"/>
        <v>#N/A</v>
      </c>
      <c r="P78" s="1992" t="str">
        <f t="shared" si="156"/>
        <v>#N/A</v>
      </c>
      <c r="Q78" s="1992" t="str">
        <f t="shared" ref="Q78:S78" si="174">(SUMIF(MA_TAIKHOAN,$E78,SDNDK)+SUMIFS(PS_SOTIEN,PS_TKNO,$E78,PS_NGAY,"&lt;="&amp;P$1))-(SUMIF(MA_TAIKHOAN,$E78,SDCDK)+SUMIFs(PS_SOTIEN,PS_TKCO,$E78,PS_NGAY,"&lt;="&amp;P$1))</f>
        <v>#N/A</v>
      </c>
      <c r="R78" s="1992" t="str">
        <f t="shared" si="174"/>
        <v>#N/A</v>
      </c>
      <c r="S78" s="1992" t="str">
        <f t="shared" si="174"/>
        <v>#N/A</v>
      </c>
      <c r="T78" s="1992" t="str">
        <f t="shared" si="158"/>
        <v>#N/A</v>
      </c>
      <c r="U78" s="1992" t="str">
        <f t="shared" si="159"/>
        <v>#N/A</v>
      </c>
      <c r="V78" s="1992" t="str">
        <f t="shared" ref="V78:X78" si="175">(SUMIF(MA_TAIKHOAN,$E78,SDNDK)+SUMIFS(PS_SOTIEN,PS_TKNO,$E78,PS_NGAY,"&lt;="&amp;S$1))-(SUMIF(MA_TAIKHOAN,$E78,SDCDK)+SUMIFs(PS_SOTIEN,PS_TKCO,$E78,PS_NGAY,"&lt;="&amp;S$1))</f>
        <v>#N/A</v>
      </c>
      <c r="W78" s="1992" t="str">
        <f t="shared" si="175"/>
        <v>#N/A</v>
      </c>
      <c r="X78" s="1992" t="str">
        <f t="shared" si="175"/>
        <v>#N/A</v>
      </c>
      <c r="Y78" s="1989">
        <f t="shared" si="39"/>
        <v>45</v>
      </c>
    </row>
    <row r="79">
      <c r="A79" s="1533">
        <v>220.0</v>
      </c>
      <c r="B79" s="1534" t="s">
        <v>3293</v>
      </c>
      <c r="C79" s="1524" t="s">
        <v>2214</v>
      </c>
      <c r="D79" s="1535" t="s">
        <v>2214</v>
      </c>
      <c r="E79" s="1524" t="s">
        <v>3051</v>
      </c>
      <c r="F79" s="1992" t="str">
        <f t="shared" si="31"/>
        <v>#N/A</v>
      </c>
      <c r="G79" s="1992" t="str">
        <f t="shared" si="32"/>
        <v>#N/A</v>
      </c>
      <c r="H79" s="1992" t="str">
        <f t="shared" si="33"/>
        <v>#N/A</v>
      </c>
      <c r="I79" s="1992" t="str">
        <f t="shared" si="34"/>
        <v>#N/A</v>
      </c>
      <c r="J79" s="1992" t="str">
        <f t="shared" si="35"/>
        <v>#N/A</v>
      </c>
      <c r="K79" s="1992" t="str">
        <f t="shared" si="36"/>
        <v>#N/A</v>
      </c>
      <c r="L79" s="1992" t="str">
        <f t="shared" si="37"/>
        <v>#N/A</v>
      </c>
      <c r="M79" s="1992" t="str">
        <f t="shared" ref="M79:O79" si="176">(SUMIF(MA_TAIKHOAN,$E79,SDNDK)+SUMIFS(PS_SOTIEN,PS_TKNO,$E79,PS_NGAY,"&lt;="&amp;M$1))-(SUMIF(MA_TAIKHOAN,$E79,SDCDK)+SUMIFs(PS_SOTIEN,PS_TKCO,$E79,PS_NGAY,"&lt;="&amp;M$1))</f>
        <v>#N/A</v>
      </c>
      <c r="N79" s="1992" t="str">
        <f t="shared" si="176"/>
        <v>#N/A</v>
      </c>
      <c r="O79" s="1992" t="str">
        <f t="shared" si="176"/>
        <v>#N/A</v>
      </c>
      <c r="P79" s="1992" t="str">
        <f t="shared" si="156"/>
        <v>#N/A</v>
      </c>
      <c r="Q79" s="1992" t="str">
        <f t="shared" ref="Q79:S79" si="177">(SUMIF(MA_TAIKHOAN,$E79,SDNDK)+SUMIFS(PS_SOTIEN,PS_TKNO,$E79,PS_NGAY,"&lt;="&amp;P$1))-(SUMIF(MA_TAIKHOAN,$E79,SDCDK)+SUMIFs(PS_SOTIEN,PS_TKCO,$E79,PS_NGAY,"&lt;="&amp;P$1))</f>
        <v>#N/A</v>
      </c>
      <c r="R79" s="1992" t="str">
        <f t="shared" si="177"/>
        <v>#N/A</v>
      </c>
      <c r="S79" s="1992" t="str">
        <f t="shared" si="177"/>
        <v>#N/A</v>
      </c>
      <c r="T79" s="1992" t="str">
        <f t="shared" si="158"/>
        <v>#N/A</v>
      </c>
      <c r="U79" s="1992" t="str">
        <f t="shared" si="159"/>
        <v>#N/A</v>
      </c>
      <c r="V79" s="1992" t="str">
        <f t="shared" ref="V79:X79" si="178">(SUMIF(MA_TAIKHOAN,$E79,SDNDK)+SUMIFS(PS_SOTIEN,PS_TKNO,$E79,PS_NGAY,"&lt;="&amp;S$1))-(SUMIF(MA_TAIKHOAN,$E79,SDCDK)+SUMIFs(PS_SOTIEN,PS_TKCO,$E79,PS_NGAY,"&lt;="&amp;S$1))</f>
        <v>#N/A</v>
      </c>
      <c r="W79" s="1992" t="str">
        <f t="shared" si="178"/>
        <v>#N/A</v>
      </c>
      <c r="X79" s="1992" t="str">
        <f t="shared" si="178"/>
        <v>#N/A</v>
      </c>
      <c r="Y79" s="1989">
        <f t="shared" si="39"/>
        <v>46</v>
      </c>
    </row>
    <row r="80">
      <c r="A80" s="1533">
        <v>225.0</v>
      </c>
      <c r="B80" s="1534" t="s">
        <v>3294</v>
      </c>
      <c r="C80" s="1524" t="s">
        <v>3295</v>
      </c>
      <c r="D80" s="1535" t="s">
        <v>2214</v>
      </c>
      <c r="E80" s="1524" t="s">
        <v>1400</v>
      </c>
      <c r="F80" s="1993" t="str">
        <f t="shared" si="31"/>
        <v>#N/A</v>
      </c>
      <c r="G80" s="1993" t="str">
        <f t="shared" si="32"/>
        <v>#N/A</v>
      </c>
      <c r="H80" s="1993" t="str">
        <f t="shared" si="33"/>
        <v>#N/A</v>
      </c>
      <c r="I80" s="1993" t="str">
        <f t="shared" si="34"/>
        <v>#N/A</v>
      </c>
      <c r="J80" s="1993" t="str">
        <f t="shared" si="35"/>
        <v>#N/A</v>
      </c>
      <c r="K80" s="1993" t="str">
        <f t="shared" si="36"/>
        <v>#N/A</v>
      </c>
      <c r="L80" s="1993" t="str">
        <f t="shared" si="37"/>
        <v>#N/A</v>
      </c>
      <c r="M80" s="1993" t="str">
        <f t="shared" ref="M80:O80" si="179">(SUMIF(MA_TAIKHOAN,$E80,SDCDK)+SUMIFs(PS_SOTIEN,PS_TKCO,$E80,PS_NGAY,"&lt;="&amp;M$1))-(SUMIF(MA_TAIKHOAN,$E80,SDNDK)+SUMIFS(PS_SOTIEN,PS_TKNO,$E80,PS_NGAY,"&lt;="&amp;M$1))</f>
        <v>#N/A</v>
      </c>
      <c r="N80" s="1993" t="str">
        <f t="shared" si="179"/>
        <v>#N/A</v>
      </c>
      <c r="O80" s="1993" t="str">
        <f t="shared" si="179"/>
        <v>#N/A</v>
      </c>
      <c r="P80" s="1993" t="str">
        <f>(SUMIF(MA_TAIKHOAN,$E80,SDCDK)+SUMIFs(PS_SOTIEN,PS_TKCO,$E80,PS_NGAY,"&lt;="&amp;I$1))-(SUMIF(MA_TAIKHOAN,$E80,SDNDK)+SUMIFS(PS_SOTIEN,PS_TKNO,$E80,PS_NGAY,"&lt;="&amp;I$1))</f>
        <v>#N/A</v>
      </c>
      <c r="Q80" s="1993" t="str">
        <f t="shared" ref="Q80:S80" si="180">(SUMIF(MA_TAIKHOAN,$E80,SDCDK)+SUMIFs(PS_SOTIEN,PS_TKCO,$E80,PS_NGAY,"&lt;="&amp;P$1))-(SUMIF(MA_TAIKHOAN,$E80,SDNDK)+SUMIFS(PS_SOTIEN,PS_TKNO,$E80,PS_NGAY,"&lt;="&amp;P$1))</f>
        <v>#N/A</v>
      </c>
      <c r="R80" s="1993" t="str">
        <f t="shared" si="180"/>
        <v>#N/A</v>
      </c>
      <c r="S80" s="1993" t="str">
        <f t="shared" si="180"/>
        <v>#N/A</v>
      </c>
      <c r="T80" s="1993" t="str">
        <f>(SUMIF(MA_TAIKHOAN,$E80,SDCDK)+SUMIFs(PS_SOTIEN,PS_TKCO,$E80,PS_NGAY,"&lt;="&amp;J$1))-(SUMIF(MA_TAIKHOAN,$E80,SDNDK)+SUMIFS(PS_SOTIEN,PS_TKNO,$E80,PS_NGAY,"&lt;="&amp;J$1))</f>
        <v>#N/A</v>
      </c>
      <c r="U80" s="1993" t="str">
        <f>(SUMIF(MA_TAIKHOAN,$E80,SDCDK)+SUMIFs(PS_SOTIEN,PS_TKCO,$E80,PS_NGAY,"&lt;="&amp;G$1))-(SUMIF(MA_TAIKHOAN,$E80,SDNDK)+SUMIFS(PS_SOTIEN,PS_TKNO,$E80,PS_NGAY,"&lt;="&amp;G$1))</f>
        <v>#N/A</v>
      </c>
      <c r="V80" s="1993" t="str">
        <f t="shared" ref="V80:X80" si="181">(SUMIF(MA_TAIKHOAN,$E80,SDCDK)+SUMIFs(PS_SOTIEN,PS_TKCO,$E80,PS_NGAY,"&lt;="&amp;S$1))-(SUMIF(MA_TAIKHOAN,$E80,SDNDK)+SUMIFS(PS_SOTIEN,PS_TKNO,$E80,PS_NGAY,"&lt;="&amp;S$1))</f>
        <v>#N/A</v>
      </c>
      <c r="W80" s="1993" t="str">
        <f t="shared" si="181"/>
        <v>#N/A</v>
      </c>
      <c r="X80" s="1993" t="str">
        <f t="shared" si="181"/>
        <v>#N/A</v>
      </c>
      <c r="Y80" s="1989">
        <f t="shared" si="39"/>
        <v>47</v>
      </c>
    </row>
    <row r="81">
      <c r="A81" s="1520">
        <v>230.0</v>
      </c>
      <c r="B81" s="1521" t="s">
        <v>3296</v>
      </c>
      <c r="C81" s="1522" t="s">
        <v>3297</v>
      </c>
      <c r="D81" s="1523" t="s">
        <v>3298</v>
      </c>
      <c r="E81" s="1524" t="s">
        <v>2214</v>
      </c>
      <c r="F81" s="1991" t="str">
        <f t="shared" si="31"/>
        <v>#N/A</v>
      </c>
      <c r="G81" s="1991" t="str">
        <f t="shared" si="32"/>
        <v>#N/A</v>
      </c>
      <c r="H81" s="1991" t="str">
        <f t="shared" si="33"/>
        <v>#N/A</v>
      </c>
      <c r="I81" s="1991" t="str">
        <f t="shared" si="34"/>
        <v>#N/A</v>
      </c>
      <c r="J81" s="1991" t="str">
        <f t="shared" si="35"/>
        <v>#N/A</v>
      </c>
      <c r="K81" s="1991" t="str">
        <f t="shared" si="36"/>
        <v>#N/A</v>
      </c>
      <c r="L81" s="1991" t="str">
        <f t="shared" si="37"/>
        <v>#N/A</v>
      </c>
      <c r="M81" s="1991" t="str">
        <f t="shared" ref="M81:X81" si="182">SUM(M82:M86)</f>
        <v>#N/A</v>
      </c>
      <c r="N81" s="1991" t="str">
        <f t="shared" si="182"/>
        <v>#N/A</v>
      </c>
      <c r="O81" s="1991" t="str">
        <f t="shared" si="182"/>
        <v>#N/A</v>
      </c>
      <c r="P81" s="1991" t="str">
        <f t="shared" si="182"/>
        <v>#N/A</v>
      </c>
      <c r="Q81" s="1991" t="str">
        <f t="shared" si="182"/>
        <v>#N/A</v>
      </c>
      <c r="R81" s="1991" t="str">
        <f t="shared" si="182"/>
        <v>#N/A</v>
      </c>
      <c r="S81" s="1991" t="str">
        <f t="shared" si="182"/>
        <v>#N/A</v>
      </c>
      <c r="T81" s="1991" t="str">
        <f t="shared" si="182"/>
        <v>#N/A</v>
      </c>
      <c r="U81" s="1991" t="str">
        <f t="shared" si="182"/>
        <v>#N/A</v>
      </c>
      <c r="V81" s="1991" t="str">
        <f t="shared" si="182"/>
        <v>#N/A</v>
      </c>
      <c r="W81" s="1991" t="str">
        <f t="shared" si="182"/>
        <v>#N/A</v>
      </c>
      <c r="X81" s="1991" t="str">
        <f t="shared" si="182"/>
        <v>#N/A</v>
      </c>
      <c r="Y81" s="1989">
        <f t="shared" si="39"/>
        <v>48</v>
      </c>
    </row>
    <row r="82">
      <c r="A82" s="1533">
        <v>235.0</v>
      </c>
      <c r="B82" s="1534" t="s">
        <v>3299</v>
      </c>
      <c r="C82" s="1524" t="s">
        <v>3027</v>
      </c>
      <c r="D82" s="1535" t="s">
        <v>2214</v>
      </c>
      <c r="E82" s="1524" t="s">
        <v>3300</v>
      </c>
      <c r="F82" s="1993" t="str">
        <f t="shared" si="31"/>
        <v>#N/A</v>
      </c>
      <c r="G82" s="1993" t="str">
        <f t="shared" si="32"/>
        <v>#N/A</v>
      </c>
      <c r="H82" s="1993" t="str">
        <f t="shared" si="33"/>
        <v>#N/A</v>
      </c>
      <c r="I82" s="1993" t="str">
        <f t="shared" si="34"/>
        <v>#N/A</v>
      </c>
      <c r="J82" s="1993" t="str">
        <f t="shared" si="35"/>
        <v>#N/A</v>
      </c>
      <c r="K82" s="1993" t="str">
        <f t="shared" si="36"/>
        <v>#N/A</v>
      </c>
      <c r="L82" s="1993" t="str">
        <f t="shared" si="37"/>
        <v>#N/A</v>
      </c>
      <c r="M82" s="1993" t="str">
        <f t="shared" ref="M82:O82" si="183">(SUMIF(MA_TAIKHOAN,$E82,SDNDK)+SUMIFS(PS_SOTIEN,PS_TKNO,$E82,PS_NGAY,"&lt;="&amp;M$1))-(SUMIF(MA_TAIKHOAN,$E82,SDCDK)+SUMIFs(PS_SOTIEN,PS_TKCO,$E82,PS_NGAY,"&lt;="&amp;M$1))</f>
        <v>#N/A</v>
      </c>
      <c r="N82" s="1993" t="str">
        <f t="shared" si="183"/>
        <v>#N/A</v>
      </c>
      <c r="O82" s="1993" t="str">
        <f t="shared" si="183"/>
        <v>#N/A</v>
      </c>
      <c r="P82" s="1993" t="str">
        <f t="shared" ref="P82:P86" si="187">(SUMIF(MA_TAIKHOAN,$E82,SDNDK)+SUMIFS(PS_SOTIEN,PS_TKNO,$E82,PS_NGAY,"&lt;="&amp;I$1))-(SUMIF(MA_TAIKHOAN,$E82,SDCDK)+SUMIFs(PS_SOTIEN,PS_TKCO,$E82,PS_NGAY,"&lt;="&amp;I$1))</f>
        <v>#N/A</v>
      </c>
      <c r="Q82" s="1993" t="str">
        <f t="shared" ref="Q82:S82" si="184">(SUMIF(MA_TAIKHOAN,$E82,SDNDK)+SUMIFS(PS_SOTIEN,PS_TKNO,$E82,PS_NGAY,"&lt;="&amp;P$1))-(SUMIF(MA_TAIKHOAN,$E82,SDCDK)+SUMIFs(PS_SOTIEN,PS_TKCO,$E82,PS_NGAY,"&lt;="&amp;P$1))</f>
        <v>#N/A</v>
      </c>
      <c r="R82" s="1993" t="str">
        <f t="shared" si="184"/>
        <v>#N/A</v>
      </c>
      <c r="S82" s="1993" t="str">
        <f t="shared" si="184"/>
        <v>#N/A</v>
      </c>
      <c r="T82" s="1993" t="str">
        <f t="shared" ref="T82:T86" si="189">(SUMIF(MA_TAIKHOAN,$E82,SDNDK)+SUMIFS(PS_SOTIEN,PS_TKNO,$E82,PS_NGAY,"&lt;="&amp;J$1))-(SUMIF(MA_TAIKHOAN,$E82,SDCDK)+SUMIFs(PS_SOTIEN,PS_TKCO,$E82,PS_NGAY,"&lt;="&amp;J$1))</f>
        <v>#N/A</v>
      </c>
      <c r="U82" s="1993" t="str">
        <f t="shared" ref="U82:U86" si="190">(SUMIF(MA_TAIKHOAN,$E82,SDNDK)+SUMIFS(PS_SOTIEN,PS_TKNO,$E82,PS_NGAY,"&lt;="&amp;G$1))-(SUMIF(MA_TAIKHOAN,$E82,SDCDK)+SUMIFs(PS_SOTIEN,PS_TKCO,$E82,PS_NGAY,"&lt;="&amp;G$1))</f>
        <v>#N/A</v>
      </c>
      <c r="V82" s="1993" t="str">
        <f t="shared" ref="V82:X82" si="185">(SUMIF(MA_TAIKHOAN,$E82,SDNDK)+SUMIFS(PS_SOTIEN,PS_TKNO,$E82,PS_NGAY,"&lt;="&amp;S$1))-(SUMIF(MA_TAIKHOAN,$E82,SDCDK)+SUMIFs(PS_SOTIEN,PS_TKCO,$E82,PS_NGAY,"&lt;="&amp;S$1))</f>
        <v>#N/A</v>
      </c>
      <c r="W82" s="1993" t="str">
        <f t="shared" si="185"/>
        <v>#N/A</v>
      </c>
      <c r="X82" s="1993" t="str">
        <f t="shared" si="185"/>
        <v>#N/A</v>
      </c>
      <c r="Y82" s="1989">
        <f t="shared" si="39"/>
        <v>49</v>
      </c>
    </row>
    <row r="83">
      <c r="A83" s="1533">
        <v>240.0</v>
      </c>
      <c r="B83" s="1534" t="s">
        <v>3301</v>
      </c>
      <c r="C83" s="1524" t="s">
        <v>3028</v>
      </c>
      <c r="D83" s="1535" t="s">
        <v>2214</v>
      </c>
      <c r="E83" s="1524" t="s">
        <v>1890</v>
      </c>
      <c r="F83" s="1993" t="str">
        <f t="shared" si="31"/>
        <v>#N/A</v>
      </c>
      <c r="G83" s="1993" t="str">
        <f t="shared" si="32"/>
        <v>#N/A</v>
      </c>
      <c r="H83" s="1993" t="str">
        <f t="shared" si="33"/>
        <v>#N/A</v>
      </c>
      <c r="I83" s="1993" t="str">
        <f t="shared" si="34"/>
        <v>#N/A</v>
      </c>
      <c r="J83" s="1993" t="str">
        <f t="shared" si="35"/>
        <v>#N/A</v>
      </c>
      <c r="K83" s="1993" t="str">
        <f t="shared" si="36"/>
        <v>#N/A</v>
      </c>
      <c r="L83" s="1993" t="str">
        <f t="shared" si="37"/>
        <v>#N/A</v>
      </c>
      <c r="M83" s="1993" t="str">
        <f t="shared" ref="M83:O83" si="186">(SUMIF(MA_TAIKHOAN,$E83,SDNDK)+SUMIFS(PS_SOTIEN,PS_TKNO,$E83,PS_NGAY,"&lt;="&amp;M$1))-(SUMIF(MA_TAIKHOAN,$E83,SDCDK)+SUMIFs(PS_SOTIEN,PS_TKCO,$E83,PS_NGAY,"&lt;="&amp;M$1))</f>
        <v>#N/A</v>
      </c>
      <c r="N83" s="1993" t="str">
        <f t="shared" si="186"/>
        <v>#N/A</v>
      </c>
      <c r="O83" s="1993" t="str">
        <f t="shared" si="186"/>
        <v>#N/A</v>
      </c>
      <c r="P83" s="1993" t="str">
        <f t="shared" si="187"/>
        <v>#N/A</v>
      </c>
      <c r="Q83" s="1993" t="str">
        <f t="shared" ref="Q83:S83" si="188">(SUMIF(MA_TAIKHOAN,$E83,SDNDK)+SUMIFS(PS_SOTIEN,PS_TKNO,$E83,PS_NGAY,"&lt;="&amp;P$1))-(SUMIF(MA_TAIKHOAN,$E83,SDCDK)+SUMIFs(PS_SOTIEN,PS_TKCO,$E83,PS_NGAY,"&lt;="&amp;P$1))</f>
        <v>#N/A</v>
      </c>
      <c r="R83" s="1993" t="str">
        <f t="shared" si="188"/>
        <v>#N/A</v>
      </c>
      <c r="S83" s="1993" t="str">
        <f t="shared" si="188"/>
        <v>#N/A</v>
      </c>
      <c r="T83" s="1993" t="str">
        <f t="shared" si="189"/>
        <v>#N/A</v>
      </c>
      <c r="U83" s="1993" t="str">
        <f t="shared" si="190"/>
        <v>#N/A</v>
      </c>
      <c r="V83" s="1993" t="str">
        <f t="shared" ref="V83:X83" si="191">(SUMIF(MA_TAIKHOAN,$E83,SDNDK)+SUMIFS(PS_SOTIEN,PS_TKNO,$E83,PS_NGAY,"&lt;="&amp;S$1))-(SUMIF(MA_TAIKHOAN,$E83,SDCDK)+SUMIFs(PS_SOTIEN,PS_TKCO,$E83,PS_NGAY,"&lt;="&amp;S$1))</f>
        <v>#N/A</v>
      </c>
      <c r="W83" s="1993" t="str">
        <f t="shared" si="191"/>
        <v>#N/A</v>
      </c>
      <c r="X83" s="1993" t="str">
        <f t="shared" si="191"/>
        <v>#N/A</v>
      </c>
      <c r="Y83" s="1989">
        <f t="shared" si="39"/>
        <v>50</v>
      </c>
    </row>
    <row r="84">
      <c r="A84" s="1533">
        <v>245.0</v>
      </c>
      <c r="B84" s="1534" t="s">
        <v>3302</v>
      </c>
      <c r="C84" s="1524" t="s">
        <v>3029</v>
      </c>
      <c r="D84" s="1535" t="s">
        <v>2214</v>
      </c>
      <c r="E84" s="1524" t="s">
        <v>3105</v>
      </c>
      <c r="F84" s="1993" t="str">
        <f t="shared" si="31"/>
        <v>#N/A</v>
      </c>
      <c r="G84" s="1993" t="str">
        <f t="shared" si="32"/>
        <v>#N/A</v>
      </c>
      <c r="H84" s="1993" t="str">
        <f t="shared" si="33"/>
        <v>#N/A</v>
      </c>
      <c r="I84" s="1993" t="str">
        <f t="shared" si="34"/>
        <v>#N/A</v>
      </c>
      <c r="J84" s="1993" t="str">
        <f t="shared" si="35"/>
        <v>#N/A</v>
      </c>
      <c r="K84" s="1993" t="str">
        <f t="shared" si="36"/>
        <v>#N/A</v>
      </c>
      <c r="L84" s="1993" t="str">
        <f t="shared" si="37"/>
        <v>#N/A</v>
      </c>
      <c r="M84" s="1993" t="str">
        <f t="shared" ref="M84:O84" si="192">(SUMIF(MA_TAIKHOAN,$E84,SDNDK)+SUMIFS(PS_SOTIEN,PS_TKNO,$E84,PS_NGAY,"&lt;="&amp;M$1))-(SUMIF(MA_TAIKHOAN,$E84,SDCDK)+SUMIFs(PS_SOTIEN,PS_TKCO,$E84,PS_NGAY,"&lt;="&amp;M$1))</f>
        <v>#N/A</v>
      </c>
      <c r="N84" s="1993" t="str">
        <f t="shared" si="192"/>
        <v>#N/A</v>
      </c>
      <c r="O84" s="1993" t="str">
        <f t="shared" si="192"/>
        <v>#N/A</v>
      </c>
      <c r="P84" s="1993" t="str">
        <f t="shared" si="187"/>
        <v>#N/A</v>
      </c>
      <c r="Q84" s="1993" t="str">
        <f t="shared" ref="Q84:S84" si="193">(SUMIF(MA_TAIKHOAN,$E84,SDNDK)+SUMIFS(PS_SOTIEN,PS_TKNO,$E84,PS_NGAY,"&lt;="&amp;P$1))-(SUMIF(MA_TAIKHOAN,$E84,SDCDK)+SUMIFs(PS_SOTIEN,PS_TKCO,$E84,PS_NGAY,"&lt;="&amp;P$1))</f>
        <v>#N/A</v>
      </c>
      <c r="R84" s="1993" t="str">
        <f t="shared" si="193"/>
        <v>#N/A</v>
      </c>
      <c r="S84" s="1993" t="str">
        <f t="shared" si="193"/>
        <v>#N/A</v>
      </c>
      <c r="T84" s="1993" t="str">
        <f t="shared" si="189"/>
        <v>#N/A</v>
      </c>
      <c r="U84" s="1993" t="str">
        <f t="shared" si="190"/>
        <v>#N/A</v>
      </c>
      <c r="V84" s="1993" t="str">
        <f t="shared" ref="V84:X84" si="194">(SUMIF(MA_TAIKHOAN,$E84,SDNDK)+SUMIFS(PS_SOTIEN,PS_TKNO,$E84,PS_NGAY,"&lt;="&amp;S$1))-(SUMIF(MA_TAIKHOAN,$E84,SDCDK)+SUMIFs(PS_SOTIEN,PS_TKCO,$E84,PS_NGAY,"&lt;="&amp;S$1))</f>
        <v>#N/A</v>
      </c>
      <c r="W84" s="1993" t="str">
        <f t="shared" si="194"/>
        <v>#N/A</v>
      </c>
      <c r="X84" s="1993" t="str">
        <f t="shared" si="194"/>
        <v>#N/A</v>
      </c>
      <c r="Y84" s="1989">
        <f t="shared" si="39"/>
        <v>51</v>
      </c>
    </row>
    <row r="85">
      <c r="A85" s="1533">
        <v>250.0</v>
      </c>
      <c r="B85" s="1534" t="s">
        <v>3303</v>
      </c>
      <c r="C85" s="1524" t="s">
        <v>1875</v>
      </c>
      <c r="D85" s="1535" t="s">
        <v>2214</v>
      </c>
      <c r="E85" s="1524" t="s">
        <v>3059</v>
      </c>
      <c r="F85" s="1993" t="str">
        <f t="shared" si="31"/>
        <v>#N/A</v>
      </c>
      <c r="G85" s="1993" t="str">
        <f t="shared" si="32"/>
        <v>#N/A</v>
      </c>
      <c r="H85" s="1993" t="str">
        <f t="shared" si="33"/>
        <v>#N/A</v>
      </c>
      <c r="I85" s="1993" t="str">
        <f t="shared" si="34"/>
        <v>#N/A</v>
      </c>
      <c r="J85" s="1993" t="str">
        <f t="shared" si="35"/>
        <v>#N/A</v>
      </c>
      <c r="K85" s="1993" t="str">
        <f t="shared" si="36"/>
        <v>#N/A</v>
      </c>
      <c r="L85" s="1993" t="str">
        <f t="shared" si="37"/>
        <v>#N/A</v>
      </c>
      <c r="M85" s="1993" t="str">
        <f t="shared" ref="M85:O85" si="195">(SUMIF(MA_TAIKHOAN,$E85,SDNDK)+SUMIFS(PS_SOTIEN,PS_TKNO,$E85,PS_NGAY,"&lt;="&amp;M$1))-(SUMIF(MA_TAIKHOAN,$E85,SDCDK)+SUMIFs(PS_SOTIEN,PS_TKCO,$E85,PS_NGAY,"&lt;="&amp;M$1))</f>
        <v>#N/A</v>
      </c>
      <c r="N85" s="1993" t="str">
        <f t="shared" si="195"/>
        <v>#N/A</v>
      </c>
      <c r="O85" s="1993" t="str">
        <f t="shared" si="195"/>
        <v>#N/A</v>
      </c>
      <c r="P85" s="1993" t="str">
        <f t="shared" si="187"/>
        <v>#N/A</v>
      </c>
      <c r="Q85" s="1993" t="str">
        <f t="shared" ref="Q85:S85" si="196">(SUMIF(MA_TAIKHOAN,$E85,SDNDK)+SUMIFS(PS_SOTIEN,PS_TKNO,$E85,PS_NGAY,"&lt;="&amp;P$1))-(SUMIF(MA_TAIKHOAN,$E85,SDCDK)+SUMIFs(PS_SOTIEN,PS_TKCO,$E85,PS_NGAY,"&lt;="&amp;P$1))</f>
        <v>#N/A</v>
      </c>
      <c r="R85" s="1993" t="str">
        <f t="shared" si="196"/>
        <v>#N/A</v>
      </c>
      <c r="S85" s="1993" t="str">
        <f t="shared" si="196"/>
        <v>#N/A</v>
      </c>
      <c r="T85" s="1993" t="str">
        <f t="shared" si="189"/>
        <v>#N/A</v>
      </c>
      <c r="U85" s="1993" t="str">
        <f t="shared" si="190"/>
        <v>#N/A</v>
      </c>
      <c r="V85" s="1993" t="str">
        <f t="shared" ref="V85:X85" si="197">(SUMIF(MA_TAIKHOAN,$E85,SDNDK)+SUMIFS(PS_SOTIEN,PS_TKNO,$E85,PS_NGAY,"&lt;="&amp;S$1))-(SUMIF(MA_TAIKHOAN,$E85,SDCDK)+SUMIFs(PS_SOTIEN,PS_TKCO,$E85,PS_NGAY,"&lt;="&amp;S$1))</f>
        <v>#N/A</v>
      </c>
      <c r="W85" s="1993" t="str">
        <f t="shared" si="197"/>
        <v>#N/A</v>
      </c>
      <c r="X85" s="1993" t="str">
        <f t="shared" si="197"/>
        <v>#N/A</v>
      </c>
      <c r="Y85" s="1989">
        <f t="shared" si="39"/>
        <v>52</v>
      </c>
    </row>
    <row r="86">
      <c r="A86" s="1533">
        <v>255.0</v>
      </c>
      <c r="B86" s="1534" t="s">
        <v>3304</v>
      </c>
      <c r="C86" s="1524" t="s">
        <v>3037</v>
      </c>
      <c r="D86" s="1535" t="s">
        <v>2214</v>
      </c>
      <c r="E86" s="1524" t="s">
        <v>1391</v>
      </c>
      <c r="F86" s="1993" t="str">
        <f t="shared" si="31"/>
        <v>#N/A</v>
      </c>
      <c r="G86" s="1993" t="str">
        <f t="shared" si="32"/>
        <v>#N/A</v>
      </c>
      <c r="H86" s="1993" t="str">
        <f t="shared" si="33"/>
        <v>#N/A</v>
      </c>
      <c r="I86" s="1993" t="str">
        <f t="shared" si="34"/>
        <v>#N/A</v>
      </c>
      <c r="J86" s="1993" t="str">
        <f t="shared" si="35"/>
        <v>#N/A</v>
      </c>
      <c r="K86" s="1993" t="str">
        <f t="shared" si="36"/>
        <v>#N/A</v>
      </c>
      <c r="L86" s="1993" t="str">
        <f t="shared" si="37"/>
        <v>#N/A</v>
      </c>
      <c r="M86" s="1993" t="str">
        <f t="shared" ref="M86:O86" si="198">(SUMIF(MA_TAIKHOAN,$E86,SDNDK)+SUMIFS(PS_SOTIEN,PS_TKNO,$E86,PS_NGAY,"&lt;="&amp;M$1))-(SUMIF(MA_TAIKHOAN,$E86,SDCDK)+SUMIFs(PS_SOTIEN,PS_TKCO,$E86,PS_NGAY,"&lt;="&amp;M$1))</f>
        <v>#N/A</v>
      </c>
      <c r="N86" s="1993" t="str">
        <f t="shared" si="198"/>
        <v>#N/A</v>
      </c>
      <c r="O86" s="1993" t="str">
        <f t="shared" si="198"/>
        <v>#N/A</v>
      </c>
      <c r="P86" s="1993" t="str">
        <f t="shared" si="187"/>
        <v>#N/A</v>
      </c>
      <c r="Q86" s="1993" t="str">
        <f t="shared" ref="Q86:S86" si="199">(SUMIF(MA_TAIKHOAN,$E86,SDNDK)+SUMIFS(PS_SOTIEN,PS_TKNO,$E86,PS_NGAY,"&lt;="&amp;P$1))-(SUMIF(MA_TAIKHOAN,$E86,SDCDK)+SUMIFs(PS_SOTIEN,PS_TKCO,$E86,PS_NGAY,"&lt;="&amp;P$1))</f>
        <v>#N/A</v>
      </c>
      <c r="R86" s="1993" t="str">
        <f t="shared" si="199"/>
        <v>#N/A</v>
      </c>
      <c r="S86" s="1993" t="str">
        <f t="shared" si="199"/>
        <v>#N/A</v>
      </c>
      <c r="T86" s="1993" t="str">
        <f t="shared" si="189"/>
        <v>#N/A</v>
      </c>
      <c r="U86" s="1993" t="str">
        <f t="shared" si="190"/>
        <v>#N/A</v>
      </c>
      <c r="V86" s="1993" t="str">
        <f t="shared" ref="V86:X86" si="200">(SUMIF(MA_TAIKHOAN,$E86,SDNDK)+SUMIFS(PS_SOTIEN,PS_TKNO,$E86,PS_NGAY,"&lt;="&amp;S$1))-(SUMIF(MA_TAIKHOAN,$E86,SDCDK)+SUMIFs(PS_SOTIEN,PS_TKCO,$E86,PS_NGAY,"&lt;="&amp;S$1))</f>
        <v>#N/A</v>
      </c>
      <c r="W86" s="1993" t="str">
        <f t="shared" si="200"/>
        <v>#N/A</v>
      </c>
      <c r="X86" s="1993" t="str">
        <f t="shared" si="200"/>
        <v>#N/A</v>
      </c>
      <c r="Y86" s="1989">
        <f t="shared" si="39"/>
        <v>53</v>
      </c>
    </row>
    <row r="87">
      <c r="A87" s="1509">
        <v>260.0</v>
      </c>
      <c r="B87" s="1510" t="s">
        <v>3305</v>
      </c>
      <c r="C87" s="1511" t="s">
        <v>3306</v>
      </c>
      <c r="D87" s="1512" t="s">
        <v>3307</v>
      </c>
      <c r="E87" s="1513" t="s">
        <v>2214</v>
      </c>
      <c r="F87" s="1990" t="str">
        <f t="shared" si="31"/>
        <v>#N/A</v>
      </c>
      <c r="G87" s="1990" t="str">
        <f t="shared" si="32"/>
        <v>#N/A</v>
      </c>
      <c r="H87" s="1990" t="str">
        <f t="shared" si="33"/>
        <v>#N/A</v>
      </c>
      <c r="I87" s="1990" t="str">
        <f t="shared" si="34"/>
        <v>#N/A</v>
      </c>
      <c r="J87" s="1990" t="str">
        <f t="shared" si="35"/>
        <v>#N/A</v>
      </c>
      <c r="K87" s="1990" t="str">
        <f t="shared" si="36"/>
        <v>#N/A</v>
      </c>
      <c r="L87" s="1990" t="str">
        <f t="shared" si="37"/>
        <v>#N/A</v>
      </c>
      <c r="M87" s="1990" t="str">
        <f t="shared" ref="M87:X87" si="201">M88+M105+M115+M118+M123+M132</f>
        <v>#N/A</v>
      </c>
      <c r="N87" s="1990" t="str">
        <f t="shared" si="201"/>
        <v>#N/A</v>
      </c>
      <c r="O87" s="1990" t="str">
        <f t="shared" si="201"/>
        <v>#N/A</v>
      </c>
      <c r="P87" s="1990" t="str">
        <f t="shared" si="201"/>
        <v>#N/A</v>
      </c>
      <c r="Q87" s="1990" t="str">
        <f t="shared" si="201"/>
        <v>#N/A</v>
      </c>
      <c r="R87" s="1990" t="str">
        <f t="shared" si="201"/>
        <v>#N/A</v>
      </c>
      <c r="S87" s="1990" t="str">
        <f t="shared" si="201"/>
        <v>#N/A</v>
      </c>
      <c r="T87" s="1990" t="str">
        <f t="shared" si="201"/>
        <v>#N/A</v>
      </c>
      <c r="U87" s="1990" t="str">
        <f t="shared" si="201"/>
        <v>#N/A</v>
      </c>
      <c r="V87" s="1990" t="str">
        <f t="shared" si="201"/>
        <v>#N/A</v>
      </c>
      <c r="W87" s="1990" t="str">
        <f t="shared" si="201"/>
        <v>#N/A</v>
      </c>
      <c r="X87" s="1990" t="str">
        <f t="shared" si="201"/>
        <v>#N/A</v>
      </c>
      <c r="Y87" s="1989">
        <f t="shared" si="39"/>
        <v>54</v>
      </c>
    </row>
    <row r="88">
      <c r="A88" s="1520">
        <v>265.0</v>
      </c>
      <c r="B88" s="1521" t="s">
        <v>3308</v>
      </c>
      <c r="C88" s="1522" t="s">
        <v>3309</v>
      </c>
      <c r="D88" s="1523" t="s">
        <v>3310</v>
      </c>
      <c r="E88" s="1524" t="s">
        <v>2214</v>
      </c>
      <c r="F88" s="1991" t="str">
        <f t="shared" si="31"/>
        <v>#N/A</v>
      </c>
      <c r="G88" s="1991" t="str">
        <f t="shared" si="32"/>
        <v>#N/A</v>
      </c>
      <c r="H88" s="1991" t="str">
        <f t="shared" si="33"/>
        <v>#N/A</v>
      </c>
      <c r="I88" s="1991" t="str">
        <f t="shared" si="34"/>
        <v>#N/A</v>
      </c>
      <c r="J88" s="1991" t="str">
        <f t="shared" si="35"/>
        <v>#N/A</v>
      </c>
      <c r="K88" s="1991" t="str">
        <f t="shared" si="36"/>
        <v>#N/A</v>
      </c>
      <c r="L88" s="1991" t="str">
        <f t="shared" si="37"/>
        <v>#N/A</v>
      </c>
      <c r="M88" s="1991" t="str">
        <f t="shared" ref="M88:X88" si="202">SUM(M89:M92)+SUM(M96:M97)+M104</f>
        <v>#N/A</v>
      </c>
      <c r="N88" s="1991" t="str">
        <f t="shared" si="202"/>
        <v>#N/A</v>
      </c>
      <c r="O88" s="1991" t="str">
        <f t="shared" si="202"/>
        <v>#N/A</v>
      </c>
      <c r="P88" s="1991" t="str">
        <f t="shared" si="202"/>
        <v>#N/A</v>
      </c>
      <c r="Q88" s="1991" t="str">
        <f t="shared" si="202"/>
        <v>#N/A</v>
      </c>
      <c r="R88" s="1991" t="str">
        <f t="shared" si="202"/>
        <v>#N/A</v>
      </c>
      <c r="S88" s="1991" t="str">
        <f t="shared" si="202"/>
        <v>#N/A</v>
      </c>
      <c r="T88" s="1991" t="str">
        <f t="shared" si="202"/>
        <v>#N/A</v>
      </c>
      <c r="U88" s="1991" t="str">
        <f t="shared" si="202"/>
        <v>#N/A</v>
      </c>
      <c r="V88" s="1991" t="str">
        <f t="shared" si="202"/>
        <v>#N/A</v>
      </c>
      <c r="W88" s="1991" t="str">
        <f t="shared" si="202"/>
        <v>#N/A</v>
      </c>
      <c r="X88" s="1991" t="str">
        <f t="shared" si="202"/>
        <v>#N/A</v>
      </c>
      <c r="Y88" s="1989">
        <f t="shared" si="39"/>
        <v>55</v>
      </c>
    </row>
    <row r="89">
      <c r="A89" s="1533">
        <v>270.0</v>
      </c>
      <c r="B89" s="1534" t="s">
        <v>3311</v>
      </c>
      <c r="C89" s="1524" t="s">
        <v>3061</v>
      </c>
      <c r="D89" s="1535" t="s">
        <v>2214</v>
      </c>
      <c r="E89" s="1524" t="s">
        <v>3312</v>
      </c>
      <c r="F89" s="1993" t="str">
        <f t="shared" si="31"/>
        <v>#N/A</v>
      </c>
      <c r="G89" s="1993" t="str">
        <f t="shared" si="32"/>
        <v>#N/A</v>
      </c>
      <c r="H89" s="1993" t="str">
        <f t="shared" si="33"/>
        <v>#N/A</v>
      </c>
      <c r="I89" s="1993" t="str">
        <f t="shared" si="34"/>
        <v>#N/A</v>
      </c>
      <c r="J89" s="1993" t="str">
        <f t="shared" si="35"/>
        <v>#N/A</v>
      </c>
      <c r="K89" s="1993" t="str">
        <f t="shared" si="36"/>
        <v>#N/A</v>
      </c>
      <c r="L89" s="1993" t="str">
        <f t="shared" si="37"/>
        <v>#N/A</v>
      </c>
      <c r="M89" s="1993" t="str">
        <f t="shared" ref="M89:O89" si="203">(SUMIF(MA_TAIKHOAN,$E89,SDNDK)+SUMIFS(PS_SOTIEN,PS_TKNO,$E89,PS_NGAY,"&lt;="&amp;M$1))-(SUMIF(MA_TAIKHOAN,$E89,SDCDK)+SUMIFs(PS_SOTIEN,PS_TKCO,$E89,PS_NGAY,"&lt;="&amp;M$1))</f>
        <v>#N/A</v>
      </c>
      <c r="N89" s="1993" t="str">
        <f t="shared" si="203"/>
        <v>#N/A</v>
      </c>
      <c r="O89" s="1993" t="str">
        <f t="shared" si="203"/>
        <v>#N/A</v>
      </c>
      <c r="P89" s="1993" t="str">
        <f t="shared" ref="P89:P91" si="207">(SUMIF(MA_TAIKHOAN,$E89,SDNDK)+SUMIFS(PS_SOTIEN,PS_TKNO,$E89,PS_NGAY,"&lt;="&amp;I$1))-(SUMIF(MA_TAIKHOAN,$E89,SDCDK)+SUMIFs(PS_SOTIEN,PS_TKCO,$E89,PS_NGAY,"&lt;="&amp;I$1))</f>
        <v>#N/A</v>
      </c>
      <c r="Q89" s="1993" t="str">
        <f t="shared" ref="Q89:S89" si="204">(SUMIF(MA_TAIKHOAN,$E89,SDNDK)+SUMIFS(PS_SOTIEN,PS_TKNO,$E89,PS_NGAY,"&lt;="&amp;P$1))-(SUMIF(MA_TAIKHOAN,$E89,SDCDK)+SUMIFs(PS_SOTIEN,PS_TKCO,$E89,PS_NGAY,"&lt;="&amp;P$1))</f>
        <v>#N/A</v>
      </c>
      <c r="R89" s="1993" t="str">
        <f t="shared" si="204"/>
        <v>#N/A</v>
      </c>
      <c r="S89" s="1993" t="str">
        <f t="shared" si="204"/>
        <v>#N/A</v>
      </c>
      <c r="T89" s="1993" t="str">
        <f t="shared" ref="T89:T91" si="209">(SUMIF(MA_TAIKHOAN,$E89,SDNDK)+SUMIFS(PS_SOTIEN,PS_TKNO,$E89,PS_NGAY,"&lt;="&amp;J$1))-(SUMIF(MA_TAIKHOAN,$E89,SDCDK)+SUMIFs(PS_SOTIEN,PS_TKCO,$E89,PS_NGAY,"&lt;="&amp;J$1))</f>
        <v>#N/A</v>
      </c>
      <c r="U89" s="1993" t="str">
        <f t="shared" ref="U89:U91" si="210">(SUMIF(MA_TAIKHOAN,$E89,SDNDK)+SUMIFS(PS_SOTIEN,PS_TKNO,$E89,PS_NGAY,"&lt;="&amp;G$1))-(SUMIF(MA_TAIKHOAN,$E89,SDCDK)+SUMIFs(PS_SOTIEN,PS_TKCO,$E89,PS_NGAY,"&lt;="&amp;G$1))</f>
        <v>#N/A</v>
      </c>
      <c r="V89" s="1993" t="str">
        <f t="shared" ref="V89:X89" si="205">(SUMIF(MA_TAIKHOAN,$E89,SDNDK)+SUMIFS(PS_SOTIEN,PS_TKNO,$E89,PS_NGAY,"&lt;="&amp;S$1))-(SUMIF(MA_TAIKHOAN,$E89,SDCDK)+SUMIFs(PS_SOTIEN,PS_TKCO,$E89,PS_NGAY,"&lt;="&amp;S$1))</f>
        <v>#N/A</v>
      </c>
      <c r="W89" s="1993" t="str">
        <f t="shared" si="205"/>
        <v>#N/A</v>
      </c>
      <c r="X89" s="1993" t="str">
        <f t="shared" si="205"/>
        <v>#N/A</v>
      </c>
      <c r="Y89" s="1989">
        <f t="shared" si="39"/>
        <v>56</v>
      </c>
    </row>
    <row r="90">
      <c r="A90" s="1533">
        <v>275.0</v>
      </c>
      <c r="B90" s="1534" t="s">
        <v>3313</v>
      </c>
      <c r="C90" s="1524" t="s">
        <v>3071</v>
      </c>
      <c r="D90" s="1535" t="s">
        <v>2214</v>
      </c>
      <c r="E90" s="1524" t="s">
        <v>3314</v>
      </c>
      <c r="F90" s="1993" t="str">
        <f t="shared" si="31"/>
        <v>#N/A</v>
      </c>
      <c r="G90" s="1993" t="str">
        <f t="shared" si="32"/>
        <v>#N/A</v>
      </c>
      <c r="H90" s="1993" t="str">
        <f t="shared" si="33"/>
        <v>#N/A</v>
      </c>
      <c r="I90" s="1993" t="str">
        <f t="shared" si="34"/>
        <v>#N/A</v>
      </c>
      <c r="J90" s="1993" t="str">
        <f t="shared" si="35"/>
        <v>#N/A</v>
      </c>
      <c r="K90" s="1993" t="str">
        <f t="shared" si="36"/>
        <v>#N/A</v>
      </c>
      <c r="L90" s="1993" t="str">
        <f t="shared" si="37"/>
        <v>#N/A</v>
      </c>
      <c r="M90" s="1993" t="str">
        <f t="shared" ref="M90:O90" si="206">(SUMIF(MA_TAIKHOAN,$E90,SDNDK)+SUMIFS(PS_SOTIEN,PS_TKNO,$E90,PS_NGAY,"&lt;="&amp;M$1))-(SUMIF(MA_TAIKHOAN,$E90,SDCDK)+SUMIFs(PS_SOTIEN,PS_TKCO,$E90,PS_NGAY,"&lt;="&amp;M$1))</f>
        <v>#N/A</v>
      </c>
      <c r="N90" s="1993" t="str">
        <f t="shared" si="206"/>
        <v>#N/A</v>
      </c>
      <c r="O90" s="1993" t="str">
        <f t="shared" si="206"/>
        <v>#N/A</v>
      </c>
      <c r="P90" s="1993" t="str">
        <f t="shared" si="207"/>
        <v>#N/A</v>
      </c>
      <c r="Q90" s="1993" t="str">
        <f t="shared" ref="Q90:S90" si="208">(SUMIF(MA_TAIKHOAN,$E90,SDNDK)+SUMIFS(PS_SOTIEN,PS_TKNO,$E90,PS_NGAY,"&lt;="&amp;P$1))-(SUMIF(MA_TAIKHOAN,$E90,SDCDK)+SUMIFs(PS_SOTIEN,PS_TKCO,$E90,PS_NGAY,"&lt;="&amp;P$1))</f>
        <v>#N/A</v>
      </c>
      <c r="R90" s="1993" t="str">
        <f t="shared" si="208"/>
        <v>#N/A</v>
      </c>
      <c r="S90" s="1993" t="str">
        <f t="shared" si="208"/>
        <v>#N/A</v>
      </c>
      <c r="T90" s="1993" t="str">
        <f t="shared" si="209"/>
        <v>#N/A</v>
      </c>
      <c r="U90" s="1993" t="str">
        <f t="shared" si="210"/>
        <v>#N/A</v>
      </c>
      <c r="V90" s="1993" t="str">
        <f t="shared" ref="V90:X90" si="211">(SUMIF(MA_TAIKHOAN,$E90,SDNDK)+SUMIFS(PS_SOTIEN,PS_TKNO,$E90,PS_NGAY,"&lt;="&amp;S$1))-(SUMIF(MA_TAIKHOAN,$E90,SDCDK)+SUMIFs(PS_SOTIEN,PS_TKCO,$E90,PS_NGAY,"&lt;="&amp;S$1))</f>
        <v>#N/A</v>
      </c>
      <c r="W90" s="1993" t="str">
        <f t="shared" si="211"/>
        <v>#N/A</v>
      </c>
      <c r="X90" s="1993" t="str">
        <f t="shared" si="211"/>
        <v>#N/A</v>
      </c>
      <c r="Y90" s="1989">
        <f t="shared" si="39"/>
        <v>57</v>
      </c>
    </row>
    <row r="91">
      <c r="A91" s="1533">
        <v>280.0</v>
      </c>
      <c r="B91" s="1534" t="s">
        <v>3315</v>
      </c>
      <c r="C91" s="1524" t="s">
        <v>3076</v>
      </c>
      <c r="D91" s="1535" t="s">
        <v>2214</v>
      </c>
      <c r="E91" s="1524" t="s">
        <v>1351</v>
      </c>
      <c r="F91" s="1993" t="str">
        <f t="shared" si="31"/>
        <v>#N/A</v>
      </c>
      <c r="G91" s="1993" t="str">
        <f t="shared" si="32"/>
        <v>#N/A</v>
      </c>
      <c r="H91" s="1993" t="str">
        <f t="shared" si="33"/>
        <v>#N/A</v>
      </c>
      <c r="I91" s="1993" t="str">
        <f t="shared" si="34"/>
        <v>#N/A</v>
      </c>
      <c r="J91" s="1993" t="str">
        <f t="shared" si="35"/>
        <v>#N/A</v>
      </c>
      <c r="K91" s="1993" t="str">
        <f t="shared" si="36"/>
        <v>#N/A</v>
      </c>
      <c r="L91" s="1993" t="str">
        <f t="shared" si="37"/>
        <v>#N/A</v>
      </c>
      <c r="M91" s="1993" t="str">
        <f t="shared" ref="M91:O91" si="212">(SUMIF(MA_TAIKHOAN,$E91,SDNDK)+SUMIFS(PS_SOTIEN,PS_TKNO,$E91,PS_NGAY,"&lt;="&amp;M$1))-(SUMIF(MA_TAIKHOAN,$E91,SDCDK)+SUMIFs(PS_SOTIEN,PS_TKCO,$E91,PS_NGAY,"&lt;="&amp;M$1))</f>
        <v>#N/A</v>
      </c>
      <c r="N91" s="1993" t="str">
        <f t="shared" si="212"/>
        <v>#N/A</v>
      </c>
      <c r="O91" s="1993" t="str">
        <f t="shared" si="212"/>
        <v>#N/A</v>
      </c>
      <c r="P91" s="1993" t="str">
        <f t="shared" si="207"/>
        <v>#N/A</v>
      </c>
      <c r="Q91" s="1993" t="str">
        <f t="shared" ref="Q91:S91" si="213">(SUMIF(MA_TAIKHOAN,$E91,SDNDK)+SUMIFS(PS_SOTIEN,PS_TKNO,$E91,PS_NGAY,"&lt;="&amp;P$1))-(SUMIF(MA_TAIKHOAN,$E91,SDCDK)+SUMIFs(PS_SOTIEN,PS_TKCO,$E91,PS_NGAY,"&lt;="&amp;P$1))</f>
        <v>#N/A</v>
      </c>
      <c r="R91" s="1993" t="str">
        <f t="shared" si="213"/>
        <v>#N/A</v>
      </c>
      <c r="S91" s="1993" t="str">
        <f t="shared" si="213"/>
        <v>#N/A</v>
      </c>
      <c r="T91" s="1993" t="str">
        <f t="shared" si="209"/>
        <v>#N/A</v>
      </c>
      <c r="U91" s="1993" t="str">
        <f t="shared" si="210"/>
        <v>#N/A</v>
      </c>
      <c r="V91" s="1993" t="str">
        <f t="shared" ref="V91:X91" si="214">(SUMIF(MA_TAIKHOAN,$E91,SDNDK)+SUMIFS(PS_SOTIEN,PS_TKNO,$E91,PS_NGAY,"&lt;="&amp;S$1))-(SUMIF(MA_TAIKHOAN,$E91,SDCDK)+SUMIFs(PS_SOTIEN,PS_TKCO,$E91,PS_NGAY,"&lt;="&amp;S$1))</f>
        <v>#N/A</v>
      </c>
      <c r="W91" s="1993" t="str">
        <f t="shared" si="214"/>
        <v>#N/A</v>
      </c>
      <c r="X91" s="1993" t="str">
        <f t="shared" si="214"/>
        <v>#N/A</v>
      </c>
      <c r="Y91" s="1989">
        <f t="shared" si="39"/>
        <v>58</v>
      </c>
    </row>
    <row r="92">
      <c r="A92" s="1533">
        <v>285.0</v>
      </c>
      <c r="B92" s="1534" t="s">
        <v>3316</v>
      </c>
      <c r="C92" s="1524" t="s">
        <v>3091</v>
      </c>
      <c r="D92" s="1535" t="s">
        <v>3317</v>
      </c>
      <c r="E92" s="1524" t="s">
        <v>2214</v>
      </c>
      <c r="F92" s="1990">
        <f t="shared" si="31"/>
        <v>0</v>
      </c>
      <c r="G92" s="1990">
        <f t="shared" si="32"/>
        <v>0</v>
      </c>
      <c r="H92" s="1990">
        <f t="shared" si="33"/>
        <v>0</v>
      </c>
      <c r="I92" s="1990">
        <f t="shared" si="34"/>
        <v>0</v>
      </c>
      <c r="J92" s="1990">
        <f t="shared" si="35"/>
        <v>0</v>
      </c>
      <c r="K92" s="1990">
        <f t="shared" si="36"/>
        <v>0</v>
      </c>
      <c r="L92" s="1990">
        <f t="shared" si="37"/>
        <v>0</v>
      </c>
      <c r="M92" s="1990">
        <v>0.0</v>
      </c>
      <c r="N92" s="1990">
        <v>0.0</v>
      </c>
      <c r="O92" s="1990">
        <v>0.0</v>
      </c>
      <c r="P92" s="1990">
        <v>0.0</v>
      </c>
      <c r="Q92" s="1990">
        <v>0.0</v>
      </c>
      <c r="R92" s="1990">
        <v>0.0</v>
      </c>
      <c r="S92" s="1990">
        <v>0.0</v>
      </c>
      <c r="T92" s="1990">
        <v>0.0</v>
      </c>
      <c r="U92" s="1990">
        <v>0.0</v>
      </c>
      <c r="V92" s="1990">
        <v>0.0</v>
      </c>
      <c r="W92" s="1990">
        <v>0.0</v>
      </c>
      <c r="X92" s="1990">
        <v>0.0</v>
      </c>
      <c r="Y92" s="1989">
        <f t="shared" si="39"/>
        <v>59</v>
      </c>
    </row>
    <row r="93">
      <c r="A93" s="1533">
        <v>290.0</v>
      </c>
      <c r="B93" s="1534" t="s">
        <v>3261</v>
      </c>
      <c r="C93" s="1524" t="s">
        <v>2214</v>
      </c>
      <c r="D93" s="1535" t="s">
        <v>2214</v>
      </c>
      <c r="E93" s="1550" t="s">
        <v>3020</v>
      </c>
      <c r="F93" s="1992" t="str">
        <f t="shared" si="31"/>
        <v>#N/A</v>
      </c>
      <c r="G93" s="1992" t="str">
        <f t="shared" si="32"/>
        <v>#N/A</v>
      </c>
      <c r="H93" s="1992" t="str">
        <f t="shared" si="33"/>
        <v>#N/A</v>
      </c>
      <c r="I93" s="1992" t="str">
        <f t="shared" si="34"/>
        <v>#N/A</v>
      </c>
      <c r="J93" s="1992" t="str">
        <f t="shared" si="35"/>
        <v>#N/A</v>
      </c>
      <c r="K93" s="1992" t="str">
        <f t="shared" si="36"/>
        <v>#N/A</v>
      </c>
      <c r="L93" s="1992" t="str">
        <f t="shared" si="37"/>
        <v>#N/A</v>
      </c>
      <c r="M93" s="1992" t="str">
        <f t="shared" ref="M93:O93" si="215">(SUMIF(MA_TAIKHOAN,$E93,SDNDK)+SUMIFS(PS_SOTIEN,PS_TKNO,$E93,PS_NGAY,"&lt;="&amp;M$1))-(SUMIF(MA_TAIKHOAN,$E93,SDCDK)+SUMIFs(PS_SOTIEN,PS_TKCO,$E93,PS_NGAY,"&lt;="&amp;M$1))</f>
        <v>#N/A</v>
      </c>
      <c r="N93" s="1992" t="str">
        <f t="shared" si="215"/>
        <v>#N/A</v>
      </c>
      <c r="O93" s="1992" t="str">
        <f t="shared" si="215"/>
        <v>#N/A</v>
      </c>
      <c r="P93" s="1992" t="str">
        <f t="shared" ref="P93:P96" si="219">(SUMIF(MA_TAIKHOAN,$E93,SDNDK)+SUMIFS(PS_SOTIEN,PS_TKNO,$E93,PS_NGAY,"&lt;="&amp;I$1))-(SUMIF(MA_TAIKHOAN,$E93,SDCDK)+SUMIFs(PS_SOTIEN,PS_TKCO,$E93,PS_NGAY,"&lt;="&amp;I$1))</f>
        <v>#N/A</v>
      </c>
      <c r="Q93" s="1992" t="str">
        <f t="shared" ref="Q93:S93" si="216">(SUMIF(MA_TAIKHOAN,$E93,SDNDK)+SUMIFS(PS_SOTIEN,PS_TKNO,$E93,PS_NGAY,"&lt;="&amp;P$1))-(SUMIF(MA_TAIKHOAN,$E93,SDCDK)+SUMIFs(PS_SOTIEN,PS_TKCO,$E93,PS_NGAY,"&lt;="&amp;P$1))</f>
        <v>#N/A</v>
      </c>
      <c r="R93" s="1992" t="str">
        <f t="shared" si="216"/>
        <v>#N/A</v>
      </c>
      <c r="S93" s="1992" t="str">
        <f t="shared" si="216"/>
        <v>#N/A</v>
      </c>
      <c r="T93" s="1992" t="str">
        <f t="shared" ref="T93:T96" si="221">(SUMIF(MA_TAIKHOAN,$E93,SDNDK)+SUMIFS(PS_SOTIEN,PS_TKNO,$E93,PS_NGAY,"&lt;="&amp;J$1))-(SUMIF(MA_TAIKHOAN,$E93,SDCDK)+SUMIFs(PS_SOTIEN,PS_TKCO,$E93,PS_NGAY,"&lt;="&amp;J$1))</f>
        <v>#N/A</v>
      </c>
      <c r="U93" s="1992" t="str">
        <f t="shared" ref="U93:U96" si="222">(SUMIF(MA_TAIKHOAN,$E93,SDNDK)+SUMIFS(PS_SOTIEN,PS_TKNO,$E93,PS_NGAY,"&lt;="&amp;G$1))-(SUMIF(MA_TAIKHOAN,$E93,SDCDK)+SUMIFs(PS_SOTIEN,PS_TKCO,$E93,PS_NGAY,"&lt;="&amp;G$1))</f>
        <v>#N/A</v>
      </c>
      <c r="V93" s="1992" t="str">
        <f t="shared" ref="V93:X93" si="217">(SUMIF(MA_TAIKHOAN,$E93,SDNDK)+SUMIFS(PS_SOTIEN,PS_TKNO,$E93,PS_NGAY,"&lt;="&amp;S$1))-(SUMIF(MA_TAIKHOAN,$E93,SDCDK)+SUMIFs(PS_SOTIEN,PS_TKCO,$E93,PS_NGAY,"&lt;="&amp;S$1))</f>
        <v>#N/A</v>
      </c>
      <c r="W93" s="1992" t="str">
        <f t="shared" si="217"/>
        <v>#N/A</v>
      </c>
      <c r="X93" s="1992" t="str">
        <f t="shared" si="217"/>
        <v>#N/A</v>
      </c>
      <c r="Y93" s="1989">
        <f t="shared" si="39"/>
        <v>60</v>
      </c>
    </row>
    <row r="94">
      <c r="A94" s="1533">
        <v>295.0</v>
      </c>
      <c r="B94" s="1534" t="s">
        <v>3262</v>
      </c>
      <c r="C94" s="1524" t="s">
        <v>2214</v>
      </c>
      <c r="D94" s="1535" t="s">
        <v>2214</v>
      </c>
      <c r="E94" s="1550" t="s">
        <v>3022</v>
      </c>
      <c r="F94" s="1992" t="str">
        <f t="shared" si="31"/>
        <v>#N/A</v>
      </c>
      <c r="G94" s="1992" t="str">
        <f t="shared" si="32"/>
        <v>#N/A</v>
      </c>
      <c r="H94" s="1992" t="str">
        <f t="shared" si="33"/>
        <v>#N/A</v>
      </c>
      <c r="I94" s="1992" t="str">
        <f t="shared" si="34"/>
        <v>#N/A</v>
      </c>
      <c r="J94" s="1992" t="str">
        <f t="shared" si="35"/>
        <v>#N/A</v>
      </c>
      <c r="K94" s="1992" t="str">
        <f t="shared" si="36"/>
        <v>#N/A</v>
      </c>
      <c r="L94" s="1992" t="str">
        <f t="shared" si="37"/>
        <v>#N/A</v>
      </c>
      <c r="M94" s="1992" t="str">
        <f t="shared" ref="M94:O94" si="218">(SUMIF(MA_TAIKHOAN,$E94,SDNDK)+SUMIFS(PS_SOTIEN,PS_TKNO,$E94,PS_NGAY,"&lt;="&amp;M$1))-(SUMIF(MA_TAIKHOAN,$E94,SDCDK)+SUMIFs(PS_SOTIEN,PS_TKCO,$E94,PS_NGAY,"&lt;="&amp;M$1))</f>
        <v>#N/A</v>
      </c>
      <c r="N94" s="1992" t="str">
        <f t="shared" si="218"/>
        <v>#N/A</v>
      </c>
      <c r="O94" s="1992" t="str">
        <f t="shared" si="218"/>
        <v>#N/A</v>
      </c>
      <c r="P94" s="1992" t="str">
        <f t="shared" si="219"/>
        <v>#N/A</v>
      </c>
      <c r="Q94" s="1992" t="str">
        <f t="shared" ref="Q94:S94" si="220">(SUMIF(MA_TAIKHOAN,$E94,SDNDK)+SUMIFS(PS_SOTIEN,PS_TKNO,$E94,PS_NGAY,"&lt;="&amp;P$1))-(SUMIF(MA_TAIKHOAN,$E94,SDCDK)+SUMIFs(PS_SOTIEN,PS_TKCO,$E94,PS_NGAY,"&lt;="&amp;P$1))</f>
        <v>#N/A</v>
      </c>
      <c r="R94" s="1992" t="str">
        <f t="shared" si="220"/>
        <v>#N/A</v>
      </c>
      <c r="S94" s="1992" t="str">
        <f t="shared" si="220"/>
        <v>#N/A</v>
      </c>
      <c r="T94" s="1992" t="str">
        <f t="shared" si="221"/>
        <v>#N/A</v>
      </c>
      <c r="U94" s="1992" t="str">
        <f t="shared" si="222"/>
        <v>#N/A</v>
      </c>
      <c r="V94" s="1992" t="str">
        <f t="shared" ref="V94:X94" si="223">(SUMIF(MA_TAIKHOAN,$E94,SDNDK)+SUMIFS(PS_SOTIEN,PS_TKNO,$E94,PS_NGAY,"&lt;="&amp;S$1))-(SUMIF(MA_TAIKHOAN,$E94,SDCDK)+SUMIFs(PS_SOTIEN,PS_TKCO,$E94,PS_NGAY,"&lt;="&amp;S$1))</f>
        <v>#N/A</v>
      </c>
      <c r="W94" s="1992" t="str">
        <f t="shared" si="223"/>
        <v>#N/A</v>
      </c>
      <c r="X94" s="1992" t="str">
        <f t="shared" si="223"/>
        <v>#N/A</v>
      </c>
      <c r="Y94" s="1989">
        <f t="shared" si="39"/>
        <v>61</v>
      </c>
    </row>
    <row r="95">
      <c r="A95" s="1533">
        <v>300.0</v>
      </c>
      <c r="B95" s="1534" t="s">
        <v>3263</v>
      </c>
      <c r="C95" s="1524" t="s">
        <v>2214</v>
      </c>
      <c r="D95" s="1535" t="s">
        <v>2214</v>
      </c>
      <c r="E95" s="1550" t="s">
        <v>1353</v>
      </c>
      <c r="F95" s="1992" t="str">
        <f t="shared" si="31"/>
        <v>#N/A</v>
      </c>
      <c r="G95" s="1992" t="str">
        <f t="shared" si="32"/>
        <v>#N/A</v>
      </c>
      <c r="H95" s="1992" t="str">
        <f t="shared" si="33"/>
        <v>#N/A</v>
      </c>
      <c r="I95" s="1992" t="str">
        <f t="shared" si="34"/>
        <v>#N/A</v>
      </c>
      <c r="J95" s="1992" t="str">
        <f t="shared" si="35"/>
        <v>#N/A</v>
      </c>
      <c r="K95" s="1992" t="str">
        <f t="shared" si="36"/>
        <v>#N/A</v>
      </c>
      <c r="L95" s="1992" t="str">
        <f t="shared" si="37"/>
        <v>#N/A</v>
      </c>
      <c r="M95" s="1992" t="str">
        <f t="shared" ref="M95:O95" si="224">(SUMIF(MA_TAIKHOAN,$E95,SDNDK)+SUMIFS(PS_SOTIEN,PS_TKNO,$E95,PS_NGAY,"&lt;="&amp;M$1))-(SUMIF(MA_TAIKHOAN,$E95,SDCDK)+SUMIFs(PS_SOTIEN,PS_TKCO,$E95,PS_NGAY,"&lt;="&amp;M$1))</f>
        <v>#N/A</v>
      </c>
      <c r="N95" s="1992" t="str">
        <f t="shared" si="224"/>
        <v>#N/A</v>
      </c>
      <c r="O95" s="1992" t="str">
        <f t="shared" si="224"/>
        <v>#N/A</v>
      </c>
      <c r="P95" s="1992" t="str">
        <f t="shared" si="219"/>
        <v>#N/A</v>
      </c>
      <c r="Q95" s="1992" t="str">
        <f t="shared" ref="Q95:S95" si="225">(SUMIF(MA_TAIKHOAN,$E95,SDNDK)+SUMIFS(PS_SOTIEN,PS_TKNO,$E95,PS_NGAY,"&lt;="&amp;P$1))-(SUMIF(MA_TAIKHOAN,$E95,SDCDK)+SUMIFs(PS_SOTIEN,PS_TKCO,$E95,PS_NGAY,"&lt;="&amp;P$1))</f>
        <v>#N/A</v>
      </c>
      <c r="R95" s="1992" t="str">
        <f t="shared" si="225"/>
        <v>#N/A</v>
      </c>
      <c r="S95" s="1992" t="str">
        <f t="shared" si="225"/>
        <v>#N/A</v>
      </c>
      <c r="T95" s="1992" t="str">
        <f t="shared" si="221"/>
        <v>#N/A</v>
      </c>
      <c r="U95" s="1992" t="str">
        <f t="shared" si="222"/>
        <v>#N/A</v>
      </c>
      <c r="V95" s="1992" t="str">
        <f t="shared" ref="V95:X95" si="226">(SUMIF(MA_TAIKHOAN,$E95,SDNDK)+SUMIFS(PS_SOTIEN,PS_TKNO,$E95,PS_NGAY,"&lt;="&amp;S$1))-(SUMIF(MA_TAIKHOAN,$E95,SDCDK)+SUMIFs(PS_SOTIEN,PS_TKCO,$E95,PS_NGAY,"&lt;="&amp;S$1))</f>
        <v>#N/A</v>
      </c>
      <c r="W95" s="1992" t="str">
        <f t="shared" si="226"/>
        <v>#N/A</v>
      </c>
      <c r="X95" s="1992" t="str">
        <f t="shared" si="226"/>
        <v>#N/A</v>
      </c>
      <c r="Y95" s="1989">
        <f t="shared" si="39"/>
        <v>62</v>
      </c>
    </row>
    <row r="96">
      <c r="A96" s="1533">
        <v>305.0</v>
      </c>
      <c r="B96" s="1534" t="s">
        <v>3318</v>
      </c>
      <c r="C96" s="1524" t="s">
        <v>3319</v>
      </c>
      <c r="D96" s="1535" t="s">
        <v>2214</v>
      </c>
      <c r="E96" s="1524" t="s">
        <v>3320</v>
      </c>
      <c r="F96" s="1993" t="str">
        <f t="shared" si="31"/>
        <v>#N/A</v>
      </c>
      <c r="G96" s="1993" t="str">
        <f t="shared" si="32"/>
        <v>#N/A</v>
      </c>
      <c r="H96" s="1993" t="str">
        <f t="shared" si="33"/>
        <v>#N/A</v>
      </c>
      <c r="I96" s="1993" t="str">
        <f t="shared" si="34"/>
        <v>#N/A</v>
      </c>
      <c r="J96" s="1993" t="str">
        <f t="shared" si="35"/>
        <v>#N/A</v>
      </c>
      <c r="K96" s="1993" t="str">
        <f t="shared" si="36"/>
        <v>#N/A</v>
      </c>
      <c r="L96" s="1993" t="str">
        <f t="shared" si="37"/>
        <v>#N/A</v>
      </c>
      <c r="M96" s="1993" t="str">
        <f t="shared" ref="M96:O96" si="227">(SUMIF(MA_TAIKHOAN,$E96,SDNDK)+SUMIFS(PS_SOTIEN,PS_TKNO,$E96,PS_NGAY,"&lt;="&amp;M$1))-(SUMIF(MA_TAIKHOAN,$E96,SDCDK)+SUMIFs(PS_SOTIEN,PS_TKCO,$E96,PS_NGAY,"&lt;="&amp;M$1))</f>
        <v>#N/A</v>
      </c>
      <c r="N96" s="1993" t="str">
        <f t="shared" si="227"/>
        <v>#N/A</v>
      </c>
      <c r="O96" s="1993" t="str">
        <f t="shared" si="227"/>
        <v>#N/A</v>
      </c>
      <c r="P96" s="1993" t="str">
        <f t="shared" si="219"/>
        <v>#N/A</v>
      </c>
      <c r="Q96" s="1993" t="str">
        <f t="shared" ref="Q96:S96" si="228">(SUMIF(MA_TAIKHOAN,$E96,SDNDK)+SUMIFS(PS_SOTIEN,PS_TKNO,$E96,PS_NGAY,"&lt;="&amp;P$1))-(SUMIF(MA_TAIKHOAN,$E96,SDCDK)+SUMIFs(PS_SOTIEN,PS_TKCO,$E96,PS_NGAY,"&lt;="&amp;P$1))</f>
        <v>#N/A</v>
      </c>
      <c r="R96" s="1993" t="str">
        <f t="shared" si="228"/>
        <v>#N/A</v>
      </c>
      <c r="S96" s="1993" t="str">
        <f t="shared" si="228"/>
        <v>#N/A</v>
      </c>
      <c r="T96" s="1993" t="str">
        <f t="shared" si="221"/>
        <v>#N/A</v>
      </c>
      <c r="U96" s="1993" t="str">
        <f t="shared" si="222"/>
        <v>#N/A</v>
      </c>
      <c r="V96" s="1993" t="str">
        <f t="shared" ref="V96:X96" si="229">(SUMIF(MA_TAIKHOAN,$E96,SDNDK)+SUMIFS(PS_SOTIEN,PS_TKNO,$E96,PS_NGAY,"&lt;="&amp;S$1))-(SUMIF(MA_TAIKHOAN,$E96,SDCDK)+SUMIFs(PS_SOTIEN,PS_TKCO,$E96,PS_NGAY,"&lt;="&amp;S$1))</f>
        <v>#N/A</v>
      </c>
      <c r="W96" s="1993" t="str">
        <f t="shared" si="229"/>
        <v>#N/A</v>
      </c>
      <c r="X96" s="1993" t="str">
        <f t="shared" si="229"/>
        <v>#N/A</v>
      </c>
      <c r="Y96" s="1989">
        <f t="shared" si="39"/>
        <v>63</v>
      </c>
    </row>
    <row r="97">
      <c r="A97" s="1533">
        <v>310.0</v>
      </c>
      <c r="B97" s="1534" t="s">
        <v>3321</v>
      </c>
      <c r="C97" s="1524" t="s">
        <v>3322</v>
      </c>
      <c r="D97" s="1535" t="s">
        <v>3323</v>
      </c>
      <c r="E97" s="1524" t="s">
        <v>2214</v>
      </c>
      <c r="F97" s="1990" t="str">
        <f t="shared" si="31"/>
        <v>#N/A</v>
      </c>
      <c r="G97" s="1990" t="str">
        <f t="shared" si="32"/>
        <v>#N/A</v>
      </c>
      <c r="H97" s="1990" t="str">
        <f t="shared" si="33"/>
        <v>#N/A</v>
      </c>
      <c r="I97" s="1990" t="str">
        <f t="shared" si="34"/>
        <v>#N/A</v>
      </c>
      <c r="J97" s="1990" t="str">
        <f t="shared" si="35"/>
        <v>#N/A</v>
      </c>
      <c r="K97" s="1990" t="str">
        <f t="shared" si="36"/>
        <v>#N/A</v>
      </c>
      <c r="L97" s="1990" t="str">
        <f t="shared" si="37"/>
        <v>#N/A</v>
      </c>
      <c r="M97" s="1990" t="str">
        <f t="shared" ref="M97:X97" si="230">SUM(M98:M103)</f>
        <v>#N/A</v>
      </c>
      <c r="N97" s="1990" t="str">
        <f t="shared" si="230"/>
        <v>#N/A</v>
      </c>
      <c r="O97" s="1990" t="str">
        <f t="shared" si="230"/>
        <v>#N/A</v>
      </c>
      <c r="P97" s="1990" t="str">
        <f t="shared" si="230"/>
        <v>#N/A</v>
      </c>
      <c r="Q97" s="1990" t="str">
        <f t="shared" si="230"/>
        <v>#N/A</v>
      </c>
      <c r="R97" s="1990" t="str">
        <f t="shared" si="230"/>
        <v>#N/A</v>
      </c>
      <c r="S97" s="1990" t="str">
        <f t="shared" si="230"/>
        <v>#N/A</v>
      </c>
      <c r="T97" s="1990" t="str">
        <f t="shared" si="230"/>
        <v>#N/A</v>
      </c>
      <c r="U97" s="1990" t="str">
        <f t="shared" si="230"/>
        <v>#N/A</v>
      </c>
      <c r="V97" s="1990" t="str">
        <f t="shared" si="230"/>
        <v>#N/A</v>
      </c>
      <c r="W97" s="1990" t="str">
        <f t="shared" si="230"/>
        <v>#N/A</v>
      </c>
      <c r="X97" s="1990" t="str">
        <f t="shared" si="230"/>
        <v>#N/A</v>
      </c>
      <c r="Y97" s="1989">
        <f t="shared" si="39"/>
        <v>64</v>
      </c>
    </row>
    <row r="98">
      <c r="A98" s="1533">
        <v>315.0</v>
      </c>
      <c r="B98" s="1534" t="s">
        <v>3271</v>
      </c>
      <c r="C98" s="1524" t="s">
        <v>2214</v>
      </c>
      <c r="D98" s="1535" t="s">
        <v>2214</v>
      </c>
      <c r="E98" s="1550" t="s">
        <v>3024</v>
      </c>
      <c r="F98" s="1992" t="str">
        <f t="shared" si="31"/>
        <v>#N/A</v>
      </c>
      <c r="G98" s="1992" t="str">
        <f t="shared" si="32"/>
        <v>#N/A</v>
      </c>
      <c r="H98" s="1992" t="str">
        <f t="shared" si="33"/>
        <v>#N/A</v>
      </c>
      <c r="I98" s="1992" t="str">
        <f t="shared" si="34"/>
        <v>#N/A</v>
      </c>
      <c r="J98" s="1992" t="str">
        <f t="shared" si="35"/>
        <v>#N/A</v>
      </c>
      <c r="K98" s="1992" t="str">
        <f t="shared" si="36"/>
        <v>#N/A</v>
      </c>
      <c r="L98" s="1992" t="str">
        <f t="shared" si="37"/>
        <v>#N/A</v>
      </c>
      <c r="M98" s="1992" t="str">
        <f t="shared" ref="M98:O98" si="231">(SUMIF(MA_TAIKHOAN,$E98,SDNDK)+SUMIFS(PS_SOTIEN,PS_TKNO,$E98,PS_NGAY,"&lt;="&amp;M$1))-(SUMIF(MA_TAIKHOAN,$E98,SDCDK)+SUMIFs(PS_SOTIEN,PS_TKCO,$E98,PS_NGAY,"&lt;="&amp;M$1))</f>
        <v>#N/A</v>
      </c>
      <c r="N98" s="1992" t="str">
        <f t="shared" si="231"/>
        <v>#N/A</v>
      </c>
      <c r="O98" s="1992" t="str">
        <f t="shared" si="231"/>
        <v>#N/A</v>
      </c>
      <c r="P98" s="1992" t="str">
        <f t="shared" ref="P98:P103" si="235">(SUMIF(MA_TAIKHOAN,$E98,SDNDK)+SUMIFS(PS_SOTIEN,PS_TKNO,$E98,PS_NGAY,"&lt;="&amp;I$1))-(SUMIF(MA_TAIKHOAN,$E98,SDCDK)+SUMIFs(PS_SOTIEN,PS_TKCO,$E98,PS_NGAY,"&lt;="&amp;I$1))</f>
        <v>#N/A</v>
      </c>
      <c r="Q98" s="1992" t="str">
        <f t="shared" ref="Q98:S98" si="232">(SUMIF(MA_TAIKHOAN,$E98,SDNDK)+SUMIFS(PS_SOTIEN,PS_TKNO,$E98,PS_NGAY,"&lt;="&amp;P$1))-(SUMIF(MA_TAIKHOAN,$E98,SDCDK)+SUMIFs(PS_SOTIEN,PS_TKCO,$E98,PS_NGAY,"&lt;="&amp;P$1))</f>
        <v>#N/A</v>
      </c>
      <c r="R98" s="1992" t="str">
        <f t="shared" si="232"/>
        <v>#N/A</v>
      </c>
      <c r="S98" s="1992" t="str">
        <f t="shared" si="232"/>
        <v>#N/A</v>
      </c>
      <c r="T98" s="1992" t="str">
        <f t="shared" ref="T98:T103" si="237">(SUMIF(MA_TAIKHOAN,$E98,SDNDK)+SUMIFS(PS_SOTIEN,PS_TKNO,$E98,PS_NGAY,"&lt;="&amp;J$1))-(SUMIF(MA_TAIKHOAN,$E98,SDCDK)+SUMIFs(PS_SOTIEN,PS_TKCO,$E98,PS_NGAY,"&lt;="&amp;J$1))</f>
        <v>#N/A</v>
      </c>
      <c r="U98" s="1992" t="str">
        <f t="shared" ref="U98:U103" si="238">(SUMIF(MA_TAIKHOAN,$E98,SDNDK)+SUMIFS(PS_SOTIEN,PS_TKNO,$E98,PS_NGAY,"&lt;="&amp;G$1))-(SUMIF(MA_TAIKHOAN,$E98,SDCDK)+SUMIFs(PS_SOTIEN,PS_TKCO,$E98,PS_NGAY,"&lt;="&amp;G$1))</f>
        <v>#N/A</v>
      </c>
      <c r="V98" s="1992" t="str">
        <f t="shared" ref="V98:X98" si="233">(SUMIF(MA_TAIKHOAN,$E98,SDNDK)+SUMIFS(PS_SOTIEN,PS_TKNO,$E98,PS_NGAY,"&lt;="&amp;S$1))-(SUMIF(MA_TAIKHOAN,$E98,SDCDK)+SUMIFs(PS_SOTIEN,PS_TKCO,$E98,PS_NGAY,"&lt;="&amp;S$1))</f>
        <v>#N/A</v>
      </c>
      <c r="W98" s="1992" t="str">
        <f t="shared" si="233"/>
        <v>#N/A</v>
      </c>
      <c r="X98" s="1992" t="str">
        <f t="shared" si="233"/>
        <v>#N/A</v>
      </c>
      <c r="Y98" s="1989">
        <f t="shared" si="39"/>
        <v>65</v>
      </c>
    </row>
    <row r="99">
      <c r="A99" s="1533">
        <v>320.0</v>
      </c>
      <c r="B99" s="1534" t="s">
        <v>3324</v>
      </c>
      <c r="C99" s="1524" t="s">
        <v>2214</v>
      </c>
      <c r="D99" s="1535" t="s">
        <v>2214</v>
      </c>
      <c r="E99" s="1550" t="s">
        <v>1360</v>
      </c>
      <c r="F99" s="1992" t="str">
        <f t="shared" si="31"/>
        <v>#N/A</v>
      </c>
      <c r="G99" s="1992" t="str">
        <f t="shared" si="32"/>
        <v>#N/A</v>
      </c>
      <c r="H99" s="1992" t="str">
        <f t="shared" si="33"/>
        <v>#N/A</v>
      </c>
      <c r="I99" s="1992" t="str">
        <f t="shared" si="34"/>
        <v>#N/A</v>
      </c>
      <c r="J99" s="1992" t="str">
        <f t="shared" si="35"/>
        <v>#N/A</v>
      </c>
      <c r="K99" s="1992" t="str">
        <f t="shared" si="36"/>
        <v>#N/A</v>
      </c>
      <c r="L99" s="1992" t="str">
        <f t="shared" si="37"/>
        <v>#N/A</v>
      </c>
      <c r="M99" s="1992" t="str">
        <f t="shared" ref="M99:O99" si="234">(SUMIF(MA_TAIKHOAN,$E99,SDNDK)+SUMIFS(PS_SOTIEN,PS_TKNO,$E99,PS_NGAY,"&lt;="&amp;M$1))-(SUMIF(MA_TAIKHOAN,$E99,SDCDK)+SUMIFs(PS_SOTIEN,PS_TKCO,$E99,PS_NGAY,"&lt;="&amp;M$1))</f>
        <v>#N/A</v>
      </c>
      <c r="N99" s="1992" t="str">
        <f t="shared" si="234"/>
        <v>#N/A</v>
      </c>
      <c r="O99" s="1992" t="str">
        <f t="shared" si="234"/>
        <v>#N/A</v>
      </c>
      <c r="P99" s="1992" t="str">
        <f t="shared" si="235"/>
        <v>#N/A</v>
      </c>
      <c r="Q99" s="1992" t="str">
        <f t="shared" ref="Q99:S99" si="236">(SUMIF(MA_TAIKHOAN,$E99,SDNDK)+SUMIFS(PS_SOTIEN,PS_TKNO,$E99,PS_NGAY,"&lt;="&amp;P$1))-(SUMIF(MA_TAIKHOAN,$E99,SDCDK)+SUMIFs(PS_SOTIEN,PS_TKCO,$E99,PS_NGAY,"&lt;="&amp;P$1))</f>
        <v>#N/A</v>
      </c>
      <c r="R99" s="1992" t="str">
        <f t="shared" si="236"/>
        <v>#N/A</v>
      </c>
      <c r="S99" s="1992" t="str">
        <f t="shared" si="236"/>
        <v>#N/A</v>
      </c>
      <c r="T99" s="1992" t="str">
        <f t="shared" si="237"/>
        <v>#N/A</v>
      </c>
      <c r="U99" s="1992" t="str">
        <f t="shared" si="238"/>
        <v>#N/A</v>
      </c>
      <c r="V99" s="1992" t="str">
        <f t="shared" ref="V99:X99" si="239">(SUMIF(MA_TAIKHOAN,$E99,SDNDK)+SUMIFS(PS_SOTIEN,PS_TKNO,$E99,PS_NGAY,"&lt;="&amp;S$1))-(SUMIF(MA_TAIKHOAN,$E99,SDCDK)+SUMIFs(PS_SOTIEN,PS_TKCO,$E99,PS_NGAY,"&lt;="&amp;S$1))</f>
        <v>#N/A</v>
      </c>
      <c r="W99" s="1992" t="str">
        <f t="shared" si="239"/>
        <v>#N/A</v>
      </c>
      <c r="X99" s="1992" t="str">
        <f t="shared" si="239"/>
        <v>#N/A</v>
      </c>
      <c r="Y99" s="1989">
        <f t="shared" si="39"/>
        <v>66</v>
      </c>
    </row>
    <row r="100">
      <c r="A100" s="1533">
        <v>325.0</v>
      </c>
      <c r="B100" s="1534" t="s">
        <v>3273</v>
      </c>
      <c r="C100" s="1524" t="s">
        <v>2214</v>
      </c>
      <c r="D100" s="1535" t="s">
        <v>2214</v>
      </c>
      <c r="E100" s="1550" t="s">
        <v>3106</v>
      </c>
      <c r="F100" s="1992" t="str">
        <f t="shared" si="31"/>
        <v>#N/A</v>
      </c>
      <c r="G100" s="1992" t="str">
        <f t="shared" si="32"/>
        <v>#N/A</v>
      </c>
      <c r="H100" s="1992" t="str">
        <f t="shared" si="33"/>
        <v>#N/A</v>
      </c>
      <c r="I100" s="1992" t="str">
        <f t="shared" si="34"/>
        <v>#N/A</v>
      </c>
      <c r="J100" s="1992" t="str">
        <f t="shared" si="35"/>
        <v>#N/A</v>
      </c>
      <c r="K100" s="1992" t="str">
        <f t="shared" si="36"/>
        <v>#N/A</v>
      </c>
      <c r="L100" s="1992" t="str">
        <f t="shared" si="37"/>
        <v>#N/A</v>
      </c>
      <c r="M100" s="1992" t="str">
        <f t="shared" ref="M100:O100" si="240">(SUMIF(MA_TAIKHOAN,$E100,SDNDK)+SUMIFS(PS_SOTIEN,PS_TKNO,$E100,PS_NGAY,"&lt;="&amp;M$1))-(SUMIF(MA_TAIKHOAN,$E100,SDCDK)+SUMIFs(PS_SOTIEN,PS_TKCO,$E100,PS_NGAY,"&lt;="&amp;M$1))</f>
        <v>#N/A</v>
      </c>
      <c r="N100" s="1992" t="str">
        <f t="shared" si="240"/>
        <v>#N/A</v>
      </c>
      <c r="O100" s="1992" t="str">
        <f t="shared" si="240"/>
        <v>#N/A</v>
      </c>
      <c r="P100" s="1992" t="str">
        <f t="shared" si="235"/>
        <v>#N/A</v>
      </c>
      <c r="Q100" s="1992" t="str">
        <f t="shared" ref="Q100:S100" si="241">(SUMIF(MA_TAIKHOAN,$E100,SDNDK)+SUMIFS(PS_SOTIEN,PS_TKNO,$E100,PS_NGAY,"&lt;="&amp;P$1))-(SUMIF(MA_TAIKHOAN,$E100,SDCDK)+SUMIFs(PS_SOTIEN,PS_TKCO,$E100,PS_NGAY,"&lt;="&amp;P$1))</f>
        <v>#N/A</v>
      </c>
      <c r="R100" s="1992" t="str">
        <f t="shared" si="241"/>
        <v>#N/A</v>
      </c>
      <c r="S100" s="1992" t="str">
        <f t="shared" si="241"/>
        <v>#N/A</v>
      </c>
      <c r="T100" s="1992" t="str">
        <f t="shared" si="237"/>
        <v>#N/A</v>
      </c>
      <c r="U100" s="1992" t="str">
        <f t="shared" si="238"/>
        <v>#N/A</v>
      </c>
      <c r="V100" s="1992" t="str">
        <f t="shared" ref="V100:X100" si="242">(SUMIF(MA_TAIKHOAN,$E100,SDNDK)+SUMIFS(PS_SOTIEN,PS_TKNO,$E100,PS_NGAY,"&lt;="&amp;S$1))-(SUMIF(MA_TAIKHOAN,$E100,SDCDK)+SUMIFs(PS_SOTIEN,PS_TKCO,$E100,PS_NGAY,"&lt;="&amp;S$1))</f>
        <v>#N/A</v>
      </c>
      <c r="W100" s="1992" t="str">
        <f t="shared" si="242"/>
        <v>#N/A</v>
      </c>
      <c r="X100" s="1992" t="str">
        <f t="shared" si="242"/>
        <v>#N/A</v>
      </c>
      <c r="Y100" s="1989">
        <f t="shared" si="39"/>
        <v>67</v>
      </c>
    </row>
    <row r="101">
      <c r="A101" s="1533">
        <v>330.0</v>
      </c>
      <c r="B101" s="1534" t="s">
        <v>3325</v>
      </c>
      <c r="C101" s="1524" t="s">
        <v>2214</v>
      </c>
      <c r="D101" s="1535" t="s">
        <v>2214</v>
      </c>
      <c r="E101" s="1550" t="s">
        <v>1461</v>
      </c>
      <c r="F101" s="1992" t="str">
        <f t="shared" si="31"/>
        <v>#N/A</v>
      </c>
      <c r="G101" s="1992" t="str">
        <f t="shared" si="32"/>
        <v>#N/A</v>
      </c>
      <c r="H101" s="1992" t="str">
        <f t="shared" si="33"/>
        <v>#N/A</v>
      </c>
      <c r="I101" s="1992" t="str">
        <f t="shared" si="34"/>
        <v>#N/A</v>
      </c>
      <c r="J101" s="1992" t="str">
        <f t="shared" si="35"/>
        <v>#N/A</v>
      </c>
      <c r="K101" s="1992" t="str">
        <f t="shared" si="36"/>
        <v>#N/A</v>
      </c>
      <c r="L101" s="1992" t="str">
        <f t="shared" si="37"/>
        <v>#N/A</v>
      </c>
      <c r="M101" s="1992" t="str">
        <f t="shared" ref="M101:O101" si="243">(SUMIF(MA_TAIKHOAN,$E101,SDNDK)+SUMIFS(PS_SOTIEN,PS_TKNO,$E101,PS_NGAY,"&lt;="&amp;M$1))-(SUMIF(MA_TAIKHOAN,$E101,SDCDK)+SUMIFs(PS_SOTIEN,PS_TKCO,$E101,PS_NGAY,"&lt;="&amp;M$1))</f>
        <v>#N/A</v>
      </c>
      <c r="N101" s="1992" t="str">
        <f t="shared" si="243"/>
        <v>#N/A</v>
      </c>
      <c r="O101" s="1992" t="str">
        <f t="shared" si="243"/>
        <v>#N/A</v>
      </c>
      <c r="P101" s="1992" t="str">
        <f t="shared" si="235"/>
        <v>#N/A</v>
      </c>
      <c r="Q101" s="1992" t="str">
        <f t="shared" ref="Q101:S101" si="244">(SUMIF(MA_TAIKHOAN,$E101,SDNDK)+SUMIFS(PS_SOTIEN,PS_TKNO,$E101,PS_NGAY,"&lt;="&amp;P$1))-(SUMIF(MA_TAIKHOAN,$E101,SDCDK)+SUMIFs(PS_SOTIEN,PS_TKCO,$E101,PS_NGAY,"&lt;="&amp;P$1))</f>
        <v>#N/A</v>
      </c>
      <c r="R101" s="1992" t="str">
        <f t="shared" si="244"/>
        <v>#N/A</v>
      </c>
      <c r="S101" s="1992" t="str">
        <f t="shared" si="244"/>
        <v>#N/A</v>
      </c>
      <c r="T101" s="1992" t="str">
        <f t="shared" si="237"/>
        <v>#N/A</v>
      </c>
      <c r="U101" s="1992" t="str">
        <f t="shared" si="238"/>
        <v>#N/A</v>
      </c>
      <c r="V101" s="1992" t="str">
        <f t="shared" ref="V101:X101" si="245">(SUMIF(MA_TAIKHOAN,$E101,SDNDK)+SUMIFS(PS_SOTIEN,PS_TKNO,$E101,PS_NGAY,"&lt;="&amp;S$1))-(SUMIF(MA_TAIKHOAN,$E101,SDCDK)+SUMIFs(PS_SOTIEN,PS_TKCO,$E101,PS_NGAY,"&lt;="&amp;S$1))</f>
        <v>#N/A</v>
      </c>
      <c r="W101" s="1992" t="str">
        <f t="shared" si="245"/>
        <v>#N/A</v>
      </c>
      <c r="X101" s="1992" t="str">
        <f t="shared" si="245"/>
        <v>#N/A</v>
      </c>
      <c r="Y101" s="1989">
        <f t="shared" si="39"/>
        <v>68</v>
      </c>
    </row>
    <row r="102">
      <c r="A102" s="1533">
        <v>335.0</v>
      </c>
      <c r="B102" s="1534" t="s">
        <v>3275</v>
      </c>
      <c r="C102" s="1524" t="s">
        <v>2214</v>
      </c>
      <c r="D102" s="1535" t="s">
        <v>2214</v>
      </c>
      <c r="E102" s="1550" t="s">
        <v>3026</v>
      </c>
      <c r="F102" s="1992" t="str">
        <f t="shared" si="31"/>
        <v>#N/A</v>
      </c>
      <c r="G102" s="1992" t="str">
        <f t="shared" si="32"/>
        <v>#N/A</v>
      </c>
      <c r="H102" s="1992" t="str">
        <f t="shared" si="33"/>
        <v>#N/A</v>
      </c>
      <c r="I102" s="1992" t="str">
        <f t="shared" si="34"/>
        <v>#N/A</v>
      </c>
      <c r="J102" s="1992" t="str">
        <f t="shared" si="35"/>
        <v>#N/A</v>
      </c>
      <c r="K102" s="1992" t="str">
        <f t="shared" si="36"/>
        <v>#N/A</v>
      </c>
      <c r="L102" s="1992" t="str">
        <f t="shared" si="37"/>
        <v>#N/A</v>
      </c>
      <c r="M102" s="1992" t="str">
        <f t="shared" ref="M102:O102" si="246">(SUMIF(MA_TAIKHOAN,$E102,SDNDK)+SUMIFS(PS_SOTIEN,PS_TKNO,$E102,PS_NGAY,"&lt;="&amp;M$1))-(SUMIF(MA_TAIKHOAN,$E102,SDCDK)+SUMIFs(PS_SOTIEN,PS_TKCO,$E102,PS_NGAY,"&lt;="&amp;M$1))</f>
        <v>#N/A</v>
      </c>
      <c r="N102" s="1992" t="str">
        <f t="shared" si="246"/>
        <v>#N/A</v>
      </c>
      <c r="O102" s="1992" t="str">
        <f t="shared" si="246"/>
        <v>#N/A</v>
      </c>
      <c r="P102" s="1992" t="str">
        <f t="shared" si="235"/>
        <v>#N/A</v>
      </c>
      <c r="Q102" s="1992" t="str">
        <f t="shared" ref="Q102:S102" si="247">(SUMIF(MA_TAIKHOAN,$E102,SDNDK)+SUMIFS(PS_SOTIEN,PS_TKNO,$E102,PS_NGAY,"&lt;="&amp;P$1))-(SUMIF(MA_TAIKHOAN,$E102,SDCDK)+SUMIFs(PS_SOTIEN,PS_TKCO,$E102,PS_NGAY,"&lt;="&amp;P$1))</f>
        <v>#N/A</v>
      </c>
      <c r="R102" s="1992" t="str">
        <f t="shared" si="247"/>
        <v>#N/A</v>
      </c>
      <c r="S102" s="1992" t="str">
        <f t="shared" si="247"/>
        <v>#N/A</v>
      </c>
      <c r="T102" s="1992" t="str">
        <f t="shared" si="237"/>
        <v>#N/A</v>
      </c>
      <c r="U102" s="1992" t="str">
        <f t="shared" si="238"/>
        <v>#N/A</v>
      </c>
      <c r="V102" s="1992" t="str">
        <f t="shared" ref="V102:X102" si="248">(SUMIF(MA_TAIKHOAN,$E102,SDNDK)+SUMIFS(PS_SOTIEN,PS_TKNO,$E102,PS_NGAY,"&lt;="&amp;S$1))-(SUMIF(MA_TAIKHOAN,$E102,SDCDK)+SUMIFs(PS_SOTIEN,PS_TKCO,$E102,PS_NGAY,"&lt;="&amp;S$1))</f>
        <v>#N/A</v>
      </c>
      <c r="W102" s="1992" t="str">
        <f t="shared" si="248"/>
        <v>#N/A</v>
      </c>
      <c r="X102" s="1992" t="str">
        <f t="shared" si="248"/>
        <v>#N/A</v>
      </c>
      <c r="Y102" s="1989">
        <f t="shared" si="39"/>
        <v>69</v>
      </c>
    </row>
    <row r="103">
      <c r="A103" s="1533">
        <v>340.0</v>
      </c>
      <c r="B103" s="1534" t="s">
        <v>3326</v>
      </c>
      <c r="C103" s="1524" t="s">
        <v>2214</v>
      </c>
      <c r="D103" s="1535" t="s">
        <v>2214</v>
      </c>
      <c r="E103" s="1550" t="s">
        <v>3103</v>
      </c>
      <c r="F103" s="1992" t="str">
        <f t="shared" si="31"/>
        <v>#N/A</v>
      </c>
      <c r="G103" s="1992" t="str">
        <f t="shared" si="32"/>
        <v>#N/A</v>
      </c>
      <c r="H103" s="1992" t="str">
        <f t="shared" si="33"/>
        <v>#N/A</v>
      </c>
      <c r="I103" s="1992" t="str">
        <f t="shared" si="34"/>
        <v>#N/A</v>
      </c>
      <c r="J103" s="1992" t="str">
        <f t="shared" si="35"/>
        <v>#N/A</v>
      </c>
      <c r="K103" s="1992" t="str">
        <f t="shared" si="36"/>
        <v>#N/A</v>
      </c>
      <c r="L103" s="1992" t="str">
        <f t="shared" si="37"/>
        <v>#N/A</v>
      </c>
      <c r="M103" s="1992" t="str">
        <f t="shared" ref="M103:O103" si="249">(SUMIF(MA_TAIKHOAN,$E103,SDNDK)+SUMIFS(PS_SOTIEN,PS_TKNO,$E103,PS_NGAY,"&lt;="&amp;M$1))-(SUMIF(MA_TAIKHOAN,$E103,SDCDK)+SUMIFs(PS_SOTIEN,PS_TKCO,$E103,PS_NGAY,"&lt;="&amp;M$1))</f>
        <v>#N/A</v>
      </c>
      <c r="N103" s="1992" t="str">
        <f t="shared" si="249"/>
        <v>#N/A</v>
      </c>
      <c r="O103" s="1992" t="str">
        <f t="shared" si="249"/>
        <v>#N/A</v>
      </c>
      <c r="P103" s="1992" t="str">
        <f t="shared" si="235"/>
        <v>#N/A</v>
      </c>
      <c r="Q103" s="1992" t="str">
        <f t="shared" ref="Q103:S103" si="250">(SUMIF(MA_TAIKHOAN,$E103,SDNDK)+SUMIFS(PS_SOTIEN,PS_TKNO,$E103,PS_NGAY,"&lt;="&amp;P$1))-(SUMIF(MA_TAIKHOAN,$E103,SDCDK)+SUMIFs(PS_SOTIEN,PS_TKCO,$E103,PS_NGAY,"&lt;="&amp;P$1))</f>
        <v>#N/A</v>
      </c>
      <c r="R103" s="1992" t="str">
        <f t="shared" si="250"/>
        <v>#N/A</v>
      </c>
      <c r="S103" s="1992" t="str">
        <f t="shared" si="250"/>
        <v>#N/A</v>
      </c>
      <c r="T103" s="1992" t="str">
        <f t="shared" si="237"/>
        <v>#N/A</v>
      </c>
      <c r="U103" s="1992" t="str">
        <f t="shared" si="238"/>
        <v>#N/A</v>
      </c>
      <c r="V103" s="1992" t="str">
        <f t="shared" ref="V103:X103" si="251">(SUMIF(MA_TAIKHOAN,$E103,SDNDK)+SUMIFS(PS_SOTIEN,PS_TKNO,$E103,PS_NGAY,"&lt;="&amp;S$1))-(SUMIF(MA_TAIKHOAN,$E103,SDCDK)+SUMIFs(PS_SOTIEN,PS_TKCO,$E103,PS_NGAY,"&lt;="&amp;S$1))</f>
        <v>#N/A</v>
      </c>
      <c r="W103" s="1992" t="str">
        <f t="shared" si="251"/>
        <v>#N/A</v>
      </c>
      <c r="X103" s="1992" t="str">
        <f t="shared" si="251"/>
        <v>#N/A</v>
      </c>
      <c r="Y103" s="1989">
        <f t="shared" si="39"/>
        <v>70</v>
      </c>
    </row>
    <row r="104">
      <c r="A104" s="1533">
        <v>345.0</v>
      </c>
      <c r="B104" s="1534" t="s">
        <v>3327</v>
      </c>
      <c r="C104" s="1524" t="s">
        <v>3328</v>
      </c>
      <c r="D104" s="1535" t="s">
        <v>2214</v>
      </c>
      <c r="E104" s="1550" t="s">
        <v>1398</v>
      </c>
      <c r="F104" s="1993" t="str">
        <f t="shared" si="31"/>
        <v>#N/A</v>
      </c>
      <c r="G104" s="1993" t="str">
        <f t="shared" si="32"/>
        <v>#N/A</v>
      </c>
      <c r="H104" s="1993" t="str">
        <f t="shared" si="33"/>
        <v>#N/A</v>
      </c>
      <c r="I104" s="1993" t="str">
        <f t="shared" si="34"/>
        <v>#N/A</v>
      </c>
      <c r="J104" s="1993" t="str">
        <f t="shared" si="35"/>
        <v>#N/A</v>
      </c>
      <c r="K104" s="1993" t="str">
        <f t="shared" si="36"/>
        <v>#N/A</v>
      </c>
      <c r="L104" s="1993" t="str">
        <f t="shared" si="37"/>
        <v>#N/A</v>
      </c>
      <c r="M104" s="1993" t="str">
        <f t="shared" ref="M104:O104" si="252">(SUMIF(MA_TAIKHOAN,$E104,SDCDK)+SUMIFs(PS_SOTIEN,PS_TKCO,$E104,PS_NGAY,"&lt;="&amp;M$1))-(SUMIF(MA_TAIKHOAN,$E104,SDNDK)+SUMIFS(PS_SOTIEN,PS_TKNO,$E104,PS_NGAY,"&lt;="&amp;M$1))</f>
        <v>#N/A</v>
      </c>
      <c r="N104" s="1993" t="str">
        <f t="shared" si="252"/>
        <v>#N/A</v>
      </c>
      <c r="O104" s="1993" t="str">
        <f t="shared" si="252"/>
        <v>#N/A</v>
      </c>
      <c r="P104" s="1993" t="str">
        <f>(SUMIF(MA_TAIKHOAN,$E104,SDCDK)+SUMIFs(PS_SOTIEN,PS_TKCO,$E104,PS_NGAY,"&lt;="&amp;I$1))-(SUMIF(MA_TAIKHOAN,$E104,SDNDK)+SUMIFS(PS_SOTIEN,PS_TKNO,$E104,PS_NGAY,"&lt;="&amp;I$1))</f>
        <v>#N/A</v>
      </c>
      <c r="Q104" s="1993" t="str">
        <f t="shared" ref="Q104:S104" si="253">(SUMIF(MA_TAIKHOAN,$E104,SDCDK)+SUMIFs(PS_SOTIEN,PS_TKCO,$E104,PS_NGAY,"&lt;="&amp;P$1))-(SUMIF(MA_TAIKHOAN,$E104,SDNDK)+SUMIFS(PS_SOTIEN,PS_TKNO,$E104,PS_NGAY,"&lt;="&amp;P$1))</f>
        <v>#N/A</v>
      </c>
      <c r="R104" s="1993" t="str">
        <f t="shared" si="253"/>
        <v>#N/A</v>
      </c>
      <c r="S104" s="1993" t="str">
        <f t="shared" si="253"/>
        <v>#N/A</v>
      </c>
      <c r="T104" s="1993" t="str">
        <f>(SUMIF(MA_TAIKHOAN,$E104,SDCDK)+SUMIFs(PS_SOTIEN,PS_TKCO,$E104,PS_NGAY,"&lt;="&amp;J$1))-(SUMIF(MA_TAIKHOAN,$E104,SDNDK)+SUMIFS(PS_SOTIEN,PS_TKNO,$E104,PS_NGAY,"&lt;="&amp;J$1))</f>
        <v>#N/A</v>
      </c>
      <c r="U104" s="1993" t="str">
        <f>(SUMIF(MA_TAIKHOAN,$E104,SDCDK)+SUMIFs(PS_SOTIEN,PS_TKCO,$E104,PS_NGAY,"&lt;="&amp;G$1))-(SUMIF(MA_TAIKHOAN,$E104,SDNDK)+SUMIFS(PS_SOTIEN,PS_TKNO,$E104,PS_NGAY,"&lt;="&amp;G$1))</f>
        <v>#N/A</v>
      </c>
      <c r="V104" s="1993" t="str">
        <f t="shared" ref="V104:X104" si="254">(SUMIF(MA_TAIKHOAN,$E104,SDCDK)+SUMIFs(PS_SOTIEN,PS_TKCO,$E104,PS_NGAY,"&lt;="&amp;S$1))-(SUMIF(MA_TAIKHOAN,$E104,SDNDK)+SUMIFS(PS_SOTIEN,PS_TKNO,$E104,PS_NGAY,"&lt;="&amp;S$1))</f>
        <v>#N/A</v>
      </c>
      <c r="W104" s="1993" t="str">
        <f t="shared" si="254"/>
        <v>#N/A</v>
      </c>
      <c r="X104" s="1993" t="str">
        <f t="shared" si="254"/>
        <v>#N/A</v>
      </c>
      <c r="Y104" s="1989">
        <f t="shared" si="39"/>
        <v>71</v>
      </c>
    </row>
    <row r="105">
      <c r="A105" s="1520">
        <v>350.0</v>
      </c>
      <c r="B105" s="1521" t="s">
        <v>3329</v>
      </c>
      <c r="C105" s="1522" t="s">
        <v>3330</v>
      </c>
      <c r="D105" s="1523" t="s">
        <v>3331</v>
      </c>
      <c r="E105" s="1524" t="s">
        <v>2214</v>
      </c>
      <c r="F105" s="1991" t="str">
        <f t="shared" si="31"/>
        <v>#N/A</v>
      </c>
      <c r="G105" s="1991" t="str">
        <f t="shared" si="32"/>
        <v>#N/A</v>
      </c>
      <c r="H105" s="1991" t="str">
        <f t="shared" si="33"/>
        <v>#N/A</v>
      </c>
      <c r="I105" s="1991" t="str">
        <f t="shared" si="34"/>
        <v>#N/A</v>
      </c>
      <c r="J105" s="1991" t="str">
        <f t="shared" si="35"/>
        <v>#N/A</v>
      </c>
      <c r="K105" s="1991" t="str">
        <f t="shared" si="36"/>
        <v>#N/A</v>
      </c>
      <c r="L105" s="1991" t="str">
        <f t="shared" si="37"/>
        <v>#N/A</v>
      </c>
      <c r="M105" s="1991" t="str">
        <f t="shared" ref="M105:X105" si="255">M106+M109+M112</f>
        <v>#N/A</v>
      </c>
      <c r="N105" s="1991" t="str">
        <f t="shared" si="255"/>
        <v>#N/A</v>
      </c>
      <c r="O105" s="1991" t="str">
        <f t="shared" si="255"/>
        <v>#N/A</v>
      </c>
      <c r="P105" s="1991" t="str">
        <f t="shared" si="255"/>
        <v>#N/A</v>
      </c>
      <c r="Q105" s="1991" t="str">
        <f t="shared" si="255"/>
        <v>#N/A</v>
      </c>
      <c r="R105" s="1991" t="str">
        <f t="shared" si="255"/>
        <v>#N/A</v>
      </c>
      <c r="S105" s="1991" t="str">
        <f t="shared" si="255"/>
        <v>#N/A</v>
      </c>
      <c r="T105" s="1991" t="str">
        <f t="shared" si="255"/>
        <v>#N/A</v>
      </c>
      <c r="U105" s="1991" t="str">
        <f t="shared" si="255"/>
        <v>#N/A</v>
      </c>
      <c r="V105" s="1991" t="str">
        <f t="shared" si="255"/>
        <v>#N/A</v>
      </c>
      <c r="W105" s="1991" t="str">
        <f t="shared" si="255"/>
        <v>#N/A</v>
      </c>
      <c r="X105" s="1991" t="str">
        <f t="shared" si="255"/>
        <v>#N/A</v>
      </c>
      <c r="Y105" s="1989">
        <f t="shared" si="39"/>
        <v>72</v>
      </c>
    </row>
    <row r="106">
      <c r="A106" s="1533">
        <v>355.0</v>
      </c>
      <c r="B106" s="1534" t="s">
        <v>3332</v>
      </c>
      <c r="C106" s="1524" t="s">
        <v>3094</v>
      </c>
      <c r="D106" s="1535" t="s">
        <v>3333</v>
      </c>
      <c r="E106" s="1524" t="s">
        <v>2214</v>
      </c>
      <c r="F106" s="1990" t="str">
        <f t="shared" si="31"/>
        <v>#N/A</v>
      </c>
      <c r="G106" s="1990" t="str">
        <f t="shared" si="32"/>
        <v>#N/A</v>
      </c>
      <c r="H106" s="1990" t="str">
        <f t="shared" si="33"/>
        <v>#N/A</v>
      </c>
      <c r="I106" s="1990" t="str">
        <f t="shared" si="34"/>
        <v>#N/A</v>
      </c>
      <c r="J106" s="1990" t="str">
        <f t="shared" si="35"/>
        <v>#N/A</v>
      </c>
      <c r="K106" s="1990" t="str">
        <f t="shared" si="36"/>
        <v>#N/A</v>
      </c>
      <c r="L106" s="1990" t="str">
        <f t="shared" si="37"/>
        <v>#N/A</v>
      </c>
      <c r="M106" s="1990" t="str">
        <f t="shared" ref="M106:X106" si="256">SUM(M107:M108)</f>
        <v>#N/A</v>
      </c>
      <c r="N106" s="1990" t="str">
        <f t="shared" si="256"/>
        <v>#N/A</v>
      </c>
      <c r="O106" s="1990" t="str">
        <f t="shared" si="256"/>
        <v>#N/A</v>
      </c>
      <c r="P106" s="1990" t="str">
        <f t="shared" si="256"/>
        <v>#N/A</v>
      </c>
      <c r="Q106" s="1990" t="str">
        <f t="shared" si="256"/>
        <v>#N/A</v>
      </c>
      <c r="R106" s="1990" t="str">
        <f t="shared" si="256"/>
        <v>#N/A</v>
      </c>
      <c r="S106" s="1990" t="str">
        <f t="shared" si="256"/>
        <v>#N/A</v>
      </c>
      <c r="T106" s="1990" t="str">
        <f t="shared" si="256"/>
        <v>#N/A</v>
      </c>
      <c r="U106" s="1990" t="str">
        <f t="shared" si="256"/>
        <v>#N/A</v>
      </c>
      <c r="V106" s="1990" t="str">
        <f t="shared" si="256"/>
        <v>#N/A</v>
      </c>
      <c r="W106" s="1990" t="str">
        <f t="shared" si="256"/>
        <v>#N/A</v>
      </c>
      <c r="X106" s="1990" t="str">
        <f t="shared" si="256"/>
        <v>#N/A</v>
      </c>
      <c r="Y106" s="1989">
        <f t="shared" si="39"/>
        <v>73</v>
      </c>
    </row>
    <row r="107">
      <c r="A107" s="1533">
        <v>360.0</v>
      </c>
      <c r="B107" s="1534" t="s">
        <v>3334</v>
      </c>
      <c r="C107" s="1524" t="s">
        <v>3095</v>
      </c>
      <c r="D107" s="1535" t="s">
        <v>2214</v>
      </c>
      <c r="E107" s="1524" t="s">
        <v>3061</v>
      </c>
      <c r="F107" s="1992" t="str">
        <f t="shared" si="31"/>
        <v>#N/A</v>
      </c>
      <c r="G107" s="1992" t="str">
        <f t="shared" si="32"/>
        <v>#N/A</v>
      </c>
      <c r="H107" s="1992" t="str">
        <f t="shared" si="33"/>
        <v>#N/A</v>
      </c>
      <c r="I107" s="1992" t="str">
        <f t="shared" si="34"/>
        <v>#N/A</v>
      </c>
      <c r="J107" s="1992" t="str">
        <f t="shared" si="35"/>
        <v>#N/A</v>
      </c>
      <c r="K107" s="1992" t="str">
        <f t="shared" si="36"/>
        <v>#N/A</v>
      </c>
      <c r="L107" s="1992" t="str">
        <f t="shared" si="37"/>
        <v>#N/A</v>
      </c>
      <c r="M107" s="1992" t="str">
        <f t="shared" ref="M107:O107" si="257">(SUMIF(MA_TAIKHOAN,$E107,SDNDK)+SUMIFS(PS_SOTIEN,PS_TKNO,$E107,PS_NGAY,"&lt;="&amp;M$1))-(SUMIF(MA_TAIKHOAN,$E107,SDCDK)+SUMIFs(PS_SOTIEN,PS_TKCO,$E107,PS_NGAY,"&lt;="&amp;M$1))</f>
        <v>#N/A</v>
      </c>
      <c r="N107" s="1992" t="str">
        <f t="shared" si="257"/>
        <v>#N/A</v>
      </c>
      <c r="O107" s="1992" t="str">
        <f t="shared" si="257"/>
        <v>#N/A</v>
      </c>
      <c r="P107" s="1992" t="str">
        <f>(SUMIF(MA_TAIKHOAN,$E107,SDNDK)+SUMIFS(PS_SOTIEN,PS_TKNO,$E107,PS_NGAY,"&lt;="&amp;I$1))-(SUMIF(MA_TAIKHOAN,$E107,SDCDK)+SUMIFs(PS_SOTIEN,PS_TKCO,$E107,PS_NGAY,"&lt;="&amp;I$1))</f>
        <v>#N/A</v>
      </c>
      <c r="Q107" s="1992" t="str">
        <f t="shared" ref="Q107:S107" si="258">(SUMIF(MA_TAIKHOAN,$E107,SDNDK)+SUMIFS(PS_SOTIEN,PS_TKNO,$E107,PS_NGAY,"&lt;="&amp;P$1))-(SUMIF(MA_TAIKHOAN,$E107,SDCDK)+SUMIFs(PS_SOTIEN,PS_TKCO,$E107,PS_NGAY,"&lt;="&amp;P$1))</f>
        <v>#N/A</v>
      </c>
      <c r="R107" s="1992" t="str">
        <f t="shared" si="258"/>
        <v>#N/A</v>
      </c>
      <c r="S107" s="1992" t="str">
        <f t="shared" si="258"/>
        <v>#N/A</v>
      </c>
      <c r="T107" s="1992" t="str">
        <f>(SUMIF(MA_TAIKHOAN,$E107,SDNDK)+SUMIFS(PS_SOTIEN,PS_TKNO,$E107,PS_NGAY,"&lt;="&amp;J$1))-(SUMIF(MA_TAIKHOAN,$E107,SDCDK)+SUMIFs(PS_SOTIEN,PS_TKCO,$E107,PS_NGAY,"&lt;="&amp;J$1))</f>
        <v>#N/A</v>
      </c>
      <c r="U107" s="1992" t="str">
        <f>(SUMIF(MA_TAIKHOAN,$E107,SDNDK)+SUMIFS(PS_SOTIEN,PS_TKNO,$E107,PS_NGAY,"&lt;="&amp;G$1))-(SUMIF(MA_TAIKHOAN,$E107,SDCDK)+SUMIFs(PS_SOTIEN,PS_TKCO,$E107,PS_NGAY,"&lt;="&amp;G$1))</f>
        <v>#N/A</v>
      </c>
      <c r="V107" s="1992" t="str">
        <f t="shared" ref="V107:X107" si="259">(SUMIF(MA_TAIKHOAN,$E107,SDNDK)+SUMIFS(PS_SOTIEN,PS_TKNO,$E107,PS_NGAY,"&lt;="&amp;S$1))-(SUMIF(MA_TAIKHOAN,$E107,SDCDK)+SUMIFs(PS_SOTIEN,PS_TKCO,$E107,PS_NGAY,"&lt;="&amp;S$1))</f>
        <v>#N/A</v>
      </c>
      <c r="W107" s="1992" t="str">
        <f t="shared" si="259"/>
        <v>#N/A</v>
      </c>
      <c r="X107" s="1992" t="str">
        <f t="shared" si="259"/>
        <v>#N/A</v>
      </c>
      <c r="Y107" s="1989">
        <f t="shared" si="39"/>
        <v>74</v>
      </c>
    </row>
    <row r="108">
      <c r="A108" s="1533">
        <v>365.0</v>
      </c>
      <c r="B108" s="1534" t="s">
        <v>3335</v>
      </c>
      <c r="C108" s="1524" t="s">
        <v>3336</v>
      </c>
      <c r="D108" s="1535" t="s">
        <v>2214</v>
      </c>
      <c r="E108" s="1524" t="s">
        <v>1378</v>
      </c>
      <c r="F108" s="1993" t="str">
        <f t="shared" si="31"/>
        <v>#N/A</v>
      </c>
      <c r="G108" s="1993" t="str">
        <f t="shared" si="32"/>
        <v>#N/A</v>
      </c>
      <c r="H108" s="1993" t="str">
        <f t="shared" si="33"/>
        <v>#N/A</v>
      </c>
      <c r="I108" s="1993" t="str">
        <f t="shared" si="34"/>
        <v>#N/A</v>
      </c>
      <c r="J108" s="1993" t="str">
        <f t="shared" si="35"/>
        <v>#N/A</v>
      </c>
      <c r="K108" s="1993" t="str">
        <f t="shared" si="36"/>
        <v>#N/A</v>
      </c>
      <c r="L108" s="1993" t="str">
        <f t="shared" si="37"/>
        <v>#N/A</v>
      </c>
      <c r="M108" s="1993" t="str">
        <f t="shared" ref="M108:O108" si="260">(SUMIF(MA_TAIKHOAN,$E108,SDCDK)+SUMIFs(PS_SOTIEN,PS_TKCO,$E108,PS_NGAY,"&lt;="&amp;M$1))-(SUMIF(MA_TAIKHOAN,$E108,SDNDK)+SUMIFS(PS_SOTIEN,PS_TKNO,$E108,PS_NGAY,"&lt;="&amp;M$1))</f>
        <v>#N/A</v>
      </c>
      <c r="N108" s="1993" t="str">
        <f t="shared" si="260"/>
        <v>#N/A</v>
      </c>
      <c r="O108" s="1993" t="str">
        <f t="shared" si="260"/>
        <v>#N/A</v>
      </c>
      <c r="P108" s="1993" t="str">
        <f>(SUMIF(MA_TAIKHOAN,$E108,SDCDK)+SUMIFs(PS_SOTIEN,PS_TKCO,$E108,PS_NGAY,"&lt;="&amp;I$1))-(SUMIF(MA_TAIKHOAN,$E108,SDNDK)+SUMIFS(PS_SOTIEN,PS_TKNO,$E108,PS_NGAY,"&lt;="&amp;I$1))</f>
        <v>#N/A</v>
      </c>
      <c r="Q108" s="1993" t="str">
        <f t="shared" ref="Q108:S108" si="261">(SUMIF(MA_TAIKHOAN,$E108,SDCDK)+SUMIFs(PS_SOTIEN,PS_TKCO,$E108,PS_NGAY,"&lt;="&amp;P$1))-(SUMIF(MA_TAIKHOAN,$E108,SDNDK)+SUMIFS(PS_SOTIEN,PS_TKNO,$E108,PS_NGAY,"&lt;="&amp;P$1))</f>
        <v>#N/A</v>
      </c>
      <c r="R108" s="1993" t="str">
        <f t="shared" si="261"/>
        <v>#N/A</v>
      </c>
      <c r="S108" s="1993" t="str">
        <f t="shared" si="261"/>
        <v>#N/A</v>
      </c>
      <c r="T108" s="1993" t="str">
        <f>(SUMIF(MA_TAIKHOAN,$E108,SDCDK)+SUMIFs(PS_SOTIEN,PS_TKCO,$E108,PS_NGAY,"&lt;="&amp;J$1))-(SUMIF(MA_TAIKHOAN,$E108,SDNDK)+SUMIFS(PS_SOTIEN,PS_TKNO,$E108,PS_NGAY,"&lt;="&amp;J$1))</f>
        <v>#N/A</v>
      </c>
      <c r="U108" s="1993" t="str">
        <f>(SUMIF(MA_TAIKHOAN,$E108,SDCDK)+SUMIFs(PS_SOTIEN,PS_TKCO,$E108,PS_NGAY,"&lt;="&amp;G$1))-(SUMIF(MA_TAIKHOAN,$E108,SDNDK)+SUMIFS(PS_SOTIEN,PS_TKNO,$E108,PS_NGAY,"&lt;="&amp;G$1))</f>
        <v>#N/A</v>
      </c>
      <c r="V108" s="1993" t="str">
        <f t="shared" ref="V108:X108" si="262">(SUMIF(MA_TAIKHOAN,$E108,SDCDK)+SUMIFs(PS_SOTIEN,PS_TKCO,$E108,PS_NGAY,"&lt;="&amp;S$1))-(SUMIF(MA_TAIKHOAN,$E108,SDNDK)+SUMIFS(PS_SOTIEN,PS_TKNO,$E108,PS_NGAY,"&lt;="&amp;S$1))</f>
        <v>#N/A</v>
      </c>
      <c r="W108" s="1993" t="str">
        <f t="shared" si="262"/>
        <v>#N/A</v>
      </c>
      <c r="X108" s="1993" t="str">
        <f t="shared" si="262"/>
        <v>#N/A</v>
      </c>
      <c r="Y108" s="1989">
        <f t="shared" si="39"/>
        <v>75</v>
      </c>
    </row>
    <row r="109">
      <c r="A109" s="1533">
        <v>370.0</v>
      </c>
      <c r="B109" s="1534" t="s">
        <v>3337</v>
      </c>
      <c r="C109" s="1524" t="s">
        <v>3338</v>
      </c>
      <c r="D109" s="1535" t="s">
        <v>3339</v>
      </c>
      <c r="E109" s="1524" t="s">
        <v>2214</v>
      </c>
      <c r="F109" s="1990" t="str">
        <f t="shared" si="31"/>
        <v>#N/A</v>
      </c>
      <c r="G109" s="1990" t="str">
        <f t="shared" si="32"/>
        <v>#N/A</v>
      </c>
      <c r="H109" s="1990" t="str">
        <f t="shared" si="33"/>
        <v>#N/A</v>
      </c>
      <c r="I109" s="1990" t="str">
        <f t="shared" si="34"/>
        <v>#N/A</v>
      </c>
      <c r="J109" s="1990" t="str">
        <f t="shared" si="35"/>
        <v>#N/A</v>
      </c>
      <c r="K109" s="1990" t="str">
        <f t="shared" si="36"/>
        <v>#N/A</v>
      </c>
      <c r="L109" s="1990" t="str">
        <f t="shared" si="37"/>
        <v>#N/A</v>
      </c>
      <c r="M109" s="1990" t="str">
        <f t="shared" ref="M109:X109" si="263">SUM(M110:M111)</f>
        <v>#N/A</v>
      </c>
      <c r="N109" s="1990" t="str">
        <f t="shared" si="263"/>
        <v>#N/A</v>
      </c>
      <c r="O109" s="1990" t="str">
        <f t="shared" si="263"/>
        <v>#N/A</v>
      </c>
      <c r="P109" s="1990" t="str">
        <f t="shared" si="263"/>
        <v>#N/A</v>
      </c>
      <c r="Q109" s="1990" t="str">
        <f t="shared" si="263"/>
        <v>#N/A</v>
      </c>
      <c r="R109" s="1990" t="str">
        <f t="shared" si="263"/>
        <v>#N/A</v>
      </c>
      <c r="S109" s="1990" t="str">
        <f t="shared" si="263"/>
        <v>#N/A</v>
      </c>
      <c r="T109" s="1990" t="str">
        <f t="shared" si="263"/>
        <v>#N/A</v>
      </c>
      <c r="U109" s="1990" t="str">
        <f t="shared" si="263"/>
        <v>#N/A</v>
      </c>
      <c r="V109" s="1990" t="str">
        <f t="shared" si="263"/>
        <v>#N/A</v>
      </c>
      <c r="W109" s="1990" t="str">
        <f t="shared" si="263"/>
        <v>#N/A</v>
      </c>
      <c r="X109" s="1990" t="str">
        <f t="shared" si="263"/>
        <v>#N/A</v>
      </c>
      <c r="Y109" s="1989">
        <f t="shared" si="39"/>
        <v>76</v>
      </c>
    </row>
    <row r="110">
      <c r="A110" s="1533">
        <v>375.0</v>
      </c>
      <c r="B110" s="1534" t="s">
        <v>3334</v>
      </c>
      <c r="C110" s="1524" t="s">
        <v>3340</v>
      </c>
      <c r="D110" s="1535" t="s">
        <v>2214</v>
      </c>
      <c r="E110" s="1524" t="s">
        <v>3071</v>
      </c>
      <c r="F110" s="1992" t="str">
        <f t="shared" si="31"/>
        <v>#N/A</v>
      </c>
      <c r="G110" s="1992" t="str">
        <f t="shared" si="32"/>
        <v>#N/A</v>
      </c>
      <c r="H110" s="1992" t="str">
        <f t="shared" si="33"/>
        <v>#N/A</v>
      </c>
      <c r="I110" s="1992" t="str">
        <f t="shared" si="34"/>
        <v>#N/A</v>
      </c>
      <c r="J110" s="1992" t="str">
        <f t="shared" si="35"/>
        <v>#N/A</v>
      </c>
      <c r="K110" s="1992" t="str">
        <f t="shared" si="36"/>
        <v>#N/A</v>
      </c>
      <c r="L110" s="1992" t="str">
        <f t="shared" si="37"/>
        <v>#N/A</v>
      </c>
      <c r="M110" s="1992" t="str">
        <f t="shared" ref="M110:O110" si="264">(SUMIF(MA_TAIKHOAN,$E110,SDNDK)+SUMIFS(PS_SOTIEN,PS_TKNO,$E110,PS_NGAY,"&lt;="&amp;M$1))-(SUMIF(MA_TAIKHOAN,$E110,SDCDK)+SUMIFs(PS_SOTIEN,PS_TKCO,$E110,PS_NGAY,"&lt;="&amp;M$1))</f>
        <v>#N/A</v>
      </c>
      <c r="N110" s="1992" t="str">
        <f t="shared" si="264"/>
        <v>#N/A</v>
      </c>
      <c r="O110" s="1992" t="str">
        <f t="shared" si="264"/>
        <v>#N/A</v>
      </c>
      <c r="P110" s="1992" t="str">
        <f>(SUMIF(MA_TAIKHOAN,$E110,SDNDK)+SUMIFS(PS_SOTIEN,PS_TKNO,$E110,PS_NGAY,"&lt;="&amp;I$1))-(SUMIF(MA_TAIKHOAN,$E110,SDCDK)+SUMIFs(PS_SOTIEN,PS_TKCO,$E110,PS_NGAY,"&lt;="&amp;I$1))</f>
        <v>#N/A</v>
      </c>
      <c r="Q110" s="1992" t="str">
        <f t="shared" ref="Q110:S110" si="265">(SUMIF(MA_TAIKHOAN,$E110,SDNDK)+SUMIFS(PS_SOTIEN,PS_TKNO,$E110,PS_NGAY,"&lt;="&amp;P$1))-(SUMIF(MA_TAIKHOAN,$E110,SDCDK)+SUMIFs(PS_SOTIEN,PS_TKCO,$E110,PS_NGAY,"&lt;="&amp;P$1))</f>
        <v>#N/A</v>
      </c>
      <c r="R110" s="1992" t="str">
        <f t="shared" si="265"/>
        <v>#N/A</v>
      </c>
      <c r="S110" s="1992" t="str">
        <f t="shared" si="265"/>
        <v>#N/A</v>
      </c>
      <c r="T110" s="1992" t="str">
        <f>(SUMIF(MA_TAIKHOAN,$E110,SDNDK)+SUMIFS(PS_SOTIEN,PS_TKNO,$E110,PS_NGAY,"&lt;="&amp;J$1))-(SUMIF(MA_TAIKHOAN,$E110,SDCDK)+SUMIFs(PS_SOTIEN,PS_TKCO,$E110,PS_NGAY,"&lt;="&amp;J$1))</f>
        <v>#N/A</v>
      </c>
      <c r="U110" s="1992" t="str">
        <f>(SUMIF(MA_TAIKHOAN,$E110,SDNDK)+SUMIFS(PS_SOTIEN,PS_TKNO,$E110,PS_NGAY,"&lt;="&amp;G$1))-(SUMIF(MA_TAIKHOAN,$E110,SDCDK)+SUMIFs(PS_SOTIEN,PS_TKCO,$E110,PS_NGAY,"&lt;="&amp;G$1))</f>
        <v>#N/A</v>
      </c>
      <c r="V110" s="1992" t="str">
        <f t="shared" ref="V110:X110" si="266">(SUMIF(MA_TAIKHOAN,$E110,SDNDK)+SUMIFS(PS_SOTIEN,PS_TKNO,$E110,PS_NGAY,"&lt;="&amp;S$1))-(SUMIF(MA_TAIKHOAN,$E110,SDCDK)+SUMIFs(PS_SOTIEN,PS_TKCO,$E110,PS_NGAY,"&lt;="&amp;S$1))</f>
        <v>#N/A</v>
      </c>
      <c r="W110" s="1992" t="str">
        <f t="shared" si="266"/>
        <v>#N/A</v>
      </c>
      <c r="X110" s="1992" t="str">
        <f t="shared" si="266"/>
        <v>#N/A</v>
      </c>
      <c r="Y110" s="1989">
        <f t="shared" si="39"/>
        <v>77</v>
      </c>
    </row>
    <row r="111">
      <c r="A111" s="1533">
        <v>380.0</v>
      </c>
      <c r="B111" s="1534" t="s">
        <v>3335</v>
      </c>
      <c r="C111" s="1524" t="s">
        <v>3341</v>
      </c>
      <c r="D111" s="1535" t="s">
        <v>2214</v>
      </c>
      <c r="E111" s="1524" t="s">
        <v>1380</v>
      </c>
      <c r="F111" s="1993" t="str">
        <f t="shared" si="31"/>
        <v>#N/A</v>
      </c>
      <c r="G111" s="1993" t="str">
        <f t="shared" si="32"/>
        <v>#N/A</v>
      </c>
      <c r="H111" s="1993" t="str">
        <f t="shared" si="33"/>
        <v>#N/A</v>
      </c>
      <c r="I111" s="1993" t="str">
        <f t="shared" si="34"/>
        <v>#N/A</v>
      </c>
      <c r="J111" s="1993" t="str">
        <f t="shared" si="35"/>
        <v>#N/A</v>
      </c>
      <c r="K111" s="1993" t="str">
        <f t="shared" si="36"/>
        <v>#N/A</v>
      </c>
      <c r="L111" s="1993" t="str">
        <f t="shared" si="37"/>
        <v>#N/A</v>
      </c>
      <c r="M111" s="1993" t="str">
        <f t="shared" ref="M111:O111" si="267">(SUMIF(MA_TAIKHOAN,$E111,SDCDK)+SUMIFs(PS_SOTIEN,PS_TKCO,$E111,PS_NGAY,"&lt;="&amp;M$1))-(SUMIF(MA_TAIKHOAN,$E111,SDNDK)+SUMIFS(PS_SOTIEN,PS_TKNO,$E111,PS_NGAY,"&lt;="&amp;M$1))</f>
        <v>#N/A</v>
      </c>
      <c r="N111" s="1993" t="str">
        <f t="shared" si="267"/>
        <v>#N/A</v>
      </c>
      <c r="O111" s="1993" t="str">
        <f t="shared" si="267"/>
        <v>#N/A</v>
      </c>
      <c r="P111" s="1993" t="str">
        <f>(SUMIF(MA_TAIKHOAN,$E111,SDCDK)+SUMIFs(PS_SOTIEN,PS_TKCO,$E111,PS_NGAY,"&lt;="&amp;I$1))-(SUMIF(MA_TAIKHOAN,$E111,SDNDK)+SUMIFS(PS_SOTIEN,PS_TKNO,$E111,PS_NGAY,"&lt;="&amp;I$1))</f>
        <v>#N/A</v>
      </c>
      <c r="Q111" s="1993" t="str">
        <f t="shared" ref="Q111:S111" si="268">(SUMIF(MA_TAIKHOAN,$E111,SDCDK)+SUMIFs(PS_SOTIEN,PS_TKCO,$E111,PS_NGAY,"&lt;="&amp;P$1))-(SUMIF(MA_TAIKHOAN,$E111,SDNDK)+SUMIFS(PS_SOTIEN,PS_TKNO,$E111,PS_NGAY,"&lt;="&amp;P$1))</f>
        <v>#N/A</v>
      </c>
      <c r="R111" s="1993" t="str">
        <f t="shared" si="268"/>
        <v>#N/A</v>
      </c>
      <c r="S111" s="1993" t="str">
        <f t="shared" si="268"/>
        <v>#N/A</v>
      </c>
      <c r="T111" s="1993" t="str">
        <f>(SUMIF(MA_TAIKHOAN,$E111,SDCDK)+SUMIFs(PS_SOTIEN,PS_TKCO,$E111,PS_NGAY,"&lt;="&amp;J$1))-(SUMIF(MA_TAIKHOAN,$E111,SDNDK)+SUMIFS(PS_SOTIEN,PS_TKNO,$E111,PS_NGAY,"&lt;="&amp;J$1))</f>
        <v>#N/A</v>
      </c>
      <c r="U111" s="1993" t="str">
        <f>(SUMIF(MA_TAIKHOAN,$E111,SDCDK)+SUMIFs(PS_SOTIEN,PS_TKCO,$E111,PS_NGAY,"&lt;="&amp;G$1))-(SUMIF(MA_TAIKHOAN,$E111,SDNDK)+SUMIFS(PS_SOTIEN,PS_TKNO,$E111,PS_NGAY,"&lt;="&amp;G$1))</f>
        <v>#N/A</v>
      </c>
      <c r="V111" s="1993" t="str">
        <f t="shared" ref="V111:X111" si="269">(SUMIF(MA_TAIKHOAN,$E111,SDCDK)+SUMIFs(PS_SOTIEN,PS_TKCO,$E111,PS_NGAY,"&lt;="&amp;S$1))-(SUMIF(MA_TAIKHOAN,$E111,SDNDK)+SUMIFS(PS_SOTIEN,PS_TKNO,$E111,PS_NGAY,"&lt;="&amp;S$1))</f>
        <v>#N/A</v>
      </c>
      <c r="W111" s="1993" t="str">
        <f t="shared" si="269"/>
        <v>#N/A</v>
      </c>
      <c r="X111" s="1993" t="str">
        <f t="shared" si="269"/>
        <v>#N/A</v>
      </c>
      <c r="Y111" s="1989">
        <f t="shared" si="39"/>
        <v>78</v>
      </c>
    </row>
    <row r="112">
      <c r="A112" s="1533">
        <v>385.0</v>
      </c>
      <c r="B112" s="1534" t="s">
        <v>3342</v>
      </c>
      <c r="C112" s="1524" t="s">
        <v>3343</v>
      </c>
      <c r="D112" s="1535" t="s">
        <v>3344</v>
      </c>
      <c r="E112" s="1524" t="s">
        <v>2214</v>
      </c>
      <c r="F112" s="1990" t="str">
        <f t="shared" si="31"/>
        <v>#N/A</v>
      </c>
      <c r="G112" s="1990" t="str">
        <f t="shared" si="32"/>
        <v>#N/A</v>
      </c>
      <c r="H112" s="1990" t="str">
        <f t="shared" si="33"/>
        <v>#N/A</v>
      </c>
      <c r="I112" s="1990" t="str">
        <f t="shared" si="34"/>
        <v>#N/A</v>
      </c>
      <c r="J112" s="1990" t="str">
        <f t="shared" si="35"/>
        <v>#N/A</v>
      </c>
      <c r="K112" s="1990" t="str">
        <f t="shared" si="36"/>
        <v>#N/A</v>
      </c>
      <c r="L112" s="1990" t="str">
        <f t="shared" si="37"/>
        <v>#N/A</v>
      </c>
      <c r="M112" s="1990" t="str">
        <f t="shared" ref="M112:X112" si="270">SUM(M113:M114)</f>
        <v>#N/A</v>
      </c>
      <c r="N112" s="1990" t="str">
        <f t="shared" si="270"/>
        <v>#N/A</v>
      </c>
      <c r="O112" s="1990" t="str">
        <f t="shared" si="270"/>
        <v>#N/A</v>
      </c>
      <c r="P112" s="1990" t="str">
        <f t="shared" si="270"/>
        <v>#N/A</v>
      </c>
      <c r="Q112" s="1990" t="str">
        <f t="shared" si="270"/>
        <v>#N/A</v>
      </c>
      <c r="R112" s="1990" t="str">
        <f t="shared" si="270"/>
        <v>#N/A</v>
      </c>
      <c r="S112" s="1990" t="str">
        <f t="shared" si="270"/>
        <v>#N/A</v>
      </c>
      <c r="T112" s="1990" t="str">
        <f t="shared" si="270"/>
        <v>#N/A</v>
      </c>
      <c r="U112" s="1990" t="str">
        <f t="shared" si="270"/>
        <v>#N/A</v>
      </c>
      <c r="V112" s="1990" t="str">
        <f t="shared" si="270"/>
        <v>#N/A</v>
      </c>
      <c r="W112" s="1990" t="str">
        <f t="shared" si="270"/>
        <v>#N/A</v>
      </c>
      <c r="X112" s="1990" t="str">
        <f t="shared" si="270"/>
        <v>#N/A</v>
      </c>
      <c r="Y112" s="1989">
        <f t="shared" si="39"/>
        <v>79</v>
      </c>
    </row>
    <row r="113">
      <c r="A113" s="1533">
        <v>390.0</v>
      </c>
      <c r="B113" s="1534" t="s">
        <v>3334</v>
      </c>
      <c r="C113" s="1524" t="s">
        <v>1387</v>
      </c>
      <c r="D113" s="1535" t="s">
        <v>2214</v>
      </c>
      <c r="E113" s="1524" t="s">
        <v>3076</v>
      </c>
      <c r="F113" s="1992" t="str">
        <f t="shared" si="31"/>
        <v>#N/A</v>
      </c>
      <c r="G113" s="1992" t="str">
        <f t="shared" si="32"/>
        <v>#N/A</v>
      </c>
      <c r="H113" s="1992" t="str">
        <f t="shared" si="33"/>
        <v>#N/A</v>
      </c>
      <c r="I113" s="1992" t="str">
        <f t="shared" si="34"/>
        <v>#N/A</v>
      </c>
      <c r="J113" s="1992" t="str">
        <f t="shared" si="35"/>
        <v>#N/A</v>
      </c>
      <c r="K113" s="1992" t="str">
        <f t="shared" si="36"/>
        <v>#N/A</v>
      </c>
      <c r="L113" s="1992" t="str">
        <f t="shared" si="37"/>
        <v>#N/A</v>
      </c>
      <c r="M113" s="1992" t="str">
        <f t="shared" ref="M113:O113" si="271">(SUMIF(MA_TAIKHOAN,$E113,SDNDK)+SUMIFS(PS_SOTIEN,PS_TKNO,$E113,PS_NGAY,"&lt;="&amp;M$1))-(SUMIF(MA_TAIKHOAN,$E113,SDCDK)+SUMIFs(PS_SOTIEN,PS_TKCO,$E113,PS_NGAY,"&lt;="&amp;M$1))</f>
        <v>#N/A</v>
      </c>
      <c r="N113" s="1992" t="str">
        <f t="shared" si="271"/>
        <v>#N/A</v>
      </c>
      <c r="O113" s="1992" t="str">
        <f t="shared" si="271"/>
        <v>#N/A</v>
      </c>
      <c r="P113" s="1992" t="str">
        <f>(SUMIF(MA_TAIKHOAN,$E113,SDNDK)+SUMIFS(PS_SOTIEN,PS_TKNO,$E113,PS_NGAY,"&lt;="&amp;I$1))-(SUMIF(MA_TAIKHOAN,$E113,SDCDK)+SUMIFs(PS_SOTIEN,PS_TKCO,$E113,PS_NGAY,"&lt;="&amp;I$1))</f>
        <v>#N/A</v>
      </c>
      <c r="Q113" s="1992" t="str">
        <f t="shared" ref="Q113:S113" si="272">(SUMIF(MA_TAIKHOAN,$E113,SDNDK)+SUMIFS(PS_SOTIEN,PS_TKNO,$E113,PS_NGAY,"&lt;="&amp;P$1))-(SUMIF(MA_TAIKHOAN,$E113,SDCDK)+SUMIFs(PS_SOTIEN,PS_TKCO,$E113,PS_NGAY,"&lt;="&amp;P$1))</f>
        <v>#N/A</v>
      </c>
      <c r="R113" s="1992" t="str">
        <f t="shared" si="272"/>
        <v>#N/A</v>
      </c>
      <c r="S113" s="1992" t="str">
        <f t="shared" si="272"/>
        <v>#N/A</v>
      </c>
      <c r="T113" s="1992" t="str">
        <f>(SUMIF(MA_TAIKHOAN,$E113,SDNDK)+SUMIFS(PS_SOTIEN,PS_TKNO,$E113,PS_NGAY,"&lt;="&amp;J$1))-(SUMIF(MA_TAIKHOAN,$E113,SDCDK)+SUMIFs(PS_SOTIEN,PS_TKCO,$E113,PS_NGAY,"&lt;="&amp;J$1))</f>
        <v>#N/A</v>
      </c>
      <c r="U113" s="1992" t="str">
        <f>(SUMIF(MA_TAIKHOAN,$E113,SDNDK)+SUMIFS(PS_SOTIEN,PS_TKNO,$E113,PS_NGAY,"&lt;="&amp;G$1))-(SUMIF(MA_TAIKHOAN,$E113,SDCDK)+SUMIFs(PS_SOTIEN,PS_TKCO,$E113,PS_NGAY,"&lt;="&amp;G$1))</f>
        <v>#N/A</v>
      </c>
      <c r="V113" s="1992" t="str">
        <f t="shared" ref="V113:X113" si="273">(SUMIF(MA_TAIKHOAN,$E113,SDNDK)+SUMIFS(PS_SOTIEN,PS_TKNO,$E113,PS_NGAY,"&lt;="&amp;S$1))-(SUMIF(MA_TAIKHOAN,$E113,SDCDK)+SUMIFs(PS_SOTIEN,PS_TKCO,$E113,PS_NGAY,"&lt;="&amp;S$1))</f>
        <v>#N/A</v>
      </c>
      <c r="W113" s="1992" t="str">
        <f t="shared" si="273"/>
        <v>#N/A</v>
      </c>
      <c r="X113" s="1992" t="str">
        <f t="shared" si="273"/>
        <v>#N/A</v>
      </c>
      <c r="Y113" s="1989">
        <f t="shared" si="39"/>
        <v>80</v>
      </c>
    </row>
    <row r="114">
      <c r="A114" s="1533">
        <v>395.0</v>
      </c>
      <c r="B114" s="1534" t="s">
        <v>3335</v>
      </c>
      <c r="C114" s="1524" t="s">
        <v>3097</v>
      </c>
      <c r="D114" s="1535" t="s">
        <v>2214</v>
      </c>
      <c r="E114" s="1524" t="s">
        <v>1382</v>
      </c>
      <c r="F114" s="1993" t="str">
        <f t="shared" si="31"/>
        <v>#N/A</v>
      </c>
      <c r="G114" s="1993" t="str">
        <f t="shared" si="32"/>
        <v>#N/A</v>
      </c>
      <c r="H114" s="1993" t="str">
        <f t="shared" si="33"/>
        <v>#N/A</v>
      </c>
      <c r="I114" s="1993" t="str">
        <f t="shared" si="34"/>
        <v>#N/A</v>
      </c>
      <c r="J114" s="1993" t="str">
        <f t="shared" si="35"/>
        <v>#N/A</v>
      </c>
      <c r="K114" s="1993" t="str">
        <f t="shared" si="36"/>
        <v>#N/A</v>
      </c>
      <c r="L114" s="1993" t="str">
        <f t="shared" si="37"/>
        <v>#N/A</v>
      </c>
      <c r="M114" s="1993" t="str">
        <f t="shared" ref="M114:O114" si="274">(SUMIF(MA_TAIKHOAN,$E114,SDCDK)+SUMIFs(PS_SOTIEN,PS_TKCO,$E114,PS_NGAY,"&lt;="&amp;M$1))-(SUMIF(MA_TAIKHOAN,$E114,SDNDK)+SUMIFS(PS_SOTIEN,PS_TKNO,$E114,PS_NGAY,"&lt;="&amp;M$1))</f>
        <v>#N/A</v>
      </c>
      <c r="N114" s="1993" t="str">
        <f t="shared" si="274"/>
        <v>#N/A</v>
      </c>
      <c r="O114" s="1993" t="str">
        <f t="shared" si="274"/>
        <v>#N/A</v>
      </c>
      <c r="P114" s="1993" t="str">
        <f>(SUMIF(MA_TAIKHOAN,$E114,SDCDK)+SUMIFs(PS_SOTIEN,PS_TKCO,$E114,PS_NGAY,"&lt;="&amp;I$1))-(SUMIF(MA_TAIKHOAN,$E114,SDNDK)+SUMIFS(PS_SOTIEN,PS_TKNO,$E114,PS_NGAY,"&lt;="&amp;I$1))</f>
        <v>#N/A</v>
      </c>
      <c r="Q114" s="1993" t="str">
        <f t="shared" ref="Q114:S114" si="275">(SUMIF(MA_TAIKHOAN,$E114,SDCDK)+SUMIFs(PS_SOTIEN,PS_TKCO,$E114,PS_NGAY,"&lt;="&amp;P$1))-(SUMIF(MA_TAIKHOAN,$E114,SDNDK)+SUMIFS(PS_SOTIEN,PS_TKNO,$E114,PS_NGAY,"&lt;="&amp;P$1))</f>
        <v>#N/A</v>
      </c>
      <c r="R114" s="1993" t="str">
        <f t="shared" si="275"/>
        <v>#N/A</v>
      </c>
      <c r="S114" s="1993" t="str">
        <f t="shared" si="275"/>
        <v>#N/A</v>
      </c>
      <c r="T114" s="1993" t="str">
        <f>(SUMIF(MA_TAIKHOAN,$E114,SDCDK)+SUMIFs(PS_SOTIEN,PS_TKCO,$E114,PS_NGAY,"&lt;="&amp;J$1))-(SUMIF(MA_TAIKHOAN,$E114,SDNDK)+SUMIFS(PS_SOTIEN,PS_TKNO,$E114,PS_NGAY,"&lt;="&amp;J$1))</f>
        <v>#N/A</v>
      </c>
      <c r="U114" s="1993" t="str">
        <f>(SUMIF(MA_TAIKHOAN,$E114,SDCDK)+SUMIFs(PS_SOTIEN,PS_TKCO,$E114,PS_NGAY,"&lt;="&amp;G$1))-(SUMIF(MA_TAIKHOAN,$E114,SDNDK)+SUMIFS(PS_SOTIEN,PS_TKNO,$E114,PS_NGAY,"&lt;="&amp;G$1))</f>
        <v>#N/A</v>
      </c>
      <c r="V114" s="1993" t="str">
        <f t="shared" ref="V114:X114" si="276">(SUMIF(MA_TAIKHOAN,$E114,SDCDK)+SUMIFs(PS_SOTIEN,PS_TKCO,$E114,PS_NGAY,"&lt;="&amp;S$1))-(SUMIF(MA_TAIKHOAN,$E114,SDNDK)+SUMIFS(PS_SOTIEN,PS_TKNO,$E114,PS_NGAY,"&lt;="&amp;S$1))</f>
        <v>#N/A</v>
      </c>
      <c r="W114" s="1993" t="str">
        <f t="shared" si="276"/>
        <v>#N/A</v>
      </c>
      <c r="X114" s="1993" t="str">
        <f t="shared" si="276"/>
        <v>#N/A</v>
      </c>
      <c r="Y114" s="1989">
        <f t="shared" si="39"/>
        <v>81</v>
      </c>
    </row>
    <row r="115">
      <c r="A115" s="1520">
        <v>400.0</v>
      </c>
      <c r="B115" s="1521" t="s">
        <v>3345</v>
      </c>
      <c r="C115" s="1522" t="s">
        <v>3346</v>
      </c>
      <c r="D115" s="1523" t="s">
        <v>3347</v>
      </c>
      <c r="E115" s="1524" t="s">
        <v>2214</v>
      </c>
      <c r="F115" s="1990" t="str">
        <f t="shared" si="31"/>
        <v>#N/A</v>
      </c>
      <c r="G115" s="1990" t="str">
        <f t="shared" si="32"/>
        <v>#N/A</v>
      </c>
      <c r="H115" s="1990" t="str">
        <f t="shared" si="33"/>
        <v>#N/A</v>
      </c>
      <c r="I115" s="1990" t="str">
        <f t="shared" si="34"/>
        <v>#N/A</v>
      </c>
      <c r="J115" s="1990" t="str">
        <f t="shared" si="35"/>
        <v>#N/A</v>
      </c>
      <c r="K115" s="1990" t="str">
        <f t="shared" si="36"/>
        <v>#N/A</v>
      </c>
      <c r="L115" s="1990" t="str">
        <f t="shared" si="37"/>
        <v>#N/A</v>
      </c>
      <c r="M115" s="1990" t="str">
        <f t="shared" ref="M115:X115" si="277">SUM(M116:M117)</f>
        <v>#N/A</v>
      </c>
      <c r="N115" s="1990" t="str">
        <f t="shared" si="277"/>
        <v>#N/A</v>
      </c>
      <c r="O115" s="1990" t="str">
        <f t="shared" si="277"/>
        <v>#N/A</v>
      </c>
      <c r="P115" s="1990" t="str">
        <f t="shared" si="277"/>
        <v>#N/A</v>
      </c>
      <c r="Q115" s="1990" t="str">
        <f t="shared" si="277"/>
        <v>#N/A</v>
      </c>
      <c r="R115" s="1990" t="str">
        <f t="shared" si="277"/>
        <v>#N/A</v>
      </c>
      <c r="S115" s="1990" t="str">
        <f t="shared" si="277"/>
        <v>#N/A</v>
      </c>
      <c r="T115" s="1990" t="str">
        <f t="shared" si="277"/>
        <v>#N/A</v>
      </c>
      <c r="U115" s="1990" t="str">
        <f t="shared" si="277"/>
        <v>#N/A</v>
      </c>
      <c r="V115" s="1990" t="str">
        <f t="shared" si="277"/>
        <v>#N/A</v>
      </c>
      <c r="W115" s="1990" t="str">
        <f t="shared" si="277"/>
        <v>#N/A</v>
      </c>
      <c r="X115" s="1990" t="str">
        <f t="shared" si="277"/>
        <v>#N/A</v>
      </c>
      <c r="Y115" s="1989">
        <f t="shared" si="39"/>
        <v>82</v>
      </c>
    </row>
    <row r="116">
      <c r="A116" s="1533">
        <v>405.0</v>
      </c>
      <c r="B116" s="1534" t="s">
        <v>3334</v>
      </c>
      <c r="C116" s="1524" t="s">
        <v>3348</v>
      </c>
      <c r="D116" s="1535" t="s">
        <v>2214</v>
      </c>
      <c r="E116" s="1524" t="s">
        <v>3093</v>
      </c>
      <c r="F116" s="1992" t="str">
        <f t="shared" si="31"/>
        <v>#N/A</v>
      </c>
      <c r="G116" s="1992" t="str">
        <f t="shared" si="32"/>
        <v>#N/A</v>
      </c>
      <c r="H116" s="1992" t="str">
        <f t="shared" si="33"/>
        <v>#N/A</v>
      </c>
      <c r="I116" s="1992" t="str">
        <f t="shared" si="34"/>
        <v>#N/A</v>
      </c>
      <c r="J116" s="1992" t="str">
        <f t="shared" si="35"/>
        <v>#N/A</v>
      </c>
      <c r="K116" s="1992" t="str">
        <f t="shared" si="36"/>
        <v>#N/A</v>
      </c>
      <c r="L116" s="1992" t="str">
        <f t="shared" si="37"/>
        <v>#N/A</v>
      </c>
      <c r="M116" s="1992" t="str">
        <f t="shared" ref="M116:O116" si="278">(SUMIF(MA_TAIKHOAN,$E116,SDNDK)+SUMIFS(PS_SOTIEN,PS_TKNO,$E116,PS_NGAY,"&lt;="&amp;M$1))-(SUMIF(MA_TAIKHOAN,$E116,SDCDK)+SUMIFs(PS_SOTIEN,PS_TKCO,$E116,PS_NGAY,"&lt;="&amp;M$1))</f>
        <v>#N/A</v>
      </c>
      <c r="N116" s="1992" t="str">
        <f t="shared" si="278"/>
        <v>#N/A</v>
      </c>
      <c r="O116" s="1992" t="str">
        <f t="shared" si="278"/>
        <v>#N/A</v>
      </c>
      <c r="P116" s="1992" t="str">
        <f>(SUMIF(MA_TAIKHOAN,$E116,SDNDK)+SUMIFS(PS_SOTIEN,PS_TKNO,$E116,PS_NGAY,"&lt;="&amp;I$1))-(SUMIF(MA_TAIKHOAN,$E116,SDCDK)+SUMIFs(PS_SOTIEN,PS_TKCO,$E116,PS_NGAY,"&lt;="&amp;I$1))</f>
        <v>#N/A</v>
      </c>
      <c r="Q116" s="1992" t="str">
        <f t="shared" ref="Q116:S116" si="279">(SUMIF(MA_TAIKHOAN,$E116,SDNDK)+SUMIFS(PS_SOTIEN,PS_TKNO,$E116,PS_NGAY,"&lt;="&amp;P$1))-(SUMIF(MA_TAIKHOAN,$E116,SDCDK)+SUMIFs(PS_SOTIEN,PS_TKCO,$E116,PS_NGAY,"&lt;="&amp;P$1))</f>
        <v>#N/A</v>
      </c>
      <c r="R116" s="1992" t="str">
        <f t="shared" si="279"/>
        <v>#N/A</v>
      </c>
      <c r="S116" s="1992" t="str">
        <f t="shared" si="279"/>
        <v>#N/A</v>
      </c>
      <c r="T116" s="1992" t="str">
        <f>(SUMIF(MA_TAIKHOAN,$E116,SDNDK)+SUMIFS(PS_SOTIEN,PS_TKNO,$E116,PS_NGAY,"&lt;="&amp;J$1))-(SUMIF(MA_TAIKHOAN,$E116,SDCDK)+SUMIFs(PS_SOTIEN,PS_TKCO,$E116,PS_NGAY,"&lt;="&amp;J$1))</f>
        <v>#N/A</v>
      </c>
      <c r="U116" s="1992" t="str">
        <f>(SUMIF(MA_TAIKHOAN,$E116,SDNDK)+SUMIFS(PS_SOTIEN,PS_TKNO,$E116,PS_NGAY,"&lt;="&amp;G$1))-(SUMIF(MA_TAIKHOAN,$E116,SDCDK)+SUMIFs(PS_SOTIEN,PS_TKCO,$E116,PS_NGAY,"&lt;="&amp;G$1))</f>
        <v>#N/A</v>
      </c>
      <c r="V116" s="1992" t="str">
        <f t="shared" ref="V116:X116" si="280">(SUMIF(MA_TAIKHOAN,$E116,SDNDK)+SUMIFS(PS_SOTIEN,PS_TKNO,$E116,PS_NGAY,"&lt;="&amp;S$1))-(SUMIF(MA_TAIKHOAN,$E116,SDCDK)+SUMIFs(PS_SOTIEN,PS_TKCO,$E116,PS_NGAY,"&lt;="&amp;S$1))</f>
        <v>#N/A</v>
      </c>
      <c r="W116" s="1992" t="str">
        <f t="shared" si="280"/>
        <v>#N/A</v>
      </c>
      <c r="X116" s="1992" t="str">
        <f t="shared" si="280"/>
        <v>#N/A</v>
      </c>
      <c r="Y116" s="1989">
        <f t="shared" si="39"/>
        <v>83</v>
      </c>
    </row>
    <row r="117">
      <c r="A117" s="1533">
        <v>410.0</v>
      </c>
      <c r="B117" s="1534" t="s">
        <v>3335</v>
      </c>
      <c r="C117" s="1524" t="s">
        <v>3349</v>
      </c>
      <c r="D117" s="1535" t="s">
        <v>2214</v>
      </c>
      <c r="E117" s="1524" t="s">
        <v>1384</v>
      </c>
      <c r="F117" s="1993" t="str">
        <f t="shared" si="31"/>
        <v>#N/A</v>
      </c>
      <c r="G117" s="1993" t="str">
        <f t="shared" si="32"/>
        <v>#N/A</v>
      </c>
      <c r="H117" s="1993" t="str">
        <f t="shared" si="33"/>
        <v>#N/A</v>
      </c>
      <c r="I117" s="1993" t="str">
        <f t="shared" si="34"/>
        <v>#N/A</v>
      </c>
      <c r="J117" s="1993" t="str">
        <f t="shared" si="35"/>
        <v>#N/A</v>
      </c>
      <c r="K117" s="1993" t="str">
        <f t="shared" si="36"/>
        <v>#N/A</v>
      </c>
      <c r="L117" s="1993" t="str">
        <f t="shared" si="37"/>
        <v>#N/A</v>
      </c>
      <c r="M117" s="1993" t="str">
        <f t="shared" ref="M117:O117" si="281">(SUMIF(MA_TAIKHOAN,$E117,SDCDK)+SUMIFs(PS_SOTIEN,PS_TKCO,$E117,PS_NGAY,"&lt;="&amp;M$1))-(SUMIF(MA_TAIKHOAN,$E117,SDNDK)+SUMIFS(PS_SOTIEN,PS_TKNO,$E117,PS_NGAY,"&lt;="&amp;M$1))</f>
        <v>#N/A</v>
      </c>
      <c r="N117" s="1993" t="str">
        <f t="shared" si="281"/>
        <v>#N/A</v>
      </c>
      <c r="O117" s="1993" t="str">
        <f t="shared" si="281"/>
        <v>#N/A</v>
      </c>
      <c r="P117" s="1993" t="str">
        <f>(SUMIF(MA_TAIKHOAN,$E117,SDCDK)+SUMIFs(PS_SOTIEN,PS_TKCO,$E117,PS_NGAY,"&lt;="&amp;I$1))-(SUMIF(MA_TAIKHOAN,$E117,SDNDK)+SUMIFS(PS_SOTIEN,PS_TKNO,$E117,PS_NGAY,"&lt;="&amp;I$1))</f>
        <v>#N/A</v>
      </c>
      <c r="Q117" s="1993" t="str">
        <f t="shared" ref="Q117:S117" si="282">(SUMIF(MA_TAIKHOAN,$E117,SDCDK)+SUMIFs(PS_SOTIEN,PS_TKCO,$E117,PS_NGAY,"&lt;="&amp;P$1))-(SUMIF(MA_TAIKHOAN,$E117,SDNDK)+SUMIFS(PS_SOTIEN,PS_TKNO,$E117,PS_NGAY,"&lt;="&amp;P$1))</f>
        <v>#N/A</v>
      </c>
      <c r="R117" s="1993" t="str">
        <f t="shared" si="282"/>
        <v>#N/A</v>
      </c>
      <c r="S117" s="1993" t="str">
        <f t="shared" si="282"/>
        <v>#N/A</v>
      </c>
      <c r="T117" s="1993" t="str">
        <f>(SUMIF(MA_TAIKHOAN,$E117,SDCDK)+SUMIFs(PS_SOTIEN,PS_TKCO,$E117,PS_NGAY,"&lt;="&amp;J$1))-(SUMIF(MA_TAIKHOAN,$E117,SDNDK)+SUMIFS(PS_SOTIEN,PS_TKNO,$E117,PS_NGAY,"&lt;="&amp;J$1))</f>
        <v>#N/A</v>
      </c>
      <c r="U117" s="1993" t="str">
        <f>(SUMIF(MA_TAIKHOAN,$E117,SDCDK)+SUMIFs(PS_SOTIEN,PS_TKCO,$E117,PS_NGAY,"&lt;="&amp;G$1))-(SUMIF(MA_TAIKHOAN,$E117,SDNDK)+SUMIFS(PS_SOTIEN,PS_TKNO,$E117,PS_NGAY,"&lt;="&amp;G$1))</f>
        <v>#N/A</v>
      </c>
      <c r="V117" s="1993" t="str">
        <f t="shared" ref="V117:X117" si="283">(SUMIF(MA_TAIKHOAN,$E117,SDCDK)+SUMIFs(PS_SOTIEN,PS_TKCO,$E117,PS_NGAY,"&lt;="&amp;S$1))-(SUMIF(MA_TAIKHOAN,$E117,SDNDK)+SUMIFS(PS_SOTIEN,PS_TKNO,$E117,PS_NGAY,"&lt;="&amp;S$1))</f>
        <v>#N/A</v>
      </c>
      <c r="W117" s="1993" t="str">
        <f t="shared" si="283"/>
        <v>#N/A</v>
      </c>
      <c r="X117" s="1993" t="str">
        <f t="shared" si="283"/>
        <v>#N/A</v>
      </c>
      <c r="Y117" s="1989">
        <f t="shared" si="39"/>
        <v>84</v>
      </c>
    </row>
    <row r="118">
      <c r="A118" s="1520">
        <v>415.0</v>
      </c>
      <c r="B118" s="1521" t="s">
        <v>3350</v>
      </c>
      <c r="C118" s="1522" t="s">
        <v>3351</v>
      </c>
      <c r="D118" s="1523" t="s">
        <v>3352</v>
      </c>
      <c r="E118" s="1524" t="s">
        <v>2214</v>
      </c>
      <c r="F118" s="1991" t="str">
        <f t="shared" si="31"/>
        <v>#N/A</v>
      </c>
      <c r="G118" s="1991" t="str">
        <f t="shared" si="32"/>
        <v>#N/A</v>
      </c>
      <c r="H118" s="1991" t="str">
        <f t="shared" si="33"/>
        <v>#N/A</v>
      </c>
      <c r="I118" s="1991" t="str">
        <f t="shared" si="34"/>
        <v>#N/A</v>
      </c>
      <c r="J118" s="1991" t="str">
        <f t="shared" si="35"/>
        <v>#N/A</v>
      </c>
      <c r="K118" s="1991" t="str">
        <f t="shared" si="36"/>
        <v>#N/A</v>
      </c>
      <c r="L118" s="1991" t="str">
        <f t="shared" si="37"/>
        <v>#N/A</v>
      </c>
      <c r="M118" s="1991" t="str">
        <f t="shared" ref="M118:X118" si="284">M119+M122</f>
        <v>#N/A</v>
      </c>
      <c r="N118" s="1991" t="str">
        <f t="shared" si="284"/>
        <v>#N/A</v>
      </c>
      <c r="O118" s="1991" t="str">
        <f t="shared" si="284"/>
        <v>#N/A</v>
      </c>
      <c r="P118" s="1991" t="str">
        <f t="shared" si="284"/>
        <v>#N/A</v>
      </c>
      <c r="Q118" s="1991" t="str">
        <f t="shared" si="284"/>
        <v>#N/A</v>
      </c>
      <c r="R118" s="1991" t="str">
        <f t="shared" si="284"/>
        <v>#N/A</v>
      </c>
      <c r="S118" s="1991" t="str">
        <f t="shared" si="284"/>
        <v>#N/A</v>
      </c>
      <c r="T118" s="1991" t="str">
        <f t="shared" si="284"/>
        <v>#N/A</v>
      </c>
      <c r="U118" s="1991" t="str">
        <f t="shared" si="284"/>
        <v>#N/A</v>
      </c>
      <c r="V118" s="1991" t="str">
        <f t="shared" si="284"/>
        <v>#N/A</v>
      </c>
      <c r="W118" s="1991" t="str">
        <f t="shared" si="284"/>
        <v>#N/A</v>
      </c>
      <c r="X118" s="1991" t="str">
        <f t="shared" si="284"/>
        <v>#N/A</v>
      </c>
      <c r="Y118" s="1989">
        <f t="shared" si="39"/>
        <v>85</v>
      </c>
    </row>
    <row r="119">
      <c r="A119" s="1533">
        <v>420.0</v>
      </c>
      <c r="B119" s="1534" t="s">
        <v>3353</v>
      </c>
      <c r="C119" s="1524" t="s">
        <v>3099</v>
      </c>
      <c r="D119" s="1535" t="s">
        <v>3354</v>
      </c>
      <c r="E119" s="1524" t="s">
        <v>2214</v>
      </c>
      <c r="F119" s="1990" t="str">
        <f t="shared" si="31"/>
        <v>#N/A</v>
      </c>
      <c r="G119" s="1990" t="str">
        <f t="shared" si="32"/>
        <v>#N/A</v>
      </c>
      <c r="H119" s="1990" t="str">
        <f t="shared" si="33"/>
        <v>#N/A</v>
      </c>
      <c r="I119" s="1990" t="str">
        <f t="shared" si="34"/>
        <v>#N/A</v>
      </c>
      <c r="J119" s="1990" t="str">
        <f t="shared" si="35"/>
        <v>#N/A</v>
      </c>
      <c r="K119" s="1990" t="str">
        <f t="shared" si="36"/>
        <v>#N/A</v>
      </c>
      <c r="L119" s="1990" t="str">
        <f t="shared" si="37"/>
        <v>#N/A</v>
      </c>
      <c r="M119" s="1990" t="str">
        <f t="shared" ref="M119:X119" si="285">SUM(M120:M121)</f>
        <v>#N/A</v>
      </c>
      <c r="N119" s="1990" t="str">
        <f t="shared" si="285"/>
        <v>#N/A</v>
      </c>
      <c r="O119" s="1990" t="str">
        <f t="shared" si="285"/>
        <v>#N/A</v>
      </c>
      <c r="P119" s="1990" t="str">
        <f t="shared" si="285"/>
        <v>#N/A</v>
      </c>
      <c r="Q119" s="1990" t="str">
        <f t="shared" si="285"/>
        <v>#N/A</v>
      </c>
      <c r="R119" s="1990" t="str">
        <f t="shared" si="285"/>
        <v>#N/A</v>
      </c>
      <c r="S119" s="1990" t="str">
        <f t="shared" si="285"/>
        <v>#N/A</v>
      </c>
      <c r="T119" s="1990" t="str">
        <f t="shared" si="285"/>
        <v>#N/A</v>
      </c>
      <c r="U119" s="1990" t="str">
        <f t="shared" si="285"/>
        <v>#N/A</v>
      </c>
      <c r="V119" s="1990" t="str">
        <f t="shared" si="285"/>
        <v>#N/A</v>
      </c>
      <c r="W119" s="1990" t="str">
        <f t="shared" si="285"/>
        <v>#N/A</v>
      </c>
      <c r="X119" s="1990" t="str">
        <f t="shared" si="285"/>
        <v>#N/A</v>
      </c>
      <c r="Y119" s="1989">
        <f t="shared" si="39"/>
        <v>86</v>
      </c>
    </row>
    <row r="120">
      <c r="A120" s="1533">
        <v>425.0</v>
      </c>
      <c r="B120" s="1534" t="s">
        <v>3355</v>
      </c>
      <c r="C120" s="1524" t="s">
        <v>2214</v>
      </c>
      <c r="D120" s="1535" t="s">
        <v>2214</v>
      </c>
      <c r="E120" s="1550" t="s">
        <v>1875</v>
      </c>
      <c r="F120" s="1992" t="str">
        <f t="shared" si="31"/>
        <v>#N/A</v>
      </c>
      <c r="G120" s="1992" t="str">
        <f t="shared" si="32"/>
        <v>#N/A</v>
      </c>
      <c r="H120" s="1992" t="str">
        <f t="shared" si="33"/>
        <v>#N/A</v>
      </c>
      <c r="I120" s="1992" t="str">
        <f t="shared" si="34"/>
        <v>#N/A</v>
      </c>
      <c r="J120" s="1992" t="str">
        <f t="shared" si="35"/>
        <v>#N/A</v>
      </c>
      <c r="K120" s="1992" t="str">
        <f t="shared" si="36"/>
        <v>#N/A</v>
      </c>
      <c r="L120" s="1992" t="str">
        <f t="shared" si="37"/>
        <v>#N/A</v>
      </c>
      <c r="M120" s="1992" t="str">
        <f t="shared" ref="M120:O120" si="286">(SUMIF(MA_TAIKHOAN,$E120,SDNDK)+SUMIFS(PS_SOTIEN,PS_TKNO,$E120,PS_NGAY,"&lt;="&amp;M$1))-(SUMIF(MA_TAIKHOAN,$E120,SDCDK)+SUMIFs(PS_SOTIEN,PS_TKCO,$E120,PS_NGAY,"&lt;="&amp;M$1))</f>
        <v>#N/A</v>
      </c>
      <c r="N120" s="1992" t="str">
        <f t="shared" si="286"/>
        <v>#N/A</v>
      </c>
      <c r="O120" s="1992" t="str">
        <f t="shared" si="286"/>
        <v>#N/A</v>
      </c>
      <c r="P120" s="1992" t="str">
        <f t="shared" ref="P120:P122" si="290">(SUMIF(MA_TAIKHOAN,$E120,SDNDK)+SUMIFS(PS_SOTIEN,PS_TKNO,$E120,PS_NGAY,"&lt;="&amp;I$1))-(SUMIF(MA_TAIKHOAN,$E120,SDCDK)+SUMIFs(PS_SOTIEN,PS_TKCO,$E120,PS_NGAY,"&lt;="&amp;I$1))</f>
        <v>#N/A</v>
      </c>
      <c r="Q120" s="1992" t="str">
        <f t="shared" ref="Q120:S120" si="287">(SUMIF(MA_TAIKHOAN,$E120,SDNDK)+SUMIFS(PS_SOTIEN,PS_TKNO,$E120,PS_NGAY,"&lt;="&amp;P$1))-(SUMIF(MA_TAIKHOAN,$E120,SDCDK)+SUMIFs(PS_SOTIEN,PS_TKCO,$E120,PS_NGAY,"&lt;="&amp;P$1))</f>
        <v>#N/A</v>
      </c>
      <c r="R120" s="1992" t="str">
        <f t="shared" si="287"/>
        <v>#N/A</v>
      </c>
      <c r="S120" s="1992" t="str">
        <f t="shared" si="287"/>
        <v>#N/A</v>
      </c>
      <c r="T120" s="1992" t="str">
        <f t="shared" ref="T120:T122" si="292">(SUMIF(MA_TAIKHOAN,$E120,SDNDK)+SUMIFS(PS_SOTIEN,PS_TKNO,$E120,PS_NGAY,"&lt;="&amp;J$1))-(SUMIF(MA_TAIKHOAN,$E120,SDCDK)+SUMIFs(PS_SOTIEN,PS_TKCO,$E120,PS_NGAY,"&lt;="&amp;J$1))</f>
        <v>#N/A</v>
      </c>
      <c r="U120" s="1992" t="str">
        <f t="shared" ref="U120:U122" si="293">(SUMIF(MA_TAIKHOAN,$E120,SDNDK)+SUMIFS(PS_SOTIEN,PS_TKNO,$E120,PS_NGAY,"&lt;="&amp;G$1))-(SUMIF(MA_TAIKHOAN,$E120,SDCDK)+SUMIFs(PS_SOTIEN,PS_TKCO,$E120,PS_NGAY,"&lt;="&amp;G$1))</f>
        <v>#N/A</v>
      </c>
      <c r="V120" s="1992" t="str">
        <f t="shared" ref="V120:X120" si="288">(SUMIF(MA_TAIKHOAN,$E120,SDNDK)+SUMIFS(PS_SOTIEN,PS_TKNO,$E120,PS_NGAY,"&lt;="&amp;S$1))-(SUMIF(MA_TAIKHOAN,$E120,SDCDK)+SUMIFs(PS_SOTIEN,PS_TKCO,$E120,PS_NGAY,"&lt;="&amp;S$1))</f>
        <v>#N/A</v>
      </c>
      <c r="W120" s="1992" t="str">
        <f t="shared" si="288"/>
        <v>#N/A</v>
      </c>
      <c r="X120" s="1992" t="str">
        <f t="shared" si="288"/>
        <v>#N/A</v>
      </c>
      <c r="Y120" s="1989">
        <f t="shared" si="39"/>
        <v>87</v>
      </c>
    </row>
    <row r="121">
      <c r="A121" s="1533">
        <v>430.0</v>
      </c>
      <c r="B121" s="1534" t="s">
        <v>3356</v>
      </c>
      <c r="C121" s="1524" t="s">
        <v>2214</v>
      </c>
      <c r="D121" s="1535" t="s">
        <v>2214</v>
      </c>
      <c r="E121" s="1550" t="s">
        <v>1400</v>
      </c>
      <c r="F121" s="1992" t="str">
        <f t="shared" si="31"/>
        <v>#N/A</v>
      </c>
      <c r="G121" s="1992" t="str">
        <f t="shared" si="32"/>
        <v>#N/A</v>
      </c>
      <c r="H121" s="1992" t="str">
        <f t="shared" si="33"/>
        <v>#N/A</v>
      </c>
      <c r="I121" s="1992" t="str">
        <f t="shared" si="34"/>
        <v>#N/A</v>
      </c>
      <c r="J121" s="1992" t="str">
        <f t="shared" si="35"/>
        <v>#N/A</v>
      </c>
      <c r="K121" s="1992" t="str">
        <f t="shared" si="36"/>
        <v>#N/A</v>
      </c>
      <c r="L121" s="1992" t="str">
        <f t="shared" si="37"/>
        <v>#N/A</v>
      </c>
      <c r="M121" s="1992" t="str">
        <f t="shared" ref="M121:O121" si="289">(SUMIF(MA_TAIKHOAN,$E121,SDNDK)+SUMIFS(PS_SOTIEN,PS_TKNO,$E121,PS_NGAY,"&lt;="&amp;M$1))-(SUMIF(MA_TAIKHOAN,$E121,SDCDK)+SUMIFs(PS_SOTIEN,PS_TKCO,$E121,PS_NGAY,"&lt;="&amp;M$1))</f>
        <v>#N/A</v>
      </c>
      <c r="N121" s="1992" t="str">
        <f t="shared" si="289"/>
        <v>#N/A</v>
      </c>
      <c r="O121" s="1992" t="str">
        <f t="shared" si="289"/>
        <v>#N/A</v>
      </c>
      <c r="P121" s="1992" t="str">
        <f t="shared" si="290"/>
        <v>#N/A</v>
      </c>
      <c r="Q121" s="1992" t="str">
        <f t="shared" ref="Q121:S121" si="291">(SUMIF(MA_TAIKHOAN,$E121,SDNDK)+SUMIFS(PS_SOTIEN,PS_TKNO,$E121,PS_NGAY,"&lt;="&amp;P$1))-(SUMIF(MA_TAIKHOAN,$E121,SDCDK)+SUMIFs(PS_SOTIEN,PS_TKCO,$E121,PS_NGAY,"&lt;="&amp;P$1))</f>
        <v>#N/A</v>
      </c>
      <c r="R121" s="1992" t="str">
        <f t="shared" si="291"/>
        <v>#N/A</v>
      </c>
      <c r="S121" s="1992" t="str">
        <f t="shared" si="291"/>
        <v>#N/A</v>
      </c>
      <c r="T121" s="1992" t="str">
        <f t="shared" si="292"/>
        <v>#N/A</v>
      </c>
      <c r="U121" s="1992" t="str">
        <f t="shared" si="293"/>
        <v>#N/A</v>
      </c>
      <c r="V121" s="1992" t="str">
        <f t="shared" ref="V121:X121" si="294">(SUMIF(MA_TAIKHOAN,$E121,SDNDK)+SUMIFS(PS_SOTIEN,PS_TKNO,$E121,PS_NGAY,"&lt;="&amp;S$1))-(SUMIF(MA_TAIKHOAN,$E121,SDCDK)+SUMIFs(PS_SOTIEN,PS_TKCO,$E121,PS_NGAY,"&lt;="&amp;S$1))</f>
        <v>#N/A</v>
      </c>
      <c r="W121" s="1992" t="str">
        <f t="shared" si="294"/>
        <v>#N/A</v>
      </c>
      <c r="X121" s="1992" t="str">
        <f t="shared" si="294"/>
        <v>#N/A</v>
      </c>
      <c r="Y121" s="1989">
        <f t="shared" si="39"/>
        <v>88</v>
      </c>
    </row>
    <row r="122">
      <c r="A122" s="1533">
        <v>435.0</v>
      </c>
      <c r="B122" s="1534" t="s">
        <v>3357</v>
      </c>
      <c r="C122" s="1524" t="s">
        <v>3100</v>
      </c>
      <c r="D122" s="1535" t="s">
        <v>2214</v>
      </c>
      <c r="E122" s="1524" t="s">
        <v>3099</v>
      </c>
      <c r="F122" s="1993" t="str">
        <f t="shared" si="31"/>
        <v>#N/A</v>
      </c>
      <c r="G122" s="1993" t="str">
        <f t="shared" si="32"/>
        <v>#N/A</v>
      </c>
      <c r="H122" s="1993" t="str">
        <f t="shared" si="33"/>
        <v>#N/A</v>
      </c>
      <c r="I122" s="1993" t="str">
        <f t="shared" si="34"/>
        <v>#N/A</v>
      </c>
      <c r="J122" s="1993" t="str">
        <f t="shared" si="35"/>
        <v>#N/A</v>
      </c>
      <c r="K122" s="1993" t="str">
        <f t="shared" si="36"/>
        <v>#N/A</v>
      </c>
      <c r="L122" s="1993" t="str">
        <f t="shared" si="37"/>
        <v>#N/A</v>
      </c>
      <c r="M122" s="1993" t="str">
        <f t="shared" ref="M122:O122" si="295">(SUMIF(MA_TAIKHOAN,$E122,SDNDK)+SUMIFS(PS_SOTIEN,PS_TKNO,$E122,PS_NGAY,"&lt;="&amp;M$1))-(SUMIF(MA_TAIKHOAN,$E122,SDCDK)+SUMIFs(PS_SOTIEN,PS_TKCO,$E122,PS_NGAY,"&lt;="&amp;M$1))</f>
        <v>#N/A</v>
      </c>
      <c r="N122" s="1993" t="str">
        <f t="shared" si="295"/>
        <v>#N/A</v>
      </c>
      <c r="O122" s="1993" t="str">
        <f t="shared" si="295"/>
        <v>#N/A</v>
      </c>
      <c r="P122" s="1993" t="str">
        <f t="shared" si="290"/>
        <v>#N/A</v>
      </c>
      <c r="Q122" s="1993" t="str">
        <f t="shared" ref="Q122:S122" si="296">(SUMIF(MA_TAIKHOAN,$E122,SDNDK)+SUMIFS(PS_SOTIEN,PS_TKNO,$E122,PS_NGAY,"&lt;="&amp;P$1))-(SUMIF(MA_TAIKHOAN,$E122,SDCDK)+SUMIFs(PS_SOTIEN,PS_TKCO,$E122,PS_NGAY,"&lt;="&amp;P$1))</f>
        <v>#N/A</v>
      </c>
      <c r="R122" s="1993" t="str">
        <f t="shared" si="296"/>
        <v>#N/A</v>
      </c>
      <c r="S122" s="1993" t="str">
        <f t="shared" si="296"/>
        <v>#N/A</v>
      </c>
      <c r="T122" s="1993" t="str">
        <f t="shared" si="292"/>
        <v>#N/A</v>
      </c>
      <c r="U122" s="1993" t="str">
        <f t="shared" si="293"/>
        <v>#N/A</v>
      </c>
      <c r="V122" s="1993" t="str">
        <f t="shared" ref="V122:X122" si="297">(SUMIF(MA_TAIKHOAN,$E122,SDNDK)+SUMIFS(PS_SOTIEN,PS_TKNO,$E122,PS_NGAY,"&lt;="&amp;S$1))-(SUMIF(MA_TAIKHOAN,$E122,SDCDK)+SUMIFs(PS_SOTIEN,PS_TKCO,$E122,PS_NGAY,"&lt;="&amp;S$1))</f>
        <v>#N/A</v>
      </c>
      <c r="W122" s="1993" t="str">
        <f t="shared" si="297"/>
        <v>#N/A</v>
      </c>
      <c r="X122" s="1993" t="str">
        <f t="shared" si="297"/>
        <v>#N/A</v>
      </c>
      <c r="Y122" s="1989">
        <f t="shared" si="39"/>
        <v>89</v>
      </c>
    </row>
    <row r="123">
      <c r="A123" s="1520">
        <v>440.0</v>
      </c>
      <c r="B123" s="1521" t="s">
        <v>3358</v>
      </c>
      <c r="C123" s="1522" t="s">
        <v>3359</v>
      </c>
      <c r="D123" s="1523" t="s">
        <v>3360</v>
      </c>
      <c r="E123" s="1524" t="s">
        <v>2214</v>
      </c>
      <c r="F123" s="1991" t="str">
        <f t="shared" si="31"/>
        <v>#N/A</v>
      </c>
      <c r="G123" s="1991" t="str">
        <f t="shared" si="32"/>
        <v>#N/A</v>
      </c>
      <c r="H123" s="1991" t="str">
        <f t="shared" si="33"/>
        <v>#N/A</v>
      </c>
      <c r="I123" s="1991" t="str">
        <f t="shared" si="34"/>
        <v>#N/A</v>
      </c>
      <c r="J123" s="1991" t="str">
        <f t="shared" si="35"/>
        <v>#N/A</v>
      </c>
      <c r="K123" s="1991" t="str">
        <f t="shared" si="36"/>
        <v>#N/A</v>
      </c>
      <c r="L123" s="1991" t="str">
        <f t="shared" si="37"/>
        <v>#N/A</v>
      </c>
      <c r="M123" s="1991" t="str">
        <f t="shared" ref="M123:X123" si="298">SUM(M124:M128)</f>
        <v>#N/A</v>
      </c>
      <c r="N123" s="1991" t="str">
        <f t="shared" si="298"/>
        <v>#N/A</v>
      </c>
      <c r="O123" s="1991" t="str">
        <f t="shared" si="298"/>
        <v>#N/A</v>
      </c>
      <c r="P123" s="1991" t="str">
        <f t="shared" si="298"/>
        <v>#N/A</v>
      </c>
      <c r="Q123" s="1991" t="str">
        <f t="shared" si="298"/>
        <v>#N/A</v>
      </c>
      <c r="R123" s="1991" t="str">
        <f t="shared" si="298"/>
        <v>#N/A</v>
      </c>
      <c r="S123" s="1991" t="str">
        <f t="shared" si="298"/>
        <v>#N/A</v>
      </c>
      <c r="T123" s="1991" t="str">
        <f t="shared" si="298"/>
        <v>#N/A</v>
      </c>
      <c r="U123" s="1991" t="str">
        <f t="shared" si="298"/>
        <v>#N/A</v>
      </c>
      <c r="V123" s="1991" t="str">
        <f t="shared" si="298"/>
        <v>#N/A</v>
      </c>
      <c r="W123" s="1991" t="str">
        <f t="shared" si="298"/>
        <v>#N/A</v>
      </c>
      <c r="X123" s="1991" t="str">
        <f t="shared" si="298"/>
        <v>#N/A</v>
      </c>
      <c r="Y123" s="1989">
        <f t="shared" si="39"/>
        <v>90</v>
      </c>
    </row>
    <row r="124">
      <c r="A124" s="1533">
        <v>445.0</v>
      </c>
      <c r="B124" s="1534" t="s">
        <v>3361</v>
      </c>
      <c r="C124" s="1524" t="s">
        <v>3362</v>
      </c>
      <c r="D124" s="1535" t="s">
        <v>2214</v>
      </c>
      <c r="E124" s="1524" t="s">
        <v>3094</v>
      </c>
      <c r="F124" s="1993" t="str">
        <f t="shared" si="31"/>
        <v>#N/A</v>
      </c>
      <c r="G124" s="1993" t="str">
        <f t="shared" si="32"/>
        <v>#N/A</v>
      </c>
      <c r="H124" s="1993" t="str">
        <f t="shared" si="33"/>
        <v>#N/A</v>
      </c>
      <c r="I124" s="1993" t="str">
        <f t="shared" si="34"/>
        <v>#N/A</v>
      </c>
      <c r="J124" s="1993" t="str">
        <f t="shared" si="35"/>
        <v>#N/A</v>
      </c>
      <c r="K124" s="1993" t="str">
        <f t="shared" si="36"/>
        <v>#N/A</v>
      </c>
      <c r="L124" s="1993" t="str">
        <f t="shared" si="37"/>
        <v>#N/A</v>
      </c>
      <c r="M124" s="1993" t="str">
        <f t="shared" ref="M124:O124" si="299">(SUMIF(MA_TAIKHOAN,$E124,SDNDK)+SUMIFS(PS_SOTIEN,PS_TKNO,$E124,PS_NGAY,"&lt;="&amp;M$1))-(SUMIF(MA_TAIKHOAN,$E124,SDCDK)+SUMIFs(PS_SOTIEN,PS_TKCO,$E124,PS_NGAY,"&lt;="&amp;M$1))</f>
        <v>#N/A</v>
      </c>
      <c r="N124" s="1993" t="str">
        <f t="shared" si="299"/>
        <v>#N/A</v>
      </c>
      <c r="O124" s="1993" t="str">
        <f t="shared" si="299"/>
        <v>#N/A</v>
      </c>
      <c r="P124" s="1993" t="str">
        <f t="shared" ref="P124:P127" si="303">(SUMIF(MA_TAIKHOAN,$E124,SDNDK)+SUMIFS(PS_SOTIEN,PS_TKNO,$E124,PS_NGAY,"&lt;="&amp;I$1))-(SUMIF(MA_TAIKHOAN,$E124,SDCDK)+SUMIFs(PS_SOTIEN,PS_TKCO,$E124,PS_NGAY,"&lt;="&amp;I$1))</f>
        <v>#N/A</v>
      </c>
      <c r="Q124" s="1993" t="str">
        <f t="shared" ref="Q124:S124" si="300">(SUMIF(MA_TAIKHOAN,$E124,SDNDK)+SUMIFS(PS_SOTIEN,PS_TKNO,$E124,PS_NGAY,"&lt;="&amp;P$1))-(SUMIF(MA_TAIKHOAN,$E124,SDCDK)+SUMIFs(PS_SOTIEN,PS_TKCO,$E124,PS_NGAY,"&lt;="&amp;P$1))</f>
        <v>#N/A</v>
      </c>
      <c r="R124" s="1993" t="str">
        <f t="shared" si="300"/>
        <v>#N/A</v>
      </c>
      <c r="S124" s="1993" t="str">
        <f t="shared" si="300"/>
        <v>#N/A</v>
      </c>
      <c r="T124" s="1993" t="str">
        <f t="shared" ref="T124:T127" si="305">(SUMIF(MA_TAIKHOAN,$E124,SDNDK)+SUMIFS(PS_SOTIEN,PS_TKNO,$E124,PS_NGAY,"&lt;="&amp;J$1))-(SUMIF(MA_TAIKHOAN,$E124,SDCDK)+SUMIFs(PS_SOTIEN,PS_TKCO,$E124,PS_NGAY,"&lt;="&amp;J$1))</f>
        <v>#N/A</v>
      </c>
      <c r="U124" s="1993" t="str">
        <f t="shared" ref="U124:U127" si="306">(SUMIF(MA_TAIKHOAN,$E124,SDNDK)+SUMIFS(PS_SOTIEN,PS_TKNO,$E124,PS_NGAY,"&lt;="&amp;G$1))-(SUMIF(MA_TAIKHOAN,$E124,SDCDK)+SUMIFs(PS_SOTIEN,PS_TKCO,$E124,PS_NGAY,"&lt;="&amp;G$1))</f>
        <v>#N/A</v>
      </c>
      <c r="V124" s="1993" t="str">
        <f t="shared" ref="V124:X124" si="301">(SUMIF(MA_TAIKHOAN,$E124,SDNDK)+SUMIFS(PS_SOTIEN,PS_TKNO,$E124,PS_NGAY,"&lt;="&amp;S$1))-(SUMIF(MA_TAIKHOAN,$E124,SDCDK)+SUMIFs(PS_SOTIEN,PS_TKCO,$E124,PS_NGAY,"&lt;="&amp;S$1))</f>
        <v>#N/A</v>
      </c>
      <c r="W124" s="1993" t="str">
        <f t="shared" si="301"/>
        <v>#N/A</v>
      </c>
      <c r="X124" s="1993" t="str">
        <f t="shared" si="301"/>
        <v>#N/A</v>
      </c>
      <c r="Y124" s="1989">
        <f t="shared" si="39"/>
        <v>91</v>
      </c>
    </row>
    <row r="125">
      <c r="A125" s="1533">
        <v>450.0</v>
      </c>
      <c r="B125" s="1534" t="s">
        <v>3363</v>
      </c>
      <c r="C125" s="1524" t="s">
        <v>3364</v>
      </c>
      <c r="D125" s="1535" t="s">
        <v>2214</v>
      </c>
      <c r="E125" s="1524" t="s">
        <v>3095</v>
      </c>
      <c r="F125" s="1993" t="str">
        <f t="shared" si="31"/>
        <v>#N/A</v>
      </c>
      <c r="G125" s="1993" t="str">
        <f t="shared" si="32"/>
        <v>#N/A</v>
      </c>
      <c r="H125" s="1993" t="str">
        <f t="shared" si="33"/>
        <v>#N/A</v>
      </c>
      <c r="I125" s="1993" t="str">
        <f t="shared" si="34"/>
        <v>#N/A</v>
      </c>
      <c r="J125" s="1993" t="str">
        <f t="shared" si="35"/>
        <v>#N/A</v>
      </c>
      <c r="K125" s="1993" t="str">
        <f t="shared" si="36"/>
        <v>#N/A</v>
      </c>
      <c r="L125" s="1993" t="str">
        <f t="shared" si="37"/>
        <v>#N/A</v>
      </c>
      <c r="M125" s="1993" t="str">
        <f t="shared" ref="M125:O125" si="302">(SUMIF(MA_TAIKHOAN,$E125,SDNDK)+SUMIFS(PS_SOTIEN,PS_TKNO,$E125,PS_NGAY,"&lt;="&amp;M$1))-(SUMIF(MA_TAIKHOAN,$E125,SDCDK)+SUMIFs(PS_SOTIEN,PS_TKCO,$E125,PS_NGAY,"&lt;="&amp;M$1))</f>
        <v>#N/A</v>
      </c>
      <c r="N125" s="1993" t="str">
        <f t="shared" si="302"/>
        <v>#N/A</v>
      </c>
      <c r="O125" s="1993" t="str">
        <f t="shared" si="302"/>
        <v>#N/A</v>
      </c>
      <c r="P125" s="1993" t="str">
        <f t="shared" si="303"/>
        <v>#N/A</v>
      </c>
      <c r="Q125" s="1993" t="str">
        <f t="shared" ref="Q125:S125" si="304">(SUMIF(MA_TAIKHOAN,$E125,SDNDK)+SUMIFS(PS_SOTIEN,PS_TKNO,$E125,PS_NGAY,"&lt;="&amp;P$1))-(SUMIF(MA_TAIKHOAN,$E125,SDCDK)+SUMIFs(PS_SOTIEN,PS_TKCO,$E125,PS_NGAY,"&lt;="&amp;P$1))</f>
        <v>#N/A</v>
      </c>
      <c r="R125" s="1993" t="str">
        <f t="shared" si="304"/>
        <v>#N/A</v>
      </c>
      <c r="S125" s="1993" t="str">
        <f t="shared" si="304"/>
        <v>#N/A</v>
      </c>
      <c r="T125" s="1993" t="str">
        <f t="shared" si="305"/>
        <v>#N/A</v>
      </c>
      <c r="U125" s="1993" t="str">
        <f t="shared" si="306"/>
        <v>#N/A</v>
      </c>
      <c r="V125" s="1993" t="str">
        <f t="shared" ref="V125:X125" si="307">(SUMIF(MA_TAIKHOAN,$E125,SDNDK)+SUMIFS(PS_SOTIEN,PS_TKNO,$E125,PS_NGAY,"&lt;="&amp;S$1))-(SUMIF(MA_TAIKHOAN,$E125,SDCDK)+SUMIFs(PS_SOTIEN,PS_TKCO,$E125,PS_NGAY,"&lt;="&amp;S$1))</f>
        <v>#N/A</v>
      </c>
      <c r="W125" s="1993" t="str">
        <f t="shared" si="307"/>
        <v>#N/A</v>
      </c>
      <c r="X125" s="1993" t="str">
        <f t="shared" si="307"/>
        <v>#N/A</v>
      </c>
      <c r="Y125" s="1989">
        <f t="shared" si="39"/>
        <v>92</v>
      </c>
    </row>
    <row r="126">
      <c r="A126" s="1533">
        <v>455.0</v>
      </c>
      <c r="B126" s="1534" t="s">
        <v>3365</v>
      </c>
      <c r="C126" s="1524" t="s">
        <v>3366</v>
      </c>
      <c r="D126" s="1535" t="s">
        <v>2214</v>
      </c>
      <c r="E126" s="1524" t="s">
        <v>1389</v>
      </c>
      <c r="F126" s="1993" t="str">
        <f t="shared" si="31"/>
        <v>#N/A</v>
      </c>
      <c r="G126" s="1993" t="str">
        <f t="shared" si="32"/>
        <v>#N/A</v>
      </c>
      <c r="H126" s="1993" t="str">
        <f t="shared" si="33"/>
        <v>#N/A</v>
      </c>
      <c r="I126" s="1993" t="str">
        <f t="shared" si="34"/>
        <v>#N/A</v>
      </c>
      <c r="J126" s="1993" t="str">
        <f t="shared" si="35"/>
        <v>#N/A</v>
      </c>
      <c r="K126" s="1993" t="str">
        <f t="shared" si="36"/>
        <v>#N/A</v>
      </c>
      <c r="L126" s="1993" t="str">
        <f t="shared" si="37"/>
        <v>#N/A</v>
      </c>
      <c r="M126" s="1993" t="str">
        <f t="shared" ref="M126:O126" si="308">(SUMIF(MA_TAIKHOAN,$E126,SDNDK)+SUMIFS(PS_SOTIEN,PS_TKNO,$E126,PS_NGAY,"&lt;="&amp;M$1))-(SUMIF(MA_TAIKHOAN,$E126,SDCDK)+SUMIFs(PS_SOTIEN,PS_TKCO,$E126,PS_NGAY,"&lt;="&amp;M$1))</f>
        <v>#N/A</v>
      </c>
      <c r="N126" s="1993" t="str">
        <f t="shared" si="308"/>
        <v>#N/A</v>
      </c>
      <c r="O126" s="1993" t="str">
        <f t="shared" si="308"/>
        <v>#N/A</v>
      </c>
      <c r="P126" s="1993" t="str">
        <f t="shared" si="303"/>
        <v>#N/A</v>
      </c>
      <c r="Q126" s="1993" t="str">
        <f t="shared" ref="Q126:S126" si="309">(SUMIF(MA_TAIKHOAN,$E126,SDNDK)+SUMIFS(PS_SOTIEN,PS_TKNO,$E126,PS_NGAY,"&lt;="&amp;P$1))-(SUMIF(MA_TAIKHOAN,$E126,SDCDK)+SUMIFs(PS_SOTIEN,PS_TKCO,$E126,PS_NGAY,"&lt;="&amp;P$1))</f>
        <v>#N/A</v>
      </c>
      <c r="R126" s="1993" t="str">
        <f t="shared" si="309"/>
        <v>#N/A</v>
      </c>
      <c r="S126" s="1993" t="str">
        <f t="shared" si="309"/>
        <v>#N/A</v>
      </c>
      <c r="T126" s="1993" t="str">
        <f t="shared" si="305"/>
        <v>#N/A</v>
      </c>
      <c r="U126" s="1993" t="str">
        <f t="shared" si="306"/>
        <v>#N/A</v>
      </c>
      <c r="V126" s="1993" t="str">
        <f t="shared" ref="V126:X126" si="310">(SUMIF(MA_TAIKHOAN,$E126,SDNDK)+SUMIFS(PS_SOTIEN,PS_TKNO,$E126,PS_NGAY,"&lt;="&amp;S$1))-(SUMIF(MA_TAIKHOAN,$E126,SDCDK)+SUMIFs(PS_SOTIEN,PS_TKCO,$E126,PS_NGAY,"&lt;="&amp;S$1))</f>
        <v>#N/A</v>
      </c>
      <c r="W126" s="1993" t="str">
        <f t="shared" si="310"/>
        <v>#N/A</v>
      </c>
      <c r="X126" s="1993" t="str">
        <f t="shared" si="310"/>
        <v>#N/A</v>
      </c>
      <c r="Y126" s="1989">
        <f t="shared" si="39"/>
        <v>93</v>
      </c>
    </row>
    <row r="127">
      <c r="A127" s="1533">
        <v>460.0</v>
      </c>
      <c r="B127" s="1534" t="s">
        <v>3367</v>
      </c>
      <c r="C127" s="1524" t="s">
        <v>3368</v>
      </c>
      <c r="D127" s="1535" t="s">
        <v>2214</v>
      </c>
      <c r="E127" s="1524" t="s">
        <v>1396</v>
      </c>
      <c r="F127" s="1993" t="str">
        <f t="shared" si="31"/>
        <v>#N/A</v>
      </c>
      <c r="G127" s="1993" t="str">
        <f t="shared" si="32"/>
        <v>#N/A</v>
      </c>
      <c r="H127" s="1993" t="str">
        <f t="shared" si="33"/>
        <v>#N/A</v>
      </c>
      <c r="I127" s="1993" t="str">
        <f t="shared" si="34"/>
        <v>#N/A</v>
      </c>
      <c r="J127" s="1993" t="str">
        <f t="shared" si="35"/>
        <v>#N/A</v>
      </c>
      <c r="K127" s="1993" t="str">
        <f t="shared" si="36"/>
        <v>#N/A</v>
      </c>
      <c r="L127" s="1993" t="str">
        <f t="shared" si="37"/>
        <v>#N/A</v>
      </c>
      <c r="M127" s="1993" t="str">
        <f t="shared" ref="M127:O127" si="311">(SUMIF(MA_TAIKHOAN,$E127,SDNDK)+SUMIFS(PS_SOTIEN,PS_TKNO,$E127,PS_NGAY,"&lt;="&amp;M$1))-(SUMIF(MA_TAIKHOAN,$E127,SDCDK)+SUMIFs(PS_SOTIEN,PS_TKCO,$E127,PS_NGAY,"&lt;="&amp;M$1))</f>
        <v>#N/A</v>
      </c>
      <c r="N127" s="1993" t="str">
        <f t="shared" si="311"/>
        <v>#N/A</v>
      </c>
      <c r="O127" s="1993" t="str">
        <f t="shared" si="311"/>
        <v>#N/A</v>
      </c>
      <c r="P127" s="1993" t="str">
        <f t="shared" si="303"/>
        <v>#N/A</v>
      </c>
      <c r="Q127" s="1993" t="str">
        <f t="shared" ref="Q127:S127" si="312">(SUMIF(MA_TAIKHOAN,$E127,SDNDK)+SUMIFS(PS_SOTIEN,PS_TKNO,$E127,PS_NGAY,"&lt;="&amp;P$1))-(SUMIF(MA_TAIKHOAN,$E127,SDCDK)+SUMIFs(PS_SOTIEN,PS_TKCO,$E127,PS_NGAY,"&lt;="&amp;P$1))</f>
        <v>#N/A</v>
      </c>
      <c r="R127" s="1993" t="str">
        <f t="shared" si="312"/>
        <v>#N/A</v>
      </c>
      <c r="S127" s="1993" t="str">
        <f t="shared" si="312"/>
        <v>#N/A</v>
      </c>
      <c r="T127" s="1993" t="str">
        <f t="shared" si="305"/>
        <v>#N/A</v>
      </c>
      <c r="U127" s="1993" t="str">
        <f t="shared" si="306"/>
        <v>#N/A</v>
      </c>
      <c r="V127" s="1993" t="str">
        <f t="shared" ref="V127:X127" si="313">(SUMIF(MA_TAIKHOAN,$E127,SDNDK)+SUMIFS(PS_SOTIEN,PS_TKNO,$E127,PS_NGAY,"&lt;="&amp;S$1))-(SUMIF(MA_TAIKHOAN,$E127,SDCDK)+SUMIFs(PS_SOTIEN,PS_TKCO,$E127,PS_NGAY,"&lt;="&amp;S$1))</f>
        <v>#N/A</v>
      </c>
      <c r="W127" s="1993" t="str">
        <f t="shared" si="313"/>
        <v>#N/A</v>
      </c>
      <c r="X127" s="1993" t="str">
        <f t="shared" si="313"/>
        <v>#N/A</v>
      </c>
      <c r="Y127" s="1989">
        <f t="shared" si="39"/>
        <v>94</v>
      </c>
    </row>
    <row r="128">
      <c r="A128" s="1533">
        <v>465.0</v>
      </c>
      <c r="B128" s="1534" t="s">
        <v>3369</v>
      </c>
      <c r="C128" s="1524" t="s">
        <v>3370</v>
      </c>
      <c r="D128" s="1535" t="s">
        <v>3371</v>
      </c>
      <c r="E128" s="1524" t="s">
        <v>2214</v>
      </c>
      <c r="F128" s="1990" t="str">
        <f t="shared" si="31"/>
        <v>#N/A</v>
      </c>
      <c r="G128" s="1990" t="str">
        <f t="shared" si="32"/>
        <v>#N/A</v>
      </c>
      <c r="H128" s="1990" t="str">
        <f t="shared" si="33"/>
        <v>#N/A</v>
      </c>
      <c r="I128" s="1990" t="str">
        <f t="shared" si="34"/>
        <v>#N/A</v>
      </c>
      <c r="J128" s="1990" t="str">
        <f t="shared" si="35"/>
        <v>#N/A</v>
      </c>
      <c r="K128" s="1990" t="str">
        <f t="shared" si="36"/>
        <v>#N/A</v>
      </c>
      <c r="L128" s="1990" t="str">
        <f t="shared" si="37"/>
        <v>#N/A</v>
      </c>
      <c r="M128" s="1990" t="str">
        <f t="shared" ref="M128:X128" si="314">SUM(M129:M131)</f>
        <v>#N/A</v>
      </c>
      <c r="N128" s="1990" t="str">
        <f t="shared" si="314"/>
        <v>#N/A</v>
      </c>
      <c r="O128" s="1990" t="str">
        <f t="shared" si="314"/>
        <v>#N/A</v>
      </c>
      <c r="P128" s="1990" t="str">
        <f t="shared" si="314"/>
        <v>#N/A</v>
      </c>
      <c r="Q128" s="1990" t="str">
        <f t="shared" si="314"/>
        <v>#N/A</v>
      </c>
      <c r="R128" s="1990" t="str">
        <f t="shared" si="314"/>
        <v>#N/A</v>
      </c>
      <c r="S128" s="1990" t="str">
        <f t="shared" si="314"/>
        <v>#N/A</v>
      </c>
      <c r="T128" s="1990" t="str">
        <f t="shared" si="314"/>
        <v>#N/A</v>
      </c>
      <c r="U128" s="1990" t="str">
        <f t="shared" si="314"/>
        <v>#N/A</v>
      </c>
      <c r="V128" s="1990" t="str">
        <f t="shared" si="314"/>
        <v>#N/A</v>
      </c>
      <c r="W128" s="1990" t="str">
        <f t="shared" si="314"/>
        <v>#N/A</v>
      </c>
      <c r="X128" s="1990" t="str">
        <f t="shared" si="314"/>
        <v>#N/A</v>
      </c>
      <c r="Y128" s="1989">
        <f t="shared" si="39"/>
        <v>95</v>
      </c>
    </row>
    <row r="129">
      <c r="A129" s="1533">
        <v>470.0</v>
      </c>
      <c r="B129" s="1534" t="s">
        <v>3372</v>
      </c>
      <c r="C129" s="1524" t="s">
        <v>2214</v>
      </c>
      <c r="D129" s="1535" t="s">
        <v>2214</v>
      </c>
      <c r="E129" s="1524" t="s">
        <v>3373</v>
      </c>
      <c r="F129" s="1992" t="str">
        <f t="shared" si="31"/>
        <v>#N/A</v>
      </c>
      <c r="G129" s="1992" t="str">
        <f t="shared" si="32"/>
        <v>#N/A</v>
      </c>
      <c r="H129" s="1992" t="str">
        <f t="shared" si="33"/>
        <v>#N/A</v>
      </c>
      <c r="I129" s="1992" t="str">
        <f t="shared" si="34"/>
        <v>#N/A</v>
      </c>
      <c r="J129" s="1992" t="str">
        <f t="shared" si="35"/>
        <v>#N/A</v>
      </c>
      <c r="K129" s="1992" t="str">
        <f t="shared" si="36"/>
        <v>#N/A</v>
      </c>
      <c r="L129" s="1992" t="str">
        <f t="shared" si="37"/>
        <v>#N/A</v>
      </c>
      <c r="M129" s="1992" t="str">
        <f t="shared" ref="M129:O129" si="315">(SUMIF(MA_TAIKHOAN,$E129,SDNDK)+SUMIFS(PS_SOTIEN,PS_TKNO,$E129,PS_NGAY,"&lt;="&amp;M$1))-(SUMIF(MA_TAIKHOAN,$E129,SDCDK)+SUMIFs(PS_SOTIEN,PS_TKCO,$E129,PS_NGAY,"&lt;="&amp;M$1))</f>
        <v>#N/A</v>
      </c>
      <c r="N129" s="1992" t="str">
        <f t="shared" si="315"/>
        <v>#N/A</v>
      </c>
      <c r="O129" s="1992" t="str">
        <f t="shared" si="315"/>
        <v>#N/A</v>
      </c>
      <c r="P129" s="1992" t="str">
        <f t="shared" ref="P129:P131" si="319">(SUMIF(MA_TAIKHOAN,$E129,SDNDK)+SUMIFS(PS_SOTIEN,PS_TKNO,$E129,PS_NGAY,"&lt;="&amp;I$1))-(SUMIF(MA_TAIKHOAN,$E129,SDCDK)+SUMIFs(PS_SOTIEN,PS_TKCO,$E129,PS_NGAY,"&lt;="&amp;I$1))</f>
        <v>#N/A</v>
      </c>
      <c r="Q129" s="1992" t="str">
        <f t="shared" ref="Q129:S129" si="316">(SUMIF(MA_TAIKHOAN,$E129,SDNDK)+SUMIFS(PS_SOTIEN,PS_TKNO,$E129,PS_NGAY,"&lt;="&amp;P$1))-(SUMIF(MA_TAIKHOAN,$E129,SDCDK)+SUMIFs(PS_SOTIEN,PS_TKCO,$E129,PS_NGAY,"&lt;="&amp;P$1))</f>
        <v>#N/A</v>
      </c>
      <c r="R129" s="1992" t="str">
        <f t="shared" si="316"/>
        <v>#N/A</v>
      </c>
      <c r="S129" s="1992" t="str">
        <f t="shared" si="316"/>
        <v>#N/A</v>
      </c>
      <c r="T129" s="1992" t="str">
        <f t="shared" ref="T129:T131" si="321">(SUMIF(MA_TAIKHOAN,$E129,SDNDK)+SUMIFS(PS_SOTIEN,PS_TKNO,$E129,PS_NGAY,"&lt;="&amp;J$1))-(SUMIF(MA_TAIKHOAN,$E129,SDCDK)+SUMIFs(PS_SOTIEN,PS_TKCO,$E129,PS_NGAY,"&lt;="&amp;J$1))</f>
        <v>#N/A</v>
      </c>
      <c r="U129" s="1992" t="str">
        <f t="shared" ref="U129:U131" si="322">(SUMIF(MA_TAIKHOAN,$E129,SDNDK)+SUMIFS(PS_SOTIEN,PS_TKNO,$E129,PS_NGAY,"&lt;="&amp;G$1))-(SUMIF(MA_TAIKHOAN,$E129,SDCDK)+SUMIFs(PS_SOTIEN,PS_TKCO,$E129,PS_NGAY,"&lt;="&amp;G$1))</f>
        <v>#N/A</v>
      </c>
      <c r="V129" s="1992" t="str">
        <f t="shared" ref="V129:X129" si="317">(SUMIF(MA_TAIKHOAN,$E129,SDNDK)+SUMIFS(PS_SOTIEN,PS_TKNO,$E129,PS_NGAY,"&lt;="&amp;S$1))-(SUMIF(MA_TAIKHOAN,$E129,SDCDK)+SUMIFs(PS_SOTIEN,PS_TKCO,$E129,PS_NGAY,"&lt;="&amp;S$1))</f>
        <v>#N/A</v>
      </c>
      <c r="W129" s="1992" t="str">
        <f t="shared" si="317"/>
        <v>#N/A</v>
      </c>
      <c r="X129" s="1992" t="str">
        <f t="shared" si="317"/>
        <v>#N/A</v>
      </c>
      <c r="Y129" s="1989">
        <f t="shared" si="39"/>
        <v>96</v>
      </c>
    </row>
    <row r="130">
      <c r="A130" s="1533">
        <v>475.0</v>
      </c>
      <c r="B130" s="1534" t="s">
        <v>3374</v>
      </c>
      <c r="C130" s="1524" t="s">
        <v>2214</v>
      </c>
      <c r="D130" s="1535" t="s">
        <v>2214</v>
      </c>
      <c r="E130" s="1524" t="s">
        <v>3375</v>
      </c>
      <c r="F130" s="1992" t="str">
        <f t="shared" si="31"/>
        <v>#N/A</v>
      </c>
      <c r="G130" s="1992" t="str">
        <f t="shared" si="32"/>
        <v>#N/A</v>
      </c>
      <c r="H130" s="1992" t="str">
        <f t="shared" si="33"/>
        <v>#N/A</v>
      </c>
      <c r="I130" s="1992" t="str">
        <f t="shared" si="34"/>
        <v>#N/A</v>
      </c>
      <c r="J130" s="1992" t="str">
        <f t="shared" si="35"/>
        <v>#N/A</v>
      </c>
      <c r="K130" s="1992" t="str">
        <f t="shared" si="36"/>
        <v>#N/A</v>
      </c>
      <c r="L130" s="1992" t="str">
        <f t="shared" si="37"/>
        <v>#N/A</v>
      </c>
      <c r="M130" s="1992" t="str">
        <f t="shared" ref="M130:O130" si="318">(SUMIF(MA_TAIKHOAN,$E130,SDNDK)+SUMIFS(PS_SOTIEN,PS_TKNO,$E130,PS_NGAY,"&lt;="&amp;M$1))-(SUMIF(MA_TAIKHOAN,$E130,SDCDK)+SUMIFs(PS_SOTIEN,PS_TKCO,$E130,PS_NGAY,"&lt;="&amp;M$1))</f>
        <v>#N/A</v>
      </c>
      <c r="N130" s="1992" t="str">
        <f t="shared" si="318"/>
        <v>#N/A</v>
      </c>
      <c r="O130" s="1992" t="str">
        <f t="shared" si="318"/>
        <v>#N/A</v>
      </c>
      <c r="P130" s="1992" t="str">
        <f t="shared" si="319"/>
        <v>#N/A</v>
      </c>
      <c r="Q130" s="1992" t="str">
        <f t="shared" ref="Q130:S130" si="320">(SUMIF(MA_TAIKHOAN,$E130,SDNDK)+SUMIFS(PS_SOTIEN,PS_TKNO,$E130,PS_NGAY,"&lt;="&amp;P$1))-(SUMIF(MA_TAIKHOAN,$E130,SDCDK)+SUMIFs(PS_SOTIEN,PS_TKCO,$E130,PS_NGAY,"&lt;="&amp;P$1))</f>
        <v>#N/A</v>
      </c>
      <c r="R130" s="1992" t="str">
        <f t="shared" si="320"/>
        <v>#N/A</v>
      </c>
      <c r="S130" s="1992" t="str">
        <f t="shared" si="320"/>
        <v>#N/A</v>
      </c>
      <c r="T130" s="1992" t="str">
        <f t="shared" si="321"/>
        <v>#N/A</v>
      </c>
      <c r="U130" s="1992" t="str">
        <f t="shared" si="322"/>
        <v>#N/A</v>
      </c>
      <c r="V130" s="1992" t="str">
        <f t="shared" ref="V130:X130" si="323">(SUMIF(MA_TAIKHOAN,$E130,SDNDK)+SUMIFS(PS_SOTIEN,PS_TKNO,$E130,PS_NGAY,"&lt;="&amp;S$1))-(SUMIF(MA_TAIKHOAN,$E130,SDCDK)+SUMIFs(PS_SOTIEN,PS_TKCO,$E130,PS_NGAY,"&lt;="&amp;S$1))</f>
        <v>#N/A</v>
      </c>
      <c r="W130" s="1992" t="str">
        <f t="shared" si="323"/>
        <v>#N/A</v>
      </c>
      <c r="X130" s="1992" t="str">
        <f t="shared" si="323"/>
        <v>#N/A</v>
      </c>
      <c r="Y130" s="1989">
        <f t="shared" si="39"/>
        <v>97</v>
      </c>
    </row>
    <row r="131">
      <c r="A131" s="1533">
        <v>480.0</v>
      </c>
      <c r="B131" s="1534" t="s">
        <v>3376</v>
      </c>
      <c r="C131" s="1524" t="s">
        <v>2214</v>
      </c>
      <c r="D131" s="1535" t="s">
        <v>2214</v>
      </c>
      <c r="E131" s="1524" t="s">
        <v>3377</v>
      </c>
      <c r="F131" s="1992" t="str">
        <f t="shared" si="31"/>
        <v>#N/A</v>
      </c>
      <c r="G131" s="1992" t="str">
        <f t="shared" si="32"/>
        <v>#N/A</v>
      </c>
      <c r="H131" s="1992" t="str">
        <f t="shared" si="33"/>
        <v>#N/A</v>
      </c>
      <c r="I131" s="1992" t="str">
        <f t="shared" si="34"/>
        <v>#N/A</v>
      </c>
      <c r="J131" s="1992" t="str">
        <f t="shared" si="35"/>
        <v>#N/A</v>
      </c>
      <c r="K131" s="1992" t="str">
        <f t="shared" si="36"/>
        <v>#N/A</v>
      </c>
      <c r="L131" s="1992" t="str">
        <f t="shared" si="37"/>
        <v>#N/A</v>
      </c>
      <c r="M131" s="1992" t="str">
        <f t="shared" ref="M131:O131" si="324">(SUMIF(MA_TAIKHOAN,$E131,SDNDK)+SUMIFS(PS_SOTIEN,PS_TKNO,$E131,PS_NGAY,"&lt;="&amp;M$1))-(SUMIF(MA_TAIKHOAN,$E131,SDCDK)+SUMIFs(PS_SOTIEN,PS_TKCO,$E131,PS_NGAY,"&lt;="&amp;M$1))</f>
        <v>#N/A</v>
      </c>
      <c r="N131" s="1992" t="str">
        <f t="shared" si="324"/>
        <v>#N/A</v>
      </c>
      <c r="O131" s="1992" t="str">
        <f t="shared" si="324"/>
        <v>#N/A</v>
      </c>
      <c r="P131" s="1992" t="str">
        <f t="shared" si="319"/>
        <v>#N/A</v>
      </c>
      <c r="Q131" s="1992" t="str">
        <f t="shared" ref="Q131:S131" si="325">(SUMIF(MA_TAIKHOAN,$E131,SDNDK)+SUMIFS(PS_SOTIEN,PS_TKNO,$E131,PS_NGAY,"&lt;="&amp;P$1))-(SUMIF(MA_TAIKHOAN,$E131,SDCDK)+SUMIFs(PS_SOTIEN,PS_TKCO,$E131,PS_NGAY,"&lt;="&amp;P$1))</f>
        <v>#N/A</v>
      </c>
      <c r="R131" s="1992" t="str">
        <f t="shared" si="325"/>
        <v>#N/A</v>
      </c>
      <c r="S131" s="1992" t="str">
        <f t="shared" si="325"/>
        <v>#N/A</v>
      </c>
      <c r="T131" s="1992" t="str">
        <f t="shared" si="321"/>
        <v>#N/A</v>
      </c>
      <c r="U131" s="1992" t="str">
        <f t="shared" si="322"/>
        <v>#N/A</v>
      </c>
      <c r="V131" s="1992" t="str">
        <f t="shared" ref="V131:X131" si="326">(SUMIF(MA_TAIKHOAN,$E131,SDNDK)+SUMIFS(PS_SOTIEN,PS_TKNO,$E131,PS_NGAY,"&lt;="&amp;S$1))-(SUMIF(MA_TAIKHOAN,$E131,SDCDK)+SUMIFs(PS_SOTIEN,PS_TKCO,$E131,PS_NGAY,"&lt;="&amp;S$1))</f>
        <v>#N/A</v>
      </c>
      <c r="W131" s="1992" t="str">
        <f t="shared" si="326"/>
        <v>#N/A</v>
      </c>
      <c r="X131" s="1992" t="str">
        <f t="shared" si="326"/>
        <v>#N/A</v>
      </c>
      <c r="Y131" s="1989">
        <f t="shared" si="39"/>
        <v>98</v>
      </c>
    </row>
    <row r="132">
      <c r="A132" s="1520">
        <v>485.0</v>
      </c>
      <c r="B132" s="1521" t="s">
        <v>3378</v>
      </c>
      <c r="C132" s="1522" t="s">
        <v>3379</v>
      </c>
      <c r="D132" s="1523" t="s">
        <v>3380</v>
      </c>
      <c r="E132" s="1524" t="s">
        <v>2214</v>
      </c>
      <c r="F132" s="1991" t="str">
        <f t="shared" si="31"/>
        <v>#N/A</v>
      </c>
      <c r="G132" s="1991" t="str">
        <f t="shared" si="32"/>
        <v>#N/A</v>
      </c>
      <c r="H132" s="1991" t="str">
        <f t="shared" si="33"/>
        <v>#N/A</v>
      </c>
      <c r="I132" s="1991" t="str">
        <f t="shared" si="34"/>
        <v>#N/A</v>
      </c>
      <c r="J132" s="1991" t="str">
        <f t="shared" si="35"/>
        <v>#N/A</v>
      </c>
      <c r="K132" s="1991" t="str">
        <f t="shared" si="36"/>
        <v>#N/A</v>
      </c>
      <c r="L132" s="1991" t="str">
        <f t="shared" si="37"/>
        <v>#N/A</v>
      </c>
      <c r="M132" s="1991" t="str">
        <f t="shared" ref="M132:X132" si="327">SUM(M133:M135)+M138</f>
        <v>#N/A</v>
      </c>
      <c r="N132" s="1991" t="str">
        <f t="shared" si="327"/>
        <v>#N/A</v>
      </c>
      <c r="O132" s="1991" t="str">
        <f t="shared" si="327"/>
        <v>#N/A</v>
      </c>
      <c r="P132" s="1991" t="str">
        <f t="shared" si="327"/>
        <v>#N/A</v>
      </c>
      <c r="Q132" s="1991" t="str">
        <f t="shared" si="327"/>
        <v>#N/A</v>
      </c>
      <c r="R132" s="1991" t="str">
        <f t="shared" si="327"/>
        <v>#N/A</v>
      </c>
      <c r="S132" s="1991" t="str">
        <f t="shared" si="327"/>
        <v>#N/A</v>
      </c>
      <c r="T132" s="1991" t="str">
        <f t="shared" si="327"/>
        <v>#N/A</v>
      </c>
      <c r="U132" s="1991" t="str">
        <f t="shared" si="327"/>
        <v>#N/A</v>
      </c>
      <c r="V132" s="1991" t="str">
        <f t="shared" si="327"/>
        <v>#N/A</v>
      </c>
      <c r="W132" s="1991" t="str">
        <f t="shared" si="327"/>
        <v>#N/A</v>
      </c>
      <c r="X132" s="1991" t="str">
        <f t="shared" si="327"/>
        <v>#N/A</v>
      </c>
      <c r="Y132" s="1989">
        <f t="shared" si="39"/>
        <v>99</v>
      </c>
    </row>
    <row r="133">
      <c r="A133" s="1533">
        <v>490.0</v>
      </c>
      <c r="B133" s="1534" t="s">
        <v>3381</v>
      </c>
      <c r="C133" s="1524" t="s">
        <v>3382</v>
      </c>
      <c r="D133" s="1535" t="s">
        <v>2214</v>
      </c>
      <c r="E133" s="1524" t="s">
        <v>3383</v>
      </c>
      <c r="F133" s="1993" t="str">
        <f t="shared" si="31"/>
        <v>#N/A</v>
      </c>
      <c r="G133" s="1993" t="str">
        <f t="shared" si="32"/>
        <v>#N/A</v>
      </c>
      <c r="H133" s="1993" t="str">
        <f t="shared" si="33"/>
        <v>#N/A</v>
      </c>
      <c r="I133" s="1993" t="str">
        <f t="shared" si="34"/>
        <v>#N/A</v>
      </c>
      <c r="J133" s="1993" t="str">
        <f t="shared" si="35"/>
        <v>#N/A</v>
      </c>
      <c r="K133" s="1993" t="str">
        <f t="shared" si="36"/>
        <v>#N/A</v>
      </c>
      <c r="L133" s="1993" t="str">
        <f t="shared" si="37"/>
        <v>#N/A</v>
      </c>
      <c r="M133" s="1993" t="str">
        <f t="shared" ref="M133:O133" si="328">(SUMIF(MA_TAIKHOAN,$E133,SDNDK)+SUMIFS(PS_SOTIEN,PS_TKNO,$E133,PS_NGAY,"&lt;="&amp;M$1))-(SUMIF(MA_TAIKHOAN,$E133,SDCDK)+SUMIFs(PS_SOTIEN,PS_TKCO,$E133,PS_NGAY,"&lt;="&amp;M$1))</f>
        <v>#N/A</v>
      </c>
      <c r="N133" s="1993" t="str">
        <f t="shared" si="328"/>
        <v>#N/A</v>
      </c>
      <c r="O133" s="1993" t="str">
        <f t="shared" si="328"/>
        <v>#N/A</v>
      </c>
      <c r="P133" s="1993" t="str">
        <f t="shared" ref="P133:P134" si="332">(SUMIF(MA_TAIKHOAN,$E133,SDNDK)+SUMIFS(PS_SOTIEN,PS_TKNO,$E133,PS_NGAY,"&lt;="&amp;I$1))-(SUMIF(MA_TAIKHOAN,$E133,SDCDK)+SUMIFs(PS_SOTIEN,PS_TKCO,$E133,PS_NGAY,"&lt;="&amp;I$1))</f>
        <v>#N/A</v>
      </c>
      <c r="Q133" s="1993" t="str">
        <f t="shared" ref="Q133:S133" si="329">(SUMIF(MA_TAIKHOAN,$E133,SDNDK)+SUMIFS(PS_SOTIEN,PS_TKNO,$E133,PS_NGAY,"&lt;="&amp;P$1))-(SUMIF(MA_TAIKHOAN,$E133,SDCDK)+SUMIFs(PS_SOTIEN,PS_TKCO,$E133,PS_NGAY,"&lt;="&amp;P$1))</f>
        <v>#N/A</v>
      </c>
      <c r="R133" s="1993" t="str">
        <f t="shared" si="329"/>
        <v>#N/A</v>
      </c>
      <c r="S133" s="1993" t="str">
        <f t="shared" si="329"/>
        <v>#N/A</v>
      </c>
      <c r="T133" s="1993" t="str">
        <f t="shared" ref="T133:T134" si="334">(SUMIF(MA_TAIKHOAN,$E133,SDNDK)+SUMIFS(PS_SOTIEN,PS_TKNO,$E133,PS_NGAY,"&lt;="&amp;J$1))-(SUMIF(MA_TAIKHOAN,$E133,SDCDK)+SUMIFs(PS_SOTIEN,PS_TKCO,$E133,PS_NGAY,"&lt;="&amp;J$1))</f>
        <v>#N/A</v>
      </c>
      <c r="U133" s="1993" t="str">
        <f t="shared" ref="U133:U134" si="335">(SUMIF(MA_TAIKHOAN,$E133,SDNDK)+SUMIFS(PS_SOTIEN,PS_TKNO,$E133,PS_NGAY,"&lt;="&amp;G$1))-(SUMIF(MA_TAIKHOAN,$E133,SDCDK)+SUMIFs(PS_SOTIEN,PS_TKCO,$E133,PS_NGAY,"&lt;="&amp;G$1))</f>
        <v>#N/A</v>
      </c>
      <c r="V133" s="1993" t="str">
        <f t="shared" ref="V133:X133" si="330">(SUMIF(MA_TAIKHOAN,$E133,SDNDK)+SUMIFS(PS_SOTIEN,PS_TKNO,$E133,PS_NGAY,"&lt;="&amp;S$1))-(SUMIF(MA_TAIKHOAN,$E133,SDCDK)+SUMIFs(PS_SOTIEN,PS_TKCO,$E133,PS_NGAY,"&lt;="&amp;S$1))</f>
        <v>#N/A</v>
      </c>
      <c r="W133" s="1993" t="str">
        <f t="shared" si="330"/>
        <v>#N/A</v>
      </c>
      <c r="X133" s="1993" t="str">
        <f t="shared" si="330"/>
        <v>#N/A</v>
      </c>
      <c r="Y133" s="1989">
        <f t="shared" si="39"/>
        <v>100</v>
      </c>
    </row>
    <row r="134">
      <c r="A134" s="1533">
        <v>495.0</v>
      </c>
      <c r="B134" s="1534" t="s">
        <v>3384</v>
      </c>
      <c r="C134" s="1524" t="s">
        <v>3385</v>
      </c>
      <c r="D134" s="1535" t="s">
        <v>2214</v>
      </c>
      <c r="E134" s="1524" t="s">
        <v>3102</v>
      </c>
      <c r="F134" s="1993" t="str">
        <f t="shared" si="31"/>
        <v>#N/A</v>
      </c>
      <c r="G134" s="1993" t="str">
        <f t="shared" si="32"/>
        <v>#N/A</v>
      </c>
      <c r="H134" s="1993" t="str">
        <f t="shared" si="33"/>
        <v>#N/A</v>
      </c>
      <c r="I134" s="1993" t="str">
        <f t="shared" si="34"/>
        <v>#N/A</v>
      </c>
      <c r="J134" s="1993" t="str">
        <f t="shared" si="35"/>
        <v>#N/A</v>
      </c>
      <c r="K134" s="1993" t="str">
        <f t="shared" si="36"/>
        <v>#N/A</v>
      </c>
      <c r="L134" s="1993" t="str">
        <f t="shared" si="37"/>
        <v>#N/A</v>
      </c>
      <c r="M134" s="1993" t="str">
        <f t="shared" ref="M134:O134" si="331">(SUMIF(MA_TAIKHOAN,$E134,SDNDK)+SUMIFS(PS_SOTIEN,PS_TKNO,$E134,PS_NGAY,"&lt;="&amp;M$1))-(SUMIF(MA_TAIKHOAN,$E134,SDCDK)+SUMIFs(PS_SOTIEN,PS_TKCO,$E134,PS_NGAY,"&lt;="&amp;M$1))</f>
        <v>#N/A</v>
      </c>
      <c r="N134" s="1993" t="str">
        <f t="shared" si="331"/>
        <v>#N/A</v>
      </c>
      <c r="O134" s="1993" t="str">
        <f t="shared" si="331"/>
        <v>#N/A</v>
      </c>
      <c r="P134" s="1993" t="str">
        <f t="shared" si="332"/>
        <v>#N/A</v>
      </c>
      <c r="Q134" s="1993" t="str">
        <f t="shared" ref="Q134:S134" si="333">(SUMIF(MA_TAIKHOAN,$E134,SDNDK)+SUMIFS(PS_SOTIEN,PS_TKNO,$E134,PS_NGAY,"&lt;="&amp;P$1))-(SUMIF(MA_TAIKHOAN,$E134,SDCDK)+SUMIFs(PS_SOTIEN,PS_TKCO,$E134,PS_NGAY,"&lt;="&amp;P$1))</f>
        <v>#N/A</v>
      </c>
      <c r="R134" s="1993" t="str">
        <f t="shared" si="333"/>
        <v>#N/A</v>
      </c>
      <c r="S134" s="1993" t="str">
        <f t="shared" si="333"/>
        <v>#N/A</v>
      </c>
      <c r="T134" s="1993" t="str">
        <f t="shared" si="334"/>
        <v>#N/A</v>
      </c>
      <c r="U134" s="1993" t="str">
        <f t="shared" si="335"/>
        <v>#N/A</v>
      </c>
      <c r="V134" s="1993" t="str">
        <f t="shared" ref="V134:X134" si="336">(SUMIF(MA_TAIKHOAN,$E134,SDNDK)+SUMIFS(PS_SOTIEN,PS_TKNO,$E134,PS_NGAY,"&lt;="&amp;S$1))-(SUMIF(MA_TAIKHOAN,$E134,SDCDK)+SUMIFs(PS_SOTIEN,PS_TKCO,$E134,PS_NGAY,"&lt;="&amp;S$1))</f>
        <v>#N/A</v>
      </c>
      <c r="W134" s="1993" t="str">
        <f t="shared" si="336"/>
        <v>#N/A</v>
      </c>
      <c r="X134" s="1993" t="str">
        <f t="shared" si="336"/>
        <v>#N/A</v>
      </c>
      <c r="Y134" s="1989">
        <f t="shared" si="39"/>
        <v>101</v>
      </c>
    </row>
    <row r="135">
      <c r="A135" s="1533">
        <v>500.0</v>
      </c>
      <c r="B135" s="1534" t="s">
        <v>3386</v>
      </c>
      <c r="C135" s="1524" t="s">
        <v>3387</v>
      </c>
      <c r="D135" s="1535" t="s">
        <v>3388</v>
      </c>
      <c r="E135" s="1524" t="s">
        <v>2214</v>
      </c>
      <c r="F135" s="1990" t="str">
        <f t="shared" si="31"/>
        <v>#N/A</v>
      </c>
      <c r="G135" s="1990" t="str">
        <f t="shared" si="32"/>
        <v>#N/A</v>
      </c>
      <c r="H135" s="1990" t="str">
        <f t="shared" si="33"/>
        <v>#N/A</v>
      </c>
      <c r="I135" s="1990" t="str">
        <f t="shared" si="34"/>
        <v>#N/A</v>
      </c>
      <c r="J135" s="1990" t="str">
        <f t="shared" si="35"/>
        <v>#N/A</v>
      </c>
      <c r="K135" s="1990" t="str">
        <f t="shared" si="36"/>
        <v>#N/A</v>
      </c>
      <c r="L135" s="1990" t="str">
        <f t="shared" si="37"/>
        <v>#N/A</v>
      </c>
      <c r="M135" s="1990" t="str">
        <f t="shared" ref="M135:X135" si="337">SUM(M136:M137)</f>
        <v>#N/A</v>
      </c>
      <c r="N135" s="1990" t="str">
        <f t="shared" si="337"/>
        <v>#N/A</v>
      </c>
      <c r="O135" s="1990" t="str">
        <f t="shared" si="337"/>
        <v>#N/A</v>
      </c>
      <c r="P135" s="1990" t="str">
        <f t="shared" si="337"/>
        <v>#N/A</v>
      </c>
      <c r="Q135" s="1990" t="str">
        <f t="shared" si="337"/>
        <v>#N/A</v>
      </c>
      <c r="R135" s="1990" t="str">
        <f t="shared" si="337"/>
        <v>#N/A</v>
      </c>
      <c r="S135" s="1990" t="str">
        <f t="shared" si="337"/>
        <v>#N/A</v>
      </c>
      <c r="T135" s="1990" t="str">
        <f t="shared" si="337"/>
        <v>#N/A</v>
      </c>
      <c r="U135" s="1990" t="str">
        <f t="shared" si="337"/>
        <v>#N/A</v>
      </c>
      <c r="V135" s="1990" t="str">
        <f t="shared" si="337"/>
        <v>#N/A</v>
      </c>
      <c r="W135" s="1990" t="str">
        <f t="shared" si="337"/>
        <v>#N/A</v>
      </c>
      <c r="X135" s="1990" t="str">
        <f t="shared" si="337"/>
        <v>#N/A</v>
      </c>
      <c r="Y135" s="1989">
        <f t="shared" si="39"/>
        <v>102</v>
      </c>
    </row>
    <row r="136">
      <c r="A136" s="1533">
        <v>505.0</v>
      </c>
      <c r="B136" s="1534" t="s">
        <v>3389</v>
      </c>
      <c r="C136" s="1524" t="s">
        <v>2214</v>
      </c>
      <c r="D136" s="1535" t="s">
        <v>2214</v>
      </c>
      <c r="E136" s="1550" t="s">
        <v>3035</v>
      </c>
      <c r="F136" s="1992" t="str">
        <f t="shared" si="31"/>
        <v>#N/A</v>
      </c>
      <c r="G136" s="1992" t="str">
        <f t="shared" si="32"/>
        <v>#N/A</v>
      </c>
      <c r="H136" s="1992" t="str">
        <f t="shared" si="33"/>
        <v>#N/A</v>
      </c>
      <c r="I136" s="1992" t="str">
        <f t="shared" si="34"/>
        <v>#N/A</v>
      </c>
      <c r="J136" s="1992" t="str">
        <f t="shared" si="35"/>
        <v>#N/A</v>
      </c>
      <c r="K136" s="1992" t="str">
        <f t="shared" si="36"/>
        <v>#N/A</v>
      </c>
      <c r="L136" s="1992" t="str">
        <f t="shared" si="37"/>
        <v>#N/A</v>
      </c>
      <c r="M136" s="1992" t="str">
        <f t="shared" ref="M136:O136" si="338">(SUMIF(MA_TAIKHOAN,$E136,SDNDK)+SUMIFS(PS_SOTIEN,PS_TKNO,$E136,PS_NGAY,"&lt;="&amp;M$1))-(SUMIF(MA_TAIKHOAN,$E136,SDCDK)+SUMIFs(PS_SOTIEN,PS_TKCO,$E136,PS_NGAY,"&lt;="&amp;M$1))</f>
        <v>#N/A</v>
      </c>
      <c r="N136" s="1992" t="str">
        <f t="shared" si="338"/>
        <v>#N/A</v>
      </c>
      <c r="O136" s="1992" t="str">
        <f t="shared" si="338"/>
        <v>#N/A</v>
      </c>
      <c r="P136" s="1992" t="str">
        <f>(SUMIF(MA_TAIKHOAN,$E136,SDNDK)+SUMIFS(PS_SOTIEN,PS_TKNO,$E136,PS_NGAY,"&lt;="&amp;I$1))-(SUMIF(MA_TAIKHOAN,$E136,SDCDK)+SUMIFs(PS_SOTIEN,PS_TKCO,$E136,PS_NGAY,"&lt;="&amp;I$1))</f>
        <v>#N/A</v>
      </c>
      <c r="Q136" s="1992" t="str">
        <f t="shared" ref="Q136:S136" si="339">(SUMIF(MA_TAIKHOAN,$E136,SDNDK)+SUMIFS(PS_SOTIEN,PS_TKNO,$E136,PS_NGAY,"&lt;="&amp;P$1))-(SUMIF(MA_TAIKHOAN,$E136,SDCDK)+SUMIFs(PS_SOTIEN,PS_TKCO,$E136,PS_NGAY,"&lt;="&amp;P$1))</f>
        <v>#N/A</v>
      </c>
      <c r="R136" s="1992" t="str">
        <f t="shared" si="339"/>
        <v>#N/A</v>
      </c>
      <c r="S136" s="1992" t="str">
        <f t="shared" si="339"/>
        <v>#N/A</v>
      </c>
      <c r="T136" s="1992" t="str">
        <f>(SUMIF(MA_TAIKHOAN,$E136,SDNDK)+SUMIFS(PS_SOTIEN,PS_TKNO,$E136,PS_NGAY,"&lt;="&amp;J$1))-(SUMIF(MA_TAIKHOAN,$E136,SDCDK)+SUMIFs(PS_SOTIEN,PS_TKCO,$E136,PS_NGAY,"&lt;="&amp;J$1))</f>
        <v>#N/A</v>
      </c>
      <c r="U136" s="1992" t="str">
        <f>(SUMIF(MA_TAIKHOAN,$E136,SDNDK)+SUMIFS(PS_SOTIEN,PS_TKNO,$E136,PS_NGAY,"&lt;="&amp;G$1))-(SUMIF(MA_TAIKHOAN,$E136,SDCDK)+SUMIFs(PS_SOTIEN,PS_TKCO,$E136,PS_NGAY,"&lt;="&amp;G$1))</f>
        <v>#N/A</v>
      </c>
      <c r="V136" s="1992" t="str">
        <f t="shared" ref="V136:X136" si="340">(SUMIF(MA_TAIKHOAN,$E136,SDNDK)+SUMIFS(PS_SOTIEN,PS_TKNO,$E136,PS_NGAY,"&lt;="&amp;S$1))-(SUMIF(MA_TAIKHOAN,$E136,SDCDK)+SUMIFs(PS_SOTIEN,PS_TKCO,$E136,PS_NGAY,"&lt;="&amp;S$1))</f>
        <v>#N/A</v>
      </c>
      <c r="W136" s="1992" t="str">
        <f t="shared" si="340"/>
        <v>#N/A</v>
      </c>
      <c r="X136" s="1992" t="str">
        <f t="shared" si="340"/>
        <v>#N/A</v>
      </c>
      <c r="Y136" s="1989">
        <f t="shared" si="39"/>
        <v>103</v>
      </c>
    </row>
    <row r="137">
      <c r="A137" s="1533">
        <v>510.0</v>
      </c>
      <c r="B137" s="1534" t="s">
        <v>3390</v>
      </c>
      <c r="C137" s="1524" t="s">
        <v>2214</v>
      </c>
      <c r="D137" s="1535" t="s">
        <v>2214</v>
      </c>
      <c r="E137" s="1550" t="s">
        <v>1400</v>
      </c>
      <c r="F137" s="1993" t="str">
        <f t="shared" si="31"/>
        <v>#N/A</v>
      </c>
      <c r="G137" s="1993" t="str">
        <f t="shared" si="32"/>
        <v>#N/A</v>
      </c>
      <c r="H137" s="1993" t="str">
        <f t="shared" si="33"/>
        <v>#N/A</v>
      </c>
      <c r="I137" s="1993" t="str">
        <f t="shared" si="34"/>
        <v>#N/A</v>
      </c>
      <c r="J137" s="1993" t="str">
        <f t="shared" si="35"/>
        <v>#N/A</v>
      </c>
      <c r="K137" s="1993" t="str">
        <f t="shared" si="36"/>
        <v>#N/A</v>
      </c>
      <c r="L137" s="1993" t="str">
        <f t="shared" si="37"/>
        <v>#N/A</v>
      </c>
      <c r="M137" s="1993" t="str">
        <f t="shared" ref="M137:O137" si="341">(SUMIF(MA_TAIKHOAN,$E137,SDCDK)+SUMIFs(PS_SOTIEN,PS_TKCO,$E137,PS_NGAY,"&lt;="&amp;M$1))-(SUMIF(MA_TAIKHOAN,$E137,SDNDK)+SUMIFS(PS_SOTIEN,PS_TKNO,$E137,PS_NGAY,"&lt;="&amp;M$1))</f>
        <v>#N/A</v>
      </c>
      <c r="N137" s="1993" t="str">
        <f t="shared" si="341"/>
        <v>#N/A</v>
      </c>
      <c r="O137" s="1993" t="str">
        <f t="shared" si="341"/>
        <v>#N/A</v>
      </c>
      <c r="P137" s="1993" t="str">
        <f>(SUMIF(MA_TAIKHOAN,$E137,SDCDK)+SUMIFs(PS_SOTIEN,PS_TKCO,$E137,PS_NGAY,"&lt;="&amp;I$1))-(SUMIF(MA_TAIKHOAN,$E137,SDNDK)+SUMIFS(PS_SOTIEN,PS_TKNO,$E137,PS_NGAY,"&lt;="&amp;I$1))</f>
        <v>#N/A</v>
      </c>
      <c r="Q137" s="1993" t="str">
        <f t="shared" ref="Q137:S137" si="342">(SUMIF(MA_TAIKHOAN,$E137,SDCDK)+SUMIFs(PS_SOTIEN,PS_TKCO,$E137,PS_NGAY,"&lt;="&amp;P$1))-(SUMIF(MA_TAIKHOAN,$E137,SDNDK)+SUMIFS(PS_SOTIEN,PS_TKNO,$E137,PS_NGAY,"&lt;="&amp;P$1))</f>
        <v>#N/A</v>
      </c>
      <c r="R137" s="1993" t="str">
        <f t="shared" si="342"/>
        <v>#N/A</v>
      </c>
      <c r="S137" s="1993" t="str">
        <f t="shared" si="342"/>
        <v>#N/A</v>
      </c>
      <c r="T137" s="1993" t="str">
        <f>(SUMIF(MA_TAIKHOAN,$E137,SDCDK)+SUMIFs(PS_SOTIEN,PS_TKCO,$E137,PS_NGAY,"&lt;="&amp;J$1))-(SUMIF(MA_TAIKHOAN,$E137,SDNDK)+SUMIFS(PS_SOTIEN,PS_TKNO,$E137,PS_NGAY,"&lt;="&amp;J$1))</f>
        <v>#N/A</v>
      </c>
      <c r="U137" s="1993" t="str">
        <f>(SUMIF(MA_TAIKHOAN,$E137,SDCDK)+SUMIFs(PS_SOTIEN,PS_TKCO,$E137,PS_NGAY,"&lt;="&amp;G$1))-(SUMIF(MA_TAIKHOAN,$E137,SDNDK)+SUMIFS(PS_SOTIEN,PS_TKNO,$E137,PS_NGAY,"&lt;="&amp;G$1))</f>
        <v>#N/A</v>
      </c>
      <c r="V137" s="1993" t="str">
        <f t="shared" ref="V137:X137" si="343">(SUMIF(MA_TAIKHOAN,$E137,SDCDK)+SUMIFs(PS_SOTIEN,PS_TKCO,$E137,PS_NGAY,"&lt;="&amp;S$1))-(SUMIF(MA_TAIKHOAN,$E137,SDNDK)+SUMIFS(PS_SOTIEN,PS_TKNO,$E137,PS_NGAY,"&lt;="&amp;S$1))</f>
        <v>#N/A</v>
      </c>
      <c r="W137" s="1993" t="str">
        <f t="shared" si="343"/>
        <v>#N/A</v>
      </c>
      <c r="X137" s="1993" t="str">
        <f t="shared" si="343"/>
        <v>#N/A</v>
      </c>
      <c r="Y137" s="1989">
        <f t="shared" si="39"/>
        <v>104</v>
      </c>
    </row>
    <row r="138">
      <c r="A138" s="1533">
        <v>515.0</v>
      </c>
      <c r="B138" s="1534" t="s">
        <v>3391</v>
      </c>
      <c r="C138" s="1524" t="s">
        <v>3392</v>
      </c>
      <c r="D138" s="1535" t="s">
        <v>2214</v>
      </c>
      <c r="E138" s="1550" t="s">
        <v>1391</v>
      </c>
      <c r="F138" s="1993" t="str">
        <f t="shared" si="31"/>
        <v>#N/A</v>
      </c>
      <c r="G138" s="1993" t="str">
        <f t="shared" si="32"/>
        <v>#N/A</v>
      </c>
      <c r="H138" s="1993" t="str">
        <f t="shared" si="33"/>
        <v>#N/A</v>
      </c>
      <c r="I138" s="1993" t="str">
        <f t="shared" si="34"/>
        <v>#N/A</v>
      </c>
      <c r="J138" s="1993" t="str">
        <f t="shared" si="35"/>
        <v>#N/A</v>
      </c>
      <c r="K138" s="1993" t="str">
        <f t="shared" si="36"/>
        <v>#N/A</v>
      </c>
      <c r="L138" s="1993" t="str">
        <f t="shared" si="37"/>
        <v>#N/A</v>
      </c>
      <c r="M138" s="1993" t="str">
        <f t="shared" ref="M138:O138" si="344">(SUMIF(MA_TAIKHOAN,$E138,SDNDK)+SUMIFS(PS_SOTIEN,PS_TKNO,$E138,PS_NGAY,"&lt;="&amp;M$1))-(SUMIF(MA_TAIKHOAN,$E138,SDCDK)+SUMIFs(PS_SOTIEN,PS_TKCO,$E138,PS_NGAY,"&lt;="&amp;M$1))</f>
        <v>#N/A</v>
      </c>
      <c r="N138" s="1993" t="str">
        <f t="shared" si="344"/>
        <v>#N/A</v>
      </c>
      <c r="O138" s="1993" t="str">
        <f t="shared" si="344"/>
        <v>#N/A</v>
      </c>
      <c r="P138" s="1993" t="str">
        <f>(SUMIF(MA_TAIKHOAN,$E138,SDNDK)+SUMIFS(PS_SOTIEN,PS_TKNO,$E138,PS_NGAY,"&lt;="&amp;I$1))-(SUMIF(MA_TAIKHOAN,$E138,SDCDK)+SUMIFs(PS_SOTIEN,PS_TKCO,$E138,PS_NGAY,"&lt;="&amp;I$1))</f>
        <v>#N/A</v>
      </c>
      <c r="Q138" s="1993" t="str">
        <f t="shared" ref="Q138:S138" si="345">(SUMIF(MA_TAIKHOAN,$E138,SDNDK)+SUMIFS(PS_SOTIEN,PS_TKNO,$E138,PS_NGAY,"&lt;="&amp;P$1))-(SUMIF(MA_TAIKHOAN,$E138,SDCDK)+SUMIFs(PS_SOTIEN,PS_TKCO,$E138,PS_NGAY,"&lt;="&amp;P$1))</f>
        <v>#N/A</v>
      </c>
      <c r="R138" s="1993" t="str">
        <f t="shared" si="345"/>
        <v>#N/A</v>
      </c>
      <c r="S138" s="1993" t="str">
        <f t="shared" si="345"/>
        <v>#N/A</v>
      </c>
      <c r="T138" s="1993" t="str">
        <f>(SUMIF(MA_TAIKHOAN,$E138,SDNDK)+SUMIFS(PS_SOTIEN,PS_TKNO,$E138,PS_NGAY,"&lt;="&amp;J$1))-(SUMIF(MA_TAIKHOAN,$E138,SDCDK)+SUMIFs(PS_SOTIEN,PS_TKCO,$E138,PS_NGAY,"&lt;="&amp;J$1))</f>
        <v>#N/A</v>
      </c>
      <c r="U138" s="1993" t="str">
        <f>(SUMIF(MA_TAIKHOAN,$E138,SDNDK)+SUMIFS(PS_SOTIEN,PS_TKNO,$E138,PS_NGAY,"&lt;="&amp;G$1))-(SUMIF(MA_TAIKHOAN,$E138,SDCDK)+SUMIFs(PS_SOTIEN,PS_TKCO,$E138,PS_NGAY,"&lt;="&amp;G$1))</f>
        <v>#N/A</v>
      </c>
      <c r="V138" s="1993" t="str">
        <f t="shared" ref="V138:X138" si="346">(SUMIF(MA_TAIKHOAN,$E138,SDNDK)+SUMIFS(PS_SOTIEN,PS_TKNO,$E138,PS_NGAY,"&lt;="&amp;S$1))-(SUMIF(MA_TAIKHOAN,$E138,SDCDK)+SUMIFs(PS_SOTIEN,PS_TKCO,$E138,PS_NGAY,"&lt;="&amp;S$1))</f>
        <v>#N/A</v>
      </c>
      <c r="W138" s="1993" t="str">
        <f t="shared" si="346"/>
        <v>#N/A</v>
      </c>
      <c r="X138" s="1993" t="str">
        <f t="shared" si="346"/>
        <v>#N/A</v>
      </c>
      <c r="Y138" s="1989">
        <f t="shared" si="39"/>
        <v>105</v>
      </c>
    </row>
    <row r="139">
      <c r="A139" s="1551">
        <v>520.0</v>
      </c>
      <c r="B139" s="1552" t="s">
        <v>3393</v>
      </c>
      <c r="C139" s="1553" t="s">
        <v>3394</v>
      </c>
      <c r="D139" s="1554" t="s">
        <v>3395</v>
      </c>
      <c r="E139" s="1555" t="s">
        <v>2214</v>
      </c>
      <c r="F139" s="1994" t="str">
        <f t="shared" si="31"/>
        <v>#N/A</v>
      </c>
      <c r="G139" s="1994" t="str">
        <f t="shared" si="32"/>
        <v>#N/A</v>
      </c>
      <c r="H139" s="1994" t="str">
        <f t="shared" si="33"/>
        <v>#N/A</v>
      </c>
      <c r="I139" s="1994" t="str">
        <f t="shared" si="34"/>
        <v>#N/A</v>
      </c>
      <c r="J139" s="1994" t="str">
        <f t="shared" si="35"/>
        <v>#N/A</v>
      </c>
      <c r="K139" s="1994" t="str">
        <f t="shared" si="36"/>
        <v>#N/A</v>
      </c>
      <c r="L139" s="1994" t="str">
        <f t="shared" si="37"/>
        <v>#N/A</v>
      </c>
      <c r="M139" s="1994" t="str">
        <f t="shared" ref="M139:X139" si="347">M34+M87</f>
        <v>#N/A</v>
      </c>
      <c r="N139" s="1994" t="str">
        <f t="shared" si="347"/>
        <v>#N/A</v>
      </c>
      <c r="O139" s="1994" t="str">
        <f t="shared" si="347"/>
        <v>#N/A</v>
      </c>
      <c r="P139" s="1994" t="str">
        <f t="shared" si="347"/>
        <v>#N/A</v>
      </c>
      <c r="Q139" s="1994" t="str">
        <f t="shared" si="347"/>
        <v>#N/A</v>
      </c>
      <c r="R139" s="1994" t="str">
        <f t="shared" si="347"/>
        <v>#N/A</v>
      </c>
      <c r="S139" s="1994" t="str">
        <f t="shared" si="347"/>
        <v>#N/A</v>
      </c>
      <c r="T139" s="1994" t="str">
        <f t="shared" si="347"/>
        <v>#N/A</v>
      </c>
      <c r="U139" s="1994" t="str">
        <f t="shared" si="347"/>
        <v>#N/A</v>
      </c>
      <c r="V139" s="1994" t="str">
        <f t="shared" si="347"/>
        <v>#N/A</v>
      </c>
      <c r="W139" s="1994" t="str">
        <f t="shared" si="347"/>
        <v>#N/A</v>
      </c>
      <c r="X139" s="1994" t="str">
        <f t="shared" si="347"/>
        <v>#N/A</v>
      </c>
      <c r="Y139" s="1989">
        <f t="shared" si="39"/>
        <v>106</v>
      </c>
    </row>
    <row r="140">
      <c r="A140" s="1562">
        <v>525.0</v>
      </c>
      <c r="B140" s="1563" t="s">
        <v>1938</v>
      </c>
      <c r="C140" s="454"/>
      <c r="D140" s="454"/>
      <c r="E140" s="3"/>
      <c r="F140" s="1955" t="str">
        <f t="shared" si="31"/>
        <v/>
      </c>
      <c r="G140" s="1977" t="str">
        <f t="shared" si="32"/>
        <v/>
      </c>
      <c r="H140" s="1955" t="str">
        <f t="shared" si="33"/>
        <v/>
      </c>
      <c r="I140" s="1995" t="str">
        <f t="shared" si="34"/>
        <v/>
      </c>
      <c r="J140" s="1977" t="str">
        <f t="shared" si="35"/>
        <v/>
      </c>
      <c r="K140" s="1977" t="str">
        <f t="shared" si="36"/>
        <v/>
      </c>
      <c r="L140" s="1955" t="str">
        <f t="shared" si="37"/>
        <v/>
      </c>
      <c r="M140" s="1996"/>
      <c r="N140" s="1997"/>
      <c r="O140" s="1995"/>
      <c r="P140" s="895"/>
      <c r="Q140" s="214"/>
      <c r="R140" s="1977"/>
      <c r="S140" s="1977"/>
      <c r="T140" s="1977"/>
      <c r="U140" s="1977"/>
      <c r="V140" s="1977"/>
      <c r="W140" s="1977"/>
      <c r="X140" s="1955"/>
      <c r="Y140" s="1989">
        <f t="shared" si="39"/>
        <v>107</v>
      </c>
    </row>
    <row r="141">
      <c r="A141" s="1509">
        <v>530.0</v>
      </c>
      <c r="B141" s="1510" t="s">
        <v>3397</v>
      </c>
      <c r="C141" s="1511" t="s">
        <v>3398</v>
      </c>
      <c r="D141" s="1512" t="s">
        <v>3399</v>
      </c>
      <c r="E141" s="1513" t="s">
        <v>2214</v>
      </c>
      <c r="F141" s="1514" t="str">
        <f t="shared" si="31"/>
        <v>#N/A</v>
      </c>
      <c r="G141" s="1990" t="str">
        <f t="shared" si="32"/>
        <v>#N/A</v>
      </c>
      <c r="H141" s="1514" t="str">
        <f t="shared" si="33"/>
        <v>#N/A</v>
      </c>
      <c r="I141" s="1990" t="str">
        <f t="shared" si="34"/>
        <v>#N/A</v>
      </c>
      <c r="J141" s="1990" t="str">
        <f t="shared" si="35"/>
        <v>#N/A</v>
      </c>
      <c r="K141" s="1990" t="str">
        <f t="shared" si="36"/>
        <v>#N/A</v>
      </c>
      <c r="L141" s="1514" t="str">
        <f t="shared" si="37"/>
        <v>#N/A</v>
      </c>
      <c r="M141" s="1990" t="str">
        <f t="shared" ref="M141:X141" si="348">M142+M171</f>
        <v>#N/A</v>
      </c>
      <c r="N141" s="1990" t="str">
        <f t="shared" si="348"/>
        <v>#N/A</v>
      </c>
      <c r="O141" s="1990" t="str">
        <f t="shared" si="348"/>
        <v>#N/A</v>
      </c>
      <c r="P141" s="1990" t="str">
        <f t="shared" si="348"/>
        <v>#N/A</v>
      </c>
      <c r="Q141" s="1990" t="str">
        <f t="shared" si="348"/>
        <v>#N/A</v>
      </c>
      <c r="R141" s="1990" t="str">
        <f t="shared" si="348"/>
        <v>#N/A</v>
      </c>
      <c r="S141" s="1990" t="str">
        <f t="shared" si="348"/>
        <v>#N/A</v>
      </c>
      <c r="T141" s="1990" t="str">
        <f t="shared" si="348"/>
        <v>#N/A</v>
      </c>
      <c r="U141" s="1990" t="str">
        <f t="shared" si="348"/>
        <v>#N/A</v>
      </c>
      <c r="V141" s="1990" t="str">
        <f t="shared" si="348"/>
        <v>#N/A</v>
      </c>
      <c r="W141" s="1990" t="str">
        <f t="shared" si="348"/>
        <v>#N/A</v>
      </c>
      <c r="X141" s="1514" t="str">
        <f t="shared" si="348"/>
        <v>#N/A</v>
      </c>
      <c r="Y141" s="1989">
        <f t="shared" si="39"/>
        <v>108</v>
      </c>
    </row>
    <row r="142">
      <c r="A142" s="1520">
        <v>535.0</v>
      </c>
      <c r="B142" s="1521" t="s">
        <v>3400</v>
      </c>
      <c r="C142" s="1522" t="s">
        <v>3401</v>
      </c>
      <c r="D142" s="1523" t="s">
        <v>3402</v>
      </c>
      <c r="E142" s="1524" t="s">
        <v>2214</v>
      </c>
      <c r="F142" s="1998" t="str">
        <f t="shared" si="31"/>
        <v>#N/A</v>
      </c>
      <c r="G142" s="1991" t="str">
        <f t="shared" si="32"/>
        <v>#N/A</v>
      </c>
      <c r="H142" s="1998" t="str">
        <f t="shared" si="33"/>
        <v>#N/A</v>
      </c>
      <c r="I142" s="1991" t="str">
        <f t="shared" si="34"/>
        <v>#N/A</v>
      </c>
      <c r="J142" s="1991" t="str">
        <f t="shared" si="35"/>
        <v>#N/A</v>
      </c>
      <c r="K142" s="1991" t="str">
        <f t="shared" si="36"/>
        <v>#N/A</v>
      </c>
      <c r="L142" s="1998" t="str">
        <f t="shared" si="37"/>
        <v>#N/A</v>
      </c>
      <c r="M142" s="1991" t="str">
        <f t="shared" ref="M142:X142" si="349">SUM(M143:M147)+SUM(M152:M154)+M164+SUM(M167:M170)</f>
        <v>#N/A</v>
      </c>
      <c r="N142" s="1991" t="str">
        <f t="shared" si="349"/>
        <v>#N/A</v>
      </c>
      <c r="O142" s="1991" t="str">
        <f t="shared" si="349"/>
        <v>#N/A</v>
      </c>
      <c r="P142" s="1991" t="str">
        <f t="shared" si="349"/>
        <v>#N/A</v>
      </c>
      <c r="Q142" s="1991" t="str">
        <f t="shared" si="349"/>
        <v>#N/A</v>
      </c>
      <c r="R142" s="1991" t="str">
        <f t="shared" si="349"/>
        <v>#N/A</v>
      </c>
      <c r="S142" s="1991" t="str">
        <f t="shared" si="349"/>
        <v>#N/A</v>
      </c>
      <c r="T142" s="1991" t="str">
        <f t="shared" si="349"/>
        <v>#N/A</v>
      </c>
      <c r="U142" s="1991" t="str">
        <f t="shared" si="349"/>
        <v>#N/A</v>
      </c>
      <c r="V142" s="1991" t="str">
        <f t="shared" si="349"/>
        <v>#N/A</v>
      </c>
      <c r="W142" s="1991" t="str">
        <f t="shared" si="349"/>
        <v>#N/A</v>
      </c>
      <c r="X142" s="1998" t="str">
        <f t="shared" si="349"/>
        <v>#N/A</v>
      </c>
      <c r="Y142" s="1989">
        <f t="shared" si="39"/>
        <v>109</v>
      </c>
    </row>
    <row r="143">
      <c r="A143" s="1533">
        <v>540.0</v>
      </c>
      <c r="B143" s="1534" t="s">
        <v>3403</v>
      </c>
      <c r="C143" s="1524" t="s">
        <v>3404</v>
      </c>
      <c r="D143" s="1535" t="s">
        <v>2214</v>
      </c>
      <c r="E143" s="1524" t="s">
        <v>1810</v>
      </c>
      <c r="F143" s="1993" t="str">
        <f t="shared" si="31"/>
        <v>#N/A</v>
      </c>
      <c r="G143" s="1993" t="str">
        <f t="shared" si="32"/>
        <v>#N/A</v>
      </c>
      <c r="H143" s="1993" t="str">
        <f t="shared" si="33"/>
        <v>#N/A</v>
      </c>
      <c r="I143" s="1993" t="str">
        <f t="shared" si="34"/>
        <v>#N/A</v>
      </c>
      <c r="J143" s="1993" t="str">
        <f t="shared" si="35"/>
        <v>#N/A</v>
      </c>
      <c r="K143" s="1993" t="str">
        <f t="shared" si="36"/>
        <v>#N/A</v>
      </c>
      <c r="L143" s="1993" t="str">
        <f t="shared" si="37"/>
        <v>#N/A</v>
      </c>
      <c r="M143" s="1993" t="str">
        <f t="shared" ref="M143:O143" si="350">(SUMIF(MA_TAIKHOAN,$E143,SDCDK)+SUMIFs(PS_SOTIEN,PS_TKCO,$E143,PS_NGAY,"&lt;="&amp;M$1))-(SUMIF(MA_TAIKHOAN,$E143,SDNDK)+SUMIFS(PS_SOTIEN,PS_TKNO,$E143,PS_NGAY,"&lt;="&amp;M$1))</f>
        <v>#N/A</v>
      </c>
      <c r="N143" s="1993" t="str">
        <f t="shared" si="350"/>
        <v>#N/A</v>
      </c>
      <c r="O143" s="1993" t="str">
        <f t="shared" si="350"/>
        <v>#N/A</v>
      </c>
      <c r="P143" s="1993" t="str">
        <f t="shared" ref="P143:P147" si="354">(SUMIF(MA_TAIKHOAN,$E143,SDCDK)+SUMIFs(PS_SOTIEN,PS_TKCO,$E143,PS_NGAY,"&lt;="&amp;I$1))-(SUMIF(MA_TAIKHOAN,$E143,SDNDK)+SUMIFS(PS_SOTIEN,PS_TKNO,$E143,PS_NGAY,"&lt;="&amp;I$1))</f>
        <v>#N/A</v>
      </c>
      <c r="Q143" s="1993" t="str">
        <f t="shared" ref="Q143:S143" si="351">(SUMIF(MA_TAIKHOAN,$E143,SDCDK)+SUMIFs(PS_SOTIEN,PS_TKCO,$E143,PS_NGAY,"&lt;="&amp;P$1))-(SUMIF(MA_TAIKHOAN,$E143,SDNDK)+SUMIFS(PS_SOTIEN,PS_TKNO,$E143,PS_NGAY,"&lt;="&amp;P$1))</f>
        <v>#N/A</v>
      </c>
      <c r="R143" s="1993" t="str">
        <f t="shared" si="351"/>
        <v>#N/A</v>
      </c>
      <c r="S143" s="1993" t="str">
        <f t="shared" si="351"/>
        <v>#N/A</v>
      </c>
      <c r="T143" s="1993" t="str">
        <f t="shared" ref="T143:T147" si="356">(SUMIF(MA_TAIKHOAN,$E143,SDCDK)+SUMIFs(PS_SOTIEN,PS_TKCO,$E143,PS_NGAY,"&lt;="&amp;J$1))-(SUMIF(MA_TAIKHOAN,$E143,SDNDK)+SUMIFS(PS_SOTIEN,PS_TKNO,$E143,PS_NGAY,"&lt;="&amp;J$1))</f>
        <v>#N/A</v>
      </c>
      <c r="U143" s="1993" t="str">
        <f t="shared" ref="U143:U147" si="357">(SUMIF(MA_TAIKHOAN,$E143,SDCDK)+SUMIFs(PS_SOTIEN,PS_TKCO,$E143,PS_NGAY,"&lt;="&amp;G$1))-(SUMIF(MA_TAIKHOAN,$E143,SDNDK)+SUMIFS(PS_SOTIEN,PS_TKNO,$E143,PS_NGAY,"&lt;="&amp;G$1))</f>
        <v>#N/A</v>
      </c>
      <c r="V143" s="1993" t="str">
        <f t="shared" ref="V143:X143" si="352">(SUMIF(MA_TAIKHOAN,$E143,SDCDK)+SUMIFs(PS_SOTIEN,PS_TKCO,$E143,PS_NGAY,"&lt;="&amp;S$1))-(SUMIF(MA_TAIKHOAN,$E143,SDNDK)+SUMIFS(PS_SOTIEN,PS_TKNO,$E143,PS_NGAY,"&lt;="&amp;S$1))</f>
        <v>#N/A</v>
      </c>
      <c r="W143" s="1993" t="str">
        <f t="shared" si="352"/>
        <v>#N/A</v>
      </c>
      <c r="X143" s="1993" t="str">
        <f t="shared" si="352"/>
        <v>#N/A</v>
      </c>
      <c r="Y143" s="1989">
        <f t="shared" si="39"/>
        <v>110</v>
      </c>
    </row>
    <row r="144">
      <c r="A144" s="1533">
        <v>545.0</v>
      </c>
      <c r="B144" s="1534" t="s">
        <v>3405</v>
      </c>
      <c r="C144" s="1524" t="s">
        <v>3406</v>
      </c>
      <c r="D144" s="1535" t="s">
        <v>2214</v>
      </c>
      <c r="E144" s="1524" t="s">
        <v>1802</v>
      </c>
      <c r="F144" s="1993" t="str">
        <f t="shared" si="31"/>
        <v>#N/A</v>
      </c>
      <c r="G144" s="1993" t="str">
        <f t="shared" si="32"/>
        <v>#N/A</v>
      </c>
      <c r="H144" s="1993" t="str">
        <f t="shared" si="33"/>
        <v>#N/A</v>
      </c>
      <c r="I144" s="1993" t="str">
        <f t="shared" si="34"/>
        <v>#N/A</v>
      </c>
      <c r="J144" s="1993" t="str">
        <f t="shared" si="35"/>
        <v>#N/A</v>
      </c>
      <c r="K144" s="1993" t="str">
        <f t="shared" si="36"/>
        <v>#N/A</v>
      </c>
      <c r="L144" s="1993" t="str">
        <f t="shared" si="37"/>
        <v>#N/A</v>
      </c>
      <c r="M144" s="1993" t="str">
        <f t="shared" ref="M144:O144" si="353">(SUMIF(MA_TAIKHOAN,$E144,SDCDK)+SUMIFs(PS_SOTIEN,PS_TKCO,$E144,PS_NGAY,"&lt;="&amp;M$1))-(SUMIF(MA_TAIKHOAN,$E144,SDNDK)+SUMIFS(PS_SOTIEN,PS_TKNO,$E144,PS_NGAY,"&lt;="&amp;M$1))</f>
        <v>#N/A</v>
      </c>
      <c r="N144" s="1993" t="str">
        <f t="shared" si="353"/>
        <v>#N/A</v>
      </c>
      <c r="O144" s="1993" t="str">
        <f t="shared" si="353"/>
        <v>#N/A</v>
      </c>
      <c r="P144" s="1993" t="str">
        <f t="shared" si="354"/>
        <v>#N/A</v>
      </c>
      <c r="Q144" s="1993" t="str">
        <f t="shared" ref="Q144:S144" si="355">(SUMIF(MA_TAIKHOAN,$E144,SDCDK)+SUMIFs(PS_SOTIEN,PS_TKCO,$E144,PS_NGAY,"&lt;="&amp;P$1))-(SUMIF(MA_TAIKHOAN,$E144,SDNDK)+SUMIFS(PS_SOTIEN,PS_TKNO,$E144,PS_NGAY,"&lt;="&amp;P$1))</f>
        <v>#N/A</v>
      </c>
      <c r="R144" s="1993" t="str">
        <f t="shared" si="355"/>
        <v>#N/A</v>
      </c>
      <c r="S144" s="1993" t="str">
        <f t="shared" si="355"/>
        <v>#N/A</v>
      </c>
      <c r="T144" s="1993" t="str">
        <f t="shared" si="356"/>
        <v>#N/A</v>
      </c>
      <c r="U144" s="1993" t="str">
        <f t="shared" si="357"/>
        <v>#N/A</v>
      </c>
      <c r="V144" s="1993" t="str">
        <f t="shared" ref="V144:X144" si="358">(SUMIF(MA_TAIKHOAN,$E144,SDCDK)+SUMIFs(PS_SOTIEN,PS_TKCO,$E144,PS_NGAY,"&lt;="&amp;S$1))-(SUMIF(MA_TAIKHOAN,$E144,SDNDK)+SUMIFS(PS_SOTIEN,PS_TKNO,$E144,PS_NGAY,"&lt;="&amp;S$1))</f>
        <v>#N/A</v>
      </c>
      <c r="W144" s="1993" t="str">
        <f t="shared" si="358"/>
        <v>#N/A</v>
      </c>
      <c r="X144" s="1993" t="str">
        <f t="shared" si="358"/>
        <v>#N/A</v>
      </c>
      <c r="Y144" s="1989">
        <f t="shared" si="39"/>
        <v>111</v>
      </c>
    </row>
    <row r="145">
      <c r="A145" s="1533">
        <v>550.0</v>
      </c>
      <c r="B145" s="1534" t="s">
        <v>3407</v>
      </c>
      <c r="C145" s="1524" t="s">
        <v>3408</v>
      </c>
      <c r="D145" s="1535" t="s">
        <v>2214</v>
      </c>
      <c r="E145" s="1524" t="s">
        <v>3105</v>
      </c>
      <c r="F145" s="1993" t="str">
        <f t="shared" si="31"/>
        <v>#N/A</v>
      </c>
      <c r="G145" s="1993" t="str">
        <f t="shared" si="32"/>
        <v>#N/A</v>
      </c>
      <c r="H145" s="1993" t="str">
        <f t="shared" si="33"/>
        <v>#N/A</v>
      </c>
      <c r="I145" s="1993" t="str">
        <f t="shared" si="34"/>
        <v>#N/A</v>
      </c>
      <c r="J145" s="1993" t="str">
        <f t="shared" si="35"/>
        <v>#N/A</v>
      </c>
      <c r="K145" s="1993" t="str">
        <f t="shared" si="36"/>
        <v>#N/A</v>
      </c>
      <c r="L145" s="1993" t="str">
        <f t="shared" si="37"/>
        <v>#N/A</v>
      </c>
      <c r="M145" s="1993" t="str">
        <f t="shared" ref="M145:O145" si="359">(SUMIF(MA_TAIKHOAN,$E145,SDCDK)+SUMIFs(PS_SOTIEN,PS_TKCO,$E145,PS_NGAY,"&lt;="&amp;M$1))-(SUMIF(MA_TAIKHOAN,$E145,SDNDK)+SUMIFS(PS_SOTIEN,PS_TKNO,$E145,PS_NGAY,"&lt;="&amp;M$1))</f>
        <v>#N/A</v>
      </c>
      <c r="N145" s="1993" t="str">
        <f t="shared" si="359"/>
        <v>#N/A</v>
      </c>
      <c r="O145" s="1993" t="str">
        <f t="shared" si="359"/>
        <v>#N/A</v>
      </c>
      <c r="P145" s="1993" t="str">
        <f t="shared" si="354"/>
        <v>#N/A</v>
      </c>
      <c r="Q145" s="1993" t="str">
        <f t="shared" ref="Q145:S145" si="360">(SUMIF(MA_TAIKHOAN,$E145,SDCDK)+SUMIFs(PS_SOTIEN,PS_TKCO,$E145,PS_NGAY,"&lt;="&amp;P$1))-(SUMIF(MA_TAIKHOAN,$E145,SDNDK)+SUMIFS(PS_SOTIEN,PS_TKNO,$E145,PS_NGAY,"&lt;="&amp;P$1))</f>
        <v>#N/A</v>
      </c>
      <c r="R145" s="1993" t="str">
        <f t="shared" si="360"/>
        <v>#N/A</v>
      </c>
      <c r="S145" s="1993" t="str">
        <f t="shared" si="360"/>
        <v>#N/A</v>
      </c>
      <c r="T145" s="1993" t="str">
        <f t="shared" si="356"/>
        <v>#N/A</v>
      </c>
      <c r="U145" s="1993" t="str">
        <f t="shared" si="357"/>
        <v>#N/A</v>
      </c>
      <c r="V145" s="1993" t="str">
        <f t="shared" ref="V145:X145" si="361">(SUMIF(MA_TAIKHOAN,$E145,SDCDK)+SUMIFs(PS_SOTIEN,PS_TKCO,$E145,PS_NGAY,"&lt;="&amp;S$1))-(SUMIF(MA_TAIKHOAN,$E145,SDNDK)+SUMIFS(PS_SOTIEN,PS_TKNO,$E145,PS_NGAY,"&lt;="&amp;S$1))</f>
        <v>#N/A</v>
      </c>
      <c r="W145" s="1993" t="str">
        <f t="shared" si="361"/>
        <v>#N/A</v>
      </c>
      <c r="X145" s="1993" t="str">
        <f t="shared" si="361"/>
        <v>#N/A</v>
      </c>
      <c r="Y145" s="1989">
        <f t="shared" si="39"/>
        <v>112</v>
      </c>
    </row>
    <row r="146">
      <c r="A146" s="1533">
        <v>555.0</v>
      </c>
      <c r="B146" s="1534" t="s">
        <v>3409</v>
      </c>
      <c r="C146" s="1524" t="s">
        <v>3410</v>
      </c>
      <c r="D146" s="1535" t="s">
        <v>2214</v>
      </c>
      <c r="E146" s="1524" t="s">
        <v>3106</v>
      </c>
      <c r="F146" s="1993" t="str">
        <f t="shared" si="31"/>
        <v>#N/A</v>
      </c>
      <c r="G146" s="1993" t="str">
        <f t="shared" si="32"/>
        <v>#N/A</v>
      </c>
      <c r="H146" s="1993" t="str">
        <f t="shared" si="33"/>
        <v>#N/A</v>
      </c>
      <c r="I146" s="1993" t="str">
        <f t="shared" si="34"/>
        <v>#N/A</v>
      </c>
      <c r="J146" s="1993" t="str">
        <f t="shared" si="35"/>
        <v>#N/A</v>
      </c>
      <c r="K146" s="1993" t="str">
        <f t="shared" si="36"/>
        <v>#N/A</v>
      </c>
      <c r="L146" s="1993" t="str">
        <f t="shared" si="37"/>
        <v>#N/A</v>
      </c>
      <c r="M146" s="1993" t="str">
        <f t="shared" ref="M146:O146" si="362">(SUMIF(MA_TAIKHOAN,$E146,SDCDK)+SUMIFs(PS_SOTIEN,PS_TKCO,$E146,PS_NGAY,"&lt;="&amp;M$1))-(SUMIF(MA_TAIKHOAN,$E146,SDNDK)+SUMIFS(PS_SOTIEN,PS_TKNO,$E146,PS_NGAY,"&lt;="&amp;M$1))</f>
        <v>#N/A</v>
      </c>
      <c r="N146" s="1993" t="str">
        <f t="shared" si="362"/>
        <v>#N/A</v>
      </c>
      <c r="O146" s="1993" t="str">
        <f t="shared" si="362"/>
        <v>#N/A</v>
      </c>
      <c r="P146" s="1993" t="str">
        <f t="shared" si="354"/>
        <v>#N/A</v>
      </c>
      <c r="Q146" s="1993" t="str">
        <f t="shared" ref="Q146:S146" si="363">(SUMIF(MA_TAIKHOAN,$E146,SDCDK)+SUMIFs(PS_SOTIEN,PS_TKCO,$E146,PS_NGAY,"&lt;="&amp;P$1))-(SUMIF(MA_TAIKHOAN,$E146,SDNDK)+SUMIFS(PS_SOTIEN,PS_TKNO,$E146,PS_NGAY,"&lt;="&amp;P$1))</f>
        <v>#N/A</v>
      </c>
      <c r="R146" s="1993" t="str">
        <f t="shared" si="363"/>
        <v>#N/A</v>
      </c>
      <c r="S146" s="1993" t="str">
        <f t="shared" si="363"/>
        <v>#N/A</v>
      </c>
      <c r="T146" s="1993" t="str">
        <f t="shared" si="356"/>
        <v>#N/A</v>
      </c>
      <c r="U146" s="1993" t="str">
        <f t="shared" si="357"/>
        <v>#N/A</v>
      </c>
      <c r="V146" s="1993" t="str">
        <f t="shared" ref="V146:X146" si="364">(SUMIF(MA_TAIKHOAN,$E146,SDCDK)+SUMIFs(PS_SOTIEN,PS_TKCO,$E146,PS_NGAY,"&lt;="&amp;S$1))-(SUMIF(MA_TAIKHOAN,$E146,SDNDK)+SUMIFS(PS_SOTIEN,PS_TKNO,$E146,PS_NGAY,"&lt;="&amp;S$1))</f>
        <v>#N/A</v>
      </c>
      <c r="W146" s="1993" t="str">
        <f t="shared" si="364"/>
        <v>#N/A</v>
      </c>
      <c r="X146" s="1993" t="str">
        <f t="shared" si="364"/>
        <v>#N/A</v>
      </c>
      <c r="Y146" s="1989">
        <f t="shared" si="39"/>
        <v>113</v>
      </c>
    </row>
    <row r="147">
      <c r="A147" s="1533">
        <v>560.0</v>
      </c>
      <c r="B147" s="1534" t="s">
        <v>3411</v>
      </c>
      <c r="C147" s="1524" t="s">
        <v>3412</v>
      </c>
      <c r="D147" s="1535" t="s">
        <v>2214</v>
      </c>
      <c r="E147" s="1524" t="s">
        <v>3118</v>
      </c>
      <c r="F147" s="1993" t="str">
        <f t="shared" si="31"/>
        <v>#N/A</v>
      </c>
      <c r="G147" s="1993" t="str">
        <f t="shared" si="32"/>
        <v>#N/A</v>
      </c>
      <c r="H147" s="1993" t="str">
        <f t="shared" si="33"/>
        <v>#N/A</v>
      </c>
      <c r="I147" s="1993" t="str">
        <f t="shared" si="34"/>
        <v>#N/A</v>
      </c>
      <c r="J147" s="1993" t="str">
        <f t="shared" si="35"/>
        <v>#N/A</v>
      </c>
      <c r="K147" s="1993" t="str">
        <f t="shared" si="36"/>
        <v>#N/A</v>
      </c>
      <c r="L147" s="1993" t="str">
        <f t="shared" si="37"/>
        <v>#N/A</v>
      </c>
      <c r="M147" s="1993" t="str">
        <f t="shared" ref="M147:O147" si="365">(SUMIF(MA_TAIKHOAN,$E147,SDCDK)+SUMIFs(PS_SOTIEN,PS_TKCO,$E147,PS_NGAY,"&lt;="&amp;M$1))-(SUMIF(MA_TAIKHOAN,$E147,SDNDK)+SUMIFS(PS_SOTIEN,PS_TKNO,$E147,PS_NGAY,"&lt;="&amp;M$1))</f>
        <v>#N/A</v>
      </c>
      <c r="N147" s="1993" t="str">
        <f t="shared" si="365"/>
        <v>#N/A</v>
      </c>
      <c r="O147" s="1993" t="str">
        <f t="shared" si="365"/>
        <v>#N/A</v>
      </c>
      <c r="P147" s="1993" t="str">
        <f t="shared" si="354"/>
        <v>#N/A</v>
      </c>
      <c r="Q147" s="1993" t="str">
        <f t="shared" ref="Q147:S147" si="366">(SUMIF(MA_TAIKHOAN,$E147,SDCDK)+SUMIFs(PS_SOTIEN,PS_TKCO,$E147,PS_NGAY,"&lt;="&amp;P$1))-(SUMIF(MA_TAIKHOAN,$E147,SDNDK)+SUMIFS(PS_SOTIEN,PS_TKNO,$E147,PS_NGAY,"&lt;="&amp;P$1))</f>
        <v>#N/A</v>
      </c>
      <c r="R147" s="1993" t="str">
        <f t="shared" si="366"/>
        <v>#N/A</v>
      </c>
      <c r="S147" s="1993" t="str">
        <f t="shared" si="366"/>
        <v>#N/A</v>
      </c>
      <c r="T147" s="1993" t="str">
        <f t="shared" si="356"/>
        <v>#N/A</v>
      </c>
      <c r="U147" s="1993" t="str">
        <f t="shared" si="357"/>
        <v>#N/A</v>
      </c>
      <c r="V147" s="1993" t="str">
        <f t="shared" ref="V147:X147" si="367">(SUMIF(MA_TAIKHOAN,$E147,SDCDK)+SUMIFs(PS_SOTIEN,PS_TKCO,$E147,PS_NGAY,"&lt;="&amp;S$1))-(SUMIF(MA_TAIKHOAN,$E147,SDNDK)+SUMIFS(PS_SOTIEN,PS_TKNO,$E147,PS_NGAY,"&lt;="&amp;S$1))</f>
        <v>#N/A</v>
      </c>
      <c r="W147" s="1993" t="str">
        <f t="shared" si="367"/>
        <v>#N/A</v>
      </c>
      <c r="X147" s="1993" t="str">
        <f t="shared" si="367"/>
        <v>#N/A</v>
      </c>
      <c r="Y147" s="1989">
        <f t="shared" si="39"/>
        <v>114</v>
      </c>
    </row>
    <row r="148">
      <c r="A148" s="1533">
        <v>565.0</v>
      </c>
      <c r="B148" s="1534" t="s">
        <v>3413</v>
      </c>
      <c r="C148" s="1524" t="s">
        <v>3414</v>
      </c>
      <c r="D148" s="1535" t="s">
        <v>3415</v>
      </c>
      <c r="E148" s="1524" t="s">
        <v>2214</v>
      </c>
      <c r="F148" s="1999" t="str">
        <f t="shared" si="31"/>
        <v>#N/A</v>
      </c>
      <c r="G148" s="1990" t="str">
        <f t="shared" si="32"/>
        <v>#N/A</v>
      </c>
      <c r="H148" s="1999" t="str">
        <f t="shared" si="33"/>
        <v>#N/A</v>
      </c>
      <c r="I148" s="1990" t="str">
        <f t="shared" si="34"/>
        <v>#N/A</v>
      </c>
      <c r="J148" s="1990" t="str">
        <f t="shared" si="35"/>
        <v>#N/A</v>
      </c>
      <c r="K148" s="1990" t="str">
        <f t="shared" si="36"/>
        <v>#N/A</v>
      </c>
      <c r="L148" s="1999" t="str">
        <f t="shared" si="37"/>
        <v>#N/A</v>
      </c>
      <c r="M148" s="1990" t="str">
        <f t="shared" ref="M148:X148" si="368">SUM(M149:M151)</f>
        <v>#N/A</v>
      </c>
      <c r="N148" s="1990" t="str">
        <f t="shared" si="368"/>
        <v>#N/A</v>
      </c>
      <c r="O148" s="1990" t="str">
        <f t="shared" si="368"/>
        <v>#N/A</v>
      </c>
      <c r="P148" s="1990" t="str">
        <f t="shared" si="368"/>
        <v>#N/A</v>
      </c>
      <c r="Q148" s="1990" t="str">
        <f t="shared" si="368"/>
        <v>#N/A</v>
      </c>
      <c r="R148" s="1990" t="str">
        <f t="shared" si="368"/>
        <v>#N/A</v>
      </c>
      <c r="S148" s="1990" t="str">
        <f t="shared" si="368"/>
        <v>#N/A</v>
      </c>
      <c r="T148" s="1990" t="str">
        <f t="shared" si="368"/>
        <v>#N/A</v>
      </c>
      <c r="U148" s="1990" t="str">
        <f t="shared" si="368"/>
        <v>#N/A</v>
      </c>
      <c r="V148" s="1990" t="str">
        <f t="shared" si="368"/>
        <v>#N/A</v>
      </c>
      <c r="W148" s="1990" t="str">
        <f t="shared" si="368"/>
        <v>#N/A</v>
      </c>
      <c r="X148" s="1999" t="str">
        <f t="shared" si="368"/>
        <v>#N/A</v>
      </c>
      <c r="Y148" s="1989">
        <f t="shared" si="39"/>
        <v>115</v>
      </c>
    </row>
    <row r="149">
      <c r="A149" s="1533">
        <v>570.0</v>
      </c>
      <c r="B149" s="1534" t="s">
        <v>3416</v>
      </c>
      <c r="C149" s="1524" t="s">
        <v>2214</v>
      </c>
      <c r="D149" s="1535" t="s">
        <v>2214</v>
      </c>
      <c r="E149" s="1524" t="s">
        <v>3120</v>
      </c>
      <c r="F149" s="1992" t="str">
        <f t="shared" si="31"/>
        <v>#N/A</v>
      </c>
      <c r="G149" s="1992" t="str">
        <f t="shared" si="32"/>
        <v>#N/A</v>
      </c>
      <c r="H149" s="1992" t="str">
        <f t="shared" si="33"/>
        <v>#N/A</v>
      </c>
      <c r="I149" s="1992" t="str">
        <f t="shared" si="34"/>
        <v>#N/A</v>
      </c>
      <c r="J149" s="1992" t="str">
        <f t="shared" si="35"/>
        <v>#N/A</v>
      </c>
      <c r="K149" s="1992" t="str">
        <f t="shared" si="36"/>
        <v>#N/A</v>
      </c>
      <c r="L149" s="1992" t="str">
        <f t="shared" si="37"/>
        <v>#N/A</v>
      </c>
      <c r="M149" s="1992" t="str">
        <f t="shared" ref="M149:O149" si="369">(SUMIF(MA_TAIKHOAN,$E149,SDCDK)+SUMIFs(PS_SOTIEN,PS_TKCO,$E149,PS_NGAY,"&lt;="&amp;M$1))-(SUMIF(MA_TAIKHOAN,$E149,SDNDK)+SUMIFS(PS_SOTIEN,PS_TKNO,$E149,PS_NGAY,"&lt;="&amp;M$1))</f>
        <v>#N/A</v>
      </c>
      <c r="N149" s="1992" t="str">
        <f t="shared" si="369"/>
        <v>#N/A</v>
      </c>
      <c r="O149" s="1992" t="str">
        <f t="shared" si="369"/>
        <v>#N/A</v>
      </c>
      <c r="P149" s="1992" t="str">
        <f t="shared" ref="P149:P153" si="373">(SUMIF(MA_TAIKHOAN,$E149,SDCDK)+SUMIFs(PS_SOTIEN,PS_TKCO,$E149,PS_NGAY,"&lt;="&amp;I$1))-(SUMIF(MA_TAIKHOAN,$E149,SDNDK)+SUMIFS(PS_SOTIEN,PS_TKNO,$E149,PS_NGAY,"&lt;="&amp;I$1))</f>
        <v>#N/A</v>
      </c>
      <c r="Q149" s="1992" t="str">
        <f t="shared" ref="Q149:S149" si="370">(SUMIF(MA_TAIKHOAN,$E149,SDCDK)+SUMIFs(PS_SOTIEN,PS_TKCO,$E149,PS_NGAY,"&lt;="&amp;P$1))-(SUMIF(MA_TAIKHOAN,$E149,SDNDK)+SUMIFS(PS_SOTIEN,PS_TKNO,$E149,PS_NGAY,"&lt;="&amp;P$1))</f>
        <v>#N/A</v>
      </c>
      <c r="R149" s="1992" t="str">
        <f t="shared" si="370"/>
        <v>#N/A</v>
      </c>
      <c r="S149" s="1992" t="str">
        <f t="shared" si="370"/>
        <v>#N/A</v>
      </c>
      <c r="T149" s="1992" t="str">
        <f t="shared" ref="T149:T153" si="375">(SUMIF(MA_TAIKHOAN,$E149,SDCDK)+SUMIFs(PS_SOTIEN,PS_TKCO,$E149,PS_NGAY,"&lt;="&amp;J$1))-(SUMIF(MA_TAIKHOAN,$E149,SDNDK)+SUMIFS(PS_SOTIEN,PS_TKNO,$E149,PS_NGAY,"&lt;="&amp;J$1))</f>
        <v>#N/A</v>
      </c>
      <c r="U149" s="1992" t="str">
        <f t="shared" ref="U149:U153" si="376">(SUMIF(MA_TAIKHOAN,$E149,SDCDK)+SUMIFs(PS_SOTIEN,PS_TKCO,$E149,PS_NGAY,"&lt;="&amp;G$1))-(SUMIF(MA_TAIKHOAN,$E149,SDNDK)+SUMIFS(PS_SOTIEN,PS_TKNO,$E149,PS_NGAY,"&lt;="&amp;G$1))</f>
        <v>#N/A</v>
      </c>
      <c r="V149" s="1992" t="str">
        <f t="shared" ref="V149:X149" si="371">(SUMIF(MA_TAIKHOAN,$E149,SDCDK)+SUMIFs(PS_SOTIEN,PS_TKCO,$E149,PS_NGAY,"&lt;="&amp;S$1))-(SUMIF(MA_TAIKHOAN,$E149,SDNDK)+SUMIFS(PS_SOTIEN,PS_TKNO,$E149,PS_NGAY,"&lt;="&amp;S$1))</f>
        <v>#N/A</v>
      </c>
      <c r="W149" s="1992" t="str">
        <f t="shared" si="371"/>
        <v>#N/A</v>
      </c>
      <c r="X149" s="1992" t="str">
        <f t="shared" si="371"/>
        <v>#N/A</v>
      </c>
      <c r="Y149" s="1989">
        <f t="shared" si="39"/>
        <v>116</v>
      </c>
    </row>
    <row r="150">
      <c r="A150" s="1533">
        <v>575.0</v>
      </c>
      <c r="B150" s="1534" t="s">
        <v>3417</v>
      </c>
      <c r="C150" s="1524" t="s">
        <v>2214</v>
      </c>
      <c r="D150" s="1535" t="s">
        <v>2214</v>
      </c>
      <c r="E150" s="1524" t="s">
        <v>3121</v>
      </c>
      <c r="F150" s="1992" t="str">
        <f t="shared" si="31"/>
        <v>#N/A</v>
      </c>
      <c r="G150" s="1992" t="str">
        <f t="shared" si="32"/>
        <v>#N/A</v>
      </c>
      <c r="H150" s="1992" t="str">
        <f t="shared" si="33"/>
        <v>#N/A</v>
      </c>
      <c r="I150" s="1992" t="str">
        <f t="shared" si="34"/>
        <v>#N/A</v>
      </c>
      <c r="J150" s="1992" t="str">
        <f t="shared" si="35"/>
        <v>#N/A</v>
      </c>
      <c r="K150" s="1992" t="str">
        <f t="shared" si="36"/>
        <v>#N/A</v>
      </c>
      <c r="L150" s="1992" t="str">
        <f t="shared" si="37"/>
        <v>#N/A</v>
      </c>
      <c r="M150" s="1992" t="str">
        <f t="shared" ref="M150:O150" si="372">(SUMIF(MA_TAIKHOAN,$E150,SDCDK)+SUMIFs(PS_SOTIEN,PS_TKCO,$E150,PS_NGAY,"&lt;="&amp;M$1))-(SUMIF(MA_TAIKHOAN,$E150,SDNDK)+SUMIFS(PS_SOTIEN,PS_TKNO,$E150,PS_NGAY,"&lt;="&amp;M$1))</f>
        <v>#N/A</v>
      </c>
      <c r="N150" s="1992" t="str">
        <f t="shared" si="372"/>
        <v>#N/A</v>
      </c>
      <c r="O150" s="1992" t="str">
        <f t="shared" si="372"/>
        <v>#N/A</v>
      </c>
      <c r="P150" s="1992" t="str">
        <f t="shared" si="373"/>
        <v>#N/A</v>
      </c>
      <c r="Q150" s="1992" t="str">
        <f t="shared" ref="Q150:S150" si="374">(SUMIF(MA_TAIKHOAN,$E150,SDCDK)+SUMIFs(PS_SOTIEN,PS_TKCO,$E150,PS_NGAY,"&lt;="&amp;P$1))-(SUMIF(MA_TAIKHOAN,$E150,SDNDK)+SUMIFS(PS_SOTIEN,PS_TKNO,$E150,PS_NGAY,"&lt;="&amp;P$1))</f>
        <v>#N/A</v>
      </c>
      <c r="R150" s="1992" t="str">
        <f t="shared" si="374"/>
        <v>#N/A</v>
      </c>
      <c r="S150" s="1992" t="str">
        <f t="shared" si="374"/>
        <v>#N/A</v>
      </c>
      <c r="T150" s="1992" t="str">
        <f t="shared" si="375"/>
        <v>#N/A</v>
      </c>
      <c r="U150" s="1992" t="str">
        <f t="shared" si="376"/>
        <v>#N/A</v>
      </c>
      <c r="V150" s="1992" t="str">
        <f t="shared" ref="V150:X150" si="377">(SUMIF(MA_TAIKHOAN,$E150,SDCDK)+SUMIFs(PS_SOTIEN,PS_TKCO,$E150,PS_NGAY,"&lt;="&amp;S$1))-(SUMIF(MA_TAIKHOAN,$E150,SDNDK)+SUMIFS(PS_SOTIEN,PS_TKNO,$E150,PS_NGAY,"&lt;="&amp;S$1))</f>
        <v>#N/A</v>
      </c>
      <c r="W150" s="1992" t="str">
        <f t="shared" si="377"/>
        <v>#N/A</v>
      </c>
      <c r="X150" s="1992" t="str">
        <f t="shared" si="377"/>
        <v>#N/A</v>
      </c>
      <c r="Y150" s="1989">
        <f t="shared" si="39"/>
        <v>117</v>
      </c>
    </row>
    <row r="151">
      <c r="A151" s="1533">
        <v>580.0</v>
      </c>
      <c r="B151" s="1534" t="s">
        <v>3418</v>
      </c>
      <c r="C151" s="1524" t="s">
        <v>2214</v>
      </c>
      <c r="D151" s="1535" t="s">
        <v>2214</v>
      </c>
      <c r="E151" s="1524" t="s">
        <v>1444</v>
      </c>
      <c r="F151" s="1992" t="str">
        <f t="shared" si="31"/>
        <v>#N/A</v>
      </c>
      <c r="G151" s="1992" t="str">
        <f t="shared" si="32"/>
        <v>#N/A</v>
      </c>
      <c r="H151" s="1992" t="str">
        <f t="shared" si="33"/>
        <v>#N/A</v>
      </c>
      <c r="I151" s="1992" t="str">
        <f t="shared" si="34"/>
        <v>#N/A</v>
      </c>
      <c r="J151" s="1992" t="str">
        <f t="shared" si="35"/>
        <v>#N/A</v>
      </c>
      <c r="K151" s="1992" t="str">
        <f t="shared" si="36"/>
        <v>#N/A</v>
      </c>
      <c r="L151" s="1992" t="str">
        <f t="shared" si="37"/>
        <v>#N/A</v>
      </c>
      <c r="M151" s="1992" t="str">
        <f t="shared" ref="M151:O151" si="378">(SUMIF(MA_TAIKHOAN,$E151,SDCDK)+SUMIFs(PS_SOTIEN,PS_TKCO,$E151,PS_NGAY,"&lt;="&amp;M$1))-(SUMIF(MA_TAIKHOAN,$E151,SDNDK)+SUMIFS(PS_SOTIEN,PS_TKNO,$E151,PS_NGAY,"&lt;="&amp;M$1))</f>
        <v>#N/A</v>
      </c>
      <c r="N151" s="1992" t="str">
        <f t="shared" si="378"/>
        <v>#N/A</v>
      </c>
      <c r="O151" s="1992" t="str">
        <f t="shared" si="378"/>
        <v>#N/A</v>
      </c>
      <c r="P151" s="1992" t="str">
        <f t="shared" si="373"/>
        <v>#N/A</v>
      </c>
      <c r="Q151" s="1992" t="str">
        <f t="shared" ref="Q151:S151" si="379">(SUMIF(MA_TAIKHOAN,$E151,SDCDK)+SUMIFs(PS_SOTIEN,PS_TKCO,$E151,PS_NGAY,"&lt;="&amp;P$1))-(SUMIF(MA_TAIKHOAN,$E151,SDNDK)+SUMIFS(PS_SOTIEN,PS_TKNO,$E151,PS_NGAY,"&lt;="&amp;P$1))</f>
        <v>#N/A</v>
      </c>
      <c r="R151" s="1992" t="str">
        <f t="shared" si="379"/>
        <v>#N/A</v>
      </c>
      <c r="S151" s="1992" t="str">
        <f t="shared" si="379"/>
        <v>#N/A</v>
      </c>
      <c r="T151" s="1992" t="str">
        <f t="shared" si="375"/>
        <v>#N/A</v>
      </c>
      <c r="U151" s="1992" t="str">
        <f t="shared" si="376"/>
        <v>#N/A</v>
      </c>
      <c r="V151" s="1992" t="str">
        <f t="shared" ref="V151:X151" si="380">(SUMIF(MA_TAIKHOAN,$E151,SDCDK)+SUMIFs(PS_SOTIEN,PS_TKCO,$E151,PS_NGAY,"&lt;="&amp;S$1))-(SUMIF(MA_TAIKHOAN,$E151,SDNDK)+SUMIFS(PS_SOTIEN,PS_TKNO,$E151,PS_NGAY,"&lt;="&amp;S$1))</f>
        <v>#N/A</v>
      </c>
      <c r="W151" s="1992" t="str">
        <f t="shared" si="380"/>
        <v>#N/A</v>
      </c>
      <c r="X151" s="1992" t="str">
        <f t="shared" si="380"/>
        <v>#N/A</v>
      </c>
      <c r="Y151" s="1989">
        <f t="shared" si="39"/>
        <v>118</v>
      </c>
    </row>
    <row r="152">
      <c r="A152" s="1533">
        <v>585.0</v>
      </c>
      <c r="B152" s="1534" t="s">
        <v>3419</v>
      </c>
      <c r="C152" s="1524" t="s">
        <v>3420</v>
      </c>
      <c r="D152" s="1535" t="s">
        <v>2214</v>
      </c>
      <c r="E152" s="1524" t="s">
        <v>3122</v>
      </c>
      <c r="F152" s="1993" t="str">
        <f t="shared" si="31"/>
        <v>#N/A</v>
      </c>
      <c r="G152" s="1993" t="str">
        <f t="shared" si="32"/>
        <v>#N/A</v>
      </c>
      <c r="H152" s="1993" t="str">
        <f t="shared" si="33"/>
        <v>#N/A</v>
      </c>
      <c r="I152" s="1993" t="str">
        <f t="shared" si="34"/>
        <v>#N/A</v>
      </c>
      <c r="J152" s="1993" t="str">
        <f t="shared" si="35"/>
        <v>#N/A</v>
      </c>
      <c r="K152" s="1993" t="str">
        <f t="shared" si="36"/>
        <v>#N/A</v>
      </c>
      <c r="L152" s="1993" t="str">
        <f t="shared" si="37"/>
        <v>#N/A</v>
      </c>
      <c r="M152" s="1993" t="str">
        <f t="shared" ref="M152:O152" si="381">(SUMIF(MA_TAIKHOAN,$E152,SDCDK)+SUMIFs(PS_SOTIEN,PS_TKCO,$E152,PS_NGAY,"&lt;="&amp;M$1))-(SUMIF(MA_TAIKHOAN,$E152,SDNDK)+SUMIFS(PS_SOTIEN,PS_TKNO,$E152,PS_NGAY,"&lt;="&amp;M$1))</f>
        <v>#N/A</v>
      </c>
      <c r="N152" s="1993" t="str">
        <f t="shared" si="381"/>
        <v>#N/A</v>
      </c>
      <c r="O152" s="1993" t="str">
        <f t="shared" si="381"/>
        <v>#N/A</v>
      </c>
      <c r="P152" s="1993" t="str">
        <f t="shared" si="373"/>
        <v>#N/A</v>
      </c>
      <c r="Q152" s="1993" t="str">
        <f t="shared" ref="Q152:S152" si="382">(SUMIF(MA_TAIKHOAN,$E152,SDCDK)+SUMIFs(PS_SOTIEN,PS_TKCO,$E152,PS_NGAY,"&lt;="&amp;P$1))-(SUMIF(MA_TAIKHOAN,$E152,SDNDK)+SUMIFS(PS_SOTIEN,PS_TKNO,$E152,PS_NGAY,"&lt;="&amp;P$1))</f>
        <v>#N/A</v>
      </c>
      <c r="R152" s="1993" t="str">
        <f t="shared" si="382"/>
        <v>#N/A</v>
      </c>
      <c r="S152" s="1993" t="str">
        <f t="shared" si="382"/>
        <v>#N/A</v>
      </c>
      <c r="T152" s="1993" t="str">
        <f t="shared" si="375"/>
        <v>#N/A</v>
      </c>
      <c r="U152" s="1993" t="str">
        <f t="shared" si="376"/>
        <v>#N/A</v>
      </c>
      <c r="V152" s="1993" t="str">
        <f t="shared" ref="V152:X152" si="383">(SUMIF(MA_TAIKHOAN,$E152,SDCDK)+SUMIFs(PS_SOTIEN,PS_TKCO,$E152,PS_NGAY,"&lt;="&amp;S$1))-(SUMIF(MA_TAIKHOAN,$E152,SDNDK)+SUMIFS(PS_SOTIEN,PS_TKNO,$E152,PS_NGAY,"&lt;="&amp;S$1))</f>
        <v>#N/A</v>
      </c>
      <c r="W152" s="1993" t="str">
        <f t="shared" si="383"/>
        <v>#N/A</v>
      </c>
      <c r="X152" s="1993" t="str">
        <f t="shared" si="383"/>
        <v>#N/A</v>
      </c>
      <c r="Y152" s="1989">
        <f t="shared" si="39"/>
        <v>119</v>
      </c>
    </row>
    <row r="153">
      <c r="A153" s="1533">
        <v>590.0</v>
      </c>
      <c r="B153" s="1534" t="s">
        <v>3421</v>
      </c>
      <c r="C153" s="1524" t="s">
        <v>3422</v>
      </c>
      <c r="D153" s="1535" t="s">
        <v>2214</v>
      </c>
      <c r="E153" s="1524" t="s">
        <v>1459</v>
      </c>
      <c r="F153" s="1993" t="str">
        <f t="shared" si="31"/>
        <v>#N/A</v>
      </c>
      <c r="G153" s="1993" t="str">
        <f t="shared" si="32"/>
        <v>#N/A</v>
      </c>
      <c r="H153" s="1993" t="str">
        <f t="shared" si="33"/>
        <v>#N/A</v>
      </c>
      <c r="I153" s="1993" t="str">
        <f t="shared" si="34"/>
        <v>#N/A</v>
      </c>
      <c r="J153" s="1993" t="str">
        <f t="shared" si="35"/>
        <v>#N/A</v>
      </c>
      <c r="K153" s="1993" t="str">
        <f t="shared" si="36"/>
        <v>#N/A</v>
      </c>
      <c r="L153" s="1993" t="str">
        <f t="shared" si="37"/>
        <v>#N/A</v>
      </c>
      <c r="M153" s="1993" t="str">
        <f t="shared" ref="M153:O153" si="384">(SUMIF(MA_TAIKHOAN,$E153,SDCDK)+SUMIFs(PS_SOTIEN,PS_TKCO,$E153,PS_NGAY,"&lt;="&amp;M$1))-(SUMIF(MA_TAIKHOAN,$E153,SDNDK)+SUMIFS(PS_SOTIEN,PS_TKNO,$E153,PS_NGAY,"&lt;="&amp;M$1))</f>
        <v>#N/A</v>
      </c>
      <c r="N153" s="1993" t="str">
        <f t="shared" si="384"/>
        <v>#N/A</v>
      </c>
      <c r="O153" s="1993" t="str">
        <f t="shared" si="384"/>
        <v>#N/A</v>
      </c>
      <c r="P153" s="1993" t="str">
        <f t="shared" si="373"/>
        <v>#N/A</v>
      </c>
      <c r="Q153" s="1993" t="str">
        <f t="shared" ref="Q153:S153" si="385">(SUMIF(MA_TAIKHOAN,$E153,SDCDK)+SUMIFs(PS_SOTIEN,PS_TKCO,$E153,PS_NGAY,"&lt;="&amp;P$1))-(SUMIF(MA_TAIKHOAN,$E153,SDNDK)+SUMIFS(PS_SOTIEN,PS_TKNO,$E153,PS_NGAY,"&lt;="&amp;P$1))</f>
        <v>#N/A</v>
      </c>
      <c r="R153" s="1993" t="str">
        <f t="shared" si="385"/>
        <v>#N/A</v>
      </c>
      <c r="S153" s="1993" t="str">
        <f t="shared" si="385"/>
        <v>#N/A</v>
      </c>
      <c r="T153" s="1993" t="str">
        <f t="shared" si="375"/>
        <v>#N/A</v>
      </c>
      <c r="U153" s="1993" t="str">
        <f t="shared" si="376"/>
        <v>#N/A</v>
      </c>
      <c r="V153" s="1993" t="str">
        <f t="shared" ref="V153:X153" si="386">(SUMIF(MA_TAIKHOAN,$E153,SDCDK)+SUMIFs(PS_SOTIEN,PS_TKCO,$E153,PS_NGAY,"&lt;="&amp;S$1))-(SUMIF(MA_TAIKHOAN,$E153,SDNDK)+SUMIFS(PS_SOTIEN,PS_TKNO,$E153,PS_NGAY,"&lt;="&amp;S$1))</f>
        <v>#N/A</v>
      </c>
      <c r="W153" s="1993" t="str">
        <f t="shared" si="386"/>
        <v>#N/A</v>
      </c>
      <c r="X153" s="1993" t="str">
        <f t="shared" si="386"/>
        <v>#N/A</v>
      </c>
      <c r="Y153" s="1989">
        <f t="shared" si="39"/>
        <v>120</v>
      </c>
    </row>
    <row r="154">
      <c r="A154" s="1533">
        <v>595.0</v>
      </c>
      <c r="B154" s="1534" t="s">
        <v>3423</v>
      </c>
      <c r="C154" s="1524" t="s">
        <v>3424</v>
      </c>
      <c r="D154" s="1535" t="s">
        <v>3425</v>
      </c>
      <c r="E154" s="1524" t="s">
        <v>2214</v>
      </c>
      <c r="F154" s="1999" t="str">
        <f t="shared" si="31"/>
        <v>#N/A</v>
      </c>
      <c r="G154" s="1990" t="str">
        <f t="shared" si="32"/>
        <v>#N/A</v>
      </c>
      <c r="H154" s="1999" t="str">
        <f t="shared" si="33"/>
        <v>#N/A</v>
      </c>
      <c r="I154" s="1990" t="str">
        <f t="shared" si="34"/>
        <v>#N/A</v>
      </c>
      <c r="J154" s="1990" t="str">
        <f t="shared" si="35"/>
        <v>#N/A</v>
      </c>
      <c r="K154" s="1990" t="str">
        <f t="shared" si="36"/>
        <v>#N/A</v>
      </c>
      <c r="L154" s="1999" t="str">
        <f t="shared" si="37"/>
        <v>#N/A</v>
      </c>
      <c r="M154" s="1990" t="str">
        <f t="shared" ref="M154:X154" si="387">SUM(M155:M163)</f>
        <v>#N/A</v>
      </c>
      <c r="N154" s="1990" t="str">
        <f t="shared" si="387"/>
        <v>#N/A</v>
      </c>
      <c r="O154" s="1990" t="str">
        <f t="shared" si="387"/>
        <v>#N/A</v>
      </c>
      <c r="P154" s="1990" t="str">
        <f t="shared" si="387"/>
        <v>#N/A</v>
      </c>
      <c r="Q154" s="1990" t="str">
        <f t="shared" si="387"/>
        <v>#N/A</v>
      </c>
      <c r="R154" s="1990" t="str">
        <f t="shared" si="387"/>
        <v>#N/A</v>
      </c>
      <c r="S154" s="1990" t="str">
        <f t="shared" si="387"/>
        <v>#N/A</v>
      </c>
      <c r="T154" s="1990" t="str">
        <f t="shared" si="387"/>
        <v>#N/A</v>
      </c>
      <c r="U154" s="1990" t="str">
        <f t="shared" si="387"/>
        <v>#N/A</v>
      </c>
      <c r="V154" s="1990" t="str">
        <f t="shared" si="387"/>
        <v>#N/A</v>
      </c>
      <c r="W154" s="1990" t="str">
        <f t="shared" si="387"/>
        <v>#N/A</v>
      </c>
      <c r="X154" s="1999" t="str">
        <f t="shared" si="387"/>
        <v>#N/A</v>
      </c>
      <c r="Y154" s="1989">
        <f t="shared" si="39"/>
        <v>121</v>
      </c>
    </row>
    <row r="155">
      <c r="A155" s="1533">
        <v>600.0</v>
      </c>
      <c r="B155" s="1534" t="s">
        <v>3426</v>
      </c>
      <c r="C155" s="1524" t="s">
        <v>2214</v>
      </c>
      <c r="D155" s="1535" t="s">
        <v>2214</v>
      </c>
      <c r="E155" s="1524" t="s">
        <v>1447</v>
      </c>
      <c r="F155" s="1992" t="str">
        <f t="shared" si="31"/>
        <v>#N/A</v>
      </c>
      <c r="G155" s="1992" t="str">
        <f t="shared" si="32"/>
        <v>#N/A</v>
      </c>
      <c r="H155" s="1992" t="str">
        <f t="shared" si="33"/>
        <v>#N/A</v>
      </c>
      <c r="I155" s="1992" t="str">
        <f t="shared" si="34"/>
        <v>#N/A</v>
      </c>
      <c r="J155" s="1992" t="str">
        <f t="shared" si="35"/>
        <v>#N/A</v>
      </c>
      <c r="K155" s="1992" t="str">
        <f t="shared" si="36"/>
        <v>#N/A</v>
      </c>
      <c r="L155" s="1992" t="str">
        <f t="shared" si="37"/>
        <v>#N/A</v>
      </c>
      <c r="M155" s="1992" t="str">
        <f t="shared" ref="M155:O155" si="388">(SUMIF(MA_TAIKHOAN,$E155,SDCDK)+SUMIFs(PS_SOTIEN,PS_TKCO,$E155,PS_NGAY,"&lt;="&amp;M$1))-(SUMIF(MA_TAIKHOAN,$E155,SDNDK)+SUMIFS(PS_SOTIEN,PS_TKNO,$E155,PS_NGAY,"&lt;="&amp;M$1))</f>
        <v>#N/A</v>
      </c>
      <c r="N155" s="1992" t="str">
        <f t="shared" si="388"/>
        <v>#N/A</v>
      </c>
      <c r="O155" s="1992" t="str">
        <f t="shared" si="388"/>
        <v>#N/A</v>
      </c>
      <c r="P155" s="1992" t="str">
        <f t="shared" ref="P155:P163" si="392">(SUMIF(MA_TAIKHOAN,$E155,SDCDK)+SUMIFs(PS_SOTIEN,PS_TKCO,$E155,PS_NGAY,"&lt;="&amp;I$1))-(SUMIF(MA_TAIKHOAN,$E155,SDNDK)+SUMIFS(PS_SOTIEN,PS_TKNO,$E155,PS_NGAY,"&lt;="&amp;I$1))</f>
        <v>#N/A</v>
      </c>
      <c r="Q155" s="1992" t="str">
        <f t="shared" ref="Q155:S155" si="389">(SUMIF(MA_TAIKHOAN,$E155,SDCDK)+SUMIFs(PS_SOTIEN,PS_TKCO,$E155,PS_NGAY,"&lt;="&amp;P$1))-(SUMIF(MA_TAIKHOAN,$E155,SDNDK)+SUMIFS(PS_SOTIEN,PS_TKNO,$E155,PS_NGAY,"&lt;="&amp;P$1))</f>
        <v>#N/A</v>
      </c>
      <c r="R155" s="1992" t="str">
        <f t="shared" si="389"/>
        <v>#N/A</v>
      </c>
      <c r="S155" s="1992" t="str">
        <f t="shared" si="389"/>
        <v>#N/A</v>
      </c>
      <c r="T155" s="1992" t="str">
        <f t="shared" ref="T155:T163" si="394">(SUMIF(MA_TAIKHOAN,$E155,SDCDK)+SUMIFs(PS_SOTIEN,PS_TKCO,$E155,PS_NGAY,"&lt;="&amp;J$1))-(SUMIF(MA_TAIKHOAN,$E155,SDNDK)+SUMIFS(PS_SOTIEN,PS_TKNO,$E155,PS_NGAY,"&lt;="&amp;J$1))</f>
        <v>#N/A</v>
      </c>
      <c r="U155" s="1992" t="str">
        <f t="shared" ref="U155:U163" si="395">(SUMIF(MA_TAIKHOAN,$E155,SDCDK)+SUMIFs(PS_SOTIEN,PS_TKCO,$E155,PS_NGAY,"&lt;="&amp;G$1))-(SUMIF(MA_TAIKHOAN,$E155,SDNDK)+SUMIFS(PS_SOTIEN,PS_TKNO,$E155,PS_NGAY,"&lt;="&amp;G$1))</f>
        <v>#N/A</v>
      </c>
      <c r="V155" s="1992" t="str">
        <f t="shared" ref="V155:X155" si="390">(SUMIF(MA_TAIKHOAN,$E155,SDCDK)+SUMIFs(PS_SOTIEN,PS_TKCO,$E155,PS_NGAY,"&lt;="&amp;S$1))-(SUMIF(MA_TAIKHOAN,$E155,SDNDK)+SUMIFS(PS_SOTIEN,PS_TKNO,$E155,PS_NGAY,"&lt;="&amp;S$1))</f>
        <v>#N/A</v>
      </c>
      <c r="W155" s="1992" t="str">
        <f t="shared" si="390"/>
        <v>#N/A</v>
      </c>
      <c r="X155" s="1992" t="str">
        <f t="shared" si="390"/>
        <v>#N/A</v>
      </c>
      <c r="Y155" s="1989">
        <f t="shared" si="39"/>
        <v>122</v>
      </c>
    </row>
    <row r="156">
      <c r="A156" s="1533">
        <v>605.0</v>
      </c>
      <c r="B156" s="1534" t="s">
        <v>3427</v>
      </c>
      <c r="C156" s="1524" t="s">
        <v>2214</v>
      </c>
      <c r="D156" s="1535" t="s">
        <v>2214</v>
      </c>
      <c r="E156" s="1524" t="s">
        <v>1449</v>
      </c>
      <c r="F156" s="1992" t="str">
        <f t="shared" si="31"/>
        <v>#N/A</v>
      </c>
      <c r="G156" s="1992" t="str">
        <f t="shared" si="32"/>
        <v>#N/A</v>
      </c>
      <c r="H156" s="1992" t="str">
        <f t="shared" si="33"/>
        <v>#N/A</v>
      </c>
      <c r="I156" s="1992" t="str">
        <f t="shared" si="34"/>
        <v>#N/A</v>
      </c>
      <c r="J156" s="1992" t="str">
        <f t="shared" si="35"/>
        <v>#N/A</v>
      </c>
      <c r="K156" s="1992" t="str">
        <f t="shared" si="36"/>
        <v>#N/A</v>
      </c>
      <c r="L156" s="1992" t="str">
        <f t="shared" si="37"/>
        <v>#N/A</v>
      </c>
      <c r="M156" s="1992" t="str">
        <f t="shared" ref="M156:O156" si="391">(SUMIF(MA_TAIKHOAN,$E156,SDCDK)+SUMIFs(PS_SOTIEN,PS_TKCO,$E156,PS_NGAY,"&lt;="&amp;M$1))-(SUMIF(MA_TAIKHOAN,$E156,SDNDK)+SUMIFS(PS_SOTIEN,PS_TKNO,$E156,PS_NGAY,"&lt;="&amp;M$1))</f>
        <v>#N/A</v>
      </c>
      <c r="N156" s="1992" t="str">
        <f t="shared" si="391"/>
        <v>#N/A</v>
      </c>
      <c r="O156" s="1992" t="str">
        <f t="shared" si="391"/>
        <v>#N/A</v>
      </c>
      <c r="P156" s="1992" t="str">
        <f t="shared" si="392"/>
        <v>#N/A</v>
      </c>
      <c r="Q156" s="1992" t="str">
        <f t="shared" ref="Q156:S156" si="393">(SUMIF(MA_TAIKHOAN,$E156,SDCDK)+SUMIFs(PS_SOTIEN,PS_TKCO,$E156,PS_NGAY,"&lt;="&amp;P$1))-(SUMIF(MA_TAIKHOAN,$E156,SDNDK)+SUMIFS(PS_SOTIEN,PS_TKNO,$E156,PS_NGAY,"&lt;="&amp;P$1))</f>
        <v>#N/A</v>
      </c>
      <c r="R156" s="1992" t="str">
        <f t="shared" si="393"/>
        <v>#N/A</v>
      </c>
      <c r="S156" s="1992" t="str">
        <f t="shared" si="393"/>
        <v>#N/A</v>
      </c>
      <c r="T156" s="1992" t="str">
        <f t="shared" si="394"/>
        <v>#N/A</v>
      </c>
      <c r="U156" s="1992" t="str">
        <f t="shared" si="395"/>
        <v>#N/A</v>
      </c>
      <c r="V156" s="1992" t="str">
        <f t="shared" ref="V156:X156" si="396">(SUMIF(MA_TAIKHOAN,$E156,SDCDK)+SUMIFs(PS_SOTIEN,PS_TKCO,$E156,PS_NGAY,"&lt;="&amp;S$1))-(SUMIF(MA_TAIKHOAN,$E156,SDNDK)+SUMIFS(PS_SOTIEN,PS_TKNO,$E156,PS_NGAY,"&lt;="&amp;S$1))</f>
        <v>#N/A</v>
      </c>
      <c r="W156" s="1992" t="str">
        <f t="shared" si="396"/>
        <v>#N/A</v>
      </c>
      <c r="X156" s="1992" t="str">
        <f t="shared" si="396"/>
        <v>#N/A</v>
      </c>
      <c r="Y156" s="1989">
        <f t="shared" si="39"/>
        <v>123</v>
      </c>
    </row>
    <row r="157">
      <c r="A157" s="1533">
        <v>610.0</v>
      </c>
      <c r="B157" s="1534" t="s">
        <v>3428</v>
      </c>
      <c r="C157" s="1524" t="s">
        <v>2214</v>
      </c>
      <c r="D157" s="1535" t="s">
        <v>2214</v>
      </c>
      <c r="E157" s="1524" t="s">
        <v>1451</v>
      </c>
      <c r="F157" s="1992" t="str">
        <f t="shared" si="31"/>
        <v>#N/A</v>
      </c>
      <c r="G157" s="1992" t="str">
        <f t="shared" si="32"/>
        <v>#N/A</v>
      </c>
      <c r="H157" s="1992" t="str">
        <f t="shared" si="33"/>
        <v>#N/A</v>
      </c>
      <c r="I157" s="1992" t="str">
        <f t="shared" si="34"/>
        <v>#N/A</v>
      </c>
      <c r="J157" s="1992" t="str">
        <f t="shared" si="35"/>
        <v>#N/A</v>
      </c>
      <c r="K157" s="1992" t="str">
        <f t="shared" si="36"/>
        <v>#N/A</v>
      </c>
      <c r="L157" s="1992" t="str">
        <f t="shared" si="37"/>
        <v>#N/A</v>
      </c>
      <c r="M157" s="1992" t="str">
        <f t="shared" ref="M157:O157" si="397">(SUMIF(MA_TAIKHOAN,$E157,SDCDK)+SUMIFs(PS_SOTIEN,PS_TKCO,$E157,PS_NGAY,"&lt;="&amp;M$1))-(SUMIF(MA_TAIKHOAN,$E157,SDNDK)+SUMIFS(PS_SOTIEN,PS_TKNO,$E157,PS_NGAY,"&lt;="&amp;M$1))</f>
        <v>#N/A</v>
      </c>
      <c r="N157" s="1992" t="str">
        <f t="shared" si="397"/>
        <v>#N/A</v>
      </c>
      <c r="O157" s="1992" t="str">
        <f t="shared" si="397"/>
        <v>#N/A</v>
      </c>
      <c r="P157" s="1992" t="str">
        <f t="shared" si="392"/>
        <v>#N/A</v>
      </c>
      <c r="Q157" s="1992" t="str">
        <f t="shared" ref="Q157:S157" si="398">(SUMIF(MA_TAIKHOAN,$E157,SDCDK)+SUMIFs(PS_SOTIEN,PS_TKCO,$E157,PS_NGAY,"&lt;="&amp;P$1))-(SUMIF(MA_TAIKHOAN,$E157,SDNDK)+SUMIFS(PS_SOTIEN,PS_TKNO,$E157,PS_NGAY,"&lt;="&amp;P$1))</f>
        <v>#N/A</v>
      </c>
      <c r="R157" s="1992" t="str">
        <f t="shared" si="398"/>
        <v>#N/A</v>
      </c>
      <c r="S157" s="1992" t="str">
        <f t="shared" si="398"/>
        <v>#N/A</v>
      </c>
      <c r="T157" s="1992" t="str">
        <f t="shared" si="394"/>
        <v>#N/A</v>
      </c>
      <c r="U157" s="1992" t="str">
        <f t="shared" si="395"/>
        <v>#N/A</v>
      </c>
      <c r="V157" s="1992" t="str">
        <f t="shared" ref="V157:X157" si="399">(SUMIF(MA_TAIKHOAN,$E157,SDCDK)+SUMIFs(PS_SOTIEN,PS_TKCO,$E157,PS_NGAY,"&lt;="&amp;S$1))-(SUMIF(MA_TAIKHOAN,$E157,SDNDK)+SUMIFS(PS_SOTIEN,PS_TKNO,$E157,PS_NGAY,"&lt;="&amp;S$1))</f>
        <v>#N/A</v>
      </c>
      <c r="W157" s="1992" t="str">
        <f t="shared" si="399"/>
        <v>#N/A</v>
      </c>
      <c r="X157" s="1992" t="str">
        <f t="shared" si="399"/>
        <v>#N/A</v>
      </c>
      <c r="Y157" s="1989">
        <f t="shared" si="39"/>
        <v>124</v>
      </c>
    </row>
    <row r="158">
      <c r="A158" s="1533">
        <v>615.0</v>
      </c>
      <c r="B158" s="1534" t="s">
        <v>3429</v>
      </c>
      <c r="C158" s="1524" t="s">
        <v>2214</v>
      </c>
      <c r="D158" s="1535" t="s">
        <v>2214</v>
      </c>
      <c r="E158" s="1524" t="s">
        <v>1453</v>
      </c>
      <c r="F158" s="1992" t="str">
        <f t="shared" si="31"/>
        <v>#N/A</v>
      </c>
      <c r="G158" s="1992" t="str">
        <f t="shared" si="32"/>
        <v>#N/A</v>
      </c>
      <c r="H158" s="1992" t="str">
        <f t="shared" si="33"/>
        <v>#N/A</v>
      </c>
      <c r="I158" s="1992" t="str">
        <f t="shared" si="34"/>
        <v>#N/A</v>
      </c>
      <c r="J158" s="1992" t="str">
        <f t="shared" si="35"/>
        <v>#N/A</v>
      </c>
      <c r="K158" s="1992" t="str">
        <f t="shared" si="36"/>
        <v>#N/A</v>
      </c>
      <c r="L158" s="1992" t="str">
        <f t="shared" si="37"/>
        <v>#N/A</v>
      </c>
      <c r="M158" s="1992" t="str">
        <f t="shared" ref="M158:O158" si="400">(SUMIF(MA_TAIKHOAN,$E158,SDCDK)+SUMIFs(PS_SOTIEN,PS_TKCO,$E158,PS_NGAY,"&lt;="&amp;M$1))-(SUMIF(MA_TAIKHOAN,$E158,SDNDK)+SUMIFS(PS_SOTIEN,PS_TKNO,$E158,PS_NGAY,"&lt;="&amp;M$1))</f>
        <v>#N/A</v>
      </c>
      <c r="N158" s="1992" t="str">
        <f t="shared" si="400"/>
        <v>#N/A</v>
      </c>
      <c r="O158" s="1992" t="str">
        <f t="shared" si="400"/>
        <v>#N/A</v>
      </c>
      <c r="P158" s="1992" t="str">
        <f t="shared" si="392"/>
        <v>#N/A</v>
      </c>
      <c r="Q158" s="1992" t="str">
        <f t="shared" ref="Q158:S158" si="401">(SUMIF(MA_TAIKHOAN,$E158,SDCDK)+SUMIFs(PS_SOTIEN,PS_TKCO,$E158,PS_NGAY,"&lt;="&amp;P$1))-(SUMIF(MA_TAIKHOAN,$E158,SDNDK)+SUMIFS(PS_SOTIEN,PS_TKNO,$E158,PS_NGAY,"&lt;="&amp;P$1))</f>
        <v>#N/A</v>
      </c>
      <c r="R158" s="1992" t="str">
        <f t="shared" si="401"/>
        <v>#N/A</v>
      </c>
      <c r="S158" s="1992" t="str">
        <f t="shared" si="401"/>
        <v>#N/A</v>
      </c>
      <c r="T158" s="1992" t="str">
        <f t="shared" si="394"/>
        <v>#N/A</v>
      </c>
      <c r="U158" s="1992" t="str">
        <f t="shared" si="395"/>
        <v>#N/A</v>
      </c>
      <c r="V158" s="1992" t="str">
        <f t="shared" ref="V158:X158" si="402">(SUMIF(MA_TAIKHOAN,$E158,SDCDK)+SUMIFs(PS_SOTIEN,PS_TKCO,$E158,PS_NGAY,"&lt;="&amp;S$1))-(SUMIF(MA_TAIKHOAN,$E158,SDNDK)+SUMIFS(PS_SOTIEN,PS_TKNO,$E158,PS_NGAY,"&lt;="&amp;S$1))</f>
        <v>#N/A</v>
      </c>
      <c r="W158" s="1992" t="str">
        <f t="shared" si="402"/>
        <v>#N/A</v>
      </c>
      <c r="X158" s="1992" t="str">
        <f t="shared" si="402"/>
        <v>#N/A</v>
      </c>
      <c r="Y158" s="1989">
        <f t="shared" si="39"/>
        <v>125</v>
      </c>
    </row>
    <row r="159">
      <c r="A159" s="1533">
        <v>620.0</v>
      </c>
      <c r="B159" s="1534" t="s">
        <v>3430</v>
      </c>
      <c r="C159" s="1524" t="s">
        <v>2214</v>
      </c>
      <c r="D159" s="1535" t="s">
        <v>2214</v>
      </c>
      <c r="E159" s="1524" t="s">
        <v>1455</v>
      </c>
      <c r="F159" s="1992" t="str">
        <f t="shared" si="31"/>
        <v>#N/A</v>
      </c>
      <c r="G159" s="1992" t="str">
        <f t="shared" si="32"/>
        <v>#N/A</v>
      </c>
      <c r="H159" s="1992" t="str">
        <f t="shared" si="33"/>
        <v>#N/A</v>
      </c>
      <c r="I159" s="1992" t="str">
        <f t="shared" si="34"/>
        <v>#N/A</v>
      </c>
      <c r="J159" s="1992" t="str">
        <f t="shared" si="35"/>
        <v>#N/A</v>
      </c>
      <c r="K159" s="1992" t="str">
        <f t="shared" si="36"/>
        <v>#N/A</v>
      </c>
      <c r="L159" s="1992" t="str">
        <f t="shared" si="37"/>
        <v>#N/A</v>
      </c>
      <c r="M159" s="1992" t="str">
        <f t="shared" ref="M159:O159" si="403">(SUMIF(MA_TAIKHOAN,$E159,SDCDK)+SUMIFs(PS_SOTIEN,PS_TKCO,$E159,PS_NGAY,"&lt;="&amp;M$1))-(SUMIF(MA_TAIKHOAN,$E159,SDNDK)+SUMIFS(PS_SOTIEN,PS_TKNO,$E159,PS_NGAY,"&lt;="&amp;M$1))</f>
        <v>#N/A</v>
      </c>
      <c r="N159" s="1992" t="str">
        <f t="shared" si="403"/>
        <v>#N/A</v>
      </c>
      <c r="O159" s="1992" t="str">
        <f t="shared" si="403"/>
        <v>#N/A</v>
      </c>
      <c r="P159" s="1992" t="str">
        <f t="shared" si="392"/>
        <v>#N/A</v>
      </c>
      <c r="Q159" s="1992" t="str">
        <f t="shared" ref="Q159:S159" si="404">(SUMIF(MA_TAIKHOAN,$E159,SDCDK)+SUMIFs(PS_SOTIEN,PS_TKCO,$E159,PS_NGAY,"&lt;="&amp;P$1))-(SUMIF(MA_TAIKHOAN,$E159,SDNDK)+SUMIFS(PS_SOTIEN,PS_TKNO,$E159,PS_NGAY,"&lt;="&amp;P$1))</f>
        <v>#N/A</v>
      </c>
      <c r="R159" s="1992" t="str">
        <f t="shared" si="404"/>
        <v>#N/A</v>
      </c>
      <c r="S159" s="1992" t="str">
        <f t="shared" si="404"/>
        <v>#N/A</v>
      </c>
      <c r="T159" s="1992" t="str">
        <f t="shared" si="394"/>
        <v>#N/A</v>
      </c>
      <c r="U159" s="1992" t="str">
        <f t="shared" si="395"/>
        <v>#N/A</v>
      </c>
      <c r="V159" s="1992" t="str">
        <f t="shared" ref="V159:X159" si="405">(SUMIF(MA_TAIKHOAN,$E159,SDCDK)+SUMIFs(PS_SOTIEN,PS_TKCO,$E159,PS_NGAY,"&lt;="&amp;S$1))-(SUMIF(MA_TAIKHOAN,$E159,SDNDK)+SUMIFS(PS_SOTIEN,PS_TKNO,$E159,PS_NGAY,"&lt;="&amp;S$1))</f>
        <v>#N/A</v>
      </c>
      <c r="W159" s="1992" t="str">
        <f t="shared" si="405"/>
        <v>#N/A</v>
      </c>
      <c r="X159" s="1992" t="str">
        <f t="shared" si="405"/>
        <v>#N/A</v>
      </c>
      <c r="Y159" s="1989">
        <f t="shared" si="39"/>
        <v>126</v>
      </c>
    </row>
    <row r="160">
      <c r="A160" s="1533">
        <v>625.0</v>
      </c>
      <c r="B160" s="1534" t="s">
        <v>3431</v>
      </c>
      <c r="C160" s="1524" t="s">
        <v>2214</v>
      </c>
      <c r="D160" s="1535" t="s">
        <v>2214</v>
      </c>
      <c r="E160" s="1524" t="s">
        <v>1457</v>
      </c>
      <c r="F160" s="1992" t="str">
        <f t="shared" si="31"/>
        <v>#N/A</v>
      </c>
      <c r="G160" s="1992" t="str">
        <f t="shared" si="32"/>
        <v>#N/A</v>
      </c>
      <c r="H160" s="1992" t="str">
        <f t="shared" si="33"/>
        <v>#N/A</v>
      </c>
      <c r="I160" s="1992" t="str">
        <f t="shared" si="34"/>
        <v>#N/A</v>
      </c>
      <c r="J160" s="1992" t="str">
        <f t="shared" si="35"/>
        <v>#N/A</v>
      </c>
      <c r="K160" s="1992" t="str">
        <f t="shared" si="36"/>
        <v>#N/A</v>
      </c>
      <c r="L160" s="1992" t="str">
        <f t="shared" si="37"/>
        <v>#N/A</v>
      </c>
      <c r="M160" s="1992" t="str">
        <f t="shared" ref="M160:O160" si="406">(SUMIF(MA_TAIKHOAN,$E160,SDCDK)+SUMIFs(PS_SOTIEN,PS_TKCO,$E160,PS_NGAY,"&lt;="&amp;M$1))-(SUMIF(MA_TAIKHOAN,$E160,SDNDK)+SUMIFS(PS_SOTIEN,PS_TKNO,$E160,PS_NGAY,"&lt;="&amp;M$1))</f>
        <v>#N/A</v>
      </c>
      <c r="N160" s="1992" t="str">
        <f t="shared" si="406"/>
        <v>#N/A</v>
      </c>
      <c r="O160" s="1992" t="str">
        <f t="shared" si="406"/>
        <v>#N/A</v>
      </c>
      <c r="P160" s="1992" t="str">
        <f t="shared" si="392"/>
        <v>#N/A</v>
      </c>
      <c r="Q160" s="1992" t="str">
        <f t="shared" ref="Q160:S160" si="407">(SUMIF(MA_TAIKHOAN,$E160,SDCDK)+SUMIFs(PS_SOTIEN,PS_TKCO,$E160,PS_NGAY,"&lt;="&amp;P$1))-(SUMIF(MA_TAIKHOAN,$E160,SDNDK)+SUMIFS(PS_SOTIEN,PS_TKNO,$E160,PS_NGAY,"&lt;="&amp;P$1))</f>
        <v>#N/A</v>
      </c>
      <c r="R160" s="1992" t="str">
        <f t="shared" si="407"/>
        <v>#N/A</v>
      </c>
      <c r="S160" s="1992" t="str">
        <f t="shared" si="407"/>
        <v>#N/A</v>
      </c>
      <c r="T160" s="1992" t="str">
        <f t="shared" si="394"/>
        <v>#N/A</v>
      </c>
      <c r="U160" s="1992" t="str">
        <f t="shared" si="395"/>
        <v>#N/A</v>
      </c>
      <c r="V160" s="1992" t="str">
        <f t="shared" ref="V160:X160" si="408">(SUMIF(MA_TAIKHOAN,$E160,SDCDK)+SUMIFs(PS_SOTIEN,PS_TKCO,$E160,PS_NGAY,"&lt;="&amp;S$1))-(SUMIF(MA_TAIKHOAN,$E160,SDNDK)+SUMIFS(PS_SOTIEN,PS_TKNO,$E160,PS_NGAY,"&lt;="&amp;S$1))</f>
        <v>#N/A</v>
      </c>
      <c r="W160" s="1992" t="str">
        <f t="shared" si="408"/>
        <v>#N/A</v>
      </c>
      <c r="X160" s="1992" t="str">
        <f t="shared" si="408"/>
        <v>#N/A</v>
      </c>
      <c r="Y160" s="1989">
        <f t="shared" si="39"/>
        <v>127</v>
      </c>
    </row>
    <row r="161">
      <c r="A161" s="1533">
        <v>630.0</v>
      </c>
      <c r="B161" s="1534" t="s">
        <v>3432</v>
      </c>
      <c r="C161" s="1524" t="s">
        <v>2214</v>
      </c>
      <c r="D161" s="1535" t="s">
        <v>2214</v>
      </c>
      <c r="E161" s="1524" t="s">
        <v>1461</v>
      </c>
      <c r="F161" s="1992" t="str">
        <f t="shared" si="31"/>
        <v>#N/A</v>
      </c>
      <c r="G161" s="1992" t="str">
        <f t="shared" si="32"/>
        <v>#N/A</v>
      </c>
      <c r="H161" s="1992" t="str">
        <f t="shared" si="33"/>
        <v>#N/A</v>
      </c>
      <c r="I161" s="1992" t="str">
        <f t="shared" si="34"/>
        <v>#N/A</v>
      </c>
      <c r="J161" s="1992" t="str">
        <f t="shared" si="35"/>
        <v>#N/A</v>
      </c>
      <c r="K161" s="1992" t="str">
        <f t="shared" si="36"/>
        <v>#N/A</v>
      </c>
      <c r="L161" s="1992" t="str">
        <f t="shared" si="37"/>
        <v>#N/A</v>
      </c>
      <c r="M161" s="1992" t="str">
        <f t="shared" ref="M161:O161" si="409">(SUMIF(MA_TAIKHOAN,$E161,SDCDK)+SUMIFs(PS_SOTIEN,PS_TKCO,$E161,PS_NGAY,"&lt;="&amp;M$1))-(SUMIF(MA_TAIKHOAN,$E161,SDNDK)+SUMIFS(PS_SOTIEN,PS_TKNO,$E161,PS_NGAY,"&lt;="&amp;M$1))</f>
        <v>#N/A</v>
      </c>
      <c r="N161" s="1992" t="str">
        <f t="shared" si="409"/>
        <v>#N/A</v>
      </c>
      <c r="O161" s="1992" t="str">
        <f t="shared" si="409"/>
        <v>#N/A</v>
      </c>
      <c r="P161" s="1992" t="str">
        <f t="shared" si="392"/>
        <v>#N/A</v>
      </c>
      <c r="Q161" s="1992" t="str">
        <f t="shared" ref="Q161:S161" si="410">(SUMIF(MA_TAIKHOAN,$E161,SDCDK)+SUMIFs(PS_SOTIEN,PS_TKCO,$E161,PS_NGAY,"&lt;="&amp;P$1))-(SUMIF(MA_TAIKHOAN,$E161,SDNDK)+SUMIFS(PS_SOTIEN,PS_TKNO,$E161,PS_NGAY,"&lt;="&amp;P$1))</f>
        <v>#N/A</v>
      </c>
      <c r="R161" s="1992" t="str">
        <f t="shared" si="410"/>
        <v>#N/A</v>
      </c>
      <c r="S161" s="1992" t="str">
        <f t="shared" si="410"/>
        <v>#N/A</v>
      </c>
      <c r="T161" s="1992" t="str">
        <f t="shared" si="394"/>
        <v>#N/A</v>
      </c>
      <c r="U161" s="1992" t="str">
        <f t="shared" si="395"/>
        <v>#N/A</v>
      </c>
      <c r="V161" s="1992" t="str">
        <f t="shared" ref="V161:X161" si="411">(SUMIF(MA_TAIKHOAN,$E161,SDCDK)+SUMIFs(PS_SOTIEN,PS_TKCO,$E161,PS_NGAY,"&lt;="&amp;S$1))-(SUMIF(MA_TAIKHOAN,$E161,SDNDK)+SUMIFS(PS_SOTIEN,PS_TKNO,$E161,PS_NGAY,"&lt;="&amp;S$1))</f>
        <v>#N/A</v>
      </c>
      <c r="W161" s="1992" t="str">
        <f t="shared" si="411"/>
        <v>#N/A</v>
      </c>
      <c r="X161" s="1992" t="str">
        <f t="shared" si="411"/>
        <v>#N/A</v>
      </c>
      <c r="Y161" s="1989">
        <f t="shared" si="39"/>
        <v>128</v>
      </c>
    </row>
    <row r="162">
      <c r="A162" s="1533">
        <v>635.0</v>
      </c>
      <c r="B162" s="1534" t="s">
        <v>3433</v>
      </c>
      <c r="C162" s="1524" t="s">
        <v>2214</v>
      </c>
      <c r="D162" s="1535" t="s">
        <v>2214</v>
      </c>
      <c r="E162" s="1524" t="s">
        <v>1360</v>
      </c>
      <c r="F162" s="1992" t="str">
        <f t="shared" si="31"/>
        <v>#N/A</v>
      </c>
      <c r="G162" s="1992" t="str">
        <f t="shared" si="32"/>
        <v>#N/A</v>
      </c>
      <c r="H162" s="1992" t="str">
        <f t="shared" si="33"/>
        <v>#N/A</v>
      </c>
      <c r="I162" s="1992" t="str">
        <f t="shared" si="34"/>
        <v>#N/A</v>
      </c>
      <c r="J162" s="1992" t="str">
        <f t="shared" si="35"/>
        <v>#N/A</v>
      </c>
      <c r="K162" s="1992" t="str">
        <f t="shared" si="36"/>
        <v>#N/A</v>
      </c>
      <c r="L162" s="1992" t="str">
        <f t="shared" si="37"/>
        <v>#N/A</v>
      </c>
      <c r="M162" s="1992" t="str">
        <f t="shared" ref="M162:O162" si="412">(SUMIF(MA_TAIKHOAN,$E162,SDCDK)+SUMIFs(PS_SOTIEN,PS_TKCO,$E162,PS_NGAY,"&lt;="&amp;M$1))-(SUMIF(MA_TAIKHOAN,$E162,SDNDK)+SUMIFS(PS_SOTIEN,PS_TKNO,$E162,PS_NGAY,"&lt;="&amp;M$1))</f>
        <v>#N/A</v>
      </c>
      <c r="N162" s="1992" t="str">
        <f t="shared" si="412"/>
        <v>#N/A</v>
      </c>
      <c r="O162" s="1992" t="str">
        <f t="shared" si="412"/>
        <v>#N/A</v>
      </c>
      <c r="P162" s="1992" t="str">
        <f t="shared" si="392"/>
        <v>#N/A</v>
      </c>
      <c r="Q162" s="1992" t="str">
        <f t="shared" ref="Q162:S162" si="413">(SUMIF(MA_TAIKHOAN,$E162,SDCDK)+SUMIFs(PS_SOTIEN,PS_TKCO,$E162,PS_NGAY,"&lt;="&amp;P$1))-(SUMIF(MA_TAIKHOAN,$E162,SDNDK)+SUMIFS(PS_SOTIEN,PS_TKNO,$E162,PS_NGAY,"&lt;="&amp;P$1))</f>
        <v>#N/A</v>
      </c>
      <c r="R162" s="1992" t="str">
        <f t="shared" si="413"/>
        <v>#N/A</v>
      </c>
      <c r="S162" s="1992" t="str">
        <f t="shared" si="413"/>
        <v>#N/A</v>
      </c>
      <c r="T162" s="1992" t="str">
        <f t="shared" si="394"/>
        <v>#N/A</v>
      </c>
      <c r="U162" s="1992" t="str">
        <f t="shared" si="395"/>
        <v>#N/A</v>
      </c>
      <c r="V162" s="1992" t="str">
        <f t="shared" ref="V162:X162" si="414">(SUMIF(MA_TAIKHOAN,$E162,SDCDK)+SUMIFs(PS_SOTIEN,PS_TKCO,$E162,PS_NGAY,"&lt;="&amp;S$1))-(SUMIF(MA_TAIKHOAN,$E162,SDNDK)+SUMIFS(PS_SOTIEN,PS_TKNO,$E162,PS_NGAY,"&lt;="&amp;S$1))</f>
        <v>#N/A</v>
      </c>
      <c r="W162" s="1992" t="str">
        <f t="shared" si="414"/>
        <v>#N/A</v>
      </c>
      <c r="X162" s="1992" t="str">
        <f t="shared" si="414"/>
        <v>#N/A</v>
      </c>
      <c r="Y162" s="1989">
        <f t="shared" si="39"/>
        <v>129</v>
      </c>
    </row>
    <row r="163">
      <c r="A163" s="1533">
        <v>640.0</v>
      </c>
      <c r="B163" s="1534" t="s">
        <v>3434</v>
      </c>
      <c r="C163" s="1524" t="s">
        <v>2214</v>
      </c>
      <c r="D163" s="1535" t="s">
        <v>2214</v>
      </c>
      <c r="E163" s="1524" t="s">
        <v>3138</v>
      </c>
      <c r="F163" s="1992" t="str">
        <f t="shared" si="31"/>
        <v>#N/A</v>
      </c>
      <c r="G163" s="1992" t="str">
        <f t="shared" si="32"/>
        <v>#N/A</v>
      </c>
      <c r="H163" s="1992" t="str">
        <f t="shared" si="33"/>
        <v>#N/A</v>
      </c>
      <c r="I163" s="1992" t="str">
        <f t="shared" si="34"/>
        <v>#N/A</v>
      </c>
      <c r="J163" s="1992" t="str">
        <f t="shared" si="35"/>
        <v>#N/A</v>
      </c>
      <c r="K163" s="1992" t="str">
        <f t="shared" si="36"/>
        <v>#N/A</v>
      </c>
      <c r="L163" s="1992" t="str">
        <f t="shared" si="37"/>
        <v>#N/A</v>
      </c>
      <c r="M163" s="1992" t="str">
        <f t="shared" ref="M163:O163" si="415">(SUMIF(MA_TAIKHOAN,$E163,SDCDK)+SUMIFs(PS_SOTIEN,PS_TKCO,$E163,PS_NGAY,"&lt;="&amp;M$1))-(SUMIF(MA_TAIKHOAN,$E163,SDNDK)+SUMIFS(PS_SOTIEN,PS_TKNO,$E163,PS_NGAY,"&lt;="&amp;M$1))</f>
        <v>#N/A</v>
      </c>
      <c r="N163" s="1992" t="str">
        <f t="shared" si="415"/>
        <v>#N/A</v>
      </c>
      <c r="O163" s="1992" t="str">
        <f t="shared" si="415"/>
        <v>#N/A</v>
      </c>
      <c r="P163" s="1992" t="str">
        <f t="shared" si="392"/>
        <v>#N/A</v>
      </c>
      <c r="Q163" s="1992" t="str">
        <f t="shared" ref="Q163:S163" si="416">(SUMIF(MA_TAIKHOAN,$E163,SDCDK)+SUMIFs(PS_SOTIEN,PS_TKCO,$E163,PS_NGAY,"&lt;="&amp;P$1))-(SUMIF(MA_TAIKHOAN,$E163,SDNDK)+SUMIFS(PS_SOTIEN,PS_TKNO,$E163,PS_NGAY,"&lt;="&amp;P$1))</f>
        <v>#N/A</v>
      </c>
      <c r="R163" s="1992" t="str">
        <f t="shared" si="416"/>
        <v>#N/A</v>
      </c>
      <c r="S163" s="1992" t="str">
        <f t="shared" si="416"/>
        <v>#N/A</v>
      </c>
      <c r="T163" s="1992" t="str">
        <f t="shared" si="394"/>
        <v>#N/A</v>
      </c>
      <c r="U163" s="1992" t="str">
        <f t="shared" si="395"/>
        <v>#N/A</v>
      </c>
      <c r="V163" s="1992" t="str">
        <f t="shared" ref="V163:X163" si="417">(SUMIF(MA_TAIKHOAN,$E163,SDCDK)+SUMIFs(PS_SOTIEN,PS_TKCO,$E163,PS_NGAY,"&lt;="&amp;S$1))-(SUMIF(MA_TAIKHOAN,$E163,SDNDK)+SUMIFS(PS_SOTIEN,PS_TKNO,$E163,PS_NGAY,"&lt;="&amp;S$1))</f>
        <v>#N/A</v>
      </c>
      <c r="W163" s="1992" t="str">
        <f t="shared" si="417"/>
        <v>#N/A</v>
      </c>
      <c r="X163" s="1992" t="str">
        <f t="shared" si="417"/>
        <v>#N/A</v>
      </c>
      <c r="Y163" s="1989">
        <f t="shared" si="39"/>
        <v>130</v>
      </c>
    </row>
    <row r="164">
      <c r="A164" s="1533">
        <v>645.0</v>
      </c>
      <c r="B164" s="1534" t="s">
        <v>3435</v>
      </c>
      <c r="C164" s="1524" t="s">
        <v>3436</v>
      </c>
      <c r="D164" s="1535" t="s">
        <v>3437</v>
      </c>
      <c r="E164" s="1524" t="s">
        <v>2214</v>
      </c>
      <c r="F164" s="1999" t="str">
        <f t="shared" si="31"/>
        <v>#N/A</v>
      </c>
      <c r="G164" s="1990" t="str">
        <f t="shared" si="32"/>
        <v>#N/A</v>
      </c>
      <c r="H164" s="1999" t="str">
        <f t="shared" si="33"/>
        <v>#N/A</v>
      </c>
      <c r="I164" s="1990" t="str">
        <f t="shared" si="34"/>
        <v>#N/A</v>
      </c>
      <c r="J164" s="1990" t="str">
        <f t="shared" si="35"/>
        <v>#N/A</v>
      </c>
      <c r="K164" s="1990" t="str">
        <f t="shared" si="36"/>
        <v>#N/A</v>
      </c>
      <c r="L164" s="1999" t="str">
        <f t="shared" si="37"/>
        <v>#N/A</v>
      </c>
      <c r="M164" s="1990" t="str">
        <f t="shared" ref="M164:X164" si="418">SUM(M165:M166)</f>
        <v>#N/A</v>
      </c>
      <c r="N164" s="1990" t="str">
        <f t="shared" si="418"/>
        <v>#N/A</v>
      </c>
      <c r="O164" s="1990" t="str">
        <f t="shared" si="418"/>
        <v>#N/A</v>
      </c>
      <c r="P164" s="1990" t="str">
        <f t="shared" si="418"/>
        <v>#N/A</v>
      </c>
      <c r="Q164" s="1990" t="str">
        <f t="shared" si="418"/>
        <v>#N/A</v>
      </c>
      <c r="R164" s="1990" t="str">
        <f t="shared" si="418"/>
        <v>#N/A</v>
      </c>
      <c r="S164" s="1990" t="str">
        <f t="shared" si="418"/>
        <v>#N/A</v>
      </c>
      <c r="T164" s="1990" t="str">
        <f t="shared" si="418"/>
        <v>#N/A</v>
      </c>
      <c r="U164" s="1990" t="str">
        <f t="shared" si="418"/>
        <v>#N/A</v>
      </c>
      <c r="V164" s="1990" t="str">
        <f t="shared" si="418"/>
        <v>#N/A</v>
      </c>
      <c r="W164" s="1990" t="str">
        <f t="shared" si="418"/>
        <v>#N/A</v>
      </c>
      <c r="X164" s="1999" t="str">
        <f t="shared" si="418"/>
        <v>#N/A</v>
      </c>
      <c r="Y164" s="1989">
        <f t="shared" si="39"/>
        <v>131</v>
      </c>
    </row>
    <row r="165">
      <c r="A165" s="1533">
        <v>650.0</v>
      </c>
      <c r="B165" s="1534" t="s">
        <v>3438</v>
      </c>
      <c r="C165" s="1524" t="s">
        <v>2214</v>
      </c>
      <c r="D165" s="1535" t="s">
        <v>2214</v>
      </c>
      <c r="E165" s="1524" t="s">
        <v>3126</v>
      </c>
      <c r="F165" s="1992" t="str">
        <f t="shared" si="31"/>
        <v>#N/A</v>
      </c>
      <c r="G165" s="1992" t="str">
        <f t="shared" si="32"/>
        <v>#N/A</v>
      </c>
      <c r="H165" s="1992" t="str">
        <f t="shared" si="33"/>
        <v>#N/A</v>
      </c>
      <c r="I165" s="1992" t="str">
        <f t="shared" si="34"/>
        <v>#N/A</v>
      </c>
      <c r="J165" s="1992" t="str">
        <f t="shared" si="35"/>
        <v>#N/A</v>
      </c>
      <c r="K165" s="1992" t="str">
        <f t="shared" si="36"/>
        <v>#N/A</v>
      </c>
      <c r="L165" s="1992" t="str">
        <f t="shared" si="37"/>
        <v>#N/A</v>
      </c>
      <c r="M165" s="1992" t="str">
        <f t="shared" ref="M165:O165" si="419">(SUMIF(MA_TAIKHOAN,$E165,SDCDK)+SUMIFs(PS_SOTIEN,PS_TKCO,$E165,PS_NGAY,"&lt;="&amp;M$1))-(SUMIF(MA_TAIKHOAN,$E165,SDNDK)+SUMIFS(PS_SOTIEN,PS_TKNO,$E165,PS_NGAY,"&lt;="&amp;M$1))</f>
        <v>#N/A</v>
      </c>
      <c r="N165" s="1992" t="str">
        <f t="shared" si="419"/>
        <v>#N/A</v>
      </c>
      <c r="O165" s="1992" t="str">
        <f t="shared" si="419"/>
        <v>#N/A</v>
      </c>
      <c r="P165" s="1992" t="str">
        <f t="shared" ref="P165:P169" si="423">(SUMIF(MA_TAIKHOAN,$E165,SDCDK)+SUMIFs(PS_SOTIEN,PS_TKCO,$E165,PS_NGAY,"&lt;="&amp;I$1))-(SUMIF(MA_TAIKHOAN,$E165,SDNDK)+SUMIFS(PS_SOTIEN,PS_TKNO,$E165,PS_NGAY,"&lt;="&amp;I$1))</f>
        <v>#N/A</v>
      </c>
      <c r="Q165" s="1992" t="str">
        <f t="shared" ref="Q165:S165" si="420">(SUMIF(MA_TAIKHOAN,$E165,SDCDK)+SUMIFs(PS_SOTIEN,PS_TKCO,$E165,PS_NGAY,"&lt;="&amp;P$1))-(SUMIF(MA_TAIKHOAN,$E165,SDNDK)+SUMIFS(PS_SOTIEN,PS_TKNO,$E165,PS_NGAY,"&lt;="&amp;P$1))</f>
        <v>#N/A</v>
      </c>
      <c r="R165" s="1992" t="str">
        <f t="shared" si="420"/>
        <v>#N/A</v>
      </c>
      <c r="S165" s="1992" t="str">
        <f t="shared" si="420"/>
        <v>#N/A</v>
      </c>
      <c r="T165" s="1992" t="str">
        <f t="shared" ref="T165:T169" si="425">(SUMIF(MA_TAIKHOAN,$E165,SDCDK)+SUMIFs(PS_SOTIEN,PS_TKCO,$E165,PS_NGAY,"&lt;="&amp;J$1))-(SUMIF(MA_TAIKHOAN,$E165,SDNDK)+SUMIFS(PS_SOTIEN,PS_TKNO,$E165,PS_NGAY,"&lt;="&amp;J$1))</f>
        <v>#N/A</v>
      </c>
      <c r="U165" s="1992" t="str">
        <f t="shared" ref="U165:U169" si="426">(SUMIF(MA_TAIKHOAN,$E165,SDCDK)+SUMIFs(PS_SOTIEN,PS_TKCO,$E165,PS_NGAY,"&lt;="&amp;G$1))-(SUMIF(MA_TAIKHOAN,$E165,SDNDK)+SUMIFS(PS_SOTIEN,PS_TKNO,$E165,PS_NGAY,"&lt;="&amp;G$1))</f>
        <v>#N/A</v>
      </c>
      <c r="V165" s="1992" t="str">
        <f t="shared" ref="V165:X165" si="421">(SUMIF(MA_TAIKHOAN,$E165,SDCDK)+SUMIFs(PS_SOTIEN,PS_TKCO,$E165,PS_NGAY,"&lt;="&amp;S$1))-(SUMIF(MA_TAIKHOAN,$E165,SDNDK)+SUMIFS(PS_SOTIEN,PS_TKNO,$E165,PS_NGAY,"&lt;="&amp;S$1))</f>
        <v>#N/A</v>
      </c>
      <c r="W165" s="1992" t="str">
        <f t="shared" si="421"/>
        <v>#N/A</v>
      </c>
      <c r="X165" s="1992" t="str">
        <f t="shared" si="421"/>
        <v>#N/A</v>
      </c>
      <c r="Y165" s="1989">
        <f t="shared" si="39"/>
        <v>132</v>
      </c>
    </row>
    <row r="166">
      <c r="A166" s="1533">
        <v>655.0</v>
      </c>
      <c r="B166" s="1534" t="s">
        <v>3439</v>
      </c>
      <c r="C166" s="1524" t="s">
        <v>2214</v>
      </c>
      <c r="D166" s="1535" t="s">
        <v>2214</v>
      </c>
      <c r="E166" s="1524" t="s">
        <v>3131</v>
      </c>
      <c r="F166" s="1992" t="str">
        <f t="shared" si="31"/>
        <v>#N/A</v>
      </c>
      <c r="G166" s="1992" t="str">
        <f t="shared" si="32"/>
        <v>#N/A</v>
      </c>
      <c r="H166" s="1992" t="str">
        <f t="shared" si="33"/>
        <v>#N/A</v>
      </c>
      <c r="I166" s="1992" t="str">
        <f t="shared" si="34"/>
        <v>#N/A</v>
      </c>
      <c r="J166" s="1992" t="str">
        <f t="shared" si="35"/>
        <v>#N/A</v>
      </c>
      <c r="K166" s="1992" t="str">
        <f t="shared" si="36"/>
        <v>#N/A</v>
      </c>
      <c r="L166" s="1992" t="str">
        <f t="shared" si="37"/>
        <v>#N/A</v>
      </c>
      <c r="M166" s="1992" t="str">
        <f t="shared" ref="M166:O166" si="422">(SUMIF(MA_TAIKHOAN,$E166,SDCDK)+SUMIFs(PS_SOTIEN,PS_TKCO,$E166,PS_NGAY,"&lt;="&amp;M$1))-(SUMIF(MA_TAIKHOAN,$E166,SDNDK)+SUMIFS(PS_SOTIEN,PS_TKNO,$E166,PS_NGAY,"&lt;="&amp;M$1))</f>
        <v>#N/A</v>
      </c>
      <c r="N166" s="1992" t="str">
        <f t="shared" si="422"/>
        <v>#N/A</v>
      </c>
      <c r="O166" s="1992" t="str">
        <f t="shared" si="422"/>
        <v>#N/A</v>
      </c>
      <c r="P166" s="1992" t="str">
        <f t="shared" si="423"/>
        <v>#N/A</v>
      </c>
      <c r="Q166" s="1992" t="str">
        <f t="shared" ref="Q166:S166" si="424">(SUMIF(MA_TAIKHOAN,$E166,SDCDK)+SUMIFs(PS_SOTIEN,PS_TKCO,$E166,PS_NGAY,"&lt;="&amp;P$1))-(SUMIF(MA_TAIKHOAN,$E166,SDNDK)+SUMIFS(PS_SOTIEN,PS_TKNO,$E166,PS_NGAY,"&lt;="&amp;P$1))</f>
        <v>#N/A</v>
      </c>
      <c r="R166" s="1992" t="str">
        <f t="shared" si="424"/>
        <v>#N/A</v>
      </c>
      <c r="S166" s="1992" t="str">
        <f t="shared" si="424"/>
        <v>#N/A</v>
      </c>
      <c r="T166" s="1992" t="str">
        <f t="shared" si="425"/>
        <v>#N/A</v>
      </c>
      <c r="U166" s="1992" t="str">
        <f t="shared" si="426"/>
        <v>#N/A</v>
      </c>
      <c r="V166" s="1992" t="str">
        <f t="shared" ref="V166:X166" si="427">(SUMIF(MA_TAIKHOAN,$E166,SDCDK)+SUMIFs(PS_SOTIEN,PS_TKCO,$E166,PS_NGAY,"&lt;="&amp;S$1))-(SUMIF(MA_TAIKHOAN,$E166,SDNDK)+SUMIFS(PS_SOTIEN,PS_TKNO,$E166,PS_NGAY,"&lt;="&amp;S$1))</f>
        <v>#N/A</v>
      </c>
      <c r="W166" s="1992" t="str">
        <f t="shared" si="427"/>
        <v>#N/A</v>
      </c>
      <c r="X166" s="1992" t="str">
        <f t="shared" si="427"/>
        <v>#N/A</v>
      </c>
      <c r="Y166" s="1989">
        <f t="shared" si="39"/>
        <v>133</v>
      </c>
    </row>
    <row r="167">
      <c r="A167" s="1533">
        <v>660.0</v>
      </c>
      <c r="B167" s="1534" t="s">
        <v>3440</v>
      </c>
      <c r="C167" s="1524" t="s">
        <v>3441</v>
      </c>
      <c r="D167" s="1535" t="s">
        <v>2214</v>
      </c>
      <c r="E167" s="1524" t="s">
        <v>3140</v>
      </c>
      <c r="F167" s="1993" t="str">
        <f t="shared" si="31"/>
        <v>#N/A</v>
      </c>
      <c r="G167" s="1993" t="str">
        <f t="shared" si="32"/>
        <v>#N/A</v>
      </c>
      <c r="H167" s="1993" t="str">
        <f t="shared" si="33"/>
        <v>#N/A</v>
      </c>
      <c r="I167" s="1993" t="str">
        <f t="shared" si="34"/>
        <v>#N/A</v>
      </c>
      <c r="J167" s="1993" t="str">
        <f t="shared" si="35"/>
        <v>#N/A</v>
      </c>
      <c r="K167" s="1993" t="str">
        <f t="shared" si="36"/>
        <v>#N/A</v>
      </c>
      <c r="L167" s="1993" t="str">
        <f t="shared" si="37"/>
        <v>#N/A</v>
      </c>
      <c r="M167" s="1993" t="str">
        <f t="shared" ref="M167:O167" si="428">(SUMIF(MA_TAIKHOAN,$E167,SDCDK)+SUMIFs(PS_SOTIEN,PS_TKCO,$E167,PS_NGAY,"&lt;="&amp;M$1))-(SUMIF(MA_TAIKHOAN,$E167,SDNDK)+SUMIFS(PS_SOTIEN,PS_TKNO,$E167,PS_NGAY,"&lt;="&amp;M$1))</f>
        <v>#N/A</v>
      </c>
      <c r="N167" s="1993" t="str">
        <f t="shared" si="428"/>
        <v>#N/A</v>
      </c>
      <c r="O167" s="1993" t="str">
        <f t="shared" si="428"/>
        <v>#N/A</v>
      </c>
      <c r="P167" s="1993" t="str">
        <f t="shared" si="423"/>
        <v>#N/A</v>
      </c>
      <c r="Q167" s="1993" t="str">
        <f t="shared" ref="Q167:S167" si="429">(SUMIF(MA_TAIKHOAN,$E167,SDCDK)+SUMIFs(PS_SOTIEN,PS_TKCO,$E167,PS_NGAY,"&lt;="&amp;P$1))-(SUMIF(MA_TAIKHOAN,$E167,SDNDK)+SUMIFS(PS_SOTIEN,PS_TKNO,$E167,PS_NGAY,"&lt;="&amp;P$1))</f>
        <v>#N/A</v>
      </c>
      <c r="R167" s="1993" t="str">
        <f t="shared" si="429"/>
        <v>#N/A</v>
      </c>
      <c r="S167" s="1993" t="str">
        <f t="shared" si="429"/>
        <v>#N/A</v>
      </c>
      <c r="T167" s="1993" t="str">
        <f t="shared" si="425"/>
        <v>#N/A</v>
      </c>
      <c r="U167" s="1993" t="str">
        <f t="shared" si="426"/>
        <v>#N/A</v>
      </c>
      <c r="V167" s="1993" t="str">
        <f t="shared" ref="V167:X167" si="430">(SUMIF(MA_TAIKHOAN,$E167,SDCDK)+SUMIFs(PS_SOTIEN,PS_TKCO,$E167,PS_NGAY,"&lt;="&amp;S$1))-(SUMIF(MA_TAIKHOAN,$E167,SDNDK)+SUMIFS(PS_SOTIEN,PS_TKNO,$E167,PS_NGAY,"&lt;="&amp;S$1))</f>
        <v>#N/A</v>
      </c>
      <c r="W167" s="1993" t="str">
        <f t="shared" si="430"/>
        <v>#N/A</v>
      </c>
      <c r="X167" s="1993" t="str">
        <f t="shared" si="430"/>
        <v>#N/A</v>
      </c>
      <c r="Y167" s="1989">
        <f t="shared" si="39"/>
        <v>134</v>
      </c>
    </row>
    <row r="168">
      <c r="A168" s="1533">
        <v>665.0</v>
      </c>
      <c r="B168" s="1534" t="s">
        <v>3442</v>
      </c>
      <c r="C168" s="1524" t="s">
        <v>3443</v>
      </c>
      <c r="D168" s="1535" t="s">
        <v>2214</v>
      </c>
      <c r="E168" s="1524" t="s">
        <v>3142</v>
      </c>
      <c r="F168" s="1993" t="str">
        <f t="shared" si="31"/>
        <v>#N/A</v>
      </c>
      <c r="G168" s="1993" t="str">
        <f t="shared" si="32"/>
        <v>#N/A</v>
      </c>
      <c r="H168" s="1993" t="str">
        <f t="shared" si="33"/>
        <v>#N/A</v>
      </c>
      <c r="I168" s="1993" t="str">
        <f t="shared" si="34"/>
        <v>#N/A</v>
      </c>
      <c r="J168" s="1993" t="str">
        <f t="shared" si="35"/>
        <v>#N/A</v>
      </c>
      <c r="K168" s="1993" t="str">
        <f t="shared" si="36"/>
        <v>#N/A</v>
      </c>
      <c r="L168" s="1993" t="str">
        <f t="shared" si="37"/>
        <v>#N/A</v>
      </c>
      <c r="M168" s="1993" t="str">
        <f t="shared" ref="M168:O168" si="431">(SUMIF(MA_TAIKHOAN,$E168,SDCDK)+SUMIFs(PS_SOTIEN,PS_TKCO,$E168,PS_NGAY,"&lt;="&amp;M$1))-(SUMIF(MA_TAIKHOAN,$E168,SDNDK)+SUMIFS(PS_SOTIEN,PS_TKNO,$E168,PS_NGAY,"&lt;="&amp;M$1))</f>
        <v>#N/A</v>
      </c>
      <c r="N168" s="1993" t="str">
        <f t="shared" si="431"/>
        <v>#N/A</v>
      </c>
      <c r="O168" s="1993" t="str">
        <f t="shared" si="431"/>
        <v>#N/A</v>
      </c>
      <c r="P168" s="1993" t="str">
        <f t="shared" si="423"/>
        <v>#N/A</v>
      </c>
      <c r="Q168" s="1993" t="str">
        <f t="shared" ref="Q168:S168" si="432">(SUMIF(MA_TAIKHOAN,$E168,SDCDK)+SUMIFs(PS_SOTIEN,PS_TKCO,$E168,PS_NGAY,"&lt;="&amp;P$1))-(SUMIF(MA_TAIKHOAN,$E168,SDNDK)+SUMIFS(PS_SOTIEN,PS_TKNO,$E168,PS_NGAY,"&lt;="&amp;P$1))</f>
        <v>#N/A</v>
      </c>
      <c r="R168" s="1993" t="str">
        <f t="shared" si="432"/>
        <v>#N/A</v>
      </c>
      <c r="S168" s="1993" t="str">
        <f t="shared" si="432"/>
        <v>#N/A</v>
      </c>
      <c r="T168" s="1993" t="str">
        <f t="shared" si="425"/>
        <v>#N/A</v>
      </c>
      <c r="U168" s="1993" t="str">
        <f t="shared" si="426"/>
        <v>#N/A</v>
      </c>
      <c r="V168" s="1993" t="str">
        <f t="shared" ref="V168:X168" si="433">(SUMIF(MA_TAIKHOAN,$E168,SDCDK)+SUMIFs(PS_SOTIEN,PS_TKCO,$E168,PS_NGAY,"&lt;="&amp;S$1))-(SUMIF(MA_TAIKHOAN,$E168,SDNDK)+SUMIFS(PS_SOTIEN,PS_TKNO,$E168,PS_NGAY,"&lt;="&amp;S$1))</f>
        <v>#N/A</v>
      </c>
      <c r="W168" s="1993" t="str">
        <f t="shared" si="433"/>
        <v>#N/A</v>
      </c>
      <c r="X168" s="1993" t="str">
        <f t="shared" si="433"/>
        <v>#N/A</v>
      </c>
      <c r="Y168" s="1989">
        <f t="shared" si="39"/>
        <v>135</v>
      </c>
    </row>
    <row r="169">
      <c r="A169" s="1533">
        <v>670.0</v>
      </c>
      <c r="B169" s="1534" t="s">
        <v>3444</v>
      </c>
      <c r="C169" s="1524" t="s">
        <v>3445</v>
      </c>
      <c r="D169" s="1535" t="s">
        <v>2214</v>
      </c>
      <c r="E169" s="1524" t="s">
        <v>3155</v>
      </c>
      <c r="F169" s="1993" t="str">
        <f t="shared" si="31"/>
        <v>#N/A</v>
      </c>
      <c r="G169" s="1993" t="str">
        <f t="shared" si="32"/>
        <v>#N/A</v>
      </c>
      <c r="H169" s="1993" t="str">
        <f t="shared" si="33"/>
        <v>#N/A</v>
      </c>
      <c r="I169" s="1993" t="str">
        <f t="shared" si="34"/>
        <v>#N/A</v>
      </c>
      <c r="J169" s="1993" t="str">
        <f t="shared" si="35"/>
        <v>#N/A</v>
      </c>
      <c r="K169" s="1993" t="str">
        <f t="shared" si="36"/>
        <v>#N/A</v>
      </c>
      <c r="L169" s="1993" t="str">
        <f t="shared" si="37"/>
        <v>#N/A</v>
      </c>
      <c r="M169" s="1993" t="str">
        <f t="shared" ref="M169:O169" si="434">(SUMIF(MA_TAIKHOAN,$E169,SDCDK)+SUMIFs(PS_SOTIEN,PS_TKCO,$E169,PS_NGAY,"&lt;="&amp;M$1))-(SUMIF(MA_TAIKHOAN,$E169,SDNDK)+SUMIFS(PS_SOTIEN,PS_TKNO,$E169,PS_NGAY,"&lt;="&amp;M$1))</f>
        <v>#N/A</v>
      </c>
      <c r="N169" s="1993" t="str">
        <f t="shared" si="434"/>
        <v>#N/A</v>
      </c>
      <c r="O169" s="1993" t="str">
        <f t="shared" si="434"/>
        <v>#N/A</v>
      </c>
      <c r="P169" s="1993" t="str">
        <f t="shared" si="423"/>
        <v>#N/A</v>
      </c>
      <c r="Q169" s="1993" t="str">
        <f t="shared" ref="Q169:S169" si="435">(SUMIF(MA_TAIKHOAN,$E169,SDCDK)+SUMIFs(PS_SOTIEN,PS_TKCO,$E169,PS_NGAY,"&lt;="&amp;P$1))-(SUMIF(MA_TAIKHOAN,$E169,SDNDK)+SUMIFS(PS_SOTIEN,PS_TKNO,$E169,PS_NGAY,"&lt;="&amp;P$1))</f>
        <v>#N/A</v>
      </c>
      <c r="R169" s="1993" t="str">
        <f t="shared" si="435"/>
        <v>#N/A</v>
      </c>
      <c r="S169" s="1993" t="str">
        <f t="shared" si="435"/>
        <v>#N/A</v>
      </c>
      <c r="T169" s="1993" t="str">
        <f t="shared" si="425"/>
        <v>#N/A</v>
      </c>
      <c r="U169" s="1993" t="str">
        <f t="shared" si="426"/>
        <v>#N/A</v>
      </c>
      <c r="V169" s="1993" t="str">
        <f t="shared" ref="V169:X169" si="436">(SUMIF(MA_TAIKHOAN,$E169,SDCDK)+SUMIFs(PS_SOTIEN,PS_TKCO,$E169,PS_NGAY,"&lt;="&amp;S$1))-(SUMIF(MA_TAIKHOAN,$E169,SDNDK)+SUMIFS(PS_SOTIEN,PS_TKNO,$E169,PS_NGAY,"&lt;="&amp;S$1))</f>
        <v>#N/A</v>
      </c>
      <c r="W169" s="1993" t="str">
        <f t="shared" si="436"/>
        <v>#N/A</v>
      </c>
      <c r="X169" s="1993" t="str">
        <f t="shared" si="436"/>
        <v>#N/A</v>
      </c>
      <c r="Y169" s="1989">
        <f t="shared" si="39"/>
        <v>136</v>
      </c>
    </row>
    <row r="170">
      <c r="A170" s="1533">
        <v>675.0</v>
      </c>
      <c r="B170" s="1534" t="s">
        <v>3446</v>
      </c>
      <c r="C170" s="1524" t="s">
        <v>3447</v>
      </c>
      <c r="D170" s="1535" t="s">
        <v>2214</v>
      </c>
      <c r="E170" s="1524" t="s">
        <v>3059</v>
      </c>
      <c r="F170" s="1999" t="str">
        <f t="shared" si="31"/>
        <v>#N/A</v>
      </c>
      <c r="G170" s="1990" t="str">
        <f t="shared" si="32"/>
        <v>#N/A</v>
      </c>
      <c r="H170" s="1999" t="str">
        <f t="shared" si="33"/>
        <v>#N/A</v>
      </c>
      <c r="I170" s="1990" t="str">
        <f t="shared" si="34"/>
        <v>#N/A</v>
      </c>
      <c r="J170" s="1990" t="str">
        <f t="shared" si="35"/>
        <v>#N/A</v>
      </c>
      <c r="K170" s="1990" t="str">
        <f t="shared" si="36"/>
        <v>#N/A</v>
      </c>
      <c r="L170" s="1999" t="str">
        <f t="shared" si="37"/>
        <v>#N/A</v>
      </c>
      <c r="M170" s="1990" t="str">
        <f t="shared" ref="M170:X170" si="437">SUMIF(MA_TAIKHOAN,$E170,SDCCK)</f>
        <v>#N/A</v>
      </c>
      <c r="N170" s="1990" t="str">
        <f t="shared" si="437"/>
        <v>#N/A</v>
      </c>
      <c r="O170" s="1990" t="str">
        <f t="shared" si="437"/>
        <v>#N/A</v>
      </c>
      <c r="P170" s="1990" t="str">
        <f t="shared" si="437"/>
        <v>#N/A</v>
      </c>
      <c r="Q170" s="1990" t="str">
        <f t="shared" si="437"/>
        <v>#N/A</v>
      </c>
      <c r="R170" s="1990" t="str">
        <f t="shared" si="437"/>
        <v>#N/A</v>
      </c>
      <c r="S170" s="1990" t="str">
        <f t="shared" si="437"/>
        <v>#N/A</v>
      </c>
      <c r="T170" s="1990" t="str">
        <f t="shared" si="437"/>
        <v>#N/A</v>
      </c>
      <c r="U170" s="1990" t="str">
        <f t="shared" si="437"/>
        <v>#N/A</v>
      </c>
      <c r="V170" s="1990" t="str">
        <f t="shared" si="437"/>
        <v>#N/A</v>
      </c>
      <c r="W170" s="1990" t="str">
        <f t="shared" si="437"/>
        <v>#N/A</v>
      </c>
      <c r="X170" s="1999" t="str">
        <f t="shared" si="437"/>
        <v>#N/A</v>
      </c>
      <c r="Y170" s="1989">
        <f t="shared" si="39"/>
        <v>137</v>
      </c>
    </row>
    <row r="171">
      <c r="A171" s="1520">
        <v>680.0</v>
      </c>
      <c r="B171" s="1521" t="s">
        <v>3448</v>
      </c>
      <c r="C171" s="1522" t="s">
        <v>3449</v>
      </c>
      <c r="D171" s="1572" t="s">
        <v>3450</v>
      </c>
      <c r="E171" s="1524" t="s">
        <v>2214</v>
      </c>
      <c r="F171" s="1998" t="str">
        <f t="shared" si="31"/>
        <v>#N/A</v>
      </c>
      <c r="G171" s="1991" t="str">
        <f t="shared" si="32"/>
        <v>#N/A</v>
      </c>
      <c r="H171" s="1998" t="str">
        <f t="shared" si="33"/>
        <v>#N/A</v>
      </c>
      <c r="I171" s="1991" t="str">
        <f t="shared" si="34"/>
        <v>#N/A</v>
      </c>
      <c r="J171" s="1991" t="str">
        <f t="shared" si="35"/>
        <v>#N/A</v>
      </c>
      <c r="K171" s="1991" t="str">
        <f t="shared" si="36"/>
        <v>#N/A</v>
      </c>
      <c r="L171" s="1998" t="str">
        <f t="shared" si="37"/>
        <v>#N/A</v>
      </c>
      <c r="M171" s="1991" t="str">
        <f t="shared" ref="M171:X171" si="438">SUM(M172:M176)+SUM(M180:M181)+M184+SUM(M189:M193)</f>
        <v>#N/A</v>
      </c>
      <c r="N171" s="1991" t="str">
        <f t="shared" si="438"/>
        <v>#N/A</v>
      </c>
      <c r="O171" s="1991" t="str">
        <f t="shared" si="438"/>
        <v>#N/A</v>
      </c>
      <c r="P171" s="1991" t="str">
        <f t="shared" si="438"/>
        <v>#N/A</v>
      </c>
      <c r="Q171" s="1991" t="str">
        <f t="shared" si="438"/>
        <v>#N/A</v>
      </c>
      <c r="R171" s="1991" t="str">
        <f t="shared" si="438"/>
        <v>#N/A</v>
      </c>
      <c r="S171" s="1991" t="str">
        <f t="shared" si="438"/>
        <v>#N/A</v>
      </c>
      <c r="T171" s="1991" t="str">
        <f t="shared" si="438"/>
        <v>#N/A</v>
      </c>
      <c r="U171" s="1991" t="str">
        <f t="shared" si="438"/>
        <v>#N/A</v>
      </c>
      <c r="V171" s="1991" t="str">
        <f t="shared" si="438"/>
        <v>#N/A</v>
      </c>
      <c r="W171" s="1991" t="str">
        <f t="shared" si="438"/>
        <v>#N/A</v>
      </c>
      <c r="X171" s="1998" t="str">
        <f t="shared" si="438"/>
        <v>#N/A</v>
      </c>
      <c r="Y171" s="1989">
        <f t="shared" si="39"/>
        <v>138</v>
      </c>
    </row>
    <row r="172">
      <c r="A172" s="1533">
        <v>685.0</v>
      </c>
      <c r="B172" s="1534" t="s">
        <v>3451</v>
      </c>
      <c r="C172" s="1524" t="s">
        <v>3104</v>
      </c>
      <c r="D172" s="1535" t="s">
        <v>2214</v>
      </c>
      <c r="E172" s="1524" t="s">
        <v>3314</v>
      </c>
      <c r="F172" s="1993" t="str">
        <f t="shared" si="31"/>
        <v>#N/A</v>
      </c>
      <c r="G172" s="1993" t="str">
        <f t="shared" si="32"/>
        <v>#N/A</v>
      </c>
      <c r="H172" s="1993" t="str">
        <f t="shared" si="33"/>
        <v>#N/A</v>
      </c>
      <c r="I172" s="1993" t="str">
        <f t="shared" si="34"/>
        <v>#N/A</v>
      </c>
      <c r="J172" s="1993" t="str">
        <f t="shared" si="35"/>
        <v>#N/A</v>
      </c>
      <c r="K172" s="1993" t="str">
        <f t="shared" si="36"/>
        <v>#N/A</v>
      </c>
      <c r="L172" s="1993" t="str">
        <f t="shared" si="37"/>
        <v>#N/A</v>
      </c>
      <c r="M172" s="1993" t="str">
        <f t="shared" ref="M172:O172" si="439">(SUMIF(MA_TAIKHOAN,$E172,SDCDK)+SUMIFs(PS_SOTIEN,PS_TKCO,$E172,PS_NGAY,"&lt;="&amp;M$1))-(SUMIF(MA_TAIKHOAN,$E172,SDNDK)+SUMIFS(PS_SOTIEN,PS_TKNO,$E172,PS_NGAY,"&lt;="&amp;M$1))</f>
        <v>#N/A</v>
      </c>
      <c r="N172" s="1993" t="str">
        <f t="shared" si="439"/>
        <v>#N/A</v>
      </c>
      <c r="O172" s="1993" t="str">
        <f t="shared" si="439"/>
        <v>#N/A</v>
      </c>
      <c r="P172" s="1993" t="str">
        <f t="shared" ref="P172:P175" si="443">(SUMIF(MA_TAIKHOAN,$E172,SDCDK)+SUMIFs(PS_SOTIEN,PS_TKCO,$E172,PS_NGAY,"&lt;="&amp;I$1))-(SUMIF(MA_TAIKHOAN,$E172,SDNDK)+SUMIFS(PS_SOTIEN,PS_TKNO,$E172,PS_NGAY,"&lt;="&amp;I$1))</f>
        <v>#N/A</v>
      </c>
      <c r="Q172" s="1993" t="str">
        <f t="shared" ref="Q172:S172" si="440">(SUMIF(MA_TAIKHOAN,$E172,SDCDK)+SUMIFs(PS_SOTIEN,PS_TKCO,$E172,PS_NGAY,"&lt;="&amp;P$1))-(SUMIF(MA_TAIKHOAN,$E172,SDNDK)+SUMIFS(PS_SOTIEN,PS_TKNO,$E172,PS_NGAY,"&lt;="&amp;P$1))</f>
        <v>#N/A</v>
      </c>
      <c r="R172" s="1993" t="str">
        <f t="shared" si="440"/>
        <v>#N/A</v>
      </c>
      <c r="S172" s="1993" t="str">
        <f t="shared" si="440"/>
        <v>#N/A</v>
      </c>
      <c r="T172" s="1993" t="str">
        <f t="shared" ref="T172:T175" si="445">(SUMIF(MA_TAIKHOAN,$E172,SDCDK)+SUMIFs(PS_SOTIEN,PS_TKCO,$E172,PS_NGAY,"&lt;="&amp;J$1))-(SUMIF(MA_TAIKHOAN,$E172,SDNDK)+SUMIFS(PS_SOTIEN,PS_TKNO,$E172,PS_NGAY,"&lt;="&amp;J$1))</f>
        <v>#N/A</v>
      </c>
      <c r="U172" s="1993" t="str">
        <f t="shared" ref="U172:U175" si="446">(SUMIF(MA_TAIKHOAN,$E172,SDCDK)+SUMIFs(PS_SOTIEN,PS_TKCO,$E172,PS_NGAY,"&lt;="&amp;G$1))-(SUMIF(MA_TAIKHOAN,$E172,SDNDK)+SUMIFS(PS_SOTIEN,PS_TKNO,$E172,PS_NGAY,"&lt;="&amp;G$1))</f>
        <v>#N/A</v>
      </c>
      <c r="V172" s="1993" t="str">
        <f t="shared" ref="V172:X172" si="441">(SUMIF(MA_TAIKHOAN,$E172,SDCDK)+SUMIFs(PS_SOTIEN,PS_TKCO,$E172,PS_NGAY,"&lt;="&amp;S$1))-(SUMIF(MA_TAIKHOAN,$E172,SDNDK)+SUMIFS(PS_SOTIEN,PS_TKNO,$E172,PS_NGAY,"&lt;="&amp;S$1))</f>
        <v>#N/A</v>
      </c>
      <c r="W172" s="1993" t="str">
        <f t="shared" si="441"/>
        <v>#N/A</v>
      </c>
      <c r="X172" s="1993" t="str">
        <f t="shared" si="441"/>
        <v>#N/A</v>
      </c>
      <c r="Y172" s="1989">
        <f t="shared" si="39"/>
        <v>139</v>
      </c>
    </row>
    <row r="173">
      <c r="A173" s="1533">
        <v>690.0</v>
      </c>
      <c r="B173" s="1534" t="s">
        <v>3452</v>
      </c>
      <c r="C173" s="1524" t="s">
        <v>3453</v>
      </c>
      <c r="D173" s="1535" t="s">
        <v>2214</v>
      </c>
      <c r="E173" s="1524" t="s">
        <v>3312</v>
      </c>
      <c r="F173" s="1993" t="str">
        <f t="shared" si="31"/>
        <v>#N/A</v>
      </c>
      <c r="G173" s="1993" t="str">
        <f t="shared" si="32"/>
        <v>#N/A</v>
      </c>
      <c r="H173" s="1993" t="str">
        <f t="shared" si="33"/>
        <v>#N/A</v>
      </c>
      <c r="I173" s="1993" t="str">
        <f t="shared" si="34"/>
        <v>#N/A</v>
      </c>
      <c r="J173" s="1993" t="str">
        <f t="shared" si="35"/>
        <v>#N/A</v>
      </c>
      <c r="K173" s="1993" t="str">
        <f t="shared" si="36"/>
        <v>#N/A</v>
      </c>
      <c r="L173" s="1993" t="str">
        <f t="shared" si="37"/>
        <v>#N/A</v>
      </c>
      <c r="M173" s="1993" t="str">
        <f t="shared" ref="M173:O173" si="442">(SUMIF(MA_TAIKHOAN,$E173,SDCDK)+SUMIFs(PS_SOTIEN,PS_TKCO,$E173,PS_NGAY,"&lt;="&amp;M$1))-(SUMIF(MA_TAIKHOAN,$E173,SDNDK)+SUMIFS(PS_SOTIEN,PS_TKNO,$E173,PS_NGAY,"&lt;="&amp;M$1))</f>
        <v>#N/A</v>
      </c>
      <c r="N173" s="1993" t="str">
        <f t="shared" si="442"/>
        <v>#N/A</v>
      </c>
      <c r="O173" s="1993" t="str">
        <f t="shared" si="442"/>
        <v>#N/A</v>
      </c>
      <c r="P173" s="1993" t="str">
        <f t="shared" si="443"/>
        <v>#N/A</v>
      </c>
      <c r="Q173" s="1993" t="str">
        <f t="shared" ref="Q173:S173" si="444">(SUMIF(MA_TAIKHOAN,$E173,SDCDK)+SUMIFs(PS_SOTIEN,PS_TKCO,$E173,PS_NGAY,"&lt;="&amp;P$1))-(SUMIF(MA_TAIKHOAN,$E173,SDNDK)+SUMIFS(PS_SOTIEN,PS_TKNO,$E173,PS_NGAY,"&lt;="&amp;P$1))</f>
        <v>#N/A</v>
      </c>
      <c r="R173" s="1993" t="str">
        <f t="shared" si="444"/>
        <v>#N/A</v>
      </c>
      <c r="S173" s="1993" t="str">
        <f t="shared" si="444"/>
        <v>#N/A</v>
      </c>
      <c r="T173" s="1993" t="str">
        <f t="shared" si="445"/>
        <v>#N/A</v>
      </c>
      <c r="U173" s="1993" t="str">
        <f t="shared" si="446"/>
        <v>#N/A</v>
      </c>
      <c r="V173" s="1993" t="str">
        <f t="shared" ref="V173:X173" si="447">(SUMIF(MA_TAIKHOAN,$E173,SDCDK)+SUMIFs(PS_SOTIEN,PS_TKCO,$E173,PS_NGAY,"&lt;="&amp;S$1))-(SUMIF(MA_TAIKHOAN,$E173,SDNDK)+SUMIFS(PS_SOTIEN,PS_TKNO,$E173,PS_NGAY,"&lt;="&amp;S$1))</f>
        <v>#N/A</v>
      </c>
      <c r="W173" s="1993" t="str">
        <f t="shared" si="447"/>
        <v>#N/A</v>
      </c>
      <c r="X173" s="1993" t="str">
        <f t="shared" si="447"/>
        <v>#N/A</v>
      </c>
      <c r="Y173" s="1989">
        <f t="shared" si="39"/>
        <v>140</v>
      </c>
    </row>
    <row r="174">
      <c r="A174" s="1533">
        <v>695.0</v>
      </c>
      <c r="B174" s="1534" t="s">
        <v>3454</v>
      </c>
      <c r="C174" s="1524" t="s">
        <v>3105</v>
      </c>
      <c r="D174" s="1535" t="s">
        <v>2214</v>
      </c>
      <c r="E174" s="1550" t="s">
        <v>3118</v>
      </c>
      <c r="F174" s="1993" t="str">
        <f t="shared" si="31"/>
        <v>#N/A</v>
      </c>
      <c r="G174" s="1993" t="str">
        <f t="shared" si="32"/>
        <v>#N/A</v>
      </c>
      <c r="H174" s="1993" t="str">
        <f t="shared" si="33"/>
        <v>#N/A</v>
      </c>
      <c r="I174" s="1993" t="str">
        <f t="shared" si="34"/>
        <v>#N/A</v>
      </c>
      <c r="J174" s="1993" t="str">
        <f t="shared" si="35"/>
        <v>#N/A</v>
      </c>
      <c r="K174" s="1993" t="str">
        <f t="shared" si="36"/>
        <v>#N/A</v>
      </c>
      <c r="L174" s="1993" t="str">
        <f t="shared" si="37"/>
        <v>#N/A</v>
      </c>
      <c r="M174" s="1993" t="str">
        <f t="shared" ref="M174:O174" si="448">(SUMIF(MA_TAIKHOAN,$E174,SDCDK)+SUMIFs(PS_SOTIEN,PS_TKCO,$E174,PS_NGAY,"&lt;="&amp;M$1))-(SUMIF(MA_TAIKHOAN,$E174,SDNDK)+SUMIFS(PS_SOTIEN,PS_TKNO,$E174,PS_NGAY,"&lt;="&amp;M$1))</f>
        <v>#N/A</v>
      </c>
      <c r="N174" s="1993" t="str">
        <f t="shared" si="448"/>
        <v>#N/A</v>
      </c>
      <c r="O174" s="1993" t="str">
        <f t="shared" si="448"/>
        <v>#N/A</v>
      </c>
      <c r="P174" s="1993" t="str">
        <f t="shared" si="443"/>
        <v>#N/A</v>
      </c>
      <c r="Q174" s="1993" t="str">
        <f t="shared" ref="Q174:S174" si="449">(SUMIF(MA_TAIKHOAN,$E174,SDCDK)+SUMIFs(PS_SOTIEN,PS_TKCO,$E174,PS_NGAY,"&lt;="&amp;P$1))-(SUMIF(MA_TAIKHOAN,$E174,SDNDK)+SUMIFS(PS_SOTIEN,PS_TKNO,$E174,PS_NGAY,"&lt;="&amp;P$1))</f>
        <v>#N/A</v>
      </c>
      <c r="R174" s="1993" t="str">
        <f t="shared" si="449"/>
        <v>#N/A</v>
      </c>
      <c r="S174" s="1993" t="str">
        <f t="shared" si="449"/>
        <v>#N/A</v>
      </c>
      <c r="T174" s="1993" t="str">
        <f t="shared" si="445"/>
        <v>#N/A</v>
      </c>
      <c r="U174" s="1993" t="str">
        <f t="shared" si="446"/>
        <v>#N/A</v>
      </c>
      <c r="V174" s="1993" t="str">
        <f t="shared" ref="V174:X174" si="450">(SUMIF(MA_TAIKHOAN,$E174,SDCDK)+SUMIFs(PS_SOTIEN,PS_TKCO,$E174,PS_NGAY,"&lt;="&amp;S$1))-(SUMIF(MA_TAIKHOAN,$E174,SDNDK)+SUMIFS(PS_SOTIEN,PS_TKNO,$E174,PS_NGAY,"&lt;="&amp;S$1))</f>
        <v>#N/A</v>
      </c>
      <c r="W174" s="1993" t="str">
        <f t="shared" si="450"/>
        <v>#N/A</v>
      </c>
      <c r="X174" s="1993" t="str">
        <f t="shared" si="450"/>
        <v>#N/A</v>
      </c>
      <c r="Y174" s="1989">
        <f t="shared" si="39"/>
        <v>141</v>
      </c>
    </row>
    <row r="175">
      <c r="A175" s="1533">
        <v>700.0</v>
      </c>
      <c r="B175" s="1534" t="s">
        <v>3455</v>
      </c>
      <c r="C175" s="1524" t="s">
        <v>3106</v>
      </c>
      <c r="D175" s="1535" t="s">
        <v>2214</v>
      </c>
      <c r="E175" s="1524" t="s">
        <v>1442</v>
      </c>
      <c r="F175" s="1993" t="str">
        <f t="shared" si="31"/>
        <v>#N/A</v>
      </c>
      <c r="G175" s="1993" t="str">
        <f t="shared" si="32"/>
        <v>#N/A</v>
      </c>
      <c r="H175" s="1993" t="str">
        <f t="shared" si="33"/>
        <v>#N/A</v>
      </c>
      <c r="I175" s="1993" t="str">
        <f t="shared" si="34"/>
        <v>#N/A</v>
      </c>
      <c r="J175" s="1993" t="str">
        <f t="shared" si="35"/>
        <v>#N/A</v>
      </c>
      <c r="K175" s="1993" t="str">
        <f t="shared" si="36"/>
        <v>#N/A</v>
      </c>
      <c r="L175" s="1993" t="str">
        <f t="shared" si="37"/>
        <v>#N/A</v>
      </c>
      <c r="M175" s="1993" t="str">
        <f t="shared" ref="M175:O175" si="451">(SUMIF(MA_TAIKHOAN,$E175,SDCDK)+SUMIFs(PS_SOTIEN,PS_TKCO,$E175,PS_NGAY,"&lt;="&amp;M$1))-(SUMIF(MA_TAIKHOAN,$E175,SDNDK)+SUMIFS(PS_SOTIEN,PS_TKNO,$E175,PS_NGAY,"&lt;="&amp;M$1))</f>
        <v>#N/A</v>
      </c>
      <c r="N175" s="1993" t="str">
        <f t="shared" si="451"/>
        <v>#N/A</v>
      </c>
      <c r="O175" s="1993" t="str">
        <f t="shared" si="451"/>
        <v>#N/A</v>
      </c>
      <c r="P175" s="1993" t="str">
        <f t="shared" si="443"/>
        <v>#N/A</v>
      </c>
      <c r="Q175" s="1993" t="str">
        <f t="shared" ref="Q175:S175" si="452">(SUMIF(MA_TAIKHOAN,$E175,SDCDK)+SUMIFs(PS_SOTIEN,PS_TKCO,$E175,PS_NGAY,"&lt;="&amp;P$1))-(SUMIF(MA_TAIKHOAN,$E175,SDNDK)+SUMIFS(PS_SOTIEN,PS_TKNO,$E175,PS_NGAY,"&lt;="&amp;P$1))</f>
        <v>#N/A</v>
      </c>
      <c r="R175" s="1993" t="str">
        <f t="shared" si="452"/>
        <v>#N/A</v>
      </c>
      <c r="S175" s="1993" t="str">
        <f t="shared" si="452"/>
        <v>#N/A</v>
      </c>
      <c r="T175" s="1993" t="str">
        <f t="shared" si="445"/>
        <v>#N/A</v>
      </c>
      <c r="U175" s="1993" t="str">
        <f t="shared" si="446"/>
        <v>#N/A</v>
      </c>
      <c r="V175" s="1993" t="str">
        <f t="shared" ref="V175:X175" si="453">(SUMIF(MA_TAIKHOAN,$E175,SDCDK)+SUMIFs(PS_SOTIEN,PS_TKCO,$E175,PS_NGAY,"&lt;="&amp;S$1))-(SUMIF(MA_TAIKHOAN,$E175,SDNDK)+SUMIFS(PS_SOTIEN,PS_TKNO,$E175,PS_NGAY,"&lt;="&amp;S$1))</f>
        <v>#N/A</v>
      </c>
      <c r="W175" s="1993" t="str">
        <f t="shared" si="453"/>
        <v>#N/A</v>
      </c>
      <c r="X175" s="1993" t="str">
        <f t="shared" si="453"/>
        <v>#N/A</v>
      </c>
      <c r="Y175" s="1989">
        <f t="shared" si="39"/>
        <v>142</v>
      </c>
    </row>
    <row r="176">
      <c r="A176" s="1533">
        <v>705.0</v>
      </c>
      <c r="B176" s="1534" t="s">
        <v>3456</v>
      </c>
      <c r="C176" s="1524" t="s">
        <v>3118</v>
      </c>
      <c r="D176" s="1535" t="s">
        <v>3457</v>
      </c>
      <c r="E176" s="1524" t="s">
        <v>2214</v>
      </c>
      <c r="F176" s="1999" t="str">
        <f t="shared" si="31"/>
        <v>#N/A</v>
      </c>
      <c r="G176" s="1990" t="str">
        <f t="shared" si="32"/>
        <v>#N/A</v>
      </c>
      <c r="H176" s="1999" t="str">
        <f t="shared" si="33"/>
        <v>#N/A</v>
      </c>
      <c r="I176" s="1990" t="str">
        <f t="shared" si="34"/>
        <v>#N/A</v>
      </c>
      <c r="J176" s="1990" t="str">
        <f t="shared" si="35"/>
        <v>#N/A</v>
      </c>
      <c r="K176" s="1990" t="str">
        <f t="shared" si="36"/>
        <v>#N/A</v>
      </c>
      <c r="L176" s="1999" t="str">
        <f t="shared" si="37"/>
        <v>#N/A</v>
      </c>
      <c r="M176" s="1990" t="str">
        <f t="shared" ref="M176:X176" si="454">SUM(M177:M179)</f>
        <v>#N/A</v>
      </c>
      <c r="N176" s="1990" t="str">
        <f t="shared" si="454"/>
        <v>#N/A</v>
      </c>
      <c r="O176" s="1990" t="str">
        <f t="shared" si="454"/>
        <v>#N/A</v>
      </c>
      <c r="P176" s="1990" t="str">
        <f t="shared" si="454"/>
        <v>#N/A</v>
      </c>
      <c r="Q176" s="1990" t="str">
        <f t="shared" si="454"/>
        <v>#N/A</v>
      </c>
      <c r="R176" s="1990" t="str">
        <f t="shared" si="454"/>
        <v>#N/A</v>
      </c>
      <c r="S176" s="1990" t="str">
        <f t="shared" si="454"/>
        <v>#N/A</v>
      </c>
      <c r="T176" s="1990" t="str">
        <f t="shared" si="454"/>
        <v>#N/A</v>
      </c>
      <c r="U176" s="1990" t="str">
        <f t="shared" si="454"/>
        <v>#N/A</v>
      </c>
      <c r="V176" s="1990" t="str">
        <f t="shared" si="454"/>
        <v>#N/A</v>
      </c>
      <c r="W176" s="1990" t="str">
        <f t="shared" si="454"/>
        <v>#N/A</v>
      </c>
      <c r="X176" s="1999" t="str">
        <f t="shared" si="454"/>
        <v>#N/A</v>
      </c>
      <c r="Y176" s="1989">
        <f t="shared" si="39"/>
        <v>143</v>
      </c>
    </row>
    <row r="177">
      <c r="A177" s="1533">
        <v>710.0</v>
      </c>
      <c r="B177" s="1534" t="s">
        <v>3416</v>
      </c>
      <c r="C177" s="1524" t="s">
        <v>2214</v>
      </c>
      <c r="D177" s="1535" t="s">
        <v>2214</v>
      </c>
      <c r="E177" s="1550" t="s">
        <v>3120</v>
      </c>
      <c r="F177" s="1992" t="str">
        <f t="shared" si="31"/>
        <v>#N/A</v>
      </c>
      <c r="G177" s="1992" t="str">
        <f t="shared" si="32"/>
        <v>#N/A</v>
      </c>
      <c r="H177" s="1992" t="str">
        <f t="shared" si="33"/>
        <v>#N/A</v>
      </c>
      <c r="I177" s="1992" t="str">
        <f t="shared" si="34"/>
        <v>#N/A</v>
      </c>
      <c r="J177" s="1992" t="str">
        <f t="shared" si="35"/>
        <v>#N/A</v>
      </c>
      <c r="K177" s="1992" t="str">
        <f t="shared" si="36"/>
        <v>#N/A</v>
      </c>
      <c r="L177" s="1992" t="str">
        <f t="shared" si="37"/>
        <v>#N/A</v>
      </c>
      <c r="M177" s="1992" t="str">
        <f t="shared" ref="M177:O177" si="455">(SUMIF(MA_TAIKHOAN,$E177,SDCDK)+SUMIFs(PS_SOTIEN,PS_TKCO,$E177,PS_NGAY,"&lt;="&amp;M$1))-(SUMIF(MA_TAIKHOAN,$E177,SDNDK)+SUMIFS(PS_SOTIEN,PS_TKNO,$E177,PS_NGAY,"&lt;="&amp;M$1))</f>
        <v>#N/A</v>
      </c>
      <c r="N177" s="1992" t="str">
        <f t="shared" si="455"/>
        <v>#N/A</v>
      </c>
      <c r="O177" s="1992" t="str">
        <f t="shared" si="455"/>
        <v>#N/A</v>
      </c>
      <c r="P177" s="1992" t="str">
        <f t="shared" ref="P177:P180" si="459">(SUMIF(MA_TAIKHOAN,$E177,SDCDK)+SUMIFs(PS_SOTIEN,PS_TKCO,$E177,PS_NGAY,"&lt;="&amp;I$1))-(SUMIF(MA_TAIKHOAN,$E177,SDNDK)+SUMIFS(PS_SOTIEN,PS_TKNO,$E177,PS_NGAY,"&lt;="&amp;I$1))</f>
        <v>#N/A</v>
      </c>
      <c r="Q177" s="1992" t="str">
        <f t="shared" ref="Q177:S177" si="456">(SUMIF(MA_TAIKHOAN,$E177,SDCDK)+SUMIFs(PS_SOTIEN,PS_TKCO,$E177,PS_NGAY,"&lt;="&amp;P$1))-(SUMIF(MA_TAIKHOAN,$E177,SDNDK)+SUMIFS(PS_SOTIEN,PS_TKNO,$E177,PS_NGAY,"&lt;="&amp;P$1))</f>
        <v>#N/A</v>
      </c>
      <c r="R177" s="1992" t="str">
        <f t="shared" si="456"/>
        <v>#N/A</v>
      </c>
      <c r="S177" s="1992" t="str">
        <f t="shared" si="456"/>
        <v>#N/A</v>
      </c>
      <c r="T177" s="1992" t="str">
        <f t="shared" ref="T177:T180" si="461">(SUMIF(MA_TAIKHOAN,$E177,SDCDK)+SUMIFs(PS_SOTIEN,PS_TKCO,$E177,PS_NGAY,"&lt;="&amp;J$1))-(SUMIF(MA_TAIKHOAN,$E177,SDNDK)+SUMIFS(PS_SOTIEN,PS_TKNO,$E177,PS_NGAY,"&lt;="&amp;J$1))</f>
        <v>#N/A</v>
      </c>
      <c r="U177" s="1992" t="str">
        <f t="shared" ref="U177:U180" si="462">(SUMIF(MA_TAIKHOAN,$E177,SDCDK)+SUMIFs(PS_SOTIEN,PS_TKCO,$E177,PS_NGAY,"&lt;="&amp;G$1))-(SUMIF(MA_TAIKHOAN,$E177,SDNDK)+SUMIFS(PS_SOTIEN,PS_TKNO,$E177,PS_NGAY,"&lt;="&amp;G$1))</f>
        <v>#N/A</v>
      </c>
      <c r="V177" s="1992" t="str">
        <f t="shared" ref="V177:X177" si="457">(SUMIF(MA_TAIKHOAN,$E177,SDCDK)+SUMIFs(PS_SOTIEN,PS_TKCO,$E177,PS_NGAY,"&lt;="&amp;S$1))-(SUMIF(MA_TAIKHOAN,$E177,SDNDK)+SUMIFS(PS_SOTIEN,PS_TKNO,$E177,PS_NGAY,"&lt;="&amp;S$1))</f>
        <v>#N/A</v>
      </c>
      <c r="W177" s="1992" t="str">
        <f t="shared" si="457"/>
        <v>#N/A</v>
      </c>
      <c r="X177" s="1992" t="str">
        <f t="shared" si="457"/>
        <v>#N/A</v>
      </c>
      <c r="Y177" s="1989">
        <f t="shared" si="39"/>
        <v>144</v>
      </c>
    </row>
    <row r="178">
      <c r="A178" s="1533">
        <v>715.0</v>
      </c>
      <c r="B178" s="1534" t="s">
        <v>3417</v>
      </c>
      <c r="C178" s="1524" t="s">
        <v>2214</v>
      </c>
      <c r="D178" s="1535" t="s">
        <v>2214</v>
      </c>
      <c r="E178" s="1550" t="s">
        <v>3121</v>
      </c>
      <c r="F178" s="1992" t="str">
        <f t="shared" si="31"/>
        <v>#N/A</v>
      </c>
      <c r="G178" s="1992" t="str">
        <f t="shared" si="32"/>
        <v>#N/A</v>
      </c>
      <c r="H178" s="1992" t="str">
        <f t="shared" si="33"/>
        <v>#N/A</v>
      </c>
      <c r="I178" s="1992" t="str">
        <f t="shared" si="34"/>
        <v>#N/A</v>
      </c>
      <c r="J178" s="1992" t="str">
        <f t="shared" si="35"/>
        <v>#N/A</v>
      </c>
      <c r="K178" s="1992" t="str">
        <f t="shared" si="36"/>
        <v>#N/A</v>
      </c>
      <c r="L178" s="1992" t="str">
        <f t="shared" si="37"/>
        <v>#N/A</v>
      </c>
      <c r="M178" s="1992" t="str">
        <f t="shared" ref="M178:O178" si="458">(SUMIF(MA_TAIKHOAN,$E178,SDCDK)+SUMIFs(PS_SOTIEN,PS_TKCO,$E178,PS_NGAY,"&lt;="&amp;M$1))-(SUMIF(MA_TAIKHOAN,$E178,SDNDK)+SUMIFS(PS_SOTIEN,PS_TKNO,$E178,PS_NGAY,"&lt;="&amp;M$1))</f>
        <v>#N/A</v>
      </c>
      <c r="N178" s="1992" t="str">
        <f t="shared" si="458"/>
        <v>#N/A</v>
      </c>
      <c r="O178" s="1992" t="str">
        <f t="shared" si="458"/>
        <v>#N/A</v>
      </c>
      <c r="P178" s="1992" t="str">
        <f t="shared" si="459"/>
        <v>#N/A</v>
      </c>
      <c r="Q178" s="1992" t="str">
        <f t="shared" ref="Q178:S178" si="460">(SUMIF(MA_TAIKHOAN,$E178,SDCDK)+SUMIFs(PS_SOTIEN,PS_TKCO,$E178,PS_NGAY,"&lt;="&amp;P$1))-(SUMIF(MA_TAIKHOAN,$E178,SDNDK)+SUMIFS(PS_SOTIEN,PS_TKNO,$E178,PS_NGAY,"&lt;="&amp;P$1))</f>
        <v>#N/A</v>
      </c>
      <c r="R178" s="1992" t="str">
        <f t="shared" si="460"/>
        <v>#N/A</v>
      </c>
      <c r="S178" s="1992" t="str">
        <f t="shared" si="460"/>
        <v>#N/A</v>
      </c>
      <c r="T178" s="1992" t="str">
        <f t="shared" si="461"/>
        <v>#N/A</v>
      </c>
      <c r="U178" s="1992" t="str">
        <f t="shared" si="462"/>
        <v>#N/A</v>
      </c>
      <c r="V178" s="1992" t="str">
        <f t="shared" ref="V178:X178" si="463">(SUMIF(MA_TAIKHOAN,$E178,SDCDK)+SUMIFs(PS_SOTIEN,PS_TKCO,$E178,PS_NGAY,"&lt;="&amp;S$1))-(SUMIF(MA_TAIKHOAN,$E178,SDNDK)+SUMIFS(PS_SOTIEN,PS_TKNO,$E178,PS_NGAY,"&lt;="&amp;S$1))</f>
        <v>#N/A</v>
      </c>
      <c r="W178" s="1992" t="str">
        <f t="shared" si="463"/>
        <v>#N/A</v>
      </c>
      <c r="X178" s="1992" t="str">
        <f t="shared" si="463"/>
        <v>#N/A</v>
      </c>
      <c r="Y178" s="1989">
        <f t="shared" si="39"/>
        <v>145</v>
      </c>
    </row>
    <row r="179">
      <c r="A179" s="1533">
        <v>720.0</v>
      </c>
      <c r="B179" s="1534" t="s">
        <v>3418</v>
      </c>
      <c r="C179" s="1524" t="s">
        <v>2214</v>
      </c>
      <c r="D179" s="1535" t="s">
        <v>2214</v>
      </c>
      <c r="E179" s="1550" t="s">
        <v>1444</v>
      </c>
      <c r="F179" s="1992" t="str">
        <f t="shared" si="31"/>
        <v>#N/A</v>
      </c>
      <c r="G179" s="1992" t="str">
        <f t="shared" si="32"/>
        <v>#N/A</v>
      </c>
      <c r="H179" s="1992" t="str">
        <f t="shared" si="33"/>
        <v>#N/A</v>
      </c>
      <c r="I179" s="1992" t="str">
        <f t="shared" si="34"/>
        <v>#N/A</v>
      </c>
      <c r="J179" s="1992" t="str">
        <f t="shared" si="35"/>
        <v>#N/A</v>
      </c>
      <c r="K179" s="1992" t="str">
        <f t="shared" si="36"/>
        <v>#N/A</v>
      </c>
      <c r="L179" s="1992" t="str">
        <f t="shared" si="37"/>
        <v>#N/A</v>
      </c>
      <c r="M179" s="1992" t="str">
        <f t="shared" ref="M179:O179" si="464">(SUMIF(MA_TAIKHOAN,$E179,SDCDK)+SUMIFs(PS_SOTIEN,PS_TKCO,$E179,PS_NGAY,"&lt;="&amp;M$1))-(SUMIF(MA_TAIKHOAN,$E179,SDNDK)+SUMIFS(PS_SOTIEN,PS_TKNO,$E179,PS_NGAY,"&lt;="&amp;M$1))</f>
        <v>#N/A</v>
      </c>
      <c r="N179" s="1992" t="str">
        <f t="shared" si="464"/>
        <v>#N/A</v>
      </c>
      <c r="O179" s="1992" t="str">
        <f t="shared" si="464"/>
        <v>#N/A</v>
      </c>
      <c r="P179" s="1992" t="str">
        <f t="shared" si="459"/>
        <v>#N/A</v>
      </c>
      <c r="Q179" s="1992" t="str">
        <f t="shared" ref="Q179:S179" si="465">(SUMIF(MA_TAIKHOAN,$E179,SDCDK)+SUMIFs(PS_SOTIEN,PS_TKCO,$E179,PS_NGAY,"&lt;="&amp;P$1))-(SUMIF(MA_TAIKHOAN,$E179,SDNDK)+SUMIFS(PS_SOTIEN,PS_TKNO,$E179,PS_NGAY,"&lt;="&amp;P$1))</f>
        <v>#N/A</v>
      </c>
      <c r="R179" s="1992" t="str">
        <f t="shared" si="465"/>
        <v>#N/A</v>
      </c>
      <c r="S179" s="1992" t="str">
        <f t="shared" si="465"/>
        <v>#N/A</v>
      </c>
      <c r="T179" s="1992" t="str">
        <f t="shared" si="461"/>
        <v>#N/A</v>
      </c>
      <c r="U179" s="1992" t="str">
        <f t="shared" si="462"/>
        <v>#N/A</v>
      </c>
      <c r="V179" s="1992" t="str">
        <f t="shared" ref="V179:X179" si="466">(SUMIF(MA_TAIKHOAN,$E179,SDCDK)+SUMIFs(PS_SOTIEN,PS_TKCO,$E179,PS_NGAY,"&lt;="&amp;S$1))-(SUMIF(MA_TAIKHOAN,$E179,SDNDK)+SUMIFS(PS_SOTIEN,PS_TKNO,$E179,PS_NGAY,"&lt;="&amp;S$1))</f>
        <v>#N/A</v>
      </c>
      <c r="W179" s="1992" t="str">
        <f t="shared" si="466"/>
        <v>#N/A</v>
      </c>
      <c r="X179" s="1992" t="str">
        <f t="shared" si="466"/>
        <v>#N/A</v>
      </c>
      <c r="Y179" s="1989">
        <f t="shared" si="39"/>
        <v>146</v>
      </c>
    </row>
    <row r="180">
      <c r="A180" s="1533">
        <v>725.0</v>
      </c>
      <c r="B180" s="1534" t="s">
        <v>3458</v>
      </c>
      <c r="C180" s="1524" t="s">
        <v>3119</v>
      </c>
      <c r="D180" s="1535" t="s">
        <v>2214</v>
      </c>
      <c r="E180" s="1550" t="s">
        <v>1459</v>
      </c>
      <c r="F180" s="1993" t="str">
        <f t="shared" si="31"/>
        <v>#N/A</v>
      </c>
      <c r="G180" s="1993" t="str">
        <f t="shared" si="32"/>
        <v>#N/A</v>
      </c>
      <c r="H180" s="1993" t="str">
        <f t="shared" si="33"/>
        <v>#N/A</v>
      </c>
      <c r="I180" s="1993" t="str">
        <f t="shared" si="34"/>
        <v>#N/A</v>
      </c>
      <c r="J180" s="1993" t="str">
        <f t="shared" si="35"/>
        <v>#N/A</v>
      </c>
      <c r="K180" s="1993" t="str">
        <f t="shared" si="36"/>
        <v>#N/A</v>
      </c>
      <c r="L180" s="1993" t="str">
        <f t="shared" si="37"/>
        <v>#N/A</v>
      </c>
      <c r="M180" s="1993" t="str">
        <f t="shared" ref="M180:O180" si="467">(SUMIF(MA_TAIKHOAN,$E180,SDCDK)+SUMIFs(PS_SOTIEN,PS_TKCO,$E180,PS_NGAY,"&lt;="&amp;M$1))-(SUMIF(MA_TAIKHOAN,$E180,SDNDK)+SUMIFS(PS_SOTIEN,PS_TKNO,$E180,PS_NGAY,"&lt;="&amp;M$1))</f>
        <v>#N/A</v>
      </c>
      <c r="N180" s="1993" t="str">
        <f t="shared" si="467"/>
        <v>#N/A</v>
      </c>
      <c r="O180" s="1993" t="str">
        <f t="shared" si="467"/>
        <v>#N/A</v>
      </c>
      <c r="P180" s="1993" t="str">
        <f t="shared" si="459"/>
        <v>#N/A</v>
      </c>
      <c r="Q180" s="1993" t="str">
        <f t="shared" ref="Q180:S180" si="468">(SUMIF(MA_TAIKHOAN,$E180,SDCDK)+SUMIFs(PS_SOTIEN,PS_TKCO,$E180,PS_NGAY,"&lt;="&amp;P$1))-(SUMIF(MA_TAIKHOAN,$E180,SDNDK)+SUMIFS(PS_SOTIEN,PS_TKNO,$E180,PS_NGAY,"&lt;="&amp;P$1))</f>
        <v>#N/A</v>
      </c>
      <c r="R180" s="1993" t="str">
        <f t="shared" si="468"/>
        <v>#N/A</v>
      </c>
      <c r="S180" s="1993" t="str">
        <f t="shared" si="468"/>
        <v>#N/A</v>
      </c>
      <c r="T180" s="1993" t="str">
        <f t="shared" si="461"/>
        <v>#N/A</v>
      </c>
      <c r="U180" s="1993" t="str">
        <f t="shared" si="462"/>
        <v>#N/A</v>
      </c>
      <c r="V180" s="1993" t="str">
        <f t="shared" ref="V180:X180" si="469">(SUMIF(MA_TAIKHOAN,$E180,SDCDK)+SUMIFs(PS_SOTIEN,PS_TKCO,$E180,PS_NGAY,"&lt;="&amp;S$1))-(SUMIF(MA_TAIKHOAN,$E180,SDNDK)+SUMIFS(PS_SOTIEN,PS_TKNO,$E180,PS_NGAY,"&lt;="&amp;S$1))</f>
        <v>#N/A</v>
      </c>
      <c r="W180" s="1993" t="str">
        <f t="shared" si="469"/>
        <v>#N/A</v>
      </c>
      <c r="X180" s="1993" t="str">
        <f t="shared" si="469"/>
        <v>#N/A</v>
      </c>
      <c r="Y180" s="1989">
        <f t="shared" si="39"/>
        <v>147</v>
      </c>
    </row>
    <row r="181">
      <c r="A181" s="1533">
        <v>730.0</v>
      </c>
      <c r="B181" s="1534" t="s">
        <v>3459</v>
      </c>
      <c r="C181" s="1524" t="s">
        <v>3122</v>
      </c>
      <c r="D181" s="1535" t="s">
        <v>3460</v>
      </c>
      <c r="E181" s="1550" t="s">
        <v>2214</v>
      </c>
      <c r="F181" s="1999" t="str">
        <f t="shared" si="31"/>
        <v>#N/A</v>
      </c>
      <c r="G181" s="1990" t="str">
        <f t="shared" si="32"/>
        <v>#N/A</v>
      </c>
      <c r="H181" s="1999" t="str">
        <f t="shared" si="33"/>
        <v>#N/A</v>
      </c>
      <c r="I181" s="1990" t="str">
        <f t="shared" si="34"/>
        <v>#N/A</v>
      </c>
      <c r="J181" s="1990" t="str">
        <f t="shared" si="35"/>
        <v>#N/A</v>
      </c>
      <c r="K181" s="1990" t="str">
        <f t="shared" si="36"/>
        <v>#N/A</v>
      </c>
      <c r="L181" s="1999" t="str">
        <f t="shared" si="37"/>
        <v>#N/A</v>
      </c>
      <c r="M181" s="1990" t="str">
        <f t="shared" ref="M181:X181" si="470">SUM(M182:M183)</f>
        <v>#N/A</v>
      </c>
      <c r="N181" s="1990" t="str">
        <f t="shared" si="470"/>
        <v>#N/A</v>
      </c>
      <c r="O181" s="1990" t="str">
        <f t="shared" si="470"/>
        <v>#N/A</v>
      </c>
      <c r="P181" s="1990" t="str">
        <f t="shared" si="470"/>
        <v>#N/A</v>
      </c>
      <c r="Q181" s="1990" t="str">
        <f t="shared" si="470"/>
        <v>#N/A</v>
      </c>
      <c r="R181" s="1990" t="str">
        <f t="shared" si="470"/>
        <v>#N/A</v>
      </c>
      <c r="S181" s="1990" t="str">
        <f t="shared" si="470"/>
        <v>#N/A</v>
      </c>
      <c r="T181" s="1990" t="str">
        <f t="shared" si="470"/>
        <v>#N/A</v>
      </c>
      <c r="U181" s="1990" t="str">
        <f t="shared" si="470"/>
        <v>#N/A</v>
      </c>
      <c r="V181" s="1990" t="str">
        <f t="shared" si="470"/>
        <v>#N/A</v>
      </c>
      <c r="W181" s="1990" t="str">
        <f t="shared" si="470"/>
        <v>#N/A</v>
      </c>
      <c r="X181" s="1999" t="str">
        <f t="shared" si="470"/>
        <v>#N/A</v>
      </c>
      <c r="Y181" s="1989">
        <f t="shared" si="39"/>
        <v>148</v>
      </c>
    </row>
    <row r="182">
      <c r="A182" s="1533">
        <v>735.0</v>
      </c>
      <c r="B182" s="1534" t="s">
        <v>3325</v>
      </c>
      <c r="C182" s="1524" t="s">
        <v>2214</v>
      </c>
      <c r="D182" s="1535" t="s">
        <v>2214</v>
      </c>
      <c r="E182" s="1550" t="s">
        <v>1461</v>
      </c>
      <c r="F182" s="1992" t="str">
        <f t="shared" si="31"/>
        <v>#N/A</v>
      </c>
      <c r="G182" s="1992" t="str">
        <f t="shared" si="32"/>
        <v>#N/A</v>
      </c>
      <c r="H182" s="1992" t="str">
        <f t="shared" si="33"/>
        <v>#N/A</v>
      </c>
      <c r="I182" s="1992" t="str">
        <f t="shared" si="34"/>
        <v>#N/A</v>
      </c>
      <c r="J182" s="1992" t="str">
        <f t="shared" si="35"/>
        <v>#N/A</v>
      </c>
      <c r="K182" s="1992" t="str">
        <f t="shared" si="36"/>
        <v>#N/A</v>
      </c>
      <c r="L182" s="1992" t="str">
        <f t="shared" si="37"/>
        <v>#N/A</v>
      </c>
      <c r="M182" s="1992" t="str">
        <f t="shared" ref="M182:O182" si="471">(SUMIF(MA_TAIKHOAN,$E182,SDCDK)+SUMIFs(PS_SOTIEN,PS_TKCO,$E182,PS_NGAY,"&lt;="&amp;M$1))-(SUMIF(MA_TAIKHOAN,$E182,SDNDK)+SUMIFS(PS_SOTIEN,PS_TKNO,$E182,PS_NGAY,"&lt;="&amp;M$1))</f>
        <v>#N/A</v>
      </c>
      <c r="N182" s="1992" t="str">
        <f t="shared" si="471"/>
        <v>#N/A</v>
      </c>
      <c r="O182" s="1992" t="str">
        <f t="shared" si="471"/>
        <v>#N/A</v>
      </c>
      <c r="P182" s="1992" t="str">
        <f t="shared" ref="P182:P183" si="475">(SUMIF(MA_TAIKHOAN,$E182,SDCDK)+SUMIFs(PS_SOTIEN,PS_TKCO,$E182,PS_NGAY,"&lt;="&amp;I$1))-(SUMIF(MA_TAIKHOAN,$E182,SDNDK)+SUMIFS(PS_SOTIEN,PS_TKNO,$E182,PS_NGAY,"&lt;="&amp;I$1))</f>
        <v>#N/A</v>
      </c>
      <c r="Q182" s="1992" t="str">
        <f t="shared" ref="Q182:S182" si="472">(SUMIF(MA_TAIKHOAN,$E182,SDCDK)+SUMIFs(PS_SOTIEN,PS_TKCO,$E182,PS_NGAY,"&lt;="&amp;P$1))-(SUMIF(MA_TAIKHOAN,$E182,SDNDK)+SUMIFS(PS_SOTIEN,PS_TKNO,$E182,PS_NGAY,"&lt;="&amp;P$1))</f>
        <v>#N/A</v>
      </c>
      <c r="R182" s="1992" t="str">
        <f t="shared" si="472"/>
        <v>#N/A</v>
      </c>
      <c r="S182" s="1992" t="str">
        <f t="shared" si="472"/>
        <v>#N/A</v>
      </c>
      <c r="T182" s="1992" t="str">
        <f t="shared" ref="T182:T183" si="477">(SUMIF(MA_TAIKHOAN,$E182,SDCDK)+SUMIFs(PS_SOTIEN,PS_TKCO,$E182,PS_NGAY,"&lt;="&amp;J$1))-(SUMIF(MA_TAIKHOAN,$E182,SDNDK)+SUMIFS(PS_SOTIEN,PS_TKNO,$E182,PS_NGAY,"&lt;="&amp;J$1))</f>
        <v>#N/A</v>
      </c>
      <c r="U182" s="1992" t="str">
        <f t="shared" ref="U182:U183" si="478">(SUMIF(MA_TAIKHOAN,$E182,SDCDK)+SUMIFs(PS_SOTIEN,PS_TKCO,$E182,PS_NGAY,"&lt;="&amp;G$1))-(SUMIF(MA_TAIKHOAN,$E182,SDNDK)+SUMIFS(PS_SOTIEN,PS_TKNO,$E182,PS_NGAY,"&lt;="&amp;G$1))</f>
        <v>#N/A</v>
      </c>
      <c r="V182" s="1992" t="str">
        <f t="shared" ref="V182:X182" si="473">(SUMIF(MA_TAIKHOAN,$E182,SDCDK)+SUMIFs(PS_SOTIEN,PS_TKCO,$E182,PS_NGAY,"&lt;="&amp;S$1))-(SUMIF(MA_TAIKHOAN,$E182,SDNDK)+SUMIFS(PS_SOTIEN,PS_TKNO,$E182,PS_NGAY,"&lt;="&amp;S$1))</f>
        <v>#N/A</v>
      </c>
      <c r="W182" s="1992" t="str">
        <f t="shared" si="473"/>
        <v>#N/A</v>
      </c>
      <c r="X182" s="1992" t="str">
        <f t="shared" si="473"/>
        <v>#N/A</v>
      </c>
      <c r="Y182" s="1989">
        <f t="shared" si="39"/>
        <v>149</v>
      </c>
    </row>
    <row r="183">
      <c r="A183" s="1533">
        <v>740.0</v>
      </c>
      <c r="B183" s="1534" t="s">
        <v>3461</v>
      </c>
      <c r="C183" s="1524" t="s">
        <v>2214</v>
      </c>
      <c r="D183" s="1535" t="s">
        <v>2214</v>
      </c>
      <c r="E183" s="1550" t="s">
        <v>3138</v>
      </c>
      <c r="F183" s="1992" t="str">
        <f t="shared" si="31"/>
        <v>#N/A</v>
      </c>
      <c r="G183" s="1992" t="str">
        <f t="shared" si="32"/>
        <v>#N/A</v>
      </c>
      <c r="H183" s="1992" t="str">
        <f t="shared" si="33"/>
        <v>#N/A</v>
      </c>
      <c r="I183" s="1992" t="str">
        <f t="shared" si="34"/>
        <v>#N/A</v>
      </c>
      <c r="J183" s="1992" t="str">
        <f t="shared" si="35"/>
        <v>#N/A</v>
      </c>
      <c r="K183" s="1992" t="str">
        <f t="shared" si="36"/>
        <v>#N/A</v>
      </c>
      <c r="L183" s="1992" t="str">
        <f t="shared" si="37"/>
        <v>#N/A</v>
      </c>
      <c r="M183" s="1992" t="str">
        <f t="shared" ref="M183:O183" si="474">(SUMIF(MA_TAIKHOAN,$E183,SDCDK)+SUMIFs(PS_SOTIEN,PS_TKCO,$E183,PS_NGAY,"&lt;="&amp;M$1))-(SUMIF(MA_TAIKHOAN,$E183,SDNDK)+SUMIFS(PS_SOTIEN,PS_TKNO,$E183,PS_NGAY,"&lt;="&amp;M$1))</f>
        <v>#N/A</v>
      </c>
      <c r="N183" s="1992" t="str">
        <f t="shared" si="474"/>
        <v>#N/A</v>
      </c>
      <c r="O183" s="1992" t="str">
        <f t="shared" si="474"/>
        <v>#N/A</v>
      </c>
      <c r="P183" s="1992" t="str">
        <f t="shared" si="475"/>
        <v>#N/A</v>
      </c>
      <c r="Q183" s="1992" t="str">
        <f t="shared" ref="Q183:S183" si="476">(SUMIF(MA_TAIKHOAN,$E183,SDCDK)+SUMIFs(PS_SOTIEN,PS_TKCO,$E183,PS_NGAY,"&lt;="&amp;P$1))-(SUMIF(MA_TAIKHOAN,$E183,SDNDK)+SUMIFS(PS_SOTIEN,PS_TKNO,$E183,PS_NGAY,"&lt;="&amp;P$1))</f>
        <v>#N/A</v>
      </c>
      <c r="R183" s="1992" t="str">
        <f t="shared" si="476"/>
        <v>#N/A</v>
      </c>
      <c r="S183" s="1992" t="str">
        <f t="shared" si="476"/>
        <v>#N/A</v>
      </c>
      <c r="T183" s="1992" t="str">
        <f t="shared" si="477"/>
        <v>#N/A</v>
      </c>
      <c r="U183" s="1992" t="str">
        <f t="shared" si="478"/>
        <v>#N/A</v>
      </c>
      <c r="V183" s="1992" t="str">
        <f t="shared" ref="V183:X183" si="479">(SUMIF(MA_TAIKHOAN,$E183,SDCDK)+SUMIFs(PS_SOTIEN,PS_TKCO,$E183,PS_NGAY,"&lt;="&amp;S$1))-(SUMIF(MA_TAIKHOAN,$E183,SDNDK)+SUMIFS(PS_SOTIEN,PS_TKNO,$E183,PS_NGAY,"&lt;="&amp;S$1))</f>
        <v>#N/A</v>
      </c>
      <c r="W183" s="1992" t="str">
        <f t="shared" si="479"/>
        <v>#N/A</v>
      </c>
      <c r="X183" s="1992" t="str">
        <f t="shared" si="479"/>
        <v>#N/A</v>
      </c>
      <c r="Y183" s="1989">
        <f t="shared" si="39"/>
        <v>150</v>
      </c>
    </row>
    <row r="184">
      <c r="A184" s="1533">
        <v>745.0</v>
      </c>
      <c r="B184" s="1534" t="s">
        <v>3462</v>
      </c>
      <c r="C184" s="1524" t="s">
        <v>3124</v>
      </c>
      <c r="D184" s="1535" t="s">
        <v>3463</v>
      </c>
      <c r="E184" s="1524" t="s">
        <v>2214</v>
      </c>
      <c r="F184" s="1999" t="str">
        <f t="shared" si="31"/>
        <v>#N/A</v>
      </c>
      <c r="G184" s="1990" t="str">
        <f t="shared" si="32"/>
        <v>#N/A</v>
      </c>
      <c r="H184" s="1999" t="str">
        <f t="shared" si="33"/>
        <v>#N/A</v>
      </c>
      <c r="I184" s="1990" t="str">
        <f t="shared" si="34"/>
        <v>#N/A</v>
      </c>
      <c r="J184" s="1990" t="str">
        <f t="shared" si="35"/>
        <v>#N/A</v>
      </c>
      <c r="K184" s="1990" t="str">
        <f t="shared" si="36"/>
        <v>#N/A</v>
      </c>
      <c r="L184" s="1999" t="str">
        <f t="shared" si="37"/>
        <v>#N/A</v>
      </c>
      <c r="M184" s="1990" t="str">
        <f t="shared" ref="M184:X184" si="480">SUM(M185:M188)</f>
        <v>#N/A</v>
      </c>
      <c r="N184" s="1990" t="str">
        <f t="shared" si="480"/>
        <v>#N/A</v>
      </c>
      <c r="O184" s="1990" t="str">
        <f t="shared" si="480"/>
        <v>#N/A</v>
      </c>
      <c r="P184" s="1990" t="str">
        <f t="shared" si="480"/>
        <v>#N/A</v>
      </c>
      <c r="Q184" s="1990" t="str">
        <f t="shared" si="480"/>
        <v>#N/A</v>
      </c>
      <c r="R184" s="1990" t="str">
        <f t="shared" si="480"/>
        <v>#N/A</v>
      </c>
      <c r="S184" s="1990" t="str">
        <f t="shared" si="480"/>
        <v>#N/A</v>
      </c>
      <c r="T184" s="1990" t="str">
        <f t="shared" si="480"/>
        <v>#N/A</v>
      </c>
      <c r="U184" s="1990" t="str">
        <f t="shared" si="480"/>
        <v>#N/A</v>
      </c>
      <c r="V184" s="1990" t="str">
        <f t="shared" si="480"/>
        <v>#N/A</v>
      </c>
      <c r="W184" s="1990" t="str">
        <f t="shared" si="480"/>
        <v>#N/A</v>
      </c>
      <c r="X184" s="1999" t="str">
        <f t="shared" si="480"/>
        <v>#N/A</v>
      </c>
      <c r="Y184" s="1989">
        <f t="shared" si="39"/>
        <v>151</v>
      </c>
    </row>
    <row r="185">
      <c r="A185" s="1533">
        <v>750.0</v>
      </c>
      <c r="B185" s="1534" t="s">
        <v>3464</v>
      </c>
      <c r="C185" s="1524" t="s">
        <v>2214</v>
      </c>
      <c r="D185" s="1535" t="s">
        <v>2214</v>
      </c>
      <c r="E185" s="1550" t="s">
        <v>3126</v>
      </c>
      <c r="F185" s="1992" t="str">
        <f t="shared" si="31"/>
        <v>#N/A</v>
      </c>
      <c r="G185" s="1992" t="str">
        <f t="shared" si="32"/>
        <v>#N/A</v>
      </c>
      <c r="H185" s="1992" t="str">
        <f t="shared" si="33"/>
        <v>#N/A</v>
      </c>
      <c r="I185" s="1992" t="str">
        <f t="shared" si="34"/>
        <v>#N/A</v>
      </c>
      <c r="J185" s="1992" t="str">
        <f t="shared" si="35"/>
        <v>#N/A</v>
      </c>
      <c r="K185" s="1992" t="str">
        <f t="shared" si="36"/>
        <v>#N/A</v>
      </c>
      <c r="L185" s="1992" t="str">
        <f t="shared" si="37"/>
        <v>#N/A</v>
      </c>
      <c r="M185" s="1992" t="str">
        <f t="shared" ref="M185:O185" si="481">(SUMIF(MA_TAIKHOAN,$E185,SDCDK)+SUMIFs(PS_SOTIEN,PS_TKCO,$E185,PS_NGAY,"&lt;="&amp;M$1))-(SUMIF(MA_TAIKHOAN,$E185,SDNDK)+SUMIFS(PS_SOTIEN,PS_TKNO,$E185,PS_NGAY,"&lt;="&amp;M$1))</f>
        <v>#N/A</v>
      </c>
      <c r="N185" s="1992" t="str">
        <f t="shared" si="481"/>
        <v>#N/A</v>
      </c>
      <c r="O185" s="1992" t="str">
        <f t="shared" si="481"/>
        <v>#N/A</v>
      </c>
      <c r="P185" s="1992" t="str">
        <f t="shared" ref="P185:P193" si="485">(SUMIF(MA_TAIKHOAN,$E185,SDCDK)+SUMIFs(PS_SOTIEN,PS_TKCO,$E185,PS_NGAY,"&lt;="&amp;I$1))-(SUMIF(MA_TAIKHOAN,$E185,SDNDK)+SUMIFS(PS_SOTIEN,PS_TKNO,$E185,PS_NGAY,"&lt;="&amp;I$1))</f>
        <v>#N/A</v>
      </c>
      <c r="Q185" s="1992" t="str">
        <f t="shared" ref="Q185:S185" si="482">(SUMIF(MA_TAIKHOAN,$E185,SDCDK)+SUMIFs(PS_SOTIEN,PS_TKCO,$E185,PS_NGAY,"&lt;="&amp;P$1))-(SUMIF(MA_TAIKHOAN,$E185,SDNDK)+SUMIFS(PS_SOTIEN,PS_TKNO,$E185,PS_NGAY,"&lt;="&amp;P$1))</f>
        <v>#N/A</v>
      </c>
      <c r="R185" s="1992" t="str">
        <f t="shared" si="482"/>
        <v>#N/A</v>
      </c>
      <c r="S185" s="1992" t="str">
        <f t="shared" si="482"/>
        <v>#N/A</v>
      </c>
      <c r="T185" s="1992" t="str">
        <f t="shared" ref="T185:T193" si="487">(SUMIF(MA_TAIKHOAN,$E185,SDCDK)+SUMIFs(PS_SOTIEN,PS_TKCO,$E185,PS_NGAY,"&lt;="&amp;J$1))-(SUMIF(MA_TAIKHOAN,$E185,SDNDK)+SUMIFS(PS_SOTIEN,PS_TKNO,$E185,PS_NGAY,"&lt;="&amp;J$1))</f>
        <v>#N/A</v>
      </c>
      <c r="U185" s="1992" t="str">
        <f t="shared" ref="U185:U193" si="488">(SUMIF(MA_TAIKHOAN,$E185,SDCDK)+SUMIFs(PS_SOTIEN,PS_TKCO,$E185,PS_NGAY,"&lt;="&amp;G$1))-(SUMIF(MA_TAIKHOAN,$E185,SDNDK)+SUMIFS(PS_SOTIEN,PS_TKNO,$E185,PS_NGAY,"&lt;="&amp;G$1))</f>
        <v>#N/A</v>
      </c>
      <c r="V185" s="1992" t="str">
        <f t="shared" ref="V185:X185" si="483">(SUMIF(MA_TAIKHOAN,$E185,SDCDK)+SUMIFs(PS_SOTIEN,PS_TKCO,$E185,PS_NGAY,"&lt;="&amp;S$1))-(SUMIF(MA_TAIKHOAN,$E185,SDNDK)+SUMIFS(PS_SOTIEN,PS_TKNO,$E185,PS_NGAY,"&lt;="&amp;S$1))</f>
        <v>#N/A</v>
      </c>
      <c r="W185" s="1992" t="str">
        <f t="shared" si="483"/>
        <v>#N/A</v>
      </c>
      <c r="X185" s="1992" t="str">
        <f t="shared" si="483"/>
        <v>#N/A</v>
      </c>
      <c r="Y185" s="1989">
        <f t="shared" si="39"/>
        <v>152</v>
      </c>
    </row>
    <row r="186">
      <c r="A186" s="1533">
        <v>755.0</v>
      </c>
      <c r="B186" s="1534" t="s">
        <v>3465</v>
      </c>
      <c r="C186" s="1524" t="s">
        <v>2214</v>
      </c>
      <c r="D186" s="1535" t="s">
        <v>2214</v>
      </c>
      <c r="E186" s="1550" t="s">
        <v>3131</v>
      </c>
      <c r="F186" s="1992" t="str">
        <f t="shared" si="31"/>
        <v>#N/A</v>
      </c>
      <c r="G186" s="1992" t="str">
        <f t="shared" si="32"/>
        <v>#N/A</v>
      </c>
      <c r="H186" s="1992" t="str">
        <f t="shared" si="33"/>
        <v>#N/A</v>
      </c>
      <c r="I186" s="1992" t="str">
        <f t="shared" si="34"/>
        <v>#N/A</v>
      </c>
      <c r="J186" s="1992" t="str">
        <f t="shared" si="35"/>
        <v>#N/A</v>
      </c>
      <c r="K186" s="1992" t="str">
        <f t="shared" si="36"/>
        <v>#N/A</v>
      </c>
      <c r="L186" s="1992" t="str">
        <f t="shared" si="37"/>
        <v>#N/A</v>
      </c>
      <c r="M186" s="1992" t="str">
        <f t="shared" ref="M186:O186" si="484">(SUMIF(MA_TAIKHOAN,$E186,SDCDK)+SUMIFs(PS_SOTIEN,PS_TKCO,$E186,PS_NGAY,"&lt;="&amp;M$1))-(SUMIF(MA_TAIKHOAN,$E186,SDNDK)+SUMIFS(PS_SOTIEN,PS_TKNO,$E186,PS_NGAY,"&lt;="&amp;M$1))</f>
        <v>#N/A</v>
      </c>
      <c r="N186" s="1992" t="str">
        <f t="shared" si="484"/>
        <v>#N/A</v>
      </c>
      <c r="O186" s="1992" t="str">
        <f t="shared" si="484"/>
        <v>#N/A</v>
      </c>
      <c r="P186" s="1992" t="str">
        <f t="shared" si="485"/>
        <v>#N/A</v>
      </c>
      <c r="Q186" s="1992" t="str">
        <f t="shared" ref="Q186:S186" si="486">(SUMIF(MA_TAIKHOAN,$E186,SDCDK)+SUMIFs(PS_SOTIEN,PS_TKCO,$E186,PS_NGAY,"&lt;="&amp;P$1))-(SUMIF(MA_TAIKHOAN,$E186,SDNDK)+SUMIFS(PS_SOTIEN,PS_TKNO,$E186,PS_NGAY,"&lt;="&amp;P$1))</f>
        <v>#N/A</v>
      </c>
      <c r="R186" s="1992" t="str">
        <f t="shared" si="486"/>
        <v>#N/A</v>
      </c>
      <c r="S186" s="1992" t="str">
        <f t="shared" si="486"/>
        <v>#N/A</v>
      </c>
      <c r="T186" s="1992" t="str">
        <f t="shared" si="487"/>
        <v>#N/A</v>
      </c>
      <c r="U186" s="1992" t="str">
        <f t="shared" si="488"/>
        <v>#N/A</v>
      </c>
      <c r="V186" s="1992" t="str">
        <f t="shared" ref="V186:X186" si="489">(SUMIF(MA_TAIKHOAN,$E186,SDCDK)+SUMIFs(PS_SOTIEN,PS_TKCO,$E186,PS_NGAY,"&lt;="&amp;S$1))-(SUMIF(MA_TAIKHOAN,$E186,SDNDK)+SUMIFS(PS_SOTIEN,PS_TKNO,$E186,PS_NGAY,"&lt;="&amp;S$1))</f>
        <v>#N/A</v>
      </c>
      <c r="W186" s="1992" t="str">
        <f t="shared" si="489"/>
        <v>#N/A</v>
      </c>
      <c r="X186" s="1992" t="str">
        <f t="shared" si="489"/>
        <v>#N/A</v>
      </c>
      <c r="Y186" s="1989">
        <f t="shared" si="39"/>
        <v>153</v>
      </c>
    </row>
    <row r="187">
      <c r="A187" s="1533">
        <v>760.0</v>
      </c>
      <c r="B187" s="1534" t="s">
        <v>3466</v>
      </c>
      <c r="C187" s="1524" t="s">
        <v>2214</v>
      </c>
      <c r="D187" s="1535" t="s">
        <v>2214</v>
      </c>
      <c r="E187" s="1524" t="s">
        <v>3467</v>
      </c>
      <c r="F187" s="1992" t="str">
        <f t="shared" si="31"/>
        <v>#N/A</v>
      </c>
      <c r="G187" s="1992" t="str">
        <f t="shared" si="32"/>
        <v>#N/A</v>
      </c>
      <c r="H187" s="1992" t="str">
        <f t="shared" si="33"/>
        <v>#N/A</v>
      </c>
      <c r="I187" s="1992" t="str">
        <f t="shared" si="34"/>
        <v>#N/A</v>
      </c>
      <c r="J187" s="1992" t="str">
        <f t="shared" si="35"/>
        <v>#N/A</v>
      </c>
      <c r="K187" s="1992" t="str">
        <f t="shared" si="36"/>
        <v>#N/A</v>
      </c>
      <c r="L187" s="1992" t="str">
        <f t="shared" si="37"/>
        <v>#N/A</v>
      </c>
      <c r="M187" s="1992" t="str">
        <f t="shared" ref="M187:O187" si="490">(SUMIF(MA_TAIKHOAN,$E187,SDCDK)+SUMIFs(PS_SOTIEN,PS_TKCO,$E187,PS_NGAY,"&lt;="&amp;M$1))-(SUMIF(MA_TAIKHOAN,$E187,SDNDK)+SUMIFS(PS_SOTIEN,PS_TKNO,$E187,PS_NGAY,"&lt;="&amp;M$1))</f>
        <v>#N/A</v>
      </c>
      <c r="N187" s="1992" t="str">
        <f t="shared" si="490"/>
        <v>#N/A</v>
      </c>
      <c r="O187" s="1992" t="str">
        <f t="shared" si="490"/>
        <v>#N/A</v>
      </c>
      <c r="P187" s="1992" t="str">
        <f t="shared" si="485"/>
        <v>#N/A</v>
      </c>
      <c r="Q187" s="1992" t="str">
        <f t="shared" ref="Q187:S187" si="491">(SUMIF(MA_TAIKHOAN,$E187,SDCDK)+SUMIFs(PS_SOTIEN,PS_TKCO,$E187,PS_NGAY,"&lt;="&amp;P$1))-(SUMIF(MA_TAIKHOAN,$E187,SDNDK)+SUMIFS(PS_SOTIEN,PS_TKNO,$E187,PS_NGAY,"&lt;="&amp;P$1))</f>
        <v>#N/A</v>
      </c>
      <c r="R187" s="1992" t="str">
        <f t="shared" si="491"/>
        <v>#N/A</v>
      </c>
      <c r="S187" s="1992" t="str">
        <f t="shared" si="491"/>
        <v>#N/A</v>
      </c>
      <c r="T187" s="1992" t="str">
        <f t="shared" si="487"/>
        <v>#N/A</v>
      </c>
      <c r="U187" s="1992" t="str">
        <f t="shared" si="488"/>
        <v>#N/A</v>
      </c>
      <c r="V187" s="1992" t="str">
        <f t="shared" ref="V187:X187" si="492">(SUMIF(MA_TAIKHOAN,$E187,SDCDK)+SUMIFs(PS_SOTIEN,PS_TKCO,$E187,PS_NGAY,"&lt;="&amp;S$1))-(SUMIF(MA_TAIKHOAN,$E187,SDNDK)+SUMIFS(PS_SOTIEN,PS_TKNO,$E187,PS_NGAY,"&lt;="&amp;S$1))</f>
        <v>#N/A</v>
      </c>
      <c r="W187" s="1992" t="str">
        <f t="shared" si="492"/>
        <v>#N/A</v>
      </c>
      <c r="X187" s="1992" t="str">
        <f t="shared" si="492"/>
        <v>#N/A</v>
      </c>
      <c r="Y187" s="1989">
        <f t="shared" si="39"/>
        <v>154</v>
      </c>
    </row>
    <row r="188">
      <c r="A188" s="1533">
        <v>765.0</v>
      </c>
      <c r="B188" s="1534" t="s">
        <v>3468</v>
      </c>
      <c r="C188" s="1524" t="s">
        <v>2214</v>
      </c>
      <c r="D188" s="1535" t="s">
        <v>2214</v>
      </c>
      <c r="E188" s="1524" t="s">
        <v>3135</v>
      </c>
      <c r="F188" s="1992" t="str">
        <f t="shared" si="31"/>
        <v>#N/A</v>
      </c>
      <c r="G188" s="1992" t="str">
        <f t="shared" si="32"/>
        <v>#N/A</v>
      </c>
      <c r="H188" s="1992" t="str">
        <f t="shared" si="33"/>
        <v>#N/A</v>
      </c>
      <c r="I188" s="1992" t="str">
        <f t="shared" si="34"/>
        <v>#N/A</v>
      </c>
      <c r="J188" s="1992" t="str">
        <f t="shared" si="35"/>
        <v>#N/A</v>
      </c>
      <c r="K188" s="1992" t="str">
        <f t="shared" si="36"/>
        <v>#N/A</v>
      </c>
      <c r="L188" s="1992" t="str">
        <f t="shared" si="37"/>
        <v>#N/A</v>
      </c>
      <c r="M188" s="1992" t="str">
        <f t="shared" ref="M188:O188" si="493">(SUMIF(MA_TAIKHOAN,$E188,SDCDK)+SUMIFs(PS_SOTIEN,PS_TKCO,$E188,PS_NGAY,"&lt;="&amp;M$1))-(SUMIF(MA_TAIKHOAN,$E188,SDNDK)+SUMIFS(PS_SOTIEN,PS_TKNO,$E188,PS_NGAY,"&lt;="&amp;M$1))</f>
        <v>#N/A</v>
      </c>
      <c r="N188" s="1992" t="str">
        <f t="shared" si="493"/>
        <v>#N/A</v>
      </c>
      <c r="O188" s="1992" t="str">
        <f t="shared" si="493"/>
        <v>#N/A</v>
      </c>
      <c r="P188" s="1992" t="str">
        <f t="shared" si="485"/>
        <v>#N/A</v>
      </c>
      <c r="Q188" s="1992" t="str">
        <f t="shared" ref="Q188:S188" si="494">(SUMIF(MA_TAIKHOAN,$E188,SDCDK)+SUMIFs(PS_SOTIEN,PS_TKCO,$E188,PS_NGAY,"&lt;="&amp;P$1))-(SUMIF(MA_TAIKHOAN,$E188,SDNDK)+SUMIFS(PS_SOTIEN,PS_TKNO,$E188,PS_NGAY,"&lt;="&amp;P$1))</f>
        <v>#N/A</v>
      </c>
      <c r="R188" s="1992" t="str">
        <f t="shared" si="494"/>
        <v>#N/A</v>
      </c>
      <c r="S188" s="1992" t="str">
        <f t="shared" si="494"/>
        <v>#N/A</v>
      </c>
      <c r="T188" s="1992" t="str">
        <f t="shared" si="487"/>
        <v>#N/A</v>
      </c>
      <c r="U188" s="1992" t="str">
        <f t="shared" si="488"/>
        <v>#N/A</v>
      </c>
      <c r="V188" s="1992" t="str">
        <f t="shared" ref="V188:X188" si="495">(SUMIF(MA_TAIKHOAN,$E188,SDCDK)+SUMIFs(PS_SOTIEN,PS_TKCO,$E188,PS_NGAY,"&lt;="&amp;S$1))-(SUMIF(MA_TAIKHOAN,$E188,SDNDK)+SUMIFS(PS_SOTIEN,PS_TKNO,$E188,PS_NGAY,"&lt;="&amp;S$1))</f>
        <v>#N/A</v>
      </c>
      <c r="W188" s="1992" t="str">
        <f t="shared" si="495"/>
        <v>#N/A</v>
      </c>
      <c r="X188" s="1992" t="str">
        <f t="shared" si="495"/>
        <v>#N/A</v>
      </c>
      <c r="Y188" s="1989">
        <f t="shared" si="39"/>
        <v>155</v>
      </c>
    </row>
    <row r="189">
      <c r="A189" s="1533">
        <v>770.0</v>
      </c>
      <c r="B189" s="1534" t="s">
        <v>3469</v>
      </c>
      <c r="C189" s="1524" t="s">
        <v>3470</v>
      </c>
      <c r="D189" s="1535" t="s">
        <v>2214</v>
      </c>
      <c r="E189" s="1524"/>
      <c r="F189" s="1993" t="str">
        <f t="shared" si="31"/>
        <v>#N/A</v>
      </c>
      <c r="G189" s="1993" t="str">
        <f t="shared" si="32"/>
        <v>#N/A</v>
      </c>
      <c r="H189" s="1993" t="str">
        <f t="shared" si="33"/>
        <v>#N/A</v>
      </c>
      <c r="I189" s="1993" t="str">
        <f t="shared" si="34"/>
        <v>#N/A</v>
      </c>
      <c r="J189" s="1993" t="str">
        <f t="shared" si="35"/>
        <v>#N/A</v>
      </c>
      <c r="K189" s="1993" t="str">
        <f t="shared" si="36"/>
        <v>#N/A</v>
      </c>
      <c r="L189" s="1993" t="str">
        <f t="shared" si="37"/>
        <v>#N/A</v>
      </c>
      <c r="M189" s="1992" t="str">
        <f>(SUMIF(MA_TAIKHOAN,$E189,SDCDK)+SUMIFs(PS_SOTIEN,PS_TKCO,$E189,PS_NGAY,"&lt;="&amp;M$2))-(SUMIF(MA_TAIKHOAN,$E189,SDNDK)+SUMIFS(PS_SOTIEN,PS_TKNO,$E189,PS_NGAY,"&lt;="&amp;M$2))</f>
        <v>#N/A</v>
      </c>
      <c r="N189" s="1993" t="str">
        <f t="shared" ref="N189:O189" si="496">(SUMIF(MA_TAIKHOAN,$E189,SDCDK)+SUMIFs(PS_SOTIEN,PS_TKCO,$E189,PS_NGAY,"&lt;="&amp;N$1))-(SUMIF(MA_TAIKHOAN,$E189,SDNDK)+SUMIFS(PS_SOTIEN,PS_TKNO,$E189,PS_NGAY,"&lt;="&amp;N$1))</f>
        <v>#N/A</v>
      </c>
      <c r="O189" s="1993" t="str">
        <f t="shared" si="496"/>
        <v>#N/A</v>
      </c>
      <c r="P189" s="1993" t="str">
        <f t="shared" si="485"/>
        <v>#N/A</v>
      </c>
      <c r="Q189" s="1993" t="str">
        <f t="shared" ref="Q189:S189" si="497">(SUMIF(MA_TAIKHOAN,$E189,SDCDK)+SUMIFs(PS_SOTIEN,PS_TKCO,$E189,PS_NGAY,"&lt;="&amp;P$1))-(SUMIF(MA_TAIKHOAN,$E189,SDNDK)+SUMIFS(PS_SOTIEN,PS_TKNO,$E189,PS_NGAY,"&lt;="&amp;P$1))</f>
        <v>#N/A</v>
      </c>
      <c r="R189" s="1993" t="str">
        <f t="shared" si="497"/>
        <v>#N/A</v>
      </c>
      <c r="S189" s="1993" t="str">
        <f t="shared" si="497"/>
        <v>#N/A</v>
      </c>
      <c r="T189" s="1993" t="str">
        <f t="shared" si="487"/>
        <v>#N/A</v>
      </c>
      <c r="U189" s="1993" t="str">
        <f t="shared" si="488"/>
        <v>#N/A</v>
      </c>
      <c r="V189" s="1993" t="str">
        <f t="shared" ref="V189:X189" si="498">(SUMIF(MA_TAIKHOAN,$E189,SDCDK)+SUMIFs(PS_SOTIEN,PS_TKCO,$E189,PS_NGAY,"&lt;="&amp;S$1))-(SUMIF(MA_TAIKHOAN,$E189,SDNDK)+SUMIFS(PS_SOTIEN,PS_TKNO,$E189,PS_NGAY,"&lt;="&amp;S$1))</f>
        <v>#N/A</v>
      </c>
      <c r="W189" s="1993" t="str">
        <f t="shared" si="498"/>
        <v>#N/A</v>
      </c>
      <c r="X189" s="1993" t="str">
        <f t="shared" si="498"/>
        <v>#N/A</v>
      </c>
      <c r="Y189" s="1989">
        <f t="shared" si="39"/>
        <v>156</v>
      </c>
    </row>
    <row r="190">
      <c r="A190" s="1533">
        <v>775.0</v>
      </c>
      <c r="B190" s="1534" t="s">
        <v>3471</v>
      </c>
      <c r="C190" s="1524" t="s">
        <v>3472</v>
      </c>
      <c r="D190" s="1535" t="s">
        <v>2214</v>
      </c>
      <c r="E190" s="1550" t="s">
        <v>3473</v>
      </c>
      <c r="F190" s="1993" t="str">
        <f t="shared" si="31"/>
        <v>#N/A</v>
      </c>
      <c r="G190" s="1993" t="str">
        <f t="shared" si="32"/>
        <v>#N/A</v>
      </c>
      <c r="H190" s="1993" t="str">
        <f t="shared" si="33"/>
        <v>#N/A</v>
      </c>
      <c r="I190" s="1993" t="str">
        <f t="shared" si="34"/>
        <v>#N/A</v>
      </c>
      <c r="J190" s="1993" t="str">
        <f t="shared" si="35"/>
        <v>#N/A</v>
      </c>
      <c r="K190" s="1993" t="str">
        <f t="shared" si="36"/>
        <v>#N/A</v>
      </c>
      <c r="L190" s="1993" t="str">
        <f t="shared" si="37"/>
        <v>#N/A</v>
      </c>
      <c r="M190" s="1992" t="str">
        <f t="shared" ref="M190:O190" si="499">(SUMIF(MA_TAIKHOAN,$E190,SDCDK)+SUMIFs(PS_SOTIEN,PS_TKCO,$E190,PS_NGAY,"&lt;="&amp;M$1))-(SUMIF(MA_TAIKHOAN,$E190,SDNDK)+SUMIFS(PS_SOTIEN,PS_TKNO,$E190,PS_NGAY,"&lt;="&amp;M$1))</f>
        <v>#N/A</v>
      </c>
      <c r="N190" s="1993" t="str">
        <f t="shared" si="499"/>
        <v>#N/A</v>
      </c>
      <c r="O190" s="1993" t="str">
        <f t="shared" si="499"/>
        <v>#N/A</v>
      </c>
      <c r="P190" s="1993" t="str">
        <f t="shared" si="485"/>
        <v>#N/A</v>
      </c>
      <c r="Q190" s="1993" t="str">
        <f t="shared" ref="Q190:S190" si="500">(SUMIF(MA_TAIKHOAN,$E190,SDCDK)+SUMIFs(PS_SOTIEN,PS_TKCO,$E190,PS_NGAY,"&lt;="&amp;P$1))-(SUMIF(MA_TAIKHOAN,$E190,SDNDK)+SUMIFS(PS_SOTIEN,PS_TKNO,$E190,PS_NGAY,"&lt;="&amp;P$1))</f>
        <v>#N/A</v>
      </c>
      <c r="R190" s="1993" t="str">
        <f t="shared" si="500"/>
        <v>#N/A</v>
      </c>
      <c r="S190" s="1993" t="str">
        <f t="shared" si="500"/>
        <v>#N/A</v>
      </c>
      <c r="T190" s="1993" t="str">
        <f t="shared" si="487"/>
        <v>#N/A</v>
      </c>
      <c r="U190" s="1993" t="str">
        <f t="shared" si="488"/>
        <v>#N/A</v>
      </c>
      <c r="V190" s="1993" t="str">
        <f t="shared" ref="V190:X190" si="501">(SUMIF(MA_TAIKHOAN,$E190,SDCDK)+SUMIFs(PS_SOTIEN,PS_TKCO,$E190,PS_NGAY,"&lt;="&amp;S$1))-(SUMIF(MA_TAIKHOAN,$E190,SDNDK)+SUMIFS(PS_SOTIEN,PS_TKNO,$E190,PS_NGAY,"&lt;="&amp;S$1))</f>
        <v>#N/A</v>
      </c>
      <c r="W190" s="1993" t="str">
        <f t="shared" si="501"/>
        <v>#N/A</v>
      </c>
      <c r="X190" s="1993" t="str">
        <f t="shared" si="501"/>
        <v>#N/A</v>
      </c>
      <c r="Y190" s="1989">
        <f t="shared" si="39"/>
        <v>157</v>
      </c>
    </row>
    <row r="191">
      <c r="A191" s="1533">
        <v>780.0</v>
      </c>
      <c r="B191" s="1534" t="s">
        <v>3474</v>
      </c>
      <c r="C191" s="1524" t="s">
        <v>3126</v>
      </c>
      <c r="D191" s="1535" t="s">
        <v>2214</v>
      </c>
      <c r="E191" s="1524" t="s">
        <v>3139</v>
      </c>
      <c r="F191" s="1993" t="str">
        <f t="shared" si="31"/>
        <v>#N/A</v>
      </c>
      <c r="G191" s="1993" t="str">
        <f t="shared" si="32"/>
        <v>#N/A</v>
      </c>
      <c r="H191" s="1993" t="str">
        <f t="shared" si="33"/>
        <v>#N/A</v>
      </c>
      <c r="I191" s="1993" t="str">
        <f t="shared" si="34"/>
        <v>#N/A</v>
      </c>
      <c r="J191" s="1993" t="str">
        <f t="shared" si="35"/>
        <v>#N/A</v>
      </c>
      <c r="K191" s="1993" t="str">
        <f t="shared" si="36"/>
        <v>#N/A</v>
      </c>
      <c r="L191" s="1993" t="str">
        <f t="shared" si="37"/>
        <v>#N/A</v>
      </c>
      <c r="M191" s="1993" t="str">
        <f t="shared" ref="M191:O191" si="502">(SUMIF(MA_TAIKHOAN,$E191,SDCDK)+SUMIFs(PS_SOTIEN,PS_TKCO,$E191,PS_NGAY,"&lt;="&amp;M$1))-(SUMIF(MA_TAIKHOAN,$E191,SDNDK)+SUMIFS(PS_SOTIEN,PS_TKNO,$E191,PS_NGAY,"&lt;="&amp;M$1))</f>
        <v>#N/A</v>
      </c>
      <c r="N191" s="1993" t="str">
        <f t="shared" si="502"/>
        <v>#N/A</v>
      </c>
      <c r="O191" s="1993" t="str">
        <f t="shared" si="502"/>
        <v>#N/A</v>
      </c>
      <c r="P191" s="1993" t="str">
        <f t="shared" si="485"/>
        <v>#N/A</v>
      </c>
      <c r="Q191" s="1993" t="str">
        <f t="shared" ref="Q191:S191" si="503">(SUMIF(MA_TAIKHOAN,$E191,SDCDK)+SUMIFs(PS_SOTIEN,PS_TKCO,$E191,PS_NGAY,"&lt;="&amp;P$1))-(SUMIF(MA_TAIKHOAN,$E191,SDNDK)+SUMIFS(PS_SOTIEN,PS_TKNO,$E191,PS_NGAY,"&lt;="&amp;P$1))</f>
        <v>#N/A</v>
      </c>
      <c r="R191" s="1993" t="str">
        <f t="shared" si="503"/>
        <v>#N/A</v>
      </c>
      <c r="S191" s="1993" t="str">
        <f t="shared" si="503"/>
        <v>#N/A</v>
      </c>
      <c r="T191" s="1993" t="str">
        <f t="shared" si="487"/>
        <v>#N/A</v>
      </c>
      <c r="U191" s="1993" t="str">
        <f t="shared" si="488"/>
        <v>#N/A</v>
      </c>
      <c r="V191" s="1993" t="str">
        <f t="shared" ref="V191:X191" si="504">(SUMIF(MA_TAIKHOAN,$E191,SDCDK)+SUMIFs(PS_SOTIEN,PS_TKCO,$E191,PS_NGAY,"&lt;="&amp;S$1))-(SUMIF(MA_TAIKHOAN,$E191,SDNDK)+SUMIFS(PS_SOTIEN,PS_TKNO,$E191,PS_NGAY,"&lt;="&amp;S$1))</f>
        <v>#N/A</v>
      </c>
      <c r="W191" s="1993" t="str">
        <f t="shared" si="504"/>
        <v>#N/A</v>
      </c>
      <c r="X191" s="1993" t="str">
        <f t="shared" si="504"/>
        <v>#N/A</v>
      </c>
      <c r="Y191" s="1989">
        <f t="shared" si="39"/>
        <v>158</v>
      </c>
    </row>
    <row r="192">
      <c r="A192" s="1533">
        <v>785.0</v>
      </c>
      <c r="B192" s="1534" t="s">
        <v>3475</v>
      </c>
      <c r="C192" s="1524" t="s">
        <v>3476</v>
      </c>
      <c r="D192" s="1535" t="s">
        <v>2214</v>
      </c>
      <c r="E192" s="1550" t="s">
        <v>3140</v>
      </c>
      <c r="F192" s="1993" t="str">
        <f t="shared" si="31"/>
        <v>#N/A</v>
      </c>
      <c r="G192" s="1993" t="str">
        <f t="shared" si="32"/>
        <v>#N/A</v>
      </c>
      <c r="H192" s="1993" t="str">
        <f t="shared" si="33"/>
        <v>#N/A</v>
      </c>
      <c r="I192" s="1993" t="str">
        <f t="shared" si="34"/>
        <v>#N/A</v>
      </c>
      <c r="J192" s="1993" t="str">
        <f t="shared" si="35"/>
        <v>#N/A</v>
      </c>
      <c r="K192" s="1993" t="str">
        <f t="shared" si="36"/>
        <v>#N/A</v>
      </c>
      <c r="L192" s="1993" t="str">
        <f t="shared" si="37"/>
        <v>#N/A</v>
      </c>
      <c r="M192" s="1993" t="str">
        <f t="shared" ref="M192:O192" si="505">(SUMIF(MA_TAIKHOAN,$E192,SDCDK)+SUMIFs(PS_SOTIEN,PS_TKCO,$E192,PS_NGAY,"&lt;="&amp;M$1))-(SUMIF(MA_TAIKHOAN,$E192,SDNDK)+SUMIFS(PS_SOTIEN,PS_TKNO,$E192,PS_NGAY,"&lt;="&amp;M$1))</f>
        <v>#N/A</v>
      </c>
      <c r="N192" s="1993" t="str">
        <f t="shared" si="505"/>
        <v>#N/A</v>
      </c>
      <c r="O192" s="1993" t="str">
        <f t="shared" si="505"/>
        <v>#N/A</v>
      </c>
      <c r="P192" s="1993" t="str">
        <f t="shared" si="485"/>
        <v>#N/A</v>
      </c>
      <c r="Q192" s="1993" t="str">
        <f t="shared" ref="Q192:S192" si="506">(SUMIF(MA_TAIKHOAN,$E192,SDCDK)+SUMIFs(PS_SOTIEN,PS_TKCO,$E192,PS_NGAY,"&lt;="&amp;P$1))-(SUMIF(MA_TAIKHOAN,$E192,SDNDK)+SUMIFS(PS_SOTIEN,PS_TKNO,$E192,PS_NGAY,"&lt;="&amp;P$1))</f>
        <v>#N/A</v>
      </c>
      <c r="R192" s="1993" t="str">
        <f t="shared" si="506"/>
        <v>#N/A</v>
      </c>
      <c r="S192" s="1993" t="str">
        <f t="shared" si="506"/>
        <v>#N/A</v>
      </c>
      <c r="T192" s="1993" t="str">
        <f t="shared" si="487"/>
        <v>#N/A</v>
      </c>
      <c r="U192" s="1993" t="str">
        <f t="shared" si="488"/>
        <v>#N/A</v>
      </c>
      <c r="V192" s="1993" t="str">
        <f t="shared" ref="V192:X192" si="507">(SUMIF(MA_TAIKHOAN,$E192,SDCDK)+SUMIFs(PS_SOTIEN,PS_TKCO,$E192,PS_NGAY,"&lt;="&amp;S$1))-(SUMIF(MA_TAIKHOAN,$E192,SDNDK)+SUMIFS(PS_SOTIEN,PS_TKNO,$E192,PS_NGAY,"&lt;="&amp;S$1))</f>
        <v>#N/A</v>
      </c>
      <c r="W192" s="1993" t="str">
        <f t="shared" si="507"/>
        <v>#N/A</v>
      </c>
      <c r="X192" s="1993" t="str">
        <f t="shared" si="507"/>
        <v>#N/A</v>
      </c>
      <c r="Y192" s="1989">
        <f t="shared" si="39"/>
        <v>159</v>
      </c>
    </row>
    <row r="193">
      <c r="A193" s="1533">
        <v>790.0</v>
      </c>
      <c r="B193" s="1534" t="s">
        <v>3477</v>
      </c>
      <c r="C193" s="1524" t="s">
        <v>3129</v>
      </c>
      <c r="D193" s="1535" t="s">
        <v>2214</v>
      </c>
      <c r="E193" s="1524" t="s">
        <v>3152</v>
      </c>
      <c r="F193" s="1993" t="str">
        <f t="shared" si="31"/>
        <v>#N/A</v>
      </c>
      <c r="G193" s="1993" t="str">
        <f t="shared" si="32"/>
        <v>#N/A</v>
      </c>
      <c r="H193" s="1993" t="str">
        <f t="shared" si="33"/>
        <v>#N/A</v>
      </c>
      <c r="I193" s="1993" t="str">
        <f t="shared" si="34"/>
        <v>#N/A</v>
      </c>
      <c r="J193" s="1993" t="str">
        <f t="shared" si="35"/>
        <v>#N/A</v>
      </c>
      <c r="K193" s="1993" t="str">
        <f t="shared" si="36"/>
        <v>#N/A</v>
      </c>
      <c r="L193" s="1993" t="str">
        <f t="shared" si="37"/>
        <v>#N/A</v>
      </c>
      <c r="M193" s="1993" t="str">
        <f t="shared" ref="M193:O193" si="508">(SUMIF(MA_TAIKHOAN,$E193,SDCDK)+SUMIFs(PS_SOTIEN,PS_TKCO,$E193,PS_NGAY,"&lt;="&amp;M$1))-(SUMIF(MA_TAIKHOAN,$E193,SDNDK)+SUMIFS(PS_SOTIEN,PS_TKNO,$E193,PS_NGAY,"&lt;="&amp;M$1))</f>
        <v>#N/A</v>
      </c>
      <c r="N193" s="1993" t="str">
        <f t="shared" si="508"/>
        <v>#N/A</v>
      </c>
      <c r="O193" s="1993" t="str">
        <f t="shared" si="508"/>
        <v>#N/A</v>
      </c>
      <c r="P193" s="1993" t="str">
        <f t="shared" si="485"/>
        <v>#N/A</v>
      </c>
      <c r="Q193" s="1993" t="str">
        <f t="shared" ref="Q193:S193" si="509">(SUMIF(MA_TAIKHOAN,$E193,SDCDK)+SUMIFs(PS_SOTIEN,PS_TKCO,$E193,PS_NGAY,"&lt;="&amp;P$1))-(SUMIF(MA_TAIKHOAN,$E193,SDNDK)+SUMIFS(PS_SOTIEN,PS_TKNO,$E193,PS_NGAY,"&lt;="&amp;P$1))</f>
        <v>#N/A</v>
      </c>
      <c r="R193" s="1993" t="str">
        <f t="shared" si="509"/>
        <v>#N/A</v>
      </c>
      <c r="S193" s="1993" t="str">
        <f t="shared" si="509"/>
        <v>#N/A</v>
      </c>
      <c r="T193" s="1993" t="str">
        <f t="shared" si="487"/>
        <v>#N/A</v>
      </c>
      <c r="U193" s="1993" t="str">
        <f t="shared" si="488"/>
        <v>#N/A</v>
      </c>
      <c r="V193" s="1993" t="str">
        <f t="shared" ref="V193:X193" si="510">(SUMIF(MA_TAIKHOAN,$E193,SDCDK)+SUMIFs(PS_SOTIEN,PS_TKCO,$E193,PS_NGAY,"&lt;="&amp;S$1))-(SUMIF(MA_TAIKHOAN,$E193,SDNDK)+SUMIFS(PS_SOTIEN,PS_TKNO,$E193,PS_NGAY,"&lt;="&amp;S$1))</f>
        <v>#N/A</v>
      </c>
      <c r="W193" s="1993" t="str">
        <f t="shared" si="510"/>
        <v>#N/A</v>
      </c>
      <c r="X193" s="1993" t="str">
        <f t="shared" si="510"/>
        <v>#N/A</v>
      </c>
      <c r="Y193" s="1989">
        <f t="shared" si="39"/>
        <v>160</v>
      </c>
    </row>
    <row r="194">
      <c r="A194" s="1509">
        <v>795.0</v>
      </c>
      <c r="B194" s="1510" t="s">
        <v>3478</v>
      </c>
      <c r="C194" s="1511" t="s">
        <v>3479</v>
      </c>
      <c r="D194" s="1512" t="s">
        <v>3480</v>
      </c>
      <c r="E194" s="1513"/>
      <c r="F194" s="1514" t="str">
        <f t="shared" si="31"/>
        <v>#N/A</v>
      </c>
      <c r="G194" s="1990" t="str">
        <f t="shared" si="32"/>
        <v>#N/A</v>
      </c>
      <c r="H194" s="1514" t="str">
        <f t="shared" si="33"/>
        <v>#N/A</v>
      </c>
      <c r="I194" s="1990" t="str">
        <f t="shared" si="34"/>
        <v>#N/A</v>
      </c>
      <c r="J194" s="1990" t="str">
        <f t="shared" si="35"/>
        <v>#N/A</v>
      </c>
      <c r="K194" s="1990" t="str">
        <f t="shared" si="36"/>
        <v>#N/A</v>
      </c>
      <c r="L194" s="1514" t="str">
        <f t="shared" si="37"/>
        <v>#N/A</v>
      </c>
      <c r="M194" s="1990" t="str">
        <f t="shared" ref="M194:X194" si="511">M195+M212</f>
        <v>#N/A</v>
      </c>
      <c r="N194" s="1990" t="str">
        <f t="shared" si="511"/>
        <v>#N/A</v>
      </c>
      <c r="O194" s="1990" t="str">
        <f t="shared" si="511"/>
        <v>#N/A</v>
      </c>
      <c r="P194" s="1990" t="str">
        <f t="shared" si="511"/>
        <v>#N/A</v>
      </c>
      <c r="Q194" s="1990" t="str">
        <f t="shared" si="511"/>
        <v>#N/A</v>
      </c>
      <c r="R194" s="1990" t="str">
        <f t="shared" si="511"/>
        <v>#N/A</v>
      </c>
      <c r="S194" s="1990" t="str">
        <f t="shared" si="511"/>
        <v>#N/A</v>
      </c>
      <c r="T194" s="1990" t="str">
        <f t="shared" si="511"/>
        <v>#N/A</v>
      </c>
      <c r="U194" s="1990" t="str">
        <f t="shared" si="511"/>
        <v>#N/A</v>
      </c>
      <c r="V194" s="1990" t="str">
        <f t="shared" si="511"/>
        <v>#N/A</v>
      </c>
      <c r="W194" s="1990" t="str">
        <f t="shared" si="511"/>
        <v>#N/A</v>
      </c>
      <c r="X194" s="1514" t="str">
        <f t="shared" si="511"/>
        <v>#N/A</v>
      </c>
      <c r="Y194" s="1989">
        <f>ROW()-$Y$33-14</f>
        <v>147</v>
      </c>
    </row>
    <row r="195">
      <c r="A195" s="1520">
        <v>800.0</v>
      </c>
      <c r="B195" s="1521" t="s">
        <v>3481</v>
      </c>
      <c r="C195" s="1522" t="s">
        <v>3482</v>
      </c>
      <c r="D195" s="1523" t="s">
        <v>3483</v>
      </c>
      <c r="E195" s="1524" t="s">
        <v>2214</v>
      </c>
      <c r="F195" s="1998" t="str">
        <f t="shared" si="31"/>
        <v>#N/A</v>
      </c>
      <c r="G195" s="1991" t="str">
        <f t="shared" si="32"/>
        <v>#N/A</v>
      </c>
      <c r="H195" s="1998" t="str">
        <f t="shared" si="33"/>
        <v>#N/A</v>
      </c>
      <c r="I195" s="1991" t="str">
        <f t="shared" si="34"/>
        <v>#N/A</v>
      </c>
      <c r="J195" s="1991" t="str">
        <f t="shared" si="35"/>
        <v>#N/A</v>
      </c>
      <c r="K195" s="1991" t="str">
        <f t="shared" si="36"/>
        <v>#N/A</v>
      </c>
      <c r="L195" s="1998" t="str">
        <f t="shared" si="37"/>
        <v>#N/A</v>
      </c>
      <c r="M195" s="1991" t="str">
        <f t="shared" ref="M195:X195" si="512">M196+SUM(M199:M208)+M211</f>
        <v>#N/A</v>
      </c>
      <c r="N195" s="1991" t="str">
        <f t="shared" si="512"/>
        <v>#N/A</v>
      </c>
      <c r="O195" s="1991" t="str">
        <f t="shared" si="512"/>
        <v>#N/A</v>
      </c>
      <c r="P195" s="1991" t="str">
        <f t="shared" si="512"/>
        <v>#N/A</v>
      </c>
      <c r="Q195" s="1991" t="str">
        <f t="shared" si="512"/>
        <v>#N/A</v>
      </c>
      <c r="R195" s="1991" t="str">
        <f t="shared" si="512"/>
        <v>#N/A</v>
      </c>
      <c r="S195" s="1991" t="str">
        <f t="shared" si="512"/>
        <v>#N/A</v>
      </c>
      <c r="T195" s="1991" t="str">
        <f t="shared" si="512"/>
        <v>#N/A</v>
      </c>
      <c r="U195" s="1991" t="str">
        <f t="shared" si="512"/>
        <v>#N/A</v>
      </c>
      <c r="V195" s="1991" t="str">
        <f t="shared" si="512"/>
        <v>#N/A</v>
      </c>
      <c r="W195" s="1991" t="str">
        <f t="shared" si="512"/>
        <v>#N/A</v>
      </c>
      <c r="X195" s="1998" t="str">
        <f t="shared" si="512"/>
        <v>#N/A</v>
      </c>
      <c r="Y195" s="1989">
        <f t="shared" ref="Y195:Y218" si="514">ROW()-$Y$33</f>
        <v>162</v>
      </c>
    </row>
    <row r="196">
      <c r="A196" s="1533">
        <v>805.0</v>
      </c>
      <c r="B196" s="1534" t="s">
        <v>3484</v>
      </c>
      <c r="C196" s="1524" t="s">
        <v>3157</v>
      </c>
      <c r="D196" s="1535" t="s">
        <v>3485</v>
      </c>
      <c r="E196" s="1524"/>
      <c r="F196" s="1999" t="str">
        <f t="shared" si="31"/>
        <v>#N/A</v>
      </c>
      <c r="G196" s="1990" t="str">
        <f t="shared" si="32"/>
        <v>#N/A</v>
      </c>
      <c r="H196" s="1999" t="str">
        <f t="shared" si="33"/>
        <v>#N/A</v>
      </c>
      <c r="I196" s="1990" t="str">
        <f t="shared" si="34"/>
        <v>#N/A</v>
      </c>
      <c r="J196" s="1990" t="str">
        <f t="shared" si="35"/>
        <v>#N/A</v>
      </c>
      <c r="K196" s="1990" t="str">
        <f t="shared" si="36"/>
        <v>#N/A</v>
      </c>
      <c r="L196" s="1999" t="str">
        <f t="shared" si="37"/>
        <v>#N/A</v>
      </c>
      <c r="M196" s="1990" t="str">
        <f t="shared" ref="M196:X196" si="513">SUM(M197:M198)</f>
        <v>#N/A</v>
      </c>
      <c r="N196" s="1990" t="str">
        <f t="shared" si="513"/>
        <v>#N/A</v>
      </c>
      <c r="O196" s="1990" t="str">
        <f t="shared" si="513"/>
        <v>#N/A</v>
      </c>
      <c r="P196" s="1990" t="str">
        <f t="shared" si="513"/>
        <v>#N/A</v>
      </c>
      <c r="Q196" s="1990" t="str">
        <f t="shared" si="513"/>
        <v>#N/A</v>
      </c>
      <c r="R196" s="1990" t="str">
        <f t="shared" si="513"/>
        <v>#N/A</v>
      </c>
      <c r="S196" s="1990" t="str">
        <f t="shared" si="513"/>
        <v>#N/A</v>
      </c>
      <c r="T196" s="1990" t="str">
        <f t="shared" si="513"/>
        <v>#N/A</v>
      </c>
      <c r="U196" s="1990" t="str">
        <f t="shared" si="513"/>
        <v>#N/A</v>
      </c>
      <c r="V196" s="1990" t="str">
        <f t="shared" si="513"/>
        <v>#N/A</v>
      </c>
      <c r="W196" s="1990" t="str">
        <f t="shared" si="513"/>
        <v>#N/A</v>
      </c>
      <c r="X196" s="1999" t="str">
        <f t="shared" si="513"/>
        <v>#N/A</v>
      </c>
      <c r="Y196" s="1989">
        <f t="shared" si="514"/>
        <v>163</v>
      </c>
    </row>
    <row r="197">
      <c r="A197" s="1533">
        <v>810.0</v>
      </c>
      <c r="B197" s="1534" t="s">
        <v>3486</v>
      </c>
      <c r="C197" s="1524" t="s">
        <v>3487</v>
      </c>
      <c r="D197" s="1535" t="s">
        <v>2214</v>
      </c>
      <c r="E197" s="1524" t="s">
        <v>3157</v>
      </c>
      <c r="F197" s="1992" t="str">
        <f t="shared" si="31"/>
        <v>#N/A</v>
      </c>
      <c r="G197" s="1992" t="str">
        <f t="shared" si="32"/>
        <v>#N/A</v>
      </c>
      <c r="H197" s="1992" t="str">
        <f t="shared" si="33"/>
        <v>#N/A</v>
      </c>
      <c r="I197" s="1992" t="str">
        <f t="shared" si="34"/>
        <v>#N/A</v>
      </c>
      <c r="J197" s="1992" t="str">
        <f t="shared" si="35"/>
        <v>#N/A</v>
      </c>
      <c r="K197" s="1992" t="str">
        <f t="shared" si="36"/>
        <v>#N/A</v>
      </c>
      <c r="L197" s="1992" t="str">
        <f t="shared" si="37"/>
        <v>#N/A</v>
      </c>
      <c r="M197" s="1992" t="str">
        <f t="shared" ref="M197:O197" si="515">(SUMIF(MA_TAIKHOAN,$E197,SDCDK)+SUMIFs(PS_SOTIEN,PS_TKCO,$E197,PS_NGAY,"&lt;="&amp;M$1))-(SUMIF(MA_TAIKHOAN,$E197,SDNDK)+SUMIFS(PS_SOTIEN,PS_TKNO,$E197,PS_NGAY,"&lt;="&amp;M$1))</f>
        <v>#N/A</v>
      </c>
      <c r="N197" s="1992" t="str">
        <f t="shared" si="515"/>
        <v>#N/A</v>
      </c>
      <c r="O197" s="1992" t="str">
        <f t="shared" si="515"/>
        <v>#N/A</v>
      </c>
      <c r="P197" s="1992" t="str">
        <f t="shared" ref="P197:P207" si="519">(SUMIF(MA_TAIKHOAN,$E197,SDCDK)+SUMIFs(PS_SOTIEN,PS_TKCO,$E197,PS_NGAY,"&lt;="&amp;I$1))-(SUMIF(MA_TAIKHOAN,$E197,SDNDK)+SUMIFS(PS_SOTIEN,PS_TKNO,$E197,PS_NGAY,"&lt;="&amp;I$1))</f>
        <v>#N/A</v>
      </c>
      <c r="Q197" s="1992" t="str">
        <f t="shared" ref="Q197:S197" si="516">(SUMIF(MA_TAIKHOAN,$E197,SDCDK)+SUMIFs(PS_SOTIEN,PS_TKCO,$E197,PS_NGAY,"&lt;="&amp;P$1))-(SUMIF(MA_TAIKHOAN,$E197,SDNDK)+SUMIFS(PS_SOTIEN,PS_TKNO,$E197,PS_NGAY,"&lt;="&amp;P$1))</f>
        <v>#N/A</v>
      </c>
      <c r="R197" s="1992" t="str">
        <f t="shared" si="516"/>
        <v>#N/A</v>
      </c>
      <c r="S197" s="1992" t="str">
        <f t="shared" si="516"/>
        <v>#N/A</v>
      </c>
      <c r="T197" s="1992" t="str">
        <f t="shared" ref="T197:T207" si="521">(SUMIF(MA_TAIKHOAN,$E197,SDCDK)+SUMIFs(PS_SOTIEN,PS_TKCO,$E197,PS_NGAY,"&lt;="&amp;J$1))-(SUMIF(MA_TAIKHOAN,$E197,SDNDK)+SUMIFS(PS_SOTIEN,PS_TKNO,$E197,PS_NGAY,"&lt;="&amp;J$1))</f>
        <v>#N/A</v>
      </c>
      <c r="U197" s="1992" t="str">
        <f t="shared" ref="U197:U207" si="522">(SUMIF(MA_TAIKHOAN,$E197,SDCDK)+SUMIFs(PS_SOTIEN,PS_TKCO,$E197,PS_NGAY,"&lt;="&amp;G$1))-(SUMIF(MA_TAIKHOAN,$E197,SDNDK)+SUMIFS(PS_SOTIEN,PS_TKNO,$E197,PS_NGAY,"&lt;="&amp;G$1))</f>
        <v>#N/A</v>
      </c>
      <c r="V197" s="1992" t="str">
        <f t="shared" ref="V197:X197" si="517">(SUMIF(MA_TAIKHOAN,$E197,SDCDK)+SUMIFs(PS_SOTIEN,PS_TKCO,$E197,PS_NGAY,"&lt;="&amp;S$1))-(SUMIF(MA_TAIKHOAN,$E197,SDNDK)+SUMIFS(PS_SOTIEN,PS_TKNO,$E197,PS_NGAY,"&lt;="&amp;S$1))</f>
        <v>#N/A</v>
      </c>
      <c r="W197" s="1992" t="str">
        <f t="shared" si="517"/>
        <v>#N/A</v>
      </c>
      <c r="X197" s="1992" t="str">
        <f t="shared" si="517"/>
        <v>#N/A</v>
      </c>
      <c r="Y197" s="1989">
        <f t="shared" si="514"/>
        <v>164</v>
      </c>
    </row>
    <row r="198">
      <c r="A198" s="1533">
        <v>815.0</v>
      </c>
      <c r="B198" s="1534" t="s">
        <v>3488</v>
      </c>
      <c r="C198" s="1524" t="s">
        <v>3489</v>
      </c>
      <c r="D198" s="1535" t="s">
        <v>2214</v>
      </c>
      <c r="E198" s="1524" t="s">
        <v>3473</v>
      </c>
      <c r="F198" s="1992" t="str">
        <f t="shared" si="31"/>
        <v>#N/A</v>
      </c>
      <c r="G198" s="1992" t="str">
        <f t="shared" si="32"/>
        <v>#N/A</v>
      </c>
      <c r="H198" s="1992" t="str">
        <f t="shared" si="33"/>
        <v>#N/A</v>
      </c>
      <c r="I198" s="1992" t="str">
        <f t="shared" si="34"/>
        <v>#N/A</v>
      </c>
      <c r="J198" s="1992" t="str">
        <f t="shared" si="35"/>
        <v>#N/A</v>
      </c>
      <c r="K198" s="1992" t="str">
        <f t="shared" si="36"/>
        <v>#N/A</v>
      </c>
      <c r="L198" s="1992" t="str">
        <f t="shared" si="37"/>
        <v>#N/A</v>
      </c>
      <c r="M198" s="1992" t="str">
        <f t="shared" ref="M198:O198" si="518">(SUMIF(MA_TAIKHOAN,$E198,SDCDK)+SUMIFs(PS_SOTIEN,PS_TKCO,$E198,PS_NGAY,"&lt;="&amp;M$1))-(SUMIF(MA_TAIKHOAN,$E198,SDNDK)+SUMIFS(PS_SOTIEN,PS_TKNO,$E198,PS_NGAY,"&lt;="&amp;M$1))</f>
        <v>#N/A</v>
      </c>
      <c r="N198" s="1992" t="str">
        <f t="shared" si="518"/>
        <v>#N/A</v>
      </c>
      <c r="O198" s="1992" t="str">
        <f t="shared" si="518"/>
        <v>#N/A</v>
      </c>
      <c r="P198" s="1992" t="str">
        <f t="shared" si="519"/>
        <v>#N/A</v>
      </c>
      <c r="Q198" s="1992" t="str">
        <f t="shared" ref="Q198:S198" si="520">(SUMIF(MA_TAIKHOAN,$E198,SDCDK)+SUMIFs(PS_SOTIEN,PS_TKCO,$E198,PS_NGAY,"&lt;="&amp;P$1))-(SUMIF(MA_TAIKHOAN,$E198,SDNDK)+SUMIFS(PS_SOTIEN,PS_TKNO,$E198,PS_NGAY,"&lt;="&amp;P$1))</f>
        <v>#N/A</v>
      </c>
      <c r="R198" s="1992" t="str">
        <f t="shared" si="520"/>
        <v>#N/A</v>
      </c>
      <c r="S198" s="1992" t="str">
        <f t="shared" si="520"/>
        <v>#N/A</v>
      </c>
      <c r="T198" s="1992" t="str">
        <f t="shared" si="521"/>
        <v>#N/A</v>
      </c>
      <c r="U198" s="1992" t="str">
        <f t="shared" si="522"/>
        <v>#N/A</v>
      </c>
      <c r="V198" s="1992" t="str">
        <f t="shared" ref="V198:X198" si="523">(SUMIF(MA_TAIKHOAN,$E198,SDCDK)+SUMIFs(PS_SOTIEN,PS_TKCO,$E198,PS_NGAY,"&lt;="&amp;S$1))-(SUMIF(MA_TAIKHOAN,$E198,SDNDK)+SUMIFS(PS_SOTIEN,PS_TKNO,$E198,PS_NGAY,"&lt;="&amp;S$1))</f>
        <v>#N/A</v>
      </c>
      <c r="W198" s="1992" t="str">
        <f t="shared" si="523"/>
        <v>#N/A</v>
      </c>
      <c r="X198" s="1992" t="str">
        <f t="shared" si="523"/>
        <v>#N/A</v>
      </c>
      <c r="Y198" s="1989">
        <f t="shared" si="514"/>
        <v>165</v>
      </c>
    </row>
    <row r="199">
      <c r="A199" s="1533">
        <v>820.0</v>
      </c>
      <c r="B199" s="1534" t="s">
        <v>3490</v>
      </c>
      <c r="C199" s="1524" t="s">
        <v>3159</v>
      </c>
      <c r="D199" s="1535" t="s">
        <v>2214</v>
      </c>
      <c r="E199" s="1524" t="s">
        <v>1486</v>
      </c>
      <c r="F199" s="1993" t="str">
        <f t="shared" si="31"/>
        <v>#N/A</v>
      </c>
      <c r="G199" s="1993" t="str">
        <f t="shared" si="32"/>
        <v>#N/A</v>
      </c>
      <c r="H199" s="1993" t="str">
        <f t="shared" si="33"/>
        <v>#N/A</v>
      </c>
      <c r="I199" s="1993" t="str">
        <f t="shared" si="34"/>
        <v>#N/A</v>
      </c>
      <c r="J199" s="1993" t="str">
        <f t="shared" si="35"/>
        <v>#N/A</v>
      </c>
      <c r="K199" s="1993" t="str">
        <f t="shared" si="36"/>
        <v>#N/A</v>
      </c>
      <c r="L199" s="1993" t="str">
        <f t="shared" si="37"/>
        <v>#N/A</v>
      </c>
      <c r="M199" s="1993" t="str">
        <f t="shared" ref="M199:O199" si="524">(SUMIF(MA_TAIKHOAN,$E199,SDCDK)+SUMIFs(PS_SOTIEN,PS_TKCO,$E199,PS_NGAY,"&lt;="&amp;M$1))-(SUMIF(MA_TAIKHOAN,$E199,SDNDK)+SUMIFS(PS_SOTIEN,PS_TKNO,$E199,PS_NGAY,"&lt;="&amp;M$1))</f>
        <v>#N/A</v>
      </c>
      <c r="N199" s="1993" t="str">
        <f t="shared" si="524"/>
        <v>#N/A</v>
      </c>
      <c r="O199" s="1993" t="str">
        <f t="shared" si="524"/>
        <v>#N/A</v>
      </c>
      <c r="P199" s="1993" t="str">
        <f t="shared" si="519"/>
        <v>#N/A</v>
      </c>
      <c r="Q199" s="1993" t="str">
        <f t="shared" ref="Q199:S199" si="525">(SUMIF(MA_TAIKHOAN,$E199,SDCDK)+SUMIFs(PS_SOTIEN,PS_TKCO,$E199,PS_NGAY,"&lt;="&amp;P$1))-(SUMIF(MA_TAIKHOAN,$E199,SDNDK)+SUMIFS(PS_SOTIEN,PS_TKNO,$E199,PS_NGAY,"&lt;="&amp;P$1))</f>
        <v>#N/A</v>
      </c>
      <c r="R199" s="1993" t="str">
        <f t="shared" si="525"/>
        <v>#N/A</v>
      </c>
      <c r="S199" s="1993" t="str">
        <f t="shared" si="525"/>
        <v>#N/A</v>
      </c>
      <c r="T199" s="1993" t="str">
        <f t="shared" si="521"/>
        <v>#N/A</v>
      </c>
      <c r="U199" s="1993" t="str">
        <f t="shared" si="522"/>
        <v>#N/A</v>
      </c>
      <c r="V199" s="1993" t="str">
        <f t="shared" ref="V199:X199" si="526">(SUMIF(MA_TAIKHOAN,$E199,SDCDK)+SUMIFs(PS_SOTIEN,PS_TKCO,$E199,PS_NGAY,"&lt;="&amp;S$1))-(SUMIF(MA_TAIKHOAN,$E199,SDNDK)+SUMIFS(PS_SOTIEN,PS_TKNO,$E199,PS_NGAY,"&lt;="&amp;S$1))</f>
        <v>#N/A</v>
      </c>
      <c r="W199" s="1993" t="str">
        <f t="shared" si="526"/>
        <v>#N/A</v>
      </c>
      <c r="X199" s="1993" t="str">
        <f t="shared" si="526"/>
        <v>#N/A</v>
      </c>
      <c r="Y199" s="1989">
        <f t="shared" si="514"/>
        <v>166</v>
      </c>
    </row>
    <row r="200">
      <c r="A200" s="1533">
        <v>825.0</v>
      </c>
      <c r="B200" s="1534" t="s">
        <v>3491</v>
      </c>
      <c r="C200" s="1524" t="s">
        <v>3160</v>
      </c>
      <c r="D200" s="1535" t="s">
        <v>2214</v>
      </c>
      <c r="E200" s="1524" t="s">
        <v>3158</v>
      </c>
      <c r="F200" s="1993" t="str">
        <f t="shared" si="31"/>
        <v>#N/A</v>
      </c>
      <c r="G200" s="1993" t="str">
        <f t="shared" si="32"/>
        <v>#N/A</v>
      </c>
      <c r="H200" s="1993" t="str">
        <f t="shared" si="33"/>
        <v>#N/A</v>
      </c>
      <c r="I200" s="1993" t="str">
        <f t="shared" si="34"/>
        <v>#N/A</v>
      </c>
      <c r="J200" s="1993" t="str">
        <f t="shared" si="35"/>
        <v>#N/A</v>
      </c>
      <c r="K200" s="1993" t="str">
        <f t="shared" si="36"/>
        <v>#N/A</v>
      </c>
      <c r="L200" s="1993" t="str">
        <f t="shared" si="37"/>
        <v>#N/A</v>
      </c>
      <c r="M200" s="1993" t="str">
        <f t="shared" ref="M200:O200" si="527">(SUMIF(MA_TAIKHOAN,$E200,SDCDK)+SUMIFs(PS_SOTIEN,PS_TKCO,$E200,PS_NGAY,"&lt;="&amp;M$1))-(SUMIF(MA_TAIKHOAN,$E200,SDNDK)+SUMIFS(PS_SOTIEN,PS_TKNO,$E200,PS_NGAY,"&lt;="&amp;M$1))</f>
        <v>#N/A</v>
      </c>
      <c r="N200" s="1993" t="str">
        <f t="shared" si="527"/>
        <v>#N/A</v>
      </c>
      <c r="O200" s="1993" t="str">
        <f t="shared" si="527"/>
        <v>#N/A</v>
      </c>
      <c r="P200" s="1993" t="str">
        <f t="shared" si="519"/>
        <v>#N/A</v>
      </c>
      <c r="Q200" s="1993" t="str">
        <f t="shared" ref="Q200:S200" si="528">(SUMIF(MA_TAIKHOAN,$E200,SDCDK)+SUMIFs(PS_SOTIEN,PS_TKCO,$E200,PS_NGAY,"&lt;="&amp;P$1))-(SUMIF(MA_TAIKHOAN,$E200,SDNDK)+SUMIFS(PS_SOTIEN,PS_TKNO,$E200,PS_NGAY,"&lt;="&amp;P$1))</f>
        <v>#N/A</v>
      </c>
      <c r="R200" s="1993" t="str">
        <f t="shared" si="528"/>
        <v>#N/A</v>
      </c>
      <c r="S200" s="1993" t="str">
        <f t="shared" si="528"/>
        <v>#N/A</v>
      </c>
      <c r="T200" s="1993" t="str">
        <f t="shared" si="521"/>
        <v>#N/A</v>
      </c>
      <c r="U200" s="1993" t="str">
        <f t="shared" si="522"/>
        <v>#N/A</v>
      </c>
      <c r="V200" s="1993" t="str">
        <f t="shared" ref="V200:X200" si="529">(SUMIF(MA_TAIKHOAN,$E200,SDCDK)+SUMIFs(PS_SOTIEN,PS_TKCO,$E200,PS_NGAY,"&lt;="&amp;S$1))-(SUMIF(MA_TAIKHOAN,$E200,SDNDK)+SUMIFS(PS_SOTIEN,PS_TKNO,$E200,PS_NGAY,"&lt;="&amp;S$1))</f>
        <v>#N/A</v>
      </c>
      <c r="W200" s="1993" t="str">
        <f t="shared" si="529"/>
        <v>#N/A</v>
      </c>
      <c r="X200" s="1993" t="str">
        <f t="shared" si="529"/>
        <v>#N/A</v>
      </c>
      <c r="Y200" s="1989">
        <f t="shared" si="514"/>
        <v>167</v>
      </c>
    </row>
    <row r="201">
      <c r="A201" s="1533">
        <v>830.0</v>
      </c>
      <c r="B201" s="1534" t="s">
        <v>3492</v>
      </c>
      <c r="C201" s="1524" t="s">
        <v>3165</v>
      </c>
      <c r="D201" s="1535" t="s">
        <v>2214</v>
      </c>
      <c r="E201" s="1524" t="s">
        <v>1488</v>
      </c>
      <c r="F201" s="1993" t="str">
        <f t="shared" si="31"/>
        <v>#N/A</v>
      </c>
      <c r="G201" s="1993" t="str">
        <f t="shared" si="32"/>
        <v>#N/A</v>
      </c>
      <c r="H201" s="1993" t="str">
        <f t="shared" si="33"/>
        <v>#N/A</v>
      </c>
      <c r="I201" s="1993" t="str">
        <f t="shared" si="34"/>
        <v>#N/A</v>
      </c>
      <c r="J201" s="1993" t="str">
        <f t="shared" si="35"/>
        <v>#N/A</v>
      </c>
      <c r="K201" s="1993" t="str">
        <f t="shared" si="36"/>
        <v>#N/A</v>
      </c>
      <c r="L201" s="1993" t="str">
        <f t="shared" si="37"/>
        <v>#N/A</v>
      </c>
      <c r="M201" s="1993" t="str">
        <f t="shared" ref="M201:O201" si="530">(SUMIF(MA_TAIKHOAN,$E201,SDCDK)+SUMIFs(PS_SOTIEN,PS_TKCO,$E201,PS_NGAY,"&lt;="&amp;M$1))-(SUMIF(MA_TAIKHOAN,$E201,SDNDK)+SUMIFS(PS_SOTIEN,PS_TKNO,$E201,PS_NGAY,"&lt;="&amp;M$1))</f>
        <v>#N/A</v>
      </c>
      <c r="N201" s="1993" t="str">
        <f t="shared" si="530"/>
        <v>#N/A</v>
      </c>
      <c r="O201" s="1993" t="str">
        <f t="shared" si="530"/>
        <v>#N/A</v>
      </c>
      <c r="P201" s="1993" t="str">
        <f t="shared" si="519"/>
        <v>#N/A</v>
      </c>
      <c r="Q201" s="1993" t="str">
        <f t="shared" ref="Q201:S201" si="531">(SUMIF(MA_TAIKHOAN,$E201,SDCDK)+SUMIFs(PS_SOTIEN,PS_TKCO,$E201,PS_NGAY,"&lt;="&amp;P$1))-(SUMIF(MA_TAIKHOAN,$E201,SDNDK)+SUMIFS(PS_SOTIEN,PS_TKNO,$E201,PS_NGAY,"&lt;="&amp;P$1))</f>
        <v>#N/A</v>
      </c>
      <c r="R201" s="1993" t="str">
        <f t="shared" si="531"/>
        <v>#N/A</v>
      </c>
      <c r="S201" s="1993" t="str">
        <f t="shared" si="531"/>
        <v>#N/A</v>
      </c>
      <c r="T201" s="1993" t="str">
        <f t="shared" si="521"/>
        <v>#N/A</v>
      </c>
      <c r="U201" s="1993" t="str">
        <f t="shared" si="522"/>
        <v>#N/A</v>
      </c>
      <c r="V201" s="1993" t="str">
        <f t="shared" ref="V201:X201" si="532">(SUMIF(MA_TAIKHOAN,$E201,SDCDK)+SUMIFs(PS_SOTIEN,PS_TKCO,$E201,PS_NGAY,"&lt;="&amp;S$1))-(SUMIF(MA_TAIKHOAN,$E201,SDNDK)+SUMIFS(PS_SOTIEN,PS_TKNO,$E201,PS_NGAY,"&lt;="&amp;S$1))</f>
        <v>#N/A</v>
      </c>
      <c r="W201" s="1993" t="str">
        <f t="shared" si="532"/>
        <v>#N/A</v>
      </c>
      <c r="X201" s="1993" t="str">
        <f t="shared" si="532"/>
        <v>#N/A</v>
      </c>
      <c r="Y201" s="1989">
        <f t="shared" si="514"/>
        <v>168</v>
      </c>
    </row>
    <row r="202">
      <c r="A202" s="1533">
        <v>835.0</v>
      </c>
      <c r="B202" s="1534" t="s">
        <v>3493</v>
      </c>
      <c r="C202" s="1524" t="s">
        <v>3494</v>
      </c>
      <c r="D202" s="1535" t="s">
        <v>2214</v>
      </c>
      <c r="E202" s="1524" t="s">
        <v>3170</v>
      </c>
      <c r="F202" s="1993" t="str">
        <f t="shared" si="31"/>
        <v>#N/A</v>
      </c>
      <c r="G202" s="1993" t="str">
        <f t="shared" si="32"/>
        <v>#N/A</v>
      </c>
      <c r="H202" s="1993" t="str">
        <f t="shared" si="33"/>
        <v>#N/A</v>
      </c>
      <c r="I202" s="1993" t="str">
        <f t="shared" si="34"/>
        <v>#N/A</v>
      </c>
      <c r="J202" s="1993" t="str">
        <f t="shared" si="35"/>
        <v>#N/A</v>
      </c>
      <c r="K202" s="1993" t="str">
        <f t="shared" si="36"/>
        <v>#N/A</v>
      </c>
      <c r="L202" s="1993" t="str">
        <f t="shared" si="37"/>
        <v>#N/A</v>
      </c>
      <c r="M202" s="1993" t="str">
        <f t="shared" ref="M202:O202" si="533">(SUMIF(MA_TAIKHOAN,$E202,SDCDK)+SUMIFs(PS_SOTIEN,PS_TKCO,$E202,PS_NGAY,"&lt;="&amp;M$1))-(SUMIF(MA_TAIKHOAN,$E202,SDNDK)+SUMIFS(PS_SOTIEN,PS_TKNO,$E202,PS_NGAY,"&lt;="&amp;M$1))</f>
        <v>#N/A</v>
      </c>
      <c r="N202" s="1993" t="str">
        <f t="shared" si="533"/>
        <v>#N/A</v>
      </c>
      <c r="O202" s="1993" t="str">
        <f t="shared" si="533"/>
        <v>#N/A</v>
      </c>
      <c r="P202" s="1993" t="str">
        <f t="shared" si="519"/>
        <v>#N/A</v>
      </c>
      <c r="Q202" s="1993" t="str">
        <f t="shared" ref="Q202:S202" si="534">(SUMIF(MA_TAIKHOAN,$E202,SDCDK)+SUMIFs(PS_SOTIEN,PS_TKCO,$E202,PS_NGAY,"&lt;="&amp;P$1))-(SUMIF(MA_TAIKHOAN,$E202,SDNDK)+SUMIFS(PS_SOTIEN,PS_TKNO,$E202,PS_NGAY,"&lt;="&amp;P$1))</f>
        <v>#N/A</v>
      </c>
      <c r="R202" s="1993" t="str">
        <f t="shared" si="534"/>
        <v>#N/A</v>
      </c>
      <c r="S202" s="1993" t="str">
        <f t="shared" si="534"/>
        <v>#N/A</v>
      </c>
      <c r="T202" s="1993" t="str">
        <f t="shared" si="521"/>
        <v>#N/A</v>
      </c>
      <c r="U202" s="1993" t="str">
        <f t="shared" si="522"/>
        <v>#N/A</v>
      </c>
      <c r="V202" s="1993" t="str">
        <f t="shared" ref="V202:X202" si="535">(SUMIF(MA_TAIKHOAN,$E202,SDCDK)+SUMIFs(PS_SOTIEN,PS_TKCO,$E202,PS_NGAY,"&lt;="&amp;S$1))-(SUMIF(MA_TAIKHOAN,$E202,SDNDK)+SUMIFS(PS_SOTIEN,PS_TKNO,$E202,PS_NGAY,"&lt;="&amp;S$1))</f>
        <v>#N/A</v>
      </c>
      <c r="W202" s="1993" t="str">
        <f t="shared" si="535"/>
        <v>#N/A</v>
      </c>
      <c r="X202" s="1993" t="str">
        <f t="shared" si="535"/>
        <v>#N/A</v>
      </c>
      <c r="Y202" s="1989">
        <f t="shared" si="514"/>
        <v>169</v>
      </c>
    </row>
    <row r="203">
      <c r="A203" s="1533">
        <v>840.0</v>
      </c>
      <c r="B203" s="1534" t="s">
        <v>3495</v>
      </c>
      <c r="C203" s="1524" t="s">
        <v>3496</v>
      </c>
      <c r="D203" s="1535" t="s">
        <v>2214</v>
      </c>
      <c r="E203" s="1524" t="s">
        <v>3159</v>
      </c>
      <c r="F203" s="1993" t="str">
        <f t="shared" si="31"/>
        <v>#N/A</v>
      </c>
      <c r="G203" s="1993" t="str">
        <f t="shared" si="32"/>
        <v>#N/A</v>
      </c>
      <c r="H203" s="1993" t="str">
        <f t="shared" si="33"/>
        <v>#N/A</v>
      </c>
      <c r="I203" s="1993" t="str">
        <f t="shared" si="34"/>
        <v>#N/A</v>
      </c>
      <c r="J203" s="1993" t="str">
        <f t="shared" si="35"/>
        <v>#N/A</v>
      </c>
      <c r="K203" s="1993" t="str">
        <f t="shared" si="36"/>
        <v>#N/A</v>
      </c>
      <c r="L203" s="1993" t="str">
        <f t="shared" si="37"/>
        <v>#N/A</v>
      </c>
      <c r="M203" s="1993" t="str">
        <f t="shared" ref="M203:O203" si="536">(SUMIF(MA_TAIKHOAN,$E203,SDCDK)+SUMIFs(PS_SOTIEN,PS_TKCO,$E203,PS_NGAY,"&lt;="&amp;M$1))-(SUMIF(MA_TAIKHOAN,$E203,SDNDK)+SUMIFS(PS_SOTIEN,PS_TKNO,$E203,PS_NGAY,"&lt;="&amp;M$1))</f>
        <v>#N/A</v>
      </c>
      <c r="N203" s="1993" t="str">
        <f t="shared" si="536"/>
        <v>#N/A</v>
      </c>
      <c r="O203" s="1993" t="str">
        <f t="shared" si="536"/>
        <v>#N/A</v>
      </c>
      <c r="P203" s="1993" t="str">
        <f t="shared" si="519"/>
        <v>#N/A</v>
      </c>
      <c r="Q203" s="1993" t="str">
        <f t="shared" ref="Q203:S203" si="537">(SUMIF(MA_TAIKHOAN,$E203,SDCDK)+SUMIFs(PS_SOTIEN,PS_TKCO,$E203,PS_NGAY,"&lt;="&amp;P$1))-(SUMIF(MA_TAIKHOAN,$E203,SDNDK)+SUMIFS(PS_SOTIEN,PS_TKNO,$E203,PS_NGAY,"&lt;="&amp;P$1))</f>
        <v>#N/A</v>
      </c>
      <c r="R203" s="1993" t="str">
        <f t="shared" si="537"/>
        <v>#N/A</v>
      </c>
      <c r="S203" s="1993" t="str">
        <f t="shared" si="537"/>
        <v>#N/A</v>
      </c>
      <c r="T203" s="1993" t="str">
        <f t="shared" si="521"/>
        <v>#N/A</v>
      </c>
      <c r="U203" s="1993" t="str">
        <f t="shared" si="522"/>
        <v>#N/A</v>
      </c>
      <c r="V203" s="1993" t="str">
        <f t="shared" ref="V203:X203" si="538">(SUMIF(MA_TAIKHOAN,$E203,SDCDK)+SUMIFs(PS_SOTIEN,PS_TKCO,$E203,PS_NGAY,"&lt;="&amp;S$1))-(SUMIF(MA_TAIKHOAN,$E203,SDNDK)+SUMIFS(PS_SOTIEN,PS_TKNO,$E203,PS_NGAY,"&lt;="&amp;S$1))</f>
        <v>#N/A</v>
      </c>
      <c r="W203" s="1993" t="str">
        <f t="shared" si="538"/>
        <v>#N/A</v>
      </c>
      <c r="X203" s="1993" t="str">
        <f t="shared" si="538"/>
        <v>#N/A</v>
      </c>
      <c r="Y203" s="1989">
        <f t="shared" si="514"/>
        <v>170</v>
      </c>
    </row>
    <row r="204">
      <c r="A204" s="1533">
        <v>845.0</v>
      </c>
      <c r="B204" s="1534" t="s">
        <v>3497</v>
      </c>
      <c r="C204" s="1524" t="s">
        <v>3167</v>
      </c>
      <c r="D204" s="1535" t="s">
        <v>2214</v>
      </c>
      <c r="E204" s="1524" t="s">
        <v>3160</v>
      </c>
      <c r="F204" s="1993" t="str">
        <f t="shared" si="31"/>
        <v>#N/A</v>
      </c>
      <c r="G204" s="1993" t="str">
        <f t="shared" si="32"/>
        <v>#N/A</v>
      </c>
      <c r="H204" s="1993" t="str">
        <f t="shared" si="33"/>
        <v>#N/A</v>
      </c>
      <c r="I204" s="1993" t="str">
        <f t="shared" si="34"/>
        <v>#N/A</v>
      </c>
      <c r="J204" s="1993" t="str">
        <f t="shared" si="35"/>
        <v>#N/A</v>
      </c>
      <c r="K204" s="1993" t="str">
        <f t="shared" si="36"/>
        <v>#N/A</v>
      </c>
      <c r="L204" s="1993" t="str">
        <f t="shared" si="37"/>
        <v>#N/A</v>
      </c>
      <c r="M204" s="1993" t="str">
        <f t="shared" ref="M204:O204" si="539">(SUMIF(MA_TAIKHOAN,$E204,SDCDK)+SUMIFs(PS_SOTIEN,PS_TKCO,$E204,PS_NGAY,"&lt;="&amp;M$1))-(SUMIF(MA_TAIKHOAN,$E204,SDNDK)+SUMIFS(PS_SOTIEN,PS_TKNO,$E204,PS_NGAY,"&lt;="&amp;M$1))</f>
        <v>#N/A</v>
      </c>
      <c r="N204" s="1993" t="str">
        <f t="shared" si="539"/>
        <v>#N/A</v>
      </c>
      <c r="O204" s="1993" t="str">
        <f t="shared" si="539"/>
        <v>#N/A</v>
      </c>
      <c r="P204" s="1993" t="str">
        <f t="shared" si="519"/>
        <v>#N/A</v>
      </c>
      <c r="Q204" s="1993" t="str">
        <f t="shared" ref="Q204:S204" si="540">(SUMIF(MA_TAIKHOAN,$E204,SDCDK)+SUMIFs(PS_SOTIEN,PS_TKCO,$E204,PS_NGAY,"&lt;="&amp;P$1))-(SUMIF(MA_TAIKHOAN,$E204,SDNDK)+SUMIFS(PS_SOTIEN,PS_TKNO,$E204,PS_NGAY,"&lt;="&amp;P$1))</f>
        <v>#N/A</v>
      </c>
      <c r="R204" s="1993" t="str">
        <f t="shared" si="540"/>
        <v>#N/A</v>
      </c>
      <c r="S204" s="1993" t="str">
        <f t="shared" si="540"/>
        <v>#N/A</v>
      </c>
      <c r="T204" s="1993" t="str">
        <f t="shared" si="521"/>
        <v>#N/A</v>
      </c>
      <c r="U204" s="1993" t="str">
        <f t="shared" si="522"/>
        <v>#N/A</v>
      </c>
      <c r="V204" s="1993" t="str">
        <f t="shared" ref="V204:X204" si="541">(SUMIF(MA_TAIKHOAN,$E204,SDCDK)+SUMIFs(PS_SOTIEN,PS_TKCO,$E204,PS_NGAY,"&lt;="&amp;S$1))-(SUMIF(MA_TAIKHOAN,$E204,SDNDK)+SUMIFS(PS_SOTIEN,PS_TKNO,$E204,PS_NGAY,"&lt;="&amp;S$1))</f>
        <v>#N/A</v>
      </c>
      <c r="W204" s="1993" t="str">
        <f t="shared" si="541"/>
        <v>#N/A</v>
      </c>
      <c r="X204" s="1993" t="str">
        <f t="shared" si="541"/>
        <v>#N/A</v>
      </c>
      <c r="Y204" s="1989">
        <f t="shared" si="514"/>
        <v>171</v>
      </c>
    </row>
    <row r="205">
      <c r="A205" s="1533">
        <v>850.0</v>
      </c>
      <c r="B205" s="1534" t="s">
        <v>3498</v>
      </c>
      <c r="C205" s="1524" t="s">
        <v>3169</v>
      </c>
      <c r="D205" s="1535" t="s">
        <v>2214</v>
      </c>
      <c r="E205" s="1524" t="s">
        <v>3165</v>
      </c>
      <c r="F205" s="1993" t="str">
        <f t="shared" si="31"/>
        <v>#N/A</v>
      </c>
      <c r="G205" s="1993" t="str">
        <f t="shared" si="32"/>
        <v>#N/A</v>
      </c>
      <c r="H205" s="1993" t="str">
        <f t="shared" si="33"/>
        <v>#N/A</v>
      </c>
      <c r="I205" s="1993" t="str">
        <f t="shared" si="34"/>
        <v>#N/A</v>
      </c>
      <c r="J205" s="1993" t="str">
        <f t="shared" si="35"/>
        <v>#N/A</v>
      </c>
      <c r="K205" s="1993" t="str">
        <f t="shared" si="36"/>
        <v>#N/A</v>
      </c>
      <c r="L205" s="1993" t="str">
        <f t="shared" si="37"/>
        <v>#N/A</v>
      </c>
      <c r="M205" s="1993" t="str">
        <f t="shared" ref="M205:O205" si="542">(SUMIF(MA_TAIKHOAN,$E205,SDCDK)+SUMIFs(PS_SOTIEN,PS_TKCO,$E205,PS_NGAY,"&lt;="&amp;M$1))-(SUMIF(MA_TAIKHOAN,$E205,SDNDK)+SUMIFS(PS_SOTIEN,PS_TKNO,$E205,PS_NGAY,"&lt;="&amp;M$1))</f>
        <v>#N/A</v>
      </c>
      <c r="N205" s="1993" t="str">
        <f t="shared" si="542"/>
        <v>#N/A</v>
      </c>
      <c r="O205" s="1993" t="str">
        <f t="shared" si="542"/>
        <v>#N/A</v>
      </c>
      <c r="P205" s="1993" t="str">
        <f t="shared" si="519"/>
        <v>#N/A</v>
      </c>
      <c r="Q205" s="1993" t="str">
        <f t="shared" ref="Q205:S205" si="543">(SUMIF(MA_TAIKHOAN,$E205,SDCDK)+SUMIFs(PS_SOTIEN,PS_TKCO,$E205,PS_NGAY,"&lt;="&amp;P$1))-(SUMIF(MA_TAIKHOAN,$E205,SDNDK)+SUMIFS(PS_SOTIEN,PS_TKNO,$E205,PS_NGAY,"&lt;="&amp;P$1))</f>
        <v>#N/A</v>
      </c>
      <c r="R205" s="1993" t="str">
        <f t="shared" si="543"/>
        <v>#N/A</v>
      </c>
      <c r="S205" s="1993" t="str">
        <f t="shared" si="543"/>
        <v>#N/A</v>
      </c>
      <c r="T205" s="1993" t="str">
        <f t="shared" si="521"/>
        <v>#N/A</v>
      </c>
      <c r="U205" s="1993" t="str">
        <f t="shared" si="522"/>
        <v>#N/A</v>
      </c>
      <c r="V205" s="1993" t="str">
        <f t="shared" ref="V205:X205" si="544">(SUMIF(MA_TAIKHOAN,$E205,SDCDK)+SUMIFs(PS_SOTIEN,PS_TKCO,$E205,PS_NGAY,"&lt;="&amp;S$1))-(SUMIF(MA_TAIKHOAN,$E205,SDNDK)+SUMIFS(PS_SOTIEN,PS_TKNO,$E205,PS_NGAY,"&lt;="&amp;S$1))</f>
        <v>#N/A</v>
      </c>
      <c r="W205" s="1993" t="str">
        <f t="shared" si="544"/>
        <v>#N/A</v>
      </c>
      <c r="X205" s="1993" t="str">
        <f t="shared" si="544"/>
        <v>#N/A</v>
      </c>
      <c r="Y205" s="1989">
        <f t="shared" si="514"/>
        <v>172</v>
      </c>
    </row>
    <row r="206">
      <c r="A206" s="1533">
        <v>855.0</v>
      </c>
      <c r="B206" s="1534" t="s">
        <v>3499</v>
      </c>
      <c r="C206" s="1524" t="s">
        <v>3170</v>
      </c>
      <c r="D206" s="1535" t="s">
        <v>2214</v>
      </c>
      <c r="E206" s="1524" t="s">
        <v>3167</v>
      </c>
      <c r="F206" s="1993" t="str">
        <f t="shared" si="31"/>
        <v>#N/A</v>
      </c>
      <c r="G206" s="1993" t="str">
        <f t="shared" si="32"/>
        <v>#N/A</v>
      </c>
      <c r="H206" s="1993" t="str">
        <f t="shared" si="33"/>
        <v>#N/A</v>
      </c>
      <c r="I206" s="1993" t="str">
        <f t="shared" si="34"/>
        <v>#N/A</v>
      </c>
      <c r="J206" s="1993" t="str">
        <f t="shared" si="35"/>
        <v>#N/A</v>
      </c>
      <c r="K206" s="1993" t="str">
        <f t="shared" si="36"/>
        <v>#N/A</v>
      </c>
      <c r="L206" s="1993" t="str">
        <f t="shared" si="37"/>
        <v>#N/A</v>
      </c>
      <c r="M206" s="1993" t="str">
        <f t="shared" ref="M206:O206" si="545">(SUMIF(MA_TAIKHOAN,$E206,SDCDK)+SUMIFs(PS_SOTIEN,PS_TKCO,$E206,PS_NGAY,"&lt;="&amp;M$1))-(SUMIF(MA_TAIKHOAN,$E206,SDNDK)+SUMIFS(PS_SOTIEN,PS_TKNO,$E206,PS_NGAY,"&lt;="&amp;M$1))</f>
        <v>#N/A</v>
      </c>
      <c r="N206" s="1993" t="str">
        <f t="shared" si="545"/>
        <v>#N/A</v>
      </c>
      <c r="O206" s="1993" t="str">
        <f t="shared" si="545"/>
        <v>#N/A</v>
      </c>
      <c r="P206" s="1993" t="str">
        <f t="shared" si="519"/>
        <v>#N/A</v>
      </c>
      <c r="Q206" s="1993" t="str">
        <f t="shared" ref="Q206:S206" si="546">(SUMIF(MA_TAIKHOAN,$E206,SDCDK)+SUMIFs(PS_SOTIEN,PS_TKCO,$E206,PS_NGAY,"&lt;="&amp;P$1))-(SUMIF(MA_TAIKHOAN,$E206,SDNDK)+SUMIFS(PS_SOTIEN,PS_TKNO,$E206,PS_NGAY,"&lt;="&amp;P$1))</f>
        <v>#N/A</v>
      </c>
      <c r="R206" s="1993" t="str">
        <f t="shared" si="546"/>
        <v>#N/A</v>
      </c>
      <c r="S206" s="1993" t="str">
        <f t="shared" si="546"/>
        <v>#N/A</v>
      </c>
      <c r="T206" s="1993" t="str">
        <f t="shared" si="521"/>
        <v>#N/A</v>
      </c>
      <c r="U206" s="1993" t="str">
        <f t="shared" si="522"/>
        <v>#N/A</v>
      </c>
      <c r="V206" s="1993" t="str">
        <f t="shared" ref="V206:X206" si="547">(SUMIF(MA_TAIKHOAN,$E206,SDCDK)+SUMIFs(PS_SOTIEN,PS_TKCO,$E206,PS_NGAY,"&lt;="&amp;S$1))-(SUMIF(MA_TAIKHOAN,$E206,SDNDK)+SUMIFS(PS_SOTIEN,PS_TKNO,$E206,PS_NGAY,"&lt;="&amp;S$1))</f>
        <v>#N/A</v>
      </c>
      <c r="W206" s="1993" t="str">
        <f t="shared" si="547"/>
        <v>#N/A</v>
      </c>
      <c r="X206" s="1993" t="str">
        <f t="shared" si="547"/>
        <v>#N/A</v>
      </c>
      <c r="Y206" s="1989">
        <f t="shared" si="514"/>
        <v>173</v>
      </c>
    </row>
    <row r="207">
      <c r="A207" s="1533">
        <v>860.0</v>
      </c>
      <c r="B207" s="1534" t="s">
        <v>3500</v>
      </c>
      <c r="C207" s="1524" t="s">
        <v>3501</v>
      </c>
      <c r="D207" s="1535" t="s">
        <v>2214</v>
      </c>
      <c r="E207" s="1524" t="s">
        <v>3169</v>
      </c>
      <c r="F207" s="1993" t="str">
        <f t="shared" si="31"/>
        <v>#N/A</v>
      </c>
      <c r="G207" s="1993" t="str">
        <f t="shared" si="32"/>
        <v>#N/A</v>
      </c>
      <c r="H207" s="1993" t="str">
        <f t="shared" si="33"/>
        <v>#N/A</v>
      </c>
      <c r="I207" s="1993" t="str">
        <f t="shared" si="34"/>
        <v>#N/A</v>
      </c>
      <c r="J207" s="1993" t="str">
        <f t="shared" si="35"/>
        <v>#N/A</v>
      </c>
      <c r="K207" s="1993" t="str">
        <f t="shared" si="36"/>
        <v>#N/A</v>
      </c>
      <c r="L207" s="1993" t="str">
        <f t="shared" si="37"/>
        <v>#N/A</v>
      </c>
      <c r="M207" s="1993" t="str">
        <f t="shared" ref="M207:O207" si="548">(SUMIF(MA_TAIKHOAN,$E207,SDCDK)+SUMIFs(PS_SOTIEN,PS_TKCO,$E207,PS_NGAY,"&lt;="&amp;M$1))-(SUMIF(MA_TAIKHOAN,$E207,SDNDK)+SUMIFS(PS_SOTIEN,PS_TKNO,$E207,PS_NGAY,"&lt;="&amp;M$1))</f>
        <v>#N/A</v>
      </c>
      <c r="N207" s="1993" t="str">
        <f t="shared" si="548"/>
        <v>#N/A</v>
      </c>
      <c r="O207" s="1993" t="str">
        <f t="shared" si="548"/>
        <v>#N/A</v>
      </c>
      <c r="P207" s="1993" t="str">
        <f t="shared" si="519"/>
        <v>#N/A</v>
      </c>
      <c r="Q207" s="1993" t="str">
        <f t="shared" ref="Q207:S207" si="549">(SUMIF(MA_TAIKHOAN,$E207,SDCDK)+SUMIFs(PS_SOTIEN,PS_TKCO,$E207,PS_NGAY,"&lt;="&amp;P$1))-(SUMIF(MA_TAIKHOAN,$E207,SDNDK)+SUMIFS(PS_SOTIEN,PS_TKNO,$E207,PS_NGAY,"&lt;="&amp;P$1))</f>
        <v>#N/A</v>
      </c>
      <c r="R207" s="1993" t="str">
        <f t="shared" si="549"/>
        <v>#N/A</v>
      </c>
      <c r="S207" s="1993" t="str">
        <f t="shared" si="549"/>
        <v>#N/A</v>
      </c>
      <c r="T207" s="1993" t="str">
        <f t="shared" si="521"/>
        <v>#N/A</v>
      </c>
      <c r="U207" s="1993" t="str">
        <f t="shared" si="522"/>
        <v>#N/A</v>
      </c>
      <c r="V207" s="1993" t="str">
        <f t="shared" ref="V207:X207" si="550">(SUMIF(MA_TAIKHOAN,$E207,SDCDK)+SUMIFs(PS_SOTIEN,PS_TKCO,$E207,PS_NGAY,"&lt;="&amp;S$1))-(SUMIF(MA_TAIKHOAN,$E207,SDNDK)+SUMIFS(PS_SOTIEN,PS_TKNO,$E207,PS_NGAY,"&lt;="&amp;S$1))</f>
        <v>#N/A</v>
      </c>
      <c r="W207" s="1993" t="str">
        <f t="shared" si="550"/>
        <v>#N/A</v>
      </c>
      <c r="X207" s="1993" t="str">
        <f t="shared" si="550"/>
        <v>#N/A</v>
      </c>
      <c r="Y207" s="1989">
        <f t="shared" si="514"/>
        <v>174</v>
      </c>
    </row>
    <row r="208">
      <c r="A208" s="1533">
        <v>865.0</v>
      </c>
      <c r="B208" s="1534" t="s">
        <v>3502</v>
      </c>
      <c r="C208" s="1524" t="s">
        <v>3172</v>
      </c>
      <c r="D208" s="1535" t="s">
        <v>3503</v>
      </c>
      <c r="E208" s="1524" t="s">
        <v>2214</v>
      </c>
      <c r="F208" s="1999" t="str">
        <f t="shared" si="31"/>
        <v>#N/A</v>
      </c>
      <c r="G208" s="1990" t="str">
        <f t="shared" si="32"/>
        <v>#N/A</v>
      </c>
      <c r="H208" s="1999" t="str">
        <f t="shared" si="33"/>
        <v>#N/A</v>
      </c>
      <c r="I208" s="1990" t="str">
        <f t="shared" si="34"/>
        <v>#N/A</v>
      </c>
      <c r="J208" s="1990" t="str">
        <f t="shared" si="35"/>
        <v>#N/A</v>
      </c>
      <c r="K208" s="1990" t="str">
        <f t="shared" si="36"/>
        <v>#N/A</v>
      </c>
      <c r="L208" s="1999" t="str">
        <f t="shared" si="37"/>
        <v>#N/A</v>
      </c>
      <c r="M208" s="1990" t="str">
        <f t="shared" ref="M208:X208" si="551">SUM(M209:M210)</f>
        <v>#N/A</v>
      </c>
      <c r="N208" s="1990" t="str">
        <f t="shared" si="551"/>
        <v>#N/A</v>
      </c>
      <c r="O208" s="1990" t="str">
        <f t="shared" si="551"/>
        <v>#N/A</v>
      </c>
      <c r="P208" s="1990" t="str">
        <f t="shared" si="551"/>
        <v>#N/A</v>
      </c>
      <c r="Q208" s="1990" t="str">
        <f t="shared" si="551"/>
        <v>#N/A</v>
      </c>
      <c r="R208" s="1990" t="str">
        <f t="shared" si="551"/>
        <v>#N/A</v>
      </c>
      <c r="S208" s="1990" t="str">
        <f t="shared" si="551"/>
        <v>#N/A</v>
      </c>
      <c r="T208" s="1990" t="str">
        <f t="shared" si="551"/>
        <v>#N/A</v>
      </c>
      <c r="U208" s="1990" t="str">
        <f t="shared" si="551"/>
        <v>#N/A</v>
      </c>
      <c r="V208" s="1990" t="str">
        <f t="shared" si="551"/>
        <v>#N/A</v>
      </c>
      <c r="W208" s="1990" t="str">
        <f t="shared" si="551"/>
        <v>#N/A</v>
      </c>
      <c r="X208" s="1999" t="str">
        <f t="shared" si="551"/>
        <v>#N/A</v>
      </c>
      <c r="Y208" s="1989">
        <f t="shared" si="514"/>
        <v>175</v>
      </c>
    </row>
    <row r="209">
      <c r="A209" s="1533">
        <v>870.0</v>
      </c>
      <c r="B209" s="1534" t="s">
        <v>3504</v>
      </c>
      <c r="C209" s="1524" t="s">
        <v>3505</v>
      </c>
      <c r="D209" s="1535" t="s">
        <v>2214</v>
      </c>
      <c r="E209" s="1524" t="s">
        <v>3172</v>
      </c>
      <c r="F209" s="1992" t="str">
        <f t="shared" si="31"/>
        <v>#N/A</v>
      </c>
      <c r="G209" s="1992" t="str">
        <f t="shared" si="32"/>
        <v>#N/A</v>
      </c>
      <c r="H209" s="1992" t="str">
        <f t="shared" si="33"/>
        <v>#N/A</v>
      </c>
      <c r="I209" s="1992" t="str">
        <f t="shared" si="34"/>
        <v>#N/A</v>
      </c>
      <c r="J209" s="1992" t="str">
        <f t="shared" si="35"/>
        <v>#N/A</v>
      </c>
      <c r="K209" s="1992" t="str">
        <f t="shared" si="36"/>
        <v>#N/A</v>
      </c>
      <c r="L209" s="1992" t="str">
        <f t="shared" si="37"/>
        <v>#N/A</v>
      </c>
      <c r="M209" s="1992" t="str">
        <f t="shared" ref="M209:O209" si="552">(SUMIF(MA_TAIKHOAN,$E209,SDCDK)+SUMIFs(PS_SOTIEN,PS_TKCO,$E209,PS_NGAY,"&lt;="&amp;M$1))-(SUMIF(MA_TAIKHOAN,$E209,SDNDK)+SUMIFS(PS_SOTIEN,PS_TKNO,$E209,PS_NGAY,"&lt;="&amp;M$1))</f>
        <v>#N/A</v>
      </c>
      <c r="N209" s="1992" t="str">
        <f t="shared" si="552"/>
        <v>#N/A</v>
      </c>
      <c r="O209" s="1992" t="str">
        <f t="shared" si="552"/>
        <v>#N/A</v>
      </c>
      <c r="P209" s="1992" t="str">
        <f t="shared" ref="P209:P211" si="556">(SUMIF(MA_TAIKHOAN,$E209,SDCDK)+SUMIFs(PS_SOTIEN,PS_TKCO,$E209,PS_NGAY,"&lt;="&amp;I$1))-(SUMIF(MA_TAIKHOAN,$E209,SDNDK)+SUMIFS(PS_SOTIEN,PS_TKNO,$E209,PS_NGAY,"&lt;="&amp;I$1))</f>
        <v>#N/A</v>
      </c>
      <c r="Q209" s="1992" t="str">
        <f t="shared" ref="Q209:S209" si="553">(SUMIF(MA_TAIKHOAN,$E209,SDCDK)+SUMIFs(PS_SOTIEN,PS_TKCO,$E209,PS_NGAY,"&lt;="&amp;P$1))-(SUMIF(MA_TAIKHOAN,$E209,SDNDK)+SUMIFS(PS_SOTIEN,PS_TKNO,$E209,PS_NGAY,"&lt;="&amp;P$1))</f>
        <v>#N/A</v>
      </c>
      <c r="R209" s="1992" t="str">
        <f t="shared" si="553"/>
        <v>#N/A</v>
      </c>
      <c r="S209" s="1992" t="str">
        <f t="shared" si="553"/>
        <v>#N/A</v>
      </c>
      <c r="T209" s="1992" t="str">
        <f t="shared" ref="T209:T211" si="558">(SUMIF(MA_TAIKHOAN,$E209,SDCDK)+SUMIFs(PS_SOTIEN,PS_TKCO,$E209,PS_NGAY,"&lt;="&amp;J$1))-(SUMIF(MA_TAIKHOAN,$E209,SDNDK)+SUMIFS(PS_SOTIEN,PS_TKNO,$E209,PS_NGAY,"&lt;="&amp;J$1))</f>
        <v>#N/A</v>
      </c>
      <c r="U209" s="1992" t="str">
        <f t="shared" ref="U209:U211" si="559">(SUMIF(MA_TAIKHOAN,$E209,SDCDK)+SUMIFs(PS_SOTIEN,PS_TKCO,$E209,PS_NGAY,"&lt;="&amp;G$1))-(SUMIF(MA_TAIKHOAN,$E209,SDNDK)+SUMIFS(PS_SOTIEN,PS_TKNO,$E209,PS_NGAY,"&lt;="&amp;G$1))</f>
        <v>#N/A</v>
      </c>
      <c r="V209" s="1992" t="str">
        <f t="shared" ref="V209:X209" si="554">(SUMIF(MA_TAIKHOAN,$E209,SDCDK)+SUMIFs(PS_SOTIEN,PS_TKCO,$E209,PS_NGAY,"&lt;="&amp;S$1))-(SUMIF(MA_TAIKHOAN,$E209,SDNDK)+SUMIFS(PS_SOTIEN,PS_TKNO,$E209,PS_NGAY,"&lt;="&amp;S$1))</f>
        <v>#N/A</v>
      </c>
      <c r="W209" s="1992" t="str">
        <f t="shared" si="554"/>
        <v>#N/A</v>
      </c>
      <c r="X209" s="1992" t="str">
        <f t="shared" si="554"/>
        <v>#N/A</v>
      </c>
      <c r="Y209" s="1989">
        <f t="shared" si="514"/>
        <v>176</v>
      </c>
    </row>
    <row r="210">
      <c r="A210" s="1533">
        <v>875.0</v>
      </c>
      <c r="B210" s="1534" t="s">
        <v>3506</v>
      </c>
      <c r="C210" s="1524" t="s">
        <v>3507</v>
      </c>
      <c r="D210" s="1535" t="s">
        <v>2214</v>
      </c>
      <c r="E210" s="1524" t="s">
        <v>3175</v>
      </c>
      <c r="F210" s="1992" t="str">
        <f t="shared" si="31"/>
        <v>#N/A</v>
      </c>
      <c r="G210" s="1992" t="str">
        <f t="shared" si="32"/>
        <v>#N/A</v>
      </c>
      <c r="H210" s="1992" t="str">
        <f t="shared" si="33"/>
        <v>#N/A</v>
      </c>
      <c r="I210" s="1992" t="str">
        <f t="shared" si="34"/>
        <v>#N/A</v>
      </c>
      <c r="J210" s="1992" t="str">
        <f t="shared" si="35"/>
        <v>#N/A</v>
      </c>
      <c r="K210" s="1992" t="str">
        <f t="shared" si="36"/>
        <v>#N/A</v>
      </c>
      <c r="L210" s="1992" t="str">
        <f t="shared" si="37"/>
        <v>#N/A</v>
      </c>
      <c r="M210" s="1992" t="str">
        <f t="shared" ref="M210:O210" si="555">(SUMIF(MA_TAIKHOAN,$E210,SDCDK)+SUMIFs(PS_SOTIEN,PS_TKCO,$E210,PS_NGAY,"&lt;="&amp;M$1))-(SUMIF(MA_TAIKHOAN,$E210,SDNDK)+SUMIFS(PS_SOTIEN,PS_TKNO,$E210,PS_NGAY,"&lt;="&amp;M$1))</f>
        <v>#N/A</v>
      </c>
      <c r="N210" s="1992" t="str">
        <f t="shared" si="555"/>
        <v>#N/A</v>
      </c>
      <c r="O210" s="1992" t="str">
        <f t="shared" si="555"/>
        <v>#N/A</v>
      </c>
      <c r="P210" s="1992" t="str">
        <f t="shared" si="556"/>
        <v>#N/A</v>
      </c>
      <c r="Q210" s="1992" t="str">
        <f t="shared" ref="Q210:S210" si="557">(SUMIF(MA_TAIKHOAN,$E210,SDCDK)+SUMIFs(PS_SOTIEN,PS_TKCO,$E210,PS_NGAY,"&lt;="&amp;P$1))-(SUMIF(MA_TAIKHOAN,$E210,SDNDK)+SUMIFS(PS_SOTIEN,PS_TKNO,$E210,PS_NGAY,"&lt;="&amp;P$1))</f>
        <v>#N/A</v>
      </c>
      <c r="R210" s="1992" t="str">
        <f t="shared" si="557"/>
        <v>#N/A</v>
      </c>
      <c r="S210" s="1992" t="str">
        <f t="shared" si="557"/>
        <v>#N/A</v>
      </c>
      <c r="T210" s="1992" t="str">
        <f t="shared" si="558"/>
        <v>#N/A</v>
      </c>
      <c r="U210" s="1992" t="str">
        <f t="shared" si="559"/>
        <v>#N/A</v>
      </c>
      <c r="V210" s="1992" t="str">
        <f t="shared" ref="V210:X210" si="560">(SUMIF(MA_TAIKHOAN,$E210,SDCDK)+SUMIFs(PS_SOTIEN,PS_TKCO,$E210,PS_NGAY,"&lt;="&amp;S$1))-(SUMIF(MA_TAIKHOAN,$E210,SDNDK)+SUMIFS(PS_SOTIEN,PS_TKNO,$E210,PS_NGAY,"&lt;="&amp;S$1))</f>
        <v>#N/A</v>
      </c>
      <c r="W210" s="1992" t="str">
        <f t="shared" si="560"/>
        <v>#N/A</v>
      </c>
      <c r="X210" s="1992" t="str">
        <f t="shared" si="560"/>
        <v>#N/A</v>
      </c>
      <c r="Y210" s="1989">
        <f t="shared" si="514"/>
        <v>177</v>
      </c>
    </row>
    <row r="211">
      <c r="A211" s="1533">
        <v>880.0</v>
      </c>
      <c r="B211" s="1534" t="s">
        <v>3508</v>
      </c>
      <c r="C211" s="1524" t="s">
        <v>3509</v>
      </c>
      <c r="D211" s="1535" t="s">
        <v>2214</v>
      </c>
      <c r="E211" s="1524" t="s">
        <v>3176</v>
      </c>
      <c r="F211" s="1993" t="str">
        <f t="shared" si="31"/>
        <v>#N/A</v>
      </c>
      <c r="G211" s="1993" t="str">
        <f t="shared" si="32"/>
        <v>#N/A</v>
      </c>
      <c r="H211" s="1993" t="str">
        <f t="shared" si="33"/>
        <v>#N/A</v>
      </c>
      <c r="I211" s="1993" t="str">
        <f t="shared" si="34"/>
        <v>#N/A</v>
      </c>
      <c r="J211" s="1993" t="str">
        <f t="shared" si="35"/>
        <v>#N/A</v>
      </c>
      <c r="K211" s="1993" t="str">
        <f t="shared" si="36"/>
        <v>#N/A</v>
      </c>
      <c r="L211" s="1993" t="str">
        <f t="shared" si="37"/>
        <v>#N/A</v>
      </c>
      <c r="M211" s="1993" t="str">
        <f t="shared" ref="M211:O211" si="561">(SUMIF(MA_TAIKHOAN,$E211,SDCDK)+SUMIFs(PS_SOTIEN,PS_TKCO,$E211,PS_NGAY,"&lt;="&amp;M$1))-(SUMIF(MA_TAIKHOAN,$E211,SDNDK)+SUMIFS(PS_SOTIEN,PS_TKNO,$E211,PS_NGAY,"&lt;="&amp;M$1))</f>
        <v>#N/A</v>
      </c>
      <c r="N211" s="1993" t="str">
        <f t="shared" si="561"/>
        <v>#N/A</v>
      </c>
      <c r="O211" s="1993" t="str">
        <f t="shared" si="561"/>
        <v>#N/A</v>
      </c>
      <c r="P211" s="1993" t="str">
        <f t="shared" si="556"/>
        <v>#N/A</v>
      </c>
      <c r="Q211" s="1993" t="str">
        <f t="shared" ref="Q211:S211" si="562">(SUMIF(MA_TAIKHOAN,$E211,SDCDK)+SUMIFs(PS_SOTIEN,PS_TKCO,$E211,PS_NGAY,"&lt;="&amp;P$1))-(SUMIF(MA_TAIKHOAN,$E211,SDNDK)+SUMIFS(PS_SOTIEN,PS_TKNO,$E211,PS_NGAY,"&lt;="&amp;P$1))</f>
        <v>#N/A</v>
      </c>
      <c r="R211" s="1993" t="str">
        <f t="shared" si="562"/>
        <v>#N/A</v>
      </c>
      <c r="S211" s="1993" t="str">
        <f t="shared" si="562"/>
        <v>#N/A</v>
      </c>
      <c r="T211" s="1993" t="str">
        <f t="shared" si="558"/>
        <v>#N/A</v>
      </c>
      <c r="U211" s="1993" t="str">
        <f t="shared" si="559"/>
        <v>#N/A</v>
      </c>
      <c r="V211" s="1993" t="str">
        <f t="shared" ref="V211:X211" si="563">(SUMIF(MA_TAIKHOAN,$E211,SDCDK)+SUMIFs(PS_SOTIEN,PS_TKCO,$E211,PS_NGAY,"&lt;="&amp;S$1))-(SUMIF(MA_TAIKHOAN,$E211,SDNDK)+SUMIFS(PS_SOTIEN,PS_TKNO,$E211,PS_NGAY,"&lt;="&amp;S$1))</f>
        <v>#N/A</v>
      </c>
      <c r="W211" s="1993" t="str">
        <f t="shared" si="563"/>
        <v>#N/A</v>
      </c>
      <c r="X211" s="1993" t="str">
        <f t="shared" si="563"/>
        <v>#N/A</v>
      </c>
      <c r="Y211" s="1989">
        <f t="shared" si="514"/>
        <v>178</v>
      </c>
    </row>
    <row r="212">
      <c r="A212" s="1520">
        <v>885.0</v>
      </c>
      <c r="B212" s="1521" t="s">
        <v>3510</v>
      </c>
      <c r="C212" s="1522" t="s">
        <v>3511</v>
      </c>
      <c r="D212" s="1523" t="s">
        <v>3512</v>
      </c>
      <c r="E212" s="1524" t="s">
        <v>2214</v>
      </c>
      <c r="F212" s="1998" t="str">
        <f t="shared" si="31"/>
        <v>#N/A</v>
      </c>
      <c r="G212" s="1991" t="str">
        <f t="shared" si="32"/>
        <v>#N/A</v>
      </c>
      <c r="H212" s="1998" t="str">
        <f t="shared" si="33"/>
        <v>#N/A</v>
      </c>
      <c r="I212" s="1991" t="str">
        <f t="shared" si="34"/>
        <v>#N/A</v>
      </c>
      <c r="J212" s="1991" t="str">
        <f t="shared" si="35"/>
        <v>#N/A</v>
      </c>
      <c r="K212" s="1991" t="str">
        <f t="shared" si="36"/>
        <v>#N/A</v>
      </c>
      <c r="L212" s="1998" t="str">
        <f t="shared" si="37"/>
        <v>#N/A</v>
      </c>
      <c r="M212" s="1991" t="str">
        <f t="shared" ref="M212:X212" si="564">M213+M216</f>
        <v>#N/A</v>
      </c>
      <c r="N212" s="1991" t="str">
        <f t="shared" si="564"/>
        <v>#N/A</v>
      </c>
      <c r="O212" s="1991" t="str">
        <f t="shared" si="564"/>
        <v>#N/A</v>
      </c>
      <c r="P212" s="1991" t="str">
        <f t="shared" si="564"/>
        <v>#N/A</v>
      </c>
      <c r="Q212" s="1991" t="str">
        <f t="shared" si="564"/>
        <v>#N/A</v>
      </c>
      <c r="R212" s="1991" t="str">
        <f t="shared" si="564"/>
        <v>#N/A</v>
      </c>
      <c r="S212" s="1991" t="str">
        <f t="shared" si="564"/>
        <v>#N/A</v>
      </c>
      <c r="T212" s="1991" t="str">
        <f t="shared" si="564"/>
        <v>#N/A</v>
      </c>
      <c r="U212" s="1991" t="str">
        <f t="shared" si="564"/>
        <v>#N/A</v>
      </c>
      <c r="V212" s="1991" t="str">
        <f t="shared" si="564"/>
        <v>#N/A</v>
      </c>
      <c r="W212" s="1991" t="str">
        <f t="shared" si="564"/>
        <v>#N/A</v>
      </c>
      <c r="X212" s="1998" t="str">
        <f t="shared" si="564"/>
        <v>#N/A</v>
      </c>
      <c r="Y212" s="1989">
        <f t="shared" si="514"/>
        <v>179</v>
      </c>
    </row>
    <row r="213">
      <c r="A213" s="1533">
        <v>890.0</v>
      </c>
      <c r="B213" s="1534" t="s">
        <v>3513</v>
      </c>
      <c r="C213" s="1524" t="s">
        <v>3514</v>
      </c>
      <c r="D213" s="1535" t="s">
        <v>3515</v>
      </c>
      <c r="E213" s="1524" t="s">
        <v>2214</v>
      </c>
      <c r="F213" s="1999" t="str">
        <f t="shared" si="31"/>
        <v>#N/A</v>
      </c>
      <c r="G213" s="1990" t="str">
        <f t="shared" si="32"/>
        <v>#N/A</v>
      </c>
      <c r="H213" s="1999" t="str">
        <f t="shared" si="33"/>
        <v>#N/A</v>
      </c>
      <c r="I213" s="1990" t="str">
        <f t="shared" si="34"/>
        <v>#N/A</v>
      </c>
      <c r="J213" s="1990" t="str">
        <f t="shared" si="35"/>
        <v>#N/A</v>
      </c>
      <c r="K213" s="1990" t="str">
        <f t="shared" si="36"/>
        <v>#N/A</v>
      </c>
      <c r="L213" s="1999" t="str">
        <f t="shared" si="37"/>
        <v>#N/A</v>
      </c>
      <c r="M213" s="1990" t="str">
        <f t="shared" ref="M213:X213" si="565">SUM(M214:M215)</f>
        <v>#N/A</v>
      </c>
      <c r="N213" s="1990" t="str">
        <f t="shared" si="565"/>
        <v>#N/A</v>
      </c>
      <c r="O213" s="1990" t="str">
        <f t="shared" si="565"/>
        <v>#N/A</v>
      </c>
      <c r="P213" s="1990" t="str">
        <f t="shared" si="565"/>
        <v>#N/A</v>
      </c>
      <c r="Q213" s="1990" t="str">
        <f t="shared" si="565"/>
        <v>#N/A</v>
      </c>
      <c r="R213" s="1990" t="str">
        <f t="shared" si="565"/>
        <v>#N/A</v>
      </c>
      <c r="S213" s="1990" t="str">
        <f t="shared" si="565"/>
        <v>#N/A</v>
      </c>
      <c r="T213" s="1990" t="str">
        <f t="shared" si="565"/>
        <v>#N/A</v>
      </c>
      <c r="U213" s="1990" t="str">
        <f t="shared" si="565"/>
        <v>#N/A</v>
      </c>
      <c r="V213" s="1990" t="str">
        <f t="shared" si="565"/>
        <v>#N/A</v>
      </c>
      <c r="W213" s="1990" t="str">
        <f t="shared" si="565"/>
        <v>#N/A</v>
      </c>
      <c r="X213" s="1999" t="str">
        <f t="shared" si="565"/>
        <v>#N/A</v>
      </c>
      <c r="Y213" s="1989">
        <f t="shared" si="514"/>
        <v>180</v>
      </c>
    </row>
    <row r="214">
      <c r="A214" s="1533">
        <v>895.0</v>
      </c>
      <c r="B214" s="1534" t="s">
        <v>3516</v>
      </c>
      <c r="C214" s="1524" t="s">
        <v>2214</v>
      </c>
      <c r="D214" s="1535" t="s">
        <v>2214</v>
      </c>
      <c r="E214" s="1524" t="s">
        <v>3178</v>
      </c>
      <c r="F214" s="1992" t="str">
        <f t="shared" si="31"/>
        <v>#N/A</v>
      </c>
      <c r="G214" s="1992" t="str">
        <f t="shared" si="32"/>
        <v>#N/A</v>
      </c>
      <c r="H214" s="1992" t="str">
        <f t="shared" si="33"/>
        <v>#N/A</v>
      </c>
      <c r="I214" s="1992" t="str">
        <f t="shared" si="34"/>
        <v>#N/A</v>
      </c>
      <c r="J214" s="1992" t="str">
        <f t="shared" si="35"/>
        <v>#N/A</v>
      </c>
      <c r="K214" s="1992" t="str">
        <f t="shared" si="36"/>
        <v>#N/A</v>
      </c>
      <c r="L214" s="1992" t="str">
        <f t="shared" si="37"/>
        <v>#N/A</v>
      </c>
      <c r="M214" s="1992" t="str">
        <f t="shared" ref="M214:O214" si="566">(SUMIF(MA_TAIKHOAN,$E214,SDCDK)+SUMIFs(PS_SOTIEN,PS_TKCO,$E214,PS_NGAY,"&lt;="&amp;M$1))-(SUMIF(MA_TAIKHOAN,$E214,SDNDK)+SUMIFS(PS_SOTIEN,PS_TKNO,$E214,PS_NGAY,"&lt;="&amp;M$1))</f>
        <v>#N/A</v>
      </c>
      <c r="N214" s="1992" t="str">
        <f t="shared" si="566"/>
        <v>#N/A</v>
      </c>
      <c r="O214" s="1992" t="str">
        <f t="shared" si="566"/>
        <v>#N/A</v>
      </c>
      <c r="P214" s="1992" t="str">
        <f t="shared" ref="P214:P215" si="570">(SUMIF(MA_TAIKHOAN,$E214,SDCDK)+SUMIFs(PS_SOTIEN,PS_TKCO,$E214,PS_NGAY,"&lt;="&amp;I$1))-(SUMIF(MA_TAIKHOAN,$E214,SDNDK)+SUMIFS(PS_SOTIEN,PS_TKNO,$E214,PS_NGAY,"&lt;="&amp;I$1))</f>
        <v>#N/A</v>
      </c>
      <c r="Q214" s="1992" t="str">
        <f t="shared" ref="Q214:S214" si="567">(SUMIF(MA_TAIKHOAN,$E214,SDCDK)+SUMIFs(PS_SOTIEN,PS_TKCO,$E214,PS_NGAY,"&lt;="&amp;P$1))-(SUMIF(MA_TAIKHOAN,$E214,SDNDK)+SUMIFS(PS_SOTIEN,PS_TKNO,$E214,PS_NGAY,"&lt;="&amp;P$1))</f>
        <v>#N/A</v>
      </c>
      <c r="R214" s="1992" t="str">
        <f t="shared" si="567"/>
        <v>#N/A</v>
      </c>
      <c r="S214" s="1992" t="str">
        <f t="shared" si="567"/>
        <v>#N/A</v>
      </c>
      <c r="T214" s="1992" t="str">
        <f t="shared" ref="T214:T215" si="572">(SUMIF(MA_TAIKHOAN,$E214,SDCDK)+SUMIFs(PS_SOTIEN,PS_TKCO,$E214,PS_NGAY,"&lt;="&amp;J$1))-(SUMIF(MA_TAIKHOAN,$E214,SDNDK)+SUMIFS(PS_SOTIEN,PS_TKNO,$E214,PS_NGAY,"&lt;="&amp;J$1))</f>
        <v>#N/A</v>
      </c>
      <c r="U214" s="1992" t="str">
        <f t="shared" ref="U214:U215" si="573">(SUMIF(MA_TAIKHOAN,$E214,SDCDK)+SUMIFs(PS_SOTIEN,PS_TKCO,$E214,PS_NGAY,"&lt;="&amp;G$1))-(SUMIF(MA_TAIKHOAN,$E214,SDNDK)+SUMIFS(PS_SOTIEN,PS_TKNO,$E214,PS_NGAY,"&lt;="&amp;G$1))</f>
        <v>#N/A</v>
      </c>
      <c r="V214" s="1992" t="str">
        <f t="shared" ref="V214:X214" si="568">(SUMIF(MA_TAIKHOAN,$E214,SDCDK)+SUMIFs(PS_SOTIEN,PS_TKCO,$E214,PS_NGAY,"&lt;="&amp;S$1))-(SUMIF(MA_TAIKHOAN,$E214,SDNDK)+SUMIFS(PS_SOTIEN,PS_TKNO,$E214,PS_NGAY,"&lt;="&amp;S$1))</f>
        <v>#N/A</v>
      </c>
      <c r="W214" s="1992" t="str">
        <f t="shared" si="568"/>
        <v>#N/A</v>
      </c>
      <c r="X214" s="1992" t="str">
        <f t="shared" si="568"/>
        <v>#N/A</v>
      </c>
      <c r="Y214" s="1989">
        <f t="shared" si="514"/>
        <v>181</v>
      </c>
    </row>
    <row r="215">
      <c r="A215" s="1533">
        <v>900.0</v>
      </c>
      <c r="B215" s="1534" t="s">
        <v>3517</v>
      </c>
      <c r="C215" s="1524" t="s">
        <v>2214</v>
      </c>
      <c r="D215" s="1535" t="s">
        <v>2214</v>
      </c>
      <c r="E215" s="1524" t="s">
        <v>3053</v>
      </c>
      <c r="F215" s="1992" t="str">
        <f t="shared" si="31"/>
        <v>#N/A</v>
      </c>
      <c r="G215" s="1992" t="str">
        <f t="shared" si="32"/>
        <v>#N/A</v>
      </c>
      <c r="H215" s="1992" t="str">
        <f t="shared" si="33"/>
        <v>#N/A</v>
      </c>
      <c r="I215" s="1992" t="str">
        <f t="shared" si="34"/>
        <v>#N/A</v>
      </c>
      <c r="J215" s="1992" t="str">
        <f t="shared" si="35"/>
        <v>#N/A</v>
      </c>
      <c r="K215" s="1992" t="str">
        <f t="shared" si="36"/>
        <v>#N/A</v>
      </c>
      <c r="L215" s="1992" t="str">
        <f t="shared" si="37"/>
        <v>#N/A</v>
      </c>
      <c r="M215" s="1992" t="str">
        <f t="shared" ref="M215:O215" si="569">(SUMIF(MA_TAIKHOAN,$E215,SDCDK)+SUMIFs(PS_SOTIEN,PS_TKCO,$E215,PS_NGAY,"&lt;="&amp;M$1))-(SUMIF(MA_TAIKHOAN,$E215,SDNDK)+SUMIFS(PS_SOTIEN,PS_TKNO,$E215,PS_NGAY,"&lt;="&amp;M$1))</f>
        <v>#N/A</v>
      </c>
      <c r="N215" s="1992" t="str">
        <f t="shared" si="569"/>
        <v>#N/A</v>
      </c>
      <c r="O215" s="1992" t="str">
        <f t="shared" si="569"/>
        <v>#N/A</v>
      </c>
      <c r="P215" s="1992" t="str">
        <f t="shared" si="570"/>
        <v>#N/A</v>
      </c>
      <c r="Q215" s="1992" t="str">
        <f t="shared" ref="Q215:S215" si="571">(SUMIF(MA_TAIKHOAN,$E215,SDCDK)+SUMIFs(PS_SOTIEN,PS_TKCO,$E215,PS_NGAY,"&lt;="&amp;P$1))-(SUMIF(MA_TAIKHOAN,$E215,SDNDK)+SUMIFS(PS_SOTIEN,PS_TKNO,$E215,PS_NGAY,"&lt;="&amp;P$1))</f>
        <v>#N/A</v>
      </c>
      <c r="R215" s="1992" t="str">
        <f t="shared" si="571"/>
        <v>#N/A</v>
      </c>
      <c r="S215" s="1992" t="str">
        <f t="shared" si="571"/>
        <v>#N/A</v>
      </c>
      <c r="T215" s="1992" t="str">
        <f t="shared" si="572"/>
        <v>#N/A</v>
      </c>
      <c r="U215" s="1992" t="str">
        <f t="shared" si="573"/>
        <v>#N/A</v>
      </c>
      <c r="V215" s="1992" t="str">
        <f t="shared" ref="V215:X215" si="574">(SUMIF(MA_TAIKHOAN,$E215,SDCDK)+SUMIFs(PS_SOTIEN,PS_TKCO,$E215,PS_NGAY,"&lt;="&amp;S$1))-(SUMIF(MA_TAIKHOAN,$E215,SDNDK)+SUMIFS(PS_SOTIEN,PS_TKNO,$E215,PS_NGAY,"&lt;="&amp;S$1))</f>
        <v>#N/A</v>
      </c>
      <c r="W215" s="1992" t="str">
        <f t="shared" si="574"/>
        <v>#N/A</v>
      </c>
      <c r="X215" s="1992" t="str">
        <f t="shared" si="574"/>
        <v>#N/A</v>
      </c>
      <c r="Y215" s="1989">
        <f t="shared" si="514"/>
        <v>182</v>
      </c>
    </row>
    <row r="216">
      <c r="A216" s="1533">
        <v>905.0</v>
      </c>
      <c r="B216" s="1534" t="s">
        <v>3518</v>
      </c>
      <c r="C216" s="1524" t="s">
        <v>3519</v>
      </c>
      <c r="D216" s="1535" t="s">
        <v>2214</v>
      </c>
      <c r="E216" s="1524" t="s">
        <v>3184</v>
      </c>
      <c r="F216" s="1999" t="str">
        <f t="shared" si="31"/>
        <v>#N/A</v>
      </c>
      <c r="G216" s="1990" t="str">
        <f t="shared" si="32"/>
        <v>#N/A</v>
      </c>
      <c r="H216" s="1999" t="str">
        <f t="shared" si="33"/>
        <v>#N/A</v>
      </c>
      <c r="I216" s="1990" t="str">
        <f t="shared" si="34"/>
        <v>#N/A</v>
      </c>
      <c r="J216" s="1990" t="str">
        <f t="shared" si="35"/>
        <v>#N/A</v>
      </c>
      <c r="K216" s="1990" t="str">
        <f t="shared" si="36"/>
        <v>#N/A</v>
      </c>
      <c r="L216" s="1999" t="str">
        <f t="shared" si="37"/>
        <v>#N/A</v>
      </c>
      <c r="M216" s="1990" t="str">
        <f t="shared" ref="M216:X216" si="575">SUMIF(MA_TAIKHOAN,$E216,SDCCK)</f>
        <v>#N/A</v>
      </c>
      <c r="N216" s="1990" t="str">
        <f t="shared" si="575"/>
        <v>#N/A</v>
      </c>
      <c r="O216" s="1990" t="str">
        <f t="shared" si="575"/>
        <v>#N/A</v>
      </c>
      <c r="P216" s="1990" t="str">
        <f t="shared" si="575"/>
        <v>#N/A</v>
      </c>
      <c r="Q216" s="1990" t="str">
        <f t="shared" si="575"/>
        <v>#N/A</v>
      </c>
      <c r="R216" s="1990" t="str">
        <f t="shared" si="575"/>
        <v>#N/A</v>
      </c>
      <c r="S216" s="1990" t="str">
        <f t="shared" si="575"/>
        <v>#N/A</v>
      </c>
      <c r="T216" s="1990" t="str">
        <f t="shared" si="575"/>
        <v>#N/A</v>
      </c>
      <c r="U216" s="1990" t="str">
        <f t="shared" si="575"/>
        <v>#N/A</v>
      </c>
      <c r="V216" s="1990" t="str">
        <f t="shared" si="575"/>
        <v>#N/A</v>
      </c>
      <c r="W216" s="1990" t="str">
        <f t="shared" si="575"/>
        <v>#N/A</v>
      </c>
      <c r="X216" s="1999" t="str">
        <f t="shared" si="575"/>
        <v>#N/A</v>
      </c>
      <c r="Y216" s="1989">
        <f t="shared" si="514"/>
        <v>183</v>
      </c>
    </row>
    <row r="217">
      <c r="A217" s="1574">
        <v>910.0</v>
      </c>
      <c r="B217" s="1575" t="s">
        <v>3520</v>
      </c>
      <c r="C217" s="1576" t="s">
        <v>3521</v>
      </c>
      <c r="D217" s="1577" t="s">
        <v>3522</v>
      </c>
      <c r="E217" s="1555" t="s">
        <v>2214</v>
      </c>
      <c r="F217" s="1560" t="str">
        <f t="shared" si="31"/>
        <v>#N/A</v>
      </c>
      <c r="G217" s="1994" t="str">
        <f t="shared" si="32"/>
        <v>#N/A</v>
      </c>
      <c r="H217" s="1560" t="str">
        <f t="shared" si="33"/>
        <v>#N/A</v>
      </c>
      <c r="I217" s="1994" t="str">
        <f t="shared" si="34"/>
        <v>#N/A</v>
      </c>
      <c r="J217" s="1994" t="str">
        <f t="shared" si="35"/>
        <v>#N/A</v>
      </c>
      <c r="K217" s="1994" t="str">
        <f t="shared" si="36"/>
        <v>#N/A</v>
      </c>
      <c r="L217" s="1560" t="str">
        <f t="shared" si="37"/>
        <v>#N/A</v>
      </c>
      <c r="M217" s="1994" t="str">
        <f t="shared" ref="M217:X217" si="576">M194+M141</f>
        <v>#N/A</v>
      </c>
      <c r="N217" s="1994" t="str">
        <f t="shared" si="576"/>
        <v>#N/A</v>
      </c>
      <c r="O217" s="1994" t="str">
        <f t="shared" si="576"/>
        <v>#N/A</v>
      </c>
      <c r="P217" s="1994" t="str">
        <f t="shared" si="576"/>
        <v>#N/A</v>
      </c>
      <c r="Q217" s="1994" t="str">
        <f t="shared" si="576"/>
        <v>#N/A</v>
      </c>
      <c r="R217" s="1994" t="str">
        <f t="shared" si="576"/>
        <v>#N/A</v>
      </c>
      <c r="S217" s="1994" t="str">
        <f t="shared" si="576"/>
        <v>#N/A</v>
      </c>
      <c r="T217" s="1994" t="str">
        <f t="shared" si="576"/>
        <v>#N/A</v>
      </c>
      <c r="U217" s="1994" t="str">
        <f t="shared" si="576"/>
        <v>#N/A</v>
      </c>
      <c r="V217" s="1994" t="str">
        <f t="shared" si="576"/>
        <v>#N/A</v>
      </c>
      <c r="W217" s="1994" t="str">
        <f t="shared" si="576"/>
        <v>#N/A</v>
      </c>
      <c r="X217" s="1560" t="str">
        <f t="shared" si="576"/>
        <v>#N/A</v>
      </c>
      <c r="Y217" s="1989">
        <f t="shared" si="514"/>
        <v>184</v>
      </c>
    </row>
    <row r="218">
      <c r="A218" s="1580"/>
      <c r="B218" s="1581" t="s">
        <v>3523</v>
      </c>
      <c r="C218" s="1582"/>
      <c r="D218" s="1580"/>
      <c r="E218" s="1582"/>
      <c r="F218" s="2000" t="str">
        <f t="shared" si="31"/>
        <v>#N/A</v>
      </c>
      <c r="G218" s="2000" t="str">
        <f t="shared" si="32"/>
        <v>#N/A</v>
      </c>
      <c r="H218" s="2000" t="str">
        <f t="shared" si="33"/>
        <v>#N/A</v>
      </c>
      <c r="I218" s="2000" t="str">
        <f t="shared" si="34"/>
        <v>#N/A</v>
      </c>
      <c r="J218" s="2000" t="str">
        <f t="shared" si="35"/>
        <v>#N/A</v>
      </c>
      <c r="K218" s="2000" t="str">
        <f t="shared" si="36"/>
        <v>#N/A</v>
      </c>
      <c r="L218" s="2000" t="str">
        <f t="shared" si="37"/>
        <v>#N/A</v>
      </c>
      <c r="M218" s="2000" t="str">
        <f t="shared" ref="M218:X218" si="577">M52+M88</f>
        <v>#N/A</v>
      </c>
      <c r="N218" s="2000" t="str">
        <f t="shared" si="577"/>
        <v>#N/A</v>
      </c>
      <c r="O218" s="2000" t="str">
        <f t="shared" si="577"/>
        <v>#N/A</v>
      </c>
      <c r="P218" s="2000" t="str">
        <f t="shared" si="577"/>
        <v>#N/A</v>
      </c>
      <c r="Q218" s="2000" t="str">
        <f t="shared" si="577"/>
        <v>#N/A</v>
      </c>
      <c r="R218" s="2000" t="str">
        <f t="shared" si="577"/>
        <v>#N/A</v>
      </c>
      <c r="S218" s="2000" t="str">
        <f t="shared" si="577"/>
        <v>#N/A</v>
      </c>
      <c r="T218" s="2000" t="str">
        <f t="shared" si="577"/>
        <v>#N/A</v>
      </c>
      <c r="U218" s="2000" t="str">
        <f t="shared" si="577"/>
        <v>#N/A</v>
      </c>
      <c r="V218" s="2000" t="str">
        <f t="shared" si="577"/>
        <v>#N/A</v>
      </c>
      <c r="W218" s="2000" t="str">
        <f t="shared" si="577"/>
        <v>#N/A</v>
      </c>
      <c r="X218" s="2000" t="str">
        <f t="shared" si="577"/>
        <v>#N/A</v>
      </c>
      <c r="Y218" s="1989">
        <f t="shared" si="514"/>
        <v>185</v>
      </c>
    </row>
  </sheetData>
  <mergeCells count="4">
    <mergeCell ref="A1:C1"/>
    <mergeCell ref="A31:E31"/>
    <mergeCell ref="B140:E140"/>
    <mergeCell ref="P140:Q140"/>
  </mergeCells>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4.43" defaultRowHeight="15.0"/>
  <cols>
    <col customWidth="1" min="1" max="1" width="6.71"/>
    <col customWidth="1" min="2" max="2" width="44.29"/>
  </cols>
  <sheetData>
    <row r="1">
      <c r="A1" s="2001" t="str">
        <f>NAME</f>
        <v>#NAME?</v>
      </c>
      <c r="C1" s="2002" t="s">
        <v>4002</v>
      </c>
      <c r="D1" s="2003" t="s">
        <v>2781</v>
      </c>
      <c r="E1" s="2004" t="s">
        <v>4003</v>
      </c>
      <c r="F1" s="454"/>
      <c r="G1" s="454"/>
      <c r="H1" s="454"/>
      <c r="I1" s="454"/>
      <c r="J1" s="3"/>
      <c r="K1" s="1491"/>
      <c r="L1" s="1491"/>
      <c r="M1" s="1491"/>
      <c r="N1" s="1491"/>
      <c r="O1" s="1491"/>
      <c r="P1" s="1491"/>
      <c r="Q1" s="1491"/>
      <c r="R1" s="1491"/>
      <c r="S1" s="1491"/>
      <c r="T1" s="1491"/>
      <c r="U1" s="1491"/>
      <c r="V1" s="1491"/>
    </row>
    <row r="2">
      <c r="A2" s="2005"/>
      <c r="B2" s="2006" t="s">
        <v>4004</v>
      </c>
      <c r="C2" s="2007" t="s">
        <v>4005</v>
      </c>
      <c r="D2" s="2003" t="s">
        <v>4006</v>
      </c>
      <c r="E2" s="2008" t="s">
        <v>4007</v>
      </c>
      <c r="F2" s="2008" t="s">
        <v>4008</v>
      </c>
      <c r="G2" s="2008" t="s">
        <v>4009</v>
      </c>
      <c r="H2" s="2008" t="s">
        <v>4010</v>
      </c>
      <c r="I2" s="2008" t="s">
        <v>4011</v>
      </c>
      <c r="J2" s="2008" t="s">
        <v>4012</v>
      </c>
      <c r="K2" s="2009">
        <v>44562.0</v>
      </c>
      <c r="L2" s="2009">
        <v>44593.0</v>
      </c>
      <c r="M2" s="2009">
        <v>44621.0</v>
      </c>
      <c r="N2" s="2009">
        <v>44652.0</v>
      </c>
      <c r="O2" s="2009">
        <v>44682.0</v>
      </c>
      <c r="P2" s="2009">
        <v>44713.0</v>
      </c>
      <c r="Q2" s="2009">
        <v>44743.0</v>
      </c>
      <c r="R2" s="2009">
        <v>44774.0</v>
      </c>
      <c r="S2" s="2009">
        <v>44805.0</v>
      </c>
      <c r="T2" s="2009">
        <v>44835.0</v>
      </c>
      <c r="U2" s="2009">
        <v>44866.0</v>
      </c>
      <c r="V2" s="2009">
        <v>44896.0</v>
      </c>
    </row>
    <row r="3">
      <c r="A3" s="2010">
        <v>5.0</v>
      </c>
      <c r="B3" s="2011" t="s">
        <v>3221</v>
      </c>
      <c r="C3" s="2012" t="s">
        <v>3222</v>
      </c>
      <c r="D3" s="2013" t="str">
        <f>VLOOKUP($C3,REPORT!$C$2:$X$218,REPORT!F$1,0)</f>
        <v>#N/A</v>
      </c>
      <c r="E3" s="2013" t="str">
        <f>VLOOKUP($C3,REPORT!$C$2:$X$218,REPORT!G$1,0)</f>
        <v>#N/A</v>
      </c>
      <c r="F3" s="2013" t="str">
        <f>VLOOKUP($C3,REPORT!$C$2:$X$218,REPORT!H$1,0)</f>
        <v>#N/A</v>
      </c>
      <c r="G3" s="2013" t="str">
        <f>VLOOKUP($C3,REPORT!$C$2:$X$218,REPORT!I$1,0)</f>
        <v>#N/A</v>
      </c>
      <c r="H3" s="2013" t="str">
        <f>VLOOKUP($C3,REPORT!$C$2:$X$218,REPORT!J$1,0)</f>
        <v>#N/A</v>
      </c>
      <c r="I3" s="2013" t="str">
        <f>VLOOKUP($C3,REPORT!$C$2:$X$218,REPORT!K$1,0)</f>
        <v>#N/A</v>
      </c>
      <c r="J3" s="2013" t="str">
        <f>VLOOKUP($C3,REPORT!$C$2:$X$218,REPORT!L$1,0)</f>
        <v>#N/A</v>
      </c>
      <c r="K3" s="2013" t="str">
        <f>VLOOKUP($C3,REPORT!$C$2:$X$218,REPORT!M$1,0)</f>
        <v>#N/A</v>
      </c>
      <c r="L3" s="2013" t="str">
        <f>VLOOKUP($C3,REPORT!$C$2:$X$218,REPORT!N$1,0)</f>
        <v>#N/A</v>
      </c>
      <c r="M3" s="2013" t="str">
        <f>VLOOKUP($C3,REPORT!$C$2:$X$218,REPORT!O$1,0)</f>
        <v>#N/A</v>
      </c>
      <c r="N3" s="2013" t="str">
        <f>VLOOKUP($C3,REPORT!$C$2:$X$218,REPORT!P$1,0)</f>
        <v>#N/A</v>
      </c>
      <c r="O3" s="2013" t="str">
        <f>VLOOKUP($C3,REPORT!$C$2:$X$218,REPORT!Q$1,0)</f>
        <v>#N/A</v>
      </c>
      <c r="P3" s="2013" t="str">
        <f>VLOOKUP($C3,REPORT!$C$2:$X$218,REPORT!R$1,0)</f>
        <v>#N/A</v>
      </c>
      <c r="Q3" s="2013" t="str">
        <f>VLOOKUP($C3,REPORT!$C$2:$X$218,REPORT!S$1,0)</f>
        <v>#N/A</v>
      </c>
      <c r="R3" s="2013" t="str">
        <f>VLOOKUP($C3,REPORT!$C$2:$X$218,REPORT!T$1,0)</f>
        <v>#N/A</v>
      </c>
      <c r="S3" s="2013" t="str">
        <f>VLOOKUP($C3,REPORT!$C$2:$X$218,REPORT!U$1,0)</f>
        <v>#N/A</v>
      </c>
      <c r="T3" s="2013" t="str">
        <f>VLOOKUP($C3,REPORT!$C$2:$X$218,REPORT!V$1,0)</f>
        <v>#N/A</v>
      </c>
      <c r="U3" s="2013" t="str">
        <f>VLOOKUP($C3,REPORT!$C$2:$X$218,REPORT!W$1,0)</f>
        <v>#N/A</v>
      </c>
      <c r="V3" s="2013" t="str">
        <f>VLOOKUP($C3,REPORT!$C$2:$X$218,REPORT!X$1,0)</f>
        <v>#N/A</v>
      </c>
    </row>
    <row r="4">
      <c r="A4" s="2014"/>
      <c r="B4" s="2015" t="s">
        <v>4013</v>
      </c>
      <c r="C4" s="2016"/>
      <c r="D4" s="2014"/>
      <c r="E4" s="2017"/>
      <c r="F4" s="2018">
        <f>IFERROR(IF(F$2&lt;&gt;"",F3-E3,0),0)</f>
        <v>0</v>
      </c>
      <c r="G4" s="2017"/>
      <c r="H4" s="2018">
        <f t="shared" ref="H4:J4" si="1">IFERROR(IF(H$2&lt;&gt;"",H3-G3,0),0)</f>
        <v>0</v>
      </c>
      <c r="I4" s="2018">
        <f t="shared" si="1"/>
        <v>0</v>
      </c>
      <c r="J4" s="2018">
        <f t="shared" si="1"/>
        <v>0</v>
      </c>
      <c r="K4" s="2018"/>
      <c r="L4" s="2018">
        <f t="shared" ref="L4:V4" si="2">IFERROR(IF(L$2&lt;&gt;"",L3-K3,0),0)</f>
        <v>0</v>
      </c>
      <c r="M4" s="2018">
        <f t="shared" si="2"/>
        <v>0</v>
      </c>
      <c r="N4" s="2018">
        <f t="shared" si="2"/>
        <v>0</v>
      </c>
      <c r="O4" s="2018">
        <f t="shared" si="2"/>
        <v>0</v>
      </c>
      <c r="P4" s="2018">
        <f t="shared" si="2"/>
        <v>0</v>
      </c>
      <c r="Q4" s="2018">
        <f t="shared" si="2"/>
        <v>0</v>
      </c>
      <c r="R4" s="2018">
        <f t="shared" si="2"/>
        <v>0</v>
      </c>
      <c r="S4" s="2018">
        <f t="shared" si="2"/>
        <v>0</v>
      </c>
      <c r="T4" s="2018">
        <f t="shared" si="2"/>
        <v>0</v>
      </c>
      <c r="U4" s="2018">
        <f t="shared" si="2"/>
        <v>0</v>
      </c>
      <c r="V4" s="2018">
        <f t="shared" si="2"/>
        <v>0</v>
      </c>
    </row>
    <row r="5">
      <c r="A5" s="2014"/>
      <c r="B5" s="2019" t="s">
        <v>4014</v>
      </c>
      <c r="C5" s="2020"/>
      <c r="D5" s="2014"/>
      <c r="E5" s="2017"/>
      <c r="F5" s="2021">
        <f>IFERROR(F4/E3,0)</f>
        <v>0</v>
      </c>
      <c r="G5" s="2022"/>
      <c r="H5" s="2021">
        <f t="shared" ref="H5:J5" si="3">IFERROR(H4/G3,0)</f>
        <v>0</v>
      </c>
      <c r="I5" s="2023">
        <f t="shared" si="3"/>
        <v>0</v>
      </c>
      <c r="J5" s="2023">
        <f t="shared" si="3"/>
        <v>0</v>
      </c>
      <c r="K5" s="2023"/>
      <c r="L5" s="2023">
        <f t="shared" ref="L5:V5" si="4">IFERROR(L4/K3,0)</f>
        <v>0</v>
      </c>
      <c r="M5" s="2023">
        <f t="shared" si="4"/>
        <v>0</v>
      </c>
      <c r="N5" s="2023">
        <f t="shared" si="4"/>
        <v>0</v>
      </c>
      <c r="O5" s="2023">
        <f t="shared" si="4"/>
        <v>0</v>
      </c>
      <c r="P5" s="2023">
        <f t="shared" si="4"/>
        <v>0</v>
      </c>
      <c r="Q5" s="2023">
        <f t="shared" si="4"/>
        <v>0</v>
      </c>
      <c r="R5" s="2023">
        <f t="shared" si="4"/>
        <v>0</v>
      </c>
      <c r="S5" s="2023">
        <f t="shared" si="4"/>
        <v>0</v>
      </c>
      <c r="T5" s="2023">
        <f t="shared" si="4"/>
        <v>0</v>
      </c>
      <c r="U5" s="2023">
        <f t="shared" si="4"/>
        <v>0</v>
      </c>
      <c r="V5" s="2023">
        <f t="shared" si="4"/>
        <v>0</v>
      </c>
    </row>
    <row r="6">
      <c r="A6" s="2024">
        <v>10.0</v>
      </c>
      <c r="B6" s="2025" t="s">
        <v>4015</v>
      </c>
      <c r="C6" s="2026" t="s">
        <v>3225</v>
      </c>
      <c r="D6" s="2027" t="str">
        <f>VLOOKUP($C6,REPORT!$C$2:$X$218,REPORT!F$1,0)</f>
        <v>#N/A</v>
      </c>
      <c r="E6" s="2027" t="str">
        <f>VLOOKUP($C6,REPORT!$C$2:$X$218,REPORT!G$1,0)</f>
        <v>#N/A</v>
      </c>
      <c r="F6" s="2027" t="str">
        <f>VLOOKUP($C6,REPORT!$C$2:$X$218,REPORT!H$1,0)</f>
        <v>#N/A</v>
      </c>
      <c r="G6" s="2027" t="str">
        <f>VLOOKUP($C6,REPORT!$C$2:$X$218,REPORT!I$1,0)</f>
        <v>#N/A</v>
      </c>
      <c r="H6" s="2027" t="str">
        <f>VLOOKUP($C6,REPORT!$C$2:$X$218,REPORT!J$1,0)</f>
        <v>#N/A</v>
      </c>
      <c r="I6" s="2027" t="str">
        <f>VLOOKUP($C6,REPORT!$C$2:$X$218,REPORT!K$1,0)</f>
        <v>#N/A</v>
      </c>
      <c r="J6" s="2027" t="str">
        <f>VLOOKUP($C6,REPORT!$C$2:$X$218,REPORT!L$1,0)</f>
        <v>#N/A</v>
      </c>
      <c r="K6" s="2027" t="str">
        <f>VLOOKUP($C6,REPORT!$C$2:$X$218,REPORT!M$1,0)</f>
        <v>#N/A</v>
      </c>
      <c r="L6" s="2027" t="str">
        <f>VLOOKUP($C6,REPORT!$C$2:$X$218,REPORT!N$1,0)</f>
        <v>#N/A</v>
      </c>
      <c r="M6" s="2027" t="str">
        <f>VLOOKUP($C6,REPORT!$C$2:$X$218,REPORT!O$1,0)</f>
        <v>#N/A</v>
      </c>
      <c r="N6" s="2027" t="str">
        <f>VLOOKUP($C6,REPORT!$C$2:$X$218,REPORT!P$1,0)</f>
        <v>#N/A</v>
      </c>
      <c r="O6" s="2027" t="str">
        <f>VLOOKUP($C6,REPORT!$C$2:$X$218,REPORT!Q$1,0)</f>
        <v>#N/A</v>
      </c>
      <c r="P6" s="2027" t="str">
        <f>VLOOKUP($C6,REPORT!$C$2:$X$218,REPORT!R$1,0)</f>
        <v>#N/A</v>
      </c>
      <c r="Q6" s="2027" t="str">
        <f>VLOOKUP($C6,REPORT!$C$2:$X$218,REPORT!S$1,0)</f>
        <v>#N/A</v>
      </c>
      <c r="R6" s="2027" t="str">
        <f>VLOOKUP($C6,REPORT!$C$2:$X$218,REPORT!T$1,0)</f>
        <v>#N/A</v>
      </c>
      <c r="S6" s="2027" t="str">
        <f>VLOOKUP($C6,REPORT!$C$2:$X$218,REPORT!U$1,0)</f>
        <v>#N/A</v>
      </c>
      <c r="T6" s="2027" t="str">
        <f>VLOOKUP($C6,REPORT!$C$2:$X$218,REPORT!V$1,0)</f>
        <v>#N/A</v>
      </c>
      <c r="U6" s="2027" t="str">
        <f>VLOOKUP($C6,REPORT!$C$2:$X$218,REPORT!W$1,0)</f>
        <v>#N/A</v>
      </c>
      <c r="V6" s="2027" t="str">
        <f>VLOOKUP($C6,REPORT!$C$2:$X$218,REPORT!X$1,0)</f>
        <v>#N/A</v>
      </c>
    </row>
    <row r="7">
      <c r="A7" s="2014"/>
      <c r="B7" s="2015" t="s">
        <v>4013</v>
      </c>
      <c r="C7" s="2016"/>
      <c r="D7" s="2014"/>
      <c r="E7" s="2017"/>
      <c r="F7" s="2018">
        <f>IFERROR(IF(F$2&lt;&gt;"",F6-E6,0),0)</f>
        <v>0</v>
      </c>
      <c r="G7" s="2017"/>
      <c r="H7" s="2018">
        <f t="shared" ref="H7:J7" si="5">IFERROR(IF(H$2&lt;&gt;"",H6-G6,0),0)</f>
        <v>0</v>
      </c>
      <c r="I7" s="2018">
        <f t="shared" si="5"/>
        <v>0</v>
      </c>
      <c r="J7" s="2018">
        <f t="shared" si="5"/>
        <v>0</v>
      </c>
      <c r="K7" s="2018"/>
      <c r="L7" s="2018">
        <f t="shared" ref="L7:V7" si="6">IFERROR(IF(L$2&lt;&gt;"",L6-K6,0),0)</f>
        <v>0</v>
      </c>
      <c r="M7" s="2018">
        <f t="shared" si="6"/>
        <v>0</v>
      </c>
      <c r="N7" s="2018">
        <f t="shared" si="6"/>
        <v>0</v>
      </c>
      <c r="O7" s="2018">
        <f t="shared" si="6"/>
        <v>0</v>
      </c>
      <c r="P7" s="2018">
        <f t="shared" si="6"/>
        <v>0</v>
      </c>
      <c r="Q7" s="2018">
        <f t="shared" si="6"/>
        <v>0</v>
      </c>
      <c r="R7" s="2018">
        <f t="shared" si="6"/>
        <v>0</v>
      </c>
      <c r="S7" s="2018">
        <f t="shared" si="6"/>
        <v>0</v>
      </c>
      <c r="T7" s="2018">
        <f t="shared" si="6"/>
        <v>0</v>
      </c>
      <c r="U7" s="2018">
        <f t="shared" si="6"/>
        <v>0</v>
      </c>
      <c r="V7" s="2018">
        <f t="shared" si="6"/>
        <v>0</v>
      </c>
    </row>
    <row r="8">
      <c r="A8" s="2014"/>
      <c r="B8" s="2019" t="s">
        <v>4014</v>
      </c>
      <c r="C8" s="2020"/>
      <c r="D8" s="2014"/>
      <c r="E8" s="2017"/>
      <c r="F8" s="2021">
        <f>IFERROR(F7/E6,0)</f>
        <v>0</v>
      </c>
      <c r="G8" s="2022"/>
      <c r="H8" s="2021">
        <f t="shared" ref="H8:J8" si="7">IFERROR(H7/G6,0)</f>
        <v>0</v>
      </c>
      <c r="I8" s="2023">
        <f t="shared" si="7"/>
        <v>0</v>
      </c>
      <c r="J8" s="2023">
        <f t="shared" si="7"/>
        <v>0</v>
      </c>
      <c r="K8" s="2023"/>
      <c r="L8" s="2023">
        <f t="shared" ref="L8:V8" si="8">IFERROR(L7/K6,0)</f>
        <v>0</v>
      </c>
      <c r="M8" s="2023">
        <f t="shared" si="8"/>
        <v>0</v>
      </c>
      <c r="N8" s="2023">
        <f t="shared" si="8"/>
        <v>0</v>
      </c>
      <c r="O8" s="2023">
        <f t="shared" si="8"/>
        <v>0</v>
      </c>
      <c r="P8" s="2023">
        <f t="shared" si="8"/>
        <v>0</v>
      </c>
      <c r="Q8" s="2023">
        <f t="shared" si="8"/>
        <v>0</v>
      </c>
      <c r="R8" s="2023">
        <f t="shared" si="8"/>
        <v>0</v>
      </c>
      <c r="S8" s="2023">
        <f t="shared" si="8"/>
        <v>0</v>
      </c>
      <c r="T8" s="2023">
        <f t="shared" si="8"/>
        <v>0</v>
      </c>
      <c r="U8" s="2023">
        <f t="shared" si="8"/>
        <v>0</v>
      </c>
      <c r="V8" s="2023">
        <f t="shared" si="8"/>
        <v>0</v>
      </c>
    </row>
    <row r="9">
      <c r="A9" s="2024">
        <v>50.0</v>
      </c>
      <c r="B9" s="2025" t="s">
        <v>4016</v>
      </c>
      <c r="C9" s="2026" t="s">
        <v>3239</v>
      </c>
      <c r="D9" s="2027" t="str">
        <f>VLOOKUP($C9,REPORT!$C$2:$X$218,REPORT!F$1,0)</f>
        <v>#N/A</v>
      </c>
      <c r="E9" s="2027" t="str">
        <f>VLOOKUP($C9,REPORT!$C$2:$X$218,REPORT!G$1,0)</f>
        <v>#N/A</v>
      </c>
      <c r="F9" s="2027" t="str">
        <f>VLOOKUP($C9,REPORT!$C$2:$X$218,REPORT!H$1,0)</f>
        <v>#N/A</v>
      </c>
      <c r="G9" s="2027" t="str">
        <f>VLOOKUP($C9,REPORT!$C$2:$X$218,REPORT!I$1,0)</f>
        <v>#N/A</v>
      </c>
      <c r="H9" s="2027" t="str">
        <f>VLOOKUP($C9,REPORT!$C$2:$X$218,REPORT!J$1,0)</f>
        <v>#N/A</v>
      </c>
      <c r="I9" s="2027" t="str">
        <f>VLOOKUP($C9,REPORT!$C$2:$X$218,REPORT!K$1,0)</f>
        <v>#N/A</v>
      </c>
      <c r="J9" s="2027" t="str">
        <f>VLOOKUP($C9,REPORT!$C$2:$X$218,REPORT!L$1,0)</f>
        <v>#N/A</v>
      </c>
      <c r="K9" s="2027" t="str">
        <f>VLOOKUP($C9,REPORT!$C$2:$X$218,REPORT!M$1,0)</f>
        <v>#N/A</v>
      </c>
      <c r="L9" s="2027" t="str">
        <f>VLOOKUP($C9,REPORT!$C$2:$X$218,REPORT!N$1,0)</f>
        <v>#N/A</v>
      </c>
      <c r="M9" s="2027" t="str">
        <f>VLOOKUP($C9,REPORT!$C$2:$X$218,REPORT!O$1,0)</f>
        <v>#N/A</v>
      </c>
      <c r="N9" s="2027" t="str">
        <f>VLOOKUP($C9,REPORT!$C$2:$X$218,REPORT!P$1,0)</f>
        <v>#N/A</v>
      </c>
      <c r="O9" s="2027" t="str">
        <f>VLOOKUP($C9,REPORT!$C$2:$X$218,REPORT!Q$1,0)</f>
        <v>#N/A</v>
      </c>
      <c r="P9" s="2027" t="str">
        <f>VLOOKUP($C9,REPORT!$C$2:$X$218,REPORT!R$1,0)</f>
        <v>#N/A</v>
      </c>
      <c r="Q9" s="2027" t="str">
        <f>VLOOKUP($C9,REPORT!$C$2:$X$218,REPORT!S$1,0)</f>
        <v>#N/A</v>
      </c>
      <c r="R9" s="2027" t="str">
        <f>VLOOKUP($C9,REPORT!$C$2:$X$218,REPORT!T$1,0)</f>
        <v>#N/A</v>
      </c>
      <c r="S9" s="2027" t="str">
        <f>VLOOKUP($C9,REPORT!$C$2:$X$218,REPORT!U$1,0)</f>
        <v>#N/A</v>
      </c>
      <c r="T9" s="2027" t="str">
        <f>VLOOKUP($C9,REPORT!$C$2:$X$218,REPORT!V$1,0)</f>
        <v>#N/A</v>
      </c>
      <c r="U9" s="2027" t="str">
        <f>VLOOKUP($C9,REPORT!$C$2:$X$218,REPORT!W$1,0)</f>
        <v>#N/A</v>
      </c>
      <c r="V9" s="2027" t="str">
        <f>VLOOKUP($C9,REPORT!$C$2:$X$218,REPORT!X$1,0)</f>
        <v>#N/A</v>
      </c>
    </row>
    <row r="10">
      <c r="A10" s="2014"/>
      <c r="B10" s="2015" t="s">
        <v>4013</v>
      </c>
      <c r="C10" s="2016"/>
      <c r="D10" s="2014"/>
      <c r="E10" s="2017"/>
      <c r="F10" s="2018">
        <f>IFERROR(IF(F$2&lt;&gt;"",F9-E9,0),0)</f>
        <v>0</v>
      </c>
      <c r="G10" s="2018"/>
      <c r="H10" s="2018">
        <f t="shared" ref="H10:J10" si="9">IFERROR(IF(H$2&lt;&gt;"",H9-G9,0),0)</f>
        <v>0</v>
      </c>
      <c r="I10" s="2018">
        <f t="shared" si="9"/>
        <v>0</v>
      </c>
      <c r="J10" s="2018">
        <f t="shared" si="9"/>
        <v>0</v>
      </c>
      <c r="K10" s="2018"/>
      <c r="L10" s="2018">
        <f t="shared" ref="L10:V10" si="10">IFERROR(IF(L$2&lt;&gt;"",L9-K9,0),0)</f>
        <v>0</v>
      </c>
      <c r="M10" s="2018">
        <f t="shared" si="10"/>
        <v>0</v>
      </c>
      <c r="N10" s="2018">
        <f t="shared" si="10"/>
        <v>0</v>
      </c>
      <c r="O10" s="2018">
        <f t="shared" si="10"/>
        <v>0</v>
      </c>
      <c r="P10" s="2018">
        <f t="shared" si="10"/>
        <v>0</v>
      </c>
      <c r="Q10" s="2018">
        <f t="shared" si="10"/>
        <v>0</v>
      </c>
      <c r="R10" s="2018">
        <f t="shared" si="10"/>
        <v>0</v>
      </c>
      <c r="S10" s="2018">
        <f t="shared" si="10"/>
        <v>0</v>
      </c>
      <c r="T10" s="2018">
        <f t="shared" si="10"/>
        <v>0</v>
      </c>
      <c r="U10" s="2018">
        <f t="shared" si="10"/>
        <v>0</v>
      </c>
      <c r="V10" s="2018">
        <f t="shared" si="10"/>
        <v>0</v>
      </c>
    </row>
    <row r="11">
      <c r="A11" s="2014"/>
      <c r="B11" s="2019" t="s">
        <v>4014</v>
      </c>
      <c r="C11" s="2020"/>
      <c r="D11" s="2014"/>
      <c r="E11" s="2017"/>
      <c r="F11" s="2021">
        <f>IFERROR(F10/E9,0)</f>
        <v>0</v>
      </c>
      <c r="G11" s="2021"/>
      <c r="H11" s="2021">
        <f t="shared" ref="H11:J11" si="11">IFERROR(H10/G9,0)</f>
        <v>0</v>
      </c>
      <c r="I11" s="2023">
        <f t="shared" si="11"/>
        <v>0</v>
      </c>
      <c r="J11" s="2023">
        <f t="shared" si="11"/>
        <v>0</v>
      </c>
      <c r="K11" s="2023"/>
      <c r="L11" s="2023">
        <f t="shared" ref="L11:V11" si="12">IFERROR(L10/K9,0)</f>
        <v>0</v>
      </c>
      <c r="M11" s="2023">
        <f t="shared" si="12"/>
        <v>0</v>
      </c>
      <c r="N11" s="2023">
        <f t="shared" si="12"/>
        <v>0</v>
      </c>
      <c r="O11" s="2023">
        <f t="shared" si="12"/>
        <v>0</v>
      </c>
      <c r="P11" s="2023">
        <f t="shared" si="12"/>
        <v>0</v>
      </c>
      <c r="Q11" s="2023">
        <f t="shared" si="12"/>
        <v>0</v>
      </c>
      <c r="R11" s="2023">
        <f t="shared" si="12"/>
        <v>0</v>
      </c>
      <c r="S11" s="2023">
        <f t="shared" si="12"/>
        <v>0</v>
      </c>
      <c r="T11" s="2023">
        <f t="shared" si="12"/>
        <v>0</v>
      </c>
      <c r="U11" s="2023">
        <f t="shared" si="12"/>
        <v>0</v>
      </c>
      <c r="V11" s="2023">
        <f t="shared" si="12"/>
        <v>0</v>
      </c>
    </row>
    <row r="12">
      <c r="A12" s="2024">
        <v>85.0</v>
      </c>
      <c r="B12" s="2025" t="s">
        <v>4017</v>
      </c>
      <c r="C12" s="2026" t="s">
        <v>3254</v>
      </c>
      <c r="D12" s="2027" t="str">
        <f>VLOOKUP($C12,REPORT!$C$2:$X$218,REPORT!F$1,0)</f>
        <v>#N/A</v>
      </c>
      <c r="E12" s="2027" t="str">
        <f>VLOOKUP($C12,REPORT!$C$2:$X$218,REPORT!G$1,0)</f>
        <v>#N/A</v>
      </c>
      <c r="F12" s="2027" t="str">
        <f>VLOOKUP($C12,REPORT!$C$2:$X$218,REPORT!H$1,0)</f>
        <v>#N/A</v>
      </c>
      <c r="G12" s="2027" t="str">
        <f>VLOOKUP($C12,REPORT!$C$2:$X$218,REPORT!I$1,0)</f>
        <v>#N/A</v>
      </c>
      <c r="H12" s="2027" t="str">
        <f>VLOOKUP($C12,REPORT!$C$2:$X$218,REPORT!J$1,0)</f>
        <v>#N/A</v>
      </c>
      <c r="I12" s="2027" t="str">
        <f>VLOOKUP($C12,REPORT!$C$2:$X$218,REPORT!K$1,0)</f>
        <v>#N/A</v>
      </c>
      <c r="J12" s="2027" t="str">
        <f>VLOOKUP($C12,REPORT!$C$2:$X$218,REPORT!L$1,0)</f>
        <v>#N/A</v>
      </c>
      <c r="K12" s="2027" t="str">
        <f>VLOOKUP($C12,REPORT!$C$2:$X$218,REPORT!M$1,0)</f>
        <v>#N/A</v>
      </c>
      <c r="L12" s="2027" t="str">
        <f>VLOOKUP($C12,REPORT!$C$2:$X$218,REPORT!N$1,0)</f>
        <v>#N/A</v>
      </c>
      <c r="M12" s="2027" t="str">
        <f>VLOOKUP($C12,REPORT!$C$2:$X$218,REPORT!O$1,0)</f>
        <v>#N/A</v>
      </c>
      <c r="N12" s="2027" t="str">
        <f>VLOOKUP($C12,REPORT!$C$2:$X$218,REPORT!P$1,0)</f>
        <v>#N/A</v>
      </c>
      <c r="O12" s="2027" t="str">
        <f>VLOOKUP($C12,REPORT!$C$2:$X$218,REPORT!Q$1,0)</f>
        <v>#N/A</v>
      </c>
      <c r="P12" s="2027" t="str">
        <f>VLOOKUP($C12,REPORT!$C$2:$X$218,REPORT!R$1,0)</f>
        <v>#N/A</v>
      </c>
      <c r="Q12" s="2027" t="str">
        <f>VLOOKUP($C12,REPORT!$C$2:$X$218,REPORT!S$1,0)</f>
        <v>#N/A</v>
      </c>
      <c r="R12" s="2027" t="str">
        <f>VLOOKUP($C12,REPORT!$C$2:$X$218,REPORT!T$1,0)</f>
        <v>#N/A</v>
      </c>
      <c r="S12" s="2027" t="str">
        <f>VLOOKUP($C12,REPORT!$C$2:$X$218,REPORT!U$1,0)</f>
        <v>#N/A</v>
      </c>
      <c r="T12" s="2027" t="str">
        <f>VLOOKUP($C12,REPORT!$C$2:$X$218,REPORT!V$1,0)</f>
        <v>#N/A</v>
      </c>
      <c r="U12" s="2027" t="str">
        <f>VLOOKUP($C12,REPORT!$C$2:$X$218,REPORT!W$1,0)</f>
        <v>#N/A</v>
      </c>
      <c r="V12" s="2027" t="str">
        <f>VLOOKUP($C12,REPORT!$C$2:$X$218,REPORT!X$1,0)</f>
        <v>#N/A</v>
      </c>
    </row>
    <row r="13">
      <c r="A13" s="2014"/>
      <c r="B13" s="2015" t="s">
        <v>4013</v>
      </c>
      <c r="C13" s="2016"/>
      <c r="D13" s="2014"/>
      <c r="E13" s="2017"/>
      <c r="F13" s="2018">
        <f>IFERROR(IF(F$2&lt;&gt;"",F12-E12,0),0)</f>
        <v>0</v>
      </c>
      <c r="G13" s="2017"/>
      <c r="H13" s="2018">
        <f t="shared" ref="H13:J13" si="13">IFERROR(IF(H$2&lt;&gt;"",H12-G12,0),0)</f>
        <v>0</v>
      </c>
      <c r="I13" s="2018">
        <f t="shared" si="13"/>
        <v>0</v>
      </c>
      <c r="J13" s="2018">
        <f t="shared" si="13"/>
        <v>0</v>
      </c>
      <c r="K13" s="2018"/>
      <c r="L13" s="2018">
        <f t="shared" ref="L13:V13" si="14">IFERROR(IF(L$2&lt;&gt;"",L12-K12,0),0)</f>
        <v>0</v>
      </c>
      <c r="M13" s="2018">
        <f t="shared" si="14"/>
        <v>0</v>
      </c>
      <c r="N13" s="2018">
        <f t="shared" si="14"/>
        <v>0</v>
      </c>
      <c r="O13" s="2018">
        <f t="shared" si="14"/>
        <v>0</v>
      </c>
      <c r="P13" s="2018">
        <f t="shared" si="14"/>
        <v>0</v>
      </c>
      <c r="Q13" s="2018">
        <f t="shared" si="14"/>
        <v>0</v>
      </c>
      <c r="R13" s="2018">
        <f t="shared" si="14"/>
        <v>0</v>
      </c>
      <c r="S13" s="2018">
        <f t="shared" si="14"/>
        <v>0</v>
      </c>
      <c r="T13" s="2018">
        <f t="shared" si="14"/>
        <v>0</v>
      </c>
      <c r="U13" s="2018">
        <f t="shared" si="14"/>
        <v>0</v>
      </c>
      <c r="V13" s="2018">
        <f t="shared" si="14"/>
        <v>0</v>
      </c>
    </row>
    <row r="14">
      <c r="A14" s="2014"/>
      <c r="B14" s="2019" t="s">
        <v>4014</v>
      </c>
      <c r="C14" s="2020"/>
      <c r="D14" s="2014"/>
      <c r="E14" s="2017"/>
      <c r="F14" s="2021">
        <f>IFERROR(F13/E12,0)</f>
        <v>0</v>
      </c>
      <c r="G14" s="2022"/>
      <c r="H14" s="2021">
        <f t="shared" ref="H14:J14" si="15">IFERROR(H13/G12,0)</f>
        <v>0</v>
      </c>
      <c r="I14" s="2023">
        <f t="shared" si="15"/>
        <v>0</v>
      </c>
      <c r="J14" s="2023">
        <f t="shared" si="15"/>
        <v>0</v>
      </c>
      <c r="K14" s="2023"/>
      <c r="L14" s="2023">
        <f t="shared" ref="L14:V14" si="16">IFERROR(L13/K12,0)</f>
        <v>0</v>
      </c>
      <c r="M14" s="2023">
        <f t="shared" si="16"/>
        <v>0</v>
      </c>
      <c r="N14" s="2023">
        <f t="shared" si="16"/>
        <v>0</v>
      </c>
      <c r="O14" s="2023">
        <f t="shared" si="16"/>
        <v>0</v>
      </c>
      <c r="P14" s="2023">
        <f t="shared" si="16"/>
        <v>0</v>
      </c>
      <c r="Q14" s="2023">
        <f t="shared" si="16"/>
        <v>0</v>
      </c>
      <c r="R14" s="2023">
        <f t="shared" si="16"/>
        <v>0</v>
      </c>
      <c r="S14" s="2023">
        <f t="shared" si="16"/>
        <v>0</v>
      </c>
      <c r="T14" s="2023">
        <f t="shared" si="16"/>
        <v>0</v>
      </c>
      <c r="U14" s="2023">
        <f t="shared" si="16"/>
        <v>0</v>
      </c>
      <c r="V14" s="2023">
        <f t="shared" si="16"/>
        <v>0</v>
      </c>
    </row>
    <row r="15">
      <c r="A15" s="2024">
        <v>175.0</v>
      </c>
      <c r="B15" s="2025" t="s">
        <v>4018</v>
      </c>
      <c r="C15" s="2026" t="s">
        <v>3282</v>
      </c>
      <c r="D15" s="2027" t="str">
        <f>VLOOKUP($C15,REPORT!$C$2:$X$218,REPORT!F$1,0)</f>
        <v>#N/A</v>
      </c>
      <c r="E15" s="2027" t="str">
        <f>VLOOKUP($C15,REPORT!$C$2:$X$218,REPORT!G$1,0)</f>
        <v>#N/A</v>
      </c>
      <c r="F15" s="2027" t="str">
        <f>VLOOKUP($C15,REPORT!$C$2:$X$218,REPORT!H$1,0)</f>
        <v>#N/A</v>
      </c>
      <c r="G15" s="2027" t="str">
        <f>VLOOKUP($C15,REPORT!$C$2:$X$218,REPORT!I$1,0)</f>
        <v>#N/A</v>
      </c>
      <c r="H15" s="2027" t="str">
        <f>VLOOKUP($C15,REPORT!$C$2:$X$218,REPORT!J$1,0)</f>
        <v>#N/A</v>
      </c>
      <c r="I15" s="2027" t="str">
        <f>VLOOKUP($C15,REPORT!$C$2:$X$218,REPORT!K$1,0)</f>
        <v>#N/A</v>
      </c>
      <c r="J15" s="2027" t="str">
        <f>VLOOKUP($C15,REPORT!$C$2:$X$218,REPORT!L$1,0)</f>
        <v>#N/A</v>
      </c>
      <c r="K15" s="2027" t="str">
        <f>VLOOKUP($C15,REPORT!$C$2:$X$218,REPORT!M$1,0)</f>
        <v>#N/A</v>
      </c>
      <c r="L15" s="2027" t="str">
        <f>VLOOKUP($C15,REPORT!$C$2:$X$218,REPORT!N$1,0)</f>
        <v>#N/A</v>
      </c>
      <c r="M15" s="2027" t="str">
        <f>VLOOKUP($C15,REPORT!$C$2:$X$218,REPORT!O$1,0)</f>
        <v>#N/A</v>
      </c>
      <c r="N15" s="2027" t="str">
        <f>VLOOKUP($C15,REPORT!$C$2:$X$218,REPORT!P$1,0)</f>
        <v>#N/A</v>
      </c>
      <c r="O15" s="2027" t="str">
        <f>VLOOKUP($C15,REPORT!$C$2:$X$218,REPORT!Q$1,0)</f>
        <v>#N/A</v>
      </c>
      <c r="P15" s="2027" t="str">
        <f>VLOOKUP($C15,REPORT!$C$2:$X$218,REPORT!R$1,0)</f>
        <v>#N/A</v>
      </c>
      <c r="Q15" s="2027" t="str">
        <f>VLOOKUP($C15,REPORT!$C$2:$X$218,REPORT!S$1,0)</f>
        <v>#N/A</v>
      </c>
      <c r="R15" s="2027" t="str">
        <f>VLOOKUP($C15,REPORT!$C$2:$X$218,REPORT!T$1,0)</f>
        <v>#N/A</v>
      </c>
      <c r="S15" s="2027" t="str">
        <f>VLOOKUP($C15,REPORT!$C$2:$X$218,REPORT!U$1,0)</f>
        <v>#N/A</v>
      </c>
      <c r="T15" s="2027" t="str">
        <f>VLOOKUP($C15,REPORT!$C$2:$X$218,REPORT!V$1,0)</f>
        <v>#N/A</v>
      </c>
      <c r="U15" s="2027" t="str">
        <f>VLOOKUP($C15,REPORT!$C$2:$X$218,REPORT!W$1,0)</f>
        <v>#N/A</v>
      </c>
      <c r="V15" s="2027" t="str">
        <f>VLOOKUP($C15,REPORT!$C$2:$X$218,REPORT!X$1,0)</f>
        <v>#N/A</v>
      </c>
    </row>
    <row r="16">
      <c r="A16" s="2014"/>
      <c r="B16" s="2015" t="s">
        <v>4013</v>
      </c>
      <c r="C16" s="2016"/>
      <c r="D16" s="2014"/>
      <c r="E16" s="2017"/>
      <c r="F16" s="2018">
        <f>IFERROR(IF(F$2&lt;&gt;"",F15-E15,0),0)</f>
        <v>0</v>
      </c>
      <c r="G16" s="2018"/>
      <c r="H16" s="2017">
        <f t="shared" ref="H16:J16" si="17">IFERROR(IF(H$2&lt;&gt;"",H15-G15,0),0)</f>
        <v>0</v>
      </c>
      <c r="I16" s="2018">
        <f t="shared" si="17"/>
        <v>0</v>
      </c>
      <c r="J16" s="2018">
        <f t="shared" si="17"/>
        <v>0</v>
      </c>
      <c r="K16" s="2018"/>
      <c r="L16" s="2018">
        <f t="shared" ref="L16:V16" si="18">IFERROR(IF(L$2&lt;&gt;"",L15-K15,0),0)</f>
        <v>0</v>
      </c>
      <c r="M16" s="2018">
        <f t="shared" si="18"/>
        <v>0</v>
      </c>
      <c r="N16" s="2018">
        <f t="shared" si="18"/>
        <v>0</v>
      </c>
      <c r="O16" s="2018">
        <f t="shared" si="18"/>
        <v>0</v>
      </c>
      <c r="P16" s="2018">
        <f t="shared" si="18"/>
        <v>0</v>
      </c>
      <c r="Q16" s="2018">
        <f t="shared" si="18"/>
        <v>0</v>
      </c>
      <c r="R16" s="2018">
        <f t="shared" si="18"/>
        <v>0</v>
      </c>
      <c r="S16" s="2018">
        <f t="shared" si="18"/>
        <v>0</v>
      </c>
      <c r="T16" s="2018">
        <f t="shared" si="18"/>
        <v>0</v>
      </c>
      <c r="U16" s="2018">
        <f t="shared" si="18"/>
        <v>0</v>
      </c>
      <c r="V16" s="2018">
        <f t="shared" si="18"/>
        <v>0</v>
      </c>
    </row>
    <row r="17">
      <c r="A17" s="2014"/>
      <c r="B17" s="2019" t="s">
        <v>4014</v>
      </c>
      <c r="C17" s="2020"/>
      <c r="D17" s="2014"/>
      <c r="E17" s="2017"/>
      <c r="F17" s="2021">
        <f>IFERROR(F16/E15,0)</f>
        <v>0</v>
      </c>
      <c r="G17" s="2021"/>
      <c r="H17" s="2022">
        <f t="shared" ref="H17:J17" si="19">IFERROR(H16/G15,0)</f>
        <v>0</v>
      </c>
      <c r="I17" s="2023">
        <f t="shared" si="19"/>
        <v>0</v>
      </c>
      <c r="J17" s="2023">
        <f t="shared" si="19"/>
        <v>0</v>
      </c>
      <c r="K17" s="2023"/>
      <c r="L17" s="2023">
        <f t="shared" ref="L17:V17" si="20">IFERROR(L16/K15,0)</f>
        <v>0</v>
      </c>
      <c r="M17" s="2023">
        <f t="shared" si="20"/>
        <v>0</v>
      </c>
      <c r="N17" s="2023">
        <f t="shared" si="20"/>
        <v>0</v>
      </c>
      <c r="O17" s="2023">
        <f t="shared" si="20"/>
        <v>0</v>
      </c>
      <c r="P17" s="2023">
        <f t="shared" si="20"/>
        <v>0</v>
      </c>
      <c r="Q17" s="2023">
        <f t="shared" si="20"/>
        <v>0</v>
      </c>
      <c r="R17" s="2023">
        <f t="shared" si="20"/>
        <v>0</v>
      </c>
      <c r="S17" s="2023">
        <f t="shared" si="20"/>
        <v>0</v>
      </c>
      <c r="T17" s="2023">
        <f t="shared" si="20"/>
        <v>0</v>
      </c>
      <c r="U17" s="2023">
        <f t="shared" si="20"/>
        <v>0</v>
      </c>
      <c r="V17" s="2023">
        <f t="shared" si="20"/>
        <v>0</v>
      </c>
    </row>
    <row r="18">
      <c r="A18" s="2010">
        <v>260.0</v>
      </c>
      <c r="B18" s="2011" t="s">
        <v>3305</v>
      </c>
      <c r="C18" s="2012" t="s">
        <v>3306</v>
      </c>
      <c r="D18" s="2013" t="str">
        <f>VLOOKUP($C18,REPORT!$C$2:$X$218,REPORT!F$1,0)</f>
        <v>#N/A</v>
      </c>
      <c r="E18" s="2013" t="str">
        <f>VLOOKUP($C18,REPORT!$C$2:$X$218,REPORT!G$1,0)</f>
        <v>#N/A</v>
      </c>
      <c r="F18" s="2013" t="str">
        <f>VLOOKUP($C18,REPORT!$C$2:$X$218,REPORT!H$1,0)</f>
        <v>#N/A</v>
      </c>
      <c r="G18" s="2013" t="str">
        <f>VLOOKUP($C18,REPORT!$C$2:$X$218,REPORT!I$1,0)</f>
        <v>#N/A</v>
      </c>
      <c r="H18" s="2013" t="str">
        <f>VLOOKUP($C18,REPORT!$C$2:$X$218,REPORT!J$1,0)</f>
        <v>#N/A</v>
      </c>
      <c r="I18" s="2013" t="str">
        <f>VLOOKUP($C18,REPORT!$C$2:$X$218,REPORT!K$1,0)</f>
        <v>#N/A</v>
      </c>
      <c r="J18" s="2013" t="str">
        <f>VLOOKUP($C18,REPORT!$C$2:$X$218,REPORT!L$1,0)</f>
        <v>#N/A</v>
      </c>
      <c r="K18" s="2013" t="str">
        <f>VLOOKUP($C18,REPORT!$C$2:$X$218,REPORT!M$1,0)</f>
        <v>#N/A</v>
      </c>
      <c r="L18" s="2013" t="str">
        <f>VLOOKUP($C18,REPORT!$C$2:$X$218,REPORT!N$1,0)</f>
        <v>#N/A</v>
      </c>
      <c r="M18" s="2013" t="str">
        <f>VLOOKUP($C18,REPORT!$C$2:$X$218,REPORT!O$1,0)</f>
        <v>#N/A</v>
      </c>
      <c r="N18" s="2013" t="str">
        <f>VLOOKUP($C18,REPORT!$C$2:$X$218,REPORT!P$1,0)</f>
        <v>#N/A</v>
      </c>
      <c r="O18" s="2013" t="str">
        <f>VLOOKUP($C18,REPORT!$C$2:$X$218,REPORT!Q$1,0)</f>
        <v>#N/A</v>
      </c>
      <c r="P18" s="2013" t="str">
        <f>VLOOKUP($C18,REPORT!$C$2:$X$218,REPORT!R$1,0)</f>
        <v>#N/A</v>
      </c>
      <c r="Q18" s="2013" t="str">
        <f>VLOOKUP($C18,REPORT!$C$2:$X$218,REPORT!S$1,0)</f>
        <v>#N/A</v>
      </c>
      <c r="R18" s="2013" t="str">
        <f>VLOOKUP($C18,REPORT!$C$2:$X$218,REPORT!T$1,0)</f>
        <v>#N/A</v>
      </c>
      <c r="S18" s="2013" t="str">
        <f>VLOOKUP($C18,REPORT!$C$2:$X$218,REPORT!U$1,0)</f>
        <v>#N/A</v>
      </c>
      <c r="T18" s="2013" t="str">
        <f>VLOOKUP($C18,REPORT!$C$2:$X$218,REPORT!V$1,0)</f>
        <v>#N/A</v>
      </c>
      <c r="U18" s="2013" t="str">
        <f>VLOOKUP($C18,REPORT!$C$2:$X$218,REPORT!W$1,0)</f>
        <v>#N/A</v>
      </c>
      <c r="V18" s="2013" t="str">
        <f>VLOOKUP($C18,REPORT!$C$2:$X$218,REPORT!X$1,0)</f>
        <v>#N/A</v>
      </c>
    </row>
    <row r="19">
      <c r="A19" s="2014"/>
      <c r="B19" s="2015" t="s">
        <v>4013</v>
      </c>
      <c r="C19" s="2016"/>
      <c r="D19" s="2014"/>
      <c r="E19" s="2017"/>
      <c r="F19" s="2018">
        <f>IFERROR(IF(F$2&lt;&gt;"",F18-E18,0),0)</f>
        <v>0</v>
      </c>
      <c r="G19" s="2018"/>
      <c r="H19" s="2018">
        <f t="shared" ref="H19:J19" si="21">IFERROR(IF(H$2&lt;&gt;"",H18-G18,0),0)</f>
        <v>0</v>
      </c>
      <c r="I19" s="2018">
        <f t="shared" si="21"/>
        <v>0</v>
      </c>
      <c r="J19" s="2018">
        <f t="shared" si="21"/>
        <v>0</v>
      </c>
      <c r="K19" s="2018"/>
      <c r="L19" s="2018">
        <f t="shared" ref="L19:V19" si="22">IFERROR(IF(L$2&lt;&gt;"",L18-K18,0),0)</f>
        <v>0</v>
      </c>
      <c r="M19" s="2018">
        <f t="shared" si="22"/>
        <v>0</v>
      </c>
      <c r="N19" s="2018">
        <f t="shared" si="22"/>
        <v>0</v>
      </c>
      <c r="O19" s="2018">
        <f t="shared" si="22"/>
        <v>0</v>
      </c>
      <c r="P19" s="2018">
        <f t="shared" si="22"/>
        <v>0</v>
      </c>
      <c r="Q19" s="2018">
        <f t="shared" si="22"/>
        <v>0</v>
      </c>
      <c r="R19" s="2018">
        <f t="shared" si="22"/>
        <v>0</v>
      </c>
      <c r="S19" s="2018">
        <f t="shared" si="22"/>
        <v>0</v>
      </c>
      <c r="T19" s="2018">
        <f t="shared" si="22"/>
        <v>0</v>
      </c>
      <c r="U19" s="2018">
        <f t="shared" si="22"/>
        <v>0</v>
      </c>
      <c r="V19" s="2018">
        <f t="shared" si="22"/>
        <v>0</v>
      </c>
    </row>
    <row r="20">
      <c r="A20" s="2014"/>
      <c r="B20" s="2019" t="s">
        <v>4014</v>
      </c>
      <c r="C20" s="2020"/>
      <c r="D20" s="2014"/>
      <c r="E20" s="2017"/>
      <c r="F20" s="2021">
        <f>IFERROR(F19/E18,0)</f>
        <v>0</v>
      </c>
      <c r="G20" s="2021"/>
      <c r="H20" s="2021">
        <f t="shared" ref="H20:J20" si="23">IFERROR(H19/G18,0)</f>
        <v>0</v>
      </c>
      <c r="I20" s="2023">
        <f t="shared" si="23"/>
        <v>0</v>
      </c>
      <c r="J20" s="2023">
        <f t="shared" si="23"/>
        <v>0</v>
      </c>
      <c r="K20" s="2023"/>
      <c r="L20" s="2023">
        <f t="shared" ref="L20:V20" si="24">IFERROR(L19/K18,0)</f>
        <v>0</v>
      </c>
      <c r="M20" s="2023">
        <f t="shared" si="24"/>
        <v>0</v>
      </c>
      <c r="N20" s="2023">
        <f t="shared" si="24"/>
        <v>0</v>
      </c>
      <c r="O20" s="2023">
        <f t="shared" si="24"/>
        <v>0</v>
      </c>
      <c r="P20" s="2023">
        <f t="shared" si="24"/>
        <v>0</v>
      </c>
      <c r="Q20" s="2023">
        <f t="shared" si="24"/>
        <v>0</v>
      </c>
      <c r="R20" s="2023">
        <f t="shared" si="24"/>
        <v>0</v>
      </c>
      <c r="S20" s="2023">
        <f t="shared" si="24"/>
        <v>0</v>
      </c>
      <c r="T20" s="2023">
        <f t="shared" si="24"/>
        <v>0</v>
      </c>
      <c r="U20" s="2023">
        <f t="shared" si="24"/>
        <v>0</v>
      </c>
      <c r="V20" s="2023">
        <f t="shared" si="24"/>
        <v>0</v>
      </c>
    </row>
    <row r="21">
      <c r="A21" s="2024">
        <v>265.0</v>
      </c>
      <c r="B21" s="2025" t="s">
        <v>4019</v>
      </c>
      <c r="C21" s="2026" t="s">
        <v>3309</v>
      </c>
      <c r="D21" s="2027" t="str">
        <f>VLOOKUP($C21,REPORT!$C$2:$X$218,REPORT!F$1,0)</f>
        <v>#N/A</v>
      </c>
      <c r="E21" s="2027" t="str">
        <f>VLOOKUP($C21,REPORT!$C$2:$X$218,REPORT!G$1,0)</f>
        <v>#N/A</v>
      </c>
      <c r="F21" s="2027" t="str">
        <f>VLOOKUP($C21,REPORT!$C$2:$X$218,REPORT!H$1,0)</f>
        <v>#N/A</v>
      </c>
      <c r="G21" s="2027" t="str">
        <f>VLOOKUP($C21,REPORT!$C$2:$X$218,REPORT!I$1,0)</f>
        <v>#N/A</v>
      </c>
      <c r="H21" s="2027" t="str">
        <f>VLOOKUP($C21,REPORT!$C$2:$X$218,REPORT!J$1,0)</f>
        <v>#N/A</v>
      </c>
      <c r="I21" s="2027" t="str">
        <f>VLOOKUP($C21,REPORT!$C$2:$X$218,REPORT!K$1,0)</f>
        <v>#N/A</v>
      </c>
      <c r="J21" s="2027" t="str">
        <f>VLOOKUP($C21,REPORT!$C$2:$X$218,REPORT!L$1,0)</f>
        <v>#N/A</v>
      </c>
      <c r="K21" s="2027" t="str">
        <f>VLOOKUP($C21,REPORT!$C$2:$X$218,REPORT!M$1,0)</f>
        <v>#N/A</v>
      </c>
      <c r="L21" s="2027" t="str">
        <f>VLOOKUP($C21,REPORT!$C$2:$X$218,REPORT!N$1,0)</f>
        <v>#N/A</v>
      </c>
      <c r="M21" s="2027" t="str">
        <f>VLOOKUP($C21,REPORT!$C$2:$X$218,REPORT!O$1,0)</f>
        <v>#N/A</v>
      </c>
      <c r="N21" s="2027" t="str">
        <f>VLOOKUP($C21,REPORT!$C$2:$X$218,REPORT!P$1,0)</f>
        <v>#N/A</v>
      </c>
      <c r="O21" s="2027" t="str">
        <f>VLOOKUP($C21,REPORT!$C$2:$X$218,REPORT!Q$1,0)</f>
        <v>#N/A</v>
      </c>
      <c r="P21" s="2027" t="str">
        <f>VLOOKUP($C21,REPORT!$C$2:$X$218,REPORT!R$1,0)</f>
        <v>#N/A</v>
      </c>
      <c r="Q21" s="2027" t="str">
        <f>VLOOKUP($C21,REPORT!$C$2:$X$218,REPORT!S$1,0)</f>
        <v>#N/A</v>
      </c>
      <c r="R21" s="2027" t="str">
        <f>VLOOKUP($C21,REPORT!$C$2:$X$218,REPORT!T$1,0)</f>
        <v>#N/A</v>
      </c>
      <c r="S21" s="2027" t="str">
        <f>VLOOKUP($C21,REPORT!$C$2:$X$218,REPORT!U$1,0)</f>
        <v>#N/A</v>
      </c>
      <c r="T21" s="2027" t="str">
        <f>VLOOKUP($C21,REPORT!$C$2:$X$218,REPORT!V$1,0)</f>
        <v>#N/A</v>
      </c>
      <c r="U21" s="2027" t="str">
        <f>VLOOKUP($C21,REPORT!$C$2:$X$218,REPORT!W$1,0)</f>
        <v>#N/A</v>
      </c>
      <c r="V21" s="2027" t="str">
        <f>VLOOKUP($C21,REPORT!$C$2:$X$218,REPORT!X$1,0)</f>
        <v>#N/A</v>
      </c>
    </row>
    <row r="22">
      <c r="A22" s="2014"/>
      <c r="B22" s="2015" t="s">
        <v>4013</v>
      </c>
      <c r="C22" s="2016"/>
      <c r="D22" s="2014"/>
      <c r="E22" s="2017"/>
      <c r="F22" s="2018">
        <f>IFERROR(IF(F$2&lt;&gt;"",F21-E21,0),0)</f>
        <v>0</v>
      </c>
      <c r="G22" s="2018"/>
      <c r="H22" s="2018">
        <f t="shared" ref="H22:J22" si="25">IFERROR(IF(H$2&lt;&gt;"",H21-G21,0),0)</f>
        <v>0</v>
      </c>
      <c r="I22" s="2018">
        <f t="shared" si="25"/>
        <v>0</v>
      </c>
      <c r="J22" s="2018">
        <f t="shared" si="25"/>
        <v>0</v>
      </c>
      <c r="K22" s="2018"/>
      <c r="L22" s="2018">
        <f t="shared" ref="L22:V22" si="26">IFERROR(IF(L$2&lt;&gt;"",L21-K21,0),0)</f>
        <v>0</v>
      </c>
      <c r="M22" s="2018">
        <f t="shared" si="26"/>
        <v>0</v>
      </c>
      <c r="N22" s="2018">
        <f t="shared" si="26"/>
        <v>0</v>
      </c>
      <c r="O22" s="2018">
        <f t="shared" si="26"/>
        <v>0</v>
      </c>
      <c r="P22" s="2018">
        <f t="shared" si="26"/>
        <v>0</v>
      </c>
      <c r="Q22" s="2018">
        <f t="shared" si="26"/>
        <v>0</v>
      </c>
      <c r="R22" s="2018">
        <f t="shared" si="26"/>
        <v>0</v>
      </c>
      <c r="S22" s="2018">
        <f t="shared" si="26"/>
        <v>0</v>
      </c>
      <c r="T22" s="2018">
        <f t="shared" si="26"/>
        <v>0</v>
      </c>
      <c r="U22" s="2018">
        <f t="shared" si="26"/>
        <v>0</v>
      </c>
      <c r="V22" s="2018">
        <f t="shared" si="26"/>
        <v>0</v>
      </c>
    </row>
    <row r="23">
      <c r="A23" s="2014"/>
      <c r="B23" s="2019" t="s">
        <v>4014</v>
      </c>
      <c r="C23" s="2020"/>
      <c r="D23" s="2014"/>
      <c r="E23" s="2017"/>
      <c r="F23" s="2021">
        <f>IFERROR(F22/E21,0)</f>
        <v>0</v>
      </c>
      <c r="G23" s="2021"/>
      <c r="H23" s="2021">
        <f t="shared" ref="H23:J23" si="27">IFERROR(H22/G21,0)</f>
        <v>0</v>
      </c>
      <c r="I23" s="2023">
        <f t="shared" si="27"/>
        <v>0</v>
      </c>
      <c r="J23" s="2023">
        <f t="shared" si="27"/>
        <v>0</v>
      </c>
      <c r="K23" s="2023"/>
      <c r="L23" s="2023">
        <f t="shared" ref="L23:V23" si="28">IFERROR(L22/K21,0)</f>
        <v>0</v>
      </c>
      <c r="M23" s="2023">
        <f t="shared" si="28"/>
        <v>0</v>
      </c>
      <c r="N23" s="2023">
        <f t="shared" si="28"/>
        <v>0</v>
      </c>
      <c r="O23" s="2023">
        <f t="shared" si="28"/>
        <v>0</v>
      </c>
      <c r="P23" s="2023">
        <f t="shared" si="28"/>
        <v>0</v>
      </c>
      <c r="Q23" s="2023">
        <f t="shared" si="28"/>
        <v>0</v>
      </c>
      <c r="R23" s="2023">
        <f t="shared" si="28"/>
        <v>0</v>
      </c>
      <c r="S23" s="2023">
        <f t="shared" si="28"/>
        <v>0</v>
      </c>
      <c r="T23" s="2023">
        <f t="shared" si="28"/>
        <v>0</v>
      </c>
      <c r="U23" s="2023">
        <f t="shared" si="28"/>
        <v>0</v>
      </c>
      <c r="V23" s="2023">
        <f t="shared" si="28"/>
        <v>0</v>
      </c>
    </row>
    <row r="24">
      <c r="A24" s="2024">
        <v>350.0</v>
      </c>
      <c r="B24" s="2025" t="s">
        <v>4020</v>
      </c>
      <c r="C24" s="2026" t="s">
        <v>3330</v>
      </c>
      <c r="D24" s="2027" t="str">
        <f>VLOOKUP($C24,REPORT!$C$2:$X$218,REPORT!F$1,0)</f>
        <v>#N/A</v>
      </c>
      <c r="E24" s="2027" t="str">
        <f>VLOOKUP($C24,REPORT!$C$2:$X$218,REPORT!G$1,0)</f>
        <v>#N/A</v>
      </c>
      <c r="F24" s="2027" t="str">
        <f>VLOOKUP($C24,REPORT!$C$2:$X$218,REPORT!H$1,0)</f>
        <v>#N/A</v>
      </c>
      <c r="G24" s="2027" t="str">
        <f>VLOOKUP($C24,REPORT!$C$2:$X$218,REPORT!I$1,0)</f>
        <v>#N/A</v>
      </c>
      <c r="H24" s="2027" t="str">
        <f>VLOOKUP($C24,REPORT!$C$2:$X$218,REPORT!J$1,0)</f>
        <v>#N/A</v>
      </c>
      <c r="I24" s="2027" t="str">
        <f>VLOOKUP($C24,REPORT!$C$2:$X$218,REPORT!K$1,0)</f>
        <v>#N/A</v>
      </c>
      <c r="J24" s="2027" t="str">
        <f>VLOOKUP($C24,REPORT!$C$2:$X$218,REPORT!L$1,0)</f>
        <v>#N/A</v>
      </c>
      <c r="K24" s="2027" t="str">
        <f>VLOOKUP($C24,REPORT!$C$2:$X$218,REPORT!M$1,0)</f>
        <v>#N/A</v>
      </c>
      <c r="L24" s="2027" t="str">
        <f>VLOOKUP($C24,REPORT!$C$2:$X$218,REPORT!N$1,0)</f>
        <v>#N/A</v>
      </c>
      <c r="M24" s="2027" t="str">
        <f>VLOOKUP($C24,REPORT!$C$2:$X$218,REPORT!O$1,0)</f>
        <v>#N/A</v>
      </c>
      <c r="N24" s="2027" t="str">
        <f>VLOOKUP($C24,REPORT!$C$2:$X$218,REPORT!P$1,0)</f>
        <v>#N/A</v>
      </c>
      <c r="O24" s="2027" t="str">
        <f>VLOOKUP($C24,REPORT!$C$2:$X$218,REPORT!Q$1,0)</f>
        <v>#N/A</v>
      </c>
      <c r="P24" s="2027" t="str">
        <f>VLOOKUP($C24,REPORT!$C$2:$X$218,REPORT!R$1,0)</f>
        <v>#N/A</v>
      </c>
      <c r="Q24" s="2027" t="str">
        <f>VLOOKUP($C24,REPORT!$C$2:$X$218,REPORT!S$1,0)</f>
        <v>#N/A</v>
      </c>
      <c r="R24" s="2027" t="str">
        <f>VLOOKUP($C24,REPORT!$C$2:$X$218,REPORT!T$1,0)</f>
        <v>#N/A</v>
      </c>
      <c r="S24" s="2027" t="str">
        <f>VLOOKUP($C24,REPORT!$C$2:$X$218,REPORT!U$1,0)</f>
        <v>#N/A</v>
      </c>
      <c r="T24" s="2027" t="str">
        <f>VLOOKUP($C24,REPORT!$C$2:$X$218,REPORT!V$1,0)</f>
        <v>#N/A</v>
      </c>
      <c r="U24" s="2027" t="str">
        <f>VLOOKUP($C24,REPORT!$C$2:$X$218,REPORT!W$1,0)</f>
        <v>#N/A</v>
      </c>
      <c r="V24" s="2027" t="str">
        <f>VLOOKUP($C24,REPORT!$C$2:$X$218,REPORT!X$1,0)</f>
        <v>#N/A</v>
      </c>
    </row>
    <row r="25">
      <c r="A25" s="2014"/>
      <c r="B25" s="2015" t="s">
        <v>4013</v>
      </c>
      <c r="C25" s="2016"/>
      <c r="D25" s="2014"/>
      <c r="E25" s="2017"/>
      <c r="F25" s="2018">
        <f>IFERROR(IF(F$2&lt;&gt;"",F24-E24,0),0)</f>
        <v>0</v>
      </c>
      <c r="G25" s="2018"/>
      <c r="H25" s="2018">
        <f t="shared" ref="H25:J25" si="29">IFERROR(IF(H$2&lt;&gt;"",H24-G24,0),0)</f>
        <v>0</v>
      </c>
      <c r="I25" s="2018">
        <f t="shared" si="29"/>
        <v>0</v>
      </c>
      <c r="J25" s="2018">
        <f t="shared" si="29"/>
        <v>0</v>
      </c>
      <c r="K25" s="2018"/>
      <c r="L25" s="2018">
        <f t="shared" ref="L25:V25" si="30">IFERROR(IF(L$2&lt;&gt;"",L24-K24,0),0)</f>
        <v>0</v>
      </c>
      <c r="M25" s="2018">
        <f t="shared" si="30"/>
        <v>0</v>
      </c>
      <c r="N25" s="2018">
        <f t="shared" si="30"/>
        <v>0</v>
      </c>
      <c r="O25" s="2018">
        <f t="shared" si="30"/>
        <v>0</v>
      </c>
      <c r="P25" s="2018">
        <f t="shared" si="30"/>
        <v>0</v>
      </c>
      <c r="Q25" s="2018">
        <f t="shared" si="30"/>
        <v>0</v>
      </c>
      <c r="R25" s="2018">
        <f t="shared" si="30"/>
        <v>0</v>
      </c>
      <c r="S25" s="2018">
        <f t="shared" si="30"/>
        <v>0</v>
      </c>
      <c r="T25" s="2018">
        <f t="shared" si="30"/>
        <v>0</v>
      </c>
      <c r="U25" s="2018">
        <f t="shared" si="30"/>
        <v>0</v>
      </c>
      <c r="V25" s="2018">
        <f t="shared" si="30"/>
        <v>0</v>
      </c>
    </row>
    <row r="26">
      <c r="A26" s="2014"/>
      <c r="B26" s="2019" t="s">
        <v>4014</v>
      </c>
      <c r="C26" s="2020"/>
      <c r="D26" s="2014"/>
      <c r="E26" s="2017"/>
      <c r="F26" s="2021">
        <f>IFERROR(F25/E24,0)</f>
        <v>0</v>
      </c>
      <c r="G26" s="2021"/>
      <c r="H26" s="2021">
        <f t="shared" ref="H26:J26" si="31">IFERROR(H25/G24,0)</f>
        <v>0</v>
      </c>
      <c r="I26" s="2023">
        <f t="shared" si="31"/>
        <v>0</v>
      </c>
      <c r="J26" s="2023">
        <f t="shared" si="31"/>
        <v>0</v>
      </c>
      <c r="K26" s="2023"/>
      <c r="L26" s="2023">
        <f t="shared" ref="L26:V26" si="32">IFERROR(L25/K24,0)</f>
        <v>0</v>
      </c>
      <c r="M26" s="2023">
        <f t="shared" si="32"/>
        <v>0</v>
      </c>
      <c r="N26" s="2023">
        <f t="shared" si="32"/>
        <v>0</v>
      </c>
      <c r="O26" s="2023">
        <f t="shared" si="32"/>
        <v>0</v>
      </c>
      <c r="P26" s="2023">
        <f t="shared" si="32"/>
        <v>0</v>
      </c>
      <c r="Q26" s="2023">
        <f t="shared" si="32"/>
        <v>0</v>
      </c>
      <c r="R26" s="2023">
        <f t="shared" si="32"/>
        <v>0</v>
      </c>
      <c r="S26" s="2023">
        <f t="shared" si="32"/>
        <v>0</v>
      </c>
      <c r="T26" s="2023">
        <f t="shared" si="32"/>
        <v>0</v>
      </c>
      <c r="U26" s="2023">
        <f t="shared" si="32"/>
        <v>0</v>
      </c>
      <c r="V26" s="2023">
        <f t="shared" si="32"/>
        <v>0</v>
      </c>
    </row>
    <row r="27">
      <c r="A27" s="2024">
        <v>400.0</v>
      </c>
      <c r="B27" s="2025" t="s">
        <v>4021</v>
      </c>
      <c r="C27" s="2026" t="s">
        <v>3346</v>
      </c>
      <c r="D27" s="2027" t="str">
        <f>VLOOKUP($C27,REPORT!$C$2:$X$218,REPORT!F$1,0)</f>
        <v>#N/A</v>
      </c>
      <c r="E27" s="2027" t="str">
        <f>VLOOKUP($C27,REPORT!$C$2:$X$218,REPORT!G$1,0)</f>
        <v>#N/A</v>
      </c>
      <c r="F27" s="2027" t="str">
        <f>VLOOKUP($C27,REPORT!$C$2:$X$218,REPORT!H$1,0)</f>
        <v>#N/A</v>
      </c>
      <c r="G27" s="2027" t="str">
        <f>VLOOKUP($C27,REPORT!$C$2:$X$218,REPORT!I$1,0)</f>
        <v>#N/A</v>
      </c>
      <c r="H27" s="2027" t="str">
        <f>VLOOKUP($C27,REPORT!$C$2:$X$218,REPORT!J$1,0)</f>
        <v>#N/A</v>
      </c>
      <c r="I27" s="2027" t="str">
        <f>VLOOKUP($C27,REPORT!$C$2:$X$218,REPORT!K$1,0)</f>
        <v>#N/A</v>
      </c>
      <c r="J27" s="2027" t="str">
        <f>VLOOKUP($C27,REPORT!$C$2:$X$218,REPORT!L$1,0)</f>
        <v>#N/A</v>
      </c>
      <c r="K27" s="2027" t="str">
        <f>VLOOKUP($C27,REPORT!$C$2:$X$218,REPORT!M$1,0)</f>
        <v>#N/A</v>
      </c>
      <c r="L27" s="2027" t="str">
        <f>VLOOKUP($C27,REPORT!$C$2:$X$218,REPORT!N$1,0)</f>
        <v>#N/A</v>
      </c>
      <c r="M27" s="2027" t="str">
        <f>VLOOKUP($C27,REPORT!$C$2:$X$218,REPORT!O$1,0)</f>
        <v>#N/A</v>
      </c>
      <c r="N27" s="2027" t="str">
        <f>VLOOKUP($C27,REPORT!$C$2:$X$218,REPORT!P$1,0)</f>
        <v>#N/A</v>
      </c>
      <c r="O27" s="2027" t="str">
        <f>VLOOKUP($C27,REPORT!$C$2:$X$218,REPORT!Q$1,0)</f>
        <v>#N/A</v>
      </c>
      <c r="P27" s="2027" t="str">
        <f>VLOOKUP($C27,REPORT!$C$2:$X$218,REPORT!R$1,0)</f>
        <v>#N/A</v>
      </c>
      <c r="Q27" s="2027" t="str">
        <f>VLOOKUP($C27,REPORT!$C$2:$X$218,REPORT!S$1,0)</f>
        <v>#N/A</v>
      </c>
      <c r="R27" s="2027" t="str">
        <f>VLOOKUP($C27,REPORT!$C$2:$X$218,REPORT!T$1,0)</f>
        <v>#N/A</v>
      </c>
      <c r="S27" s="2027" t="str">
        <f>VLOOKUP($C27,REPORT!$C$2:$X$218,REPORT!U$1,0)</f>
        <v>#N/A</v>
      </c>
      <c r="T27" s="2027" t="str">
        <f>VLOOKUP($C27,REPORT!$C$2:$X$218,REPORT!V$1,0)</f>
        <v>#N/A</v>
      </c>
      <c r="U27" s="2027" t="str">
        <f>VLOOKUP($C27,REPORT!$C$2:$X$218,REPORT!W$1,0)</f>
        <v>#N/A</v>
      </c>
      <c r="V27" s="2027" t="str">
        <f>VLOOKUP($C27,REPORT!$C$2:$X$218,REPORT!X$1,0)</f>
        <v>#N/A</v>
      </c>
    </row>
    <row r="28">
      <c r="A28" s="2014"/>
      <c r="B28" s="2015" t="s">
        <v>4013</v>
      </c>
      <c r="C28" s="2016"/>
      <c r="D28" s="2014"/>
      <c r="E28" s="2017"/>
      <c r="F28" s="2018">
        <f>IFERROR(IF(F$2&lt;&gt;"",F27-E27,0),0)</f>
        <v>0</v>
      </c>
      <c r="G28" s="2018"/>
      <c r="H28" s="2018">
        <f t="shared" ref="H28:J28" si="33">IFERROR(IF(H$2&lt;&gt;"",H27-G27,0),0)</f>
        <v>0</v>
      </c>
      <c r="I28" s="2018">
        <f t="shared" si="33"/>
        <v>0</v>
      </c>
      <c r="J28" s="2018">
        <f t="shared" si="33"/>
        <v>0</v>
      </c>
      <c r="K28" s="2018"/>
      <c r="L28" s="2018">
        <f t="shared" ref="L28:V28" si="34">IFERROR(IF(L$2&lt;&gt;"",L27-K27,0),0)</f>
        <v>0</v>
      </c>
      <c r="M28" s="2018">
        <f t="shared" si="34"/>
        <v>0</v>
      </c>
      <c r="N28" s="2018">
        <f t="shared" si="34"/>
        <v>0</v>
      </c>
      <c r="O28" s="2018">
        <f t="shared" si="34"/>
        <v>0</v>
      </c>
      <c r="P28" s="2018">
        <f t="shared" si="34"/>
        <v>0</v>
      </c>
      <c r="Q28" s="2018">
        <f t="shared" si="34"/>
        <v>0</v>
      </c>
      <c r="R28" s="2018">
        <f t="shared" si="34"/>
        <v>0</v>
      </c>
      <c r="S28" s="2018">
        <f t="shared" si="34"/>
        <v>0</v>
      </c>
      <c r="T28" s="2018">
        <f t="shared" si="34"/>
        <v>0</v>
      </c>
      <c r="U28" s="2018">
        <f t="shared" si="34"/>
        <v>0</v>
      </c>
      <c r="V28" s="2018">
        <f t="shared" si="34"/>
        <v>0</v>
      </c>
    </row>
    <row r="29">
      <c r="A29" s="2014"/>
      <c r="B29" s="2019" t="s">
        <v>4014</v>
      </c>
      <c r="C29" s="2020"/>
      <c r="D29" s="2014"/>
      <c r="E29" s="2017"/>
      <c r="F29" s="2021">
        <f>IFERROR(F28/E27,0)</f>
        <v>0</v>
      </c>
      <c r="G29" s="2021"/>
      <c r="H29" s="2021">
        <f t="shared" ref="H29:J29" si="35">IFERROR(H28/G27,0)</f>
        <v>0</v>
      </c>
      <c r="I29" s="2023">
        <f t="shared" si="35"/>
        <v>0</v>
      </c>
      <c r="J29" s="2023">
        <f t="shared" si="35"/>
        <v>0</v>
      </c>
      <c r="K29" s="2023"/>
      <c r="L29" s="2023">
        <f t="shared" ref="L29:V29" si="36">IFERROR(L28/K27,0)</f>
        <v>0</v>
      </c>
      <c r="M29" s="2023">
        <f t="shared" si="36"/>
        <v>0</v>
      </c>
      <c r="N29" s="2023">
        <f t="shared" si="36"/>
        <v>0</v>
      </c>
      <c r="O29" s="2023">
        <f t="shared" si="36"/>
        <v>0</v>
      </c>
      <c r="P29" s="2023">
        <f t="shared" si="36"/>
        <v>0</v>
      </c>
      <c r="Q29" s="2023">
        <f t="shared" si="36"/>
        <v>0</v>
      </c>
      <c r="R29" s="2023">
        <f t="shared" si="36"/>
        <v>0</v>
      </c>
      <c r="S29" s="2023">
        <f t="shared" si="36"/>
        <v>0</v>
      </c>
      <c r="T29" s="2023">
        <f t="shared" si="36"/>
        <v>0</v>
      </c>
      <c r="U29" s="2023">
        <f t="shared" si="36"/>
        <v>0</v>
      </c>
      <c r="V29" s="2023">
        <f t="shared" si="36"/>
        <v>0</v>
      </c>
    </row>
    <row r="30">
      <c r="A30" s="2024">
        <v>415.0</v>
      </c>
      <c r="B30" s="2025" t="s">
        <v>4022</v>
      </c>
      <c r="C30" s="2026" t="s">
        <v>3351</v>
      </c>
      <c r="D30" s="2027" t="str">
        <f>VLOOKUP($C30,REPORT!$C$2:$X$218,REPORT!F$1,0)</f>
        <v>#N/A</v>
      </c>
      <c r="E30" s="2027" t="str">
        <f>VLOOKUP($C30,REPORT!$C$2:$X$218,REPORT!G$1,0)</f>
        <v>#N/A</v>
      </c>
      <c r="F30" s="2027" t="str">
        <f>VLOOKUP($C30,REPORT!$C$2:$X$218,REPORT!H$1,0)</f>
        <v>#N/A</v>
      </c>
      <c r="G30" s="2027" t="str">
        <f>VLOOKUP($C30,REPORT!$C$2:$X$218,REPORT!I$1,0)</f>
        <v>#N/A</v>
      </c>
      <c r="H30" s="2027" t="str">
        <f>VLOOKUP($C30,REPORT!$C$2:$X$218,REPORT!J$1,0)</f>
        <v>#N/A</v>
      </c>
      <c r="I30" s="2027" t="str">
        <f>VLOOKUP($C30,REPORT!$C$2:$X$218,REPORT!K$1,0)</f>
        <v>#N/A</v>
      </c>
      <c r="J30" s="2027" t="str">
        <f>VLOOKUP($C30,REPORT!$C$2:$X$218,REPORT!L$1,0)</f>
        <v>#N/A</v>
      </c>
      <c r="K30" s="2027" t="str">
        <f>VLOOKUP($C30,REPORT!$C$2:$X$218,REPORT!M$1,0)</f>
        <v>#N/A</v>
      </c>
      <c r="L30" s="2027" t="str">
        <f>VLOOKUP($C30,REPORT!$C$2:$X$218,REPORT!N$1,0)</f>
        <v>#N/A</v>
      </c>
      <c r="M30" s="2027" t="str">
        <f>VLOOKUP($C30,REPORT!$C$2:$X$218,REPORT!O$1,0)</f>
        <v>#N/A</v>
      </c>
      <c r="N30" s="2027" t="str">
        <f>VLOOKUP($C30,REPORT!$C$2:$X$218,REPORT!P$1,0)</f>
        <v>#N/A</v>
      </c>
      <c r="O30" s="2027" t="str">
        <f>VLOOKUP($C30,REPORT!$C$2:$X$218,REPORT!Q$1,0)</f>
        <v>#N/A</v>
      </c>
      <c r="P30" s="2027" t="str">
        <f>VLOOKUP($C30,REPORT!$C$2:$X$218,REPORT!R$1,0)</f>
        <v>#N/A</v>
      </c>
      <c r="Q30" s="2027" t="str">
        <f>VLOOKUP($C30,REPORT!$C$2:$X$218,REPORT!S$1,0)</f>
        <v>#N/A</v>
      </c>
      <c r="R30" s="2027" t="str">
        <f>VLOOKUP($C30,REPORT!$C$2:$X$218,REPORT!T$1,0)</f>
        <v>#N/A</v>
      </c>
      <c r="S30" s="2027" t="str">
        <f>VLOOKUP($C30,REPORT!$C$2:$X$218,REPORT!U$1,0)</f>
        <v>#N/A</v>
      </c>
      <c r="T30" s="2027" t="str">
        <f>VLOOKUP($C30,REPORT!$C$2:$X$218,REPORT!V$1,0)</f>
        <v>#N/A</v>
      </c>
      <c r="U30" s="2027" t="str">
        <f>VLOOKUP($C30,REPORT!$C$2:$X$218,REPORT!W$1,0)</f>
        <v>#N/A</v>
      </c>
      <c r="V30" s="2027" t="str">
        <f>VLOOKUP($C30,REPORT!$C$2:$X$218,REPORT!X$1,0)</f>
        <v>#N/A</v>
      </c>
    </row>
    <row r="31">
      <c r="A31" s="2014"/>
      <c r="B31" s="2015" t="s">
        <v>4013</v>
      </c>
      <c r="C31" s="2016"/>
      <c r="D31" s="2014"/>
      <c r="E31" s="2017"/>
      <c r="F31" s="2018">
        <f>IFERROR(IF(F$2&lt;&gt;"",F30-E30,0),0)</f>
        <v>0</v>
      </c>
      <c r="G31" s="2017"/>
      <c r="H31" s="2018">
        <f t="shared" ref="H31:J31" si="37">IFERROR(IF(H$2&lt;&gt;"",H30-G30,0),0)</f>
        <v>0</v>
      </c>
      <c r="I31" s="2018">
        <f t="shared" si="37"/>
        <v>0</v>
      </c>
      <c r="J31" s="2018">
        <f t="shared" si="37"/>
        <v>0</v>
      </c>
      <c r="K31" s="2018"/>
      <c r="L31" s="2018">
        <f t="shared" ref="L31:V31" si="38">IFERROR(IF(L$2&lt;&gt;"",L30-K30,0),0)</f>
        <v>0</v>
      </c>
      <c r="M31" s="2018">
        <f t="shared" si="38"/>
        <v>0</v>
      </c>
      <c r="N31" s="2018">
        <f t="shared" si="38"/>
        <v>0</v>
      </c>
      <c r="O31" s="2018">
        <f t="shared" si="38"/>
        <v>0</v>
      </c>
      <c r="P31" s="2018">
        <f t="shared" si="38"/>
        <v>0</v>
      </c>
      <c r="Q31" s="2018">
        <f t="shared" si="38"/>
        <v>0</v>
      </c>
      <c r="R31" s="2018">
        <f t="shared" si="38"/>
        <v>0</v>
      </c>
      <c r="S31" s="2018">
        <f t="shared" si="38"/>
        <v>0</v>
      </c>
      <c r="T31" s="2018">
        <f t="shared" si="38"/>
        <v>0</v>
      </c>
      <c r="U31" s="2018">
        <f t="shared" si="38"/>
        <v>0</v>
      </c>
      <c r="V31" s="2018">
        <f t="shared" si="38"/>
        <v>0</v>
      </c>
    </row>
    <row r="32">
      <c r="A32" s="2014"/>
      <c r="B32" s="2019" t="s">
        <v>4014</v>
      </c>
      <c r="C32" s="2020"/>
      <c r="D32" s="2014"/>
      <c r="E32" s="2017"/>
      <c r="F32" s="2021">
        <f>IFERROR(F31/E30,0)</f>
        <v>0</v>
      </c>
      <c r="G32" s="2022"/>
      <c r="H32" s="2021">
        <f t="shared" ref="H32:J32" si="39">IFERROR(H31/G30,0)</f>
        <v>0</v>
      </c>
      <c r="I32" s="2023">
        <f t="shared" si="39"/>
        <v>0</v>
      </c>
      <c r="J32" s="2023">
        <f t="shared" si="39"/>
        <v>0</v>
      </c>
      <c r="K32" s="2023"/>
      <c r="L32" s="2023">
        <f t="shared" ref="L32:V32" si="40">IFERROR(L31/K30,0)</f>
        <v>0</v>
      </c>
      <c r="M32" s="2023">
        <f t="shared" si="40"/>
        <v>0</v>
      </c>
      <c r="N32" s="2023">
        <f t="shared" si="40"/>
        <v>0</v>
      </c>
      <c r="O32" s="2023">
        <f t="shared" si="40"/>
        <v>0</v>
      </c>
      <c r="P32" s="2023">
        <f t="shared" si="40"/>
        <v>0</v>
      </c>
      <c r="Q32" s="2023">
        <f t="shared" si="40"/>
        <v>0</v>
      </c>
      <c r="R32" s="2023">
        <f t="shared" si="40"/>
        <v>0</v>
      </c>
      <c r="S32" s="2023">
        <f t="shared" si="40"/>
        <v>0</v>
      </c>
      <c r="T32" s="2023">
        <f t="shared" si="40"/>
        <v>0</v>
      </c>
      <c r="U32" s="2023">
        <f t="shared" si="40"/>
        <v>0</v>
      </c>
      <c r="V32" s="2023">
        <f t="shared" si="40"/>
        <v>0</v>
      </c>
    </row>
    <row r="33">
      <c r="A33" s="2024">
        <v>440.0</v>
      </c>
      <c r="B33" s="2025" t="s">
        <v>4023</v>
      </c>
      <c r="C33" s="2026" t="s">
        <v>3359</v>
      </c>
      <c r="D33" s="2027" t="str">
        <f>VLOOKUP($C33,REPORT!$C$2:$X$218,REPORT!F$1,0)</f>
        <v>#N/A</v>
      </c>
      <c r="E33" s="2027" t="str">
        <f>VLOOKUP($C33,REPORT!$C$2:$X$218,REPORT!G$1,0)</f>
        <v>#N/A</v>
      </c>
      <c r="F33" s="2027" t="str">
        <f>VLOOKUP($C33,REPORT!$C$2:$X$218,REPORT!H$1,0)</f>
        <v>#N/A</v>
      </c>
      <c r="G33" s="2027" t="str">
        <f>VLOOKUP($C33,REPORT!$C$2:$X$218,REPORT!I$1,0)</f>
        <v>#N/A</v>
      </c>
      <c r="H33" s="2027" t="str">
        <f>VLOOKUP($C33,REPORT!$C$2:$X$218,REPORT!J$1,0)</f>
        <v>#N/A</v>
      </c>
      <c r="I33" s="2027" t="str">
        <f>VLOOKUP($C33,REPORT!$C$2:$X$218,REPORT!K$1,0)</f>
        <v>#N/A</v>
      </c>
      <c r="J33" s="2027" t="str">
        <f>VLOOKUP($C33,REPORT!$C$2:$X$218,REPORT!L$1,0)</f>
        <v>#N/A</v>
      </c>
      <c r="K33" s="2027" t="str">
        <f>VLOOKUP($C33,REPORT!$C$2:$X$218,REPORT!M$1,0)</f>
        <v>#N/A</v>
      </c>
      <c r="L33" s="2027" t="str">
        <f>VLOOKUP($C33,REPORT!$C$2:$X$218,REPORT!N$1,0)</f>
        <v>#N/A</v>
      </c>
      <c r="M33" s="2027" t="str">
        <f>VLOOKUP($C33,REPORT!$C$2:$X$218,REPORT!O$1,0)</f>
        <v>#N/A</v>
      </c>
      <c r="N33" s="2027" t="str">
        <f>VLOOKUP($C33,REPORT!$C$2:$X$218,REPORT!P$1,0)</f>
        <v>#N/A</v>
      </c>
      <c r="O33" s="2027" t="str">
        <f>VLOOKUP($C33,REPORT!$C$2:$X$218,REPORT!Q$1,0)</f>
        <v>#N/A</v>
      </c>
      <c r="P33" s="2027" t="str">
        <f>VLOOKUP($C33,REPORT!$C$2:$X$218,REPORT!R$1,0)</f>
        <v>#N/A</v>
      </c>
      <c r="Q33" s="2027" t="str">
        <f>VLOOKUP($C33,REPORT!$C$2:$X$218,REPORT!S$1,0)</f>
        <v>#N/A</v>
      </c>
      <c r="R33" s="2027" t="str">
        <f>VLOOKUP($C33,REPORT!$C$2:$X$218,REPORT!T$1,0)</f>
        <v>#N/A</v>
      </c>
      <c r="S33" s="2027" t="str">
        <f>VLOOKUP($C33,REPORT!$C$2:$X$218,REPORT!U$1,0)</f>
        <v>#N/A</v>
      </c>
      <c r="T33" s="2027" t="str">
        <f>VLOOKUP($C33,REPORT!$C$2:$X$218,REPORT!V$1,0)</f>
        <v>#N/A</v>
      </c>
      <c r="U33" s="2027" t="str">
        <f>VLOOKUP($C33,REPORT!$C$2:$X$218,REPORT!W$1,0)</f>
        <v>#N/A</v>
      </c>
      <c r="V33" s="2027" t="str">
        <f>VLOOKUP($C33,REPORT!$C$2:$X$218,REPORT!X$1,0)</f>
        <v>#N/A</v>
      </c>
    </row>
    <row r="34">
      <c r="A34" s="2014"/>
      <c r="B34" s="2015" t="s">
        <v>4013</v>
      </c>
      <c r="C34" s="2016"/>
      <c r="D34" s="2014"/>
      <c r="E34" s="2017"/>
      <c r="F34" s="2018">
        <f>IFERROR(IF(F$2&lt;&gt;"",F33-E33,0),0)</f>
        <v>0</v>
      </c>
      <c r="G34" s="2018"/>
      <c r="H34" s="2017">
        <f t="shared" ref="H34:J34" si="41">IFERROR(IF(H$2&lt;&gt;"",H33-G33,0),0)</f>
        <v>0</v>
      </c>
      <c r="I34" s="2018">
        <f t="shared" si="41"/>
        <v>0</v>
      </c>
      <c r="J34" s="2018">
        <f t="shared" si="41"/>
        <v>0</v>
      </c>
      <c r="K34" s="2018"/>
      <c r="L34" s="2018">
        <f t="shared" ref="L34:V34" si="42">IFERROR(IF(L$2&lt;&gt;"",L33-K33,0),0)</f>
        <v>0</v>
      </c>
      <c r="M34" s="2018">
        <f t="shared" si="42"/>
        <v>0</v>
      </c>
      <c r="N34" s="2018">
        <f t="shared" si="42"/>
        <v>0</v>
      </c>
      <c r="O34" s="2018">
        <f t="shared" si="42"/>
        <v>0</v>
      </c>
      <c r="P34" s="2018">
        <f t="shared" si="42"/>
        <v>0</v>
      </c>
      <c r="Q34" s="2018">
        <f t="shared" si="42"/>
        <v>0</v>
      </c>
      <c r="R34" s="2018">
        <f t="shared" si="42"/>
        <v>0</v>
      </c>
      <c r="S34" s="2018">
        <f t="shared" si="42"/>
        <v>0</v>
      </c>
      <c r="T34" s="2018">
        <f t="shared" si="42"/>
        <v>0</v>
      </c>
      <c r="U34" s="2018">
        <f t="shared" si="42"/>
        <v>0</v>
      </c>
      <c r="V34" s="2018">
        <f t="shared" si="42"/>
        <v>0</v>
      </c>
    </row>
    <row r="35">
      <c r="A35" s="2014"/>
      <c r="B35" s="2019" t="s">
        <v>4014</v>
      </c>
      <c r="C35" s="2020"/>
      <c r="D35" s="2014"/>
      <c r="E35" s="2017"/>
      <c r="F35" s="2021">
        <f>IFERROR(F34/E33,0)</f>
        <v>0</v>
      </c>
      <c r="G35" s="2021"/>
      <c r="H35" s="2022">
        <f t="shared" ref="H35:J35" si="43">IFERROR(H34/G33,0)</f>
        <v>0</v>
      </c>
      <c r="I35" s="2023">
        <f t="shared" si="43"/>
        <v>0</v>
      </c>
      <c r="J35" s="2023">
        <f t="shared" si="43"/>
        <v>0</v>
      </c>
      <c r="K35" s="2023"/>
      <c r="L35" s="2023">
        <f t="shared" ref="L35:V35" si="44">IFERROR(L34/K33,0)</f>
        <v>0</v>
      </c>
      <c r="M35" s="2023">
        <f t="shared" si="44"/>
        <v>0</v>
      </c>
      <c r="N35" s="2023">
        <f t="shared" si="44"/>
        <v>0</v>
      </c>
      <c r="O35" s="2023">
        <f t="shared" si="44"/>
        <v>0</v>
      </c>
      <c r="P35" s="2023">
        <f t="shared" si="44"/>
        <v>0</v>
      </c>
      <c r="Q35" s="2023">
        <f t="shared" si="44"/>
        <v>0</v>
      </c>
      <c r="R35" s="2023">
        <f t="shared" si="44"/>
        <v>0</v>
      </c>
      <c r="S35" s="2023">
        <f t="shared" si="44"/>
        <v>0</v>
      </c>
      <c r="T35" s="2023">
        <f t="shared" si="44"/>
        <v>0</v>
      </c>
      <c r="U35" s="2023">
        <f t="shared" si="44"/>
        <v>0</v>
      </c>
      <c r="V35" s="2023">
        <f t="shared" si="44"/>
        <v>0</v>
      </c>
    </row>
    <row r="36">
      <c r="A36" s="2024">
        <v>485.0</v>
      </c>
      <c r="B36" s="2025" t="s">
        <v>4024</v>
      </c>
      <c r="C36" s="2026" t="s">
        <v>3379</v>
      </c>
      <c r="D36" s="2027" t="str">
        <f>VLOOKUP($C36,REPORT!$C$2:$X$218,REPORT!F$1,0)</f>
        <v>#N/A</v>
      </c>
      <c r="E36" s="2027" t="str">
        <f>VLOOKUP($C36,REPORT!$C$2:$X$218,REPORT!G$1,0)</f>
        <v>#N/A</v>
      </c>
      <c r="F36" s="2027" t="str">
        <f>VLOOKUP($C36,REPORT!$C$2:$X$218,REPORT!H$1,0)</f>
        <v>#N/A</v>
      </c>
      <c r="G36" s="2027" t="str">
        <f>VLOOKUP($C36,REPORT!$C$2:$X$218,REPORT!I$1,0)</f>
        <v>#N/A</v>
      </c>
      <c r="H36" s="2027" t="str">
        <f>VLOOKUP($C36,REPORT!$C$2:$X$218,REPORT!J$1,0)</f>
        <v>#N/A</v>
      </c>
      <c r="I36" s="2027" t="str">
        <f>VLOOKUP($C36,REPORT!$C$2:$X$218,REPORT!K$1,0)</f>
        <v>#N/A</v>
      </c>
      <c r="J36" s="2027" t="str">
        <f>VLOOKUP($C36,REPORT!$C$2:$X$218,REPORT!L$1,0)</f>
        <v>#N/A</v>
      </c>
      <c r="K36" s="2027" t="str">
        <f>VLOOKUP($C36,REPORT!$C$2:$X$218,REPORT!M$1,0)</f>
        <v>#N/A</v>
      </c>
      <c r="L36" s="2027" t="str">
        <f>VLOOKUP($C36,REPORT!$C$2:$X$218,REPORT!N$1,0)</f>
        <v>#N/A</v>
      </c>
      <c r="M36" s="2027" t="str">
        <f>VLOOKUP($C36,REPORT!$C$2:$X$218,REPORT!O$1,0)</f>
        <v>#N/A</v>
      </c>
      <c r="N36" s="2027" t="str">
        <f>VLOOKUP($C36,REPORT!$C$2:$X$218,REPORT!P$1,0)</f>
        <v>#N/A</v>
      </c>
      <c r="O36" s="2027" t="str">
        <f>VLOOKUP($C36,REPORT!$C$2:$X$218,REPORT!Q$1,0)</f>
        <v>#N/A</v>
      </c>
      <c r="P36" s="2027" t="str">
        <f>VLOOKUP($C36,REPORT!$C$2:$X$218,REPORT!R$1,0)</f>
        <v>#N/A</v>
      </c>
      <c r="Q36" s="2027" t="str">
        <f>VLOOKUP($C36,REPORT!$C$2:$X$218,REPORT!S$1,0)</f>
        <v>#N/A</v>
      </c>
      <c r="R36" s="2027" t="str">
        <f>VLOOKUP($C36,REPORT!$C$2:$X$218,REPORT!T$1,0)</f>
        <v>#N/A</v>
      </c>
      <c r="S36" s="2027" t="str">
        <f>VLOOKUP($C36,REPORT!$C$2:$X$218,REPORT!U$1,0)</f>
        <v>#N/A</v>
      </c>
      <c r="T36" s="2027" t="str">
        <f>VLOOKUP($C36,REPORT!$C$2:$X$218,REPORT!V$1,0)</f>
        <v>#N/A</v>
      </c>
      <c r="U36" s="2027" t="str">
        <f>VLOOKUP($C36,REPORT!$C$2:$X$218,REPORT!W$1,0)</f>
        <v>#N/A</v>
      </c>
      <c r="V36" s="2027" t="str">
        <f>VLOOKUP($C36,REPORT!$C$2:$X$218,REPORT!X$1,0)</f>
        <v>#N/A</v>
      </c>
    </row>
    <row r="37">
      <c r="A37" s="2014"/>
      <c r="B37" s="2015" t="s">
        <v>4013</v>
      </c>
      <c r="C37" s="2016"/>
      <c r="D37" s="2014"/>
      <c r="E37" s="2017"/>
      <c r="F37" s="2017">
        <f>IFERROR(IF(F$2&lt;&gt;"",F36-E36,0),0)</f>
        <v>0</v>
      </c>
      <c r="G37" s="2017"/>
      <c r="H37" s="2017">
        <f t="shared" ref="H37:J37" si="45">IFERROR(IF(H$2&lt;&gt;"",H36-G36,0),0)</f>
        <v>0</v>
      </c>
      <c r="I37" s="2018">
        <f t="shared" si="45"/>
        <v>0</v>
      </c>
      <c r="J37" s="2018">
        <f t="shared" si="45"/>
        <v>0</v>
      </c>
      <c r="K37" s="2018"/>
      <c r="L37" s="2018">
        <f t="shared" ref="L37:V37" si="46">IFERROR(IF(L$2&lt;&gt;"",L36-K36,0),0)</f>
        <v>0</v>
      </c>
      <c r="M37" s="2018">
        <f t="shared" si="46"/>
        <v>0</v>
      </c>
      <c r="N37" s="2018">
        <f t="shared" si="46"/>
        <v>0</v>
      </c>
      <c r="O37" s="2018">
        <f t="shared" si="46"/>
        <v>0</v>
      </c>
      <c r="P37" s="2018">
        <f t="shared" si="46"/>
        <v>0</v>
      </c>
      <c r="Q37" s="2018">
        <f t="shared" si="46"/>
        <v>0</v>
      </c>
      <c r="R37" s="2018">
        <f t="shared" si="46"/>
        <v>0</v>
      </c>
      <c r="S37" s="2018">
        <f t="shared" si="46"/>
        <v>0</v>
      </c>
      <c r="T37" s="2018">
        <f t="shared" si="46"/>
        <v>0</v>
      </c>
      <c r="U37" s="2018">
        <f t="shared" si="46"/>
        <v>0</v>
      </c>
      <c r="V37" s="2018">
        <f t="shared" si="46"/>
        <v>0</v>
      </c>
    </row>
    <row r="38">
      <c r="A38" s="2014"/>
      <c r="B38" s="2019" t="s">
        <v>4014</v>
      </c>
      <c r="C38" s="2020"/>
      <c r="D38" s="2014"/>
      <c r="E38" s="2017"/>
      <c r="F38" s="2022">
        <f>IFERROR(F37/E36,0)</f>
        <v>0</v>
      </c>
      <c r="G38" s="2022"/>
      <c r="H38" s="2022">
        <f t="shared" ref="H38:J38" si="47">IFERROR(H37/G36,0)</f>
        <v>0</v>
      </c>
      <c r="I38" s="2023">
        <f t="shared" si="47"/>
        <v>0</v>
      </c>
      <c r="J38" s="2023">
        <f t="shared" si="47"/>
        <v>0</v>
      </c>
      <c r="K38" s="2023"/>
      <c r="L38" s="2023">
        <f t="shared" ref="L38:V38" si="48">IFERROR(L37/K36,0)</f>
        <v>0</v>
      </c>
      <c r="M38" s="2023">
        <f t="shared" si="48"/>
        <v>0</v>
      </c>
      <c r="N38" s="2023">
        <f t="shared" si="48"/>
        <v>0</v>
      </c>
      <c r="O38" s="2023">
        <f t="shared" si="48"/>
        <v>0</v>
      </c>
      <c r="P38" s="2023">
        <f t="shared" si="48"/>
        <v>0</v>
      </c>
      <c r="Q38" s="2023">
        <f t="shared" si="48"/>
        <v>0</v>
      </c>
      <c r="R38" s="2023">
        <f t="shared" si="48"/>
        <v>0</v>
      </c>
      <c r="S38" s="2023">
        <f t="shared" si="48"/>
        <v>0</v>
      </c>
      <c r="T38" s="2023">
        <f t="shared" si="48"/>
        <v>0</v>
      </c>
      <c r="U38" s="2023">
        <f t="shared" si="48"/>
        <v>0</v>
      </c>
      <c r="V38" s="2023">
        <f t="shared" si="48"/>
        <v>0</v>
      </c>
    </row>
    <row r="39">
      <c r="A39" s="2028">
        <v>520.0</v>
      </c>
      <c r="B39" s="2029" t="s">
        <v>3393</v>
      </c>
      <c r="C39" s="2030" t="s">
        <v>3394</v>
      </c>
      <c r="D39" s="2031" t="str">
        <f>VLOOKUP($C39,REPORT!$C$2:$X$218,REPORT!F$1,0)</f>
        <v>#N/A</v>
      </c>
      <c r="E39" s="2031" t="str">
        <f>VLOOKUP($C39,REPORT!$C$2:$X$218,REPORT!G$1,0)</f>
        <v>#N/A</v>
      </c>
      <c r="F39" s="2031" t="str">
        <f>VLOOKUP($C39,REPORT!$C$2:$X$218,REPORT!H$1,0)</f>
        <v>#N/A</v>
      </c>
      <c r="G39" s="2031" t="str">
        <f>VLOOKUP($C39,REPORT!$C$2:$X$218,REPORT!I$1,0)</f>
        <v>#N/A</v>
      </c>
      <c r="H39" s="2031" t="str">
        <f>VLOOKUP($C39,REPORT!$C$2:$X$218,REPORT!J$1,0)</f>
        <v>#N/A</v>
      </c>
      <c r="I39" s="2031" t="str">
        <f>VLOOKUP($C39,REPORT!$C$2:$X$218,REPORT!K$1,0)</f>
        <v>#N/A</v>
      </c>
      <c r="J39" s="2031" t="str">
        <f>VLOOKUP($C39,REPORT!$C$2:$X$218,REPORT!L$1,0)</f>
        <v>#N/A</v>
      </c>
      <c r="K39" s="2031" t="str">
        <f>VLOOKUP($C39,REPORT!$C$2:$X$218,REPORT!M$1,0)</f>
        <v>#N/A</v>
      </c>
      <c r="L39" s="2031" t="str">
        <f>VLOOKUP($C39,REPORT!$C$2:$X$218,REPORT!N$1,0)</f>
        <v>#N/A</v>
      </c>
      <c r="M39" s="2031" t="str">
        <f>VLOOKUP($C39,REPORT!$C$2:$X$218,REPORT!O$1,0)</f>
        <v>#N/A</v>
      </c>
      <c r="N39" s="2031" t="str">
        <f>VLOOKUP($C39,REPORT!$C$2:$X$218,REPORT!P$1,0)</f>
        <v>#N/A</v>
      </c>
      <c r="O39" s="2031" t="str">
        <f>VLOOKUP($C39,REPORT!$C$2:$X$218,REPORT!Q$1,0)</f>
        <v>#N/A</v>
      </c>
      <c r="P39" s="2031" t="str">
        <f>VLOOKUP($C39,REPORT!$C$2:$X$218,REPORT!R$1,0)</f>
        <v>#N/A</v>
      </c>
      <c r="Q39" s="2031" t="str">
        <f>VLOOKUP($C39,REPORT!$C$2:$X$218,REPORT!S$1,0)</f>
        <v>#N/A</v>
      </c>
      <c r="R39" s="2031" t="str">
        <f>VLOOKUP($C39,REPORT!$C$2:$X$218,REPORT!T$1,0)</f>
        <v>#N/A</v>
      </c>
      <c r="S39" s="2031" t="str">
        <f>VLOOKUP($C39,REPORT!$C$2:$X$218,REPORT!U$1,0)</f>
        <v>#N/A</v>
      </c>
      <c r="T39" s="2031" t="str">
        <f>VLOOKUP($C39,REPORT!$C$2:$X$218,REPORT!V$1,0)</f>
        <v>#N/A</v>
      </c>
      <c r="U39" s="2031" t="str">
        <f>VLOOKUP($C39,REPORT!$C$2:$X$218,REPORT!W$1,0)</f>
        <v>#N/A</v>
      </c>
      <c r="V39" s="2031" t="str">
        <f>VLOOKUP($C39,REPORT!$C$2:$X$218,REPORT!X$1,0)</f>
        <v>#N/A</v>
      </c>
    </row>
    <row r="40">
      <c r="A40" s="2024">
        <v>530.0</v>
      </c>
      <c r="B40" s="2025" t="s">
        <v>3397</v>
      </c>
      <c r="C40" s="2032" t="s">
        <v>3398</v>
      </c>
      <c r="D40" s="2014"/>
      <c r="E40" s="2027" t="str">
        <f>VLOOKUP($C40,REPORT!$C$2:$X$218,REPORT!G$1,0)</f>
        <v>#N/A</v>
      </c>
      <c r="F40" s="2027" t="str">
        <f>VLOOKUP($C40,REPORT!$C$2:$X$218,REPORT!H$1,0)</f>
        <v>#N/A</v>
      </c>
      <c r="G40" s="2027" t="str">
        <f>VLOOKUP($C40,REPORT!$C$2:$X$218,REPORT!I$1,0)</f>
        <v>#N/A</v>
      </c>
      <c r="H40" s="2027" t="str">
        <f>VLOOKUP($C40,REPORT!$C$2:$X$218,REPORT!J$1,0)</f>
        <v>#N/A</v>
      </c>
      <c r="I40" s="2027" t="str">
        <f>VLOOKUP($C40,REPORT!$C$2:$X$218,REPORT!K$1,0)</f>
        <v>#N/A</v>
      </c>
      <c r="J40" s="2027" t="str">
        <f>VLOOKUP($C40,REPORT!$C$2:$X$218,REPORT!L$1,0)</f>
        <v>#N/A</v>
      </c>
      <c r="K40" s="2027" t="str">
        <f>VLOOKUP($C40,REPORT!$C$2:$X$218,REPORT!M$1,0)</f>
        <v>#N/A</v>
      </c>
      <c r="L40" s="2027" t="str">
        <f>VLOOKUP($C40,REPORT!$C$2:$X$218,REPORT!N$1,0)</f>
        <v>#N/A</v>
      </c>
      <c r="M40" s="2027" t="str">
        <f>VLOOKUP($C40,REPORT!$C$2:$X$218,REPORT!O$1,0)</f>
        <v>#N/A</v>
      </c>
      <c r="N40" s="2027" t="str">
        <f>VLOOKUP($C40,REPORT!$C$2:$X$218,REPORT!P$1,0)</f>
        <v>#N/A</v>
      </c>
      <c r="O40" s="2027" t="str">
        <f>VLOOKUP($C40,REPORT!$C$2:$X$218,REPORT!Q$1,0)</f>
        <v>#N/A</v>
      </c>
      <c r="P40" s="2027" t="str">
        <f>VLOOKUP($C40,REPORT!$C$2:$X$218,REPORT!R$1,0)</f>
        <v>#N/A</v>
      </c>
      <c r="Q40" s="2027" t="str">
        <f>VLOOKUP($C40,REPORT!$C$2:$X$218,REPORT!S$1,0)</f>
        <v>#N/A</v>
      </c>
      <c r="R40" s="2027" t="str">
        <f>VLOOKUP($C40,REPORT!$C$2:$X$218,REPORT!T$1,0)</f>
        <v>#N/A</v>
      </c>
      <c r="S40" s="2027" t="str">
        <f>VLOOKUP($C40,REPORT!$C$2:$X$218,REPORT!U$1,0)</f>
        <v>#N/A</v>
      </c>
      <c r="T40" s="2027" t="str">
        <f>VLOOKUP($C40,REPORT!$C$2:$X$218,REPORT!V$1,0)</f>
        <v>#N/A</v>
      </c>
      <c r="U40" s="2027" t="str">
        <f>VLOOKUP($C40,REPORT!$C$2:$X$218,REPORT!W$1,0)</f>
        <v>#N/A</v>
      </c>
      <c r="V40" s="2027" t="str">
        <f>VLOOKUP($C40,REPORT!$C$2:$X$218,REPORT!X$1,0)</f>
        <v>#N/A</v>
      </c>
    </row>
    <row r="41">
      <c r="A41" s="2014"/>
      <c r="B41" s="2015" t="s">
        <v>4013</v>
      </c>
      <c r="C41" s="2016"/>
      <c r="D41" s="2014"/>
      <c r="E41" s="2017"/>
      <c r="F41" s="2018">
        <f>IFERROR(IF(F$2&lt;&gt;"",F40-E40,0),0)</f>
        <v>0</v>
      </c>
      <c r="G41" s="2017"/>
      <c r="H41" s="2018">
        <f t="shared" ref="H41:J41" si="49">IFERROR(IF(H$2&lt;&gt;"",H40-G40,0),0)</f>
        <v>0</v>
      </c>
      <c r="I41" s="2018">
        <f t="shared" si="49"/>
        <v>0</v>
      </c>
      <c r="J41" s="2018">
        <f t="shared" si="49"/>
        <v>0</v>
      </c>
      <c r="K41" s="2018"/>
      <c r="L41" s="2018">
        <f t="shared" ref="L41:V41" si="50">IFERROR(IF(L$2&lt;&gt;"",L40-K40,0),0)</f>
        <v>0</v>
      </c>
      <c r="M41" s="2018">
        <f t="shared" si="50"/>
        <v>0</v>
      </c>
      <c r="N41" s="2018">
        <f t="shared" si="50"/>
        <v>0</v>
      </c>
      <c r="O41" s="2018">
        <f t="shared" si="50"/>
        <v>0</v>
      </c>
      <c r="P41" s="2018">
        <f t="shared" si="50"/>
        <v>0</v>
      </c>
      <c r="Q41" s="2018">
        <f t="shared" si="50"/>
        <v>0</v>
      </c>
      <c r="R41" s="2018">
        <f t="shared" si="50"/>
        <v>0</v>
      </c>
      <c r="S41" s="2018">
        <f t="shared" si="50"/>
        <v>0</v>
      </c>
      <c r="T41" s="2018">
        <f t="shared" si="50"/>
        <v>0</v>
      </c>
      <c r="U41" s="2018">
        <f t="shared" si="50"/>
        <v>0</v>
      </c>
      <c r="V41" s="2018">
        <f t="shared" si="50"/>
        <v>0</v>
      </c>
    </row>
    <row r="42">
      <c r="A42" s="2014"/>
      <c r="B42" s="2019" t="s">
        <v>4014</v>
      </c>
      <c r="C42" s="2020"/>
      <c r="D42" s="2014"/>
      <c r="E42" s="2017"/>
      <c r="F42" s="2021">
        <f>IFERROR(F41/E40,0)</f>
        <v>0</v>
      </c>
      <c r="G42" s="2022"/>
      <c r="H42" s="2021">
        <f t="shared" ref="H42:J42" si="51">IFERROR(H41/G40,0)</f>
        <v>0</v>
      </c>
      <c r="I42" s="2023">
        <f t="shared" si="51"/>
        <v>0</v>
      </c>
      <c r="J42" s="2023">
        <f t="shared" si="51"/>
        <v>0</v>
      </c>
      <c r="K42" s="2023"/>
      <c r="L42" s="2023">
        <f t="shared" ref="L42:V42" si="52">IFERROR(L41/K40,0)</f>
        <v>0</v>
      </c>
      <c r="M42" s="2023">
        <f t="shared" si="52"/>
        <v>0</v>
      </c>
      <c r="N42" s="2023">
        <f t="shared" si="52"/>
        <v>0</v>
      </c>
      <c r="O42" s="2023">
        <f t="shared" si="52"/>
        <v>0</v>
      </c>
      <c r="P42" s="2023">
        <f t="shared" si="52"/>
        <v>0</v>
      </c>
      <c r="Q42" s="2023">
        <f t="shared" si="52"/>
        <v>0</v>
      </c>
      <c r="R42" s="2023">
        <f t="shared" si="52"/>
        <v>0</v>
      </c>
      <c r="S42" s="2023">
        <f t="shared" si="52"/>
        <v>0</v>
      </c>
      <c r="T42" s="2023">
        <f t="shared" si="52"/>
        <v>0</v>
      </c>
      <c r="U42" s="2023">
        <f t="shared" si="52"/>
        <v>0</v>
      </c>
      <c r="V42" s="2023">
        <f t="shared" si="52"/>
        <v>0</v>
      </c>
    </row>
    <row r="43">
      <c r="A43" s="2024">
        <v>535.0</v>
      </c>
      <c r="B43" s="2025" t="s">
        <v>4025</v>
      </c>
      <c r="C43" s="2026" t="s">
        <v>3401</v>
      </c>
      <c r="D43" s="2027" t="str">
        <f>VLOOKUP($C43,REPORT!$C$2:$X$218,REPORT!F$1,0)</f>
        <v>#N/A</v>
      </c>
      <c r="E43" s="2027" t="str">
        <f>VLOOKUP($C43,REPORT!$C$2:$X$218,REPORT!G$1,0)</f>
        <v>#N/A</v>
      </c>
      <c r="F43" s="2027" t="str">
        <f>VLOOKUP($C43,REPORT!$C$2:$X$218,REPORT!H$1,0)</f>
        <v>#N/A</v>
      </c>
      <c r="G43" s="2027" t="str">
        <f>VLOOKUP($C43,REPORT!$C$2:$X$218,REPORT!I$1,0)</f>
        <v>#N/A</v>
      </c>
      <c r="H43" s="2027" t="str">
        <f>VLOOKUP($C43,REPORT!$C$2:$X$218,REPORT!J$1,0)</f>
        <v>#N/A</v>
      </c>
      <c r="I43" s="2027" t="str">
        <f>VLOOKUP($C43,REPORT!$C$2:$X$218,REPORT!K$1,0)</f>
        <v>#N/A</v>
      </c>
      <c r="J43" s="2027" t="str">
        <f>VLOOKUP($C43,REPORT!$C$2:$X$218,REPORT!L$1,0)</f>
        <v>#N/A</v>
      </c>
      <c r="K43" s="2027" t="str">
        <f>VLOOKUP($C43,REPORT!$C$2:$X$218,REPORT!M$1,0)</f>
        <v>#N/A</v>
      </c>
      <c r="L43" s="2027" t="str">
        <f>VLOOKUP($C43,REPORT!$C$2:$X$218,REPORT!N$1,0)</f>
        <v>#N/A</v>
      </c>
      <c r="M43" s="2027" t="str">
        <f>VLOOKUP($C43,REPORT!$C$2:$X$218,REPORT!O$1,0)</f>
        <v>#N/A</v>
      </c>
      <c r="N43" s="2027" t="str">
        <f>VLOOKUP($C43,REPORT!$C$2:$X$218,REPORT!P$1,0)</f>
        <v>#N/A</v>
      </c>
      <c r="O43" s="2027" t="str">
        <f>VLOOKUP($C43,REPORT!$C$2:$X$218,REPORT!Q$1,0)</f>
        <v>#N/A</v>
      </c>
      <c r="P43" s="2027" t="str">
        <f>VLOOKUP($C43,REPORT!$C$2:$X$218,REPORT!R$1,0)</f>
        <v>#N/A</v>
      </c>
      <c r="Q43" s="2027" t="str">
        <f>VLOOKUP($C43,REPORT!$C$2:$X$218,REPORT!S$1,0)</f>
        <v>#N/A</v>
      </c>
      <c r="R43" s="2027" t="str">
        <f>VLOOKUP($C43,REPORT!$C$2:$X$218,REPORT!T$1,0)</f>
        <v>#N/A</v>
      </c>
      <c r="S43" s="2027" t="str">
        <f>VLOOKUP($C43,REPORT!$C$2:$X$218,REPORT!U$1,0)</f>
        <v>#N/A</v>
      </c>
      <c r="T43" s="2027" t="str">
        <f>VLOOKUP($C43,REPORT!$C$2:$X$218,REPORT!V$1,0)</f>
        <v>#N/A</v>
      </c>
      <c r="U43" s="2027" t="str">
        <f>VLOOKUP($C43,REPORT!$C$2:$X$218,REPORT!W$1,0)</f>
        <v>#N/A</v>
      </c>
      <c r="V43" s="2027" t="str">
        <f>VLOOKUP($C43,REPORT!$C$2:$X$218,REPORT!X$1,0)</f>
        <v>#N/A</v>
      </c>
    </row>
    <row r="44">
      <c r="A44" s="2014"/>
      <c r="B44" s="2015" t="s">
        <v>4013</v>
      </c>
      <c r="C44" s="2016"/>
      <c r="D44" s="2014"/>
      <c r="E44" s="2017"/>
      <c r="F44" s="2018">
        <f>IFERROR(IF(F$2&lt;&gt;"",F43-E43,0),0)</f>
        <v>0</v>
      </c>
      <c r="G44" s="2017"/>
      <c r="H44" s="2018">
        <f t="shared" ref="H44:J44" si="53">IFERROR(IF(H$2&lt;&gt;"",H43-G43,0),0)</f>
        <v>0</v>
      </c>
      <c r="I44" s="2018">
        <f t="shared" si="53"/>
        <v>0</v>
      </c>
      <c r="J44" s="2018">
        <f t="shared" si="53"/>
        <v>0</v>
      </c>
      <c r="K44" s="2018"/>
      <c r="L44" s="2018">
        <f t="shared" ref="L44:V44" si="54">IFERROR(IF(L$2&lt;&gt;"",L43-K43,0),0)</f>
        <v>0</v>
      </c>
      <c r="M44" s="2018">
        <f t="shared" si="54"/>
        <v>0</v>
      </c>
      <c r="N44" s="2018">
        <f t="shared" si="54"/>
        <v>0</v>
      </c>
      <c r="O44" s="2018">
        <f t="shared" si="54"/>
        <v>0</v>
      </c>
      <c r="P44" s="2018">
        <f t="shared" si="54"/>
        <v>0</v>
      </c>
      <c r="Q44" s="2018">
        <f t="shared" si="54"/>
        <v>0</v>
      </c>
      <c r="R44" s="2018">
        <f t="shared" si="54"/>
        <v>0</v>
      </c>
      <c r="S44" s="2018">
        <f t="shared" si="54"/>
        <v>0</v>
      </c>
      <c r="T44" s="2018">
        <f t="shared" si="54"/>
        <v>0</v>
      </c>
      <c r="U44" s="2018">
        <f t="shared" si="54"/>
        <v>0</v>
      </c>
      <c r="V44" s="2018">
        <f t="shared" si="54"/>
        <v>0</v>
      </c>
    </row>
    <row r="45">
      <c r="A45" s="2014"/>
      <c r="B45" s="2019" t="s">
        <v>4014</v>
      </c>
      <c r="C45" s="2020"/>
      <c r="D45" s="2014"/>
      <c r="E45" s="2017"/>
      <c r="F45" s="2021">
        <f>IFERROR(F44/E43,0)</f>
        <v>0</v>
      </c>
      <c r="G45" s="2022"/>
      <c r="H45" s="2021">
        <f t="shared" ref="H45:J45" si="55">IFERROR(H44/G43,0)</f>
        <v>0</v>
      </c>
      <c r="I45" s="2023">
        <f t="shared" si="55"/>
        <v>0</v>
      </c>
      <c r="J45" s="2023">
        <f t="shared" si="55"/>
        <v>0</v>
      </c>
      <c r="K45" s="2023"/>
      <c r="L45" s="2023">
        <f t="shared" ref="L45:V45" si="56">IFERROR(L44/K43,0)</f>
        <v>0</v>
      </c>
      <c r="M45" s="2023">
        <f t="shared" si="56"/>
        <v>0</v>
      </c>
      <c r="N45" s="2023">
        <f t="shared" si="56"/>
        <v>0</v>
      </c>
      <c r="O45" s="2023">
        <f t="shared" si="56"/>
        <v>0</v>
      </c>
      <c r="P45" s="2023">
        <f t="shared" si="56"/>
        <v>0</v>
      </c>
      <c r="Q45" s="2023">
        <f t="shared" si="56"/>
        <v>0</v>
      </c>
      <c r="R45" s="2023">
        <f t="shared" si="56"/>
        <v>0</v>
      </c>
      <c r="S45" s="2023">
        <f t="shared" si="56"/>
        <v>0</v>
      </c>
      <c r="T45" s="2023">
        <f t="shared" si="56"/>
        <v>0</v>
      </c>
      <c r="U45" s="2023">
        <f t="shared" si="56"/>
        <v>0</v>
      </c>
      <c r="V45" s="2023">
        <f t="shared" si="56"/>
        <v>0</v>
      </c>
    </row>
    <row r="46">
      <c r="A46" s="2024">
        <v>680.0</v>
      </c>
      <c r="B46" s="2025" t="s">
        <v>4026</v>
      </c>
      <c r="C46" s="2026" t="s">
        <v>3449</v>
      </c>
      <c r="D46" s="2027" t="str">
        <f>VLOOKUP($C46,REPORT!$C$2:$X$218,REPORT!F$1,0)</f>
        <v>#N/A</v>
      </c>
      <c r="E46" s="2027" t="str">
        <f>VLOOKUP($C46,REPORT!$C$2:$X$218,REPORT!G$1,0)</f>
        <v>#N/A</v>
      </c>
      <c r="F46" s="2027" t="str">
        <f>VLOOKUP($C46,REPORT!$C$2:$X$218,REPORT!H$1,0)</f>
        <v>#N/A</v>
      </c>
      <c r="G46" s="2027" t="str">
        <f>VLOOKUP($C46,REPORT!$C$2:$X$218,REPORT!I$1,0)</f>
        <v>#N/A</v>
      </c>
      <c r="H46" s="2027" t="str">
        <f>VLOOKUP($C46,REPORT!$C$2:$X$218,REPORT!J$1,0)</f>
        <v>#N/A</v>
      </c>
      <c r="I46" s="2027" t="str">
        <f>VLOOKUP($C46,REPORT!$C$2:$X$218,REPORT!K$1,0)</f>
        <v>#N/A</v>
      </c>
      <c r="J46" s="2027" t="str">
        <f>VLOOKUP($C46,REPORT!$C$2:$X$218,REPORT!L$1,0)</f>
        <v>#N/A</v>
      </c>
      <c r="K46" s="2027" t="str">
        <f>VLOOKUP($C46,REPORT!$C$2:$X$218,REPORT!M$1,0)</f>
        <v>#N/A</v>
      </c>
      <c r="L46" s="2027" t="str">
        <f>VLOOKUP($C46,REPORT!$C$2:$X$218,REPORT!N$1,0)</f>
        <v>#N/A</v>
      </c>
      <c r="M46" s="2027" t="str">
        <f>VLOOKUP($C46,REPORT!$C$2:$X$218,REPORT!O$1,0)</f>
        <v>#N/A</v>
      </c>
      <c r="N46" s="2027" t="str">
        <f>VLOOKUP($C46,REPORT!$C$2:$X$218,REPORT!P$1,0)</f>
        <v>#N/A</v>
      </c>
      <c r="O46" s="2027" t="str">
        <f>VLOOKUP($C46,REPORT!$C$2:$X$218,REPORT!Q$1,0)</f>
        <v>#N/A</v>
      </c>
      <c r="P46" s="2027" t="str">
        <f>VLOOKUP($C46,REPORT!$C$2:$X$218,REPORT!R$1,0)</f>
        <v>#N/A</v>
      </c>
      <c r="Q46" s="2027" t="str">
        <f>VLOOKUP($C46,REPORT!$C$2:$X$218,REPORT!S$1,0)</f>
        <v>#N/A</v>
      </c>
      <c r="R46" s="2027" t="str">
        <f>VLOOKUP($C46,REPORT!$C$2:$X$218,REPORT!T$1,0)</f>
        <v>#N/A</v>
      </c>
      <c r="S46" s="2027" t="str">
        <f>VLOOKUP($C46,REPORT!$C$2:$X$218,REPORT!U$1,0)</f>
        <v>#N/A</v>
      </c>
      <c r="T46" s="2027" t="str">
        <f>VLOOKUP($C46,REPORT!$C$2:$X$218,REPORT!V$1,0)</f>
        <v>#N/A</v>
      </c>
      <c r="U46" s="2027" t="str">
        <f>VLOOKUP($C46,REPORT!$C$2:$X$218,REPORT!W$1,0)</f>
        <v>#N/A</v>
      </c>
      <c r="V46" s="2027" t="str">
        <f>VLOOKUP($C46,REPORT!$C$2:$X$218,REPORT!X$1,0)</f>
        <v>#N/A</v>
      </c>
    </row>
    <row r="47">
      <c r="A47" s="2014"/>
      <c r="B47" s="2015" t="s">
        <v>4013</v>
      </c>
      <c r="C47" s="2016"/>
      <c r="D47" s="2014"/>
      <c r="E47" s="2017"/>
      <c r="F47" s="2018">
        <f>IFERROR(IF(F$2&lt;&gt;"",F46-E46,0),0)</f>
        <v>0</v>
      </c>
      <c r="G47" s="2018"/>
      <c r="H47" s="2018">
        <f t="shared" ref="H47:J47" si="57">IFERROR(IF(H$2&lt;&gt;"",H46-G46,0),0)</f>
        <v>0</v>
      </c>
      <c r="I47" s="2018">
        <f t="shared" si="57"/>
        <v>0</v>
      </c>
      <c r="J47" s="2018">
        <f t="shared" si="57"/>
        <v>0</v>
      </c>
      <c r="K47" s="2018"/>
      <c r="L47" s="2018">
        <f t="shared" ref="L47:V47" si="58">IFERROR(IF(L$2&lt;&gt;"",L46-K46,0),0)</f>
        <v>0</v>
      </c>
      <c r="M47" s="2018">
        <f t="shared" si="58"/>
        <v>0</v>
      </c>
      <c r="N47" s="2018">
        <f t="shared" si="58"/>
        <v>0</v>
      </c>
      <c r="O47" s="2018">
        <f t="shared" si="58"/>
        <v>0</v>
      </c>
      <c r="P47" s="2018">
        <f t="shared" si="58"/>
        <v>0</v>
      </c>
      <c r="Q47" s="2018">
        <f t="shared" si="58"/>
        <v>0</v>
      </c>
      <c r="R47" s="2018">
        <f t="shared" si="58"/>
        <v>0</v>
      </c>
      <c r="S47" s="2018">
        <f t="shared" si="58"/>
        <v>0</v>
      </c>
      <c r="T47" s="2018">
        <f t="shared" si="58"/>
        <v>0</v>
      </c>
      <c r="U47" s="2018">
        <f t="shared" si="58"/>
        <v>0</v>
      </c>
      <c r="V47" s="2018">
        <f t="shared" si="58"/>
        <v>0</v>
      </c>
    </row>
    <row r="48">
      <c r="A48" s="2014"/>
      <c r="B48" s="2019" t="s">
        <v>4014</v>
      </c>
      <c r="C48" s="2020"/>
      <c r="D48" s="2014"/>
      <c r="E48" s="2017"/>
      <c r="F48" s="2021">
        <f>IFERROR(F47/E46,0)</f>
        <v>0</v>
      </c>
      <c r="G48" s="2021"/>
      <c r="H48" s="2021">
        <f t="shared" ref="H48:J48" si="59">IFERROR(H47/G46,0)</f>
        <v>0</v>
      </c>
      <c r="I48" s="2023">
        <f t="shared" si="59"/>
        <v>0</v>
      </c>
      <c r="J48" s="2023">
        <f t="shared" si="59"/>
        <v>0</v>
      </c>
      <c r="K48" s="2023"/>
      <c r="L48" s="2023">
        <f t="shared" ref="L48:V48" si="60">IFERROR(L47/K46,0)</f>
        <v>0</v>
      </c>
      <c r="M48" s="2023">
        <f t="shared" si="60"/>
        <v>0</v>
      </c>
      <c r="N48" s="2023">
        <f t="shared" si="60"/>
        <v>0</v>
      </c>
      <c r="O48" s="2023">
        <f t="shared" si="60"/>
        <v>0</v>
      </c>
      <c r="P48" s="2023">
        <f t="shared" si="60"/>
        <v>0</v>
      </c>
      <c r="Q48" s="2023">
        <f t="shared" si="60"/>
        <v>0</v>
      </c>
      <c r="R48" s="2023">
        <f t="shared" si="60"/>
        <v>0</v>
      </c>
      <c r="S48" s="2023">
        <f t="shared" si="60"/>
        <v>0</v>
      </c>
      <c r="T48" s="2023">
        <f t="shared" si="60"/>
        <v>0</v>
      </c>
      <c r="U48" s="2023">
        <f t="shared" si="60"/>
        <v>0</v>
      </c>
      <c r="V48" s="2023">
        <f t="shared" si="60"/>
        <v>0</v>
      </c>
    </row>
    <row r="49">
      <c r="A49" s="2010">
        <v>795.0</v>
      </c>
      <c r="B49" s="2011" t="s">
        <v>3478</v>
      </c>
      <c r="C49" s="2012" t="s">
        <v>3479</v>
      </c>
      <c r="D49" s="2013" t="str">
        <f>VLOOKUP($C49,REPORT!$C$2:$X$218,REPORT!F$1,0)</f>
        <v>#N/A</v>
      </c>
      <c r="E49" s="2013" t="str">
        <f>VLOOKUP($C49,REPORT!$C$2:$X$218,REPORT!G$1,0)</f>
        <v>#N/A</v>
      </c>
      <c r="F49" s="2013" t="str">
        <f>VLOOKUP($C49,REPORT!$C$2:$X$218,REPORT!H$1,0)</f>
        <v>#N/A</v>
      </c>
      <c r="G49" s="2013" t="str">
        <f>VLOOKUP($C49,REPORT!$C$2:$X$218,REPORT!I$1,0)</f>
        <v>#N/A</v>
      </c>
      <c r="H49" s="2013" t="str">
        <f>VLOOKUP($C49,REPORT!$C$2:$X$218,REPORT!J$1,0)</f>
        <v>#N/A</v>
      </c>
      <c r="I49" s="2013" t="str">
        <f>VLOOKUP($C49,REPORT!$C$2:$X$218,REPORT!K$1,0)</f>
        <v>#N/A</v>
      </c>
      <c r="J49" s="2013" t="str">
        <f>VLOOKUP($C49,REPORT!$C$2:$X$218,REPORT!L$1,0)</f>
        <v>#N/A</v>
      </c>
      <c r="K49" s="2013" t="str">
        <f>VLOOKUP($C49,REPORT!$C$2:$X$218,REPORT!M$1,0)</f>
        <v>#N/A</v>
      </c>
      <c r="L49" s="2013" t="str">
        <f>VLOOKUP($C49,REPORT!$C$2:$X$218,REPORT!N$1,0)</f>
        <v>#N/A</v>
      </c>
      <c r="M49" s="2013" t="str">
        <f>VLOOKUP($C49,REPORT!$C$2:$X$218,REPORT!O$1,0)</f>
        <v>#N/A</v>
      </c>
      <c r="N49" s="2013" t="str">
        <f>VLOOKUP($C49,REPORT!$C$2:$X$218,REPORT!P$1,0)</f>
        <v>#N/A</v>
      </c>
      <c r="O49" s="2013" t="str">
        <f>VLOOKUP($C49,REPORT!$C$2:$X$218,REPORT!Q$1,0)</f>
        <v>#N/A</v>
      </c>
      <c r="P49" s="2013" t="str">
        <f>VLOOKUP($C49,REPORT!$C$2:$X$218,REPORT!R$1,0)</f>
        <v>#N/A</v>
      </c>
      <c r="Q49" s="2013" t="str">
        <f>VLOOKUP($C49,REPORT!$C$2:$X$218,REPORT!S$1,0)</f>
        <v>#N/A</v>
      </c>
      <c r="R49" s="2013" t="str">
        <f>VLOOKUP($C49,REPORT!$C$2:$X$218,REPORT!T$1,0)</f>
        <v>#N/A</v>
      </c>
      <c r="S49" s="2013" t="str">
        <f>VLOOKUP($C49,REPORT!$C$2:$X$218,REPORT!U$1,0)</f>
        <v>#N/A</v>
      </c>
      <c r="T49" s="2013" t="str">
        <f>VLOOKUP($C49,REPORT!$C$2:$X$218,REPORT!V$1,0)</f>
        <v>#N/A</v>
      </c>
      <c r="U49" s="2013" t="str">
        <f>VLOOKUP($C49,REPORT!$C$2:$X$218,REPORT!W$1,0)</f>
        <v>#N/A</v>
      </c>
      <c r="V49" s="2013" t="str">
        <f>VLOOKUP($C49,REPORT!$C$2:$X$218,REPORT!X$1,0)</f>
        <v>#N/A</v>
      </c>
    </row>
    <row r="50">
      <c r="A50" s="2014"/>
      <c r="B50" s="2015" t="s">
        <v>4013</v>
      </c>
      <c r="C50" s="2016"/>
      <c r="D50" s="2014"/>
      <c r="E50" s="2017"/>
      <c r="F50" s="2018">
        <f>IFERROR(IF(F$2&lt;&gt;"",F49-E49,0),0)</f>
        <v>0</v>
      </c>
      <c r="G50" s="2018"/>
      <c r="H50" s="2018">
        <f t="shared" ref="H50:J50" si="61">IFERROR(IF(H$2&lt;&gt;"",H49-G49,0),0)</f>
        <v>0</v>
      </c>
      <c r="I50" s="2018">
        <f t="shared" si="61"/>
        <v>0</v>
      </c>
      <c r="J50" s="2018">
        <f t="shared" si="61"/>
        <v>0</v>
      </c>
      <c r="K50" s="2018"/>
      <c r="L50" s="2018">
        <f t="shared" ref="L50:V50" si="62">IFERROR(IF(L$2&lt;&gt;"",L49-K49,0),0)</f>
        <v>0</v>
      </c>
      <c r="M50" s="2018">
        <f t="shared" si="62"/>
        <v>0</v>
      </c>
      <c r="N50" s="2018">
        <f t="shared" si="62"/>
        <v>0</v>
      </c>
      <c r="O50" s="2018">
        <f t="shared" si="62"/>
        <v>0</v>
      </c>
      <c r="P50" s="2018">
        <f t="shared" si="62"/>
        <v>0</v>
      </c>
      <c r="Q50" s="2018">
        <f t="shared" si="62"/>
        <v>0</v>
      </c>
      <c r="R50" s="2018">
        <f t="shared" si="62"/>
        <v>0</v>
      </c>
      <c r="S50" s="2018">
        <f t="shared" si="62"/>
        <v>0</v>
      </c>
      <c r="T50" s="2018">
        <f t="shared" si="62"/>
        <v>0</v>
      </c>
      <c r="U50" s="2018">
        <f t="shared" si="62"/>
        <v>0</v>
      </c>
      <c r="V50" s="2018">
        <f t="shared" si="62"/>
        <v>0</v>
      </c>
    </row>
    <row r="51">
      <c r="A51" s="2014"/>
      <c r="B51" s="2019" t="s">
        <v>4014</v>
      </c>
      <c r="C51" s="2020"/>
      <c r="D51" s="2014"/>
      <c r="E51" s="2017"/>
      <c r="F51" s="2021">
        <f>IFERROR(F50/E49,0)</f>
        <v>0</v>
      </c>
      <c r="G51" s="2021"/>
      <c r="H51" s="2021">
        <f t="shared" ref="H51:J51" si="63">IFERROR(H50/G49,0)</f>
        <v>0</v>
      </c>
      <c r="I51" s="2023">
        <f t="shared" si="63"/>
        <v>0</v>
      </c>
      <c r="J51" s="2023">
        <f t="shared" si="63"/>
        <v>0</v>
      </c>
      <c r="K51" s="2023"/>
      <c r="L51" s="2023">
        <f t="shared" ref="L51:V51" si="64">IFERROR(L50/K49,0)</f>
        <v>0</v>
      </c>
      <c r="M51" s="2023">
        <f t="shared" si="64"/>
        <v>0</v>
      </c>
      <c r="N51" s="2023">
        <f t="shared" si="64"/>
        <v>0</v>
      </c>
      <c r="O51" s="2023">
        <f t="shared" si="64"/>
        <v>0</v>
      </c>
      <c r="P51" s="2023">
        <f t="shared" si="64"/>
        <v>0</v>
      </c>
      <c r="Q51" s="2023">
        <f t="shared" si="64"/>
        <v>0</v>
      </c>
      <c r="R51" s="2023">
        <f t="shared" si="64"/>
        <v>0</v>
      </c>
      <c r="S51" s="2023">
        <f t="shared" si="64"/>
        <v>0</v>
      </c>
      <c r="T51" s="2023">
        <f t="shared" si="64"/>
        <v>0</v>
      </c>
      <c r="U51" s="2023">
        <f t="shared" si="64"/>
        <v>0</v>
      </c>
      <c r="V51" s="2023">
        <f t="shared" si="64"/>
        <v>0</v>
      </c>
    </row>
    <row r="52">
      <c r="A52" s="2024">
        <v>800.0</v>
      </c>
      <c r="B52" s="2025" t="s">
        <v>4027</v>
      </c>
      <c r="C52" s="2026" t="s">
        <v>3482</v>
      </c>
      <c r="D52" s="2013" t="str">
        <f>VLOOKUP($C52,REPORT!$C$2:$X$218,REPORT!F$1,0)</f>
        <v>#N/A</v>
      </c>
      <c r="E52" s="2013" t="str">
        <f>VLOOKUP($C52,REPORT!$C$2:$X$218,REPORT!G$1,0)</f>
        <v>#N/A</v>
      </c>
      <c r="F52" s="2013" t="str">
        <f>VLOOKUP($C52,REPORT!$C$2:$X$218,REPORT!H$1,0)</f>
        <v>#N/A</v>
      </c>
      <c r="G52" s="2013" t="str">
        <f>VLOOKUP($C52,REPORT!$C$2:$X$218,REPORT!I$1,0)</f>
        <v>#N/A</v>
      </c>
      <c r="H52" s="2013" t="str">
        <f>VLOOKUP($C52,REPORT!$C$2:$X$218,REPORT!J$1,0)</f>
        <v>#N/A</v>
      </c>
      <c r="I52" s="2013" t="str">
        <f>VLOOKUP($C52,REPORT!$C$2:$X$218,REPORT!K$1,0)</f>
        <v>#N/A</v>
      </c>
      <c r="J52" s="2013" t="str">
        <f>VLOOKUP($C52,REPORT!$C$2:$X$218,REPORT!L$1,0)</f>
        <v>#N/A</v>
      </c>
      <c r="K52" s="2013" t="str">
        <f>VLOOKUP($C52,REPORT!$C$2:$X$218,REPORT!M$1,0)</f>
        <v>#N/A</v>
      </c>
      <c r="L52" s="2013" t="str">
        <f>VLOOKUP($C52,REPORT!$C$2:$X$218,REPORT!N$1,0)</f>
        <v>#N/A</v>
      </c>
      <c r="M52" s="2013" t="str">
        <f>VLOOKUP($C52,REPORT!$C$2:$X$218,REPORT!O$1,0)</f>
        <v>#N/A</v>
      </c>
      <c r="N52" s="2013" t="str">
        <f>VLOOKUP($C52,REPORT!$C$2:$X$218,REPORT!P$1,0)</f>
        <v>#N/A</v>
      </c>
      <c r="O52" s="2013" t="str">
        <f>VLOOKUP($C52,REPORT!$C$2:$X$218,REPORT!Q$1,0)</f>
        <v>#N/A</v>
      </c>
      <c r="P52" s="2013" t="str">
        <f>VLOOKUP($C52,REPORT!$C$2:$X$218,REPORT!R$1,0)</f>
        <v>#N/A</v>
      </c>
      <c r="Q52" s="2013" t="str">
        <f>VLOOKUP($C52,REPORT!$C$2:$X$218,REPORT!S$1,0)</f>
        <v>#N/A</v>
      </c>
      <c r="R52" s="2013" t="str">
        <f>VLOOKUP($C52,REPORT!$C$2:$X$218,REPORT!T$1,0)</f>
        <v>#N/A</v>
      </c>
      <c r="S52" s="2013" t="str">
        <f>VLOOKUP($C52,REPORT!$C$2:$X$218,REPORT!U$1,0)</f>
        <v>#N/A</v>
      </c>
      <c r="T52" s="2013" t="str">
        <f>VLOOKUP($C52,REPORT!$C$2:$X$218,REPORT!V$1,0)</f>
        <v>#N/A</v>
      </c>
      <c r="U52" s="2013" t="str">
        <f>VLOOKUP($C52,REPORT!$C$2:$X$218,REPORT!W$1,0)</f>
        <v>#N/A</v>
      </c>
      <c r="V52" s="2013" t="str">
        <f>VLOOKUP($C52,REPORT!$C$2:$X$218,REPORT!X$1,0)</f>
        <v>#N/A</v>
      </c>
    </row>
    <row r="53">
      <c r="A53" s="2014"/>
      <c r="B53" s="2025"/>
      <c r="C53" s="2016"/>
      <c r="D53" s="2014"/>
      <c r="E53" s="2017"/>
      <c r="F53" s="2018">
        <f t="shared" ref="F53:J53" si="65">IFERROR(IF(F$2&lt;&gt;"",F52-E52,0),0)</f>
        <v>0</v>
      </c>
      <c r="G53" s="2018">
        <f t="shared" si="65"/>
        <v>0</v>
      </c>
      <c r="H53" s="2018">
        <f t="shared" si="65"/>
        <v>0</v>
      </c>
      <c r="I53" s="2018">
        <f t="shared" si="65"/>
        <v>0</v>
      </c>
      <c r="J53" s="2018">
        <f t="shared" si="65"/>
        <v>0</v>
      </c>
      <c r="K53" s="2018"/>
      <c r="L53" s="2018">
        <f t="shared" ref="L53:V53" si="66">IFERROR(IF(L$2&lt;&gt;"",L52-K52,0),0)</f>
        <v>0</v>
      </c>
      <c r="M53" s="2018">
        <f t="shared" si="66"/>
        <v>0</v>
      </c>
      <c r="N53" s="2018">
        <f t="shared" si="66"/>
        <v>0</v>
      </c>
      <c r="O53" s="2018">
        <f t="shared" si="66"/>
        <v>0</v>
      </c>
      <c r="P53" s="2018">
        <f t="shared" si="66"/>
        <v>0</v>
      </c>
      <c r="Q53" s="2018">
        <f t="shared" si="66"/>
        <v>0</v>
      </c>
      <c r="R53" s="2018">
        <f t="shared" si="66"/>
        <v>0</v>
      </c>
      <c r="S53" s="2018">
        <f t="shared" si="66"/>
        <v>0</v>
      </c>
      <c r="T53" s="2018">
        <f t="shared" si="66"/>
        <v>0</v>
      </c>
      <c r="U53" s="2018">
        <f t="shared" si="66"/>
        <v>0</v>
      </c>
      <c r="V53" s="2018">
        <f t="shared" si="66"/>
        <v>0</v>
      </c>
    </row>
    <row r="54">
      <c r="A54" s="2014"/>
      <c r="B54" s="2025"/>
      <c r="C54" s="2016"/>
      <c r="D54" s="2014"/>
      <c r="E54" s="2017"/>
      <c r="F54" s="2021">
        <f>IFERROR(F53/E52,0)</f>
        <v>0</v>
      </c>
      <c r="G54" s="2021"/>
      <c r="H54" s="2021">
        <f t="shared" ref="H54:J54" si="67">IFERROR(H53/G52,0)</f>
        <v>0</v>
      </c>
      <c r="I54" s="2021">
        <f t="shared" si="67"/>
        <v>0</v>
      </c>
      <c r="J54" s="2021">
        <f t="shared" si="67"/>
        <v>0</v>
      </c>
      <c r="K54" s="2021"/>
      <c r="L54" s="2021">
        <f t="shared" ref="L54:V54" si="68">IFERROR(L53/K52,0)</f>
        <v>0</v>
      </c>
      <c r="M54" s="2021">
        <f t="shared" si="68"/>
        <v>0</v>
      </c>
      <c r="N54" s="2021">
        <f t="shared" si="68"/>
        <v>0</v>
      </c>
      <c r="O54" s="2021">
        <f t="shared" si="68"/>
        <v>0</v>
      </c>
      <c r="P54" s="2021">
        <f t="shared" si="68"/>
        <v>0</v>
      </c>
      <c r="Q54" s="2021">
        <f t="shared" si="68"/>
        <v>0</v>
      </c>
      <c r="R54" s="2021">
        <f t="shared" si="68"/>
        <v>0</v>
      </c>
      <c r="S54" s="2021">
        <f t="shared" si="68"/>
        <v>0</v>
      </c>
      <c r="T54" s="2021">
        <f t="shared" si="68"/>
        <v>0</v>
      </c>
      <c r="U54" s="2021">
        <f t="shared" si="68"/>
        <v>0</v>
      </c>
      <c r="V54" s="2021">
        <f t="shared" si="68"/>
        <v>0</v>
      </c>
    </row>
    <row r="55">
      <c r="A55" s="2028">
        <v>910.0</v>
      </c>
      <c r="B55" s="2029" t="s">
        <v>4028</v>
      </c>
      <c r="C55" s="2030" t="s">
        <v>3521</v>
      </c>
      <c r="D55" s="2031" t="str">
        <f>VLOOKUP($C55,REPORT!$C$2:$X$218,REPORT!F$1,0)</f>
        <v>#N/A</v>
      </c>
      <c r="E55" s="2031" t="str">
        <f>VLOOKUP($C55,REPORT!$C$2:$X$218,REPORT!G$1,0)</f>
        <v>#N/A</v>
      </c>
      <c r="F55" s="2031" t="str">
        <f>VLOOKUP($C55,REPORT!$C$2:$X$218,REPORT!H$1,0)</f>
        <v>#N/A</v>
      </c>
      <c r="G55" s="2031" t="str">
        <f>VLOOKUP($C55,REPORT!$C$2:$X$218,REPORT!I$1,0)</f>
        <v>#N/A</v>
      </c>
      <c r="H55" s="2031" t="str">
        <f>VLOOKUP($C55,REPORT!$C$2:$X$218,REPORT!J$1,0)</f>
        <v>#N/A</v>
      </c>
      <c r="I55" s="2031" t="str">
        <f>VLOOKUP($C55,REPORT!$C$2:$X$218,REPORT!K$1,0)</f>
        <v>#N/A</v>
      </c>
      <c r="J55" s="2031" t="str">
        <f>VLOOKUP($C55,REPORT!$C$2:$X$218,REPORT!L$1,0)</f>
        <v>#N/A</v>
      </c>
      <c r="K55" s="2031" t="str">
        <f>VLOOKUP($C55,REPORT!$C$2:$X$218,REPORT!M$1,0)</f>
        <v>#N/A</v>
      </c>
      <c r="L55" s="2031" t="str">
        <f>VLOOKUP($C55,REPORT!$C$2:$X$218,REPORT!N$1,0)</f>
        <v>#N/A</v>
      </c>
      <c r="M55" s="2031" t="str">
        <f>VLOOKUP($C55,REPORT!$C$2:$X$218,REPORT!O$1,0)</f>
        <v>#N/A</v>
      </c>
      <c r="N55" s="2031" t="str">
        <f>VLOOKUP($C55,REPORT!$C$2:$X$218,REPORT!P$1,0)</f>
        <v>#N/A</v>
      </c>
      <c r="O55" s="2031" t="str">
        <f>VLOOKUP($C55,REPORT!$C$2:$X$218,REPORT!Q$1,0)</f>
        <v>#N/A</v>
      </c>
      <c r="P55" s="2031" t="str">
        <f>VLOOKUP($C55,REPORT!$C$2:$X$218,REPORT!R$1,0)</f>
        <v>#N/A</v>
      </c>
      <c r="Q55" s="2031" t="str">
        <f>VLOOKUP($C55,REPORT!$C$2:$X$218,REPORT!S$1,0)</f>
        <v>#N/A</v>
      </c>
      <c r="R55" s="2031" t="str">
        <f>VLOOKUP($C55,REPORT!$C$2:$X$218,REPORT!T$1,0)</f>
        <v>#N/A</v>
      </c>
      <c r="S55" s="2031" t="str">
        <f>VLOOKUP($C55,REPORT!$C$2:$X$218,REPORT!U$1,0)</f>
        <v>#N/A</v>
      </c>
      <c r="T55" s="2031" t="str">
        <f>VLOOKUP($C55,REPORT!$C$2:$X$218,REPORT!V$1,0)</f>
        <v>#N/A</v>
      </c>
      <c r="U55" s="2031" t="str">
        <f>VLOOKUP($C55,REPORT!$C$2:$X$218,REPORT!W$1,0)</f>
        <v>#N/A</v>
      </c>
      <c r="V55" s="2031" t="str">
        <f>VLOOKUP($C55,REPORT!$C$2:$X$218,REPORT!X$1,0)</f>
        <v>#N/A</v>
      </c>
    </row>
    <row r="56">
      <c r="A56" s="2014"/>
      <c r="B56" s="2015" t="s">
        <v>4013</v>
      </c>
      <c r="C56" s="2016"/>
      <c r="D56" s="2014"/>
      <c r="E56" s="2017"/>
      <c r="F56" s="2018">
        <f>IFERROR(IF(F$2&lt;&gt;"",F55-E55,0),0)</f>
        <v>0</v>
      </c>
      <c r="G56" s="2018"/>
      <c r="H56" s="2018">
        <f t="shared" ref="H56:J56" si="69">IFERROR(IF(H$2&lt;&gt;"",H55-G55,0),0)</f>
        <v>0</v>
      </c>
      <c r="I56" s="2018">
        <f t="shared" si="69"/>
        <v>0</v>
      </c>
      <c r="J56" s="2018">
        <f t="shared" si="69"/>
        <v>0</v>
      </c>
      <c r="K56" s="2018"/>
      <c r="L56" s="2018">
        <f t="shared" ref="L56:V56" si="70">IFERROR(IF(L$2&lt;&gt;"",L55-K55,0),0)</f>
        <v>0</v>
      </c>
      <c r="M56" s="2018">
        <f t="shared" si="70"/>
        <v>0</v>
      </c>
      <c r="N56" s="2018">
        <f t="shared" si="70"/>
        <v>0</v>
      </c>
      <c r="O56" s="2018">
        <f t="shared" si="70"/>
        <v>0</v>
      </c>
      <c r="P56" s="2018">
        <f t="shared" si="70"/>
        <v>0</v>
      </c>
      <c r="Q56" s="2018">
        <f t="shared" si="70"/>
        <v>0</v>
      </c>
      <c r="R56" s="2018">
        <f t="shared" si="70"/>
        <v>0</v>
      </c>
      <c r="S56" s="2018">
        <f t="shared" si="70"/>
        <v>0</v>
      </c>
      <c r="T56" s="2018">
        <f t="shared" si="70"/>
        <v>0</v>
      </c>
      <c r="U56" s="2018">
        <f t="shared" si="70"/>
        <v>0</v>
      </c>
      <c r="V56" s="2018">
        <f t="shared" si="70"/>
        <v>0</v>
      </c>
    </row>
    <row r="57">
      <c r="A57" s="2014"/>
      <c r="B57" s="2019" t="s">
        <v>4014</v>
      </c>
      <c r="C57" s="2020"/>
      <c r="D57" s="2014"/>
      <c r="E57" s="2017"/>
      <c r="F57" s="2021">
        <f>IFERROR(F56/E55,0)</f>
        <v>0</v>
      </c>
      <c r="G57" s="2021"/>
      <c r="H57" s="2021">
        <f t="shared" ref="H57:J57" si="71">IFERROR(H56/G55,0)</f>
        <v>0</v>
      </c>
      <c r="I57" s="2023">
        <f t="shared" si="71"/>
        <v>0</v>
      </c>
      <c r="J57" s="2023">
        <f t="shared" si="71"/>
        <v>0</v>
      </c>
      <c r="K57" s="2023"/>
      <c r="L57" s="2023">
        <f t="shared" ref="L57:V57" si="72">IFERROR(L56/K55,0)</f>
        <v>0</v>
      </c>
      <c r="M57" s="2023">
        <f t="shared" si="72"/>
        <v>0</v>
      </c>
      <c r="N57" s="2023">
        <f t="shared" si="72"/>
        <v>0</v>
      </c>
      <c r="O57" s="2023">
        <f t="shared" si="72"/>
        <v>0</v>
      </c>
      <c r="P57" s="2023">
        <f t="shared" si="72"/>
        <v>0</v>
      </c>
      <c r="Q57" s="2023">
        <f t="shared" si="72"/>
        <v>0</v>
      </c>
      <c r="R57" s="2023">
        <f t="shared" si="72"/>
        <v>0</v>
      </c>
      <c r="S57" s="2023">
        <f t="shared" si="72"/>
        <v>0</v>
      </c>
      <c r="T57" s="2023">
        <f t="shared" si="72"/>
        <v>0</v>
      </c>
      <c r="U57" s="2023">
        <f t="shared" si="72"/>
        <v>0</v>
      </c>
      <c r="V57" s="2023">
        <f t="shared" si="72"/>
        <v>0</v>
      </c>
    </row>
    <row r="58">
      <c r="A58" s="1580"/>
      <c r="B58" s="1580"/>
      <c r="C58" s="1582"/>
      <c r="D58" s="1580"/>
      <c r="E58" s="1580"/>
      <c r="F58" s="1580"/>
      <c r="G58" s="1580"/>
      <c r="H58" s="1580"/>
      <c r="I58" s="1580"/>
      <c r="J58" s="1580"/>
      <c r="K58" s="1580"/>
      <c r="L58" s="1580"/>
      <c r="M58" s="1580"/>
      <c r="N58" s="1580"/>
      <c r="O58" s="1580"/>
      <c r="P58" s="1580"/>
      <c r="Q58" s="1580"/>
      <c r="R58" s="1580"/>
      <c r="S58" s="1580"/>
      <c r="T58" s="1580"/>
      <c r="U58" s="1580"/>
      <c r="V58" s="1580"/>
    </row>
    <row r="59">
      <c r="A59" s="2005"/>
      <c r="B59" s="2006" t="s">
        <v>4029</v>
      </c>
      <c r="C59" s="2033" t="s">
        <v>4005</v>
      </c>
      <c r="D59" s="2034" t="str">
        <f t="shared" ref="D59:V59" si="73">D2</f>
        <v>NĂM</v>
      </c>
      <c r="E59" s="2034" t="str">
        <f t="shared" si="73"/>
        <v>1H/2022</v>
      </c>
      <c r="F59" s="2034" t="str">
        <f t="shared" si="73"/>
        <v>2H/2022</v>
      </c>
      <c r="G59" s="2034" t="str">
        <f t="shared" si="73"/>
        <v>QUÍ I/2022</v>
      </c>
      <c r="H59" s="2034" t="str">
        <f t="shared" si="73"/>
        <v>QUÍ II/2022</v>
      </c>
      <c r="I59" s="2005" t="str">
        <f t="shared" si="73"/>
        <v>QUÍ III/2022</v>
      </c>
      <c r="J59" s="2005" t="str">
        <f t="shared" si="73"/>
        <v>QUÍ IV/2022</v>
      </c>
      <c r="K59" s="2035">
        <f t="shared" si="73"/>
        <v>44562</v>
      </c>
      <c r="L59" s="2035">
        <f t="shared" si="73"/>
        <v>44593</v>
      </c>
      <c r="M59" s="2035">
        <f t="shared" si="73"/>
        <v>44621</v>
      </c>
      <c r="N59" s="2035">
        <f t="shared" si="73"/>
        <v>44652</v>
      </c>
      <c r="O59" s="2035">
        <f t="shared" si="73"/>
        <v>44682</v>
      </c>
      <c r="P59" s="2035">
        <f t="shared" si="73"/>
        <v>44713</v>
      </c>
      <c r="Q59" s="2035">
        <f t="shared" si="73"/>
        <v>44743</v>
      </c>
      <c r="R59" s="2035">
        <f t="shared" si="73"/>
        <v>44774</v>
      </c>
      <c r="S59" s="2035">
        <f t="shared" si="73"/>
        <v>44805</v>
      </c>
      <c r="T59" s="2035">
        <f t="shared" si="73"/>
        <v>44835</v>
      </c>
      <c r="U59" s="2035">
        <f t="shared" si="73"/>
        <v>44866</v>
      </c>
      <c r="V59" s="2035">
        <f t="shared" si="73"/>
        <v>44896</v>
      </c>
    </row>
    <row r="60">
      <c r="A60" s="2036">
        <v>3.0</v>
      </c>
      <c r="B60" s="2037" t="s">
        <v>4030</v>
      </c>
      <c r="C60" s="2038" t="s">
        <v>3967</v>
      </c>
      <c r="D60" s="2039" t="str">
        <f>VLOOKUP($C60,REPORT!$C$2:$X$218,REPORT!F$1,0)</f>
        <v>#N/A</v>
      </c>
      <c r="E60" s="2039" t="str">
        <f>VLOOKUP($C60,REPORT!$C$2:$X$218,REPORT!G$1,0)</f>
        <v>#N/A</v>
      </c>
      <c r="F60" s="2039" t="str">
        <f>VLOOKUP($C60,REPORT!$C$2:$X$218,REPORT!H$1,0)</f>
        <v>#N/A</v>
      </c>
      <c r="G60" s="2039" t="str">
        <f>VLOOKUP($C60,REPORT!$C$2:$X$218,REPORT!I$1,0)</f>
        <v>#N/A</v>
      </c>
      <c r="H60" s="2039" t="str">
        <f>VLOOKUP($C60,REPORT!$C$2:$X$218,REPORT!J$1,0)</f>
        <v>#N/A</v>
      </c>
      <c r="I60" s="2039" t="str">
        <f>VLOOKUP($C60,REPORT!$C$2:$X$218,REPORT!K$1,0)</f>
        <v>#N/A</v>
      </c>
      <c r="J60" s="2039" t="str">
        <f>VLOOKUP($C60,REPORT!$C$2:$X$218,REPORT!L$1,0)</f>
        <v>#N/A</v>
      </c>
      <c r="K60" s="2039" t="str">
        <f>VLOOKUP($C60,REPORT!$C$2:$X$218,REPORT!M$1,0)</f>
        <v>#N/A</v>
      </c>
      <c r="L60" s="2039" t="str">
        <f>VLOOKUP($C60,REPORT!$C$2:$X$218,REPORT!N$1,0)</f>
        <v>#N/A</v>
      </c>
      <c r="M60" s="2039" t="str">
        <f>VLOOKUP($C60,REPORT!$C$2:$X$218,REPORT!O$1,0)</f>
        <v>#N/A</v>
      </c>
      <c r="N60" s="2039" t="str">
        <f>VLOOKUP($C60,REPORT!$C$2:$X$218,REPORT!P$1,0)</f>
        <v>#N/A</v>
      </c>
      <c r="O60" s="2039" t="str">
        <f>VLOOKUP($C60,REPORT!$C$2:$X$218,REPORT!Q$1,0)</f>
        <v>#N/A</v>
      </c>
      <c r="P60" s="2039" t="str">
        <f>VLOOKUP($C60,REPORT!$C$2:$X$218,REPORT!R$1,0)</f>
        <v>#N/A</v>
      </c>
      <c r="Q60" s="2039" t="str">
        <f>VLOOKUP($C60,REPORT!$C$2:$X$218,REPORT!S$1,0)</f>
        <v>#N/A</v>
      </c>
      <c r="R60" s="2039" t="str">
        <f>VLOOKUP($C60,REPORT!$C$2:$X$218,REPORT!T$1,0)</f>
        <v>#N/A</v>
      </c>
      <c r="S60" s="2039" t="str">
        <f>VLOOKUP($C60,REPORT!$C$2:$X$218,REPORT!U$1,0)</f>
        <v>#N/A</v>
      </c>
      <c r="T60" s="2039" t="str">
        <f>VLOOKUP($C60,REPORT!$C$2:$X$218,REPORT!V$1,0)</f>
        <v>#N/A</v>
      </c>
      <c r="U60" s="2039" t="str">
        <f>VLOOKUP($C60,REPORT!$C$2:$X$218,REPORT!W$1,0)</f>
        <v>#N/A</v>
      </c>
      <c r="V60" s="2039" t="str">
        <f>VLOOKUP($C60,REPORT!$C$2:$X$218,REPORT!X$1,0)</f>
        <v>#N/A</v>
      </c>
    </row>
    <row r="61">
      <c r="A61" s="2040"/>
      <c r="B61" s="2041" t="s">
        <v>4013</v>
      </c>
      <c r="C61" s="2042"/>
      <c r="D61" s="2040"/>
      <c r="E61" s="2043"/>
      <c r="F61" s="2044">
        <f>IFERROR(IF(F$2&lt;&gt;"",F60-E60,0),0)</f>
        <v>0</v>
      </c>
      <c r="G61" s="2043"/>
      <c r="H61" s="2044">
        <f t="shared" ref="H61:J61" si="74">IFERROR(IF(H$2&lt;&gt;"",H60-G60,0),0)</f>
        <v>0</v>
      </c>
      <c r="I61" s="2044">
        <f t="shared" si="74"/>
        <v>0</v>
      </c>
      <c r="J61" s="2044">
        <f t="shared" si="74"/>
        <v>0</v>
      </c>
      <c r="K61" s="2044"/>
      <c r="L61" s="2044">
        <f t="shared" ref="L61:V61" si="75">IFERROR(IF(L$2&lt;&gt;"",L60-K60,0),0)</f>
        <v>0</v>
      </c>
      <c r="M61" s="2044">
        <f t="shared" si="75"/>
        <v>0</v>
      </c>
      <c r="N61" s="2044">
        <f t="shared" si="75"/>
        <v>0</v>
      </c>
      <c r="O61" s="2044">
        <f t="shared" si="75"/>
        <v>0</v>
      </c>
      <c r="P61" s="2044">
        <f t="shared" si="75"/>
        <v>0</v>
      </c>
      <c r="Q61" s="2044">
        <f t="shared" si="75"/>
        <v>0</v>
      </c>
      <c r="R61" s="2044">
        <f t="shared" si="75"/>
        <v>0</v>
      </c>
      <c r="S61" s="2044">
        <f t="shared" si="75"/>
        <v>0</v>
      </c>
      <c r="T61" s="2044">
        <f t="shared" si="75"/>
        <v>0</v>
      </c>
      <c r="U61" s="2044">
        <f t="shared" si="75"/>
        <v>0</v>
      </c>
      <c r="V61" s="2044">
        <f t="shared" si="75"/>
        <v>0</v>
      </c>
    </row>
    <row r="62">
      <c r="A62" s="2040"/>
      <c r="B62" s="2041" t="s">
        <v>4014</v>
      </c>
      <c r="C62" s="2042"/>
      <c r="D62" s="2040"/>
      <c r="E62" s="2043"/>
      <c r="F62" s="2045">
        <f>IFERROR(F61/E60,0)</f>
        <v>0</v>
      </c>
      <c r="G62" s="2046"/>
      <c r="H62" s="2045">
        <f t="shared" ref="H62:J62" si="76">IFERROR(H61/G60,0)</f>
        <v>0</v>
      </c>
      <c r="I62" s="2045">
        <f t="shared" si="76"/>
        <v>0</v>
      </c>
      <c r="J62" s="2045">
        <f t="shared" si="76"/>
        <v>0</v>
      </c>
      <c r="K62" s="2045"/>
      <c r="L62" s="2045">
        <f t="shared" ref="L62:V62" si="77">IFERROR(L61/K60,0)</f>
        <v>0</v>
      </c>
      <c r="M62" s="2045">
        <f t="shared" si="77"/>
        <v>0</v>
      </c>
      <c r="N62" s="2045">
        <f t="shared" si="77"/>
        <v>0</v>
      </c>
      <c r="O62" s="2045">
        <f t="shared" si="77"/>
        <v>0</v>
      </c>
      <c r="P62" s="2045">
        <f t="shared" si="77"/>
        <v>0</v>
      </c>
      <c r="Q62" s="2045">
        <f t="shared" si="77"/>
        <v>0</v>
      </c>
      <c r="R62" s="2045">
        <f t="shared" si="77"/>
        <v>0</v>
      </c>
      <c r="S62" s="2045">
        <f t="shared" si="77"/>
        <v>0</v>
      </c>
      <c r="T62" s="2045">
        <f t="shared" si="77"/>
        <v>0</v>
      </c>
      <c r="U62" s="2045">
        <f t="shared" si="77"/>
        <v>0</v>
      </c>
      <c r="V62" s="2045">
        <f t="shared" si="77"/>
        <v>0</v>
      </c>
    </row>
    <row r="63">
      <c r="A63" s="2036">
        <v>4.0</v>
      </c>
      <c r="B63" s="2037" t="s">
        <v>1512</v>
      </c>
      <c r="C63" s="2038" t="s">
        <v>3968</v>
      </c>
      <c r="D63" s="2039" t="str">
        <f>VLOOKUP($C63,REPORT!$C$2:$X$218,REPORT!F$1,0)</f>
        <v>#N/A</v>
      </c>
      <c r="E63" s="2039" t="str">
        <f>VLOOKUP($C63,REPORT!$C$2:$X$218,REPORT!G$1,0)</f>
        <v>#N/A</v>
      </c>
      <c r="F63" s="2039" t="str">
        <f>VLOOKUP($C63,REPORT!$C$2:$X$218,REPORT!H$1,0)</f>
        <v>#N/A</v>
      </c>
      <c r="G63" s="2039" t="str">
        <f>VLOOKUP($C63,REPORT!$C$2:$X$218,REPORT!I$1,0)</f>
        <v>#N/A</v>
      </c>
      <c r="H63" s="2039" t="str">
        <f>VLOOKUP($C63,REPORT!$C$2:$X$218,REPORT!J$1,0)</f>
        <v>#N/A</v>
      </c>
      <c r="I63" s="2039" t="str">
        <f>VLOOKUP($C63,REPORT!$C$2:$X$218,REPORT!K$1,0)</f>
        <v>#N/A</v>
      </c>
      <c r="J63" s="2039" t="str">
        <f>VLOOKUP($C63,REPORT!$C$2:$X$218,REPORT!L$1,0)</f>
        <v>#N/A</v>
      </c>
      <c r="K63" s="2039" t="str">
        <f>VLOOKUP($C63,REPORT!$C$2:$X$218,REPORT!M$1,0)</f>
        <v>#N/A</v>
      </c>
      <c r="L63" s="2039" t="str">
        <f>VLOOKUP($C63,REPORT!$C$2:$X$218,REPORT!N$1,0)</f>
        <v>#N/A</v>
      </c>
      <c r="M63" s="2039" t="str">
        <f>VLOOKUP($C63,REPORT!$C$2:$X$218,REPORT!O$1,0)</f>
        <v>#N/A</v>
      </c>
      <c r="N63" s="2039" t="str">
        <f>VLOOKUP($C63,REPORT!$C$2:$X$218,REPORT!P$1,0)</f>
        <v>#N/A</v>
      </c>
      <c r="O63" s="2039" t="str">
        <f>VLOOKUP($C63,REPORT!$C$2:$X$218,REPORT!Q$1,0)</f>
        <v>#N/A</v>
      </c>
      <c r="P63" s="2039" t="str">
        <f>VLOOKUP($C63,REPORT!$C$2:$X$218,REPORT!R$1,0)</f>
        <v>#N/A</v>
      </c>
      <c r="Q63" s="2039" t="str">
        <f>VLOOKUP($C63,REPORT!$C$2:$X$218,REPORT!S$1,0)</f>
        <v>#N/A</v>
      </c>
      <c r="R63" s="2039" t="str">
        <f>VLOOKUP($C63,REPORT!$C$2:$X$218,REPORT!T$1,0)</f>
        <v>#N/A</v>
      </c>
      <c r="S63" s="2039" t="str">
        <f>VLOOKUP($C63,REPORT!$C$2:$X$218,REPORT!U$1,0)</f>
        <v>#N/A</v>
      </c>
      <c r="T63" s="2039" t="str">
        <f>VLOOKUP($C63,REPORT!$C$2:$X$218,REPORT!V$1,0)</f>
        <v>#N/A</v>
      </c>
      <c r="U63" s="2039" t="str">
        <f>VLOOKUP($C63,REPORT!$C$2:$X$218,REPORT!W$1,0)</f>
        <v>#N/A</v>
      </c>
      <c r="V63" s="2039" t="str">
        <f>VLOOKUP($C63,REPORT!$C$2:$X$218,REPORT!X$1,0)</f>
        <v>#N/A</v>
      </c>
    </row>
    <row r="64">
      <c r="A64" s="2040"/>
      <c r="B64" s="2041" t="s">
        <v>4013</v>
      </c>
      <c r="C64" s="2042"/>
      <c r="D64" s="2040"/>
      <c r="E64" s="2043"/>
      <c r="F64" s="2044">
        <f>IFERROR(IF(F$2&lt;&gt;"",F63-E63,0),0)</f>
        <v>0</v>
      </c>
      <c r="G64" s="2043"/>
      <c r="H64" s="2044">
        <f t="shared" ref="H64:J64" si="78">IFERROR(IF(H$2&lt;&gt;"",H63-G63,0),0)</f>
        <v>0</v>
      </c>
      <c r="I64" s="2044">
        <f t="shared" si="78"/>
        <v>0</v>
      </c>
      <c r="J64" s="2044">
        <f t="shared" si="78"/>
        <v>0</v>
      </c>
      <c r="K64" s="2044"/>
      <c r="L64" s="2044">
        <f t="shared" ref="L64:V64" si="79">IFERROR(IF(L$2&lt;&gt;"",L63-K63,0),0)</f>
        <v>0</v>
      </c>
      <c r="M64" s="2044">
        <f t="shared" si="79"/>
        <v>0</v>
      </c>
      <c r="N64" s="2044">
        <f t="shared" si="79"/>
        <v>0</v>
      </c>
      <c r="O64" s="2044">
        <f t="shared" si="79"/>
        <v>0</v>
      </c>
      <c r="P64" s="2044">
        <f t="shared" si="79"/>
        <v>0</v>
      </c>
      <c r="Q64" s="2044">
        <f t="shared" si="79"/>
        <v>0</v>
      </c>
      <c r="R64" s="2044">
        <f t="shared" si="79"/>
        <v>0</v>
      </c>
      <c r="S64" s="2044">
        <f t="shared" si="79"/>
        <v>0</v>
      </c>
      <c r="T64" s="2044">
        <f t="shared" si="79"/>
        <v>0</v>
      </c>
      <c r="U64" s="2044">
        <f t="shared" si="79"/>
        <v>0</v>
      </c>
      <c r="V64" s="2044">
        <f t="shared" si="79"/>
        <v>0</v>
      </c>
    </row>
    <row r="65">
      <c r="A65" s="2040"/>
      <c r="B65" s="2041" t="s">
        <v>4014</v>
      </c>
      <c r="C65" s="2042"/>
      <c r="D65" s="2040"/>
      <c r="E65" s="2043"/>
      <c r="F65" s="2045">
        <f>IFERROR(F64/E63,0)</f>
        <v>0</v>
      </c>
      <c r="G65" s="2046"/>
      <c r="H65" s="2045">
        <f t="shared" ref="H65:J65" si="80">IFERROR(H64/G63,0)</f>
        <v>0</v>
      </c>
      <c r="I65" s="2045">
        <f t="shared" si="80"/>
        <v>0</v>
      </c>
      <c r="J65" s="2045">
        <f t="shared" si="80"/>
        <v>0</v>
      </c>
      <c r="K65" s="2045"/>
      <c r="L65" s="2045">
        <f t="shared" ref="L65:V65" si="81">IFERROR(L64/K63,0)</f>
        <v>0</v>
      </c>
      <c r="M65" s="2045">
        <f t="shared" si="81"/>
        <v>0</v>
      </c>
      <c r="N65" s="2045">
        <f t="shared" si="81"/>
        <v>0</v>
      </c>
      <c r="O65" s="2045">
        <f t="shared" si="81"/>
        <v>0</v>
      </c>
      <c r="P65" s="2045">
        <f t="shared" si="81"/>
        <v>0</v>
      </c>
      <c r="Q65" s="2045">
        <f t="shared" si="81"/>
        <v>0</v>
      </c>
      <c r="R65" s="2045">
        <f t="shared" si="81"/>
        <v>0</v>
      </c>
      <c r="S65" s="2045">
        <f t="shared" si="81"/>
        <v>0</v>
      </c>
      <c r="T65" s="2045">
        <f t="shared" si="81"/>
        <v>0</v>
      </c>
      <c r="U65" s="2045">
        <f t="shared" si="81"/>
        <v>0</v>
      </c>
      <c r="V65" s="2045">
        <f t="shared" si="81"/>
        <v>0</v>
      </c>
    </row>
    <row r="66">
      <c r="A66" s="2036">
        <v>5.0</v>
      </c>
      <c r="B66" s="2037" t="s">
        <v>4031</v>
      </c>
      <c r="C66" s="2038" t="s">
        <v>3969</v>
      </c>
      <c r="D66" s="2039" t="str">
        <f>VLOOKUP($C66,REPORT!$C$2:$X$218,REPORT!F$1,0)</f>
        <v>#N/A</v>
      </c>
      <c r="E66" s="2039" t="str">
        <f>VLOOKUP($C66,REPORT!$C$2:$X$218,REPORT!G$1,0)</f>
        <v>#N/A</v>
      </c>
      <c r="F66" s="2039" t="str">
        <f>VLOOKUP($C66,REPORT!$C$2:$X$218,REPORT!H$1,0)</f>
        <v>#N/A</v>
      </c>
      <c r="G66" s="2039" t="str">
        <f>VLOOKUP($C66,REPORT!$C$2:$X$218,REPORT!I$1,0)</f>
        <v>#N/A</v>
      </c>
      <c r="H66" s="2039" t="str">
        <f>VLOOKUP($C66,REPORT!$C$2:$X$218,REPORT!J$1,0)</f>
        <v>#N/A</v>
      </c>
      <c r="I66" s="2039" t="str">
        <f>VLOOKUP($C66,REPORT!$C$2:$X$218,REPORT!K$1,0)</f>
        <v>#N/A</v>
      </c>
      <c r="J66" s="2039" t="str">
        <f>VLOOKUP($C66,REPORT!$C$2:$X$218,REPORT!L$1,0)</f>
        <v>#N/A</v>
      </c>
      <c r="K66" s="2039" t="str">
        <f>VLOOKUP($C66,REPORT!$C$2:$X$218,REPORT!M$1,0)</f>
        <v>#N/A</v>
      </c>
      <c r="L66" s="2039" t="str">
        <f>VLOOKUP($C66,REPORT!$C$2:$X$218,REPORT!N$1,0)</f>
        <v>#N/A</v>
      </c>
      <c r="M66" s="2039" t="str">
        <f>VLOOKUP($C66,REPORT!$C$2:$X$218,REPORT!O$1,0)</f>
        <v>#N/A</v>
      </c>
      <c r="N66" s="2039" t="str">
        <f>VLOOKUP($C66,REPORT!$C$2:$X$218,REPORT!P$1,0)</f>
        <v>#N/A</v>
      </c>
      <c r="O66" s="2039" t="str">
        <f>VLOOKUP($C66,REPORT!$C$2:$X$218,REPORT!Q$1,0)</f>
        <v>#N/A</v>
      </c>
      <c r="P66" s="2039" t="str">
        <f>VLOOKUP($C66,REPORT!$C$2:$X$218,REPORT!R$1,0)</f>
        <v>#N/A</v>
      </c>
      <c r="Q66" s="2039" t="str">
        <f>VLOOKUP($C66,REPORT!$C$2:$X$218,REPORT!S$1,0)</f>
        <v>#N/A</v>
      </c>
      <c r="R66" s="2039" t="str">
        <f>VLOOKUP($C66,REPORT!$C$2:$X$218,REPORT!T$1,0)</f>
        <v>#N/A</v>
      </c>
      <c r="S66" s="2039" t="str">
        <f>VLOOKUP($C66,REPORT!$C$2:$X$218,REPORT!U$1,0)</f>
        <v>#N/A</v>
      </c>
      <c r="T66" s="2039" t="str">
        <f>VLOOKUP($C66,REPORT!$C$2:$X$218,REPORT!V$1,0)</f>
        <v>#N/A</v>
      </c>
      <c r="U66" s="2039" t="str">
        <f>VLOOKUP($C66,REPORT!$C$2:$X$218,REPORT!W$1,0)</f>
        <v>#N/A</v>
      </c>
      <c r="V66" s="2039" t="str">
        <f>VLOOKUP($C66,REPORT!$C$2:$X$218,REPORT!X$1,0)</f>
        <v>#N/A</v>
      </c>
    </row>
    <row r="67">
      <c r="A67" s="2040"/>
      <c r="B67" s="2041" t="s">
        <v>4013</v>
      </c>
      <c r="C67" s="2042"/>
      <c r="D67" s="2040"/>
      <c r="E67" s="2043"/>
      <c r="F67" s="2044">
        <f>IFERROR(IF(F$2&lt;&gt;"",F66-E66,0),0)</f>
        <v>0</v>
      </c>
      <c r="G67" s="2044"/>
      <c r="H67" s="2044">
        <f t="shared" ref="H67:J67" si="82">IFERROR(IF(H$2&lt;&gt;"",H66-G66,0),0)</f>
        <v>0</v>
      </c>
      <c r="I67" s="2044">
        <f t="shared" si="82"/>
        <v>0</v>
      </c>
      <c r="J67" s="2044">
        <f t="shared" si="82"/>
        <v>0</v>
      </c>
      <c r="K67" s="2044"/>
      <c r="L67" s="2044">
        <f t="shared" ref="L67:V67" si="83">IFERROR(IF(L$2&lt;&gt;"",L66-K66,0),0)</f>
        <v>0</v>
      </c>
      <c r="M67" s="2044">
        <f t="shared" si="83"/>
        <v>0</v>
      </c>
      <c r="N67" s="2044">
        <f t="shared" si="83"/>
        <v>0</v>
      </c>
      <c r="O67" s="2044">
        <f t="shared" si="83"/>
        <v>0</v>
      </c>
      <c r="P67" s="2044">
        <f t="shared" si="83"/>
        <v>0</v>
      </c>
      <c r="Q67" s="2044">
        <f t="shared" si="83"/>
        <v>0</v>
      </c>
      <c r="R67" s="2044">
        <f t="shared" si="83"/>
        <v>0</v>
      </c>
      <c r="S67" s="2044">
        <f t="shared" si="83"/>
        <v>0</v>
      </c>
      <c r="T67" s="2044">
        <f t="shared" si="83"/>
        <v>0</v>
      </c>
      <c r="U67" s="2044">
        <f t="shared" si="83"/>
        <v>0</v>
      </c>
      <c r="V67" s="2044">
        <f t="shared" si="83"/>
        <v>0</v>
      </c>
    </row>
    <row r="68">
      <c r="A68" s="2040"/>
      <c r="B68" s="2041" t="s">
        <v>4014</v>
      </c>
      <c r="C68" s="2042"/>
      <c r="D68" s="2040"/>
      <c r="E68" s="2043"/>
      <c r="F68" s="2045">
        <f>IFERROR(F67/E66,0)</f>
        <v>0</v>
      </c>
      <c r="G68" s="2045"/>
      <c r="H68" s="2045">
        <f t="shared" ref="H68:J68" si="84">IFERROR(H67/G66,0)</f>
        <v>0</v>
      </c>
      <c r="I68" s="2045">
        <f t="shared" si="84"/>
        <v>0</v>
      </c>
      <c r="J68" s="2045">
        <f t="shared" si="84"/>
        <v>0</v>
      </c>
      <c r="K68" s="2045"/>
      <c r="L68" s="2045">
        <f t="shared" ref="L68:V68" si="85">IFERROR(L67/K66,0)</f>
        <v>0</v>
      </c>
      <c r="M68" s="2045">
        <f t="shared" si="85"/>
        <v>0</v>
      </c>
      <c r="N68" s="2045">
        <f t="shared" si="85"/>
        <v>0</v>
      </c>
      <c r="O68" s="2045">
        <f t="shared" si="85"/>
        <v>0</v>
      </c>
      <c r="P68" s="2045">
        <f t="shared" si="85"/>
        <v>0</v>
      </c>
      <c r="Q68" s="2045">
        <f t="shared" si="85"/>
        <v>0</v>
      </c>
      <c r="R68" s="2045">
        <f t="shared" si="85"/>
        <v>0</v>
      </c>
      <c r="S68" s="2045">
        <f t="shared" si="85"/>
        <v>0</v>
      </c>
      <c r="T68" s="2045">
        <f t="shared" si="85"/>
        <v>0</v>
      </c>
      <c r="U68" s="2045">
        <f t="shared" si="85"/>
        <v>0</v>
      </c>
      <c r="V68" s="2045">
        <f t="shared" si="85"/>
        <v>0</v>
      </c>
    </row>
    <row r="69">
      <c r="A69" s="2036">
        <v>6.0</v>
      </c>
      <c r="B69" s="2037" t="s">
        <v>1507</v>
      </c>
      <c r="C69" s="2038" t="s">
        <v>3970</v>
      </c>
      <c r="D69" s="2039" t="str">
        <f>VLOOKUP($C69,REPORT!$C$2:$X$218,REPORT!F$1,0)</f>
        <v>#N/A</v>
      </c>
      <c r="E69" s="2039" t="str">
        <f>VLOOKUP($C69,REPORT!$C$2:$X$218,REPORT!G$1,0)</f>
        <v>#N/A</v>
      </c>
      <c r="F69" s="2039" t="str">
        <f>VLOOKUP($C69,REPORT!$C$2:$X$218,REPORT!H$1,0)</f>
        <v>#N/A</v>
      </c>
      <c r="G69" s="2039" t="str">
        <f>VLOOKUP($C69,REPORT!$C$2:$X$218,REPORT!I$1,0)</f>
        <v>#N/A</v>
      </c>
      <c r="H69" s="2039" t="str">
        <f>VLOOKUP($C69,REPORT!$C$2:$X$218,REPORT!J$1,0)</f>
        <v>#N/A</v>
      </c>
      <c r="I69" s="2039" t="str">
        <f>VLOOKUP($C69,REPORT!$C$2:$X$218,REPORT!K$1,0)</f>
        <v>#N/A</v>
      </c>
      <c r="J69" s="2039" t="str">
        <f>VLOOKUP($C69,REPORT!$C$2:$X$218,REPORT!L$1,0)</f>
        <v>#N/A</v>
      </c>
      <c r="K69" s="2039" t="str">
        <f>VLOOKUP($C69,REPORT!$C$2:$X$218,REPORT!M$1,0)</f>
        <v>#N/A</v>
      </c>
      <c r="L69" s="2039" t="str">
        <f>VLOOKUP($C69,REPORT!$C$2:$X$218,REPORT!N$1,0)</f>
        <v>#N/A</v>
      </c>
      <c r="M69" s="2039" t="str">
        <f>VLOOKUP($C69,REPORT!$C$2:$X$218,REPORT!O$1,0)</f>
        <v>#N/A</v>
      </c>
      <c r="N69" s="2039" t="str">
        <f>VLOOKUP($C69,REPORT!$C$2:$X$218,REPORT!P$1,0)</f>
        <v>#N/A</v>
      </c>
      <c r="O69" s="2039" t="str">
        <f>VLOOKUP($C69,REPORT!$C$2:$X$218,REPORT!Q$1,0)</f>
        <v>#N/A</v>
      </c>
      <c r="P69" s="2039" t="str">
        <f>VLOOKUP($C69,REPORT!$C$2:$X$218,REPORT!R$1,0)</f>
        <v>#N/A</v>
      </c>
      <c r="Q69" s="2039" t="str">
        <f>VLOOKUP($C69,REPORT!$C$2:$X$218,REPORT!S$1,0)</f>
        <v>#N/A</v>
      </c>
      <c r="R69" s="2039" t="str">
        <f>VLOOKUP($C69,REPORT!$C$2:$X$218,REPORT!T$1,0)</f>
        <v>#N/A</v>
      </c>
      <c r="S69" s="2039" t="str">
        <f>VLOOKUP($C69,REPORT!$C$2:$X$218,REPORT!U$1,0)</f>
        <v>#N/A</v>
      </c>
      <c r="T69" s="2039" t="str">
        <f>VLOOKUP($C69,REPORT!$C$2:$X$218,REPORT!V$1,0)</f>
        <v>#N/A</v>
      </c>
      <c r="U69" s="2039" t="str">
        <f>VLOOKUP($C69,REPORT!$C$2:$X$218,REPORT!W$1,0)</f>
        <v>#N/A</v>
      </c>
      <c r="V69" s="2039" t="str">
        <f>VLOOKUP($C69,REPORT!$C$2:$X$218,REPORT!X$1,0)</f>
        <v>#N/A</v>
      </c>
    </row>
    <row r="70">
      <c r="A70" s="2040"/>
      <c r="B70" s="2041" t="s">
        <v>4013</v>
      </c>
      <c r="C70" s="2042"/>
      <c r="D70" s="2040"/>
      <c r="E70" s="2043"/>
      <c r="F70" s="2044">
        <f>IFERROR(IF(F$2&lt;&gt;"",F69-E69,0),0)</f>
        <v>0</v>
      </c>
      <c r="G70" s="2044"/>
      <c r="H70" s="2044">
        <f t="shared" ref="H70:J70" si="86">IFERROR(IF(H$2&lt;&gt;"",H69-G69,0),0)</f>
        <v>0</v>
      </c>
      <c r="I70" s="2044">
        <f t="shared" si="86"/>
        <v>0</v>
      </c>
      <c r="J70" s="2044">
        <f t="shared" si="86"/>
        <v>0</v>
      </c>
      <c r="K70" s="2044"/>
      <c r="L70" s="2044">
        <f t="shared" ref="L70:V70" si="87">IFERROR(IF(L$2&lt;&gt;"",L69-K69,0),0)</f>
        <v>0</v>
      </c>
      <c r="M70" s="2044">
        <f t="shared" si="87"/>
        <v>0</v>
      </c>
      <c r="N70" s="2044">
        <f t="shared" si="87"/>
        <v>0</v>
      </c>
      <c r="O70" s="2044">
        <f t="shared" si="87"/>
        <v>0</v>
      </c>
      <c r="P70" s="2044">
        <f t="shared" si="87"/>
        <v>0</v>
      </c>
      <c r="Q70" s="2044">
        <f t="shared" si="87"/>
        <v>0</v>
      </c>
      <c r="R70" s="2044">
        <f t="shared" si="87"/>
        <v>0</v>
      </c>
      <c r="S70" s="2044">
        <f t="shared" si="87"/>
        <v>0</v>
      </c>
      <c r="T70" s="2044">
        <f t="shared" si="87"/>
        <v>0</v>
      </c>
      <c r="U70" s="2044">
        <f t="shared" si="87"/>
        <v>0</v>
      </c>
      <c r="V70" s="2044">
        <f t="shared" si="87"/>
        <v>0</v>
      </c>
    </row>
    <row r="71">
      <c r="A71" s="2040"/>
      <c r="B71" s="2041" t="s">
        <v>4014</v>
      </c>
      <c r="C71" s="2042"/>
      <c r="D71" s="2040"/>
      <c r="E71" s="2043"/>
      <c r="F71" s="2045">
        <f>IFERROR(F70/E69,0)</f>
        <v>0</v>
      </c>
      <c r="G71" s="2045"/>
      <c r="H71" s="2045">
        <f t="shared" ref="H71:J71" si="88">IFERROR(H70/G69,0)</f>
        <v>0</v>
      </c>
      <c r="I71" s="2045">
        <f t="shared" si="88"/>
        <v>0</v>
      </c>
      <c r="J71" s="2045">
        <f t="shared" si="88"/>
        <v>0</v>
      </c>
      <c r="K71" s="2045"/>
      <c r="L71" s="2045">
        <f t="shared" ref="L71:V71" si="89">IFERROR(L70/K69,0)</f>
        <v>0</v>
      </c>
      <c r="M71" s="2045">
        <f t="shared" si="89"/>
        <v>0</v>
      </c>
      <c r="N71" s="2045">
        <f t="shared" si="89"/>
        <v>0</v>
      </c>
      <c r="O71" s="2045">
        <f t="shared" si="89"/>
        <v>0</v>
      </c>
      <c r="P71" s="2045">
        <f t="shared" si="89"/>
        <v>0</v>
      </c>
      <c r="Q71" s="2045">
        <f t="shared" si="89"/>
        <v>0</v>
      </c>
      <c r="R71" s="2045">
        <f t="shared" si="89"/>
        <v>0</v>
      </c>
      <c r="S71" s="2045">
        <f t="shared" si="89"/>
        <v>0</v>
      </c>
      <c r="T71" s="2045">
        <f t="shared" si="89"/>
        <v>0</v>
      </c>
      <c r="U71" s="2045">
        <f t="shared" si="89"/>
        <v>0</v>
      </c>
      <c r="V71" s="2045">
        <f t="shared" si="89"/>
        <v>0</v>
      </c>
    </row>
    <row r="72">
      <c r="A72" s="2036">
        <v>7.0</v>
      </c>
      <c r="B72" s="2037" t="s">
        <v>1513</v>
      </c>
      <c r="C72" s="2038" t="s">
        <v>3971</v>
      </c>
      <c r="D72" s="2039" t="str">
        <f>VLOOKUP($C72,REPORT!$C$2:$X$218,REPORT!F$1,0)</f>
        <v>#N/A</v>
      </c>
      <c r="E72" s="2039" t="str">
        <f>VLOOKUP($C72,REPORT!$C$2:$X$218,REPORT!G$1,0)</f>
        <v>#N/A</v>
      </c>
      <c r="F72" s="2039" t="str">
        <f>VLOOKUP($C72,REPORT!$C$2:$X$218,REPORT!H$1,0)</f>
        <v>#N/A</v>
      </c>
      <c r="G72" s="2039" t="str">
        <f>VLOOKUP($C72,REPORT!$C$2:$X$218,REPORT!I$1,0)</f>
        <v>#N/A</v>
      </c>
      <c r="H72" s="2039" t="str">
        <f>VLOOKUP($C72,REPORT!$C$2:$X$218,REPORT!J$1,0)</f>
        <v>#N/A</v>
      </c>
      <c r="I72" s="2039" t="str">
        <f>VLOOKUP($C72,REPORT!$C$2:$X$218,REPORT!K$1,0)</f>
        <v>#N/A</v>
      </c>
      <c r="J72" s="2039" t="str">
        <f>VLOOKUP($C72,REPORT!$C$2:$X$218,REPORT!L$1,0)</f>
        <v>#N/A</v>
      </c>
      <c r="K72" s="2039" t="str">
        <f>VLOOKUP($C72,REPORT!$C$2:$X$218,REPORT!M$1,0)</f>
        <v>#N/A</v>
      </c>
      <c r="L72" s="2039" t="str">
        <f>VLOOKUP($C72,REPORT!$C$2:$X$218,REPORT!N$1,0)</f>
        <v>#N/A</v>
      </c>
      <c r="M72" s="2039" t="str">
        <f>VLOOKUP($C72,REPORT!$C$2:$X$218,REPORT!O$1,0)</f>
        <v>#N/A</v>
      </c>
      <c r="N72" s="2039" t="str">
        <f>VLOOKUP($C72,REPORT!$C$2:$X$218,REPORT!P$1,0)</f>
        <v>#N/A</v>
      </c>
      <c r="O72" s="2039" t="str">
        <f>VLOOKUP($C72,REPORT!$C$2:$X$218,REPORT!Q$1,0)</f>
        <v>#N/A</v>
      </c>
      <c r="P72" s="2039" t="str">
        <f>VLOOKUP($C72,REPORT!$C$2:$X$218,REPORT!R$1,0)</f>
        <v>#N/A</v>
      </c>
      <c r="Q72" s="2039" t="str">
        <f>VLOOKUP($C72,REPORT!$C$2:$X$218,REPORT!S$1,0)</f>
        <v>#N/A</v>
      </c>
      <c r="R72" s="2039" t="str">
        <f>VLOOKUP($C72,REPORT!$C$2:$X$218,REPORT!T$1,0)</f>
        <v>#N/A</v>
      </c>
      <c r="S72" s="2039" t="str">
        <f>VLOOKUP($C72,REPORT!$C$2:$X$218,REPORT!U$1,0)</f>
        <v>#N/A</v>
      </c>
      <c r="T72" s="2039" t="str">
        <f>VLOOKUP($C72,REPORT!$C$2:$X$218,REPORT!V$1,0)</f>
        <v>#N/A</v>
      </c>
      <c r="U72" s="2039" t="str">
        <f>VLOOKUP($C72,REPORT!$C$2:$X$218,REPORT!W$1,0)</f>
        <v>#N/A</v>
      </c>
      <c r="V72" s="2039" t="str">
        <f>VLOOKUP($C72,REPORT!$C$2:$X$218,REPORT!X$1,0)</f>
        <v>#N/A</v>
      </c>
    </row>
    <row r="73">
      <c r="A73" s="2040"/>
      <c r="B73" s="2041" t="s">
        <v>4013</v>
      </c>
      <c r="C73" s="2042"/>
      <c r="D73" s="2040"/>
      <c r="E73" s="2043"/>
      <c r="F73" s="2043">
        <f>IFERROR(IF(F$2&lt;&gt;"",F72-E72,0),0)</f>
        <v>0</v>
      </c>
      <c r="G73" s="2044"/>
      <c r="H73" s="2043">
        <f t="shared" ref="H73:J73" si="90">IFERROR(IF(H$2&lt;&gt;"",H72-G72,0),0)</f>
        <v>0</v>
      </c>
      <c r="I73" s="2044">
        <f t="shared" si="90"/>
        <v>0</v>
      </c>
      <c r="J73" s="2044">
        <f t="shared" si="90"/>
        <v>0</v>
      </c>
      <c r="K73" s="2044"/>
      <c r="L73" s="2044">
        <f t="shared" ref="L73:V73" si="91">IFERROR(IF(L$2&lt;&gt;"",L72-K72,0),0)</f>
        <v>0</v>
      </c>
      <c r="M73" s="2044">
        <f t="shared" si="91"/>
        <v>0</v>
      </c>
      <c r="N73" s="2044">
        <f t="shared" si="91"/>
        <v>0</v>
      </c>
      <c r="O73" s="2044">
        <f t="shared" si="91"/>
        <v>0</v>
      </c>
      <c r="P73" s="2044">
        <f t="shared" si="91"/>
        <v>0</v>
      </c>
      <c r="Q73" s="2044">
        <f t="shared" si="91"/>
        <v>0</v>
      </c>
      <c r="R73" s="2044">
        <f t="shared" si="91"/>
        <v>0</v>
      </c>
      <c r="S73" s="2044">
        <f t="shared" si="91"/>
        <v>0</v>
      </c>
      <c r="T73" s="2044">
        <f t="shared" si="91"/>
        <v>0</v>
      </c>
      <c r="U73" s="2044">
        <f t="shared" si="91"/>
        <v>0</v>
      </c>
      <c r="V73" s="2044">
        <f t="shared" si="91"/>
        <v>0</v>
      </c>
    </row>
    <row r="74">
      <c r="A74" s="2040"/>
      <c r="B74" s="2041" t="s">
        <v>4014</v>
      </c>
      <c r="C74" s="2042"/>
      <c r="D74" s="2040"/>
      <c r="E74" s="2043"/>
      <c r="F74" s="2046">
        <f>IFERROR(F73/E72,0)</f>
        <v>0</v>
      </c>
      <c r="G74" s="2045"/>
      <c r="H74" s="2046">
        <f t="shared" ref="H74:J74" si="92">IFERROR(H73/G72,0)</f>
        <v>0</v>
      </c>
      <c r="I74" s="2045">
        <f t="shared" si="92"/>
        <v>0</v>
      </c>
      <c r="J74" s="2045">
        <f t="shared" si="92"/>
        <v>0</v>
      </c>
      <c r="K74" s="2045"/>
      <c r="L74" s="2045">
        <f t="shared" ref="L74:V74" si="93">IFERROR(L73/K72,0)</f>
        <v>0</v>
      </c>
      <c r="M74" s="2045">
        <f t="shared" si="93"/>
        <v>0</v>
      </c>
      <c r="N74" s="2045">
        <f t="shared" si="93"/>
        <v>0</v>
      </c>
      <c r="O74" s="2045">
        <f t="shared" si="93"/>
        <v>0</v>
      </c>
      <c r="P74" s="2045">
        <f t="shared" si="93"/>
        <v>0</v>
      </c>
      <c r="Q74" s="2045">
        <f t="shared" si="93"/>
        <v>0</v>
      </c>
      <c r="R74" s="2045">
        <f t="shared" si="93"/>
        <v>0</v>
      </c>
      <c r="S74" s="2045">
        <f t="shared" si="93"/>
        <v>0</v>
      </c>
      <c r="T74" s="2045">
        <f t="shared" si="93"/>
        <v>0</v>
      </c>
      <c r="U74" s="2045">
        <f t="shared" si="93"/>
        <v>0</v>
      </c>
      <c r="V74" s="2045">
        <f t="shared" si="93"/>
        <v>0</v>
      </c>
    </row>
    <row r="75">
      <c r="A75" s="2036">
        <v>8.0</v>
      </c>
      <c r="B75" s="2037" t="s">
        <v>1515</v>
      </c>
      <c r="C75" s="2038" t="s">
        <v>3974</v>
      </c>
      <c r="D75" s="2039" t="str">
        <f>VLOOKUP($C75,REPORT!$C$2:$X$218,REPORT!F$1,0)</f>
        <v>#N/A</v>
      </c>
      <c r="E75" s="2039" t="str">
        <f>VLOOKUP($C75,REPORT!$C$2:$X$218,REPORT!G$1,0)</f>
        <v>#N/A</v>
      </c>
      <c r="F75" s="2039" t="str">
        <f>VLOOKUP($C75,REPORT!$C$2:$X$218,REPORT!H$1,0)</f>
        <v>#N/A</v>
      </c>
      <c r="G75" s="2039" t="str">
        <f>VLOOKUP($C75,REPORT!$C$2:$X$218,REPORT!I$1,0)</f>
        <v>#N/A</v>
      </c>
      <c r="H75" s="2039" t="str">
        <f>VLOOKUP($C75,REPORT!$C$2:$X$218,REPORT!J$1,0)</f>
        <v>#N/A</v>
      </c>
      <c r="I75" s="2039" t="str">
        <f>VLOOKUP($C75,REPORT!$C$2:$X$218,REPORT!K$1,0)</f>
        <v>#N/A</v>
      </c>
      <c r="J75" s="2039" t="str">
        <f>VLOOKUP($C75,REPORT!$C$2:$X$218,REPORT!L$1,0)</f>
        <v>#N/A</v>
      </c>
      <c r="K75" s="2039" t="str">
        <f>VLOOKUP($C75,REPORT!$C$2:$X$218,REPORT!M$1,0)</f>
        <v>#N/A</v>
      </c>
      <c r="L75" s="2039" t="str">
        <f>VLOOKUP($C75,REPORT!$C$2:$X$218,REPORT!N$1,0)</f>
        <v>#N/A</v>
      </c>
      <c r="M75" s="2039" t="str">
        <f>VLOOKUP($C75,REPORT!$C$2:$X$218,REPORT!O$1,0)</f>
        <v>#N/A</v>
      </c>
      <c r="N75" s="2039" t="str">
        <f>VLOOKUP($C75,REPORT!$C$2:$X$218,REPORT!P$1,0)</f>
        <v>#N/A</v>
      </c>
      <c r="O75" s="2039" t="str">
        <f>VLOOKUP($C75,REPORT!$C$2:$X$218,REPORT!Q$1,0)</f>
        <v>#N/A</v>
      </c>
      <c r="P75" s="2039" t="str">
        <f>VLOOKUP($C75,REPORT!$C$2:$X$218,REPORT!R$1,0)</f>
        <v>#N/A</v>
      </c>
      <c r="Q75" s="2039" t="str">
        <f>VLOOKUP($C75,REPORT!$C$2:$X$218,REPORT!S$1,0)</f>
        <v>#N/A</v>
      </c>
      <c r="R75" s="2039" t="str">
        <f>VLOOKUP($C75,REPORT!$C$2:$X$218,REPORT!T$1,0)</f>
        <v>#N/A</v>
      </c>
      <c r="S75" s="2039" t="str">
        <f>VLOOKUP($C75,REPORT!$C$2:$X$218,REPORT!U$1,0)</f>
        <v>#N/A</v>
      </c>
      <c r="T75" s="2039" t="str">
        <f>VLOOKUP($C75,REPORT!$C$2:$X$218,REPORT!V$1,0)</f>
        <v>#N/A</v>
      </c>
      <c r="U75" s="2039" t="str">
        <f>VLOOKUP($C75,REPORT!$C$2:$X$218,REPORT!W$1,0)</f>
        <v>#N/A</v>
      </c>
      <c r="V75" s="2039" t="str">
        <f>VLOOKUP($C75,REPORT!$C$2:$X$218,REPORT!X$1,0)</f>
        <v>#N/A</v>
      </c>
    </row>
    <row r="76">
      <c r="A76" s="2040"/>
      <c r="B76" s="2041" t="s">
        <v>4013</v>
      </c>
      <c r="C76" s="2042"/>
      <c r="D76" s="2040"/>
      <c r="E76" s="2043"/>
      <c r="F76" s="2044">
        <f>IFERROR(IF(F$2&lt;&gt;"",F75-E75,0),0)</f>
        <v>0</v>
      </c>
      <c r="G76" s="2044"/>
      <c r="H76" s="2044">
        <f t="shared" ref="H76:J76" si="94">IFERROR(IF(H$2&lt;&gt;"",H75-G75,0),0)</f>
        <v>0</v>
      </c>
      <c r="I76" s="2044">
        <f t="shared" si="94"/>
        <v>0</v>
      </c>
      <c r="J76" s="2044">
        <f t="shared" si="94"/>
        <v>0</v>
      </c>
      <c r="K76" s="2044"/>
      <c r="L76" s="2044">
        <f t="shared" ref="L76:V76" si="95">IFERROR(IF(L$2&lt;&gt;"",L75-K75,0),0)</f>
        <v>0</v>
      </c>
      <c r="M76" s="2044">
        <f t="shared" si="95"/>
        <v>0</v>
      </c>
      <c r="N76" s="2044">
        <f t="shared" si="95"/>
        <v>0</v>
      </c>
      <c r="O76" s="2044">
        <f t="shared" si="95"/>
        <v>0</v>
      </c>
      <c r="P76" s="2044">
        <f t="shared" si="95"/>
        <v>0</v>
      </c>
      <c r="Q76" s="2044">
        <f t="shared" si="95"/>
        <v>0</v>
      </c>
      <c r="R76" s="2044">
        <f t="shared" si="95"/>
        <v>0</v>
      </c>
      <c r="S76" s="2044">
        <f t="shared" si="95"/>
        <v>0</v>
      </c>
      <c r="T76" s="2044">
        <f t="shared" si="95"/>
        <v>0</v>
      </c>
      <c r="U76" s="2044">
        <f t="shared" si="95"/>
        <v>0</v>
      </c>
      <c r="V76" s="2044">
        <f t="shared" si="95"/>
        <v>0</v>
      </c>
    </row>
    <row r="77">
      <c r="A77" s="2040"/>
      <c r="B77" s="2041" t="s">
        <v>4014</v>
      </c>
      <c r="C77" s="2042"/>
      <c r="D77" s="2040"/>
      <c r="E77" s="2043"/>
      <c r="F77" s="2045">
        <f>IFERROR(F76/E75,0)</f>
        <v>0</v>
      </c>
      <c r="G77" s="2045"/>
      <c r="H77" s="2045">
        <f t="shared" ref="H77:J77" si="96">IFERROR(H76/G75,0)</f>
        <v>0</v>
      </c>
      <c r="I77" s="2045">
        <f t="shared" si="96"/>
        <v>0</v>
      </c>
      <c r="J77" s="2045">
        <f t="shared" si="96"/>
        <v>0</v>
      </c>
      <c r="K77" s="2045"/>
      <c r="L77" s="2045">
        <f t="shared" ref="L77:V77" si="97">IFERROR(L76/K75,0)</f>
        <v>0</v>
      </c>
      <c r="M77" s="2045">
        <f t="shared" si="97"/>
        <v>0</v>
      </c>
      <c r="N77" s="2045">
        <f t="shared" si="97"/>
        <v>0</v>
      </c>
      <c r="O77" s="2045">
        <f t="shared" si="97"/>
        <v>0</v>
      </c>
      <c r="P77" s="2045">
        <f t="shared" si="97"/>
        <v>0</v>
      </c>
      <c r="Q77" s="2045">
        <f t="shared" si="97"/>
        <v>0</v>
      </c>
      <c r="R77" s="2045">
        <f t="shared" si="97"/>
        <v>0</v>
      </c>
      <c r="S77" s="2045">
        <f t="shared" si="97"/>
        <v>0</v>
      </c>
      <c r="T77" s="2045">
        <f t="shared" si="97"/>
        <v>0</v>
      </c>
      <c r="U77" s="2045">
        <f t="shared" si="97"/>
        <v>0</v>
      </c>
      <c r="V77" s="2045">
        <f t="shared" si="97"/>
        <v>0</v>
      </c>
    </row>
    <row r="78">
      <c r="A78" s="2036">
        <v>9.0</v>
      </c>
      <c r="B78" s="2037" t="s">
        <v>4032</v>
      </c>
      <c r="C78" s="2038" t="s">
        <v>3975</v>
      </c>
      <c r="D78" s="2039" t="str">
        <f>VLOOKUP($C78,REPORT!$C$2:$X$218,REPORT!F$1,0)</f>
        <v>#N/A</v>
      </c>
      <c r="E78" s="2039" t="str">
        <f>VLOOKUP($C78,REPORT!$C$2:$X$218,REPORT!G$1,0)</f>
        <v>#N/A</v>
      </c>
      <c r="F78" s="2039" t="str">
        <f>VLOOKUP($C78,REPORT!$C$2:$X$218,REPORT!H$1,0)</f>
        <v>#N/A</v>
      </c>
      <c r="G78" s="2039" t="str">
        <f>VLOOKUP($C78,REPORT!$C$2:$X$218,REPORT!I$1,0)</f>
        <v>#N/A</v>
      </c>
      <c r="H78" s="2039" t="str">
        <f>VLOOKUP($C78,REPORT!$C$2:$X$218,REPORT!J$1,0)</f>
        <v>#N/A</v>
      </c>
      <c r="I78" s="2039" t="str">
        <f>VLOOKUP($C78,REPORT!$C$2:$X$218,REPORT!K$1,0)</f>
        <v>#N/A</v>
      </c>
      <c r="J78" s="2039" t="str">
        <f>VLOOKUP($C78,REPORT!$C$2:$X$218,REPORT!L$1,0)</f>
        <v>#N/A</v>
      </c>
      <c r="K78" s="2039" t="str">
        <f>VLOOKUP($C78,REPORT!$C$2:$X$218,REPORT!M$1,0)</f>
        <v>#N/A</v>
      </c>
      <c r="L78" s="2039" t="str">
        <f>VLOOKUP($C78,REPORT!$C$2:$X$218,REPORT!N$1,0)</f>
        <v>#N/A</v>
      </c>
      <c r="M78" s="2039" t="str">
        <f>VLOOKUP($C78,REPORT!$C$2:$X$218,REPORT!O$1,0)</f>
        <v>#N/A</v>
      </c>
      <c r="N78" s="2039" t="str">
        <f>VLOOKUP($C78,REPORT!$C$2:$X$218,REPORT!P$1,0)</f>
        <v>#N/A</v>
      </c>
      <c r="O78" s="2039" t="str">
        <f>VLOOKUP($C78,REPORT!$C$2:$X$218,REPORT!Q$1,0)</f>
        <v>#N/A</v>
      </c>
      <c r="P78" s="2039" t="str">
        <f>VLOOKUP($C78,REPORT!$C$2:$X$218,REPORT!R$1,0)</f>
        <v>#N/A</v>
      </c>
      <c r="Q78" s="2039" t="str">
        <f>VLOOKUP($C78,REPORT!$C$2:$X$218,REPORT!S$1,0)</f>
        <v>#N/A</v>
      </c>
      <c r="R78" s="2039" t="str">
        <f>VLOOKUP($C78,REPORT!$C$2:$X$218,REPORT!T$1,0)</f>
        <v>#N/A</v>
      </c>
      <c r="S78" s="2039" t="str">
        <f>VLOOKUP($C78,REPORT!$C$2:$X$218,REPORT!U$1,0)</f>
        <v>#N/A</v>
      </c>
      <c r="T78" s="2039" t="str">
        <f>VLOOKUP($C78,REPORT!$C$2:$X$218,REPORT!V$1,0)</f>
        <v>#N/A</v>
      </c>
      <c r="U78" s="2039" t="str">
        <f>VLOOKUP($C78,REPORT!$C$2:$X$218,REPORT!W$1,0)</f>
        <v>#N/A</v>
      </c>
      <c r="V78" s="2039" t="str">
        <f>VLOOKUP($C78,REPORT!$C$2:$X$218,REPORT!X$1,0)</f>
        <v>#N/A</v>
      </c>
    </row>
    <row r="79">
      <c r="A79" s="2040"/>
      <c r="B79" s="2041" t="s">
        <v>4013</v>
      </c>
      <c r="C79" s="2042"/>
      <c r="D79" s="2040"/>
      <c r="E79" s="2043"/>
      <c r="F79" s="2044">
        <f>IFERROR(IF(F$2&lt;&gt;"",F78-E78,0),0)</f>
        <v>0</v>
      </c>
      <c r="G79" s="2043"/>
      <c r="H79" s="2044">
        <f t="shared" ref="H79:J79" si="98">IFERROR(IF(H$2&lt;&gt;"",H78-G78,0),0)</f>
        <v>0</v>
      </c>
      <c r="I79" s="2044">
        <f t="shared" si="98"/>
        <v>0</v>
      </c>
      <c r="J79" s="2044">
        <f t="shared" si="98"/>
        <v>0</v>
      </c>
      <c r="K79" s="2044"/>
      <c r="L79" s="2044">
        <f t="shared" ref="L79:V79" si="99">IFERROR(IF(L$2&lt;&gt;"",L78-K78,0),0)</f>
        <v>0</v>
      </c>
      <c r="M79" s="2044">
        <f t="shared" si="99"/>
        <v>0</v>
      </c>
      <c r="N79" s="2044">
        <f t="shared" si="99"/>
        <v>0</v>
      </c>
      <c r="O79" s="2044">
        <f t="shared" si="99"/>
        <v>0</v>
      </c>
      <c r="P79" s="2044">
        <f t="shared" si="99"/>
        <v>0</v>
      </c>
      <c r="Q79" s="2044">
        <f t="shared" si="99"/>
        <v>0</v>
      </c>
      <c r="R79" s="2044">
        <f t="shared" si="99"/>
        <v>0</v>
      </c>
      <c r="S79" s="2044">
        <f t="shared" si="99"/>
        <v>0</v>
      </c>
      <c r="T79" s="2044">
        <f t="shared" si="99"/>
        <v>0</v>
      </c>
      <c r="U79" s="2044">
        <f t="shared" si="99"/>
        <v>0</v>
      </c>
      <c r="V79" s="2044">
        <f t="shared" si="99"/>
        <v>0</v>
      </c>
    </row>
    <row r="80">
      <c r="A80" s="2040"/>
      <c r="B80" s="2041" t="s">
        <v>4014</v>
      </c>
      <c r="C80" s="2042"/>
      <c r="D80" s="2040"/>
      <c r="E80" s="2043"/>
      <c r="F80" s="2045">
        <f>IFERROR(F79/E78,0)</f>
        <v>0</v>
      </c>
      <c r="G80" s="2046"/>
      <c r="H80" s="2045">
        <f t="shared" ref="H80:J80" si="100">IFERROR(H79/G78,0)</f>
        <v>0</v>
      </c>
      <c r="I80" s="2045">
        <f t="shared" si="100"/>
        <v>0</v>
      </c>
      <c r="J80" s="2045">
        <f t="shared" si="100"/>
        <v>0</v>
      </c>
      <c r="K80" s="2045"/>
      <c r="L80" s="2045">
        <f t="shared" ref="L80:V80" si="101">IFERROR(L79/K78,0)</f>
        <v>0</v>
      </c>
      <c r="M80" s="2045">
        <f t="shared" si="101"/>
        <v>0</v>
      </c>
      <c r="N80" s="2045">
        <f t="shared" si="101"/>
        <v>0</v>
      </c>
      <c r="O80" s="2045">
        <f t="shared" si="101"/>
        <v>0</v>
      </c>
      <c r="P80" s="2045">
        <f t="shared" si="101"/>
        <v>0</v>
      </c>
      <c r="Q80" s="2045">
        <f t="shared" si="101"/>
        <v>0</v>
      </c>
      <c r="R80" s="2045">
        <f t="shared" si="101"/>
        <v>0</v>
      </c>
      <c r="S80" s="2045">
        <f t="shared" si="101"/>
        <v>0</v>
      </c>
      <c r="T80" s="2045">
        <f t="shared" si="101"/>
        <v>0</v>
      </c>
      <c r="U80" s="2045">
        <f t="shared" si="101"/>
        <v>0</v>
      </c>
      <c r="V80" s="2045">
        <f t="shared" si="101"/>
        <v>0</v>
      </c>
    </row>
    <row r="81">
      <c r="A81" s="2036">
        <v>10.0</v>
      </c>
      <c r="B81" s="2037" t="s">
        <v>4033</v>
      </c>
      <c r="C81" s="2038" t="s">
        <v>3976</v>
      </c>
      <c r="D81" s="2039" t="str">
        <f>VLOOKUP($C81,REPORT!$C$2:$X$218,REPORT!F$1,0)</f>
        <v>#N/A</v>
      </c>
      <c r="E81" s="2039" t="str">
        <f>VLOOKUP($C81,REPORT!$C$2:$X$218,REPORT!G$1,0)</f>
        <v>#N/A</v>
      </c>
      <c r="F81" s="2039" t="str">
        <f>VLOOKUP($C81,REPORT!$C$2:$X$218,REPORT!H$1,0)</f>
        <v>#N/A</v>
      </c>
      <c r="G81" s="2039" t="str">
        <f>VLOOKUP($C81,REPORT!$C$2:$X$218,REPORT!I$1,0)</f>
        <v>#N/A</v>
      </c>
      <c r="H81" s="2039" t="str">
        <f>VLOOKUP($C81,REPORT!$C$2:$X$218,REPORT!J$1,0)</f>
        <v>#N/A</v>
      </c>
      <c r="I81" s="2039" t="str">
        <f>VLOOKUP($C81,REPORT!$C$2:$X$218,REPORT!K$1,0)</f>
        <v>#N/A</v>
      </c>
      <c r="J81" s="2039" t="str">
        <f>VLOOKUP($C81,REPORT!$C$2:$X$218,REPORT!L$1,0)</f>
        <v>#N/A</v>
      </c>
      <c r="K81" s="2039" t="str">
        <f>VLOOKUP($C81,REPORT!$C$2:$X$218,REPORT!M$1,0)</f>
        <v>#N/A</v>
      </c>
      <c r="L81" s="2039" t="str">
        <f>VLOOKUP($C81,REPORT!$C$2:$X$218,REPORT!N$1,0)</f>
        <v>#N/A</v>
      </c>
      <c r="M81" s="2039" t="str">
        <f>VLOOKUP($C81,REPORT!$C$2:$X$218,REPORT!O$1,0)</f>
        <v>#N/A</v>
      </c>
      <c r="N81" s="2039" t="str">
        <f>VLOOKUP($C81,REPORT!$C$2:$X$218,REPORT!P$1,0)</f>
        <v>#N/A</v>
      </c>
      <c r="O81" s="2039" t="str">
        <f>VLOOKUP($C81,REPORT!$C$2:$X$218,REPORT!Q$1,0)</f>
        <v>#N/A</v>
      </c>
      <c r="P81" s="2039" t="str">
        <f>VLOOKUP($C81,REPORT!$C$2:$X$218,REPORT!R$1,0)</f>
        <v>#N/A</v>
      </c>
      <c r="Q81" s="2039" t="str">
        <f>VLOOKUP($C81,REPORT!$C$2:$X$218,REPORT!S$1,0)</f>
        <v>#N/A</v>
      </c>
      <c r="R81" s="2039" t="str">
        <f>VLOOKUP($C81,REPORT!$C$2:$X$218,REPORT!T$1,0)</f>
        <v>#N/A</v>
      </c>
      <c r="S81" s="2039" t="str">
        <f>VLOOKUP($C81,REPORT!$C$2:$X$218,REPORT!U$1,0)</f>
        <v>#N/A</v>
      </c>
      <c r="T81" s="2039" t="str">
        <f>VLOOKUP($C81,REPORT!$C$2:$X$218,REPORT!V$1,0)</f>
        <v>#N/A</v>
      </c>
      <c r="U81" s="2039" t="str">
        <f>VLOOKUP($C81,REPORT!$C$2:$X$218,REPORT!W$1,0)</f>
        <v>#N/A</v>
      </c>
      <c r="V81" s="2039" t="str">
        <f>VLOOKUP($C81,REPORT!$C$2:$X$218,REPORT!X$1,0)</f>
        <v>#N/A</v>
      </c>
    </row>
    <row r="82">
      <c r="A82" s="2040"/>
      <c r="B82" s="2047"/>
      <c r="C82" s="2042"/>
      <c r="D82" s="2040"/>
      <c r="E82" s="2043"/>
      <c r="F82" s="2044">
        <f>IFERROR(IF(F$2&lt;&gt;"",F81-E81,0),0)</f>
        <v>0</v>
      </c>
      <c r="G82" s="2043"/>
      <c r="H82" s="2043">
        <f t="shared" ref="H82:J82" si="102">IFERROR(IF(H$2&lt;&gt;"",H81-G81,0),0)</f>
        <v>0</v>
      </c>
      <c r="I82" s="2044">
        <f t="shared" si="102"/>
        <v>0</v>
      </c>
      <c r="J82" s="2044">
        <f t="shared" si="102"/>
        <v>0</v>
      </c>
      <c r="K82" s="2044"/>
      <c r="L82" s="2044">
        <f t="shared" ref="L82:V82" si="103">IFERROR(IF(L$2&lt;&gt;"",L81-K81,0),0)</f>
        <v>0</v>
      </c>
      <c r="M82" s="2044">
        <f t="shared" si="103"/>
        <v>0</v>
      </c>
      <c r="N82" s="2044">
        <f t="shared" si="103"/>
        <v>0</v>
      </c>
      <c r="O82" s="2044">
        <f t="shared" si="103"/>
        <v>0</v>
      </c>
      <c r="P82" s="2044">
        <f t="shared" si="103"/>
        <v>0</v>
      </c>
      <c r="Q82" s="2044">
        <f t="shared" si="103"/>
        <v>0</v>
      </c>
      <c r="R82" s="2044">
        <f t="shared" si="103"/>
        <v>0</v>
      </c>
      <c r="S82" s="2044">
        <f t="shared" si="103"/>
        <v>0</v>
      </c>
      <c r="T82" s="2044">
        <f t="shared" si="103"/>
        <v>0</v>
      </c>
      <c r="U82" s="2044">
        <f t="shared" si="103"/>
        <v>0</v>
      </c>
      <c r="V82" s="2044">
        <f t="shared" si="103"/>
        <v>0</v>
      </c>
    </row>
    <row r="83">
      <c r="A83" s="2040"/>
      <c r="B83" s="2047"/>
      <c r="C83" s="2042"/>
      <c r="D83" s="2040"/>
      <c r="E83" s="2043"/>
      <c r="F83" s="2045">
        <f>IFERROR(F82/E81,0)</f>
        <v>0</v>
      </c>
      <c r="G83" s="2046"/>
      <c r="H83" s="2045">
        <f t="shared" ref="H83:J83" si="104">IFERROR(H82/G81,0)</f>
        <v>0</v>
      </c>
      <c r="I83" s="2045">
        <f t="shared" si="104"/>
        <v>0</v>
      </c>
      <c r="J83" s="2045">
        <f t="shared" si="104"/>
        <v>0</v>
      </c>
      <c r="K83" s="2045"/>
      <c r="L83" s="2045">
        <f t="shared" ref="L83:V83" si="105">IFERROR(L82/K81,0)</f>
        <v>0</v>
      </c>
      <c r="M83" s="2045">
        <f t="shared" si="105"/>
        <v>0</v>
      </c>
      <c r="N83" s="2045">
        <f t="shared" si="105"/>
        <v>0</v>
      </c>
      <c r="O83" s="2045">
        <f t="shared" si="105"/>
        <v>0</v>
      </c>
      <c r="P83" s="2045">
        <f t="shared" si="105"/>
        <v>0</v>
      </c>
      <c r="Q83" s="2045">
        <f t="shared" si="105"/>
        <v>0</v>
      </c>
      <c r="R83" s="2045">
        <f t="shared" si="105"/>
        <v>0</v>
      </c>
      <c r="S83" s="2045">
        <f t="shared" si="105"/>
        <v>0</v>
      </c>
      <c r="T83" s="2045">
        <f t="shared" si="105"/>
        <v>0</v>
      </c>
      <c r="U83" s="2045">
        <f t="shared" si="105"/>
        <v>0</v>
      </c>
      <c r="V83" s="2045">
        <f t="shared" si="105"/>
        <v>0</v>
      </c>
    </row>
    <row r="84">
      <c r="A84" s="2036">
        <v>14.0</v>
      </c>
      <c r="B84" s="2037" t="s">
        <v>4034</v>
      </c>
      <c r="C84" s="2038" t="s">
        <v>3980</v>
      </c>
      <c r="D84" s="2039" t="str">
        <f>VLOOKUP($C84,REPORT!$C$2:$X$218,REPORT!F$1,0)</f>
        <v>#N/A</v>
      </c>
      <c r="E84" s="2039" t="str">
        <f>VLOOKUP($C84,REPORT!$C$2:$X$218,REPORT!G$1,0)</f>
        <v>#N/A</v>
      </c>
      <c r="F84" s="2039" t="str">
        <f>VLOOKUP($C84,REPORT!$C$2:$X$218,REPORT!H$1,0)</f>
        <v>#N/A</v>
      </c>
      <c r="G84" s="2039" t="str">
        <f>VLOOKUP($C84,REPORT!$C$2:$X$218,REPORT!I$1,0)</f>
        <v>#N/A</v>
      </c>
      <c r="H84" s="2039" t="str">
        <f>VLOOKUP($C84,REPORT!$C$2:$X$218,REPORT!J$1,0)</f>
        <v>#N/A</v>
      </c>
      <c r="I84" s="2039" t="str">
        <f>VLOOKUP($C84,REPORT!$C$2:$X$218,REPORT!K$1,0)</f>
        <v>#N/A</v>
      </c>
      <c r="J84" s="2039" t="str">
        <f>VLOOKUP($C84,REPORT!$C$2:$X$218,REPORT!L$1,0)</f>
        <v>#N/A</v>
      </c>
      <c r="K84" s="2039" t="str">
        <f>VLOOKUP($C84,REPORT!$C$2:$X$218,REPORT!M$1,0)</f>
        <v>#N/A</v>
      </c>
      <c r="L84" s="2039" t="str">
        <f>VLOOKUP($C84,REPORT!$C$2:$X$218,REPORT!N$1,0)</f>
        <v>#N/A</v>
      </c>
      <c r="M84" s="2039" t="str">
        <f>VLOOKUP($C84,REPORT!$C$2:$X$218,REPORT!O$1,0)</f>
        <v>#N/A</v>
      </c>
      <c r="N84" s="2039" t="str">
        <f>VLOOKUP($C84,REPORT!$C$2:$X$218,REPORT!P$1,0)</f>
        <v>#N/A</v>
      </c>
      <c r="O84" s="2039" t="str">
        <f>VLOOKUP($C84,REPORT!$C$2:$X$218,REPORT!Q$1,0)</f>
        <v>#N/A</v>
      </c>
      <c r="P84" s="2039" t="str">
        <f>VLOOKUP($C84,REPORT!$C$2:$X$218,REPORT!R$1,0)</f>
        <v>#N/A</v>
      </c>
      <c r="Q84" s="2039" t="str">
        <f>VLOOKUP($C84,REPORT!$C$2:$X$218,REPORT!S$1,0)</f>
        <v>#N/A</v>
      </c>
      <c r="R84" s="2039" t="str">
        <f>VLOOKUP($C84,REPORT!$C$2:$X$218,REPORT!T$1,0)</f>
        <v>#N/A</v>
      </c>
      <c r="S84" s="2039" t="str">
        <f>VLOOKUP($C84,REPORT!$C$2:$X$218,REPORT!U$1,0)</f>
        <v>#N/A</v>
      </c>
      <c r="T84" s="2039" t="str">
        <f>VLOOKUP($C84,REPORT!$C$2:$X$218,REPORT!V$1,0)</f>
        <v>#N/A</v>
      </c>
      <c r="U84" s="2039" t="str">
        <f>VLOOKUP($C84,REPORT!$C$2:$X$218,REPORT!W$1,0)</f>
        <v>#N/A</v>
      </c>
      <c r="V84" s="2039" t="str">
        <f>VLOOKUP($C84,REPORT!$C$2:$X$218,REPORT!X$1,0)</f>
        <v>#N/A</v>
      </c>
    </row>
    <row r="85">
      <c r="A85" s="2040"/>
      <c r="B85" s="2041" t="s">
        <v>4013</v>
      </c>
      <c r="C85" s="2042"/>
      <c r="D85" s="2040"/>
      <c r="E85" s="2043"/>
      <c r="F85" s="2043">
        <f>IFERROR(IF(F$2&lt;&gt;"",F84-E84,0),0)</f>
        <v>0</v>
      </c>
      <c r="G85" s="2044"/>
      <c r="H85" s="2043">
        <f t="shared" ref="H85:J85" si="106">IFERROR(IF(H$2&lt;&gt;"",H84-G84,0),0)</f>
        <v>0</v>
      </c>
      <c r="I85" s="2044">
        <f t="shared" si="106"/>
        <v>0</v>
      </c>
      <c r="J85" s="2044">
        <f t="shared" si="106"/>
        <v>0</v>
      </c>
      <c r="K85" s="2044"/>
      <c r="L85" s="2044">
        <f t="shared" ref="L85:V85" si="107">IFERROR(IF(L$2&lt;&gt;"",L84-K84,0),0)</f>
        <v>0</v>
      </c>
      <c r="M85" s="2044">
        <f t="shared" si="107"/>
        <v>0</v>
      </c>
      <c r="N85" s="2044">
        <f t="shared" si="107"/>
        <v>0</v>
      </c>
      <c r="O85" s="2044">
        <f t="shared" si="107"/>
        <v>0</v>
      </c>
      <c r="P85" s="2044">
        <f t="shared" si="107"/>
        <v>0</v>
      </c>
      <c r="Q85" s="2044">
        <f t="shared" si="107"/>
        <v>0</v>
      </c>
      <c r="R85" s="2044">
        <f t="shared" si="107"/>
        <v>0</v>
      </c>
      <c r="S85" s="2044">
        <f t="shared" si="107"/>
        <v>0</v>
      </c>
      <c r="T85" s="2044">
        <f t="shared" si="107"/>
        <v>0</v>
      </c>
      <c r="U85" s="2044">
        <f t="shared" si="107"/>
        <v>0</v>
      </c>
      <c r="V85" s="2044">
        <f t="shared" si="107"/>
        <v>0</v>
      </c>
    </row>
    <row r="86">
      <c r="A86" s="2040"/>
      <c r="B86" s="2041" t="s">
        <v>4014</v>
      </c>
      <c r="C86" s="2042"/>
      <c r="D86" s="2040"/>
      <c r="E86" s="2043"/>
      <c r="F86" s="2046">
        <f>IFERROR(F85/E84,0)</f>
        <v>0</v>
      </c>
      <c r="G86" s="2045"/>
      <c r="H86" s="2046">
        <f t="shared" ref="H86:J86" si="108">IFERROR(H85/G84,0)</f>
        <v>0</v>
      </c>
      <c r="I86" s="2045">
        <f t="shared" si="108"/>
        <v>0</v>
      </c>
      <c r="J86" s="2045">
        <f t="shared" si="108"/>
        <v>0</v>
      </c>
      <c r="K86" s="2045"/>
      <c r="L86" s="2045">
        <f t="shared" ref="L86:V86" si="109">IFERROR(L85/K84,0)</f>
        <v>0</v>
      </c>
      <c r="M86" s="2045">
        <f t="shared" si="109"/>
        <v>0</v>
      </c>
      <c r="N86" s="2045">
        <f t="shared" si="109"/>
        <v>0</v>
      </c>
      <c r="O86" s="2045">
        <f t="shared" si="109"/>
        <v>0</v>
      </c>
      <c r="P86" s="2045">
        <f t="shared" si="109"/>
        <v>0</v>
      </c>
      <c r="Q86" s="2045">
        <f t="shared" si="109"/>
        <v>0</v>
      </c>
      <c r="R86" s="2045">
        <f t="shared" si="109"/>
        <v>0</v>
      </c>
      <c r="S86" s="2045">
        <f t="shared" si="109"/>
        <v>0</v>
      </c>
      <c r="T86" s="2045">
        <f t="shared" si="109"/>
        <v>0</v>
      </c>
      <c r="U86" s="2045">
        <f t="shared" si="109"/>
        <v>0</v>
      </c>
      <c r="V86" s="2045">
        <f t="shared" si="109"/>
        <v>0</v>
      </c>
    </row>
    <row r="87">
      <c r="A87" s="2048">
        <v>17.0</v>
      </c>
      <c r="B87" s="2049" t="s">
        <v>4035</v>
      </c>
      <c r="C87" s="2050" t="s">
        <v>3990</v>
      </c>
      <c r="D87" s="2031" t="str">
        <f>VLOOKUP($C87,REPORT!$C$2:$X$218,REPORT!F$1,0)</f>
        <v>#N/A</v>
      </c>
      <c r="E87" s="2031" t="str">
        <f>VLOOKUP($C87,REPORT!$C$2:$X$218,REPORT!G$1,0)</f>
        <v>#N/A</v>
      </c>
      <c r="F87" s="2031" t="str">
        <f>VLOOKUP($C87,REPORT!$C$2:$X$218,REPORT!H$1,0)</f>
        <v>#N/A</v>
      </c>
      <c r="G87" s="2031" t="str">
        <f>VLOOKUP($C87,REPORT!$C$2:$X$218,REPORT!I$1,0)</f>
        <v>#N/A</v>
      </c>
      <c r="H87" s="2031" t="str">
        <f>VLOOKUP($C87,REPORT!$C$2:$X$218,REPORT!J$1,0)</f>
        <v>#N/A</v>
      </c>
      <c r="I87" s="2031" t="str">
        <f>VLOOKUP($C87,REPORT!$C$2:$X$218,REPORT!K$1,0)</f>
        <v>#N/A</v>
      </c>
      <c r="J87" s="2031" t="str">
        <f>VLOOKUP($C87,REPORT!$C$2:$X$218,REPORT!L$1,0)</f>
        <v>#N/A</v>
      </c>
      <c r="K87" s="2031" t="str">
        <f>VLOOKUP($C87,REPORT!$C$2:$X$218,REPORT!M$1,0)</f>
        <v>#N/A</v>
      </c>
      <c r="L87" s="2031" t="str">
        <f>VLOOKUP($C87,REPORT!$C$2:$X$218,REPORT!N$1,0)</f>
        <v>#N/A</v>
      </c>
      <c r="M87" s="2031" t="str">
        <f>VLOOKUP($C87,REPORT!$C$2:$X$218,REPORT!O$1,0)</f>
        <v>#N/A</v>
      </c>
      <c r="N87" s="2031" t="str">
        <f>VLOOKUP($C87,REPORT!$C$2:$X$218,REPORT!P$1,0)</f>
        <v>#N/A</v>
      </c>
      <c r="O87" s="2031" t="str">
        <f>VLOOKUP($C87,REPORT!$C$2:$X$218,REPORT!Q$1,0)</f>
        <v>#N/A</v>
      </c>
      <c r="P87" s="2031" t="str">
        <f>VLOOKUP($C87,REPORT!$C$2:$X$218,REPORT!R$1,0)</f>
        <v>#N/A</v>
      </c>
      <c r="Q87" s="2031" t="str">
        <f>VLOOKUP($C87,REPORT!$C$2:$X$218,REPORT!S$1,0)</f>
        <v>#N/A</v>
      </c>
      <c r="R87" s="2031" t="str">
        <f>VLOOKUP($C87,REPORT!$C$2:$X$218,REPORT!T$1,0)</f>
        <v>#N/A</v>
      </c>
      <c r="S87" s="2031" t="str">
        <f>VLOOKUP($C87,REPORT!$C$2:$X$218,REPORT!U$1,0)</f>
        <v>#N/A</v>
      </c>
      <c r="T87" s="2031" t="str">
        <f>VLOOKUP($C87,REPORT!$C$2:$X$218,REPORT!V$1,0)</f>
        <v>#N/A</v>
      </c>
      <c r="U87" s="2031" t="str">
        <f>VLOOKUP($C87,REPORT!$C$2:$X$218,REPORT!W$1,0)</f>
        <v>#N/A</v>
      </c>
      <c r="V87" s="2031" t="str">
        <f>VLOOKUP($C87,REPORT!$C$2:$X$218,REPORT!X$1,0)</f>
        <v>#N/A</v>
      </c>
    </row>
    <row r="88">
      <c r="A88" s="2051"/>
      <c r="B88" s="2052" t="s">
        <v>4013</v>
      </c>
      <c r="C88" s="2053"/>
      <c r="D88" s="2051"/>
      <c r="E88" s="2054"/>
      <c r="F88" s="2055">
        <f>IFERROR(IF(F$2&lt;&gt;"",F87-E87,0),0)</f>
        <v>0</v>
      </c>
      <c r="G88" s="2054"/>
      <c r="H88" s="2055">
        <f t="shared" ref="H88:J88" si="110">IFERROR(IF(H$2&lt;&gt;"",H87-G87,0),0)</f>
        <v>0</v>
      </c>
      <c r="I88" s="2056">
        <f t="shared" si="110"/>
        <v>0</v>
      </c>
      <c r="J88" s="2056">
        <f t="shared" si="110"/>
        <v>0</v>
      </c>
      <c r="K88" s="2056"/>
      <c r="L88" s="2056">
        <f t="shared" ref="L88:V88" si="111">IFERROR(IF(L$2&lt;&gt;"",L87-K87,0),0)</f>
        <v>0</v>
      </c>
      <c r="M88" s="2056">
        <f t="shared" si="111"/>
        <v>0</v>
      </c>
      <c r="N88" s="2056">
        <f t="shared" si="111"/>
        <v>0</v>
      </c>
      <c r="O88" s="2056">
        <f t="shared" si="111"/>
        <v>0</v>
      </c>
      <c r="P88" s="2056">
        <f t="shared" si="111"/>
        <v>0</v>
      </c>
      <c r="Q88" s="2056">
        <f t="shared" si="111"/>
        <v>0</v>
      </c>
      <c r="R88" s="2056">
        <f t="shared" si="111"/>
        <v>0</v>
      </c>
      <c r="S88" s="2056">
        <f t="shared" si="111"/>
        <v>0</v>
      </c>
      <c r="T88" s="2056">
        <f t="shared" si="111"/>
        <v>0</v>
      </c>
      <c r="U88" s="2056">
        <f t="shared" si="111"/>
        <v>0</v>
      </c>
      <c r="V88" s="2056">
        <f t="shared" si="111"/>
        <v>0</v>
      </c>
    </row>
    <row r="89">
      <c r="A89" s="2051"/>
      <c r="B89" s="2057" t="s">
        <v>4014</v>
      </c>
      <c r="C89" s="2058"/>
      <c r="D89" s="2051"/>
      <c r="E89" s="2054"/>
      <c r="F89" s="2059">
        <f>IFERROR(F88/E87,0)</f>
        <v>0</v>
      </c>
      <c r="G89" s="2060"/>
      <c r="H89" s="2059">
        <f t="shared" ref="H89:J89" si="112">IFERROR(H88/G87,0)</f>
        <v>0</v>
      </c>
      <c r="I89" s="2061">
        <f t="shared" si="112"/>
        <v>0</v>
      </c>
      <c r="J89" s="2061">
        <f t="shared" si="112"/>
        <v>0</v>
      </c>
      <c r="K89" s="2061"/>
      <c r="L89" s="2061">
        <f t="shared" ref="L89:V89" si="113">IFERROR(L88/K87,0)</f>
        <v>0</v>
      </c>
      <c r="M89" s="2061">
        <f t="shared" si="113"/>
        <v>0</v>
      </c>
      <c r="N89" s="2061">
        <f t="shared" si="113"/>
        <v>0</v>
      </c>
      <c r="O89" s="2061">
        <f t="shared" si="113"/>
        <v>0</v>
      </c>
      <c r="P89" s="2061">
        <f t="shared" si="113"/>
        <v>0</v>
      </c>
      <c r="Q89" s="2061">
        <f t="shared" si="113"/>
        <v>0</v>
      </c>
      <c r="R89" s="2061">
        <f t="shared" si="113"/>
        <v>0</v>
      </c>
      <c r="S89" s="2061">
        <f t="shared" si="113"/>
        <v>0</v>
      </c>
      <c r="T89" s="2061">
        <f t="shared" si="113"/>
        <v>0</v>
      </c>
      <c r="U89" s="2061">
        <f t="shared" si="113"/>
        <v>0</v>
      </c>
      <c r="V89" s="2061">
        <f t="shared" si="113"/>
        <v>0</v>
      </c>
    </row>
  </sheetData>
  <mergeCells count="2">
    <mergeCell ref="A1:B1"/>
    <mergeCell ref="E1:J1"/>
  </mergeCells>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57"/>
    <col customWidth="1" min="3" max="3" width="14.71"/>
    <col customWidth="1" min="4" max="4" width="10.29"/>
    <col customWidth="1" min="5" max="5" width="18.43"/>
    <col customWidth="1" min="6" max="6" width="10.29"/>
    <col customWidth="1" min="7" max="7" width="9.43"/>
    <col customWidth="1" min="8" max="8" width="14.57"/>
    <col customWidth="1" min="9" max="9" width="10.43"/>
    <col customWidth="1" min="10" max="10" width="9.86"/>
    <col customWidth="1" min="11" max="11" width="5.0"/>
    <col customWidth="1" min="12" max="12" width="9.29"/>
    <col customWidth="1" min="13" max="13" width="15.86"/>
    <col customWidth="1" min="14" max="14" width="16.57"/>
    <col customWidth="1" min="15" max="15" width="20.57"/>
    <col customWidth="1" min="16" max="16" width="12.29"/>
    <col customWidth="1" min="17" max="17" width="10.0"/>
    <col customWidth="1" min="18" max="18" width="4.57"/>
    <col customWidth="1" min="19" max="19" width="8.86"/>
    <col customWidth="1" min="20" max="20" width="16.14"/>
    <col customWidth="1" min="21" max="21" width="17.57"/>
  </cols>
  <sheetData>
    <row r="1">
      <c r="A1" s="2062" t="s">
        <v>4036</v>
      </c>
      <c r="G1" s="2063"/>
      <c r="H1" s="2063"/>
      <c r="I1" s="2063"/>
      <c r="J1" s="2063"/>
      <c r="K1" s="2064"/>
      <c r="L1" s="2065" t="s">
        <v>4037</v>
      </c>
      <c r="R1" s="2064"/>
      <c r="S1" s="2066" t="s">
        <v>4038</v>
      </c>
      <c r="Y1" s="2064"/>
      <c r="Z1" s="2064"/>
      <c r="AA1" s="2064"/>
      <c r="AB1" s="2064"/>
      <c r="AC1" s="2064"/>
      <c r="AD1" s="2064"/>
      <c r="AE1" s="2064"/>
      <c r="AF1" s="2064"/>
      <c r="AG1" s="2064"/>
      <c r="AH1" s="2064"/>
      <c r="AI1" s="2064"/>
      <c r="AJ1" s="2064"/>
      <c r="AK1" s="2064"/>
      <c r="AL1" s="2064"/>
    </row>
    <row r="2">
      <c r="A2" s="2062" t="s">
        <v>4039</v>
      </c>
      <c r="B2" s="2062" t="s">
        <v>4040</v>
      </c>
      <c r="C2" s="2062">
        <v>1.0</v>
      </c>
      <c r="D2" s="2062">
        <v>2.0</v>
      </c>
      <c r="E2" s="2062">
        <v>3.0</v>
      </c>
      <c r="F2" s="2062">
        <v>4.0</v>
      </c>
      <c r="G2" s="2062">
        <v>5.0</v>
      </c>
      <c r="H2" s="2062">
        <v>6.0</v>
      </c>
      <c r="I2" s="2062">
        <v>7.0</v>
      </c>
      <c r="J2" s="2062">
        <v>8.0</v>
      </c>
      <c r="K2" s="2064"/>
      <c r="L2" s="2067" t="s">
        <v>4039</v>
      </c>
      <c r="M2" s="2067" t="s">
        <v>4040</v>
      </c>
      <c r="N2" s="2065">
        <v>1.0</v>
      </c>
      <c r="O2" s="2065">
        <v>2.0</v>
      </c>
      <c r="P2" s="2065">
        <v>3.0</v>
      </c>
      <c r="Q2" s="2065">
        <v>4.0</v>
      </c>
      <c r="R2" s="2064"/>
      <c r="S2" s="2068"/>
      <c r="T2" s="2066" t="s">
        <v>4041</v>
      </c>
      <c r="U2" s="2066">
        <v>1.0</v>
      </c>
      <c r="V2" s="2066">
        <v>2.0</v>
      </c>
      <c r="W2" s="2066">
        <v>3.0</v>
      </c>
      <c r="X2" s="2066">
        <v>4.0</v>
      </c>
      <c r="Y2" s="2069"/>
      <c r="Z2" s="2064"/>
      <c r="AA2" s="2064"/>
      <c r="AB2" s="2064"/>
      <c r="AC2" s="2064"/>
      <c r="AD2" s="2064"/>
      <c r="AE2" s="2064"/>
      <c r="AF2" s="2064"/>
      <c r="AG2" s="2064"/>
      <c r="AH2" s="2064"/>
      <c r="AI2" s="2064"/>
      <c r="AJ2" s="2064"/>
      <c r="AK2" s="2064"/>
      <c r="AL2" s="2064"/>
    </row>
    <row r="3">
      <c r="A3" s="2070">
        <v>1.0</v>
      </c>
      <c r="B3" s="2070" t="s">
        <v>2209</v>
      </c>
      <c r="C3" s="2070" t="s">
        <v>4042</v>
      </c>
      <c r="D3" s="2070" t="s">
        <v>4043</v>
      </c>
      <c r="E3" s="2070" t="s">
        <v>4044</v>
      </c>
      <c r="F3" s="2070" t="s">
        <v>4045</v>
      </c>
      <c r="G3" s="2070" t="s">
        <v>4046</v>
      </c>
      <c r="H3" s="2070" t="s">
        <v>4047</v>
      </c>
      <c r="I3" s="2070" t="s">
        <v>4048</v>
      </c>
      <c r="J3" s="2070" t="s">
        <v>4049</v>
      </c>
      <c r="L3" s="2071">
        <v>1.0</v>
      </c>
      <c r="M3" s="2071" t="s">
        <v>1913</v>
      </c>
      <c r="N3" s="2071" t="s">
        <v>4050</v>
      </c>
      <c r="O3" s="2071" t="s">
        <v>4051</v>
      </c>
      <c r="P3" s="2071" t="s">
        <v>4052</v>
      </c>
      <c r="Q3" s="2071" t="s">
        <v>4053</v>
      </c>
      <c r="S3" s="2072"/>
      <c r="T3" s="2072" t="s">
        <v>143</v>
      </c>
      <c r="U3" s="2072" t="s">
        <v>1822</v>
      </c>
      <c r="V3" s="2072" t="s">
        <v>441</v>
      </c>
      <c r="W3" s="2072" t="s">
        <v>4054</v>
      </c>
      <c r="X3" s="2072"/>
    </row>
    <row r="4">
      <c r="A4" s="2070">
        <v>2.0</v>
      </c>
      <c r="B4" s="2070" t="s">
        <v>137</v>
      </c>
      <c r="C4" s="2070" t="s">
        <v>4055</v>
      </c>
      <c r="D4" s="2070" t="s">
        <v>4056</v>
      </c>
      <c r="E4" s="2070" t="s">
        <v>3659</v>
      </c>
      <c r="F4" s="2070"/>
      <c r="G4" s="2070" t="s">
        <v>4057</v>
      </c>
      <c r="H4" s="2073"/>
      <c r="I4" s="2073"/>
      <c r="J4" s="2073"/>
      <c r="L4" s="2071">
        <v>2.0</v>
      </c>
      <c r="M4" s="2071" t="s">
        <v>4058</v>
      </c>
      <c r="N4" s="2071"/>
      <c r="O4" s="2071"/>
      <c r="P4" s="2071" t="s">
        <v>20</v>
      </c>
      <c r="Q4" s="2071"/>
      <c r="S4" s="2072"/>
      <c r="T4" s="2072" t="s">
        <v>4059</v>
      </c>
      <c r="U4" s="2072" t="s">
        <v>4060</v>
      </c>
      <c r="V4" s="2072" t="s">
        <v>4061</v>
      </c>
      <c r="W4" s="2072" t="s">
        <v>4062</v>
      </c>
      <c r="X4" s="2074"/>
    </row>
    <row r="5">
      <c r="A5" s="2070">
        <v>3.0</v>
      </c>
      <c r="B5" s="2070" t="s">
        <v>139</v>
      </c>
      <c r="C5" s="2070" t="s">
        <v>4063</v>
      </c>
      <c r="D5" s="2070" t="s">
        <v>4063</v>
      </c>
      <c r="E5" s="2070" t="s">
        <v>4063</v>
      </c>
      <c r="F5" s="2070"/>
      <c r="G5" s="2070" t="s">
        <v>4063</v>
      </c>
      <c r="H5" s="2070"/>
      <c r="I5" s="2070"/>
      <c r="J5" s="2070"/>
      <c r="L5" s="2071">
        <v>3.0</v>
      </c>
      <c r="M5" s="2071" t="s">
        <v>2210</v>
      </c>
      <c r="N5" s="2071"/>
      <c r="O5" s="2071"/>
      <c r="P5" s="2071" t="s">
        <v>23</v>
      </c>
      <c r="Q5" s="2071"/>
      <c r="S5" s="2072"/>
      <c r="T5" s="2072" t="s">
        <v>4058</v>
      </c>
      <c r="U5" s="2072" t="s">
        <v>439</v>
      </c>
      <c r="V5" s="2074"/>
      <c r="W5" s="2072" t="s">
        <v>3628</v>
      </c>
      <c r="X5" s="2074"/>
    </row>
    <row r="6">
      <c r="A6" s="2073"/>
      <c r="B6" s="2070" t="s">
        <v>4064</v>
      </c>
      <c r="C6" s="2070" t="s">
        <v>4065</v>
      </c>
      <c r="D6" s="2070" t="s">
        <v>4066</v>
      </c>
      <c r="E6" s="2070" t="s">
        <v>4065</v>
      </c>
      <c r="F6" s="2073"/>
      <c r="G6" s="2070" t="s">
        <v>4065</v>
      </c>
      <c r="H6" s="2073"/>
      <c r="I6" s="2073"/>
      <c r="J6" s="2073"/>
      <c r="L6" s="2075"/>
      <c r="M6" s="2075"/>
      <c r="N6" s="2075"/>
      <c r="O6" s="2075"/>
      <c r="P6" s="2071" t="s">
        <v>2799</v>
      </c>
      <c r="Q6" s="2075"/>
      <c r="S6" s="2072"/>
      <c r="T6" s="2074"/>
      <c r="U6" s="2072" t="s">
        <v>3688</v>
      </c>
      <c r="V6" s="2074"/>
      <c r="W6" s="2074"/>
      <c r="X6" s="2074"/>
    </row>
    <row r="7">
      <c r="A7" s="2073"/>
      <c r="B7" s="2070" t="s">
        <v>4067</v>
      </c>
      <c r="C7" s="2073"/>
      <c r="D7" s="2070" t="s">
        <v>4068</v>
      </c>
      <c r="E7" s="2070" t="s">
        <v>4069</v>
      </c>
      <c r="F7" s="2073"/>
      <c r="G7" s="2073"/>
      <c r="H7" s="2073"/>
      <c r="I7" s="2073"/>
      <c r="J7" s="2073"/>
      <c r="L7" s="2075"/>
      <c r="M7" s="2075"/>
      <c r="N7" s="2075"/>
      <c r="O7" s="2075"/>
      <c r="P7" s="2075"/>
      <c r="Q7" s="2075"/>
      <c r="S7" s="2074"/>
      <c r="T7" s="2072" t="s">
        <v>4070</v>
      </c>
      <c r="U7" s="2066">
        <v>1.0</v>
      </c>
      <c r="V7" s="2066">
        <v>2.0</v>
      </c>
      <c r="W7" s="2066"/>
      <c r="X7" s="2074"/>
    </row>
    <row r="8">
      <c r="A8" s="2073"/>
      <c r="B8" s="2070" t="s">
        <v>4071</v>
      </c>
      <c r="C8" s="2073"/>
      <c r="D8" s="2070"/>
      <c r="E8" s="2070"/>
      <c r="F8" s="2073"/>
      <c r="G8" s="2073"/>
      <c r="H8" s="2073"/>
      <c r="I8" s="2073"/>
      <c r="J8" s="2073"/>
      <c r="L8" s="2075"/>
      <c r="M8" s="2075"/>
      <c r="N8" s="2075"/>
      <c r="O8" s="2075"/>
      <c r="P8" s="2075"/>
      <c r="Q8" s="2075"/>
      <c r="S8" s="2072"/>
      <c r="T8" s="2072" t="s">
        <v>143</v>
      </c>
      <c r="U8" s="2072" t="s">
        <v>4072</v>
      </c>
      <c r="V8" s="2072" t="s">
        <v>4073</v>
      </c>
      <c r="W8" s="2074"/>
      <c r="X8" s="2074"/>
    </row>
    <row r="9">
      <c r="A9" s="2073"/>
      <c r="B9" s="2070" t="s">
        <v>4074</v>
      </c>
      <c r="C9" s="2073"/>
      <c r="D9" s="2073"/>
      <c r="E9" s="2073"/>
      <c r="F9" s="2073"/>
      <c r="G9" s="2073"/>
      <c r="H9" s="2073"/>
      <c r="I9" s="2073"/>
      <c r="J9" s="2073"/>
      <c r="L9" s="2075"/>
      <c r="M9" s="2075"/>
      <c r="N9" s="2075"/>
      <c r="O9" s="2075"/>
      <c r="P9" s="2075"/>
      <c r="Q9" s="2075"/>
      <c r="S9" s="2072"/>
      <c r="T9" s="2072" t="s">
        <v>4059</v>
      </c>
      <c r="U9" s="2072" t="s">
        <v>4075</v>
      </c>
      <c r="V9" s="2072" t="s">
        <v>4076</v>
      </c>
      <c r="W9" s="2074"/>
      <c r="X9" s="2074"/>
    </row>
    <row r="10">
      <c r="A10" s="2073"/>
      <c r="B10" s="2073"/>
      <c r="C10" s="2073"/>
      <c r="D10" s="2073"/>
      <c r="E10" s="2073"/>
      <c r="F10" s="2073"/>
      <c r="G10" s="2073"/>
      <c r="H10" s="2073"/>
      <c r="I10" s="2073"/>
      <c r="J10" s="2073"/>
      <c r="L10" s="2075"/>
      <c r="M10" s="2075"/>
      <c r="N10" s="2075"/>
      <c r="O10" s="2075"/>
      <c r="P10" s="2075"/>
      <c r="Q10" s="2075"/>
      <c r="S10" s="2072"/>
      <c r="T10" s="2072" t="s">
        <v>4058</v>
      </c>
      <c r="U10" s="2072" t="s">
        <v>4077</v>
      </c>
      <c r="V10" s="2072" t="s">
        <v>4078</v>
      </c>
      <c r="W10" s="2074"/>
      <c r="X10" s="2074"/>
    </row>
    <row r="11">
      <c r="A11" s="2073"/>
      <c r="B11" s="2073"/>
      <c r="C11" s="2073"/>
      <c r="D11" s="2073"/>
      <c r="E11" s="2073"/>
      <c r="F11" s="2073"/>
      <c r="G11" s="2073"/>
      <c r="H11" s="2073"/>
      <c r="I11" s="2073"/>
      <c r="J11" s="2073"/>
      <c r="L11" s="2075"/>
      <c r="M11" s="2075"/>
      <c r="N11" s="2075"/>
      <c r="O11" s="2075"/>
      <c r="P11" s="2075"/>
      <c r="Q11" s="2075"/>
      <c r="S11" s="2074"/>
      <c r="T11" s="2072"/>
      <c r="U11" s="2074"/>
      <c r="V11" s="2072" t="s">
        <v>4079</v>
      </c>
      <c r="W11" s="2074"/>
      <c r="X11" s="2074"/>
    </row>
    <row r="12">
      <c r="A12" s="2073"/>
      <c r="B12" s="2073"/>
      <c r="C12" s="2073"/>
      <c r="D12" s="2073"/>
      <c r="E12" s="2073"/>
      <c r="F12" s="2073"/>
      <c r="G12" s="2073"/>
      <c r="H12" s="2073"/>
      <c r="I12" s="2073"/>
      <c r="J12" s="2073"/>
      <c r="L12" s="2075"/>
      <c r="M12" s="2075"/>
      <c r="N12" s="2075"/>
      <c r="O12" s="2075"/>
      <c r="P12" s="2075"/>
      <c r="Q12" s="2075"/>
      <c r="S12" s="2074"/>
      <c r="T12" s="2072"/>
      <c r="U12" s="2072"/>
      <c r="V12" s="2074"/>
      <c r="W12" s="2074"/>
      <c r="X12" s="2074"/>
    </row>
    <row r="13">
      <c r="A13" s="2073"/>
      <c r="B13" s="2073"/>
      <c r="C13" s="2073"/>
      <c r="D13" s="2073"/>
      <c r="E13" s="2073"/>
      <c r="F13" s="2073"/>
      <c r="G13" s="2073"/>
      <c r="H13" s="2073"/>
      <c r="I13" s="2073"/>
      <c r="J13" s="2073"/>
      <c r="L13" s="2075"/>
      <c r="M13" s="2075"/>
      <c r="N13" s="2075"/>
      <c r="O13" s="2075"/>
      <c r="P13" s="2075"/>
      <c r="Q13" s="2075"/>
      <c r="S13" s="2074"/>
      <c r="T13" s="2072"/>
      <c r="U13" s="2074"/>
      <c r="V13" s="2074"/>
      <c r="W13" s="2074"/>
      <c r="X13" s="2074"/>
    </row>
    <row r="14">
      <c r="A14" s="2073"/>
      <c r="B14" s="2073"/>
      <c r="C14" s="2073"/>
      <c r="D14" s="2073"/>
      <c r="E14" s="2073"/>
      <c r="F14" s="2073"/>
      <c r="G14" s="2073"/>
      <c r="H14" s="2073"/>
      <c r="I14" s="2073"/>
      <c r="J14" s="2073"/>
      <c r="L14" s="2075"/>
      <c r="M14" s="2075"/>
      <c r="N14" s="2075"/>
      <c r="O14" s="2075"/>
      <c r="P14" s="2075"/>
      <c r="Q14" s="2075"/>
      <c r="S14" s="2074"/>
      <c r="T14" s="2072"/>
      <c r="U14" s="2074"/>
      <c r="V14" s="2074"/>
      <c r="W14" s="2074"/>
      <c r="X14" s="2074"/>
    </row>
    <row r="15">
      <c r="A15" s="2073"/>
      <c r="B15" s="2073"/>
      <c r="C15" s="2073"/>
      <c r="D15" s="2073"/>
      <c r="E15" s="2073"/>
      <c r="F15" s="2073"/>
      <c r="G15" s="2073"/>
      <c r="H15" s="2073"/>
      <c r="I15" s="2073"/>
      <c r="J15" s="2073"/>
      <c r="L15" s="2075"/>
      <c r="M15" s="2075"/>
      <c r="N15" s="2075"/>
      <c r="O15" s="2075"/>
      <c r="P15" s="2075"/>
      <c r="Q15" s="2075"/>
      <c r="S15" s="2074"/>
      <c r="T15" s="2074"/>
      <c r="U15" s="2074"/>
      <c r="V15" s="2074"/>
      <c r="W15" s="2074"/>
      <c r="X15" s="2074"/>
    </row>
    <row r="16">
      <c r="A16" s="2073"/>
      <c r="B16" s="2073"/>
      <c r="C16" s="2073"/>
      <c r="D16" s="2073"/>
      <c r="E16" s="2073"/>
      <c r="F16" s="2073"/>
      <c r="G16" s="2073"/>
      <c r="H16" s="2073"/>
      <c r="I16" s="2073"/>
      <c r="J16" s="2073"/>
      <c r="L16" s="2075"/>
      <c r="M16" s="2075"/>
      <c r="N16" s="2075"/>
      <c r="O16" s="2075"/>
      <c r="P16" s="2075"/>
      <c r="Q16" s="2075"/>
      <c r="S16" s="2074"/>
      <c r="T16" s="2074"/>
      <c r="U16" s="2074"/>
      <c r="V16" s="2074"/>
      <c r="W16" s="2074"/>
      <c r="X16" s="2074"/>
    </row>
    <row r="17">
      <c r="A17" s="2073"/>
      <c r="B17" s="2073"/>
      <c r="C17" s="2073"/>
      <c r="D17" s="2073"/>
      <c r="E17" s="2073"/>
      <c r="F17" s="2073"/>
      <c r="G17" s="2073"/>
      <c r="H17" s="2073"/>
      <c r="I17" s="2073"/>
      <c r="J17" s="2073"/>
      <c r="L17" s="2075"/>
      <c r="M17" s="2075"/>
      <c r="N17" s="2075"/>
      <c r="O17" s="2075"/>
      <c r="P17" s="2075"/>
      <c r="Q17" s="2075"/>
      <c r="S17" s="2074"/>
      <c r="T17" s="2074"/>
      <c r="U17" s="2074"/>
      <c r="V17" s="2074"/>
      <c r="W17" s="2074"/>
      <c r="X17" s="2074"/>
    </row>
    <row r="18">
      <c r="A18" s="2073"/>
      <c r="B18" s="2073"/>
      <c r="C18" s="2073"/>
      <c r="D18" s="2073"/>
      <c r="E18" s="2073"/>
      <c r="F18" s="2073"/>
      <c r="G18" s="2073"/>
      <c r="H18" s="2073"/>
      <c r="I18" s="2073"/>
      <c r="J18" s="2073"/>
      <c r="L18" s="2075"/>
      <c r="M18" s="2075"/>
      <c r="N18" s="2075"/>
      <c r="O18" s="2075"/>
      <c r="P18" s="2075"/>
      <c r="Q18" s="2075"/>
      <c r="S18" s="2074"/>
      <c r="T18" s="2074"/>
      <c r="U18" s="2074"/>
      <c r="V18" s="2074"/>
      <c r="W18" s="2074"/>
      <c r="X18" s="2074"/>
    </row>
  </sheetData>
  <mergeCells count="3">
    <mergeCell ref="A1:F1"/>
    <mergeCell ref="L1:Q1"/>
    <mergeCell ref="S1:X1"/>
  </mergeCells>
  <drawing r:id="rId1"/>
</worksheet>
</file>